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4bbcf8710505adf3/Documents/My Books/TTO_Book/tto-companion-tools/workbook/"/>
    </mc:Choice>
  </mc:AlternateContent>
  <xr:revisionPtr revIDLastSave="0" documentId="8_{C0E506B6-C4AF-40EA-BFA9-A8C0CB2C18A8}" xr6:coauthVersionLast="47" xr6:coauthVersionMax="47" xr10:uidLastSave="{00000000-0000-0000-0000-000000000000}"/>
  <bookViews>
    <workbookView xWindow="-120" yWindow="-120" windowWidth="29040" windowHeight="15720" xr2:uid="{6B6F9B6C-A694-4578-8860-BB9B693EDA8A}"/>
  </bookViews>
  <sheets>
    <sheet name="Read_Me" sheetId="1" r:id="rId1"/>
    <sheet name="Cases" sheetId="2" r:id="rId2"/>
    <sheet name="Exposures" sheetId="3" r:id="rId3"/>
    <sheet name="Administrations" sheetId="4" r:id="rId4"/>
    <sheet name="Events" sheetId="5" r:id="rId5"/>
    <sheet name="Milestones" sheetId="6" r:id="rId6"/>
    <sheet name="Drug_Event_Links" sheetId="7" r:id="rId7"/>
    <sheet name="Intervals" sheetId="8" r:id="rId8"/>
    <sheet name="Product_Dossier" sheetId="9" r:id="rId9"/>
    <sheet name="Parameter_Register" sheetId="10" r:id="rId10"/>
    <sheet name="PK_Exercises" sheetId="11" r:id="rId11"/>
    <sheet name="PD_Profile" sheetId="12" r:id="rId12"/>
    <sheet name="Temporal_Profile" sheetId="13" r:id="rId13"/>
    <sheet name="Biology_Review" sheetId="14" r:id="rId14"/>
    <sheet name="Dechallenge_Rechallenge" sheetId="15" r:id="rId15"/>
    <sheet name="Alternatives_Followup" sheetId="16" r:id="rId16"/>
    <sheet name="Assessment_QC" sheetId="17" r:id="rId17"/>
    <sheet name="Summary" sheetId="18" r:id="rId18"/>
    <sheet name="Export" sheetId="19" r:id="rId19"/>
    <sheet name="Examples" sheetId="20" r:id="rId20"/>
    <sheet name="Verification" sheetId="21" r:id="rId21"/>
    <sheet name="Timepoints" sheetId="22" r:id="rId22"/>
    <sheet name="Flags_Messages" sheetId="23" r:id="rId23"/>
    <sheet name="Lists" sheetId="24" r:id="rId24"/>
  </sheets>
  <definedNames>
    <definedName name="_xlnm._FilterDatabase" localSheetId="3" hidden="1">Administrations!$A$4:$BT$83</definedName>
    <definedName name="_xlnm._FilterDatabase" localSheetId="15" hidden="1">Alternatives_Followup!$A$4:$J$41</definedName>
    <definedName name="_xlnm._FilterDatabase" localSheetId="16" hidden="1">Assessment_QC!$A$4:$M$23</definedName>
    <definedName name="_xlnm._FilterDatabase" localSheetId="13" hidden="1">Biology_Review!$A$4:$I$23</definedName>
    <definedName name="_xlnm._FilterDatabase" localSheetId="1" hidden="1">Cases!$A$4:$M$67</definedName>
    <definedName name="_xlnm._FilterDatabase" localSheetId="14" hidden="1">Dechallenge_Rechallenge!$A$4:$K$23</definedName>
    <definedName name="_xlnm._FilterDatabase" localSheetId="6" hidden="1">Drug_Event_Links!$A$4:$M$58</definedName>
    <definedName name="_xlnm._FilterDatabase" localSheetId="4" hidden="1">Events!$A$4:$BA$48</definedName>
    <definedName name="_xlnm._FilterDatabase" localSheetId="2" hidden="1">Exposures!$A$4:$BO$76</definedName>
    <definedName name="_xlnm._FilterDatabase" localSheetId="7" hidden="1">Intervals!$A$4:$FK$103</definedName>
    <definedName name="_xlnm._FilterDatabase" localSheetId="5" hidden="1">Milestones!$A$4:$AH$76</definedName>
    <definedName name="_xlnm._FilterDatabase" localSheetId="9" hidden="1">Parameter_Register!$A$4:$S$35</definedName>
    <definedName name="_xlnm._FilterDatabase" localSheetId="8" hidden="1">Product_Dossier!$A$4:$P$45</definedName>
    <definedName name="_xlnm._FilterDatabase" localSheetId="12" hidden="1">Temporal_Profile!$A$4:$J$22</definedName>
    <definedName name="_xlnm._FilterDatabase" localSheetId="21" hidden="1">Timepoints!$A$4:$AH$459</definedName>
    <definedName name="nADM_A_Date">Administrations!$O$5:$O$83</definedName>
    <definedName name="nADM_A_Dated">Administrations!$AP$5:$AP$83</definedName>
    <definedName name="nADM_A_Err">Administrations!$W$5:$W$83</definedName>
    <definedName name="nADM_A_Hi">Administrations!$AA$5:$AA$83</definedName>
    <definedName name="nADM_A_HT">Administrations!$X$5:$X$83</definedName>
    <definedName name="nADM_A_Lo">Administrations!$Z$5:$Z$83</definedName>
    <definedName name="nADM_A_Loc">Administrations!$AB$5:$AB$83</definedName>
    <definedName name="nADM_A_Lower">Administrations!$T$5:$T$83</definedName>
    <definedName name="nADM_A_Month">Administrations!$S$5:$S$83</definedName>
    <definedName name="nADM_A_Off">Administrations!$Q$5:$Q$83</definedName>
    <definedName name="nADM_A_OK">Administrations!$Y$5:$Y$83</definedName>
    <definedName name="nADM_A_Prec">Administrations!$N$5:$N$83</definedName>
    <definedName name="nADM_A_Src">Administrations!$V$5:$V$83</definedName>
    <definedName name="nADM_A_Text">Administrations!$M$5:$M$83</definedName>
    <definedName name="nADM_A_Time">Administrations!$P$5:$P$83</definedName>
    <definedName name="nADM_A_Upper">Administrations!$U$5:$U$83</definedName>
    <definedName name="nADM_A_UTC">Administrations!$AC$5:$AC$83</definedName>
    <definedName name="nADM_A_Year">Administrations!$R$5:$R$83</definedName>
    <definedName name="nADM_Admin_ID">Administrations!$C$5:$C$83</definedName>
    <definedName name="nADM_BSA_key">Administrations!$AZ$5:$AZ$83</definedName>
    <definedName name="nADM_BSA_m2">Administrations!$J$5:$J$83</definedName>
    <definedName name="nADM_BSA_missing">Administrations!$BB$5:$BB$83</definedName>
    <definedName name="nADM_BSA_n">Administrations!$AY$5:$AY$83</definedName>
    <definedName name="nADM_Case_ID">Administrations!$A$5:$A$83</definedName>
    <definedName name="nADM_Case_Version">Administrations!$B$5:$B$83</definedName>
    <definedName name="nADM_Check_Message">Administrations!$BT$5:$BT$83</definedName>
    <definedName name="nADM_Dose">Administrations!$F$5:$F$83</definedName>
    <definedName name="nADM_Dose_n">Administrations!$AV$5:$AV$83</definedName>
    <definedName name="nADM_Dose_per_BSA">Administrations!$BD$5:$BD$83</definedName>
    <definedName name="nADM_Dose_pos_n">Administrations!$AW$5:$AW$83</definedName>
    <definedName name="nADM_Dose_Unit">Administrations!$G$5:$G$83</definedName>
    <definedName name="nADM_Dup">Administrations!$AM$5:$AM$83</definedName>
    <definedName name="nADM_End_Date">Administrations!$AD$5:$AD$83</definedName>
    <definedName name="nADM_End_Off">Administrations!$AF$5:$AF$83</definedName>
    <definedName name="nADM_End_Src">Administrations!$AG$5:$AG$83</definedName>
    <definedName name="nADM_End_Time">Administrations!$AE$5:$AE$83</definedName>
    <definedName name="nADM_Ep_Found">Administrations!$BR$5:$BR$83</definedName>
    <definedName name="nADM_Exposure_Episode_ID">Administrations!$D$5:$D$83</definedName>
    <definedName name="nADM_HasBSA">Administrations!$BA$5:$BA$83</definedName>
    <definedName name="nADM_HasDose">Administrations!$AX$5:$AX$83</definedName>
    <definedName name="nADM_Key">Administrations!$AL$5:$AL$83</definedName>
    <definedName name="nADM_Kind">Administrations!$E$5:$E$83</definedName>
    <definedName name="nADM_Known">Administrations!$BC$5:$BC$83</definedName>
    <definedName name="nADM_Lo_n">Administrations!$AS$5:$AS$83</definedName>
    <definedName name="nADM_Loc_n">Administrations!$AQ$5:$AQ$83</definedName>
    <definedName name="nADM_Missing_Reason">Administrations!$K$5:$K$83</definedName>
    <definedName name="nADM_Notes">Administrations!$L$5:$L$83</definedName>
    <definedName name="nADM_Ovl_Loc">Administrations!$BO$5:$BO$83</definedName>
    <definedName name="nADM_Ovl_UTC">Administrations!$BP$5:$BP$83</definedName>
    <definedName name="nADM_Q10_DateErr">Administrations!$BF$5:$BF$83</definedName>
    <definedName name="nADM_Q10_Raw">Administrations!$BE$5:$BE$83</definedName>
    <definedName name="nADM_Rate">Administrations!$H$5:$H$83</definedName>
    <definedName name="nADM_Rate_n">Administrations!$AU$5:$AU$83</definedName>
    <definedName name="nADM_Rate_Unit">Administrations!$I$5:$I$83</definedName>
    <definedName name="nADM_Record_Check">Administrations!$BS$5:$BS$83</definedName>
    <definedName name="nADM_Rev_Loc">Administrations!$BM$5:$BM$83</definedName>
    <definedName name="nADM_Rev_UTC">Administrations!$BN$5:$BN$83</definedName>
    <definedName name="nADM_RowN">Administrations!$AT$5:$AT$83</definedName>
    <definedName name="nADM_SE_Err">Administrations!$AH$5:$AH$83</definedName>
    <definedName name="nADM_SE_Loc">Administrations!$AI$5:$AI$83</definedName>
    <definedName name="nADM_SE_OK">Administrations!$AJ$5:$AJ$83</definedName>
    <definedName name="nADM_SE_UTC">Administrations!$AK$5:$AK$83</definedName>
    <definedName name="nADM_Seg_Raw">Administrations!$BQ$5:$BQ$83</definedName>
    <definedName name="nADM_SegE_Loc_n">Administrations!$BL$5:$BL$83</definedName>
    <definedName name="nADM_SegE_UTC_n">Administrations!$BJ$5:$BJ$83</definedName>
    <definedName name="nADM_SegOK">Administrations!$BH$5:$BH$83</definedName>
    <definedName name="nADM_SegS_Loc_n">Administrations!$BK$5:$BK$83</definedName>
    <definedName name="nADM_SegS_UTC_n">Administrations!$BI$5:$BI$83</definedName>
    <definedName name="nADM_SegValid">Administrations!$BG$5:$BG$83</definedName>
    <definedName name="nADM_SelKey">Administrations!$AN$5:$AN$83</definedName>
    <definedName name="nADM_UTC_n">Administrations!$AR$5:$AR$83</definedName>
    <definedName name="nADM_Valid">Administrations!$AO$5:$AO$83</definedName>
    <definedName name="nCASE_Case_ID">Cases!$A$5:$A$67</definedName>
    <definedName name="nCASE_Case_Version">Cases!$B$5:$B$67</definedName>
    <definedName name="nCASE_Check_Message">Cases!$M$5:$M$67</definedName>
    <definedName name="nCASE_Dup">Cases!$K$5:$K$67</definedName>
    <definedName name="nCASE_Fictional">Cases!$G$5:$G$67</definedName>
    <definedName name="nCASE_Key">Cases!$J$5:$J$67</definedName>
    <definedName name="nCASE_Received_Date">Cases!$C$5:$C$67</definedName>
    <definedName name="nCASE_Record_Check">Cases!$L$5:$L$67</definedName>
    <definedName name="nCASE_Review_Date">Cases!$F$5:$F$67</definedName>
    <definedName name="nCASE_Reviewer">Cases!$E$5:$E$67</definedName>
    <definedName name="nCASE_Setting">Cases!$D$5:$D$67</definedName>
    <definedName name="nCASE_Summary">Cases!$H$5:$H$67</definedName>
    <definedName name="nCASE_Version_Note">Cases!$I$5:$I$67</definedName>
    <definedName name="nEVT_Baseline_Status">Events!$F$5:$F$48</definedName>
    <definedName name="nEVT_Case_ID">Events!$A$5:$A$48</definedName>
    <definedName name="nEVT_Case_Version">Events!$B$5:$B$48</definedName>
    <definedName name="nEVT_Check_Message">Events!$BA$5:$BA$48</definedName>
    <definedName name="nEVT_D_Date">Events!$AI$5:$AI$48</definedName>
    <definedName name="nEVT_D_Err">Events!$AQ$5:$AQ$48</definedName>
    <definedName name="nEVT_D_Hi">Events!$AU$5:$AU$48</definedName>
    <definedName name="nEVT_D_HT">Events!$AR$5:$AR$48</definedName>
    <definedName name="nEVT_D_Lo">Events!$AT$5:$AT$48</definedName>
    <definedName name="nEVT_D_Loc">Events!$AV$5:$AV$48</definedName>
    <definedName name="nEVT_D_Lower">Events!$AN$5:$AN$48</definedName>
    <definedName name="nEVT_D_Month">Events!$AM$5:$AM$48</definedName>
    <definedName name="nEVT_D_Off">Events!$AK$5:$AK$48</definedName>
    <definedName name="nEVT_D_OK">Events!$AS$5:$AS$48</definedName>
    <definedName name="nEVT_D_Prec">Events!$AH$5:$AH$48</definedName>
    <definedName name="nEVT_D_Src">Events!$AP$5:$AP$48</definedName>
    <definedName name="nEVT_D_Text">Events!$AG$5:$AG$48</definedName>
    <definedName name="nEVT_D_Time">Events!$AJ$5:$AJ$48</definedName>
    <definedName name="nEVT_D_Upper">Events!$AO$5:$AO$48</definedName>
    <definedName name="nEVT_D_UTC">Events!$AW$5:$AW$48</definedName>
    <definedName name="nEVT_D_Year">Events!$AL$5:$AL$48</definedName>
    <definedName name="nEVT_Dup">Events!$AY$5:$AY$48</definedName>
    <definedName name="nEVT_Episode_ID">Events!$D$5:$D$48</definedName>
    <definedName name="nEVT_Event_ID">Events!$C$5:$C$48</definedName>
    <definedName name="nEVT_Event_Term">Events!$E$5:$E$48</definedName>
    <definedName name="nEVT_Key">Events!$AX$5:$AX$48</definedName>
    <definedName name="nEVT_Missing_Reason">Events!$G$5:$G$48</definedName>
    <definedName name="nEVT_Notes">Events!$H$5:$H$48</definedName>
    <definedName name="nEVT_O_Date">Events!$K$5:$K$48</definedName>
    <definedName name="nEVT_O_Err">Events!$U$5:$U$48</definedName>
    <definedName name="nEVT_O_Hi">Events!$Y$5:$Y$48</definedName>
    <definedName name="nEVT_O_HT">Events!$V$5:$V$48</definedName>
    <definedName name="nEVT_O_LA_Code">Events!$AE$5:$AE$48</definedName>
    <definedName name="nEVT_O_LA_Row">Events!$AC$5:$AC$48</definedName>
    <definedName name="nEVT_O_LabAbnormal">Events!$S$5:$S$48</definedName>
    <definedName name="nEVT_O_LabErr">Events!$AF$5:$AF$48</definedName>
    <definedName name="nEVT_O_LabNormal">Events!$R$5:$R$48</definedName>
    <definedName name="nEVT_O_LN_Code">Events!$AD$5:$AD$48</definedName>
    <definedName name="nEVT_O_LN_Row">Events!$AB$5:$AB$48</definedName>
    <definedName name="nEVT_O_Lo">Events!$X$5:$X$48</definedName>
    <definedName name="nEVT_O_Loc">Events!$Z$5:$Z$48</definedName>
    <definedName name="nEVT_O_Lower">Events!$P$5:$P$48</definedName>
    <definedName name="nEVT_O_Month">Events!$O$5:$O$48</definedName>
    <definedName name="nEVT_O_Off">Events!$M$5:$M$48</definedName>
    <definedName name="nEVT_O_OK">Events!$W$5:$W$48</definedName>
    <definedName name="nEVT_O_Prec">Events!$J$5:$J$48</definedName>
    <definedName name="nEVT_O_Src">Events!$T$5:$T$48</definedName>
    <definedName name="nEVT_O_Text">Events!$I$5:$I$48</definedName>
    <definedName name="nEVT_O_Time">Events!$L$5:$L$48</definedName>
    <definedName name="nEVT_O_Upper">Events!$Q$5:$Q$48</definedName>
    <definedName name="nEVT_O_UTC">Events!$AA$5:$AA$48</definedName>
    <definedName name="nEVT_O_Year">Events!$N$5:$N$48</definedName>
    <definedName name="nEVT_Record_Check">Events!$AZ$5:$AZ$48</definedName>
    <definedName name="nEX_Match">Examples!$L$7:$L$96</definedName>
    <definedName name="nEX_Status">Examples!$C$4</definedName>
    <definedName name="nEXP_Case_ID">Exposures!$A$5:$A$76</definedName>
    <definedName name="nEXP_Case_Version">Exposures!$B$5:$B$76</definedName>
    <definedName name="nEXP_Check_Message">Exposures!$BO$5:$BO$76</definedName>
    <definedName name="nEXP_Dose">Exposures!$H$5:$H$76</definedName>
    <definedName name="nEXP_Dose_Unit">Exposures!$I$5:$I$76</definedName>
    <definedName name="nEXP_Drug_ID">Exposures!$C$5:$C$76</definedName>
    <definedName name="nEXP_Dup">Exposures!$BM$5:$BM$76</definedName>
    <definedName name="nEXP_Exposure_Episode_ID">Exposures!$D$5:$D$76</definedName>
    <definedName name="nEXP_Key">Exposures!$BL$5:$BL$76</definedName>
    <definedName name="nEXP_Missing_Reason">Exposures!$K$5:$K$76</definedName>
    <definedName name="nEXP_Notes">Exposures!$L$5:$L$76</definedName>
    <definedName name="nEXP_Product">Exposures!$E$5:$E$76</definedName>
    <definedName name="nEXP_R_Date">Exposures!$AW$5:$AW$76</definedName>
    <definedName name="nEXP_R_Err">Exposures!$BE$5:$BE$76</definedName>
    <definedName name="nEXP_R_Hi">Exposures!$BI$5:$BI$76</definedName>
    <definedName name="nEXP_R_HT">Exposures!$BF$5:$BF$76</definedName>
    <definedName name="nEXP_R_Lo">Exposures!$BH$5:$BH$76</definedName>
    <definedName name="nEXP_R_Loc">Exposures!$BJ$5:$BJ$76</definedName>
    <definedName name="nEXP_R_Lower">Exposures!$BB$5:$BB$76</definedName>
    <definedName name="nEXP_R_Month">Exposures!$BA$5:$BA$76</definedName>
    <definedName name="nEXP_R_Off">Exposures!$AY$5:$AY$76</definedName>
    <definedName name="nEXP_R_OK">Exposures!$BG$5:$BG$76</definedName>
    <definedName name="nEXP_R_Prec">Exposures!$AV$5:$AV$76</definedName>
    <definedName name="nEXP_R_Src">Exposures!$BD$5:$BD$76</definedName>
    <definedName name="nEXP_R_Text">Exposures!$AU$5:$AU$76</definedName>
    <definedName name="nEXP_R_Time">Exposures!$AX$5:$AX$76</definedName>
    <definedName name="nEXP_R_Upper">Exposures!$BC$5:$BC$76</definedName>
    <definedName name="nEXP_R_UTC">Exposures!$BK$5:$BK$76</definedName>
    <definedName name="nEXP_R_Year">Exposures!$AZ$5:$AZ$76</definedName>
    <definedName name="nEXP_Record_Check">Exposures!$BN$5:$BN$76</definedName>
    <definedName name="nEXP_Regimen_Text">Exposures!$J$5:$J$76</definedName>
    <definedName name="nEXP_Role">Exposures!$F$5:$F$76</definedName>
    <definedName name="nEXP_Route">Exposures!$G$5:$G$76</definedName>
    <definedName name="nEXP_S_Date">Exposures!$O$5:$O$76</definedName>
    <definedName name="nEXP_S_Err">Exposures!$W$5:$W$76</definedName>
    <definedName name="nEXP_S_Hi">Exposures!$AA$5:$AA$76</definedName>
    <definedName name="nEXP_S_HT">Exposures!$X$5:$X$76</definedName>
    <definedName name="nEXP_S_Lo">Exposures!$Z$5:$Z$76</definedName>
    <definedName name="nEXP_S_Loc">Exposures!$AB$5:$AB$76</definedName>
    <definedName name="nEXP_S_Lower">Exposures!$T$5:$T$76</definedName>
    <definedName name="nEXP_S_Month">Exposures!$S$5:$S$76</definedName>
    <definedName name="nEXP_S_Off">Exposures!$Q$5:$Q$76</definedName>
    <definedName name="nEXP_S_OK">Exposures!$Y$5:$Y$76</definedName>
    <definedName name="nEXP_S_Prec">Exposures!$N$5:$N$76</definedName>
    <definedName name="nEXP_S_Src">Exposures!$V$5:$V$76</definedName>
    <definedName name="nEXP_S_Text">Exposures!$M$5:$M$76</definedName>
    <definedName name="nEXP_S_Time">Exposures!$P$5:$P$76</definedName>
    <definedName name="nEXP_S_Upper">Exposures!$U$5:$U$76</definedName>
    <definedName name="nEXP_S_UTC">Exposures!$AC$5:$AC$76</definedName>
    <definedName name="nEXP_S_Year">Exposures!$R$5:$R$76</definedName>
    <definedName name="nEXP_T_Date">Exposures!$AF$5:$AF$76</definedName>
    <definedName name="nEXP_T_Err">Exposures!$AN$5:$AN$76</definedName>
    <definedName name="nEXP_T_Hi">Exposures!$AR$5:$AR$76</definedName>
    <definedName name="nEXP_T_HT">Exposures!$AO$5:$AO$76</definedName>
    <definedName name="nEXP_T_Lo">Exposures!$AQ$5:$AQ$76</definedName>
    <definedName name="nEXP_T_Loc">Exposures!$AS$5:$AS$76</definedName>
    <definedName name="nEXP_T_Lower">Exposures!$AK$5:$AK$76</definedName>
    <definedName name="nEXP_T_Month">Exposures!$AJ$5:$AJ$76</definedName>
    <definedName name="nEXP_T_Off">Exposures!$AH$5:$AH$76</definedName>
    <definedName name="nEXP_T_OK">Exposures!$AP$5:$AP$76</definedName>
    <definedName name="nEXP_T_Prec">Exposures!$AE$5:$AE$76</definedName>
    <definedName name="nEXP_T_Src">Exposures!$AM$5:$AM$76</definedName>
    <definedName name="nEXP_T_Text">Exposures!$AD$5:$AD$76</definedName>
    <definedName name="nEXP_T_Time">Exposures!$AG$5:$AG$76</definedName>
    <definedName name="nEXP_T_Upper">Exposures!$AL$5:$AL$76</definedName>
    <definedName name="nEXP_T_UTC">Exposures!$AT$5:$AT$76</definedName>
    <definedName name="nEXP_T_Year">Exposures!$AI$5:$AI$76</definedName>
    <definedName name="nEXPORT_Data">Export!$A$7:$AD$157</definedName>
    <definedName name="nINT_A_Dup">Intervals!$CZ$5:$CZ$103</definedName>
    <definedName name="nINT_A_Err">Intervals!$DC$5:$DC$103</definedName>
    <definedName name="nINT_A_Hi">Intervals!$DI$5:$DI$103</definedName>
    <definedName name="nINT_A_HT">Intervals!$DD$5:$DD$103</definedName>
    <definedName name="nINT_A_Lo">Intervals!$DH$5:$DH$103</definedName>
    <definedName name="nINT_A_Loc">Intervals!$DF$5:$DF$103</definedName>
    <definedName name="nINT_A_OK">Intervals!$DE$5:$DE$103</definedName>
    <definedName name="nINT_A_Prec">Intervals!$DB$5:$DB$103</definedName>
    <definedName name="nINT_A_Res">Intervals!$DL$5:$DL$103</definedName>
    <definedName name="nINT_A_Row">Intervals!$CY$5:$CY$103</definedName>
    <definedName name="nINT_A_Src">Intervals!$DK$5:$DK$103</definedName>
    <definedName name="nINT_A_Text">Intervals!$DJ$5:$DJ$103</definedName>
    <definedName name="nINT_A_Type">Intervals!$DA$5:$DA$103</definedName>
    <definedName name="nINT_A_UTC">Intervals!$DG$5:$DG$103</definedName>
    <definedName name="nINT_Anc_Err">Intervals!$DM$5:$DM$103</definedName>
    <definedName name="nINT_Anc_Needs">Intervals!$DN$5:$DN$103</definedName>
    <definedName name="nINT_Anchor_Description">Intervals!$F$5:$F$103</definedName>
    <definedName name="nINT_Anchor_Display">Intervals!$AM$5:$AM$103</definedName>
    <definedName name="nINT_Anchor_ISO">Intervals!$AL$5:$AL$103</definedName>
    <definedName name="nINT_Anchor_Record_ID">Intervals!$G$5:$G$103</definedName>
    <definedName name="nINT_Anchor_Record_ID_Used">Intervals!$AJ$5:$AJ$103</definedName>
    <definedName name="nINT_Anchor_Type">Intervals!$E$5:$E$103</definedName>
    <definedName name="nINT_Assumptions">Intervals!$AS$5:$AS$103</definedName>
    <definedName name="nINT_AutoC5">Intervals!$BG$5:$BG$103</definedName>
    <definedName name="nINT_C5_BestDay">Intervals!$CT$5:$CT$103</definedName>
    <definedName name="nINT_C5_Case">Intervals!$CR$5:$CR$103</definedName>
    <definedName name="nINT_C5_CK">Intervals!$BX$5:$BX$103</definedName>
    <definedName name="nINT_C5_CntLocN">Intervals!$CO$5:$CO$103</definedName>
    <definedName name="nINT_C5_CntMaxLo">Intervals!$CG$5:$CG$103</definedName>
    <definedName name="nINT_C5_CntUTC">Intervals!$CK$5:$CK$103</definedName>
    <definedName name="nINT_C5_DAtMax">Intervals!$CH$5:$CH$103</definedName>
    <definedName name="nINT_C5_ErrTxt">Intervals!$CA$5:$CA$103</definedName>
    <definedName name="nINT_C5_Fail">Intervals!$CV$5:$CV$103</definedName>
    <definedName name="nINT_C5_Go">Intervals!$CB$5:$CB$103</definedName>
    <definedName name="nINT_C5_LoAtLocN">Intervals!$CP$5:$CP$103</definedName>
    <definedName name="nINT_C5_LoAtUTC">Intervals!$CM$5:$CM$103</definedName>
    <definedName name="nINT_C5_LocAtUTC">Intervals!$CL$5:$CL$103</definedName>
    <definedName name="nINT_C5_MaxLo">Intervals!$CF$5:$CF$103</definedName>
    <definedName name="nINT_C5_MaxLocN">Intervals!$CN$5:$CN$103</definedName>
    <definedName name="nINT_C5_MaxLocOK">Intervals!$CQ$5:$CQ$103</definedName>
    <definedName name="nINT_C5_MaxLoD">Intervals!$CI$5:$CI$103</definedName>
    <definedName name="nINT_C5_MaxUTC">Intervals!$CJ$5:$CJ$103</definedName>
    <definedName name="nINT_C5_NAll">Intervals!$BY$5:$BY$103</definedName>
    <definedName name="nINT_C5_Needs">Intervals!$CX$5:$CX$103</definedName>
    <definedName name="nINT_C5_NEl">Intervals!$CD$5:$CD$103</definedName>
    <definedName name="nINT_C5_NPB">Intervals!$CE$5:$CE$103</definedName>
    <definedName name="nINT_C5_NUnc">Intervals!$CC$5:$CC$103</definedName>
    <definedName name="nINT_C5_NValid">Intervals!$BZ$5:$BZ$103</definedName>
    <definedName name="nINT_C5_PBlock">Intervals!$CU$5:$CU$103</definedName>
    <definedName name="nINT_C5_Row">Intervals!$CS$5:$CS$103</definedName>
    <definedName name="nINT_C5_Selected">Intervals!$CW$5:$CW$103</definedName>
    <definedName name="nINT_C6_Code">Intervals!$EF$5:$EF$103</definedName>
    <definedName name="nINT_C6_Factor">Intervals!$EE$5:$EE$103</definedName>
    <definedName name="nINT_C6_On">Intervals!$ED$5:$ED$103</definedName>
    <definedName name="nINT_Calculation_Mode">Intervals!$I$5:$I$103</definedName>
    <definedName name="nINT_Calculation_Mode_Used">Intervals!$Z$5:$Z$103</definedName>
    <definedName name="nINT_Calculation_Version">Intervals!$AV$5:$AV$103</definedName>
    <definedName name="nINT_Case_ID">Intervals!$B$5:$B$103</definedName>
    <definedName name="nINT_Case_Version">Intervals!$C$5:$C$103</definedName>
    <definedName name="nINT_CaseKey">Intervals!$AX$5:$AX$103</definedName>
    <definedName name="nINT_Constrained_Maximum">Intervals!$AF$5:$AF$103</definedName>
    <definedName name="nINT_Constrained_Minimum">Intervals!$AE$5:$AE$103</definedName>
    <definedName name="nINT_Constraint_Check">Intervals!$AG$5:$AG$103</definedName>
    <definedName name="nINT_Constraint_Not_After">Intervals!$Q$5:$Q$103</definedName>
    <definedName name="nINT_Constraint_Not_Before">Intervals!$P$5:$P$103</definedName>
    <definedName name="nINT_Constraint_Source">Intervals!$R$5:$R$103</definedName>
    <definedName name="nINT_Displayed_Value">Intervals!$U$5:$U$103</definedName>
    <definedName name="nINT_Dup">Intervals!$AZ$5:$AZ$103</definedName>
    <definedName name="nINT_End_Display">Intervals!$AO$5:$AO$103</definedName>
    <definedName name="nINT_End_Err">Intervals!$DO$5:$DO$103</definedName>
    <definedName name="nINT_End_Is_Onset">Intervals!$BH$5:$BH$103</definedName>
    <definedName name="nINT_End_ISO">Intervals!$AN$5:$AN$103</definedName>
    <definedName name="nINT_End_Needs">Intervals!$DP$5:$DP$103</definedName>
    <definedName name="nINT_End_Record_ID">Intervals!$H$5:$H$103</definedName>
    <definedName name="nINT_End_Record_ID_Used">Intervals!$AK$5:$AK$103</definedName>
    <definedName name="nINT_ErrPre">Intervals!$DW$5:$DW$103</definedName>
    <definedName name="nINT_Event_Episode_ID">Intervals!$AQ$5:$AQ$103</definedName>
    <definedName name="nINT_EvtDup">Intervals!$BE$5:$BE$103</definedName>
    <definedName name="nINT_ExpDup">Intervals!$BD$5:$BD$103</definedName>
    <definedName name="nINT_Exposure_Episode_ID">Intervals!$AP$5:$AP$103</definedName>
    <definedName name="nINT_f_AdminSame">Intervals!$FG$5:$FG$103</definedName>
    <definedName name="nINT_f_Approx">Intervals!$FK$5:$FK$103</definedName>
    <definedName name="nINT_f_C7">Intervals!$DT$5:$DT$103</definedName>
    <definedName name="nINT_f_Conflict">Intervals!$FH$5:$FH$103</definedName>
    <definedName name="nINT_f_Interv">Intervals!$FI$5:$FI$103</definedName>
    <definedName name="nINT_f_SameDate">Intervals!$FE$5:$FE$103</definedName>
    <definedName name="nINT_f_SeqUnc">Intervals!$FF$5:$FF$103</definedName>
    <definedName name="nINT_f_TDundef">Intervals!$FJ$5:$FJ$103</definedName>
    <definedName name="nINT_f_TZ">Intervals!$FD$5:$FD$103</definedName>
    <definedName name="nINT_Interval_ID">Intervals!$A$5:$A$103</definedName>
    <definedName name="nINT_Interval_Maximum">Intervals!$X$5:$X$103</definedName>
    <definedName name="nINT_Interval_Minimum">Intervals!$W$5:$W$103</definedName>
    <definedName name="nINT_Interval_Value">Intervals!$V$5:$V$103</definedName>
    <definedName name="nINT_IntervCount">Intervals!$EO$5:$EO$103</definedName>
    <definedName name="nINT_Interventions_Counted">Intervals!$AU$5:$AU$103</definedName>
    <definedName name="nINT_IntvErr">Intervals!$DU$5:$DU$103</definedName>
    <definedName name="nINT_IntvUndated">Intervals!$DV$5:$DV$103</definedName>
    <definedName name="nINT_IV_IDs">Intervals!$FA$5:$FA$103</definedName>
    <definedName name="nINT_IV_List">Intervals!$EZ$5:$EZ$103</definedName>
    <definedName name="nINT_IV_R1">Intervals!$EQ$5:$EQ$103</definedName>
    <definedName name="nINT_IV_R2">Intervals!$ER$5:$ER$103</definedName>
    <definedName name="nINT_IV_R3">Intervals!$ES$5:$ES$103</definedName>
    <definedName name="nINT_K_CErr">Intervals!$EN$5:$EN$103</definedName>
    <definedName name="nINT_K_CHi">Intervals!$EM$5:$EM$103</definedName>
    <definedName name="nINT_K_CLo">Intervals!$EL$5:$EL$103</definedName>
    <definedName name="nINT_K_Err">Intervals!$EG$5:$EG$103</definedName>
    <definedName name="nINT_K_HasC">Intervals!$EK$5:$EK$103</definedName>
    <definedName name="nINT_K_Needs">Intervals!$EH$5:$EH$103</definedName>
    <definedName name="nINT_K_Ok">Intervals!$EI$5:$EI$103</definedName>
    <definedName name="nINT_K_TZU">Intervals!$DY$5:$DY$103</definedName>
    <definedName name="nINT_Key">Intervals!$AY$5:$AY$103</definedName>
    <definedName name="nINT_Label">Intervals!$AI$5:$AI$103</definedName>
    <definedName name="nINT_Limitations">Intervals!$AT$5:$AT$103</definedName>
    <definedName name="nINT_Link_ID">Intervals!$D$5:$D$103</definedName>
    <definedName name="nINT_LinkRow">Intervals!$BA$5:$BA$103</definedName>
    <definedName name="nINT_Lnk_EvtOK">Intervals!$BC$5:$BC$103</definedName>
    <definedName name="nINT_Lnk_ExpOK">Intervals!$BB$5:$BB$103</definedName>
    <definedName name="nINT_Messages">Intervals!$AD$5:$AD$103</definedName>
    <definedName name="nINT_Mode">Intervals!$DS$5:$DS$103</definedName>
    <definedName name="nINT_Mode_Bad">Intervals!$DR$5:$DR$103</definedName>
    <definedName name="nINT_Mode_Finest">Intervals!$DQ$5:$DQ$103</definedName>
    <definedName name="nINT_O_Dup">Intervals!$BJ$5:$BJ$103</definedName>
    <definedName name="nINT_O_Err">Intervals!$BM$5:$BM$103</definedName>
    <definedName name="nINT_O_Hi">Intervals!$BS$5:$BS$103</definedName>
    <definedName name="nINT_O_HT">Intervals!$BN$5:$BN$103</definedName>
    <definedName name="nINT_O_Lab_Note">Intervals!$BV$5:$BV$103</definedName>
    <definedName name="nINT_O_Lo">Intervals!$BR$5:$BR$103</definedName>
    <definedName name="nINT_O_Loc">Intervals!$BP$5:$BP$103</definedName>
    <definedName name="nINT_O_OK">Intervals!$BO$5:$BO$103</definedName>
    <definedName name="nINT_O_Prec">Intervals!$BL$5:$BL$103</definedName>
    <definedName name="nINT_O_Res">Intervals!$BW$5:$BW$103</definedName>
    <definedName name="nINT_O_Row">Intervals!$BI$5:$BI$103</definedName>
    <definedName name="nINT_O_Src">Intervals!$BU$5:$BU$103</definedName>
    <definedName name="nINT_O_Text">Intervals!$BT$5:$BT$103</definedName>
    <definedName name="nINT_O_Type">Intervals!$BK$5:$BK$103</definedName>
    <definedName name="nINT_O_UTC">Intervals!$BQ$5:$BQ$103</definedName>
    <definedName name="nINT_Parameter_Set">Intervals!$AR$5:$AR$103</definedName>
    <definedName name="nINT_PB_List">Intervals!$FC$5:$FC$103</definedName>
    <definedName name="nINT_PB_R1">Intervals!$EW$5:$EW$103</definedName>
    <definedName name="nINT_PB_R2">Intervals!$EX$5:$EX$103</definedName>
    <definedName name="nINT_PB_R3">Intervals!$EY$5:$EY$103</definedName>
    <definedName name="nINT_PreErr">Intervals!$DX$5:$DX$103</definedName>
    <definedName name="nINT_QC_Flags">Intervals!$AC$5:$AC$103</definedName>
    <definedName name="nINT_Reported_Bounds_Justification">Intervals!$O$5:$O$103</definedName>
    <definedName name="nINT_Reported_Lower">Intervals!$L$5:$L$103</definedName>
    <definedName name="nINT_Reported_Text">Intervals!$K$5:$K$103</definedName>
    <definedName name="nINT_Reported_Timing_Result">Intervals!$AH$5:$AH$103</definedName>
    <definedName name="nINT_Reported_Unit">Intervals!$N$5:$N$103</definedName>
    <definedName name="nINT_Reported_Upper">Intervals!$M$5:$M$103</definedName>
    <definedName name="nINT_Result_Display">Intervals!$T$5:$T$103</definedName>
    <definedName name="nINT_Reviewer_Note">Intervals!$S$5:$S$103</definedName>
    <definedName name="nINT_RowEmpty">Intervals!$AW$5:$AW$103</definedName>
    <definedName name="nINT_Sequence_Status">Intervals!$AA$5:$AA$103</definedName>
    <definedName name="nINT_Treatment_Day">Intervals!$AB$5:$AB$103</definedName>
    <definedName name="nINT_Treatment_Day_Convention">Intervals!$J$5:$J$103</definedName>
    <definedName name="nINT_Treatment_Day_Used">Intervals!$EJ$5:$EJ$103</definedName>
    <definedName name="nINT_TX_List">Intervals!$FB$5:$FB$103</definedName>
    <definedName name="nINT_TX_R1">Intervals!$ET$5:$ET$103</definedName>
    <definedName name="nINT_TX_R2">Intervals!$EU$5:$EU$103</definedName>
    <definedName name="nINT_TX_R3">Intervals!$EV$5:$EV$103</definedName>
    <definedName name="nINT_TxNotCounted">Intervals!$EP$5:$EP$103</definedName>
    <definedName name="nINT_TypeOK">Intervals!$BF$5:$BF$103</definedName>
    <definedName name="nINT_Unit">Intervals!$Y$5:$Y$103</definedName>
    <definedName name="nINT_V_Days">Intervals!$EA$5:$EA$103</definedName>
    <definedName name="nINT_V_Max4">Intervals!$EC$5:$EC$103</definedName>
    <definedName name="nINT_V_Min">Intervals!$DZ$5:$DZ$103</definedName>
    <definedName name="nINT_V_Min4">Intervals!$EB$5:$EB$103</definedName>
    <definedName name="nLIST_Action">Lists!$AC$5:$AC$9</definedName>
    <definedName name="nLIST_AdminKind">Lists!$P$5:$P$8</definedName>
    <definedName name="nLIST_AnchorType">Lists!$D$5:$D$11</definedName>
    <definedName name="nLIST_CLUnit">Lists!$J$5:$J$6</definedName>
    <definedName name="nLIST_DaysOnly">Lists!$I$5:$I$5</definedName>
    <definedName name="nLIST_DocType">Lists!$Y$5:$Y$8</definedName>
    <definedName name="nLIST_DoseUnit">Lists!$R$5:$R$11</definedName>
    <definedName name="nLIST_Fit">Lists!$W$5:$W$8</definedName>
    <definedName name="nLIST_HalfLifeType">Lists!$AA$5:$AA$8</definedName>
    <definedName name="nLIST_ItemType">Lists!$AF$5:$AF$6</definedName>
    <definedName name="nLIST_MechStatus">Lists!$AB$5:$AB$6</definedName>
    <definedName name="nLIST_MethodB">Lists!$U$5:$U$7</definedName>
    <definedName name="nLIST_MilestoneType">Lists!$T$5:$T$13</definedName>
    <definedName name="nLIST_MissingReason">Lists!$Z$5:$Z$8</definedName>
    <definedName name="nLIST_Mode">Lists!$E$5:$E$7</definedName>
    <definedName name="nLIST_Months">Lists!$AG$5:$AG$16</definedName>
    <definedName name="nLIST_Offset">Lists!$C$5:$C$43</definedName>
    <definedName name="nLIST_OnsetPrecision">Lists!$B$5:$B$10</definedName>
    <definedName name="nLIST_Precision">Lists!$A$5:$A$9</definedName>
    <definedName name="nLIST_Priority">Lists!$AD$5:$AD$7</definedName>
    <definedName name="nLIST_Q6Use">Lists!$V$5:$V$6</definedName>
    <definedName name="nLIST_QueryStatus">Lists!$AE$5:$AE$8</definedName>
    <definedName name="nLIST_RateUnit">Lists!$Q$5:$Q$6</definedName>
    <definedName name="nLIST_ReportedUnit">Lists!$G$5:$G$11</definedName>
    <definedName name="nLIST_Role">Lists!$S$5:$S$10</definedName>
    <definedName name="nLIST_SCrUnit">Lists!$O$5:$O$7</definedName>
    <definedName name="nLIST_Sex">Lists!$M$5:$M$7</definedName>
    <definedName name="nLIST_Status">Lists!$K$5:$K$9</definedName>
    <definedName name="nLIST_TD">Lists!$F$5:$F$6</definedName>
    <definedName name="nLIST_TimeUnit">Lists!$H$5:$H$7</definedName>
    <definedName name="nLIST_TimingType">Lists!$X$5:$X$10</definedName>
    <definedName name="nLIST_WeightType">Lists!$N$5:$N$8</definedName>
    <definedName name="nLIST_YesNo">Lists!$L$5:$L$6</definedName>
    <definedName name="nLNK_Case_ID">Drug_Event_Links!$A$5:$A$58</definedName>
    <definedName name="nLNK_Case_Version">Drug_Event_Links!$B$5:$B$58</definedName>
    <definedName name="nLNK_Check_Message">Drug_Event_Links!$M$5:$M$58</definedName>
    <definedName name="nLNK_Dup">Drug_Event_Links!$I$5:$I$58</definedName>
    <definedName name="nLNK_Event_Episode_ID">Drug_Event_Links!$E$5:$E$58</definedName>
    <definedName name="nLNK_Evt_Found">Drug_Event_Links!$K$5:$K$58</definedName>
    <definedName name="nLNK_Exp_Found">Drug_Event_Links!$J$5:$J$58</definedName>
    <definedName name="nLNK_Exposure_Episode_ID">Drug_Event_Links!$D$5:$D$58</definedName>
    <definedName name="nLNK_Key">Drug_Event_Links!$H$5:$H$58</definedName>
    <definedName name="nLNK_Link_ID">Drug_Event_Links!$C$5:$C$58</definedName>
    <definedName name="nLNK_Reason">Drug_Event_Links!$F$5:$F$58</definedName>
    <definedName name="nLNK_Record_Check">Drug_Event_Links!$L$5:$L$58</definedName>
    <definedName name="nLNK_Selected_By">Drug_Event_Links!$G$5:$G$58</definedName>
    <definedName name="nMS_Case_ID">Milestones!$A$5:$A$76</definedName>
    <definedName name="nMS_Case_Version">Milestones!$B$5:$B$76</definedName>
    <definedName name="nMS_CaseKey">Milestones!$AD$5:$AD$76</definedName>
    <definedName name="nMS_Check_Message">Milestones!$AH$5:$AH$76</definedName>
    <definedName name="nMS_Description">Milestones!$F$5:$F$76</definedName>
    <definedName name="nMS_Dup">Milestones!$AF$5:$AF$76</definedName>
    <definedName name="nMS_Key">Milestones!$AC$5:$AC$76</definedName>
    <definedName name="nMS_M_Date">Milestones!$N$5:$N$76</definedName>
    <definedName name="nMS_M_Err">Milestones!$V$5:$V$76</definedName>
    <definedName name="nMS_M_Hi">Milestones!$Z$5:$Z$76</definedName>
    <definedName name="nMS_M_HT">Milestones!$W$5:$W$76</definedName>
    <definedName name="nMS_M_Lo">Milestones!$Y$5:$Y$76</definedName>
    <definedName name="nMS_M_Loc">Milestones!$AA$5:$AA$76</definedName>
    <definedName name="nMS_M_Lower">Milestones!$S$5:$S$76</definedName>
    <definedName name="nMS_M_Month">Milestones!$R$5:$R$76</definedName>
    <definedName name="nMS_M_Off">Milestones!$P$5:$P$76</definedName>
    <definedName name="nMS_M_OK">Milestones!$X$5:$X$76</definedName>
    <definedName name="nMS_M_Prec">Milestones!$M$5:$M$76</definedName>
    <definedName name="nMS_M_Src">Milestones!$U$5:$U$76</definedName>
    <definedName name="nMS_M_Text">Milestones!$L$5:$L$76</definedName>
    <definedName name="nMS_M_Time">Milestones!$O$5:$O$76</definedName>
    <definedName name="nMS_M_Upper">Milestones!$T$5:$T$76</definedName>
    <definedName name="nMS_M_UTC">Milestones!$AB$5:$AB$76</definedName>
    <definedName name="nMS_M_Year">Milestones!$Q$5:$Q$76</definedName>
    <definedName name="nMS_Milestone_ID">Milestones!$C$5:$C$76</definedName>
    <definedName name="nMS_Missing_Reason">Milestones!$J$5:$J$76</definedName>
    <definedName name="nMS_Notes">Milestones!$K$5:$K$76</definedName>
    <definedName name="nMS_Record_Check">Milestones!$AG$5:$AG$76</definedName>
    <definedName name="nMS_Reference_Range">Milestones!$I$5:$I$76</definedName>
    <definedName name="nMS_Related_Episode_ID">Milestones!$E$5:$E$76</definedName>
    <definedName name="nMS_Type">Milestones!$D$5:$D$76</definedName>
    <definedName name="nMS_Undated">Milestones!$AE$5:$AE$76</definedName>
    <definedName name="nMS_Unit">Milestones!$H$5:$H$76</definedName>
    <definedName name="nMS_Value">Milestones!$G$5:$G$76</definedName>
    <definedName name="nMSG_Code">Flags_Messages!$A$5:$A$28</definedName>
    <definedName name="nMSG_Text">Flags_Messages!$D$5:$D$28</definedName>
    <definedName name="nQ1_Assumptions">PK_Exercises!$AD$8:$AD$24</definedName>
    <definedName name="nQ1_Calc_ID">PK_Exercises!$A$8:$A$24</definedName>
    <definedName name="nQ1_Calculation_Version">PK_Exercises!$AJ$8:$AJ$24</definedName>
    <definedName name="nQ1_Case_ID">PK_Exercises!$B$8:$B$24</definedName>
    <definedName name="nQ1_Case_Version">PK_Exercises!$C$8:$C$24</definedName>
    <definedName name="nQ1_CaseKey">PK_Exercises!$AL$8:$AL$24</definedName>
    <definedName name="nQ1_Displayed_Value">PK_Exercises!$V$8:$V$24</definedName>
    <definedName name="nQ1_Err">PK_Exercises!$AQ$8:$AQ$24</definedName>
    <definedName name="nQ1_ErrRaw">PK_Exercises!$AO$8:$AO$24</definedName>
    <definedName name="nQ1_Formula_in_words">PK_Exercises!$AI$8:$AI$24</definedName>
    <definedName name="nQ1_Fraction_Remaining">PK_Exercises!$W$8:$W$24</definedName>
    <definedName name="nQ1_G_HL">PK_Exercises!$G$8:$G$24</definedName>
    <definedName name="nQ1_G_HL_Pop">PK_Exercises!$I$8:$I$24</definedName>
    <definedName name="nQ1_G_HL_Src">PK_Exercises!$J$8:$J$24</definedName>
    <definedName name="nQ1_G_HL_Type">PK_Exercises!$H$8:$H$24</definedName>
    <definedName name="nQ1_G_Model">PK_Exercises!$F$8:$F$24</definedName>
    <definedName name="nQ1_G_Ref">PK_Exercises!$K$8:$K$24</definedName>
    <definedName name="nQ1_G_RefText">PK_Exercises!$L$8:$L$24</definedName>
    <definedName name="nQ1_G_Status">PK_Exercises!$M$8:$M$24</definedName>
    <definedName name="nQ1_GateOK">PK_Exercises!$AN$8:$AN$24</definedName>
    <definedName name="nQ1_k_per_hour">PK_Exercises!$Z$8:$Z$24</definedName>
    <definedName name="nQ1_k_per_unit">PK_Exercises!$Y$8:$Y$24</definedName>
    <definedName name="nQ1_Key">PK_Exercises!$AM$8:$AM$24</definedName>
    <definedName name="nQ1_Label_Out">PK_Exercises!$AG$8:$AG$24</definedName>
    <definedName name="nQ1_Mandatory_Text">PK_Exercises!$AH$8:$AH$24</definedName>
    <definedName name="nQ1_Messages">PK_Exercises!$AB$8:$AB$24</definedName>
    <definedName name="nQ1_Needs">PK_Exercises!$AR$8:$AR$24</definedName>
    <definedName name="nQ1_NeedsRaw">PK_Exercises!$AP$8:$AP$24</definedName>
    <definedName name="nQ1_Ok">PK_Exercises!$AS$8:$AS$24</definedName>
    <definedName name="nQ1_Parameter_Set">PK_Exercises!$AC$8:$AC$24</definedName>
    <definedName name="nQ1_Percent_Remaining">PK_Exercises!$X$8:$X$24</definedName>
    <definedName name="nQ1_QC_Flags">PK_Exercises!$AA$8:$AA$24</definedName>
    <definedName name="nQ1_Question">PK_Exercises!$D$8:$D$24</definedName>
    <definedName name="nQ1_Result_Display">PK_Exercises!$U$8:$U$24</definedName>
    <definedName name="nQ1_Results_Text">PK_Exercises!$AE$8:$AE$24</definedName>
    <definedName name="nQ1_RowEmpty">PK_Exercises!$AK$8:$AK$24</definedName>
    <definedName name="nQ1_Stated_Assumptions">PK_Exercises!$E$8:$E$24</definedName>
    <definedName name="nQ1_t">PK_Exercises!$R$8:$R$24</definedName>
    <definedName name="nQ1_t_half">PK_Exercises!$O$8:$O$24</definedName>
    <definedName name="nQ1_t_half_Source">PK_Exercises!$Q$8:$Q$24</definedName>
    <definedName name="nQ1_t_half_Status">PK_Exercises!$P$8:$P$24</definedName>
    <definedName name="nQ1_t_Source">PK_Exercises!$T$8:$T$24</definedName>
    <definedName name="nQ1_t_Status">PK_Exercises!$S$8:$S$24</definedName>
    <definedName name="nQ1_Time_Unit">PK_Exercises!$N$8:$N$24</definedName>
    <definedName name="nQ1_Unit_Out">PK_Exercises!$AF$8:$AF$24</definedName>
    <definedName name="nQ10_AdmCodes">PK_Exercises!$AI$161:$AI$173</definedName>
    <definedName name="nQ10_Assumptions">PK_Exercises!$U$161:$U$173</definedName>
    <definedName name="nQ10_B_BSA">PK_Exercises!$AT$161:$AT$173</definedName>
    <definedName name="nQ10_ByDate">PK_Exercises!$AM$161:$AM$173</definedName>
    <definedName name="nQ10_Calc_ID">PK_Exercises!$A$161:$A$173</definedName>
    <definedName name="nQ10_Calculation_Version">PK_Exercises!$AA$161:$AA$173</definedName>
    <definedName name="nQ10_Case_ID">PK_Exercises!$B$161:$B$173</definedName>
    <definedName name="nQ10_Case_Version">PK_Exercises!$C$161:$C$173</definedName>
    <definedName name="nQ10_CaseKey">PK_Exercises!$AC$161:$AC$173</definedName>
    <definedName name="nQ10_DateCodes">PK_Exercises!$AL$161:$AL$173</definedName>
    <definedName name="nQ10_Displayed_Value">PK_Exercises!$K$161:$K$173</definedName>
    <definedName name="nQ10_DMax">PK_Exercises!$AO$161:$AO$173</definedName>
    <definedName name="nQ10_DMin">PK_Exercises!$AN$161:$AN$173</definedName>
    <definedName name="nQ10_Err">PK_Exercises!$AW$161:$AW$173</definedName>
    <definedName name="nQ10_ErrRaw">PK_Exercises!$AU$161:$AU$173</definedName>
    <definedName name="nQ10_Exposure_Episode_ID">PK_Exercises!$F$161:$F$173</definedName>
    <definedName name="nQ10_FirstRow">PK_Exercises!$AP$161:$AP$173</definedName>
    <definedName name="nQ10_FL">PK_Exercises!$AJ$161:$AJ$173</definedName>
    <definedName name="nQ10_Formula_in_words">PK_Exercises!$Z$161:$Z$173</definedName>
    <definedName name="nQ10_Key">PK_Exercises!$AD$161:$AD$173</definedName>
    <definedName name="nQ10_Label_Out">PK_Exercises!$X$161:$X$173</definedName>
    <definedName name="nQ10_LastRow">PK_Exercises!$AQ$161:$AQ$173</definedName>
    <definedName name="nQ10_Mandatory_Text">PK_Exercises!$Y$161:$Y$173</definedName>
    <definedName name="nQ10_Messages">PK_Exercises!$S$161:$S$173</definedName>
    <definedName name="nQ10_Method_A_mg_m2">PK_Exercises!$L$161:$L$173</definedName>
    <definedName name="nQ10_Method_B">PK_Exercises!$G$161:$G$173</definedName>
    <definedName name="nQ10_Method_B_BSA_m2">PK_Exercises!$P$161:$P$173</definedName>
    <definedName name="nQ10_Method_B_BSA_Source">PK_Exercises!$I$161:$I$173</definedName>
    <definedName name="nQ10_Method_B_mg_m2">PK_Exercises!$Q$161:$Q$173</definedName>
    <definedName name="nQ10_Method_B_Stated_BSA">PK_Exercises!$H$161:$H$173</definedName>
    <definedName name="nQ10_N_Adm">PK_Exercises!$AF$161:$AF$173</definedName>
    <definedName name="nQ10_N_Dated">PK_Exercises!$AK$161:$AK$173</definedName>
    <definedName name="nQ10_N_Doses">PK_Exercises!$N$161:$N$173</definedName>
    <definedName name="nQ10_N_Known">PK_Exercises!$AG$161:$AG$173</definedName>
    <definedName name="nQ10_N_Missing">PK_Exercises!$AH$161:$AH$173</definedName>
    <definedName name="nQ10_N_With_BSA">PK_Exercises!$O$161:$O$173</definedName>
    <definedName name="nQ10_Needs">PK_Exercises!$AX$161:$AX$173</definedName>
    <definedName name="nQ10_NeedsRaw">PK_Exercises!$AV$161:$AV$173</definedName>
    <definedName name="nQ10_Ok">PK_Exercises!$AY$161:$AY$173</definedName>
    <definedName name="nQ10_Parameter_Set">PK_Exercises!$T$161:$T$173</definedName>
    <definedName name="nQ10_QC_Flags">PK_Exercises!$R$161:$R$173</definedName>
    <definedName name="nQ10_Question">PK_Exercises!$D$161:$D$173</definedName>
    <definedName name="nQ10_Result_Display">PK_Exercises!$J$161:$J$173</definedName>
    <definedName name="nQ10_Results_Text">PK_Exercises!$V$161:$V$173</definedName>
    <definedName name="nQ10_RowEmpty">PK_Exercises!$AB$161:$AB$173</definedName>
    <definedName name="nQ10_SelKey">PK_Exercises!$AE$161:$AE$173</definedName>
    <definedName name="nQ10_Stated_Assumptions">PK_Exercises!$E$161:$E$173</definedName>
    <definedName name="nQ10_TieFirst">PK_Exercises!$AR$161:$AR$173</definedName>
    <definedName name="nQ10_TieLast">PK_Exercises!$AS$161:$AS$173</definedName>
    <definedName name="nQ10_Total_Dose_mg">PK_Exercises!$M$161:$M$173</definedName>
    <definedName name="nQ10_Unit_Out">PK_Exercises!$W$161:$W$173</definedName>
    <definedName name="nQ11_Age_Status">PK_Exercises!$I$180:$I$197</definedName>
    <definedName name="nQ11_Age_years">PK_Exercises!$H$180:$H$197</definedName>
    <definedName name="nQ11_Assumptions">PK_Exercises!$AA$180:$AA$197</definedName>
    <definedName name="nQ11_Calc_ID">PK_Exercises!$A$180:$A$197</definedName>
    <definedName name="nQ11_Calculation_Version">PK_Exercises!$AG$180:$AG$197</definedName>
    <definedName name="nQ11_Case_ID">PK_Exercises!$B$180:$B$197</definedName>
    <definedName name="nQ11_Case_Version">PK_Exercises!$C$180:$C$197</definedName>
    <definedName name="nQ11_CaseKey">PK_Exercises!$AI$180:$AI$197</definedName>
    <definedName name="nQ11_CrCl_Female_If_Sex_Not_Recorded">PK_Exercises!$V$180:$V$197</definedName>
    <definedName name="nQ11_CrCl_Male_If_Sex_Not_Recorded">PK_Exercises!$W$180:$W$197</definedName>
    <definedName name="nQ11_CrCl_mL_min">PK_Exercises!$U$180:$U$197</definedName>
    <definedName name="nQ11_Displayed_Value">PK_Exercises!$S$180:$S$197</definedName>
    <definedName name="nQ11_Err">PK_Exercises!$AM$180:$AM$197</definedName>
    <definedName name="nQ11_ErrRaw">PK_Exercises!$AK$180:$AK$197</definedName>
    <definedName name="nQ11_Formula_in_words">PK_Exercises!$AF$180:$AF$197</definedName>
    <definedName name="nQ11_Key">PK_Exercises!$AJ$180:$AJ$197</definedName>
    <definedName name="nQ11_Label_Out">PK_Exercises!$AD$180:$AD$197</definedName>
    <definedName name="nQ11_Mandatory_Text">PK_Exercises!$AE$180:$AE$197</definedName>
    <definedName name="nQ11_Messages">PK_Exercises!$Y$180:$Y$197</definedName>
    <definedName name="nQ11_Needs">PK_Exercises!$AN$180:$AN$197</definedName>
    <definedName name="nQ11_NeedsRaw">PK_Exercises!$AL$180:$AL$197</definedName>
    <definedName name="nQ11_Ok">PK_Exercises!$AO$180:$AO$197</definedName>
    <definedName name="nQ11_Parameter_Set">PK_Exercises!$Z$180:$Z$197</definedName>
    <definedName name="nQ11_QC_Flags">PK_Exercises!$X$180:$X$197</definedName>
    <definedName name="nQ11_Question">PK_Exercises!$D$180:$D$197</definedName>
    <definedName name="nQ11_Result_Display">PK_Exercises!$R$180:$R$197</definedName>
    <definedName name="nQ11_Results_Text">PK_Exercises!$AB$180:$AB$197</definedName>
    <definedName name="nQ11_RowEmpty">PK_Exercises!$AH$180:$AH$197</definedName>
    <definedName name="nQ11_SCr">PK_Exercises!$M$180:$M$197</definedName>
    <definedName name="nQ11_SCr_mg_dL">PK_Exercises!$T$180:$T$197</definedName>
    <definedName name="nQ11_SCr_Source">PK_Exercises!$P$180:$P$197</definedName>
    <definedName name="nQ11_SCr_Status">PK_Exercises!$O$180:$O$197</definedName>
    <definedName name="nQ11_SCr_Unit">PK_Exercises!$N$180:$N$197</definedName>
    <definedName name="nQ11_Sex">PK_Exercises!$Q$180:$Q$197</definedName>
    <definedName name="nQ11_Stability_Basis">PK_Exercises!$G$180:$G$197</definedName>
    <definedName name="nQ11_Stability_Confirmed">PK_Exercises!$F$180:$F$197</definedName>
    <definedName name="nQ11_Stated_Assumptions">PK_Exercises!$E$180:$E$197</definedName>
    <definedName name="nQ11_Unit_Out">PK_Exercises!$AC$180:$AC$197</definedName>
    <definedName name="nQ11_Weight_kg">PK_Exercises!$J$180:$J$197</definedName>
    <definedName name="nQ11_Weight_Status">PK_Exercises!$L$180:$L$197</definedName>
    <definedName name="nQ11_Weight_Type">PK_Exercises!$K$180:$K$197</definedName>
    <definedName name="nQ2_Assumptions">PK_Exercises!$AB$31:$AB$40</definedName>
    <definedName name="nQ2_Calc_ID">PK_Exercises!$A$31:$A$40</definedName>
    <definedName name="nQ2_Calculation_Version">PK_Exercises!$AH$31:$AH$40</definedName>
    <definedName name="nQ2_Case_ID">PK_Exercises!$B$31:$B$40</definedName>
    <definedName name="nQ2_Case_Version">PK_Exercises!$C$31:$C$40</definedName>
    <definedName name="nQ2_CaseKey">PK_Exercises!$AJ$31:$AJ$40</definedName>
    <definedName name="nQ2_Displayed_Value">PK_Exercises!$V$31:$V$40</definedName>
    <definedName name="nQ2_Err">PK_Exercises!$AO$31:$AO$40</definedName>
    <definedName name="nQ2_ErrRaw">PK_Exercises!$AM$31:$AM$40</definedName>
    <definedName name="nQ2_f_target">PK_Exercises!$R$31:$R$40</definedName>
    <definedName name="nQ2_f_target_Source">PK_Exercises!$T$31:$T$40</definedName>
    <definedName name="nQ2_f_target_Status">PK_Exercises!$S$31:$S$40</definedName>
    <definedName name="nQ2_Formula_in_words">PK_Exercises!$AG$31:$AG$40</definedName>
    <definedName name="nQ2_G_HL">PK_Exercises!$G$31:$G$40</definedName>
    <definedName name="nQ2_G_HL_Pop">PK_Exercises!$I$31:$I$40</definedName>
    <definedName name="nQ2_G_HL_Src">PK_Exercises!$J$31:$J$40</definedName>
    <definedName name="nQ2_G_HL_Type">PK_Exercises!$H$31:$H$40</definedName>
    <definedName name="nQ2_G_Model">PK_Exercises!$F$31:$F$40</definedName>
    <definedName name="nQ2_G_Ref">PK_Exercises!$K$31:$K$40</definedName>
    <definedName name="nQ2_G_RefText">PK_Exercises!$L$31:$L$40</definedName>
    <definedName name="nQ2_G_Status">PK_Exercises!$M$31:$M$40</definedName>
    <definedName name="nQ2_GateOK">PK_Exercises!$AL$31:$AL$40</definedName>
    <definedName name="nQ2_Half_Lives">PK_Exercises!$W$31:$W$40</definedName>
    <definedName name="nQ2_Key">PK_Exercises!$AK$31:$AK$40</definedName>
    <definedName name="nQ2_Label_Out">PK_Exercises!$AE$31:$AE$40</definedName>
    <definedName name="nQ2_Mandatory_Text">PK_Exercises!$AF$31:$AF$40</definedName>
    <definedName name="nQ2_Messages">PK_Exercises!$Z$31:$Z$40</definedName>
    <definedName name="nQ2_Needs">PK_Exercises!$AP$31:$AP$40</definedName>
    <definedName name="nQ2_NeedsRaw">PK_Exercises!$AN$31:$AN$40</definedName>
    <definedName name="nQ2_Ok">PK_Exercises!$AQ$31:$AQ$40</definedName>
    <definedName name="nQ2_Parameter_Set">PK_Exercises!$AA$31:$AA$40</definedName>
    <definedName name="nQ2_QC_Flags">PK_Exercises!$Y$31:$Y$40</definedName>
    <definedName name="nQ2_Question">PK_Exercises!$D$31:$D$40</definedName>
    <definedName name="nQ2_Result_Display">PK_Exercises!$U$31:$U$40</definedName>
    <definedName name="nQ2_Results_Text">PK_Exercises!$AC$31:$AC$40</definedName>
    <definedName name="nQ2_RowEmpty">PK_Exercises!$AI$31:$AI$40</definedName>
    <definedName name="nQ2_Stated_Assumptions">PK_Exercises!$E$31:$E$40</definedName>
    <definedName name="nQ2_t_half">PK_Exercises!$O$31:$O$40</definedName>
    <definedName name="nQ2_t_half_Source">PK_Exercises!$Q$31:$Q$40</definedName>
    <definedName name="nQ2_t_half_Status">PK_Exercises!$P$31:$P$40</definedName>
    <definedName name="nQ2_Time_to_f">PK_Exercises!$X$31:$X$40</definedName>
    <definedName name="nQ2_Time_Unit">PK_Exercises!$N$31:$N$40</definedName>
    <definedName name="nQ2_Unit_Out">PK_Exercises!$AD$31:$AD$40</definedName>
    <definedName name="nQ3_Accumulation_Factor">PK_Exercises!$W$47:$W$56</definedName>
    <definedName name="nQ3_Assumptions">PK_Exercises!$AA$47:$AA$56</definedName>
    <definedName name="nQ3_Calc_ID">PK_Exercises!$A$47:$A$56</definedName>
    <definedName name="nQ3_Calculation_Version">PK_Exercises!$AG$47:$AG$56</definedName>
    <definedName name="nQ3_Case_ID">PK_Exercises!$B$47:$B$56</definedName>
    <definedName name="nQ3_Case_Version">PK_Exercises!$C$47:$C$56</definedName>
    <definedName name="nQ3_CaseKey">PK_Exercises!$AI$47:$AI$56</definedName>
    <definedName name="nQ3_Displayed_Value">PK_Exercises!$V$47:$V$56</definedName>
    <definedName name="nQ3_Err">PK_Exercises!$AN$47:$AN$56</definedName>
    <definedName name="nQ3_ErrRaw">PK_Exercises!$AL$47:$AL$56</definedName>
    <definedName name="nQ3_Formula_in_words">PK_Exercises!$AF$47:$AF$56</definedName>
    <definedName name="nQ3_G_HL">PK_Exercises!$G$47:$G$56</definedName>
    <definedName name="nQ3_G_HL_Pop">PK_Exercises!$I$47:$I$56</definedName>
    <definedName name="nQ3_G_HL_Src">PK_Exercises!$J$47:$J$56</definedName>
    <definedName name="nQ3_G_HL_Type">PK_Exercises!$H$47:$H$56</definedName>
    <definedName name="nQ3_G_Model">PK_Exercises!$F$47:$F$56</definedName>
    <definedName name="nQ3_G_Ref">PK_Exercises!$K$47:$K$56</definedName>
    <definedName name="nQ3_G_RefText">PK_Exercises!$L$47:$L$56</definedName>
    <definedName name="nQ3_G_Status">PK_Exercises!$M$47:$M$56</definedName>
    <definedName name="nQ3_GateOK">PK_Exercises!$AK$47:$AK$56</definedName>
    <definedName name="nQ3_Key">PK_Exercises!$AJ$47:$AJ$56</definedName>
    <definedName name="nQ3_Label_Out">PK_Exercises!$AD$47:$AD$56</definedName>
    <definedName name="nQ3_Mandatory_Text">PK_Exercises!$AE$47:$AE$56</definedName>
    <definedName name="nQ3_Messages">PK_Exercises!$Y$47:$Y$56</definedName>
    <definedName name="nQ3_Needs">PK_Exercises!$AO$47:$AO$56</definedName>
    <definedName name="nQ3_NeedsRaw">PK_Exercises!$AM$47:$AM$56</definedName>
    <definedName name="nQ3_Ok">PK_Exercises!$AP$47:$AP$56</definedName>
    <definedName name="nQ3_Parameter_Set">PK_Exercises!$Z$47:$Z$56</definedName>
    <definedName name="nQ3_QC_Flags">PK_Exercises!$X$47:$X$56</definedName>
    <definedName name="nQ3_Question">PK_Exercises!$D$47:$D$56</definedName>
    <definedName name="nQ3_Result_Display">PK_Exercises!$U$47:$U$56</definedName>
    <definedName name="nQ3_Results_Text">PK_Exercises!$AB$47:$AB$56</definedName>
    <definedName name="nQ3_RowEmpty">PK_Exercises!$AH$47:$AH$56</definedName>
    <definedName name="nQ3_Stated_Assumptions">PK_Exercises!$E$47:$E$56</definedName>
    <definedName name="nQ3_t_half">PK_Exercises!$O$47:$O$56</definedName>
    <definedName name="nQ3_t_half_Source">PK_Exercises!$Q$47:$Q$56</definedName>
    <definedName name="nQ3_t_half_Status">PK_Exercises!$P$47:$P$56</definedName>
    <definedName name="nQ3_tau">PK_Exercises!$R$47:$R$56</definedName>
    <definedName name="nQ3_tau_Source">PK_Exercises!$T$47:$T$56</definedName>
    <definedName name="nQ3_tau_Status">PK_Exercises!$S$47:$S$56</definedName>
    <definedName name="nQ3_Time_Unit">PK_Exercises!$N$47:$N$56</definedName>
    <definedName name="nQ3_Unit_Out">PK_Exercises!$AC$47:$AC$56</definedName>
    <definedName name="nQ4_Assumptions">PK_Exercises!$AG$63:$AG$77</definedName>
    <definedName name="nQ4_Calc_ID">PK_Exercises!$A$63:$A$77</definedName>
    <definedName name="nQ4_Calculation_Version">PK_Exercises!$AM$63:$AM$77</definedName>
    <definedName name="nQ4_Case_ID">PK_Exercises!$B$63:$B$77</definedName>
    <definedName name="nQ4_Case_Version">PK_Exercises!$C$63:$C$77</definedName>
    <definedName name="nQ4_CaseKey">PK_Exercises!$AO$63:$AO$77</definedName>
    <definedName name="nQ4_CL_after">PK_Exercises!$R$63:$R$77</definedName>
    <definedName name="nQ4_CL_after_Source">PK_Exercises!$T$63:$T$77</definedName>
    <definedName name="nQ4_CL_after_Status">PK_Exercises!$S$63:$S$77</definedName>
    <definedName name="nQ4_CL_before">PK_Exercises!$O$63:$O$77</definedName>
    <definedName name="nQ4_CL_before_Source">PK_Exercises!$Q$63:$Q$77</definedName>
    <definedName name="nQ4_CL_before_Status">PK_Exercises!$P$63:$P$77</definedName>
    <definedName name="nQ4_CL_Unit">PK_Exercises!$N$63:$N$77</definedName>
    <definedName name="nQ4_Css_Ratio">PK_Exercises!$AA$63:$AA$77</definedName>
    <definedName name="nQ4_Displayed_Value">PK_Exercises!$Y$63:$Y$77</definedName>
    <definedName name="nQ4_Err">PK_Exercises!$AT$63:$AT$77</definedName>
    <definedName name="nQ4_ErrRaw">PK_Exercises!$AR$63:$AR$77</definedName>
    <definedName name="nQ4_Formula_in_words">PK_Exercises!$AL$63:$AL$77</definedName>
    <definedName name="nQ4_G_HL">PK_Exercises!$G$63:$G$77</definedName>
    <definedName name="nQ4_G_HL_Pop">PK_Exercises!$I$63:$I$77</definedName>
    <definedName name="nQ4_G_HL_Src">PK_Exercises!$J$63:$J$77</definedName>
    <definedName name="nQ4_G_HL_Type">PK_Exercises!$H$63:$H$77</definedName>
    <definedName name="nQ4_G_Model">PK_Exercises!$F$63:$F$77</definedName>
    <definedName name="nQ4_G_Ref">PK_Exercises!$K$63:$K$77</definedName>
    <definedName name="nQ4_G_RefText">PK_Exercises!$L$63:$L$77</definedName>
    <definedName name="nQ4_G_Status">PK_Exercises!$M$63:$M$77</definedName>
    <definedName name="nQ4_GateOK">PK_Exercises!$AQ$63:$AQ$77</definedName>
    <definedName name="nQ4_HalfLife_Ratio">PK_Exercises!$Z$63:$Z$77</definedName>
    <definedName name="nQ4_Key">PK_Exercises!$AP$63:$AP$77</definedName>
    <definedName name="nQ4_Label_Out">PK_Exercises!$AJ$63:$AJ$77</definedName>
    <definedName name="nQ4_Mandatory_Text">PK_Exercises!$AK$63:$AK$77</definedName>
    <definedName name="nQ4_Messages">PK_Exercises!$AE$63:$AE$77</definedName>
    <definedName name="nQ4_Needs">PK_Exercises!$AU$63:$AU$77</definedName>
    <definedName name="nQ4_NeedsRaw">PK_Exercises!$AS$63:$AS$77</definedName>
    <definedName name="nQ4_Ok">PK_Exercises!$AV$63:$AV$77</definedName>
    <definedName name="nQ4_Parameter_Set">PK_Exercises!$AF$63:$AF$77</definedName>
    <definedName name="nQ4_QC_Flags">PK_Exercises!$AD$63:$AD$77</definedName>
    <definedName name="nQ4_Question">PK_Exercises!$D$63:$D$77</definedName>
    <definedName name="nQ4_Result_Display">PK_Exercises!$X$63:$X$77</definedName>
    <definedName name="nQ4_Results_Text">PK_Exercises!$AH$63:$AH$77</definedName>
    <definedName name="nQ4_RowEmpty">PK_Exercises!$AN$63:$AN$77</definedName>
    <definedName name="nQ4_Stated_Assumptions">PK_Exercises!$E$63:$E$77</definedName>
    <definedName name="nQ4_t_half_after_h">PK_Exercises!$AC$63:$AC$77</definedName>
    <definedName name="nQ4_t_half_before_h">PK_Exercises!$AB$63:$AB$77</definedName>
    <definedName name="nQ4_Unit_Out">PK_Exercises!$AI$63:$AI$77</definedName>
    <definedName name="nQ4_V_L">PK_Exercises!$U$63:$U$77</definedName>
    <definedName name="nQ4_V_L_Source">PK_Exercises!$W$63:$W$77</definedName>
    <definedName name="nQ4_V_L_Status">PK_Exercises!$V$63:$V$77</definedName>
    <definedName name="nQ5_Assumptions">PK_Exercises!$AE$84:$AE$93</definedName>
    <definedName name="nQ5_Calc_ID">PK_Exercises!$A$84:$A$93</definedName>
    <definedName name="nQ5_Calculation_Version">PK_Exercises!$AK$84:$AK$93</definedName>
    <definedName name="nQ5_Case_ID">PK_Exercises!$B$84:$B$93</definedName>
    <definedName name="nQ5_Case_Version">PK_Exercises!$C$84:$C$93</definedName>
    <definedName name="nQ5_CaseKey">PK_Exercises!$AM$84:$AM$93</definedName>
    <definedName name="nQ5_Displayed_Value">PK_Exercises!$Y$84:$Y$93</definedName>
    <definedName name="nQ5_Err">PK_Exercises!$AR$84:$AR$93</definedName>
    <definedName name="nQ5_ErrRaw">PK_Exercises!$AP$84:$AP$93</definedName>
    <definedName name="nQ5_Formula_in_words">PK_Exercises!$AJ$84:$AJ$93</definedName>
    <definedName name="nQ5_G_HL">PK_Exercises!$G$84:$G$93</definedName>
    <definedName name="nQ5_G_HL_Pop">PK_Exercises!$I$84:$I$93</definedName>
    <definedName name="nQ5_G_HL_Src">PK_Exercises!$J$84:$J$93</definedName>
    <definedName name="nQ5_G_HL_Type">PK_Exercises!$H$84:$H$93</definedName>
    <definedName name="nQ5_G_Model">PK_Exercises!$F$84:$F$93</definedName>
    <definedName name="nQ5_G_Ref">PK_Exercises!$K$84:$K$93</definedName>
    <definedName name="nQ5_G_RefText">PK_Exercises!$L$84:$L$93</definedName>
    <definedName name="nQ5_G_Status">PK_Exercises!$M$84:$M$93</definedName>
    <definedName name="nQ5_GateOK">PK_Exercises!$AO$84:$AO$93</definedName>
    <definedName name="nQ5_Key">PK_Exercises!$AN$84:$AN$93</definedName>
    <definedName name="nQ5_Label_Out">PK_Exercises!$AH$84:$AH$93</definedName>
    <definedName name="nQ5_Mandatory_Text">PK_Exercises!$AI$84:$AI$93</definedName>
    <definedName name="nQ5_Messages">PK_Exercises!$AC$84:$AC$93</definedName>
    <definedName name="nQ5_Metabolite_Percent">PK_Exercises!$AA$84:$AA$93</definedName>
    <definedName name="nQ5_Metabolite_t_half">PK_Exercises!$R$84:$R$93</definedName>
    <definedName name="nQ5_Metabolite_t_half_Source">PK_Exercises!$T$84:$T$93</definedName>
    <definedName name="nQ5_Metabolite_t_half_Status">PK_Exercises!$S$84:$S$93</definedName>
    <definedName name="nQ5_Needs">PK_Exercises!$AS$84:$AS$93</definedName>
    <definedName name="nQ5_NeedsRaw">PK_Exercises!$AQ$84:$AQ$93</definedName>
    <definedName name="nQ5_Ok">PK_Exercises!$AT$84:$AT$93</definedName>
    <definedName name="nQ5_Parameter_Set">PK_Exercises!$AD$84:$AD$93</definedName>
    <definedName name="nQ5_Parent_Percent">PK_Exercises!$Z$84:$Z$93</definedName>
    <definedName name="nQ5_Parent_t_half">PK_Exercises!$O$84:$O$93</definedName>
    <definedName name="nQ5_Parent_t_half_Source">PK_Exercises!$Q$84:$Q$93</definedName>
    <definedName name="nQ5_Parent_t_half_Status">PK_Exercises!$P$84:$P$93</definedName>
    <definedName name="nQ5_QC_Flags">PK_Exercises!$AB$84:$AB$93</definedName>
    <definedName name="nQ5_Question">PK_Exercises!$D$84:$D$93</definedName>
    <definedName name="nQ5_Result_Display">PK_Exercises!$X$84:$X$93</definedName>
    <definedName name="nQ5_Results_Text">PK_Exercises!$AF$84:$AF$93</definedName>
    <definedName name="nQ5_RowEmpty">PK_Exercises!$AL$84:$AL$93</definedName>
    <definedName name="nQ5_Stated_Assumptions">PK_Exercises!$E$84:$E$93</definedName>
    <definedName name="nQ5_t">PK_Exercises!$U$84:$U$93</definedName>
    <definedName name="nQ5_t_Source">PK_Exercises!$W$84:$W$93</definedName>
    <definedName name="nQ5_t_Status">PK_Exercises!$V$84:$V$93</definedName>
    <definedName name="nQ5_Time_Unit">PK_Exercises!$N$84:$N$93</definedName>
    <definedName name="nQ5_Unit_Out">PK_Exercises!$AG$84:$AG$93</definedName>
    <definedName name="nQ6_Assumptions">PD_Profile!$W$28:$W$38</definedName>
    <definedName name="nQ6_Calc_ID">PD_Profile!$A$28:$A$38</definedName>
    <definedName name="nQ6_Calculation_Version">PD_Profile!$AC$28:$AC$38</definedName>
    <definedName name="nQ6_Case_ID">PD_Profile!$B$28:$B$38</definedName>
    <definedName name="nQ6_Case_Version">PD_Profile!$C$28:$C$38</definedName>
    <definedName name="nQ6_CaseKey">PD_Profile!$AE$28:$AE$38</definedName>
    <definedName name="nQ6_Displayed_Value">PD_Profile!$P$28:$P$38</definedName>
    <definedName name="nQ6_Err">PD_Profile!$AI$28:$AI$38</definedName>
    <definedName name="nQ6_ErrRaw">PD_Profile!$AG$28:$AG$38</definedName>
    <definedName name="nQ6_Formula_in_words">PD_Profile!$AB$28:$AB$38</definedName>
    <definedName name="nQ6_Fraction_Q6">PD_Profile!$R$28:$R$38</definedName>
    <definedName name="nQ6_Key">PD_Profile!$AF$28:$AF$38</definedName>
    <definedName name="nQ6_Label_Out">PD_Profile!$Z$28:$Z$38</definedName>
    <definedName name="nQ6_Mandatory_Text">PD_Profile!$AA$28:$AA$38</definedName>
    <definedName name="nQ6_Messages">PD_Profile!$U$28:$U$38</definedName>
    <definedName name="nQ6_Needs">PD_Profile!$AJ$28:$AJ$38</definedName>
    <definedName name="nQ6_NeedsRaw">PD_Profile!$AH$28:$AH$38</definedName>
    <definedName name="nQ6_Ok">PD_Profile!$AK$28:$AK$38</definedName>
    <definedName name="nQ6_Output_Label">PD_Profile!$Q$28:$Q$38</definedName>
    <definedName name="nQ6_Parameter_Set">PD_Profile!$V$28:$V$38</definedName>
    <definedName name="nQ6_Percent_Q6">PD_Profile!$S$28:$S$38</definedName>
    <definedName name="nQ6_QC_Flags">PD_Profile!$T$28:$T$38</definedName>
    <definedName name="nQ6_Question">PD_Profile!$D$28:$D$38</definedName>
    <definedName name="nQ6_Replacement_Half_Time">PD_Profile!$I$28:$I$38</definedName>
    <definedName name="nQ6_Replacement_Half_Time_Source">PD_Profile!$K$28:$K$38</definedName>
    <definedName name="nQ6_Replacement_Half_Time_Status">PD_Profile!$J$28:$J$38</definedName>
    <definedName name="nQ6_Result_Display">PD_Profile!$O$28:$O$38</definedName>
    <definedName name="nQ6_Results_Text">PD_Profile!$X$28:$X$38</definedName>
    <definedName name="nQ6_RowEmpty">PD_Profile!$AD$28:$AD$38</definedName>
    <definedName name="nQ6_Stated_Assumptions">PD_Profile!$E$28:$E$38</definedName>
    <definedName name="nQ6_t">PD_Profile!$L$28:$L$38</definedName>
    <definedName name="nQ6_t_Source">PD_Profile!$N$28:$N$38</definedName>
    <definedName name="nQ6_t_Status">PD_Profile!$M$28:$M$38</definedName>
    <definedName name="nQ6_Teaching_Switch">PD_Profile!$F$28:$F$38</definedName>
    <definedName name="nQ6_Time_Unit">PD_Profile!$H$28:$H$38</definedName>
    <definedName name="nQ6_Unit_Out">PD_Profile!$Y$28:$Y$38</definedName>
    <definedName name="nQ6_Use">PD_Profile!$G$28:$G$38</definedName>
    <definedName name="nQ7_Assumptions">PK_Exercises!$AC$100:$AC$112</definedName>
    <definedName name="nQ7_Calc_ID">PK_Exercises!$A$100:$A$112</definedName>
    <definedName name="nQ7_Calculation_Version">PK_Exercises!$AI$100:$AI$112</definedName>
    <definedName name="nQ7_Case_ID">PK_Exercises!$B$100:$B$112</definedName>
    <definedName name="nQ7_Case_Version">PK_Exercises!$C$100:$C$112</definedName>
    <definedName name="nQ7_CaseKey">PK_Exercises!$AK$100:$AK$112</definedName>
    <definedName name="nQ7_Displayed_Value">PK_Exercises!$V$100:$V$112</definedName>
    <definedName name="nQ7_Err">PK_Exercises!$AP$100:$AP$112</definedName>
    <definedName name="nQ7_ErrRaw">PK_Exercises!$AN$100:$AN$112</definedName>
    <definedName name="nQ7_Formula_in_words">PK_Exercises!$AH$100:$AH$112</definedName>
    <definedName name="nQ7_Fraction_Remaining">PK_Exercises!$W$100:$W$112</definedName>
    <definedName name="nQ7_G_HL">PK_Exercises!$G$100:$G$112</definedName>
    <definedName name="nQ7_G_HL_Pop">PK_Exercises!$I$100:$I$112</definedName>
    <definedName name="nQ7_G_HL_Src">PK_Exercises!$J$100:$J$112</definedName>
    <definedName name="nQ7_G_HL_Type">PK_Exercises!$H$100:$H$112</definedName>
    <definedName name="nQ7_G_Model">PK_Exercises!$F$100:$F$112</definedName>
    <definedName name="nQ7_G_Ref">PK_Exercises!$K$100:$K$112</definedName>
    <definedName name="nQ7_G_RefText">PK_Exercises!$L$100:$L$112</definedName>
    <definedName name="nQ7_G_Status">PK_Exercises!$M$100:$M$112</definedName>
    <definedName name="nQ7_GateOK">PK_Exercises!$AM$100:$AM$112</definedName>
    <definedName name="nQ7_k_per_day">PK_Exercises!$Y$100:$Y$112</definedName>
    <definedName name="nQ7_Key">PK_Exercises!$AL$100:$AL$112</definedName>
    <definedName name="nQ7_Label_Out">PK_Exercises!$AF$100:$AF$112</definedName>
    <definedName name="nQ7_Mandatory_Text">PK_Exercises!$AG$100:$AG$112</definedName>
    <definedName name="nQ7_Messages">PK_Exercises!$AA$100:$AA$112</definedName>
    <definedName name="nQ7_Needs">PK_Exercises!$AQ$100:$AQ$112</definedName>
    <definedName name="nQ7_NeedsRaw">PK_Exercises!$AO$100:$AO$112</definedName>
    <definedName name="nQ7_Ok">PK_Exercises!$AR$100:$AR$112</definedName>
    <definedName name="nQ7_Parameter_Set">PK_Exercises!$AB$100:$AB$112</definedName>
    <definedName name="nQ7_Percent_Remaining">PK_Exercises!$X$100:$X$112</definedName>
    <definedName name="nQ7_QC_Flags">PK_Exercises!$Z$100:$Z$112</definedName>
    <definedName name="nQ7_Question">PK_Exercises!$D$100:$D$112</definedName>
    <definedName name="nQ7_Result_Display">PK_Exercises!$U$100:$U$112</definedName>
    <definedName name="nQ7_Results_Text">PK_Exercises!$AD$100:$AD$112</definedName>
    <definedName name="nQ7_RowEmpty">PK_Exercises!$AJ$100:$AJ$112</definedName>
    <definedName name="nQ7_Stated_Assumptions">PK_Exercises!$E$100:$E$112</definedName>
    <definedName name="nQ7_t">PK_Exercises!$R$100:$R$112</definedName>
    <definedName name="nQ7_t_half">PK_Exercises!$O$100:$O$112</definedName>
    <definedName name="nQ7_t_half_Source">PK_Exercises!$Q$100:$Q$112</definedName>
    <definedName name="nQ7_t_half_Status">PK_Exercises!$P$100:$P$112</definedName>
    <definedName name="nQ7_t_Source">PK_Exercises!$T$100:$T$112</definedName>
    <definedName name="nQ7_t_Status">PK_Exercises!$S$100:$S$112</definedName>
    <definedName name="nQ7_Time_Unit">PK_Exercises!$N$100:$N$112</definedName>
    <definedName name="nQ7_Unit_Out">PK_Exercises!$AE$100:$AE$112</definedName>
    <definedName name="nQ8_Antibody">PK_Exercises!$O$119:$O$136</definedName>
    <definedName name="nQ8_Assumptions">PK_Exercises!$AH$119:$AH$136</definedName>
    <definedName name="nQ8_Calc_ID">PK_Exercises!$A$119:$A$136</definedName>
    <definedName name="nQ8_Calculation_Version">PK_Exercises!$AN$119:$AN$136</definedName>
    <definedName name="nQ8_Case_ID">PK_Exercises!$B$119:$B$136</definedName>
    <definedName name="nQ8_Case_Version">PK_Exercises!$C$119:$C$136</definedName>
    <definedName name="nQ8_CaseKey">PK_Exercises!$AP$119:$AP$136</definedName>
    <definedName name="nQ8_Displayed_Value">PK_Exercises!$Z$119:$Z$136</definedName>
    <definedName name="nQ8_Err">PK_Exercises!$AU$119:$AU$136</definedName>
    <definedName name="nQ8_ErrRaw">PK_Exercises!$AS$119:$AS$136</definedName>
    <definedName name="nQ8_Formula_in_words">PK_Exercises!$AM$119:$AM$136</definedName>
    <definedName name="nQ8_Fraction_at_Lower">PK_Exercises!$AA$119:$AA$136</definedName>
    <definedName name="nQ8_Fraction_at_Upper">PK_Exercises!$AB$119:$AB$136</definedName>
    <definedName name="nQ8_G_HL">PK_Exercises!$G$119:$G$136</definedName>
    <definedName name="nQ8_G_HL_Pop">PK_Exercises!$I$119:$I$136</definedName>
    <definedName name="nQ8_G_HL_Src">PK_Exercises!$J$119:$J$136</definedName>
    <definedName name="nQ8_G_HL_Type">PK_Exercises!$H$119:$H$136</definedName>
    <definedName name="nQ8_G_Model">PK_Exercises!$F$119:$F$136</definedName>
    <definedName name="nQ8_G_Ref">PK_Exercises!$K$119:$K$136</definedName>
    <definedName name="nQ8_G_RefText">PK_Exercises!$L$119:$L$136</definedName>
    <definedName name="nQ8_G_Status">PK_Exercises!$M$119:$M$136</definedName>
    <definedName name="nQ8_GateOK">PK_Exercises!$AR$119:$AR$136</definedName>
    <definedName name="nQ8_Key">PK_Exercises!$AQ$119:$AQ$136</definedName>
    <definedName name="nQ8_Label_Out">PK_Exercises!$AK$119:$AK$136</definedName>
    <definedName name="nQ8_Mandatory_Text">PK_Exercises!$AL$119:$AL$136</definedName>
    <definedName name="nQ8_Messages">PK_Exercises!$AF$119:$AF$136</definedName>
    <definedName name="nQ8_Needs">PK_Exercises!$AV$119:$AV$136</definedName>
    <definedName name="nQ8_NeedsRaw">PK_Exercises!$AT$119:$AT$136</definedName>
    <definedName name="nQ8_Ok">PK_Exercises!$AW$119:$AW$136</definedName>
    <definedName name="nQ8_Parameter_Set">PK_Exercises!$AG$119:$AG$136</definedName>
    <definedName name="nQ8_Percent_at_Lower">PK_Exercises!$AC$119:$AC$136</definedName>
    <definedName name="nQ8_Percent_at_Upper">PK_Exercises!$AD$119:$AD$136</definedName>
    <definedName name="nQ8_QC_Flags">PK_Exercises!$AE$119:$AE$136</definedName>
    <definedName name="nQ8_Question">PK_Exercises!$D$119:$D$136</definedName>
    <definedName name="nQ8_Result_Display">PK_Exercises!$Y$119:$Y$136</definedName>
    <definedName name="nQ8_Results_Text">PK_Exercises!$AI$119:$AI$136</definedName>
    <definedName name="nQ8_RowEmpty">PK_Exercises!$AO$119:$AO$136</definedName>
    <definedName name="nQ8_Stated_Assumptions">PK_Exercises!$E$119:$E$136</definedName>
    <definedName name="nQ8_t">PK_Exercises!$V$119:$V$136</definedName>
    <definedName name="nQ8_t_half_lower">PK_Exercises!$P$119:$P$136</definedName>
    <definedName name="nQ8_t_half_lower_Source">PK_Exercises!$R$119:$R$136</definedName>
    <definedName name="nQ8_t_half_lower_Status">PK_Exercises!$Q$119:$Q$136</definedName>
    <definedName name="nQ8_t_half_upper">PK_Exercises!$S$119:$S$136</definedName>
    <definedName name="nQ8_t_half_upper_Source">PK_Exercises!$U$119:$U$136</definedName>
    <definedName name="nQ8_t_half_upper_Status">PK_Exercises!$T$119:$T$136</definedName>
    <definedName name="nQ8_t_Source">PK_Exercises!$X$119:$X$136</definedName>
    <definedName name="nQ8_t_Status">PK_Exercises!$W$119:$W$136</definedName>
    <definedName name="nQ8_Time_Unit">PK_Exercises!$N$119:$N$136</definedName>
    <definedName name="nQ8_Unit_Out">PK_Exercises!$AJ$119:$AJ$136</definedName>
    <definedName name="nQ9_AllKnown">PK_Exercises!$AL$143:$AL$154</definedName>
    <definedName name="nQ9_Amount_mg">PK_Exercises!$M$143:$M$154</definedName>
    <definedName name="nQ9_Assumptions">PK_Exercises!$T$143:$T$154</definedName>
    <definedName name="nQ9_Calc_ID">PK_Exercises!$A$143:$A$154</definedName>
    <definedName name="nQ9_Calculation_Version">PK_Exercises!$Z$143:$Z$154</definedName>
    <definedName name="nQ9_Case_ID">PK_Exercises!$B$143:$B$154</definedName>
    <definedName name="nQ9_Case_Version">PK_Exercises!$C$143:$C$154</definedName>
    <definedName name="nQ9_CaseKey">PK_Exercises!$AB$143:$AB$154</definedName>
    <definedName name="nQ9_Displayed_Value">PK_Exercises!$L$143:$L$154</definedName>
    <definedName name="nQ9_Err">PK_Exercises!$AT$143:$AT$154</definedName>
    <definedName name="nQ9_ErrRaw">PK_Exercises!$AR$143:$AR$154</definedName>
    <definedName name="nQ9_Exposure_Episode_ID">PK_Exercises!$F$143:$F$154</definedName>
    <definedName name="nQ9_Formula_in_words">PK_Exercises!$Y$143:$Y$154</definedName>
    <definedName name="nQ9_Key">PK_Exercises!$AC$143:$AC$154</definedName>
    <definedName name="nQ9_Label_Out">PK_Exercises!$W$143:$W$154</definedName>
    <definedName name="nQ9_Mandatory_Text">PK_Exercises!$X$143:$X$154</definedName>
    <definedName name="nQ9_Messages">PK_Exercises!$R$143:$R$154</definedName>
    <definedName name="nQ9_N_Seg">PK_Exercises!$AK$143:$AK$154</definedName>
    <definedName name="nQ9_Needs">PK_Exercises!$AU$143:$AU$154</definedName>
    <definedName name="nQ9_NeedsRaw">PK_Exercises!$AS$143:$AS$154</definedName>
    <definedName name="nQ9_O_Err">PK_Exercises!$AF$143:$AF$154</definedName>
    <definedName name="nQ9_O_HT">PK_Exercises!$AG$143:$AG$154</definedName>
    <definedName name="nQ9_O_Loc">PK_Exercises!$AI$143:$AI$154</definedName>
    <definedName name="nQ9_O_OK">PK_Exercises!$AH$143:$AH$154</definedName>
    <definedName name="nQ9_O_Row">PK_Exercises!$AE$143:$AE$154</definedName>
    <definedName name="nQ9_O_UTC">PK_Exercises!$AJ$143:$AJ$154</definedName>
    <definedName name="nQ9_Ok">PK_Exercises!$AV$143:$AV$154</definedName>
    <definedName name="nQ9_Onset_Record_ID">PK_Exercises!$G$143:$G$154</definedName>
    <definedName name="nQ9_OvlAny">PK_Exercises!$AO$143:$AO$154</definedName>
    <definedName name="nQ9_Parameter_Set">PK_Exercises!$S$143:$S$154</definedName>
    <definedName name="nQ9_Percent_of_Planned">PK_Exercises!$N$143:$N$154</definedName>
    <definedName name="nQ9_Planned_Dose_mg">PK_Exercises!$H$143:$H$154</definedName>
    <definedName name="nQ9_Planned_Dose_mg_Source">PK_Exercises!$J$143:$J$154</definedName>
    <definedName name="nQ9_Planned_Dose_mg_Status">PK_Exercises!$I$143:$I$154</definedName>
    <definedName name="nQ9_QC_Flags">PK_Exercises!$Q$143:$Q$154</definedName>
    <definedName name="nQ9_Question">PK_Exercises!$D$143:$D$154</definedName>
    <definedName name="nQ9_Result_Display">PK_Exercises!$K$143:$K$154</definedName>
    <definedName name="nQ9_Results_Text">PK_Exercises!$U$143:$U$154</definedName>
    <definedName name="nQ9_RevAny">PK_Exercises!$AN$143:$AN$154</definedName>
    <definedName name="nQ9_RowEmpty">PK_Exercises!$AA$143:$AA$154</definedName>
    <definedName name="nQ9_SegCodes">PK_Exercises!$AM$143:$AM$154</definedName>
    <definedName name="nQ9_Segments_Used">PK_Exercises!$O$143:$O$154</definedName>
    <definedName name="nQ9_SelKey">PK_Exercises!$AD$143:$AD$154</definedName>
    <definedName name="nQ9_Stated_Assumptions">PK_Exercises!$E$143:$E$154</definedName>
    <definedName name="nQ9_Sum_Loc">PK_Exercises!$AQ$143:$AQ$154</definedName>
    <definedName name="nQ9_Sum_UTC">PK_Exercises!$AP$143:$AP$154</definedName>
    <definedName name="nQ9_Time_Basis">PK_Exercises!$P$143:$P$154</definedName>
    <definedName name="nQ9_Unit_Out">PK_Exercises!$V$143:$V$154</definedName>
    <definedName name="nTOL_ABS">Verification!$D$5</definedName>
    <definedName name="nTOL_REL">Verification!$B$5</definedName>
    <definedName name="nTP_Cand">Timepoints!$AE$5:$AE$459</definedName>
    <definedName name="nTP_CandKey">Timepoints!$AF$5:$AF$459</definedName>
    <definedName name="nTP_Case_ID">Timepoints!$D$5:$D$459</definedName>
    <definedName name="nTP_Case_Key">Timepoints!$F$5:$F$459</definedName>
    <definedName name="nTP_Case_Version">Timepoints!$E$5:$E$459</definedName>
    <definedName name="nTP_Display">Timepoints!$R$5:$R$459</definedName>
    <definedName name="nTP_Dup">Timepoints!$V$5:$V$459</definedName>
    <definedName name="nTP_Episode_ID">Timepoints!$G$5:$G$459</definedName>
    <definedName name="nTP_Err">Timepoints!$J$5:$J$459</definedName>
    <definedName name="nTP_Exact">Timepoints!$AG$5:$AG$459</definedName>
    <definedName name="nTP_Hi">Timepoints!$P$5:$P$459</definedName>
    <definedName name="nTP_Hi_n">Timepoints!$Z$5:$Z$459</definedName>
    <definedName name="nTP_HT">Timepoints!$K$5:$K$459</definedName>
    <definedName name="nTP_ISO">Timepoints!$Q$5:$Q$459</definedName>
    <definedName name="nTP_Key">Timepoints!$A$5:$A$459</definedName>
    <definedName name="nTP_Kind">Timepoints!$AB$5:$AB$459</definedName>
    <definedName name="nTP_Lab_Note">Timepoints!$AH$5:$AH$459</definedName>
    <definedName name="nTP_Label">Timepoints!$AD$5:$AD$459</definedName>
    <definedName name="nTP_Lo">Timepoints!$O$5:$O$459</definedName>
    <definedName name="nTP_Lo_n">Timepoints!$Y$5:$Y$459</definedName>
    <definedName name="nTP_Loc">Timepoints!$M$5:$M$459</definedName>
    <definedName name="nTP_Loc_n">Timepoints!$W$5:$W$459</definedName>
    <definedName name="nTP_Offset">Timepoints!$I$5:$I$459</definedName>
    <definedName name="nTP_OK">Timepoints!$L$5:$L$459</definedName>
    <definedName name="nTP_Original_Text">Timepoints!$S$5:$S$459</definedName>
    <definedName name="nTP_Precision">Timepoints!$H$5:$H$459</definedName>
    <definedName name="nTP_Record_ID">Timepoints!$B$5:$B$459</definedName>
    <definedName name="nTP_Record_Type">Timepoints!$C$5:$C$459</definedName>
    <definedName name="nTP_Role">Timepoints!$AC$5:$AC$459</definedName>
    <definedName name="nTP_RowN">Timepoints!$AA$5:$AA$459</definedName>
    <definedName name="nTP_Source">Timepoints!$T$5:$T$459</definedName>
    <definedName name="nTP_Source_Location">Timepoints!$U$5:$U$459</definedName>
    <definedName name="nTP_UTC">Timepoints!$N$5:$N$459</definedName>
    <definedName name="nTP_UTC_n">Timepoints!$X$5:$X$459</definedName>
    <definedName name="nVER_Overall">Verification!$C$4</definedName>
    <definedName name="_xlnm.Print_Area" localSheetId="19">Examples!$A$1:$L$100</definedName>
    <definedName name="_xlnm.Print_Area" localSheetId="0">Read_Me!$B$1:$C$71</definedName>
    <definedName name="_xlnm.Print_Area" localSheetId="17">Summary!$A$1:$H$86</definedName>
    <definedName name="_xlnm.Print_Area" localSheetId="20">Verification!$A$1:$H$204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T10" i="18" l="1"/>
  <c r="B18" i="18"/>
  <c r="G4" i="18"/>
  <c r="AE157" i="19"/>
  <c r="AE156" i="19"/>
  <c r="AE155" i="19"/>
  <c r="AE154" i="19"/>
  <c r="AE153" i="19"/>
  <c r="AE152" i="19"/>
  <c r="AE151" i="19"/>
  <c r="AE150" i="19"/>
  <c r="AE149" i="19"/>
  <c r="AE148" i="19"/>
  <c r="AE147" i="19"/>
  <c r="AE146" i="19"/>
  <c r="AE145" i="19"/>
  <c r="AE144" i="19"/>
  <c r="AE143" i="19"/>
  <c r="AE142" i="19"/>
  <c r="AE141" i="19"/>
  <c r="AE140" i="19"/>
  <c r="AE139" i="19"/>
  <c r="AE138" i="19"/>
  <c r="AE137" i="19"/>
  <c r="AE136" i="19"/>
  <c r="AE135" i="19"/>
  <c r="AE134" i="19"/>
  <c r="AE133" i="19"/>
  <c r="AE132" i="19"/>
  <c r="AE131" i="19"/>
  <c r="AE130" i="19"/>
  <c r="AE129" i="19"/>
  <c r="AE128" i="19"/>
  <c r="AE127" i="19"/>
  <c r="AE126" i="19"/>
  <c r="AE125" i="19"/>
  <c r="AE124" i="19"/>
  <c r="AE123" i="19"/>
  <c r="AE122" i="19"/>
  <c r="AE121" i="19"/>
  <c r="AE120" i="19"/>
  <c r="AE119" i="19"/>
  <c r="AE118" i="19"/>
  <c r="AE117" i="19"/>
  <c r="AE116" i="19"/>
  <c r="AE115" i="19"/>
  <c r="AE114" i="19"/>
  <c r="AE113" i="19"/>
  <c r="AE112" i="19"/>
  <c r="AE111" i="19"/>
  <c r="AE110" i="19"/>
  <c r="AE109" i="19"/>
  <c r="AE108" i="19"/>
  <c r="AE107" i="19"/>
  <c r="AE106" i="19"/>
  <c r="AE105" i="19"/>
  <c r="AE104" i="19"/>
  <c r="AE103" i="19"/>
  <c r="AE102" i="19"/>
  <c r="AE101" i="19"/>
  <c r="AE100" i="19"/>
  <c r="AE99" i="19"/>
  <c r="AE98" i="19"/>
  <c r="AE97" i="19"/>
  <c r="AE96" i="19"/>
  <c r="AE95" i="19"/>
  <c r="AE94" i="19"/>
  <c r="AE93" i="19"/>
  <c r="AE92" i="19"/>
  <c r="AE91" i="19"/>
  <c r="AE90" i="19"/>
  <c r="AE89" i="19"/>
  <c r="AE88" i="19"/>
  <c r="AE87" i="19"/>
  <c r="AE86" i="19"/>
  <c r="AE85" i="19"/>
  <c r="AE84" i="19"/>
  <c r="AE83" i="19"/>
  <c r="AE82" i="19"/>
  <c r="AE81" i="19"/>
  <c r="AE80" i="19"/>
  <c r="AE79" i="19"/>
  <c r="AE78" i="19"/>
  <c r="AE77" i="19"/>
  <c r="AE76" i="19"/>
  <c r="AE75" i="19"/>
  <c r="AE74" i="19"/>
  <c r="AE73" i="19"/>
  <c r="AE72" i="19"/>
  <c r="AE71" i="19"/>
  <c r="AE70" i="19"/>
  <c r="AE69" i="19"/>
  <c r="AE68" i="19"/>
  <c r="AE67" i="19"/>
  <c r="AE66" i="19"/>
  <c r="AE65" i="19"/>
  <c r="AE64" i="19"/>
  <c r="AE63" i="19"/>
  <c r="AE62" i="19"/>
  <c r="AE61" i="19"/>
  <c r="AE60" i="19"/>
  <c r="AE59" i="19"/>
  <c r="AE58" i="19"/>
  <c r="AE57" i="19"/>
  <c r="AE56" i="19"/>
  <c r="AE55" i="19"/>
  <c r="AE54" i="19"/>
  <c r="AE53" i="19"/>
  <c r="AE52" i="19"/>
  <c r="AE51" i="19"/>
  <c r="AE50" i="19"/>
  <c r="AE49" i="19"/>
  <c r="AE48" i="19"/>
  <c r="AE47" i="19"/>
  <c r="AE46" i="19"/>
  <c r="AE45" i="19"/>
  <c r="AE44" i="19"/>
  <c r="AE43" i="19"/>
  <c r="AE42" i="19"/>
  <c r="AE41" i="19"/>
  <c r="AE40" i="19"/>
  <c r="AE39" i="19"/>
  <c r="AE38" i="19"/>
  <c r="AE37" i="19"/>
  <c r="AE36" i="19"/>
  <c r="AE35" i="19"/>
  <c r="AE34" i="19"/>
  <c r="AE33" i="19"/>
  <c r="AE32" i="19"/>
  <c r="AE31" i="19"/>
  <c r="AE30" i="19"/>
  <c r="AE29" i="19"/>
  <c r="AE28" i="19"/>
  <c r="AE27" i="19"/>
  <c r="AE26" i="19"/>
  <c r="AE25" i="19"/>
  <c r="AE24" i="19"/>
  <c r="AE23" i="19"/>
  <c r="AE22" i="19"/>
  <c r="AE21" i="19"/>
  <c r="AE20" i="19"/>
  <c r="AE19" i="19"/>
  <c r="AE18" i="19"/>
  <c r="AE17" i="19"/>
  <c r="AE16" i="19"/>
  <c r="AE15" i="19"/>
  <c r="AE14" i="19"/>
  <c r="AE13" i="19"/>
  <c r="AE12" i="19"/>
  <c r="AE11" i="19"/>
  <c r="AE10" i="19"/>
  <c r="AE9" i="19"/>
  <c r="AE8" i="19"/>
  <c r="CC8" i="19"/>
  <c r="H4" i="19"/>
  <c r="F45" i="21"/>
  <c r="F44" i="21"/>
  <c r="F43" i="21"/>
  <c r="F42" i="21"/>
  <c r="F41" i="21"/>
  <c r="F40" i="21"/>
  <c r="F39" i="21"/>
  <c r="F38" i="21"/>
  <c r="F37" i="21"/>
  <c r="F36" i="21"/>
  <c r="F35" i="21"/>
  <c r="F34" i="21"/>
  <c r="F33" i="21"/>
  <c r="F32" i="21"/>
  <c r="F31" i="21"/>
  <c r="F30" i="21"/>
  <c r="F29" i="21"/>
  <c r="F28" i="21"/>
  <c r="F27" i="21"/>
  <c r="F26" i="21"/>
  <c r="F25" i="21"/>
  <c r="F24" i="21"/>
  <c r="F23" i="21"/>
  <c r="F22" i="21"/>
  <c r="H21" i="21"/>
  <c r="G21" i="21"/>
  <c r="F21" i="21"/>
  <c r="F20" i="21"/>
  <c r="H19" i="21"/>
  <c r="F19" i="21"/>
  <c r="F18" i="21"/>
  <c r="F17" i="21"/>
  <c r="F16" i="21"/>
  <c r="F15" i="21"/>
  <c r="F14" i="21"/>
  <c r="F13" i="21"/>
  <c r="F12" i="21"/>
  <c r="F11" i="21"/>
  <c r="F10" i="21"/>
  <c r="F9" i="21"/>
  <c r="F8" i="21"/>
  <c r="M21" i="17"/>
  <c r="M22" i="17"/>
  <c r="M23" i="17"/>
  <c r="M5" i="17"/>
  <c r="M6" i="17"/>
  <c r="M7" i="17"/>
  <c r="M8" i="17"/>
  <c r="M9" i="17"/>
  <c r="M10" i="17"/>
  <c r="M11" i="17"/>
  <c r="M12" i="17"/>
  <c r="M13" i="17"/>
  <c r="M14" i="17"/>
  <c r="M15" i="17"/>
  <c r="M16" i="17"/>
  <c r="M17" i="17"/>
  <c r="M18" i="17"/>
  <c r="M19" i="17"/>
  <c r="L5" i="17"/>
  <c r="L6" i="17"/>
  <c r="L7" i="17"/>
  <c r="L8" i="17"/>
  <c r="L9" i="17"/>
  <c r="L10" i="17"/>
  <c r="L11" i="17"/>
  <c r="L12" i="17"/>
  <c r="L13" i="17"/>
  <c r="L14" i="17"/>
  <c r="L15" i="17"/>
  <c r="L16" i="17"/>
  <c r="L17" i="17"/>
  <c r="L18" i="17"/>
  <c r="L19" i="17"/>
  <c r="K5" i="17"/>
  <c r="K6" i="17"/>
  <c r="K7" i="17"/>
  <c r="K8" i="17"/>
  <c r="K9" i="17"/>
  <c r="K10" i="17"/>
  <c r="K11" i="17"/>
  <c r="K12" i="17"/>
  <c r="K13" i="17"/>
  <c r="K14" i="17"/>
  <c r="K15" i="17"/>
  <c r="K16" i="17"/>
  <c r="K17" i="17"/>
  <c r="K18" i="17"/>
  <c r="K19" i="17"/>
  <c r="J21" i="17"/>
  <c r="J22" i="17"/>
  <c r="J23" i="17"/>
  <c r="J5" i="17"/>
  <c r="J6" i="17"/>
  <c r="J7" i="17"/>
  <c r="J8" i="17"/>
  <c r="J9" i="17"/>
  <c r="J10" i="17"/>
  <c r="J11" i="17"/>
  <c r="J12" i="17"/>
  <c r="J13" i="17"/>
  <c r="J14" i="17"/>
  <c r="J15" i="17"/>
  <c r="J16" i="17"/>
  <c r="J17" i="17"/>
  <c r="J18" i="17"/>
  <c r="J19" i="17"/>
  <c r="J36" i="16"/>
  <c r="J37" i="16"/>
  <c r="J38" i="16"/>
  <c r="J39" i="16"/>
  <c r="J40" i="16"/>
  <c r="J41" i="16"/>
  <c r="J5" i="16"/>
  <c r="J6" i="16"/>
  <c r="J7" i="16"/>
  <c r="J8" i="16"/>
  <c r="J9" i="16"/>
  <c r="J10" i="16"/>
  <c r="J11" i="16"/>
  <c r="J12" i="16"/>
  <c r="J13" i="16"/>
  <c r="J14" i="16"/>
  <c r="J15" i="16"/>
  <c r="J16" i="16"/>
  <c r="J17" i="16"/>
  <c r="J18" i="16"/>
  <c r="J19" i="16"/>
  <c r="J20" i="16"/>
  <c r="J21" i="16"/>
  <c r="J22" i="16"/>
  <c r="J23" i="16"/>
  <c r="J24" i="16"/>
  <c r="J25" i="16"/>
  <c r="J26" i="16"/>
  <c r="J27" i="16"/>
  <c r="J28" i="16"/>
  <c r="J29" i="16"/>
  <c r="J30" i="16"/>
  <c r="J31" i="16"/>
  <c r="J32" i="16"/>
  <c r="J33" i="16"/>
  <c r="J34" i="16"/>
  <c r="I21" i="14"/>
  <c r="I22" i="14"/>
  <c r="I23" i="14"/>
  <c r="I5" i="14"/>
  <c r="I6" i="14"/>
  <c r="I7" i="14"/>
  <c r="I8" i="14"/>
  <c r="I9" i="14"/>
  <c r="I10" i="14"/>
  <c r="I11" i="14"/>
  <c r="I12" i="14"/>
  <c r="I13" i="14"/>
  <c r="I14" i="14"/>
  <c r="I15" i="14"/>
  <c r="I16" i="14"/>
  <c r="I17" i="14"/>
  <c r="I18" i="14"/>
  <c r="I19" i="14"/>
  <c r="S31" i="10"/>
  <c r="S32" i="10"/>
  <c r="S33" i="10"/>
  <c r="S34" i="10"/>
  <c r="S35" i="10"/>
  <c r="S5" i="10"/>
  <c r="S6" i="10"/>
  <c r="S7" i="10"/>
  <c r="S8" i="10"/>
  <c r="S9" i="10"/>
  <c r="S10" i="10"/>
  <c r="S11" i="10"/>
  <c r="S12" i="10"/>
  <c r="S13" i="10"/>
  <c r="S14" i="10"/>
  <c r="S15" i="10"/>
  <c r="S16" i="10"/>
  <c r="S17" i="10"/>
  <c r="S18" i="10"/>
  <c r="S19" i="10"/>
  <c r="S20" i="10"/>
  <c r="S21" i="10"/>
  <c r="S22" i="10"/>
  <c r="S23" i="10"/>
  <c r="S24" i="10"/>
  <c r="S25" i="10"/>
  <c r="S26" i="10"/>
  <c r="S27" i="10"/>
  <c r="S28" i="10"/>
  <c r="S29" i="10"/>
  <c r="P36" i="9"/>
  <c r="P37" i="9"/>
  <c r="P38" i="9"/>
  <c r="P39" i="9"/>
  <c r="P40" i="9"/>
  <c r="P41" i="9"/>
  <c r="P42" i="9"/>
  <c r="P43" i="9"/>
  <c r="P44" i="9"/>
  <c r="P45"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AF37" i="12"/>
  <c r="AF38" i="12"/>
  <c r="AF28" i="12"/>
  <c r="AF29" i="12"/>
  <c r="AF30" i="12"/>
  <c r="AF31" i="12"/>
  <c r="AF32" i="12"/>
  <c r="AF33" i="12"/>
  <c r="AF34" i="12"/>
  <c r="AF35" i="12"/>
  <c r="AD37" i="12"/>
  <c r="AD38" i="12"/>
  <c r="AD28" i="12"/>
  <c r="AD29" i="12"/>
  <c r="AD30" i="12"/>
  <c r="AD31" i="12"/>
  <c r="AD32" i="12"/>
  <c r="AD33" i="12"/>
  <c r="AD34" i="12"/>
  <c r="AD35" i="12"/>
  <c r="AC37" i="12"/>
  <c r="AC38" i="12"/>
  <c r="AC28" i="12"/>
  <c r="AC29" i="12"/>
  <c r="AC30" i="12"/>
  <c r="AC31" i="12"/>
  <c r="AC32" i="12"/>
  <c r="AC33" i="12"/>
  <c r="AC34" i="12"/>
  <c r="AC35" i="12"/>
  <c r="AB37" i="12"/>
  <c r="AB38" i="12"/>
  <c r="AB28" i="12"/>
  <c r="AB29" i="12"/>
  <c r="AB30" i="12"/>
  <c r="AB31" i="12"/>
  <c r="AB32" i="12"/>
  <c r="AB33" i="12"/>
  <c r="AB34" i="12"/>
  <c r="AB35" i="12"/>
  <c r="AA37" i="12"/>
  <c r="AA38" i="12"/>
  <c r="AA28" i="12"/>
  <c r="AA29" i="12"/>
  <c r="AA30" i="12"/>
  <c r="AA31" i="12"/>
  <c r="AA32" i="12"/>
  <c r="AA33" i="12"/>
  <c r="AA34" i="12"/>
  <c r="AA35" i="12"/>
  <c r="Z37" i="12"/>
  <c r="Z38" i="12"/>
  <c r="Z28" i="12"/>
  <c r="Z29" i="12"/>
  <c r="Z30" i="12"/>
  <c r="Z31" i="12"/>
  <c r="Z32" i="12"/>
  <c r="Z33" i="12"/>
  <c r="Z34" i="12"/>
  <c r="Z35" i="12"/>
  <c r="W37" i="12"/>
  <c r="W38" i="12"/>
  <c r="W28" i="12"/>
  <c r="W29" i="12"/>
  <c r="W30" i="12"/>
  <c r="W31" i="12"/>
  <c r="W32" i="12"/>
  <c r="W33" i="12"/>
  <c r="W34" i="12"/>
  <c r="W35" i="12"/>
  <c r="V37" i="12"/>
  <c r="V38" i="12"/>
  <c r="V28" i="12"/>
  <c r="V29" i="12"/>
  <c r="V30" i="12"/>
  <c r="V31" i="12"/>
  <c r="V32" i="12"/>
  <c r="V33" i="12"/>
  <c r="V34" i="12"/>
  <c r="V35" i="12"/>
  <c r="U28" i="12"/>
  <c r="U29" i="12"/>
  <c r="U30" i="12"/>
  <c r="U31" i="12"/>
  <c r="U32" i="12"/>
  <c r="U33" i="12"/>
  <c r="U34" i="12"/>
  <c r="U35" i="12"/>
  <c r="T28" i="12"/>
  <c r="T29" i="12"/>
  <c r="T30" i="12"/>
  <c r="T31" i="12"/>
  <c r="T32" i="12"/>
  <c r="T33" i="12"/>
  <c r="T34" i="12"/>
  <c r="T35" i="12"/>
  <c r="P28" i="12"/>
  <c r="P29" i="12"/>
  <c r="P30" i="12"/>
  <c r="P31" i="12"/>
  <c r="P32" i="12"/>
  <c r="P33" i="12"/>
  <c r="P34" i="12"/>
  <c r="P35" i="12"/>
  <c r="O28" i="12"/>
  <c r="O29" i="12"/>
  <c r="O30" i="12"/>
  <c r="O31" i="12"/>
  <c r="O32" i="12"/>
  <c r="O33" i="12"/>
  <c r="O34" i="12"/>
  <c r="O35" i="12"/>
  <c r="AJ193" i="11"/>
  <c r="AJ194" i="11"/>
  <c r="AJ195" i="11"/>
  <c r="AJ196" i="11"/>
  <c r="AJ197" i="11"/>
  <c r="AJ189" i="11"/>
  <c r="AJ190" i="11"/>
  <c r="AJ191" i="11"/>
  <c r="AJ180" i="11"/>
  <c r="AJ181" i="11"/>
  <c r="AJ182" i="11"/>
  <c r="AJ183" i="11"/>
  <c r="AJ184" i="11"/>
  <c r="AJ185" i="11"/>
  <c r="AJ186" i="11"/>
  <c r="AJ187" i="11"/>
  <c r="AH193" i="11"/>
  <c r="AH194" i="11"/>
  <c r="AH195" i="11"/>
  <c r="AH196" i="11"/>
  <c r="AH197" i="11"/>
  <c r="AH189" i="11"/>
  <c r="AH190" i="11"/>
  <c r="AH191" i="11"/>
  <c r="AH180" i="11"/>
  <c r="AH181" i="11"/>
  <c r="AH182" i="11"/>
  <c r="AH183" i="11"/>
  <c r="AH184" i="11"/>
  <c r="AH185" i="11"/>
  <c r="AH186" i="11"/>
  <c r="AH187" i="11"/>
  <c r="AG193" i="11"/>
  <c r="AG194" i="11"/>
  <c r="AG195" i="11"/>
  <c r="AG196" i="11"/>
  <c r="AG197" i="11"/>
  <c r="AG189" i="11"/>
  <c r="AG190" i="11"/>
  <c r="AG191" i="11"/>
  <c r="AG180" i="11"/>
  <c r="AG181" i="11"/>
  <c r="AG182" i="11"/>
  <c r="AG183" i="11"/>
  <c r="AG184" i="11"/>
  <c r="AG185" i="11"/>
  <c r="AG186" i="11"/>
  <c r="AG187" i="11"/>
  <c r="AF193" i="11"/>
  <c r="AF194" i="11"/>
  <c r="AF195" i="11"/>
  <c r="AF196" i="11"/>
  <c r="AF197" i="11"/>
  <c r="AF189" i="11"/>
  <c r="AF190" i="11"/>
  <c r="AF191" i="11"/>
  <c r="AF180" i="11"/>
  <c r="AF181" i="11"/>
  <c r="AF182" i="11"/>
  <c r="AF183" i="11"/>
  <c r="AF184" i="11"/>
  <c r="AF185" i="11"/>
  <c r="AF186" i="11"/>
  <c r="AF187" i="11"/>
  <c r="AE193" i="11"/>
  <c r="AE194" i="11"/>
  <c r="AE195" i="11"/>
  <c r="AE196" i="11"/>
  <c r="AE197" i="11"/>
  <c r="AE189" i="11"/>
  <c r="AE190" i="11"/>
  <c r="AE191" i="11"/>
  <c r="AE180" i="11"/>
  <c r="AE181" i="11"/>
  <c r="AE182" i="11"/>
  <c r="AE183" i="11"/>
  <c r="AE184" i="11"/>
  <c r="AE185" i="11"/>
  <c r="AE186" i="11"/>
  <c r="AE187" i="11"/>
  <c r="AD193" i="11"/>
  <c r="AD194" i="11"/>
  <c r="AD195" i="11"/>
  <c r="AD196" i="11"/>
  <c r="AD197" i="11"/>
  <c r="AD189" i="11"/>
  <c r="AD190" i="11"/>
  <c r="AD191" i="11"/>
  <c r="AD180" i="11"/>
  <c r="AD181" i="11"/>
  <c r="AD182" i="11"/>
  <c r="AD183" i="11"/>
  <c r="AD184" i="11"/>
  <c r="AD185" i="11"/>
  <c r="AD186" i="11"/>
  <c r="AD187" i="11"/>
  <c r="AA193" i="11"/>
  <c r="AA194" i="11"/>
  <c r="AA195" i="11"/>
  <c r="AA196" i="11"/>
  <c r="AA197" i="11"/>
  <c r="AA189" i="11"/>
  <c r="AA190" i="11"/>
  <c r="AA191" i="11"/>
  <c r="AA180" i="11"/>
  <c r="AA181" i="11"/>
  <c r="AA182" i="11"/>
  <c r="AA183" i="11"/>
  <c r="AA184" i="11"/>
  <c r="AA185" i="11"/>
  <c r="AA186" i="11"/>
  <c r="AA187" i="11"/>
  <c r="Z193" i="11"/>
  <c r="Z194" i="11"/>
  <c r="Z195" i="11"/>
  <c r="Z196" i="11"/>
  <c r="Z197" i="11"/>
  <c r="Z189" i="11"/>
  <c r="Z190" i="11"/>
  <c r="Z191" i="11"/>
  <c r="Z180" i="11"/>
  <c r="Z181" i="11"/>
  <c r="Z182" i="11"/>
  <c r="Z183" i="11"/>
  <c r="Z184" i="11"/>
  <c r="Z185" i="11"/>
  <c r="Z186" i="11"/>
  <c r="Z187" i="11"/>
  <c r="Y180" i="11"/>
  <c r="Y181" i="11"/>
  <c r="Y182" i="11"/>
  <c r="Y183" i="11"/>
  <c r="Y184" i="11"/>
  <c r="Y185" i="11"/>
  <c r="Y186" i="11"/>
  <c r="Y187" i="11"/>
  <c r="X180" i="11"/>
  <c r="X181" i="11"/>
  <c r="X182" i="11"/>
  <c r="X183" i="11"/>
  <c r="X184" i="11"/>
  <c r="X185" i="11"/>
  <c r="X186" i="11"/>
  <c r="X187" i="11"/>
  <c r="S180" i="11"/>
  <c r="S181" i="11"/>
  <c r="S182" i="11"/>
  <c r="S183" i="11"/>
  <c r="S184" i="11"/>
  <c r="S185" i="11"/>
  <c r="S186" i="11"/>
  <c r="S187" i="11"/>
  <c r="R180" i="11"/>
  <c r="R181" i="11"/>
  <c r="R182" i="11"/>
  <c r="R183" i="11"/>
  <c r="R184" i="11"/>
  <c r="R185" i="11"/>
  <c r="R186" i="11"/>
  <c r="R187" i="11"/>
  <c r="AJ170" i="11"/>
  <c r="AJ171" i="11"/>
  <c r="AJ172" i="11"/>
  <c r="AJ173" i="11"/>
  <c r="AJ161" i="11"/>
  <c r="AJ162" i="11"/>
  <c r="AJ163" i="11"/>
  <c r="AJ164" i="11"/>
  <c r="AJ165" i="11"/>
  <c r="AJ166" i="11"/>
  <c r="AJ167" i="11"/>
  <c r="AJ168" i="11"/>
  <c r="AF167" i="11"/>
  <c r="AE170" i="11"/>
  <c r="AE171" i="11"/>
  <c r="AE172" i="11"/>
  <c r="AE173" i="11"/>
  <c r="AE161" i="11"/>
  <c r="AE162" i="11"/>
  <c r="AE163" i="11"/>
  <c r="AE164" i="11"/>
  <c r="AE165" i="11"/>
  <c r="AE166" i="11"/>
  <c r="AE167" i="11"/>
  <c r="AE168" i="11"/>
  <c r="AD170" i="11"/>
  <c r="AD171" i="11"/>
  <c r="AD172" i="11"/>
  <c r="AD173" i="11"/>
  <c r="AD161" i="11"/>
  <c r="AD162" i="11"/>
  <c r="AD163" i="11"/>
  <c r="AD164" i="11"/>
  <c r="AD165" i="11"/>
  <c r="AD166" i="11"/>
  <c r="AD167" i="11"/>
  <c r="AD168" i="11"/>
  <c r="AB170" i="11"/>
  <c r="AB171" i="11"/>
  <c r="AB172" i="11"/>
  <c r="AB173" i="11"/>
  <c r="AB161" i="11"/>
  <c r="AB162" i="11"/>
  <c r="AB163" i="11"/>
  <c r="AB164" i="11"/>
  <c r="AB165" i="11"/>
  <c r="AB166" i="11"/>
  <c r="AB167" i="11"/>
  <c r="AB168" i="11"/>
  <c r="AA170" i="11"/>
  <c r="AA171" i="11"/>
  <c r="AA172" i="11"/>
  <c r="AA173" i="11"/>
  <c r="AA161" i="11"/>
  <c r="AA162" i="11"/>
  <c r="AA163" i="11"/>
  <c r="AA164" i="11"/>
  <c r="AA165" i="11"/>
  <c r="AA167" i="11"/>
  <c r="AA168" i="11"/>
  <c r="Z170" i="11"/>
  <c r="Z171" i="11"/>
  <c r="Z172" i="11"/>
  <c r="Z173" i="11"/>
  <c r="Z161" i="11"/>
  <c r="Z162" i="11"/>
  <c r="Z163" i="11"/>
  <c r="Z164" i="11"/>
  <c r="Z165" i="11"/>
  <c r="Z167" i="11"/>
  <c r="Z168" i="11"/>
  <c r="Y170" i="11"/>
  <c r="Y171" i="11"/>
  <c r="Y172" i="11"/>
  <c r="Y173" i="11"/>
  <c r="Y161" i="11"/>
  <c r="Y162" i="11"/>
  <c r="Y163" i="11"/>
  <c r="Y164" i="11"/>
  <c r="Y165" i="11"/>
  <c r="Y167" i="11"/>
  <c r="Y168" i="11"/>
  <c r="X170" i="11"/>
  <c r="X171" i="11"/>
  <c r="X172" i="11"/>
  <c r="X173" i="11"/>
  <c r="X161" i="11"/>
  <c r="X162" i="11"/>
  <c r="X163" i="11"/>
  <c r="X164" i="11"/>
  <c r="X165" i="11"/>
  <c r="X167" i="11"/>
  <c r="X168" i="11"/>
  <c r="U161" i="11"/>
  <c r="U162" i="11"/>
  <c r="U163" i="11"/>
  <c r="U164" i="11"/>
  <c r="U165" i="11"/>
  <c r="U167" i="11"/>
  <c r="U168" i="11"/>
  <c r="T161" i="11"/>
  <c r="T162" i="11"/>
  <c r="T163" i="11"/>
  <c r="T164" i="11"/>
  <c r="T165" i="11"/>
  <c r="T167" i="11"/>
  <c r="T168" i="11"/>
  <c r="S161" i="11"/>
  <c r="S162" i="11"/>
  <c r="S163" i="11"/>
  <c r="S164" i="11"/>
  <c r="S165" i="11"/>
  <c r="S167" i="11"/>
  <c r="S168" i="11"/>
  <c r="R161" i="11"/>
  <c r="R162" i="11"/>
  <c r="R163" i="11"/>
  <c r="R164" i="11"/>
  <c r="R165" i="11"/>
  <c r="R167" i="11"/>
  <c r="R168" i="11"/>
  <c r="O170" i="11"/>
  <c r="O171" i="11"/>
  <c r="O172" i="11"/>
  <c r="O173" i="11"/>
  <c r="O161" i="11"/>
  <c r="O162" i="11"/>
  <c r="O163" i="11"/>
  <c r="O164" i="11"/>
  <c r="O165" i="11"/>
  <c r="O167" i="11"/>
  <c r="O168" i="11"/>
  <c r="N161" i="11"/>
  <c r="N162" i="11"/>
  <c r="N163" i="11"/>
  <c r="N164" i="11"/>
  <c r="N165" i="11"/>
  <c r="N167" i="11"/>
  <c r="N168" i="11"/>
  <c r="K161" i="11"/>
  <c r="K162" i="11"/>
  <c r="K163" i="11"/>
  <c r="K164" i="11"/>
  <c r="K165" i="11"/>
  <c r="K167" i="11"/>
  <c r="K168" i="11"/>
  <c r="J161" i="11"/>
  <c r="J162" i="11"/>
  <c r="J163" i="11"/>
  <c r="J164" i="11"/>
  <c r="J165" i="11"/>
  <c r="J167" i="11"/>
  <c r="J168" i="11"/>
  <c r="AE143" i="11"/>
  <c r="AE144" i="11"/>
  <c r="AE145" i="11"/>
  <c r="AE146" i="11"/>
  <c r="AE147" i="11"/>
  <c r="AE148" i="11"/>
  <c r="AE149" i="11"/>
  <c r="AE150" i="11"/>
  <c r="AD154" i="11"/>
  <c r="AD152" i="11"/>
  <c r="AD143" i="11"/>
  <c r="AD144" i="11"/>
  <c r="AD145" i="11"/>
  <c r="AD146" i="11"/>
  <c r="AD147" i="11"/>
  <c r="AD148" i="11"/>
  <c r="AD149" i="11"/>
  <c r="AD150" i="11"/>
  <c r="AC154" i="11"/>
  <c r="AC152" i="11"/>
  <c r="AC143" i="11"/>
  <c r="AC144" i="11"/>
  <c r="AC145" i="11"/>
  <c r="AC146" i="11"/>
  <c r="AC147" i="11"/>
  <c r="AC148" i="11"/>
  <c r="AC149" i="11"/>
  <c r="AC150" i="11"/>
  <c r="AA154" i="11"/>
  <c r="AA152" i="11"/>
  <c r="AA143" i="11"/>
  <c r="AA144" i="11"/>
  <c r="AA145" i="11"/>
  <c r="AA146" i="11"/>
  <c r="AA147" i="11"/>
  <c r="AA148" i="11"/>
  <c r="AA149" i="11"/>
  <c r="AA150" i="11"/>
  <c r="Z154" i="11"/>
  <c r="Z152" i="11"/>
  <c r="Z143" i="11"/>
  <c r="Z144" i="11"/>
  <c r="Z145" i="11"/>
  <c r="Z146" i="11"/>
  <c r="Z147" i="11"/>
  <c r="Z148" i="11"/>
  <c r="Z149" i="11"/>
  <c r="Z150" i="11"/>
  <c r="Y154" i="11"/>
  <c r="Y152" i="11"/>
  <c r="Y143" i="11"/>
  <c r="Y144" i="11"/>
  <c r="Y145" i="11"/>
  <c r="Y146" i="11"/>
  <c r="Y147" i="11"/>
  <c r="Y148" i="11"/>
  <c r="Y149" i="11"/>
  <c r="Y150" i="11"/>
  <c r="X154" i="11"/>
  <c r="X152" i="11"/>
  <c r="X143" i="11"/>
  <c r="X144" i="11"/>
  <c r="X145" i="11"/>
  <c r="X146" i="11"/>
  <c r="X147" i="11"/>
  <c r="X148" i="11"/>
  <c r="X149" i="11"/>
  <c r="X150" i="11"/>
  <c r="W154" i="11"/>
  <c r="W152" i="11"/>
  <c r="W143" i="11"/>
  <c r="W144" i="11"/>
  <c r="W145" i="11"/>
  <c r="W146" i="11"/>
  <c r="W147" i="11"/>
  <c r="W148" i="11"/>
  <c r="W149" i="11"/>
  <c r="W150" i="11"/>
  <c r="T154" i="11"/>
  <c r="T152" i="11"/>
  <c r="T143" i="11"/>
  <c r="T144" i="11"/>
  <c r="T145" i="11"/>
  <c r="T146" i="11"/>
  <c r="T147" i="11"/>
  <c r="T148" i="11"/>
  <c r="T149" i="11"/>
  <c r="T150" i="11"/>
  <c r="S143" i="11"/>
  <c r="S144" i="11"/>
  <c r="S145" i="11"/>
  <c r="S146" i="11"/>
  <c r="S147" i="11"/>
  <c r="S148" i="11"/>
  <c r="S149" i="11"/>
  <c r="S150" i="11"/>
  <c r="R143" i="11"/>
  <c r="R144" i="11"/>
  <c r="R145" i="11"/>
  <c r="R146" i="11"/>
  <c r="R147" i="11"/>
  <c r="R148" i="11"/>
  <c r="R149" i="11"/>
  <c r="R150" i="11"/>
  <c r="Q143" i="11"/>
  <c r="Q144" i="11"/>
  <c r="Q145" i="11"/>
  <c r="Q146" i="11"/>
  <c r="Q147" i="11"/>
  <c r="Q148" i="11"/>
  <c r="Q149" i="11"/>
  <c r="Q150" i="11"/>
  <c r="O143" i="11"/>
  <c r="O144" i="11"/>
  <c r="O145" i="11"/>
  <c r="O146" i="11"/>
  <c r="O147" i="11"/>
  <c r="O148" i="11"/>
  <c r="O149" i="11"/>
  <c r="O150" i="11"/>
  <c r="L143" i="11"/>
  <c r="L144" i="11"/>
  <c r="L145" i="11"/>
  <c r="L146" i="11"/>
  <c r="L147" i="11"/>
  <c r="L148" i="11"/>
  <c r="L149" i="11"/>
  <c r="L150" i="11"/>
  <c r="K143" i="11"/>
  <c r="K144" i="11"/>
  <c r="K145" i="11"/>
  <c r="K146" i="11"/>
  <c r="K147" i="11"/>
  <c r="K148" i="11"/>
  <c r="K149" i="11"/>
  <c r="K150" i="11"/>
  <c r="AR135" i="11"/>
  <c r="AR136" i="11"/>
  <c r="AR128" i="11"/>
  <c r="AR129" i="11"/>
  <c r="AR130" i="11"/>
  <c r="AR131" i="11"/>
  <c r="AR132" i="11"/>
  <c r="AR133" i="11"/>
  <c r="AR119" i="11"/>
  <c r="AR120" i="11"/>
  <c r="AR121" i="11"/>
  <c r="AR122" i="11"/>
  <c r="AR123" i="11"/>
  <c r="AR124" i="11"/>
  <c r="AR125" i="11"/>
  <c r="AR126" i="11"/>
  <c r="AQ135" i="11"/>
  <c r="AQ136" i="11"/>
  <c r="AQ128" i="11"/>
  <c r="AQ129" i="11"/>
  <c r="AQ130" i="11"/>
  <c r="AQ131" i="11"/>
  <c r="AQ132" i="11"/>
  <c r="AQ133" i="11"/>
  <c r="AQ119" i="11"/>
  <c r="AQ120" i="11"/>
  <c r="AQ121" i="11"/>
  <c r="AQ122" i="11"/>
  <c r="AQ123" i="11"/>
  <c r="AQ124" i="11"/>
  <c r="AQ125" i="11"/>
  <c r="AQ126" i="11"/>
  <c r="AO135" i="11"/>
  <c r="AO136" i="11"/>
  <c r="AO128" i="11"/>
  <c r="AO129" i="11"/>
  <c r="AO130" i="11"/>
  <c r="AO131" i="11"/>
  <c r="AO132" i="11"/>
  <c r="AO133" i="11"/>
  <c r="AO119" i="11"/>
  <c r="AO120" i="11"/>
  <c r="AO121" i="11"/>
  <c r="AO122" i="11"/>
  <c r="AO123" i="11"/>
  <c r="AO124" i="11"/>
  <c r="AO125" i="11"/>
  <c r="AO126" i="11"/>
  <c r="AN135" i="11"/>
  <c r="AN136" i="11"/>
  <c r="AN128" i="11"/>
  <c r="AN129" i="11"/>
  <c r="AN130" i="11"/>
  <c r="AN131" i="11"/>
  <c r="AN132" i="11"/>
  <c r="AN133" i="11"/>
  <c r="AN119" i="11"/>
  <c r="AN120" i="11"/>
  <c r="AN122" i="11"/>
  <c r="AN123" i="11"/>
  <c r="AN124" i="11"/>
  <c r="AN125" i="11"/>
  <c r="AN126" i="11"/>
  <c r="AM135" i="11"/>
  <c r="AM136" i="11"/>
  <c r="AM128" i="11"/>
  <c r="AM129" i="11"/>
  <c r="AM130" i="11"/>
  <c r="AM131" i="11"/>
  <c r="AM132" i="11"/>
  <c r="AM133" i="11"/>
  <c r="AM119" i="11"/>
  <c r="AM120" i="11"/>
  <c r="AM122" i="11"/>
  <c r="AM123" i="11"/>
  <c r="AM124" i="11"/>
  <c r="AM125" i="11"/>
  <c r="AM126" i="11"/>
  <c r="AL135" i="11"/>
  <c r="AL136" i="11"/>
  <c r="AL128" i="11"/>
  <c r="AL129" i="11"/>
  <c r="AL130" i="11"/>
  <c r="AL131" i="11"/>
  <c r="AL132" i="11"/>
  <c r="AL133" i="11"/>
  <c r="AL119" i="11"/>
  <c r="AL120" i="11"/>
  <c r="AL122" i="11"/>
  <c r="AL123" i="11"/>
  <c r="AL124" i="11"/>
  <c r="AL125" i="11"/>
  <c r="AL126" i="11"/>
  <c r="AK135" i="11"/>
  <c r="AK136" i="11"/>
  <c r="AK128" i="11"/>
  <c r="AK129" i="11"/>
  <c r="AK130" i="11"/>
  <c r="AK131" i="11"/>
  <c r="AK132" i="11"/>
  <c r="AK133" i="11"/>
  <c r="AK119" i="11"/>
  <c r="AK120" i="11"/>
  <c r="AK122" i="11"/>
  <c r="AK123" i="11"/>
  <c r="AK124" i="11"/>
  <c r="AK125" i="11"/>
  <c r="AK126" i="11"/>
  <c r="AH135" i="11"/>
  <c r="AH136" i="11"/>
  <c r="AH128" i="11"/>
  <c r="AH129" i="11"/>
  <c r="AH130" i="11"/>
  <c r="AH131" i="11"/>
  <c r="AH132" i="11"/>
  <c r="AH133" i="11"/>
  <c r="AH119" i="11"/>
  <c r="AH120" i="11"/>
  <c r="AH122" i="11"/>
  <c r="AH123" i="11"/>
  <c r="AH124" i="11"/>
  <c r="AH125" i="11"/>
  <c r="AH126" i="11"/>
  <c r="AG135" i="11"/>
  <c r="AG136" i="11"/>
  <c r="AG128" i="11"/>
  <c r="AG129" i="11"/>
  <c r="AG130" i="11"/>
  <c r="AG131" i="11"/>
  <c r="AG132" i="11"/>
  <c r="AG133" i="11"/>
  <c r="AG119" i="11"/>
  <c r="AG120" i="11"/>
  <c r="AG122" i="11"/>
  <c r="AG123" i="11"/>
  <c r="AG124" i="11"/>
  <c r="AG125" i="11"/>
  <c r="AG126" i="11"/>
  <c r="AF119" i="11"/>
  <c r="AF120" i="11"/>
  <c r="AF122" i="11"/>
  <c r="AF123" i="11"/>
  <c r="AF124" i="11"/>
  <c r="AF125" i="11"/>
  <c r="AF126" i="11"/>
  <c r="AE119" i="11"/>
  <c r="AE120" i="11"/>
  <c r="AE122" i="11"/>
  <c r="AE123" i="11"/>
  <c r="AE124" i="11"/>
  <c r="AE125" i="11"/>
  <c r="AE126" i="11"/>
  <c r="Z119" i="11"/>
  <c r="Z120" i="11"/>
  <c r="Z122" i="11"/>
  <c r="Z123" i="11"/>
  <c r="Z124" i="11"/>
  <c r="Z125" i="11"/>
  <c r="Z126" i="11"/>
  <c r="Y119" i="11"/>
  <c r="Y120" i="11"/>
  <c r="Y122" i="11"/>
  <c r="Y123" i="11"/>
  <c r="Y124" i="11"/>
  <c r="Y125" i="11"/>
  <c r="Y126" i="11"/>
  <c r="AM112" i="11"/>
  <c r="AM109" i="11"/>
  <c r="AM110" i="11"/>
  <c r="AM100" i="11"/>
  <c r="AM101" i="11"/>
  <c r="AM102" i="11"/>
  <c r="AM103" i="11"/>
  <c r="AM104" i="11"/>
  <c r="AM105" i="11"/>
  <c r="AM106" i="11"/>
  <c r="AM107" i="11"/>
  <c r="AL112" i="11"/>
  <c r="AL109" i="11"/>
  <c r="AL110" i="11"/>
  <c r="AL100" i="11"/>
  <c r="AL101" i="11"/>
  <c r="AL102" i="11"/>
  <c r="AL103" i="11"/>
  <c r="AL104" i="11"/>
  <c r="AL105" i="11"/>
  <c r="AL106" i="11"/>
  <c r="AL107" i="11"/>
  <c r="AJ112" i="11"/>
  <c r="AJ109" i="11"/>
  <c r="AJ110" i="11"/>
  <c r="AJ100" i="11"/>
  <c r="AJ101" i="11"/>
  <c r="AJ102" i="11"/>
  <c r="AJ103" i="11"/>
  <c r="AJ104" i="11"/>
  <c r="AJ105" i="11"/>
  <c r="AJ106" i="11"/>
  <c r="AJ107" i="11"/>
  <c r="AI112" i="11"/>
  <c r="AI109" i="11"/>
  <c r="AI110" i="11"/>
  <c r="AI100" i="11"/>
  <c r="AI101" i="11"/>
  <c r="AI102" i="11"/>
  <c r="AI103" i="11"/>
  <c r="AI104" i="11"/>
  <c r="AI105" i="11"/>
  <c r="AI106" i="11"/>
  <c r="AI107" i="11"/>
  <c r="AH112" i="11"/>
  <c r="AH109" i="11"/>
  <c r="AH110" i="11"/>
  <c r="AH100" i="11"/>
  <c r="AH101" i="11"/>
  <c r="AH102" i="11"/>
  <c r="AH103" i="11"/>
  <c r="AH104" i="11"/>
  <c r="AH105" i="11"/>
  <c r="AH106" i="11"/>
  <c r="AH107" i="11"/>
  <c r="AG112" i="11"/>
  <c r="AO93" i="11"/>
  <c r="AE93" i="11" s="1"/>
  <c r="AO84" i="11"/>
  <c r="AO85" i="11"/>
  <c r="AO86" i="11"/>
  <c r="AO87" i="11"/>
  <c r="AO88" i="11"/>
  <c r="AO89" i="11"/>
  <c r="AO90" i="11"/>
  <c r="AO91" i="11"/>
  <c r="AN93" i="11"/>
  <c r="AN84" i="11"/>
  <c r="AN85" i="11"/>
  <c r="AN86" i="11"/>
  <c r="AN87" i="11"/>
  <c r="AN88" i="11"/>
  <c r="AN89" i="11"/>
  <c r="AN90" i="11"/>
  <c r="AN91" i="11"/>
  <c r="AL93" i="11"/>
  <c r="AL84" i="11"/>
  <c r="AL85" i="11"/>
  <c r="AL86" i="11"/>
  <c r="AL87" i="11"/>
  <c r="AL88" i="11"/>
  <c r="AL89" i="11"/>
  <c r="AL90" i="11"/>
  <c r="AL91" i="11"/>
  <c r="AK93" i="11"/>
  <c r="AK84" i="11"/>
  <c r="AK85" i="11"/>
  <c r="AK86" i="11"/>
  <c r="AK87" i="11"/>
  <c r="AK88" i="11"/>
  <c r="AK89" i="11"/>
  <c r="AK90" i="11"/>
  <c r="AK91" i="11"/>
  <c r="AJ93" i="11"/>
  <c r="AJ84" i="11"/>
  <c r="AJ85" i="11"/>
  <c r="AJ86" i="11"/>
  <c r="AJ87" i="11"/>
  <c r="AJ88" i="11"/>
  <c r="AJ89" i="11"/>
  <c r="AJ90" i="11"/>
  <c r="AJ91" i="11"/>
  <c r="AI93" i="11"/>
  <c r="AI84" i="11"/>
  <c r="AI85" i="11"/>
  <c r="AI86" i="11"/>
  <c r="AI87" i="11"/>
  <c r="AI88" i="11"/>
  <c r="AI89" i="11"/>
  <c r="AI90" i="11"/>
  <c r="AI91" i="11"/>
  <c r="AH93" i="11"/>
  <c r="AH84" i="11"/>
  <c r="AH85" i="11"/>
  <c r="AH86" i="11"/>
  <c r="AH87" i="11"/>
  <c r="AH88" i="11"/>
  <c r="AH89" i="11"/>
  <c r="AH90" i="11"/>
  <c r="AH91" i="11"/>
  <c r="AE84" i="11"/>
  <c r="AE85" i="11"/>
  <c r="AE86" i="11"/>
  <c r="AE87" i="11"/>
  <c r="AE88" i="11"/>
  <c r="AE89" i="11"/>
  <c r="AE90" i="11"/>
  <c r="AE91" i="11"/>
  <c r="AD93" i="11"/>
  <c r="AD84" i="11"/>
  <c r="AD85" i="11"/>
  <c r="AD86" i="11"/>
  <c r="AD87" i="11"/>
  <c r="AD88" i="11"/>
  <c r="AD89" i="11"/>
  <c r="AD90" i="11"/>
  <c r="AD91" i="11"/>
  <c r="AC84" i="11"/>
  <c r="AC85" i="11"/>
  <c r="AC86" i="11"/>
  <c r="AC87" i="11"/>
  <c r="AC88" i="11"/>
  <c r="AC89" i="11"/>
  <c r="AC90" i="11"/>
  <c r="AC91" i="11"/>
  <c r="AB84" i="11"/>
  <c r="AB85" i="11"/>
  <c r="AB86" i="11"/>
  <c r="AB87" i="11"/>
  <c r="AB88" i="11"/>
  <c r="AB89" i="11"/>
  <c r="AB90" i="11"/>
  <c r="AB91" i="11"/>
  <c r="Y84" i="11"/>
  <c r="Y85" i="11"/>
  <c r="Y86" i="11"/>
  <c r="Y87" i="11"/>
  <c r="Y88" i="11"/>
  <c r="Y89" i="11"/>
  <c r="Y90" i="11"/>
  <c r="Y91" i="11"/>
  <c r="X84" i="11"/>
  <c r="X85" i="11"/>
  <c r="X86" i="11"/>
  <c r="X87" i="11"/>
  <c r="X88" i="11"/>
  <c r="X89" i="11"/>
  <c r="X90" i="11"/>
  <c r="X91" i="11"/>
  <c r="AQ77" i="11"/>
  <c r="AQ72" i="11"/>
  <c r="AQ73" i="11"/>
  <c r="AQ74" i="11"/>
  <c r="AQ75" i="11"/>
  <c r="AQ63" i="11"/>
  <c r="AQ64" i="11"/>
  <c r="AQ65" i="11"/>
  <c r="AQ66" i="11"/>
  <c r="AQ67" i="11"/>
  <c r="AQ68" i="11"/>
  <c r="AQ69" i="11"/>
  <c r="AQ70" i="11"/>
  <c r="AP77" i="11"/>
  <c r="AP72" i="11"/>
  <c r="AP73" i="11"/>
  <c r="AP74" i="11"/>
  <c r="AP75" i="11"/>
  <c r="AP63" i="11"/>
  <c r="AP64" i="11"/>
  <c r="AP65" i="11"/>
  <c r="AP66" i="11"/>
  <c r="AP67" i="11"/>
  <c r="AP68" i="11"/>
  <c r="AP69" i="11"/>
  <c r="AP70" i="11"/>
  <c r="AN77" i="11"/>
  <c r="AN72" i="11"/>
  <c r="AN73" i="11"/>
  <c r="AN74" i="11"/>
  <c r="AN75" i="11"/>
  <c r="AN63" i="11"/>
  <c r="AN64" i="11"/>
  <c r="AN65" i="11"/>
  <c r="AN66" i="11"/>
  <c r="AN67" i="11"/>
  <c r="AN68" i="11"/>
  <c r="AN69" i="11"/>
  <c r="AN70" i="11"/>
  <c r="AM77" i="11"/>
  <c r="AM72" i="11"/>
  <c r="AM73" i="11"/>
  <c r="AM74" i="11"/>
  <c r="AM75" i="11"/>
  <c r="AM63" i="11"/>
  <c r="AM64" i="11"/>
  <c r="AM65" i="11"/>
  <c r="AM66" i="11"/>
  <c r="AM67" i="11"/>
  <c r="AM68" i="11"/>
  <c r="AM69" i="11"/>
  <c r="AM70" i="11"/>
  <c r="AL77" i="11"/>
  <c r="AL72" i="11"/>
  <c r="AL73" i="11"/>
  <c r="AL74" i="11"/>
  <c r="AL75" i="11"/>
  <c r="AL63" i="11"/>
  <c r="AL64" i="11"/>
  <c r="AL65" i="11"/>
  <c r="AL66" i="11"/>
  <c r="AL67" i="11"/>
  <c r="AL68" i="11"/>
  <c r="AL69" i="11"/>
  <c r="AL70" i="11"/>
  <c r="AK77" i="11"/>
  <c r="AK72" i="11"/>
  <c r="AK73" i="11"/>
  <c r="AK74" i="11"/>
  <c r="AK75" i="11"/>
  <c r="AK63" i="11"/>
  <c r="AK64" i="11"/>
  <c r="AK65" i="11"/>
  <c r="AK66" i="11"/>
  <c r="AK67" i="11"/>
  <c r="AK68" i="11"/>
  <c r="AK69" i="11"/>
  <c r="AK70" i="11"/>
  <c r="AJ77" i="11"/>
  <c r="AJ72" i="11"/>
  <c r="AJ73" i="11"/>
  <c r="AJ74" i="11"/>
  <c r="AJ75" i="11"/>
  <c r="AJ63" i="11"/>
  <c r="AJ64" i="11"/>
  <c r="AJ65" i="11"/>
  <c r="AJ66" i="11"/>
  <c r="AJ67" i="11"/>
  <c r="AJ68" i="11"/>
  <c r="AJ69" i="11"/>
  <c r="AJ70" i="11"/>
  <c r="AG77" i="11"/>
  <c r="AG72" i="11"/>
  <c r="AG73" i="11"/>
  <c r="AG74" i="11"/>
  <c r="AG75" i="11"/>
  <c r="AG63" i="11"/>
  <c r="AG64" i="11"/>
  <c r="AG65" i="11"/>
  <c r="AG66" i="11"/>
  <c r="AG67" i="11"/>
  <c r="AG68" i="11"/>
  <c r="AG69" i="11"/>
  <c r="AG70" i="11"/>
  <c r="AF77" i="11"/>
  <c r="AF72" i="11"/>
  <c r="AF73" i="11"/>
  <c r="AF74" i="11"/>
  <c r="AF75" i="11"/>
  <c r="AF63" i="11"/>
  <c r="AF64" i="11"/>
  <c r="AF65" i="11"/>
  <c r="AF66" i="11"/>
  <c r="AF67" i="11"/>
  <c r="AF68" i="11"/>
  <c r="AF69" i="11"/>
  <c r="AF70" i="11"/>
  <c r="AE63" i="11"/>
  <c r="AE64" i="11"/>
  <c r="AE65" i="11"/>
  <c r="AE66" i="11"/>
  <c r="AE67" i="11"/>
  <c r="AE68" i="11"/>
  <c r="AE69" i="11"/>
  <c r="AE70" i="11"/>
  <c r="AD63" i="11"/>
  <c r="AD64" i="11"/>
  <c r="AD65" i="11"/>
  <c r="AD66" i="11"/>
  <c r="AD67" i="11"/>
  <c r="AD68" i="11"/>
  <c r="AD69" i="11"/>
  <c r="AD70" i="11"/>
  <c r="Y63" i="11"/>
  <c r="Y64" i="11"/>
  <c r="Y65" i="11"/>
  <c r="Y66" i="11"/>
  <c r="Y67" i="11"/>
  <c r="Y68" i="11"/>
  <c r="Y69" i="11"/>
  <c r="Y70" i="11"/>
  <c r="X63" i="11"/>
  <c r="X64" i="11"/>
  <c r="X65" i="11"/>
  <c r="X66" i="11"/>
  <c r="X67" i="11"/>
  <c r="X68" i="11"/>
  <c r="X69" i="11"/>
  <c r="X70" i="11"/>
  <c r="AK56" i="11"/>
  <c r="AK47" i="11"/>
  <c r="AK48" i="11"/>
  <c r="AK49" i="11"/>
  <c r="AK50" i="11"/>
  <c r="AK51" i="11"/>
  <c r="AK52" i="11"/>
  <c r="AK53" i="11"/>
  <c r="AK54" i="11"/>
  <c r="AJ56" i="11"/>
  <c r="AJ47" i="11"/>
  <c r="AJ48" i="11"/>
  <c r="AJ49" i="11"/>
  <c r="AJ50" i="11"/>
  <c r="AJ51" i="11"/>
  <c r="AJ52" i="11"/>
  <c r="AJ53" i="11"/>
  <c r="AJ54" i="11"/>
  <c r="AH56" i="11"/>
  <c r="AH47" i="11"/>
  <c r="AH48" i="11"/>
  <c r="AH49" i="11"/>
  <c r="AH50" i="11"/>
  <c r="AH51" i="11"/>
  <c r="AH52" i="11"/>
  <c r="AH53" i="11"/>
  <c r="AH54" i="11"/>
  <c r="AG56" i="11"/>
  <c r="AG47" i="11"/>
  <c r="AG48" i="11"/>
  <c r="AG49" i="11"/>
  <c r="AG50" i="11"/>
  <c r="AG51" i="11"/>
  <c r="AG52" i="11"/>
  <c r="AG53" i="11"/>
  <c r="AG54" i="11"/>
  <c r="AF56" i="11"/>
  <c r="AF47" i="11"/>
  <c r="AF48" i="11"/>
  <c r="AF49" i="11"/>
  <c r="AF50" i="11"/>
  <c r="AF51" i="11"/>
  <c r="AF52" i="11"/>
  <c r="AF53" i="11"/>
  <c r="AF54" i="11"/>
  <c r="AE56" i="11"/>
  <c r="AE47" i="11"/>
  <c r="AE48" i="11"/>
  <c r="AE49" i="11"/>
  <c r="AE50" i="11"/>
  <c r="AE51" i="11"/>
  <c r="AE52" i="11"/>
  <c r="AE53" i="11"/>
  <c r="AE54" i="11"/>
  <c r="AD56" i="11"/>
  <c r="AD47" i="11"/>
  <c r="AD48" i="11"/>
  <c r="AD49" i="11"/>
  <c r="AD50" i="11"/>
  <c r="AD51" i="11"/>
  <c r="AD52" i="11"/>
  <c r="AD53" i="11"/>
  <c r="AD54" i="11"/>
  <c r="AA56" i="11"/>
  <c r="AA47" i="11"/>
  <c r="AA48" i="11"/>
  <c r="AA49" i="11"/>
  <c r="AA50" i="11"/>
  <c r="AA51" i="11"/>
  <c r="AA52" i="11"/>
  <c r="AA53" i="11"/>
  <c r="AA54" i="11"/>
  <c r="Z56" i="11"/>
  <c r="Z47" i="11"/>
  <c r="Z48" i="11"/>
  <c r="Z49" i="11"/>
  <c r="Z50" i="11"/>
  <c r="Z51" i="11"/>
  <c r="Z52" i="11"/>
  <c r="Z53" i="11"/>
  <c r="Z54" i="11"/>
  <c r="Y47" i="11"/>
  <c r="Y48" i="11"/>
  <c r="Y49" i="11"/>
  <c r="Y50" i="11"/>
  <c r="Y51" i="11"/>
  <c r="Y52" i="11"/>
  <c r="Y53" i="11"/>
  <c r="Y54" i="11"/>
  <c r="X47" i="11"/>
  <c r="X48" i="11"/>
  <c r="X49" i="11"/>
  <c r="X50" i="11"/>
  <c r="X51" i="11"/>
  <c r="X52" i="11"/>
  <c r="X53" i="11"/>
  <c r="X54" i="11"/>
  <c r="V47" i="11"/>
  <c r="V48" i="11"/>
  <c r="V49" i="11"/>
  <c r="V50" i="11"/>
  <c r="V51" i="11"/>
  <c r="V52" i="11"/>
  <c r="V53" i="11"/>
  <c r="V54" i="11"/>
  <c r="U47" i="11"/>
  <c r="U48" i="11"/>
  <c r="U49" i="11"/>
  <c r="U50" i="11"/>
  <c r="U51" i="11"/>
  <c r="U52" i="11"/>
  <c r="U53" i="11"/>
  <c r="U54" i="11"/>
  <c r="AL40" i="11"/>
  <c r="AL31" i="11"/>
  <c r="AL32" i="11"/>
  <c r="AL33" i="11"/>
  <c r="AL34" i="11"/>
  <c r="AL35" i="11"/>
  <c r="AL36" i="11"/>
  <c r="AL37" i="11"/>
  <c r="AL38" i="11"/>
  <c r="AK40" i="11"/>
  <c r="AK31" i="11"/>
  <c r="AK32" i="11"/>
  <c r="AK33" i="11"/>
  <c r="AK34" i="11"/>
  <c r="AK35" i="11"/>
  <c r="AK36" i="11"/>
  <c r="AK37" i="11"/>
  <c r="AK38" i="11"/>
  <c r="AI40" i="11"/>
  <c r="AI31" i="11"/>
  <c r="AI32" i="11"/>
  <c r="AI33" i="11"/>
  <c r="AI34" i="11"/>
  <c r="AI35" i="11"/>
  <c r="AI36" i="11"/>
  <c r="AI37" i="11"/>
  <c r="AI38" i="11"/>
  <c r="AH40" i="11"/>
  <c r="AH31" i="11"/>
  <c r="AH32" i="11"/>
  <c r="AH33" i="11"/>
  <c r="AH34" i="11"/>
  <c r="AH35" i="11"/>
  <c r="AH36" i="11"/>
  <c r="AH37" i="11"/>
  <c r="AH38" i="11"/>
  <c r="AG40" i="11"/>
  <c r="AG31" i="11"/>
  <c r="AG32" i="11"/>
  <c r="AG33" i="11"/>
  <c r="AG34" i="11"/>
  <c r="AG35" i="11"/>
  <c r="AG36" i="11"/>
  <c r="AG37" i="11"/>
  <c r="AG38" i="11"/>
  <c r="AF40" i="11"/>
  <c r="AF31" i="11"/>
  <c r="AF32" i="11"/>
  <c r="AF33" i="11"/>
  <c r="AF34" i="11"/>
  <c r="AF35" i="11"/>
  <c r="AF36" i="11"/>
  <c r="AF37" i="11"/>
  <c r="AF38" i="11"/>
  <c r="AE40" i="11"/>
  <c r="AE31" i="11"/>
  <c r="AE32" i="11"/>
  <c r="AE33" i="11"/>
  <c r="AE34" i="11"/>
  <c r="AE35" i="11"/>
  <c r="AE36" i="11"/>
  <c r="AE37" i="11"/>
  <c r="AE38" i="11"/>
  <c r="AB40" i="11"/>
  <c r="AB31" i="11"/>
  <c r="AB32" i="11"/>
  <c r="AB33" i="11"/>
  <c r="AB34" i="11"/>
  <c r="AB35" i="11"/>
  <c r="AB36" i="11"/>
  <c r="AB37" i="11"/>
  <c r="AB38" i="11"/>
  <c r="AA40" i="11"/>
  <c r="AA31" i="11"/>
  <c r="AA32" i="11"/>
  <c r="AA33" i="11"/>
  <c r="AA34" i="11"/>
  <c r="AA35" i="11"/>
  <c r="AA36" i="11"/>
  <c r="AA37" i="11"/>
  <c r="AA38" i="11"/>
  <c r="Z31" i="11"/>
  <c r="Z32" i="11"/>
  <c r="Z33" i="11"/>
  <c r="Z34" i="11"/>
  <c r="Z35" i="11"/>
  <c r="Z36" i="11"/>
  <c r="Z37" i="11"/>
  <c r="Z38" i="11"/>
  <c r="Y31" i="11"/>
  <c r="Y32" i="11"/>
  <c r="Y33" i="11"/>
  <c r="Y34" i="11"/>
  <c r="Y35" i="11"/>
  <c r="Y36" i="11"/>
  <c r="Y37" i="11"/>
  <c r="Y38" i="11"/>
  <c r="V31" i="11"/>
  <c r="V32" i="11"/>
  <c r="V33" i="11"/>
  <c r="V34" i="11"/>
  <c r="V35" i="11"/>
  <c r="V36" i="11"/>
  <c r="V37" i="11"/>
  <c r="V38" i="11"/>
  <c r="U31" i="11"/>
  <c r="U32" i="11"/>
  <c r="U33" i="11"/>
  <c r="U34" i="11"/>
  <c r="U35" i="11"/>
  <c r="U36" i="11"/>
  <c r="U37" i="11"/>
  <c r="U38" i="11"/>
  <c r="AN17" i="11"/>
  <c r="AN18" i="11"/>
  <c r="AN19" i="11"/>
  <c r="AN20" i="11"/>
  <c r="AN21" i="11"/>
  <c r="AN22" i="11"/>
  <c r="AN23" i="11"/>
  <c r="AN24" i="11"/>
  <c r="AN8" i="11"/>
  <c r="AN9" i="11"/>
  <c r="AN10" i="11"/>
  <c r="AN11" i="11"/>
  <c r="AN12" i="11"/>
  <c r="AN13" i="11"/>
  <c r="AN14" i="11"/>
  <c r="AN15" i="11"/>
  <c r="AM17" i="11"/>
  <c r="AM18" i="11"/>
  <c r="AM19" i="11"/>
  <c r="AM20" i="11"/>
  <c r="AM21" i="11"/>
  <c r="AM22" i="11"/>
  <c r="AM23" i="11"/>
  <c r="AM24" i="11"/>
  <c r="AM8" i="11"/>
  <c r="G131" i="21" s="1"/>
  <c r="H131" i="21" s="1"/>
  <c r="AM9" i="11"/>
  <c r="AM10" i="11"/>
  <c r="AM11" i="11"/>
  <c r="AM12" i="11"/>
  <c r="AM13" i="11"/>
  <c r="AM14" i="11"/>
  <c r="AM15" i="11"/>
  <c r="AK17" i="11"/>
  <c r="AK18" i="11"/>
  <c r="AK19" i="11"/>
  <c r="AK20" i="11"/>
  <c r="AK21" i="11"/>
  <c r="AK22" i="11"/>
  <c r="AK23" i="11"/>
  <c r="AK24" i="11"/>
  <c r="AK8" i="11"/>
  <c r="AK9" i="11"/>
  <c r="AK10" i="11"/>
  <c r="AK11" i="11"/>
  <c r="AK12" i="11"/>
  <c r="AK13" i="11"/>
  <c r="AK14" i="11"/>
  <c r="AK15" i="11"/>
  <c r="AJ17" i="11"/>
  <c r="AJ18" i="11"/>
  <c r="AJ19" i="11"/>
  <c r="AJ20" i="11"/>
  <c r="AJ21" i="11"/>
  <c r="AJ22" i="11"/>
  <c r="AJ23" i="11"/>
  <c r="AJ24" i="11"/>
  <c r="AJ8" i="11"/>
  <c r="AJ9" i="11"/>
  <c r="AJ10" i="11"/>
  <c r="AJ11" i="11"/>
  <c r="AJ12" i="11"/>
  <c r="AJ13" i="11"/>
  <c r="AJ14" i="11"/>
  <c r="AJ15" i="11"/>
  <c r="AI17" i="11"/>
  <c r="AI18" i="11"/>
  <c r="AI19" i="11"/>
  <c r="AI20" i="11"/>
  <c r="AI21" i="11"/>
  <c r="AI22" i="11"/>
  <c r="AI23" i="11"/>
  <c r="AI24" i="11"/>
  <c r="AI8" i="11"/>
  <c r="AI9" i="11"/>
  <c r="AI10" i="11"/>
  <c r="AI11" i="11"/>
  <c r="AI12" i="11"/>
  <c r="AI13" i="11"/>
  <c r="AI14" i="11"/>
  <c r="AI15" i="11"/>
  <c r="AH17" i="11"/>
  <c r="AH18" i="11"/>
  <c r="AH19" i="11"/>
  <c r="AH20" i="11"/>
  <c r="AH21" i="11"/>
  <c r="AH22" i="11"/>
  <c r="AH23" i="11"/>
  <c r="AH24" i="11"/>
  <c r="AH8" i="11"/>
  <c r="AH9" i="11"/>
  <c r="AH10" i="11"/>
  <c r="AH11" i="11"/>
  <c r="AH12" i="11"/>
  <c r="AH13" i="11"/>
  <c r="AH14" i="11"/>
  <c r="AH15" i="11"/>
  <c r="AG17" i="11"/>
  <c r="AG18" i="11"/>
  <c r="AG19" i="11"/>
  <c r="AG20" i="11"/>
  <c r="AG21" i="11"/>
  <c r="AG22" i="11"/>
  <c r="AG23" i="11"/>
  <c r="AG24" i="11"/>
  <c r="AG8" i="11"/>
  <c r="AG9" i="11"/>
  <c r="AG10" i="11"/>
  <c r="AG11" i="11"/>
  <c r="AG12" i="11"/>
  <c r="AG13" i="11"/>
  <c r="AG14" i="11"/>
  <c r="AG15" i="11"/>
  <c r="AD17" i="11"/>
  <c r="AD18" i="11"/>
  <c r="AD19" i="11"/>
  <c r="AD20" i="11"/>
  <c r="AD21" i="11"/>
  <c r="AD22" i="11"/>
  <c r="AD23" i="11"/>
  <c r="AD24" i="11"/>
  <c r="AD8" i="11"/>
  <c r="AD9" i="11"/>
  <c r="AD10" i="11"/>
  <c r="AD11" i="11"/>
  <c r="AD12" i="11"/>
  <c r="AD13" i="11"/>
  <c r="AD14" i="11"/>
  <c r="AD15" i="11"/>
  <c r="AC17" i="11"/>
  <c r="AC18" i="11"/>
  <c r="AC19" i="11"/>
  <c r="AC20" i="11"/>
  <c r="AC21" i="11"/>
  <c r="AC22" i="11"/>
  <c r="AC23" i="11"/>
  <c r="AC24" i="11"/>
  <c r="AC8" i="11"/>
  <c r="AC9" i="11"/>
  <c r="AC10" i="11"/>
  <c r="AC11" i="11"/>
  <c r="AC12" i="11"/>
  <c r="AC13" i="11"/>
  <c r="AC14" i="11"/>
  <c r="AC15" i="11"/>
  <c r="AB8" i="11"/>
  <c r="AB9" i="11"/>
  <c r="AB10" i="11"/>
  <c r="AB11" i="11"/>
  <c r="AB12" i="11"/>
  <c r="AB13" i="11"/>
  <c r="AB14" i="11"/>
  <c r="AB15" i="11"/>
  <c r="AA8" i="11"/>
  <c r="AA9" i="11"/>
  <c r="AA10" i="11"/>
  <c r="AA11" i="11"/>
  <c r="AA12" i="11"/>
  <c r="AA13" i="11"/>
  <c r="AA14" i="11"/>
  <c r="AA15" i="11"/>
  <c r="V8" i="11"/>
  <c r="V9" i="11"/>
  <c r="V10" i="11"/>
  <c r="V11" i="11"/>
  <c r="V12" i="11"/>
  <c r="V13" i="11"/>
  <c r="V14" i="11"/>
  <c r="V15" i="11"/>
  <c r="U8" i="11"/>
  <c r="U9" i="11"/>
  <c r="U10" i="11"/>
  <c r="U11" i="11"/>
  <c r="U12" i="11"/>
  <c r="U13" i="11"/>
  <c r="U14" i="11"/>
  <c r="U15" i="11"/>
  <c r="EG5" i="8"/>
  <c r="EG6" i="8"/>
  <c r="EG7" i="8"/>
  <c r="EG8" i="8"/>
  <c r="EG9" i="8"/>
  <c r="EG10" i="8"/>
  <c r="EG11" i="8"/>
  <c r="EG12" i="8"/>
  <c r="EG13" i="8"/>
  <c r="EG14" i="8"/>
  <c r="EG15" i="8"/>
  <c r="EG16" i="8"/>
  <c r="EG17" i="8"/>
  <c r="EG18" i="8"/>
  <c r="EG19" i="8"/>
  <c r="EG20" i="8"/>
  <c r="EG21" i="8"/>
  <c r="EG22" i="8"/>
  <c r="EG23" i="8"/>
  <c r="EG24" i="8"/>
  <c r="EG25" i="8"/>
  <c r="EG26" i="8"/>
  <c r="EG27" i="8"/>
  <c r="EG28" i="8"/>
  <c r="EG29" i="8"/>
  <c r="EG30" i="8"/>
  <c r="EG31" i="8"/>
  <c r="EG32" i="8"/>
  <c r="EG33" i="8"/>
  <c r="EG34" i="8"/>
  <c r="EG35" i="8"/>
  <c r="EG36" i="8"/>
  <c r="EG37" i="8"/>
  <c r="EG38" i="8"/>
  <c r="EG39" i="8"/>
  <c r="EG40" i="8"/>
  <c r="EG41" i="8"/>
  <c r="EG42" i="8"/>
  <c r="EG43" i="8"/>
  <c r="EG44" i="8"/>
  <c r="DX5" i="8"/>
  <c r="DX6" i="8"/>
  <c r="DX7" i="8"/>
  <c r="DX8" i="8"/>
  <c r="DX9" i="8"/>
  <c r="DX10" i="8"/>
  <c r="DX11" i="8"/>
  <c r="DX12" i="8"/>
  <c r="DX13" i="8"/>
  <c r="DX14" i="8"/>
  <c r="DX15" i="8"/>
  <c r="DX16" i="8"/>
  <c r="DX17" i="8"/>
  <c r="DX18" i="8"/>
  <c r="DX19" i="8"/>
  <c r="DX20" i="8"/>
  <c r="DX21" i="8"/>
  <c r="DX22" i="8"/>
  <c r="DX23" i="8"/>
  <c r="DX24" i="8"/>
  <c r="DX25" i="8"/>
  <c r="DX26" i="8"/>
  <c r="DX27" i="8"/>
  <c r="DX28" i="8"/>
  <c r="DX29" i="8"/>
  <c r="DX30" i="8"/>
  <c r="DX31" i="8"/>
  <c r="DX32" i="8"/>
  <c r="DX33" i="8"/>
  <c r="DX34" i="8"/>
  <c r="DX35" i="8"/>
  <c r="DX36" i="8"/>
  <c r="DX37" i="8"/>
  <c r="DX38" i="8"/>
  <c r="DX39" i="8"/>
  <c r="DX40" i="8"/>
  <c r="DX41" i="8"/>
  <c r="DX42" i="8"/>
  <c r="DX43" i="8"/>
  <c r="DX44" i="8"/>
  <c r="DW5" i="8"/>
  <c r="DW6" i="8"/>
  <c r="DW7" i="8"/>
  <c r="DW8" i="8"/>
  <c r="DW9" i="8"/>
  <c r="DW10" i="8"/>
  <c r="DW11" i="8"/>
  <c r="DW12" i="8"/>
  <c r="DW13" i="8"/>
  <c r="DW14" i="8"/>
  <c r="DW15" i="8"/>
  <c r="DW16" i="8"/>
  <c r="DW17" i="8"/>
  <c r="DW18" i="8"/>
  <c r="DW19" i="8"/>
  <c r="DW20" i="8"/>
  <c r="DW21" i="8"/>
  <c r="DW22" i="8"/>
  <c r="DW23" i="8"/>
  <c r="DW24" i="8"/>
  <c r="DW25" i="8"/>
  <c r="DW26" i="8"/>
  <c r="DW27" i="8"/>
  <c r="DW28" i="8"/>
  <c r="DW29" i="8"/>
  <c r="DW30" i="8"/>
  <c r="DW31" i="8"/>
  <c r="DW32" i="8"/>
  <c r="DW33" i="8"/>
  <c r="DW34" i="8"/>
  <c r="DW35" i="8"/>
  <c r="DW36" i="8"/>
  <c r="DW37" i="8"/>
  <c r="DW38" i="8"/>
  <c r="DW39" i="8"/>
  <c r="DW40" i="8"/>
  <c r="DW41" i="8"/>
  <c r="DW42" i="8"/>
  <c r="DW43" i="8"/>
  <c r="DW44" i="8"/>
  <c r="DP5" i="8"/>
  <c r="DP6" i="8"/>
  <c r="DP7" i="8"/>
  <c r="DP8" i="8"/>
  <c r="DP9" i="8"/>
  <c r="DP10" i="8"/>
  <c r="DP11" i="8"/>
  <c r="DP12" i="8"/>
  <c r="DP13" i="8"/>
  <c r="DP14" i="8"/>
  <c r="DP15" i="8"/>
  <c r="DP16" i="8"/>
  <c r="DP17" i="8"/>
  <c r="DP18" i="8"/>
  <c r="DP19" i="8"/>
  <c r="DP20" i="8"/>
  <c r="DP21" i="8"/>
  <c r="DP22" i="8"/>
  <c r="DP23" i="8"/>
  <c r="DP24" i="8"/>
  <c r="DP25" i="8"/>
  <c r="DP26" i="8"/>
  <c r="DP27" i="8"/>
  <c r="DP28" i="8"/>
  <c r="DP29" i="8"/>
  <c r="DP30" i="8"/>
  <c r="DP31" i="8"/>
  <c r="DP32" i="8"/>
  <c r="DP33" i="8"/>
  <c r="DP34" i="8"/>
  <c r="DP35" i="8"/>
  <c r="DP36" i="8"/>
  <c r="DP37" i="8"/>
  <c r="DP38" i="8"/>
  <c r="DP39" i="8"/>
  <c r="DP40" i="8"/>
  <c r="DP41" i="8"/>
  <c r="DP42" i="8"/>
  <c r="DP43" i="8"/>
  <c r="DP44" i="8"/>
  <c r="DO5" i="8"/>
  <c r="DO6" i="8"/>
  <c r="DO7" i="8"/>
  <c r="DO8" i="8"/>
  <c r="DO9" i="8"/>
  <c r="DO10" i="8"/>
  <c r="DO11" i="8"/>
  <c r="DO12" i="8"/>
  <c r="DO13" i="8"/>
  <c r="DO14" i="8"/>
  <c r="DO15" i="8"/>
  <c r="DO16" i="8"/>
  <c r="DO17" i="8"/>
  <c r="DO18" i="8"/>
  <c r="DO19" i="8"/>
  <c r="DO20" i="8"/>
  <c r="DO21" i="8"/>
  <c r="DO22" i="8"/>
  <c r="DO23" i="8"/>
  <c r="DO24" i="8"/>
  <c r="DO25" i="8"/>
  <c r="DO26" i="8"/>
  <c r="DO27" i="8"/>
  <c r="DO28" i="8"/>
  <c r="DO29" i="8"/>
  <c r="DO30" i="8"/>
  <c r="DO31" i="8"/>
  <c r="DO32" i="8"/>
  <c r="DO33" i="8"/>
  <c r="DO34" i="8"/>
  <c r="DO35" i="8"/>
  <c r="DO36" i="8"/>
  <c r="DO37" i="8"/>
  <c r="DO38" i="8"/>
  <c r="DO39" i="8"/>
  <c r="DO40" i="8"/>
  <c r="DO41" i="8"/>
  <c r="DO42" i="8"/>
  <c r="DO43" i="8"/>
  <c r="DO44" i="8"/>
  <c r="DN44" i="8"/>
  <c r="DM44" i="8"/>
  <c r="BH78" i="8"/>
  <c r="BH79" i="8"/>
  <c r="BH80" i="8"/>
  <c r="BH81" i="8"/>
  <c r="BH82" i="8"/>
  <c r="BH83" i="8"/>
  <c r="BH84" i="8"/>
  <c r="BH85" i="8"/>
  <c r="BH86" i="8"/>
  <c r="BH87" i="8"/>
  <c r="BH88" i="8"/>
  <c r="BH89" i="8"/>
  <c r="BH90" i="8"/>
  <c r="BH91" i="8"/>
  <c r="BH92" i="8"/>
  <c r="BH93" i="8"/>
  <c r="BH94" i="8"/>
  <c r="BH95" i="8"/>
  <c r="BH96" i="8"/>
  <c r="BH97" i="8"/>
  <c r="BH98" i="8"/>
  <c r="BH99" i="8"/>
  <c r="BH103" i="8"/>
  <c r="BH46" i="8"/>
  <c r="BH47" i="8"/>
  <c r="BH48" i="8"/>
  <c r="BH49" i="8"/>
  <c r="BH50" i="8"/>
  <c r="BH51" i="8"/>
  <c r="BH52" i="8"/>
  <c r="BH53" i="8"/>
  <c r="BH54" i="8"/>
  <c r="BH55" i="8"/>
  <c r="BH56" i="8"/>
  <c r="BH57" i="8"/>
  <c r="BH58" i="8"/>
  <c r="BH59" i="8"/>
  <c r="BH60" i="8"/>
  <c r="BH61" i="8"/>
  <c r="BH62" i="8"/>
  <c r="BH63" i="8"/>
  <c r="BH64" i="8"/>
  <c r="BH65" i="8"/>
  <c r="BH66" i="8"/>
  <c r="BH67" i="8"/>
  <c r="BH68" i="8"/>
  <c r="BH69" i="8"/>
  <c r="BH70" i="8"/>
  <c r="BH71" i="8"/>
  <c r="BH72" i="8"/>
  <c r="BH73" i="8"/>
  <c r="BH74" i="8"/>
  <c r="BH75" i="8"/>
  <c r="BH76" i="8"/>
  <c r="BF78" i="8"/>
  <c r="BG78" i="8" s="1"/>
  <c r="BF79" i="8"/>
  <c r="BG79" i="8" s="1"/>
  <c r="BF80" i="8"/>
  <c r="BG80" i="8" s="1"/>
  <c r="BF81" i="8"/>
  <c r="BG81" i="8" s="1"/>
  <c r="BF82" i="8"/>
  <c r="BG82" i="8" s="1"/>
  <c r="BF83" i="8"/>
  <c r="BG83" i="8" s="1"/>
  <c r="BF84" i="8"/>
  <c r="BG84" i="8" s="1"/>
  <c r="BF85" i="8"/>
  <c r="BG85" i="8" s="1"/>
  <c r="BF86" i="8"/>
  <c r="BG86" i="8" s="1"/>
  <c r="BF87" i="8"/>
  <c r="BG87" i="8" s="1"/>
  <c r="BF88" i="8"/>
  <c r="BG88" i="8" s="1"/>
  <c r="BF89" i="8"/>
  <c r="BG89" i="8" s="1"/>
  <c r="BF90" i="8"/>
  <c r="BG90" i="8" s="1"/>
  <c r="BF91" i="8"/>
  <c r="BG91" i="8" s="1"/>
  <c r="BF92" i="8"/>
  <c r="BG92" i="8" s="1"/>
  <c r="BF93" i="8"/>
  <c r="BG93" i="8" s="1"/>
  <c r="BF94" i="8"/>
  <c r="BG94" i="8" s="1"/>
  <c r="BF95" i="8"/>
  <c r="BG95" i="8" s="1"/>
  <c r="BF96" i="8"/>
  <c r="BG96" i="8" s="1"/>
  <c r="BF97" i="8"/>
  <c r="BG97" i="8" s="1"/>
  <c r="BF98" i="8"/>
  <c r="BG98" i="8" s="1"/>
  <c r="BF99" i="8"/>
  <c r="BG99" i="8" s="1"/>
  <c r="BF100" i="8"/>
  <c r="BG100" i="8" s="1"/>
  <c r="BF101" i="8"/>
  <c r="BG101" i="8" s="1"/>
  <c r="BF102" i="8"/>
  <c r="BG102" i="8" s="1"/>
  <c r="BF103" i="8"/>
  <c r="BG103" i="8" s="1"/>
  <c r="BF46" i="8"/>
  <c r="BG46" i="8" s="1"/>
  <c r="BF47" i="8"/>
  <c r="BG47" i="8" s="1"/>
  <c r="BF48" i="8"/>
  <c r="BG48" i="8" s="1"/>
  <c r="BF49" i="8"/>
  <c r="BG49" i="8" s="1"/>
  <c r="BF50" i="8"/>
  <c r="BG50" i="8" s="1"/>
  <c r="BF51" i="8"/>
  <c r="BG51" i="8" s="1"/>
  <c r="BF52" i="8"/>
  <c r="BG52" i="8" s="1"/>
  <c r="BF53" i="8"/>
  <c r="BG53" i="8" s="1"/>
  <c r="BF54" i="8"/>
  <c r="BG54" i="8" s="1"/>
  <c r="BF55" i="8"/>
  <c r="BG55" i="8" s="1"/>
  <c r="BF56" i="8"/>
  <c r="BG56" i="8" s="1"/>
  <c r="BF57" i="8"/>
  <c r="BG57" i="8" s="1"/>
  <c r="BF58" i="8"/>
  <c r="BG58" i="8" s="1"/>
  <c r="BF59" i="8"/>
  <c r="BG59" i="8" s="1"/>
  <c r="BF60" i="8"/>
  <c r="BG60" i="8" s="1"/>
  <c r="BF61" i="8"/>
  <c r="BG61" i="8" s="1"/>
  <c r="BF62" i="8"/>
  <c r="BG62" i="8" s="1"/>
  <c r="BF63" i="8"/>
  <c r="BG63" i="8" s="1"/>
  <c r="BF64" i="8"/>
  <c r="BG64" i="8" s="1"/>
  <c r="BF65" i="8"/>
  <c r="BG65" i="8" s="1"/>
  <c r="BF66" i="8"/>
  <c r="BG66" i="8" s="1"/>
  <c r="BF67" i="8"/>
  <c r="BG67" i="8" s="1"/>
  <c r="BF68" i="8"/>
  <c r="BG68" i="8" s="1"/>
  <c r="BF69" i="8"/>
  <c r="BG69" i="8" s="1"/>
  <c r="BF70" i="8"/>
  <c r="BG70" i="8" s="1"/>
  <c r="BF71" i="8"/>
  <c r="BG71" i="8" s="1"/>
  <c r="BF72" i="8"/>
  <c r="BG72" i="8" s="1"/>
  <c r="BF73" i="8"/>
  <c r="BG73" i="8" s="1"/>
  <c r="BF74" i="8"/>
  <c r="BG74" i="8" s="1"/>
  <c r="BF75" i="8"/>
  <c r="BG75" i="8" s="1"/>
  <c r="BF76" i="8"/>
  <c r="BG76" i="8" s="1"/>
  <c r="BF5" i="8"/>
  <c r="BF6" i="8"/>
  <c r="BF7" i="8"/>
  <c r="BF8" i="8"/>
  <c r="BF9" i="8"/>
  <c r="BF10" i="8"/>
  <c r="BF11" i="8"/>
  <c r="BF12" i="8"/>
  <c r="BF13" i="8"/>
  <c r="BF14" i="8"/>
  <c r="BF15" i="8"/>
  <c r="BF16" i="8"/>
  <c r="BF17" i="8"/>
  <c r="BF18" i="8"/>
  <c r="BF19" i="8"/>
  <c r="BF20" i="8"/>
  <c r="BF21" i="8"/>
  <c r="BF22" i="8"/>
  <c r="BF23" i="8"/>
  <c r="BF24" i="8"/>
  <c r="BF25" i="8"/>
  <c r="BF26" i="8"/>
  <c r="BF27" i="8"/>
  <c r="BF28" i="8"/>
  <c r="BF29" i="8"/>
  <c r="BF30" i="8"/>
  <c r="BF31" i="8"/>
  <c r="BF32" i="8"/>
  <c r="BF33" i="8"/>
  <c r="BF34" i="8"/>
  <c r="BF35" i="8"/>
  <c r="BF36" i="8"/>
  <c r="BF37" i="8"/>
  <c r="BF38" i="8"/>
  <c r="BF39" i="8"/>
  <c r="BF40" i="8"/>
  <c r="BF41" i="8"/>
  <c r="BF42" i="8"/>
  <c r="BF43" i="8"/>
  <c r="BF44" i="8"/>
  <c r="BG44" i="8" s="1"/>
  <c r="BA5" i="8"/>
  <c r="BA6" i="8"/>
  <c r="BA7" i="8"/>
  <c r="BA8" i="8"/>
  <c r="BA9" i="8"/>
  <c r="BA10" i="8"/>
  <c r="BA11" i="8"/>
  <c r="BA12" i="8"/>
  <c r="BA13" i="8"/>
  <c r="BA14" i="8"/>
  <c r="BA15" i="8"/>
  <c r="BA16" i="8"/>
  <c r="BA17" i="8"/>
  <c r="BA18" i="8"/>
  <c r="BA19" i="8"/>
  <c r="BA20" i="8"/>
  <c r="BA21" i="8"/>
  <c r="BA22" i="8"/>
  <c r="BA23" i="8"/>
  <c r="BA24" i="8"/>
  <c r="BA25" i="8"/>
  <c r="BA26" i="8"/>
  <c r="BA27" i="8"/>
  <c r="BA28" i="8"/>
  <c r="BA29" i="8"/>
  <c r="BA30" i="8"/>
  <c r="BA31" i="8"/>
  <c r="BA32" i="8"/>
  <c r="BA33" i="8"/>
  <c r="BA34" i="8"/>
  <c r="BA35" i="8"/>
  <c r="BA36" i="8"/>
  <c r="BA37" i="8"/>
  <c r="BA38" i="8"/>
  <c r="BA39" i="8"/>
  <c r="BA40" i="8"/>
  <c r="BA41" i="8"/>
  <c r="BA42" i="8"/>
  <c r="BA43" i="8"/>
  <c r="BA44" i="8"/>
  <c r="AY5" i="8"/>
  <c r="AY6" i="8"/>
  <c r="AZ6" i="8" s="1"/>
  <c r="AY7" i="8"/>
  <c r="AZ7" i="8" s="1"/>
  <c r="AY8" i="8"/>
  <c r="AZ8" i="8" s="1"/>
  <c r="AY9" i="8"/>
  <c r="AZ9" i="8" s="1"/>
  <c r="AY10" i="8"/>
  <c r="AZ10" i="8" s="1"/>
  <c r="AY11" i="8"/>
  <c r="AZ11" i="8" s="1"/>
  <c r="AY12" i="8"/>
  <c r="AZ12" i="8" s="1"/>
  <c r="AY13" i="8"/>
  <c r="AZ13" i="8" s="1"/>
  <c r="AY14" i="8"/>
  <c r="AZ14" i="8" s="1"/>
  <c r="AY15" i="8"/>
  <c r="AZ15" i="8" s="1"/>
  <c r="AY16" i="8"/>
  <c r="AZ16" i="8" s="1"/>
  <c r="AY17" i="8"/>
  <c r="AZ17" i="8" s="1"/>
  <c r="AY18" i="8"/>
  <c r="AZ18" i="8" s="1"/>
  <c r="AY19" i="8"/>
  <c r="AZ19" i="8" s="1"/>
  <c r="AY20" i="8"/>
  <c r="AZ20" i="8" s="1"/>
  <c r="AY21" i="8"/>
  <c r="AZ21" i="8" s="1"/>
  <c r="AY22" i="8"/>
  <c r="AZ22" i="8" s="1"/>
  <c r="AY23" i="8"/>
  <c r="AZ23" i="8" s="1"/>
  <c r="AY24" i="8"/>
  <c r="AZ24" i="8" s="1"/>
  <c r="AY25" i="8"/>
  <c r="AZ25" i="8" s="1"/>
  <c r="AY26" i="8"/>
  <c r="AZ26" i="8" s="1"/>
  <c r="AY27" i="8"/>
  <c r="AZ27" i="8" s="1"/>
  <c r="AY28" i="8"/>
  <c r="AZ28" i="8" s="1"/>
  <c r="AY29" i="8"/>
  <c r="AZ29" i="8" s="1"/>
  <c r="AY30" i="8"/>
  <c r="AZ30" i="8" s="1"/>
  <c r="AY31" i="8"/>
  <c r="AZ31" i="8" s="1"/>
  <c r="AY32" i="8"/>
  <c r="AZ32" i="8" s="1"/>
  <c r="AY33" i="8"/>
  <c r="AZ33" i="8" s="1"/>
  <c r="AY34" i="8"/>
  <c r="AZ34" i="8" s="1"/>
  <c r="AY35" i="8"/>
  <c r="AZ35" i="8" s="1"/>
  <c r="AY36" i="8"/>
  <c r="AZ36" i="8" s="1"/>
  <c r="AY37" i="8"/>
  <c r="AZ37" i="8" s="1"/>
  <c r="AY38" i="8"/>
  <c r="AZ38" i="8" s="1"/>
  <c r="AY39" i="8"/>
  <c r="AZ39" i="8" s="1"/>
  <c r="AY40" i="8"/>
  <c r="AZ40" i="8" s="1"/>
  <c r="AY41" i="8"/>
  <c r="AZ41" i="8" s="1"/>
  <c r="AY42" i="8"/>
  <c r="AZ42" i="8" s="1"/>
  <c r="AY43" i="8"/>
  <c r="AZ43" i="8" s="1"/>
  <c r="AY44" i="8"/>
  <c r="AZ44" i="8" s="1"/>
  <c r="AX78" i="8"/>
  <c r="AX79" i="8"/>
  <c r="AX80" i="8"/>
  <c r="AX81" i="8"/>
  <c r="AX82" i="8"/>
  <c r="AX83" i="8"/>
  <c r="AX84" i="8"/>
  <c r="AX85" i="8"/>
  <c r="AX86" i="8"/>
  <c r="AX87" i="8"/>
  <c r="AX88" i="8"/>
  <c r="AX89" i="8"/>
  <c r="AX90" i="8"/>
  <c r="AX91" i="8"/>
  <c r="AX92" i="8"/>
  <c r="AX93" i="8"/>
  <c r="AX94" i="8"/>
  <c r="AX95" i="8"/>
  <c r="AX96" i="8"/>
  <c r="AX97" i="8"/>
  <c r="AX98" i="8"/>
  <c r="AX99" i="8"/>
  <c r="AX100" i="8"/>
  <c r="AX101" i="8"/>
  <c r="AX102" i="8"/>
  <c r="AX103" i="8"/>
  <c r="AX46" i="8"/>
  <c r="AX47" i="8"/>
  <c r="AX48" i="8"/>
  <c r="AX49" i="8"/>
  <c r="AX50" i="8"/>
  <c r="AX51" i="8"/>
  <c r="AX52" i="8"/>
  <c r="AX53" i="8"/>
  <c r="AX54" i="8"/>
  <c r="AX55" i="8"/>
  <c r="AX56" i="8"/>
  <c r="AX57" i="8"/>
  <c r="AX58" i="8"/>
  <c r="AX59" i="8"/>
  <c r="AX60" i="8"/>
  <c r="AX61" i="8"/>
  <c r="AX62" i="8"/>
  <c r="AX63" i="8"/>
  <c r="AX64" i="8"/>
  <c r="AX65" i="8"/>
  <c r="AX66" i="8"/>
  <c r="AX67" i="8"/>
  <c r="AX68" i="8"/>
  <c r="AX69" i="8"/>
  <c r="AX70" i="8"/>
  <c r="AX71" i="8"/>
  <c r="AX72" i="8"/>
  <c r="AX73" i="8"/>
  <c r="AX74" i="8"/>
  <c r="AX75" i="8"/>
  <c r="AX76" i="8"/>
  <c r="AX5" i="8"/>
  <c r="AX6" i="8"/>
  <c r="AX7" i="8"/>
  <c r="AX8" i="8"/>
  <c r="AX9" i="8"/>
  <c r="AX10" i="8"/>
  <c r="AX11" i="8"/>
  <c r="AX12" i="8"/>
  <c r="AX13" i="8"/>
  <c r="AX14" i="8"/>
  <c r="AX15" i="8"/>
  <c r="AX16" i="8"/>
  <c r="AX17" i="8"/>
  <c r="AX18" i="8"/>
  <c r="AX19" i="8"/>
  <c r="AX20" i="8"/>
  <c r="AX21" i="8"/>
  <c r="AX22" i="8"/>
  <c r="AX23" i="8"/>
  <c r="AX24" i="8"/>
  <c r="AX25" i="8"/>
  <c r="AX26" i="8"/>
  <c r="AX27" i="8"/>
  <c r="AX28" i="8"/>
  <c r="AX29" i="8"/>
  <c r="AX30" i="8"/>
  <c r="AX31" i="8"/>
  <c r="AX32" i="8"/>
  <c r="AX33" i="8"/>
  <c r="AX34" i="8"/>
  <c r="AX35" i="8"/>
  <c r="AX36" i="8"/>
  <c r="AX37" i="8"/>
  <c r="AX38" i="8"/>
  <c r="AX39" i="8"/>
  <c r="AX40" i="8"/>
  <c r="AX41" i="8"/>
  <c r="AX42" i="8"/>
  <c r="AX43" i="8"/>
  <c r="AX44" i="8"/>
  <c r="AW78" i="8"/>
  <c r="AW79" i="8"/>
  <c r="AW80" i="8"/>
  <c r="AW81" i="8"/>
  <c r="AW82" i="8"/>
  <c r="AW83" i="8"/>
  <c r="AW84" i="8"/>
  <c r="AW85" i="8"/>
  <c r="AW86" i="8"/>
  <c r="AW87" i="8"/>
  <c r="AW88" i="8"/>
  <c r="AW89" i="8"/>
  <c r="AW90" i="8"/>
  <c r="AW91" i="8"/>
  <c r="AW92" i="8"/>
  <c r="AW93" i="8"/>
  <c r="AW94" i="8"/>
  <c r="AW95" i="8"/>
  <c r="AW96" i="8"/>
  <c r="AW97" i="8"/>
  <c r="AW98" i="8"/>
  <c r="AW99" i="8"/>
  <c r="AW100" i="8"/>
  <c r="AW101" i="8"/>
  <c r="AW102" i="8"/>
  <c r="AW103" i="8"/>
  <c r="AW46" i="8"/>
  <c r="AW47" i="8"/>
  <c r="AW48" i="8"/>
  <c r="AW49" i="8"/>
  <c r="AW50" i="8"/>
  <c r="AW51" i="8"/>
  <c r="AW52" i="8"/>
  <c r="AW53" i="8"/>
  <c r="AW54" i="8"/>
  <c r="AW55" i="8"/>
  <c r="AW56" i="8"/>
  <c r="AW57" i="8"/>
  <c r="AW58" i="8"/>
  <c r="AW59" i="8"/>
  <c r="AW60" i="8"/>
  <c r="AW61" i="8"/>
  <c r="AW62" i="8"/>
  <c r="AW63" i="8"/>
  <c r="AW64" i="8"/>
  <c r="AW65" i="8"/>
  <c r="AW66" i="8"/>
  <c r="AW67" i="8"/>
  <c r="AW68" i="8"/>
  <c r="AW69" i="8"/>
  <c r="AW70" i="8"/>
  <c r="AW71" i="8"/>
  <c r="AW72" i="8"/>
  <c r="AW73" i="8"/>
  <c r="AW74" i="8"/>
  <c r="AW75" i="8"/>
  <c r="AW76" i="8"/>
  <c r="AW5" i="8"/>
  <c r="AW6" i="8"/>
  <c r="AW7" i="8"/>
  <c r="AW8" i="8"/>
  <c r="AW9" i="8"/>
  <c r="AW10" i="8"/>
  <c r="AW11" i="8"/>
  <c r="AW12" i="8"/>
  <c r="AW13" i="8"/>
  <c r="AW14" i="8"/>
  <c r="AW15" i="8"/>
  <c r="AW16" i="8"/>
  <c r="AW17" i="8"/>
  <c r="AW18" i="8"/>
  <c r="AW19" i="8"/>
  <c r="AW20" i="8"/>
  <c r="AW21" i="8"/>
  <c r="AW22" i="8"/>
  <c r="AW23" i="8"/>
  <c r="AW24" i="8"/>
  <c r="AW25" i="8"/>
  <c r="AW26" i="8"/>
  <c r="AW27" i="8"/>
  <c r="AW28" i="8"/>
  <c r="AW29" i="8"/>
  <c r="AW30" i="8"/>
  <c r="AW31" i="8"/>
  <c r="AW32" i="8"/>
  <c r="AW33" i="8"/>
  <c r="AW34" i="8"/>
  <c r="AW35" i="8"/>
  <c r="AW36" i="8"/>
  <c r="AW37" i="8"/>
  <c r="AW38" i="8"/>
  <c r="AW39" i="8"/>
  <c r="AW40" i="8"/>
  <c r="AW41" i="8"/>
  <c r="AW42" i="8"/>
  <c r="AW43" i="8"/>
  <c r="AW44" i="8"/>
  <c r="AV33" i="8"/>
  <c r="AV34" i="8"/>
  <c r="AV35" i="8"/>
  <c r="AV36" i="8"/>
  <c r="AV37" i="8"/>
  <c r="AV38" i="8"/>
  <c r="AV39" i="8"/>
  <c r="AV40" i="8"/>
  <c r="AV41" i="8"/>
  <c r="AV42" i="8"/>
  <c r="AV43" i="8"/>
  <c r="AV44" i="8"/>
  <c r="AK78" i="8"/>
  <c r="AK79" i="8"/>
  <c r="AK80" i="8"/>
  <c r="AK81" i="8"/>
  <c r="AK82" i="8"/>
  <c r="AK83" i="8"/>
  <c r="AK84" i="8"/>
  <c r="AK85" i="8"/>
  <c r="AK86" i="8"/>
  <c r="AK87" i="8"/>
  <c r="AK88" i="8"/>
  <c r="AK89" i="8"/>
  <c r="AK90" i="8"/>
  <c r="AK91" i="8"/>
  <c r="AK92" i="8"/>
  <c r="AK93" i="8"/>
  <c r="AK94" i="8"/>
  <c r="AK95" i="8"/>
  <c r="AK96" i="8"/>
  <c r="AK97" i="8"/>
  <c r="AK98" i="8"/>
  <c r="AK99" i="8"/>
  <c r="AK103" i="8"/>
  <c r="AK46" i="8"/>
  <c r="AK47" i="8"/>
  <c r="AK48" i="8"/>
  <c r="AK49" i="8"/>
  <c r="AK50" i="8"/>
  <c r="AK51" i="8"/>
  <c r="AK52" i="8"/>
  <c r="AK53" i="8"/>
  <c r="AK54" i="8"/>
  <c r="AK55" i="8"/>
  <c r="AK56" i="8"/>
  <c r="AK57" i="8"/>
  <c r="AK58" i="8"/>
  <c r="AK59" i="8"/>
  <c r="AK60" i="8"/>
  <c r="AK61" i="8"/>
  <c r="AK62" i="8"/>
  <c r="AK63" i="8"/>
  <c r="AK64" i="8"/>
  <c r="AK65" i="8"/>
  <c r="AK66" i="8"/>
  <c r="AK67" i="8"/>
  <c r="AK68" i="8"/>
  <c r="AK69" i="8"/>
  <c r="AK70" i="8"/>
  <c r="AK71" i="8"/>
  <c r="AK72" i="8"/>
  <c r="AK73" i="8"/>
  <c r="AK74" i="8"/>
  <c r="AK75" i="8"/>
  <c r="AK76" i="8"/>
  <c r="AI33" i="8"/>
  <c r="AI34" i="8"/>
  <c r="AI35" i="8"/>
  <c r="AI36" i="8"/>
  <c r="AI37" i="8"/>
  <c r="AI38" i="8"/>
  <c r="AI39" i="8"/>
  <c r="AI40" i="8"/>
  <c r="AI41" i="8"/>
  <c r="AI42" i="8"/>
  <c r="AI43" i="8"/>
  <c r="AI44" i="8"/>
  <c r="AD33" i="8"/>
  <c r="AD34" i="8"/>
  <c r="AD35" i="8"/>
  <c r="AD36" i="8"/>
  <c r="AD37" i="8"/>
  <c r="AD38" i="8"/>
  <c r="AD39" i="8"/>
  <c r="AD40" i="8"/>
  <c r="AD41" i="8"/>
  <c r="AD42" i="8"/>
  <c r="AD43" i="8"/>
  <c r="AD44" i="8"/>
  <c r="AC33" i="8"/>
  <c r="AC34" i="8"/>
  <c r="AC35" i="8"/>
  <c r="AC36" i="8"/>
  <c r="AC37" i="8"/>
  <c r="AC38" i="8"/>
  <c r="AC39" i="8"/>
  <c r="AC40" i="8"/>
  <c r="AC41" i="8"/>
  <c r="AC42" i="8"/>
  <c r="AC43" i="8"/>
  <c r="AC44" i="8"/>
  <c r="Z33" i="8"/>
  <c r="Z34" i="8"/>
  <c r="Z35" i="8"/>
  <c r="Z36" i="8"/>
  <c r="Z37" i="8"/>
  <c r="Z38" i="8"/>
  <c r="Z39" i="8"/>
  <c r="Z40" i="8"/>
  <c r="Z41" i="8"/>
  <c r="Z42" i="8"/>
  <c r="Z43" i="8"/>
  <c r="Z44" i="8"/>
  <c r="U33" i="8"/>
  <c r="U34" i="8"/>
  <c r="U35" i="8"/>
  <c r="U36" i="8"/>
  <c r="U37" i="8"/>
  <c r="U38" i="8"/>
  <c r="U39" i="8"/>
  <c r="U40" i="8"/>
  <c r="U41" i="8"/>
  <c r="U42" i="8"/>
  <c r="U43" i="8"/>
  <c r="U44" i="8"/>
  <c r="T33" i="8"/>
  <c r="T34" i="8"/>
  <c r="T35" i="8"/>
  <c r="T36" i="8"/>
  <c r="T37" i="8"/>
  <c r="T38" i="8"/>
  <c r="T39" i="8"/>
  <c r="T40" i="8"/>
  <c r="T41" i="8"/>
  <c r="T42" i="8"/>
  <c r="T43" i="8"/>
  <c r="T44" i="8"/>
  <c r="AA5" i="22"/>
  <c r="AA6" i="22"/>
  <c r="AA7" i="22"/>
  <c r="AA8" i="22"/>
  <c r="AA9" i="22"/>
  <c r="AA10" i="22"/>
  <c r="AA11" i="22"/>
  <c r="AA12" i="22"/>
  <c r="AA13" i="22"/>
  <c r="AA14" i="22"/>
  <c r="AA15" i="22"/>
  <c r="AA16" i="22"/>
  <c r="AA17" i="22"/>
  <c r="AA18" i="22"/>
  <c r="AA19" i="22"/>
  <c r="AA20" i="22"/>
  <c r="AA21" i="22"/>
  <c r="AA22" i="22"/>
  <c r="AA23" i="22"/>
  <c r="AA24" i="22"/>
  <c r="AA25" i="22"/>
  <c r="AA26" i="22"/>
  <c r="AA27" i="22"/>
  <c r="AA28" i="22"/>
  <c r="AA29" i="22"/>
  <c r="AA30" i="22"/>
  <c r="AA31" i="22"/>
  <c r="AA32" i="22"/>
  <c r="AA33" i="22"/>
  <c r="AA34" i="22"/>
  <c r="AA35" i="22"/>
  <c r="AA36" i="22"/>
  <c r="AA37" i="22"/>
  <c r="AA38" i="22"/>
  <c r="AA39" i="22"/>
  <c r="AA40" i="22"/>
  <c r="AA41" i="22"/>
  <c r="AA42" i="22"/>
  <c r="AA43" i="22"/>
  <c r="AA44" i="22"/>
  <c r="AA45" i="22"/>
  <c r="AA46" i="22"/>
  <c r="AA47" i="22"/>
  <c r="AA48" i="22"/>
  <c r="AA49" i="22"/>
  <c r="AA50" i="22"/>
  <c r="AA51" i="22"/>
  <c r="AA52" i="22"/>
  <c r="AA53" i="22"/>
  <c r="AA54" i="22"/>
  <c r="AA55" i="22"/>
  <c r="AA56" i="22"/>
  <c r="AA57" i="22"/>
  <c r="AA58" i="22"/>
  <c r="AA59" i="22"/>
  <c r="AA60" i="22"/>
  <c r="AA61" i="22"/>
  <c r="AA62" i="22"/>
  <c r="AA63" i="22"/>
  <c r="AA64" i="22"/>
  <c r="AA65" i="22"/>
  <c r="AA66" i="22"/>
  <c r="AA67" i="22"/>
  <c r="AA68" i="22"/>
  <c r="AA69" i="22"/>
  <c r="AA70" i="22"/>
  <c r="AA71" i="22"/>
  <c r="AA72" i="22"/>
  <c r="AA73" i="22"/>
  <c r="AA74" i="22"/>
  <c r="AA75" i="22"/>
  <c r="AA76" i="22"/>
  <c r="AA77" i="22"/>
  <c r="AA78" i="22"/>
  <c r="AA79" i="22"/>
  <c r="AA80" i="22"/>
  <c r="AA81" i="22"/>
  <c r="AA82" i="22"/>
  <c r="AA83" i="22"/>
  <c r="AA84" i="22"/>
  <c r="AA85" i="22"/>
  <c r="AA86" i="22"/>
  <c r="AA87" i="22"/>
  <c r="AA88" i="22"/>
  <c r="AA89" i="22"/>
  <c r="AA90" i="22"/>
  <c r="AA91" i="22"/>
  <c r="AA92" i="22"/>
  <c r="AA93" i="22"/>
  <c r="AA94" i="22"/>
  <c r="AA95" i="22"/>
  <c r="AA96" i="22"/>
  <c r="AA97" i="22"/>
  <c r="AA98" i="22"/>
  <c r="AA99" i="22"/>
  <c r="AA100" i="22"/>
  <c r="AA101" i="22"/>
  <c r="AA102" i="22"/>
  <c r="AA103" i="22"/>
  <c r="AA104" i="22"/>
  <c r="AA105" i="22"/>
  <c r="AA106" i="22"/>
  <c r="AA107" i="22"/>
  <c r="AA108" i="22"/>
  <c r="AA109" i="22"/>
  <c r="AA110" i="22"/>
  <c r="AA111" i="22"/>
  <c r="AA112" i="22"/>
  <c r="AA113" i="22"/>
  <c r="AA114" i="22"/>
  <c r="AA115" i="22"/>
  <c r="AA116" i="22"/>
  <c r="AA117" i="22"/>
  <c r="AA118" i="22"/>
  <c r="AA119" i="22"/>
  <c r="AA120" i="22"/>
  <c r="AA121" i="22"/>
  <c r="AA122" i="22"/>
  <c r="AA123" i="22"/>
  <c r="AA124" i="22"/>
  <c r="AA125" i="22"/>
  <c r="AA126" i="22"/>
  <c r="AA127" i="22"/>
  <c r="AA128" i="22"/>
  <c r="AA129" i="22"/>
  <c r="AA130" i="22"/>
  <c r="AA131" i="22"/>
  <c r="AA132" i="22"/>
  <c r="AA133" i="22"/>
  <c r="AA134" i="22"/>
  <c r="AA135" i="22"/>
  <c r="AA136" i="22"/>
  <c r="AA137" i="22"/>
  <c r="AA138" i="22"/>
  <c r="AA139" i="22"/>
  <c r="AA140" i="22"/>
  <c r="AA141" i="22"/>
  <c r="AA142" i="22"/>
  <c r="AA143" i="22"/>
  <c r="AA144" i="22"/>
  <c r="AA145" i="22"/>
  <c r="AA146" i="22"/>
  <c r="AA147" i="22"/>
  <c r="AA148" i="22"/>
  <c r="AA149" i="22"/>
  <c r="AA150" i="22"/>
  <c r="AA151" i="22"/>
  <c r="AA152" i="22"/>
  <c r="AA153" i="22"/>
  <c r="AA154" i="22"/>
  <c r="AA155" i="22"/>
  <c r="AA156" i="22"/>
  <c r="AA157" i="22"/>
  <c r="AA158" i="22"/>
  <c r="AA159" i="22"/>
  <c r="AA160" i="22"/>
  <c r="AA161" i="22"/>
  <c r="AA162" i="22"/>
  <c r="AA163" i="22"/>
  <c r="AA164" i="22"/>
  <c r="AA165" i="22"/>
  <c r="AA166" i="22"/>
  <c r="AA167" i="22"/>
  <c r="AA168" i="22"/>
  <c r="AA169" i="22"/>
  <c r="AA170" i="22"/>
  <c r="AA171" i="22"/>
  <c r="AA172" i="22"/>
  <c r="AA173" i="22"/>
  <c r="AA174" i="22"/>
  <c r="AA175" i="22"/>
  <c r="AA176" i="22"/>
  <c r="AA177" i="22"/>
  <c r="AA178" i="22"/>
  <c r="AA179" i="22"/>
  <c r="AA180" i="22"/>
  <c r="AA181" i="22"/>
  <c r="AA182" i="22"/>
  <c r="AA183" i="22"/>
  <c r="AA184" i="22"/>
  <c r="AA185" i="22"/>
  <c r="AA186" i="22"/>
  <c r="AA187" i="22"/>
  <c r="AA188" i="22"/>
  <c r="AA189" i="22"/>
  <c r="AA190" i="22"/>
  <c r="AA191" i="22"/>
  <c r="AA192" i="22"/>
  <c r="AA193" i="22"/>
  <c r="AA194" i="22"/>
  <c r="AA195" i="22"/>
  <c r="AA196" i="22"/>
  <c r="AA197" i="22"/>
  <c r="AA198" i="22"/>
  <c r="AA199" i="22"/>
  <c r="AA200" i="22"/>
  <c r="AA201" i="22"/>
  <c r="AA202" i="22"/>
  <c r="AA203" i="22"/>
  <c r="AA204" i="22"/>
  <c r="AA205" i="22"/>
  <c r="AA206" i="22"/>
  <c r="AA207" i="22"/>
  <c r="AA208" i="22"/>
  <c r="AA209" i="22"/>
  <c r="AA210" i="22"/>
  <c r="AA211" i="22"/>
  <c r="AA212" i="22"/>
  <c r="AA213" i="22"/>
  <c r="AA214" i="22"/>
  <c r="AA215" i="22"/>
  <c r="AA216" i="22"/>
  <c r="AA217" i="22"/>
  <c r="AA218" i="22"/>
  <c r="AA219" i="22"/>
  <c r="AA220" i="22"/>
  <c r="AA221" i="22"/>
  <c r="AA222" i="22"/>
  <c r="AA223" i="22"/>
  <c r="AA224" i="22"/>
  <c r="AA225" i="22"/>
  <c r="AA226" i="22"/>
  <c r="AA227" i="22"/>
  <c r="AA228" i="22"/>
  <c r="AA229" i="22"/>
  <c r="AA230" i="22"/>
  <c r="AA231" i="22"/>
  <c r="AA232" i="22"/>
  <c r="AA233" i="22"/>
  <c r="AA234" i="22"/>
  <c r="AA235" i="22"/>
  <c r="AA236" i="22"/>
  <c r="AA237" i="22"/>
  <c r="AA238" i="22"/>
  <c r="AA239" i="22"/>
  <c r="AA240" i="22"/>
  <c r="AA241" i="22"/>
  <c r="AA242" i="22"/>
  <c r="AA243" i="22"/>
  <c r="AA244" i="22"/>
  <c r="AA245" i="22"/>
  <c r="AA246" i="22"/>
  <c r="AA247" i="22"/>
  <c r="AA248" i="22"/>
  <c r="AA249" i="22"/>
  <c r="AA250" i="22"/>
  <c r="AA251" i="22"/>
  <c r="AA252" i="22"/>
  <c r="AA253" i="22"/>
  <c r="AA254" i="22"/>
  <c r="AA255" i="22"/>
  <c r="AA256" i="22"/>
  <c r="AA257" i="22"/>
  <c r="AA258" i="22"/>
  <c r="AA259" i="22"/>
  <c r="AA260" i="22"/>
  <c r="AA261" i="22"/>
  <c r="AA262" i="22"/>
  <c r="AA263" i="22"/>
  <c r="AA264" i="22"/>
  <c r="AA265" i="22"/>
  <c r="AA266" i="22"/>
  <c r="AA267" i="22"/>
  <c r="AA268" i="22"/>
  <c r="AA269" i="22"/>
  <c r="AA270" i="22"/>
  <c r="AA271" i="22"/>
  <c r="AA272" i="22"/>
  <c r="AA273" i="22"/>
  <c r="AA274" i="22"/>
  <c r="AA275" i="22"/>
  <c r="AA276" i="22"/>
  <c r="AA277" i="22"/>
  <c r="AA278" i="22"/>
  <c r="AA279" i="22"/>
  <c r="AA280" i="22"/>
  <c r="AA281" i="22"/>
  <c r="AA282" i="22"/>
  <c r="AA283" i="22"/>
  <c r="AA284" i="22"/>
  <c r="AA285" i="22"/>
  <c r="AA286" i="22"/>
  <c r="AA287" i="22"/>
  <c r="AA288" i="22"/>
  <c r="AA289" i="22"/>
  <c r="AA290" i="22"/>
  <c r="AA291" i="22"/>
  <c r="AA292" i="22"/>
  <c r="AA293" i="22"/>
  <c r="AA294" i="22"/>
  <c r="AA295" i="22"/>
  <c r="AA296" i="22"/>
  <c r="AA297" i="22"/>
  <c r="AA298" i="22"/>
  <c r="AA299" i="22"/>
  <c r="AA300" i="22"/>
  <c r="AA301" i="22"/>
  <c r="AA302" i="22"/>
  <c r="AA303" i="22"/>
  <c r="AA304" i="22"/>
  <c r="AA305" i="22"/>
  <c r="AA306" i="22"/>
  <c r="AA307" i="22"/>
  <c r="AA308" i="22"/>
  <c r="AA309" i="22"/>
  <c r="AA310" i="22"/>
  <c r="AA311" i="22"/>
  <c r="AA312" i="22"/>
  <c r="AA313" i="22"/>
  <c r="AA314" i="22"/>
  <c r="AA315" i="22"/>
  <c r="AA316" i="22"/>
  <c r="AA317" i="22"/>
  <c r="AA318" i="22"/>
  <c r="AA319" i="22"/>
  <c r="AA320" i="22"/>
  <c r="AA321" i="22"/>
  <c r="AA322" i="22"/>
  <c r="AA323" i="22"/>
  <c r="AA324" i="22"/>
  <c r="AA325" i="22"/>
  <c r="AA326" i="22"/>
  <c r="AA327" i="22"/>
  <c r="AA328" i="22"/>
  <c r="AA329" i="22"/>
  <c r="AA330" i="22"/>
  <c r="AA331" i="22"/>
  <c r="AA332" i="22"/>
  <c r="AA333" i="22"/>
  <c r="AA334" i="22"/>
  <c r="AA335" i="22"/>
  <c r="AA336" i="22"/>
  <c r="AA337" i="22"/>
  <c r="AA338" i="22"/>
  <c r="AA339" i="22"/>
  <c r="AA340" i="22"/>
  <c r="AA341" i="22"/>
  <c r="AA342" i="22"/>
  <c r="AA343" i="22"/>
  <c r="AA344" i="22"/>
  <c r="AA345" i="22"/>
  <c r="AA346" i="22"/>
  <c r="AA347" i="22"/>
  <c r="AA348" i="22"/>
  <c r="AA349" i="22"/>
  <c r="AA350" i="22"/>
  <c r="AA351" i="22"/>
  <c r="AA352" i="22"/>
  <c r="AA353" i="22"/>
  <c r="AA354" i="22"/>
  <c r="AA355" i="22"/>
  <c r="AA356" i="22"/>
  <c r="AA357" i="22"/>
  <c r="AA358" i="22"/>
  <c r="AA359" i="22"/>
  <c r="AA360" i="22"/>
  <c r="AA361" i="22"/>
  <c r="AA362" i="22"/>
  <c r="AA363" i="22"/>
  <c r="AA364" i="22"/>
  <c r="AA365" i="22"/>
  <c r="AA366" i="22"/>
  <c r="AA367" i="22"/>
  <c r="AA368" i="22"/>
  <c r="AA369" i="22"/>
  <c r="AA370" i="22"/>
  <c r="AA371" i="22"/>
  <c r="AA372" i="22"/>
  <c r="AA373" i="22"/>
  <c r="AA374" i="22"/>
  <c r="AA375" i="22"/>
  <c r="AA376" i="22"/>
  <c r="AA377" i="22"/>
  <c r="AA378" i="22"/>
  <c r="AA379" i="22"/>
  <c r="AA380" i="22"/>
  <c r="AA381" i="22"/>
  <c r="AA382" i="22"/>
  <c r="AA383" i="22"/>
  <c r="AA384" i="22"/>
  <c r="AA385" i="22"/>
  <c r="AA386" i="22"/>
  <c r="AA387" i="22"/>
  <c r="AA388" i="22"/>
  <c r="AA389" i="22"/>
  <c r="AA390" i="22"/>
  <c r="AA391" i="22"/>
  <c r="AA392" i="22"/>
  <c r="AA393" i="22"/>
  <c r="AA394" i="22"/>
  <c r="AA395" i="22"/>
  <c r="AA396" i="22"/>
  <c r="AA397" i="22"/>
  <c r="AA398" i="22"/>
  <c r="AA399" i="22"/>
  <c r="AA400" i="22"/>
  <c r="AA401" i="22"/>
  <c r="AA402" i="22"/>
  <c r="AA403" i="22"/>
  <c r="AA404" i="22"/>
  <c r="AA405" i="22"/>
  <c r="AA406" i="22"/>
  <c r="AA407" i="22"/>
  <c r="AA408" i="22"/>
  <c r="AA409" i="22"/>
  <c r="AA410" i="22"/>
  <c r="AA411" i="22"/>
  <c r="AA412" i="22"/>
  <c r="AA413" i="22"/>
  <c r="AA414" i="22"/>
  <c r="AA415" i="22"/>
  <c r="AA416" i="22"/>
  <c r="AA417" i="22"/>
  <c r="AA418" i="22"/>
  <c r="AA419" i="22"/>
  <c r="AA420" i="22"/>
  <c r="AA421" i="22"/>
  <c r="AA422" i="22"/>
  <c r="AA423" i="22"/>
  <c r="AA424" i="22"/>
  <c r="AA425" i="22"/>
  <c r="AA426" i="22"/>
  <c r="AA427" i="22"/>
  <c r="AA428" i="22"/>
  <c r="AA429" i="22"/>
  <c r="AA430" i="22"/>
  <c r="AA431" i="22"/>
  <c r="AA432" i="22"/>
  <c r="AA433" i="22"/>
  <c r="AA434" i="22"/>
  <c r="AA435" i="22"/>
  <c r="AA436" i="22"/>
  <c r="AA437" i="22"/>
  <c r="AA438" i="22"/>
  <c r="AA439" i="22"/>
  <c r="AA440" i="22"/>
  <c r="AA441" i="22"/>
  <c r="AA442" i="22"/>
  <c r="AA443" i="22"/>
  <c r="AA444" i="22"/>
  <c r="AA445" i="22"/>
  <c r="AA446" i="22"/>
  <c r="AA447" i="22"/>
  <c r="AA448" i="22"/>
  <c r="AA449" i="22"/>
  <c r="AA450" i="22"/>
  <c r="AA451" i="22"/>
  <c r="AA452" i="22"/>
  <c r="AA453" i="22"/>
  <c r="AA454" i="22"/>
  <c r="AA455" i="22"/>
  <c r="AA456" i="22"/>
  <c r="AA457" i="22"/>
  <c r="AA458" i="22"/>
  <c r="AA459" i="22"/>
  <c r="F221" i="22"/>
  <c r="F222" i="22"/>
  <c r="F223" i="22"/>
  <c r="F224" i="22"/>
  <c r="F225" i="22"/>
  <c r="F226" i="22"/>
  <c r="F227" i="22"/>
  <c r="F228" i="22"/>
  <c r="F229" i="22"/>
  <c r="F230" i="22"/>
  <c r="F231" i="22"/>
  <c r="F232" i="22"/>
  <c r="F233" i="22"/>
  <c r="F234" i="22"/>
  <c r="F235" i="22"/>
  <c r="F236" i="22"/>
  <c r="F237" i="22"/>
  <c r="F238" i="22"/>
  <c r="F239" i="22"/>
  <c r="F240" i="22"/>
  <c r="F241" i="22"/>
  <c r="F242" i="22"/>
  <c r="F243" i="22"/>
  <c r="F244" i="22"/>
  <c r="F245" i="22"/>
  <c r="F246" i="22"/>
  <c r="F247" i="22"/>
  <c r="F248" i="22"/>
  <c r="F249" i="22"/>
  <c r="F250" i="22"/>
  <c r="F251" i="22"/>
  <c r="F252" i="22"/>
  <c r="F253" i="22"/>
  <c r="F254" i="22"/>
  <c r="F255" i="22"/>
  <c r="F256" i="22"/>
  <c r="F257" i="22"/>
  <c r="F258" i="22"/>
  <c r="F259" i="22"/>
  <c r="F260" i="22"/>
  <c r="F261" i="22"/>
  <c r="F262" i="22"/>
  <c r="F263" i="22"/>
  <c r="F264" i="22"/>
  <c r="F265" i="22"/>
  <c r="F266" i="22"/>
  <c r="F267" i="22"/>
  <c r="F268" i="22"/>
  <c r="F269" i="22"/>
  <c r="F270" i="22"/>
  <c r="F271" i="22"/>
  <c r="F272" i="22"/>
  <c r="F273" i="22"/>
  <c r="F274" i="22"/>
  <c r="F275" i="22"/>
  <c r="F276" i="22"/>
  <c r="F277" i="22"/>
  <c r="F278" i="22"/>
  <c r="F279" i="22"/>
  <c r="F280" i="22"/>
  <c r="F281" i="22"/>
  <c r="F286" i="22"/>
  <c r="F292" i="22"/>
  <c r="F293" i="22"/>
  <c r="F294" i="22"/>
  <c r="A221" i="22"/>
  <c r="A222" i="22"/>
  <c r="A223" i="22"/>
  <c r="A224" i="22"/>
  <c r="A225" i="22"/>
  <c r="A226" i="22"/>
  <c r="A227" i="22"/>
  <c r="A228" i="22"/>
  <c r="A229" i="22"/>
  <c r="A230" i="22"/>
  <c r="A231" i="22"/>
  <c r="A232" i="22"/>
  <c r="A233" i="22"/>
  <c r="A234" i="22"/>
  <c r="A235" i="22"/>
  <c r="A236" i="22"/>
  <c r="A237" i="22"/>
  <c r="A238" i="22"/>
  <c r="A239" i="22"/>
  <c r="A240" i="22"/>
  <c r="A241" i="22"/>
  <c r="A242" i="22"/>
  <c r="A243" i="22"/>
  <c r="A244" i="22"/>
  <c r="A245" i="22"/>
  <c r="A246" i="22"/>
  <c r="A247" i="22"/>
  <c r="A248" i="22"/>
  <c r="A249" i="22"/>
  <c r="A250" i="22"/>
  <c r="A251" i="22"/>
  <c r="A252" i="22"/>
  <c r="A253" i="22"/>
  <c r="A254" i="22"/>
  <c r="A255" i="22"/>
  <c r="A256" i="22"/>
  <c r="A257" i="22"/>
  <c r="A258" i="22"/>
  <c r="A259" i="22"/>
  <c r="A260" i="22"/>
  <c r="A261" i="22"/>
  <c r="A262" i="22"/>
  <c r="A263" i="22"/>
  <c r="A264" i="22"/>
  <c r="A265" i="22"/>
  <c r="A266" i="22"/>
  <c r="A267" i="22"/>
  <c r="A268" i="22"/>
  <c r="A269" i="22"/>
  <c r="A270" i="22"/>
  <c r="A271" i="22"/>
  <c r="A272" i="22"/>
  <c r="A273" i="22"/>
  <c r="A274" i="22"/>
  <c r="A275" i="22"/>
  <c r="A276" i="22"/>
  <c r="A277" i="22"/>
  <c r="A278" i="22"/>
  <c r="A279" i="22"/>
  <c r="A280" i="22"/>
  <c r="A281" i="22"/>
  <c r="A286" i="22"/>
  <c r="A292" i="22"/>
  <c r="A293" i="22"/>
  <c r="A294" i="22"/>
  <c r="AH388" i="22"/>
  <c r="AH389" i="22"/>
  <c r="AH390" i="22"/>
  <c r="AH391" i="22"/>
  <c r="AH392" i="22"/>
  <c r="AH393" i="22"/>
  <c r="AH394" i="22"/>
  <c r="AH395" i="22"/>
  <c r="AH396" i="22"/>
  <c r="AH397" i="22"/>
  <c r="AH398" i="22"/>
  <c r="AH399" i="22"/>
  <c r="AH400" i="22"/>
  <c r="AH401" i="22"/>
  <c r="AH402" i="22"/>
  <c r="AH403" i="22"/>
  <c r="AH404" i="22"/>
  <c r="AH405" i="22"/>
  <c r="AH406" i="22"/>
  <c r="AH407" i="22"/>
  <c r="AH408" i="22"/>
  <c r="AH409" i="22"/>
  <c r="AH410" i="22"/>
  <c r="AH411" i="22"/>
  <c r="AH412" i="22"/>
  <c r="AH413" i="22"/>
  <c r="AH414" i="22"/>
  <c r="AH415" i="22"/>
  <c r="AH416" i="22"/>
  <c r="AH417" i="22"/>
  <c r="AH418" i="22"/>
  <c r="AH419" i="22"/>
  <c r="AH420" i="22"/>
  <c r="AH421" i="22"/>
  <c r="AH422" i="22"/>
  <c r="AH423" i="22"/>
  <c r="AH424" i="22"/>
  <c r="AH425" i="22"/>
  <c r="AH426" i="22"/>
  <c r="AH427" i="22"/>
  <c r="AH428" i="22"/>
  <c r="AH429" i="22"/>
  <c r="AH430" i="22"/>
  <c r="AH431" i="22"/>
  <c r="AH432" i="22"/>
  <c r="AH433" i="22"/>
  <c r="AH434" i="22"/>
  <c r="AH435" i="22"/>
  <c r="AH436" i="22"/>
  <c r="AH437" i="22"/>
  <c r="AH438" i="22"/>
  <c r="AH439" i="22"/>
  <c r="AH440" i="22"/>
  <c r="AH441" i="22"/>
  <c r="AH442" i="22"/>
  <c r="AH443" i="22"/>
  <c r="AH444" i="22"/>
  <c r="AH445" i="22"/>
  <c r="AH446" i="22"/>
  <c r="AH447" i="22"/>
  <c r="AH448" i="22"/>
  <c r="AH449" i="22"/>
  <c r="AH450" i="22"/>
  <c r="AH451" i="22"/>
  <c r="AH452" i="22"/>
  <c r="AH453" i="22"/>
  <c r="AH454" i="22"/>
  <c r="AH455" i="22"/>
  <c r="AH456" i="22"/>
  <c r="AH457" i="22"/>
  <c r="AH458" i="22"/>
  <c r="AH459" i="22"/>
  <c r="AC388" i="22"/>
  <c r="AC389" i="22"/>
  <c r="AC390" i="22"/>
  <c r="AC391" i="22"/>
  <c r="AC392" i="22"/>
  <c r="AC393" i="22"/>
  <c r="AC394" i="22"/>
  <c r="AC395" i="22"/>
  <c r="AC396" i="22"/>
  <c r="AC397" i="22"/>
  <c r="AC398" i="22"/>
  <c r="AC399" i="22"/>
  <c r="AC400" i="22"/>
  <c r="AC401" i="22"/>
  <c r="AC402" i="22"/>
  <c r="AC403" i="22"/>
  <c r="AC404" i="22"/>
  <c r="AC405" i="22"/>
  <c r="AC406" i="22"/>
  <c r="AC407" i="22"/>
  <c r="AC408" i="22"/>
  <c r="AC409" i="22"/>
  <c r="AC410" i="22"/>
  <c r="AC411" i="22"/>
  <c r="AC412" i="22"/>
  <c r="AC413" i="22"/>
  <c r="AC414" i="22"/>
  <c r="AC415" i="22"/>
  <c r="AC416" i="22"/>
  <c r="AC417" i="22"/>
  <c r="AC418" i="22"/>
  <c r="AC419" i="22"/>
  <c r="AC420" i="22"/>
  <c r="AC421" i="22"/>
  <c r="AC422" i="22"/>
  <c r="AC423" i="22"/>
  <c r="AC424" i="22"/>
  <c r="AC425" i="22"/>
  <c r="AC426" i="22"/>
  <c r="AC427" i="22"/>
  <c r="AC428" i="22"/>
  <c r="AC429" i="22"/>
  <c r="AC430" i="22"/>
  <c r="AC431" i="22"/>
  <c r="AC432" i="22"/>
  <c r="AC433" i="22"/>
  <c r="AC434" i="22"/>
  <c r="AC435" i="22"/>
  <c r="AC436" i="22"/>
  <c r="AC437" i="22"/>
  <c r="AC438" i="22"/>
  <c r="AC439" i="22"/>
  <c r="AC440" i="22"/>
  <c r="AC441" i="22"/>
  <c r="AC442" i="22"/>
  <c r="AC443" i="22"/>
  <c r="AC444" i="22"/>
  <c r="AC445" i="22"/>
  <c r="AC446" i="22"/>
  <c r="AC447" i="22"/>
  <c r="AC448" i="22"/>
  <c r="AC449" i="22"/>
  <c r="AC450" i="22"/>
  <c r="AC451" i="22"/>
  <c r="AC452" i="22"/>
  <c r="AC453" i="22"/>
  <c r="AC454" i="22"/>
  <c r="AC455" i="22"/>
  <c r="AC456" i="22"/>
  <c r="AC457" i="22"/>
  <c r="AC458" i="22"/>
  <c r="AC459" i="22"/>
  <c r="AB388" i="22"/>
  <c r="AB389" i="22"/>
  <c r="AB390" i="22"/>
  <c r="AB391" i="22"/>
  <c r="AB392" i="22"/>
  <c r="AB393" i="22"/>
  <c r="AB394" i="22"/>
  <c r="AB395" i="22"/>
  <c r="AB396" i="22"/>
  <c r="AB397" i="22"/>
  <c r="AB398" i="22"/>
  <c r="AB399" i="22"/>
  <c r="AB400" i="22"/>
  <c r="AB401" i="22"/>
  <c r="AB402" i="22"/>
  <c r="AB403" i="22"/>
  <c r="AB404" i="22"/>
  <c r="AB405" i="22"/>
  <c r="AB406" i="22"/>
  <c r="AB407" i="22"/>
  <c r="AB408" i="22"/>
  <c r="AB409" i="22"/>
  <c r="AB410" i="22"/>
  <c r="AB411" i="22"/>
  <c r="AB412" i="22"/>
  <c r="AB413" i="22"/>
  <c r="AB414" i="22"/>
  <c r="AB415" i="22"/>
  <c r="AB416" i="22"/>
  <c r="AB417" i="22"/>
  <c r="AB418" i="22"/>
  <c r="AB419" i="22"/>
  <c r="AB420" i="22"/>
  <c r="AB421" i="22"/>
  <c r="AB422" i="22"/>
  <c r="AB423" i="22"/>
  <c r="AB424" i="22"/>
  <c r="AB425" i="22"/>
  <c r="AB426" i="22"/>
  <c r="AB427" i="22"/>
  <c r="AB428" i="22"/>
  <c r="AB429" i="22"/>
  <c r="AB430" i="22"/>
  <c r="AB431" i="22"/>
  <c r="AB432" i="22"/>
  <c r="AB433" i="22"/>
  <c r="AB434" i="22"/>
  <c r="AB435" i="22"/>
  <c r="AB436" i="22"/>
  <c r="AB437" i="22"/>
  <c r="AB438" i="22"/>
  <c r="AB439" i="22"/>
  <c r="AB440" i="22"/>
  <c r="AB441" i="22"/>
  <c r="AB442" i="22"/>
  <c r="AB443" i="22"/>
  <c r="AB444" i="22"/>
  <c r="AB445" i="22"/>
  <c r="AB446" i="22"/>
  <c r="AB447" i="22"/>
  <c r="AB448" i="22"/>
  <c r="AB449" i="22"/>
  <c r="AB450" i="22"/>
  <c r="AB451" i="22"/>
  <c r="AB452" i="22"/>
  <c r="AB453" i="22"/>
  <c r="AB454" i="22"/>
  <c r="AB455" i="22"/>
  <c r="AB456" i="22"/>
  <c r="AB457" i="22"/>
  <c r="AB458" i="22"/>
  <c r="AB459" i="22"/>
  <c r="B388" i="22"/>
  <c r="B389" i="22"/>
  <c r="B390" i="22"/>
  <c r="B391" i="22"/>
  <c r="B392" i="22"/>
  <c r="B393" i="22"/>
  <c r="B394" i="22"/>
  <c r="B395" i="22"/>
  <c r="B396" i="22"/>
  <c r="B397" i="22"/>
  <c r="B398" i="22"/>
  <c r="B399" i="22"/>
  <c r="B400" i="22"/>
  <c r="B401" i="22"/>
  <c r="B402" i="22"/>
  <c r="B403" i="22"/>
  <c r="B404" i="22"/>
  <c r="B405" i="22"/>
  <c r="B406" i="22"/>
  <c r="B407" i="22"/>
  <c r="B408" i="22"/>
  <c r="B409" i="22"/>
  <c r="B410" i="22"/>
  <c r="B411" i="22"/>
  <c r="B412" i="22"/>
  <c r="B413" i="22"/>
  <c r="B414" i="22"/>
  <c r="B415" i="22"/>
  <c r="B416" i="22"/>
  <c r="B417" i="22"/>
  <c r="B418" i="22"/>
  <c r="B419" i="22"/>
  <c r="B420" i="22"/>
  <c r="B421" i="22"/>
  <c r="B422" i="22"/>
  <c r="B423" i="22"/>
  <c r="B424" i="22"/>
  <c r="B425" i="22"/>
  <c r="B426" i="22"/>
  <c r="B427" i="22"/>
  <c r="B428" i="22"/>
  <c r="B429" i="22"/>
  <c r="B430" i="22"/>
  <c r="B431" i="22"/>
  <c r="B432" i="22"/>
  <c r="B433" i="22"/>
  <c r="B434" i="22"/>
  <c r="B435" i="22"/>
  <c r="B436" i="22"/>
  <c r="B437" i="22"/>
  <c r="B438" i="22"/>
  <c r="B439" i="22"/>
  <c r="B440" i="22"/>
  <c r="B441" i="22"/>
  <c r="B442" i="22"/>
  <c r="B443" i="22"/>
  <c r="B444" i="22"/>
  <c r="B445" i="22"/>
  <c r="B446" i="22"/>
  <c r="B447" i="22"/>
  <c r="B448" i="22"/>
  <c r="B449" i="22"/>
  <c r="B450" i="22"/>
  <c r="B451" i="22"/>
  <c r="B452" i="22"/>
  <c r="B453" i="22"/>
  <c r="B454" i="22"/>
  <c r="B455" i="22"/>
  <c r="B456" i="22"/>
  <c r="B457" i="22"/>
  <c r="B458" i="22"/>
  <c r="B459" i="22"/>
  <c r="AH344" i="22"/>
  <c r="AH345" i="22"/>
  <c r="AH346" i="22"/>
  <c r="AH347" i="22"/>
  <c r="AH348" i="22"/>
  <c r="AH349" i="22"/>
  <c r="AH350" i="22"/>
  <c r="AH351" i="22"/>
  <c r="AH352" i="22"/>
  <c r="AH353" i="22"/>
  <c r="AH354" i="22"/>
  <c r="AH355" i="22"/>
  <c r="AH356" i="22"/>
  <c r="AH357" i="22"/>
  <c r="AH358" i="22"/>
  <c r="AH359" i="22"/>
  <c r="AH360" i="22"/>
  <c r="AH361" i="22"/>
  <c r="AH362" i="22"/>
  <c r="AH363" i="22"/>
  <c r="AH364" i="22"/>
  <c r="AH365" i="22"/>
  <c r="AH366" i="22"/>
  <c r="AH367" i="22"/>
  <c r="AH368" i="22"/>
  <c r="AH369" i="22"/>
  <c r="AH370" i="22"/>
  <c r="AH371" i="22"/>
  <c r="AH372" i="22"/>
  <c r="AH373" i="22"/>
  <c r="AH374" i="22"/>
  <c r="AH375" i="22"/>
  <c r="AH376" i="22"/>
  <c r="AH377" i="22"/>
  <c r="AH378" i="22"/>
  <c r="AH379" i="22"/>
  <c r="AH380" i="22"/>
  <c r="AH381" i="22"/>
  <c r="AH382" i="22"/>
  <c r="AH383" i="22"/>
  <c r="AH384" i="22"/>
  <c r="AH385" i="22"/>
  <c r="AH386" i="22"/>
  <c r="AH387" i="22"/>
  <c r="AC344" i="22"/>
  <c r="AC345" i="22"/>
  <c r="AC346" i="22"/>
  <c r="AC347" i="22"/>
  <c r="AC348" i="22"/>
  <c r="AC349" i="22"/>
  <c r="AC350" i="22"/>
  <c r="AC351" i="22"/>
  <c r="AC352" i="22"/>
  <c r="AC353" i="22"/>
  <c r="AC354" i="22"/>
  <c r="AC355" i="22"/>
  <c r="AC356" i="22"/>
  <c r="AC357" i="22"/>
  <c r="AC358" i="22"/>
  <c r="AC359" i="22"/>
  <c r="AC360" i="22"/>
  <c r="AC361" i="22"/>
  <c r="AC362" i="22"/>
  <c r="AC363" i="22"/>
  <c r="AC364" i="22"/>
  <c r="AC365" i="22"/>
  <c r="AC366" i="22"/>
  <c r="AC367" i="22"/>
  <c r="AC368" i="22"/>
  <c r="AC369" i="22"/>
  <c r="AC370" i="22"/>
  <c r="AC371" i="22"/>
  <c r="AC372" i="22"/>
  <c r="AC373" i="22"/>
  <c r="AC374" i="22"/>
  <c r="AC375" i="22"/>
  <c r="AC376" i="22"/>
  <c r="AC377" i="22"/>
  <c r="AC378" i="22"/>
  <c r="AC379" i="22"/>
  <c r="AC380" i="22"/>
  <c r="AC381" i="22"/>
  <c r="AC382" i="22"/>
  <c r="AC383" i="22"/>
  <c r="AC384" i="22"/>
  <c r="AC385" i="22"/>
  <c r="AC386" i="22"/>
  <c r="AC387" i="22"/>
  <c r="AB344" i="22"/>
  <c r="AB345" i="22"/>
  <c r="AB346" i="22"/>
  <c r="AB347" i="22"/>
  <c r="AB348" i="22"/>
  <c r="AB349" i="22"/>
  <c r="AB350" i="22"/>
  <c r="AB351" i="22"/>
  <c r="AB352" i="22"/>
  <c r="AB353" i="22"/>
  <c r="AB354" i="22"/>
  <c r="AB355" i="22"/>
  <c r="AB356" i="22"/>
  <c r="AB357" i="22"/>
  <c r="AB358" i="22"/>
  <c r="AB359" i="22"/>
  <c r="AB360" i="22"/>
  <c r="AB361" i="22"/>
  <c r="AB362" i="22"/>
  <c r="AB363" i="22"/>
  <c r="AB364" i="22"/>
  <c r="AB365" i="22"/>
  <c r="AB366" i="22"/>
  <c r="AB367" i="22"/>
  <c r="AB368" i="22"/>
  <c r="AB369" i="22"/>
  <c r="AB370" i="22"/>
  <c r="AB371" i="22"/>
  <c r="AB372" i="22"/>
  <c r="AB373" i="22"/>
  <c r="AB374" i="22"/>
  <c r="AB375" i="22"/>
  <c r="AB376" i="22"/>
  <c r="AB377" i="22"/>
  <c r="AB378" i="22"/>
  <c r="AB379" i="22"/>
  <c r="AB380" i="22"/>
  <c r="AB381" i="22"/>
  <c r="AB382" i="22"/>
  <c r="AB383" i="22"/>
  <c r="AB384" i="22"/>
  <c r="AB385" i="22"/>
  <c r="AB386" i="22"/>
  <c r="AB387" i="22"/>
  <c r="B344" i="22"/>
  <c r="B345" i="22"/>
  <c r="B346" i="22"/>
  <c r="B347" i="22"/>
  <c r="B348" i="22"/>
  <c r="B349" i="22"/>
  <c r="B350" i="22"/>
  <c r="B351" i="22"/>
  <c r="B352" i="22"/>
  <c r="B353" i="22"/>
  <c r="B354" i="22"/>
  <c r="B355" i="22"/>
  <c r="B356" i="22"/>
  <c r="B357" i="22"/>
  <c r="B358" i="22"/>
  <c r="B359" i="22"/>
  <c r="B360" i="22"/>
  <c r="B361" i="22"/>
  <c r="B362" i="22"/>
  <c r="B363" i="22"/>
  <c r="B364" i="22"/>
  <c r="B365" i="22"/>
  <c r="B366" i="22"/>
  <c r="B367" i="22"/>
  <c r="B368" i="22"/>
  <c r="B369" i="22"/>
  <c r="B370" i="22"/>
  <c r="B371" i="22"/>
  <c r="B372" i="22"/>
  <c r="B373" i="22"/>
  <c r="B374" i="22"/>
  <c r="B375" i="22"/>
  <c r="B376" i="22"/>
  <c r="B377" i="22"/>
  <c r="B378" i="22"/>
  <c r="B379" i="22"/>
  <c r="B380" i="22"/>
  <c r="B381" i="22"/>
  <c r="B382" i="22"/>
  <c r="B383" i="22"/>
  <c r="B384" i="22"/>
  <c r="B385" i="22"/>
  <c r="B386" i="22"/>
  <c r="B387" i="22"/>
  <c r="AC300" i="22"/>
  <c r="AC301" i="22"/>
  <c r="AC302" i="22"/>
  <c r="AC303" i="22"/>
  <c r="AC304" i="22"/>
  <c r="AC305" i="22"/>
  <c r="AC306" i="22"/>
  <c r="AC307" i="22"/>
  <c r="AC308" i="22"/>
  <c r="AC309" i="22"/>
  <c r="AC310" i="22"/>
  <c r="AC311" i="22"/>
  <c r="AC312" i="22"/>
  <c r="AC313" i="22"/>
  <c r="AC314" i="22"/>
  <c r="AC315" i="22"/>
  <c r="AC316" i="22"/>
  <c r="AC317" i="22"/>
  <c r="AC318" i="22"/>
  <c r="AC319" i="22"/>
  <c r="AC320" i="22"/>
  <c r="AC321" i="22"/>
  <c r="AC322" i="22"/>
  <c r="AC323" i="22"/>
  <c r="AC324" i="22"/>
  <c r="AC325" i="22"/>
  <c r="AC326" i="22"/>
  <c r="AC327" i="22"/>
  <c r="AC328" i="22"/>
  <c r="AC329" i="22"/>
  <c r="AC330" i="22"/>
  <c r="AC331" i="22"/>
  <c r="AC332" i="22"/>
  <c r="AC333" i="22"/>
  <c r="AC334" i="22"/>
  <c r="AC335" i="22"/>
  <c r="AC336" i="22"/>
  <c r="AC337" i="22"/>
  <c r="AC338" i="22"/>
  <c r="AC339" i="22"/>
  <c r="AC340" i="22"/>
  <c r="AC341" i="22"/>
  <c r="AC342" i="22"/>
  <c r="AC343" i="22"/>
  <c r="AB300" i="22"/>
  <c r="AB301" i="22"/>
  <c r="AB302" i="22"/>
  <c r="AB303" i="22"/>
  <c r="AB304" i="22"/>
  <c r="AB305" i="22"/>
  <c r="AB306" i="22"/>
  <c r="AB307" i="22"/>
  <c r="AB308" i="22"/>
  <c r="AB309" i="22"/>
  <c r="AB310" i="22"/>
  <c r="AB311" i="22"/>
  <c r="AB312" i="22"/>
  <c r="AB313" i="22"/>
  <c r="AB314" i="22"/>
  <c r="AB315" i="22"/>
  <c r="AB316" i="22"/>
  <c r="AB317" i="22"/>
  <c r="AB318" i="22"/>
  <c r="AB319" i="22"/>
  <c r="AB320" i="22"/>
  <c r="AB321" i="22"/>
  <c r="AB322" i="22"/>
  <c r="AB323" i="22"/>
  <c r="AB324" i="22"/>
  <c r="AB325" i="22"/>
  <c r="AB326" i="22"/>
  <c r="AB327" i="22"/>
  <c r="AB328" i="22"/>
  <c r="AB329" i="22"/>
  <c r="AB330" i="22"/>
  <c r="AB331" i="22"/>
  <c r="AB332" i="22"/>
  <c r="AB333" i="22"/>
  <c r="AB334" i="22"/>
  <c r="AB335" i="22"/>
  <c r="AB336" i="22"/>
  <c r="AB337" i="22"/>
  <c r="AB338" i="22"/>
  <c r="AB339" i="22"/>
  <c r="AB340" i="22"/>
  <c r="AB341" i="22"/>
  <c r="AB342" i="22"/>
  <c r="AB343" i="22"/>
  <c r="B300" i="22"/>
  <c r="B301" i="22"/>
  <c r="B302" i="22"/>
  <c r="B303" i="22"/>
  <c r="B304" i="22"/>
  <c r="B305" i="22"/>
  <c r="B306" i="22"/>
  <c r="B307" i="22"/>
  <c r="B308" i="22"/>
  <c r="B309" i="22"/>
  <c r="B310" i="22"/>
  <c r="B311" i="22"/>
  <c r="B312" i="22"/>
  <c r="B313" i="22"/>
  <c r="B314" i="22"/>
  <c r="B315" i="22"/>
  <c r="B316" i="22"/>
  <c r="B317" i="22"/>
  <c r="B318" i="22"/>
  <c r="B319" i="22"/>
  <c r="B320" i="22"/>
  <c r="B321" i="22"/>
  <c r="B322" i="22"/>
  <c r="B323" i="22"/>
  <c r="B324" i="22"/>
  <c r="B325" i="22"/>
  <c r="B326" i="22"/>
  <c r="B327" i="22"/>
  <c r="B328" i="22"/>
  <c r="B329" i="22"/>
  <c r="B330" i="22"/>
  <c r="B331" i="22"/>
  <c r="B332" i="22"/>
  <c r="B333" i="22"/>
  <c r="B334" i="22"/>
  <c r="B335" i="22"/>
  <c r="B336" i="22"/>
  <c r="B337" i="22"/>
  <c r="B338" i="22"/>
  <c r="B339" i="22"/>
  <c r="B340" i="22"/>
  <c r="B341" i="22"/>
  <c r="B342" i="22"/>
  <c r="B343" i="22"/>
  <c r="AH221" i="22"/>
  <c r="AH222" i="22"/>
  <c r="AH223" i="22"/>
  <c r="AH224" i="22"/>
  <c r="AH225" i="22"/>
  <c r="AH226" i="22"/>
  <c r="AH227" i="22"/>
  <c r="AH228" i="22"/>
  <c r="AH229" i="22"/>
  <c r="AH230" i="22"/>
  <c r="AH231" i="22"/>
  <c r="AH232" i="22"/>
  <c r="AH233" i="22"/>
  <c r="AH234" i="22"/>
  <c r="AH235" i="22"/>
  <c r="AH236" i="22"/>
  <c r="AH237" i="22"/>
  <c r="AH238" i="22"/>
  <c r="AH239" i="22"/>
  <c r="AH240" i="22"/>
  <c r="AH241" i="22"/>
  <c r="AH242" i="22"/>
  <c r="AH243" i="22"/>
  <c r="AH244" i="22"/>
  <c r="AH245" i="22"/>
  <c r="AH246" i="22"/>
  <c r="AH247" i="22"/>
  <c r="AH248" i="22"/>
  <c r="AH249" i="22"/>
  <c r="AH250" i="22"/>
  <c r="AH251" i="22"/>
  <c r="AH252" i="22"/>
  <c r="AH253" i="22"/>
  <c r="AH254" i="22"/>
  <c r="AH255" i="22"/>
  <c r="AH256" i="22"/>
  <c r="AH257" i="22"/>
  <c r="AH258" i="22"/>
  <c r="AH259" i="22"/>
  <c r="AH260" i="22"/>
  <c r="AH261" i="22"/>
  <c r="AH262" i="22"/>
  <c r="AH263" i="22"/>
  <c r="AH264" i="22"/>
  <c r="AH265" i="22"/>
  <c r="AH266" i="22"/>
  <c r="AH267" i="22"/>
  <c r="AH268" i="22"/>
  <c r="AH269" i="22"/>
  <c r="AH270" i="22"/>
  <c r="AH271" i="22"/>
  <c r="AH272" i="22"/>
  <c r="AH273" i="22"/>
  <c r="AH274" i="22"/>
  <c r="AH275" i="22"/>
  <c r="AH276" i="22"/>
  <c r="AH277" i="22"/>
  <c r="AH278" i="22"/>
  <c r="AH279" i="22"/>
  <c r="AH280" i="22"/>
  <c r="AH281" i="22"/>
  <c r="AH282" i="22"/>
  <c r="AH283" i="22"/>
  <c r="AH284" i="22"/>
  <c r="AH285" i="22"/>
  <c r="AH286" i="22"/>
  <c r="AH287" i="22"/>
  <c r="AH288" i="22"/>
  <c r="AH289" i="22"/>
  <c r="AH290" i="22"/>
  <c r="AH291" i="22"/>
  <c r="AH292" i="22"/>
  <c r="AH293" i="22"/>
  <c r="AH294" i="22"/>
  <c r="AH295" i="22"/>
  <c r="AH296" i="22"/>
  <c r="AH297" i="22"/>
  <c r="AH298" i="22"/>
  <c r="AH299" i="22"/>
  <c r="AD221" i="22"/>
  <c r="AD222" i="22"/>
  <c r="AD223" i="22"/>
  <c r="AD224" i="22"/>
  <c r="AD225" i="22"/>
  <c r="AD226" i="22"/>
  <c r="AD227" i="22"/>
  <c r="AD228" i="22"/>
  <c r="AD229" i="22"/>
  <c r="AD230" i="22"/>
  <c r="AD231" i="22"/>
  <c r="AD232" i="22"/>
  <c r="AD233" i="22"/>
  <c r="AD234" i="22"/>
  <c r="AD235" i="22"/>
  <c r="AD236" i="22"/>
  <c r="AD237" i="22"/>
  <c r="AD238" i="22"/>
  <c r="AD239" i="22"/>
  <c r="AD240" i="22"/>
  <c r="AD241" i="22"/>
  <c r="AD242" i="22"/>
  <c r="AD243" i="22"/>
  <c r="AD244" i="22"/>
  <c r="AD245" i="22"/>
  <c r="AD246" i="22"/>
  <c r="AD247" i="22"/>
  <c r="AD248" i="22"/>
  <c r="AD249" i="22"/>
  <c r="AD250" i="22"/>
  <c r="AD251" i="22"/>
  <c r="AD252" i="22"/>
  <c r="AD253" i="22"/>
  <c r="AD254" i="22"/>
  <c r="AD255" i="22"/>
  <c r="AD256" i="22"/>
  <c r="AD257" i="22"/>
  <c r="AD258" i="22"/>
  <c r="AD259" i="22"/>
  <c r="AD260" i="22"/>
  <c r="AD261" i="22"/>
  <c r="AD262" i="22"/>
  <c r="AD263" i="22"/>
  <c r="AD264" i="22"/>
  <c r="AD265" i="22"/>
  <c r="AD266" i="22"/>
  <c r="AD267" i="22"/>
  <c r="AD268" i="22"/>
  <c r="AD269" i="22"/>
  <c r="AD270" i="22"/>
  <c r="AD271" i="22"/>
  <c r="AD272" i="22"/>
  <c r="AD273" i="22"/>
  <c r="AD274" i="22"/>
  <c r="AD275" i="22"/>
  <c r="AD276" i="22"/>
  <c r="AD277" i="22"/>
  <c r="AD278" i="22"/>
  <c r="AD279" i="22"/>
  <c r="AD280" i="22"/>
  <c r="AD281" i="22"/>
  <c r="AD282" i="22"/>
  <c r="AD283" i="22"/>
  <c r="AD284" i="22"/>
  <c r="AD285" i="22"/>
  <c r="AD286" i="22"/>
  <c r="AD287" i="22"/>
  <c r="AD288" i="22"/>
  <c r="AD289" i="22"/>
  <c r="AD290" i="22"/>
  <c r="AD291" i="22"/>
  <c r="AD292" i="22"/>
  <c r="AD293" i="22"/>
  <c r="AD294" i="22"/>
  <c r="AD295" i="22"/>
  <c r="AD296" i="22"/>
  <c r="AD297" i="22"/>
  <c r="AD298" i="22"/>
  <c r="AD299" i="22"/>
  <c r="AC221" i="22"/>
  <c r="AC222" i="22"/>
  <c r="AC223" i="22"/>
  <c r="AC224" i="22"/>
  <c r="AC225" i="22"/>
  <c r="AC226" i="22"/>
  <c r="AC227" i="22"/>
  <c r="AC228" i="22"/>
  <c r="AC229" i="22"/>
  <c r="AC230" i="22"/>
  <c r="AC231" i="22"/>
  <c r="AC232" i="22"/>
  <c r="AC233" i="22"/>
  <c r="AC234" i="22"/>
  <c r="AC235" i="22"/>
  <c r="AC236" i="22"/>
  <c r="AC237" i="22"/>
  <c r="AC238" i="22"/>
  <c r="AC239" i="22"/>
  <c r="AC240" i="22"/>
  <c r="AC241" i="22"/>
  <c r="AC242" i="22"/>
  <c r="AC243" i="22"/>
  <c r="AC244" i="22"/>
  <c r="AC245" i="22"/>
  <c r="AC246" i="22"/>
  <c r="AC247" i="22"/>
  <c r="AC248" i="22"/>
  <c r="AC249" i="22"/>
  <c r="AC250" i="22"/>
  <c r="AC251" i="22"/>
  <c r="AC252" i="22"/>
  <c r="AC253" i="22"/>
  <c r="AC254" i="22"/>
  <c r="AC255" i="22"/>
  <c r="AC256" i="22"/>
  <c r="AC257" i="22"/>
  <c r="AC258" i="22"/>
  <c r="AC259" i="22"/>
  <c r="AC260" i="22"/>
  <c r="AC261" i="22"/>
  <c r="AC262" i="22"/>
  <c r="AC263" i="22"/>
  <c r="AC264" i="22"/>
  <c r="AC265" i="22"/>
  <c r="AC266" i="22"/>
  <c r="AC267" i="22"/>
  <c r="AC268" i="22"/>
  <c r="AC269" i="22"/>
  <c r="AC270" i="22"/>
  <c r="AC271" i="22"/>
  <c r="AC272" i="22"/>
  <c r="AC273" i="22"/>
  <c r="AC274" i="22"/>
  <c r="AC275" i="22"/>
  <c r="AC276" i="22"/>
  <c r="AC277" i="22"/>
  <c r="AC278" i="22"/>
  <c r="AC279" i="22"/>
  <c r="AC280" i="22"/>
  <c r="AC281" i="22"/>
  <c r="AC286" i="22"/>
  <c r="AC292" i="22"/>
  <c r="AC293" i="22"/>
  <c r="AC294" i="22"/>
  <c r="AB221" i="22"/>
  <c r="AB222" i="22"/>
  <c r="AB223" i="22"/>
  <c r="AB224" i="22"/>
  <c r="AB225" i="22"/>
  <c r="AB226" i="22"/>
  <c r="AB227" i="22"/>
  <c r="AB228" i="22"/>
  <c r="AB229" i="22"/>
  <c r="AB230" i="22"/>
  <c r="AB231" i="22"/>
  <c r="AB232" i="22"/>
  <c r="AB233" i="22"/>
  <c r="AB234" i="22"/>
  <c r="AB235" i="22"/>
  <c r="AB236" i="22"/>
  <c r="AB237" i="22"/>
  <c r="AB238" i="22"/>
  <c r="AB239" i="22"/>
  <c r="AB240" i="22"/>
  <c r="AB241" i="22"/>
  <c r="AB242" i="22"/>
  <c r="AB243" i="22"/>
  <c r="AB244" i="22"/>
  <c r="AB245" i="22"/>
  <c r="AB246" i="22"/>
  <c r="AB247" i="22"/>
  <c r="AB248" i="22"/>
  <c r="AB249" i="22"/>
  <c r="AB250" i="22"/>
  <c r="AB251" i="22"/>
  <c r="AB252" i="22"/>
  <c r="AB253" i="22"/>
  <c r="AB254" i="22"/>
  <c r="AB255" i="22"/>
  <c r="AB256" i="22"/>
  <c r="AB257" i="22"/>
  <c r="AB258" i="22"/>
  <c r="AB259" i="22"/>
  <c r="AB260" i="22"/>
  <c r="AB261" i="22"/>
  <c r="AB262" i="22"/>
  <c r="AB263" i="22"/>
  <c r="AB264" i="22"/>
  <c r="AB265" i="22"/>
  <c r="AB266" i="22"/>
  <c r="AB267" i="22"/>
  <c r="AB268" i="22"/>
  <c r="AB269" i="22"/>
  <c r="AB270" i="22"/>
  <c r="AB271" i="22"/>
  <c r="AB272" i="22"/>
  <c r="AB273" i="22"/>
  <c r="AB274" i="22"/>
  <c r="AB275" i="22"/>
  <c r="AB276" i="22"/>
  <c r="AB277" i="22"/>
  <c r="AB278" i="22"/>
  <c r="AB279" i="22"/>
  <c r="AB280" i="22"/>
  <c r="AB281" i="22"/>
  <c r="AB282" i="22"/>
  <c r="AB283" i="22"/>
  <c r="AB284" i="22"/>
  <c r="AB285" i="22"/>
  <c r="AB286" i="22"/>
  <c r="AB287" i="22"/>
  <c r="AB288" i="22"/>
  <c r="AB289" i="22"/>
  <c r="AB290" i="22"/>
  <c r="AB291" i="22"/>
  <c r="AB292" i="22"/>
  <c r="AB293" i="22"/>
  <c r="AB294" i="22"/>
  <c r="AB295" i="22"/>
  <c r="AB296" i="22"/>
  <c r="AB297" i="22"/>
  <c r="AB298" i="22"/>
  <c r="AB299" i="22"/>
  <c r="U221" i="22"/>
  <c r="U222" i="22"/>
  <c r="U223" i="22"/>
  <c r="U224" i="22"/>
  <c r="U225" i="22"/>
  <c r="U226" i="22"/>
  <c r="U227" i="22"/>
  <c r="U228" i="22"/>
  <c r="U229" i="22"/>
  <c r="U230" i="22"/>
  <c r="U231" i="22"/>
  <c r="U232" i="22"/>
  <c r="U233" i="22"/>
  <c r="U234" i="22"/>
  <c r="U235" i="22"/>
  <c r="U236" i="22"/>
  <c r="U237" i="22"/>
  <c r="U238" i="22"/>
  <c r="U239" i="22"/>
  <c r="U240" i="22"/>
  <c r="U241" i="22"/>
  <c r="U242" i="22"/>
  <c r="U243" i="22"/>
  <c r="U244" i="22"/>
  <c r="U245" i="22"/>
  <c r="U246" i="22"/>
  <c r="U247" i="22"/>
  <c r="U248" i="22"/>
  <c r="U249" i="22"/>
  <c r="U250" i="22"/>
  <c r="U251" i="22"/>
  <c r="U252" i="22"/>
  <c r="U253" i="22"/>
  <c r="U254" i="22"/>
  <c r="U255" i="22"/>
  <c r="U256" i="22"/>
  <c r="U257" i="22"/>
  <c r="U258" i="22"/>
  <c r="U259" i="22"/>
  <c r="U260" i="22"/>
  <c r="U261" i="22"/>
  <c r="U262" i="22"/>
  <c r="U263" i="22"/>
  <c r="U264" i="22"/>
  <c r="U265" i="22"/>
  <c r="U266" i="22"/>
  <c r="U267" i="22"/>
  <c r="U268" i="22"/>
  <c r="U269" i="22"/>
  <c r="U270" i="22"/>
  <c r="U271" i="22"/>
  <c r="U272" i="22"/>
  <c r="U273" i="22"/>
  <c r="U274" i="22"/>
  <c r="U275" i="22"/>
  <c r="U276" i="22"/>
  <c r="U277" i="22"/>
  <c r="U278" i="22"/>
  <c r="U279" i="22"/>
  <c r="U280" i="22"/>
  <c r="U281" i="22"/>
  <c r="U282" i="22"/>
  <c r="U283" i="22"/>
  <c r="U284" i="22"/>
  <c r="U285" i="22"/>
  <c r="U286" i="22"/>
  <c r="U287" i="22"/>
  <c r="U288" i="22"/>
  <c r="U289" i="22"/>
  <c r="U290" i="22"/>
  <c r="U291" i="22"/>
  <c r="U292" i="22"/>
  <c r="U293" i="22"/>
  <c r="U294" i="22"/>
  <c r="U295" i="22"/>
  <c r="U296" i="22"/>
  <c r="U297" i="22"/>
  <c r="U298" i="22"/>
  <c r="U299" i="22"/>
  <c r="T221" i="22"/>
  <c r="T222" i="22"/>
  <c r="T223" i="22"/>
  <c r="T224" i="22"/>
  <c r="T225" i="22"/>
  <c r="T226" i="22"/>
  <c r="T227" i="22"/>
  <c r="T228" i="22"/>
  <c r="T229" i="22"/>
  <c r="T230" i="22"/>
  <c r="T231" i="22"/>
  <c r="T232" i="22"/>
  <c r="T233" i="22"/>
  <c r="T234" i="22"/>
  <c r="T235" i="22"/>
  <c r="T236" i="22"/>
  <c r="T237" i="22"/>
  <c r="T238" i="22"/>
  <c r="T239" i="22"/>
  <c r="T240" i="22"/>
  <c r="T241" i="22"/>
  <c r="T242" i="22"/>
  <c r="T243" i="22"/>
  <c r="T244" i="22"/>
  <c r="T245" i="22"/>
  <c r="T246" i="22"/>
  <c r="T247" i="22"/>
  <c r="T248" i="22"/>
  <c r="T249" i="22"/>
  <c r="T250" i="22"/>
  <c r="T251" i="22"/>
  <c r="T252" i="22"/>
  <c r="T253" i="22"/>
  <c r="T254" i="22"/>
  <c r="T255" i="22"/>
  <c r="T256" i="22"/>
  <c r="T257" i="22"/>
  <c r="T258" i="22"/>
  <c r="T259" i="22"/>
  <c r="T260" i="22"/>
  <c r="T261" i="22"/>
  <c r="T262" i="22"/>
  <c r="T263" i="22"/>
  <c r="T264" i="22"/>
  <c r="T265" i="22"/>
  <c r="T266" i="22"/>
  <c r="T267" i="22"/>
  <c r="T268" i="22"/>
  <c r="T269" i="22"/>
  <c r="T270" i="22"/>
  <c r="T271" i="22"/>
  <c r="T272" i="22"/>
  <c r="T273" i="22"/>
  <c r="T274" i="22"/>
  <c r="T275" i="22"/>
  <c r="T276" i="22"/>
  <c r="T277" i="22"/>
  <c r="T278" i="22"/>
  <c r="T279" i="22"/>
  <c r="T280" i="22"/>
  <c r="T281" i="22"/>
  <c r="T282" i="22"/>
  <c r="T283" i="22"/>
  <c r="T284" i="22"/>
  <c r="T285" i="22"/>
  <c r="T286" i="22"/>
  <c r="T287" i="22"/>
  <c r="T288" i="22"/>
  <c r="T289" i="22"/>
  <c r="T290" i="22"/>
  <c r="T291" i="22"/>
  <c r="T292" i="22"/>
  <c r="T293" i="22"/>
  <c r="T294" i="22"/>
  <c r="T295" i="22"/>
  <c r="T296" i="22"/>
  <c r="T297" i="22"/>
  <c r="T298" i="22"/>
  <c r="T299" i="22"/>
  <c r="S221" i="22"/>
  <c r="S222" i="22"/>
  <c r="S223" i="22"/>
  <c r="S224" i="22"/>
  <c r="S225" i="22"/>
  <c r="S226" i="22"/>
  <c r="S227" i="22"/>
  <c r="S228" i="22"/>
  <c r="S229" i="22"/>
  <c r="S230" i="22"/>
  <c r="S231" i="22"/>
  <c r="S232" i="22"/>
  <c r="S233" i="22"/>
  <c r="S234" i="22"/>
  <c r="S235" i="22"/>
  <c r="S236" i="22"/>
  <c r="S237" i="22"/>
  <c r="S238" i="22"/>
  <c r="S239" i="22"/>
  <c r="S240" i="22"/>
  <c r="S241" i="22"/>
  <c r="S242" i="22"/>
  <c r="S243" i="22"/>
  <c r="S244" i="22"/>
  <c r="S245" i="22"/>
  <c r="S246" i="22"/>
  <c r="S247" i="22"/>
  <c r="S248" i="22"/>
  <c r="S249" i="22"/>
  <c r="S250" i="22"/>
  <c r="S251" i="22"/>
  <c r="S252" i="22"/>
  <c r="S253" i="22"/>
  <c r="S254" i="22"/>
  <c r="S255" i="22"/>
  <c r="S256" i="22"/>
  <c r="S257" i="22"/>
  <c r="S258" i="22"/>
  <c r="S259" i="22"/>
  <c r="S260" i="22"/>
  <c r="S261" i="22"/>
  <c r="S262" i="22"/>
  <c r="S263" i="22"/>
  <c r="S264" i="22"/>
  <c r="S265" i="22"/>
  <c r="S266" i="22"/>
  <c r="S267" i="22"/>
  <c r="S268" i="22"/>
  <c r="S269" i="22"/>
  <c r="S270" i="22"/>
  <c r="S271" i="22"/>
  <c r="S272" i="22"/>
  <c r="S273" i="22"/>
  <c r="S274" i="22"/>
  <c r="S275" i="22"/>
  <c r="S276" i="22"/>
  <c r="S277" i="22"/>
  <c r="S278" i="22"/>
  <c r="S279" i="22"/>
  <c r="S280" i="22"/>
  <c r="S281" i="22"/>
  <c r="S282" i="22"/>
  <c r="S283" i="22"/>
  <c r="S284" i="22"/>
  <c r="S285" i="22"/>
  <c r="S286" i="22"/>
  <c r="S287" i="22"/>
  <c r="S288" i="22"/>
  <c r="S289" i="22"/>
  <c r="S290" i="22"/>
  <c r="S291" i="22"/>
  <c r="S292" i="22"/>
  <c r="S293" i="22"/>
  <c r="S294" i="22"/>
  <c r="S295" i="22"/>
  <c r="S296" i="22"/>
  <c r="S297" i="22"/>
  <c r="S298" i="22"/>
  <c r="S299" i="22"/>
  <c r="P221" i="22"/>
  <c r="Z221" i="22" s="1"/>
  <c r="P222" i="22"/>
  <c r="Z222" i="22" s="1"/>
  <c r="P223" i="22"/>
  <c r="Z223" i="22" s="1"/>
  <c r="P224" i="22"/>
  <c r="Z224" i="22" s="1"/>
  <c r="P225" i="22"/>
  <c r="Z225" i="22" s="1"/>
  <c r="P226" i="22"/>
  <c r="Z226" i="22" s="1"/>
  <c r="P227" i="22"/>
  <c r="Z227" i="22" s="1"/>
  <c r="P228" i="22"/>
  <c r="Z228" i="22" s="1"/>
  <c r="P229" i="22"/>
  <c r="Z229" i="22" s="1"/>
  <c r="P230" i="22"/>
  <c r="Z230" i="22" s="1"/>
  <c r="P231" i="22"/>
  <c r="Z231" i="22" s="1"/>
  <c r="P232" i="22"/>
  <c r="Z232" i="22" s="1"/>
  <c r="P233" i="22"/>
  <c r="Z233" i="22" s="1"/>
  <c r="P234" i="22"/>
  <c r="Z234" i="22" s="1"/>
  <c r="P235" i="22"/>
  <c r="Z235" i="22" s="1"/>
  <c r="P236" i="22"/>
  <c r="Z236" i="22" s="1"/>
  <c r="P237" i="22"/>
  <c r="Z237" i="22" s="1"/>
  <c r="P238" i="22"/>
  <c r="Z238" i="22" s="1"/>
  <c r="P239" i="22"/>
  <c r="Z239" i="22" s="1"/>
  <c r="P240" i="22"/>
  <c r="Z240" i="22" s="1"/>
  <c r="P241" i="22"/>
  <c r="Z241" i="22" s="1"/>
  <c r="P242" i="22"/>
  <c r="Z242" i="22" s="1"/>
  <c r="P243" i="22"/>
  <c r="Z243" i="22" s="1"/>
  <c r="P244" i="22"/>
  <c r="Z244" i="22" s="1"/>
  <c r="P245" i="22"/>
  <c r="Z245" i="22" s="1"/>
  <c r="P246" i="22"/>
  <c r="Z246" i="22" s="1"/>
  <c r="P247" i="22"/>
  <c r="Z247" i="22" s="1"/>
  <c r="P248" i="22"/>
  <c r="Z248" i="22" s="1"/>
  <c r="P249" i="22"/>
  <c r="Z249" i="22" s="1"/>
  <c r="P250" i="22"/>
  <c r="Z250" i="22" s="1"/>
  <c r="P251" i="22"/>
  <c r="Z251" i="22" s="1"/>
  <c r="P252" i="22"/>
  <c r="Z252" i="22" s="1"/>
  <c r="P253" i="22"/>
  <c r="Z253" i="22" s="1"/>
  <c r="P254" i="22"/>
  <c r="Z254" i="22" s="1"/>
  <c r="P255" i="22"/>
  <c r="Z255" i="22" s="1"/>
  <c r="P256" i="22"/>
  <c r="Z256" i="22" s="1"/>
  <c r="P257" i="22"/>
  <c r="Z257" i="22" s="1"/>
  <c r="P258" i="22"/>
  <c r="Z258" i="22" s="1"/>
  <c r="P259" i="22"/>
  <c r="Z259" i="22" s="1"/>
  <c r="P260" i="22"/>
  <c r="Z260" i="22" s="1"/>
  <c r="P261" i="22"/>
  <c r="Z261" i="22" s="1"/>
  <c r="P262" i="22"/>
  <c r="Z262" i="22" s="1"/>
  <c r="P263" i="22"/>
  <c r="Z263" i="22" s="1"/>
  <c r="P264" i="22"/>
  <c r="Z264" i="22" s="1"/>
  <c r="P265" i="22"/>
  <c r="Z265" i="22" s="1"/>
  <c r="P266" i="22"/>
  <c r="Z266" i="22" s="1"/>
  <c r="P267" i="22"/>
  <c r="Z267" i="22" s="1"/>
  <c r="P268" i="22"/>
  <c r="Z268" i="22" s="1"/>
  <c r="P269" i="22"/>
  <c r="Z269" i="22" s="1"/>
  <c r="P270" i="22"/>
  <c r="Z270" i="22" s="1"/>
  <c r="P271" i="22"/>
  <c r="Z271" i="22" s="1"/>
  <c r="P272" i="22"/>
  <c r="Z272" i="22" s="1"/>
  <c r="P273" i="22"/>
  <c r="Z273" i="22" s="1"/>
  <c r="P274" i="22"/>
  <c r="Z274" i="22" s="1"/>
  <c r="P275" i="22"/>
  <c r="Z275" i="22" s="1"/>
  <c r="P276" i="22"/>
  <c r="Z276" i="22" s="1"/>
  <c r="P277" i="22"/>
  <c r="Z277" i="22" s="1"/>
  <c r="P278" i="22"/>
  <c r="Z278" i="22" s="1"/>
  <c r="P279" i="22"/>
  <c r="Z279" i="22" s="1"/>
  <c r="P280" i="22"/>
  <c r="Z280" i="22" s="1"/>
  <c r="P281" i="22"/>
  <c r="Z281" i="22" s="1"/>
  <c r="P286" i="22"/>
  <c r="Z286" i="22" s="1"/>
  <c r="P292" i="22"/>
  <c r="Z292" i="22" s="1"/>
  <c r="P293" i="22"/>
  <c r="Z293" i="22" s="1"/>
  <c r="P294" i="22"/>
  <c r="Z294" i="22" s="1"/>
  <c r="O221" i="22"/>
  <c r="Y221" i="22" s="1"/>
  <c r="O222" i="22"/>
  <c r="Y222" i="22" s="1"/>
  <c r="O223" i="22"/>
  <c r="Y223" i="22" s="1"/>
  <c r="O224" i="22"/>
  <c r="Y224" i="22" s="1"/>
  <c r="O225" i="22"/>
  <c r="Y225" i="22" s="1"/>
  <c r="O226" i="22"/>
  <c r="Y226" i="22" s="1"/>
  <c r="O227" i="22"/>
  <c r="Y227" i="22" s="1"/>
  <c r="O228" i="22"/>
  <c r="Y228" i="22" s="1"/>
  <c r="O229" i="22"/>
  <c r="Y229" i="22" s="1"/>
  <c r="O230" i="22"/>
  <c r="Y230" i="22" s="1"/>
  <c r="O231" i="22"/>
  <c r="Y231" i="22" s="1"/>
  <c r="O232" i="22"/>
  <c r="Y232" i="22" s="1"/>
  <c r="O233" i="22"/>
  <c r="Y233" i="22" s="1"/>
  <c r="O234" i="22"/>
  <c r="Y234" i="22" s="1"/>
  <c r="O235" i="22"/>
  <c r="Y235" i="22" s="1"/>
  <c r="O236" i="22"/>
  <c r="Y236" i="22" s="1"/>
  <c r="O237" i="22"/>
  <c r="Y237" i="22" s="1"/>
  <c r="O238" i="22"/>
  <c r="Y238" i="22" s="1"/>
  <c r="O239" i="22"/>
  <c r="Y239" i="22" s="1"/>
  <c r="O240" i="22"/>
  <c r="Y240" i="22" s="1"/>
  <c r="O241" i="22"/>
  <c r="Y241" i="22" s="1"/>
  <c r="O242" i="22"/>
  <c r="Y242" i="22" s="1"/>
  <c r="O243" i="22"/>
  <c r="Y243" i="22" s="1"/>
  <c r="O244" i="22"/>
  <c r="Y244" i="22" s="1"/>
  <c r="O245" i="22"/>
  <c r="Y245" i="22" s="1"/>
  <c r="O246" i="22"/>
  <c r="Y246" i="22" s="1"/>
  <c r="O247" i="22"/>
  <c r="Y247" i="22" s="1"/>
  <c r="O248" i="22"/>
  <c r="Y248" i="22" s="1"/>
  <c r="O249" i="22"/>
  <c r="Y249" i="22" s="1"/>
  <c r="O250" i="22"/>
  <c r="Y250" i="22" s="1"/>
  <c r="B221" i="22"/>
  <c r="B222" i="22"/>
  <c r="B223" i="22"/>
  <c r="B224" i="22"/>
  <c r="B225" i="22"/>
  <c r="B226" i="22"/>
  <c r="B227" i="22"/>
  <c r="B228" i="22"/>
  <c r="B229" i="22"/>
  <c r="B230" i="22"/>
  <c r="B231" i="22"/>
  <c r="B232" i="22"/>
  <c r="B233" i="22"/>
  <c r="B234" i="22"/>
  <c r="B235" i="22"/>
  <c r="B236" i="22"/>
  <c r="B237" i="22"/>
  <c r="B238" i="22"/>
  <c r="B239" i="22"/>
  <c r="B240" i="22"/>
  <c r="B241" i="22"/>
  <c r="B242" i="22"/>
  <c r="B243" i="22"/>
  <c r="B244" i="22"/>
  <c r="B245" i="22"/>
  <c r="B246" i="22"/>
  <c r="B247" i="22"/>
  <c r="B248" i="22"/>
  <c r="B249" i="22"/>
  <c r="B250" i="22"/>
  <c r="B251" i="22"/>
  <c r="B252" i="22"/>
  <c r="B253" i="22"/>
  <c r="B254" i="22"/>
  <c r="B255" i="22"/>
  <c r="B256" i="22"/>
  <c r="B257" i="22"/>
  <c r="B258" i="22"/>
  <c r="B259" i="22"/>
  <c r="B260" i="22"/>
  <c r="B261" i="22"/>
  <c r="B262" i="22"/>
  <c r="B263" i="22"/>
  <c r="B264" i="22"/>
  <c r="B265" i="22"/>
  <c r="B266" i="22"/>
  <c r="B267" i="22"/>
  <c r="B268" i="22"/>
  <c r="B269" i="22"/>
  <c r="B270" i="22"/>
  <c r="B271" i="22"/>
  <c r="B272" i="22"/>
  <c r="B273" i="22"/>
  <c r="B274" i="22"/>
  <c r="B275" i="22"/>
  <c r="B276" i="22"/>
  <c r="B277" i="22"/>
  <c r="B278" i="22"/>
  <c r="B279" i="22"/>
  <c r="B280" i="22"/>
  <c r="B281" i="22"/>
  <c r="B282" i="22"/>
  <c r="B283" i="22"/>
  <c r="B284" i="22"/>
  <c r="B285" i="22"/>
  <c r="B286" i="22"/>
  <c r="B287" i="22"/>
  <c r="B288" i="22"/>
  <c r="B289" i="22"/>
  <c r="B290" i="22"/>
  <c r="B291" i="22"/>
  <c r="B292" i="22"/>
  <c r="B293" i="22"/>
  <c r="B294" i="22"/>
  <c r="B295" i="22"/>
  <c r="B296" i="22"/>
  <c r="B297" i="22"/>
  <c r="B298" i="22"/>
  <c r="B299" i="22"/>
  <c r="AH149" i="22"/>
  <c r="AH150" i="22"/>
  <c r="AH151" i="22"/>
  <c r="AH152" i="22"/>
  <c r="AH153" i="22"/>
  <c r="AH154" i="22"/>
  <c r="AH155" i="22"/>
  <c r="AH156" i="22"/>
  <c r="AH157" i="22"/>
  <c r="AH158" i="22"/>
  <c r="AH159" i="22"/>
  <c r="AH160" i="22"/>
  <c r="AH161" i="22"/>
  <c r="AH162" i="22"/>
  <c r="AH163" i="22"/>
  <c r="AH164" i="22"/>
  <c r="AH165" i="22"/>
  <c r="AH166" i="22"/>
  <c r="AH167" i="22"/>
  <c r="AH168" i="22"/>
  <c r="AH169" i="22"/>
  <c r="AH170" i="22"/>
  <c r="AH171" i="22"/>
  <c r="AH172" i="22"/>
  <c r="AH173" i="22"/>
  <c r="AH174" i="22"/>
  <c r="AH175" i="22"/>
  <c r="AH176" i="22"/>
  <c r="AH177" i="22"/>
  <c r="AH178" i="22"/>
  <c r="AH179" i="22"/>
  <c r="AH180" i="22"/>
  <c r="AH181" i="22"/>
  <c r="AH182" i="22"/>
  <c r="AH183" i="22"/>
  <c r="AH184" i="22"/>
  <c r="AH185" i="22"/>
  <c r="AH186" i="22"/>
  <c r="AH187" i="22"/>
  <c r="AH188" i="22"/>
  <c r="AH189" i="22"/>
  <c r="AH190" i="22"/>
  <c r="AH191" i="22"/>
  <c r="AH192" i="22"/>
  <c r="AH193" i="22"/>
  <c r="AH194" i="22"/>
  <c r="AH195" i="22"/>
  <c r="AH196" i="22"/>
  <c r="AH197" i="22"/>
  <c r="AH198" i="22"/>
  <c r="AH199" i="22"/>
  <c r="AH200" i="22"/>
  <c r="AH201" i="22"/>
  <c r="AH202" i="22"/>
  <c r="AH203" i="22"/>
  <c r="AH204" i="22"/>
  <c r="AH205" i="22"/>
  <c r="AH206" i="22"/>
  <c r="AH207" i="22"/>
  <c r="AH208" i="22"/>
  <c r="AH209" i="22"/>
  <c r="AH210" i="22"/>
  <c r="AH211" i="22"/>
  <c r="AH212" i="22"/>
  <c r="AH213" i="22"/>
  <c r="AH214" i="22"/>
  <c r="AH215" i="22"/>
  <c r="AH216" i="22"/>
  <c r="AH217" i="22"/>
  <c r="AH218" i="22"/>
  <c r="AH219" i="22"/>
  <c r="AH220" i="22"/>
  <c r="AB149" i="22"/>
  <c r="AB150" i="22"/>
  <c r="AB151" i="22"/>
  <c r="AB152" i="22"/>
  <c r="AB153" i="22"/>
  <c r="AB154" i="22"/>
  <c r="AB155" i="22"/>
  <c r="AB156" i="22"/>
  <c r="AB157" i="22"/>
  <c r="AB158" i="22"/>
  <c r="AB159" i="22"/>
  <c r="AB160" i="22"/>
  <c r="AB161" i="22"/>
  <c r="AB162" i="22"/>
  <c r="AB163" i="22"/>
  <c r="AB164" i="22"/>
  <c r="AB165" i="22"/>
  <c r="AB166" i="22"/>
  <c r="AB167" i="22"/>
  <c r="AB168" i="22"/>
  <c r="AB169" i="22"/>
  <c r="AB170" i="22"/>
  <c r="AB171" i="22"/>
  <c r="AB172" i="22"/>
  <c r="AB173" i="22"/>
  <c r="AB174" i="22"/>
  <c r="AB175" i="22"/>
  <c r="AB176" i="22"/>
  <c r="AB177" i="22"/>
  <c r="AB178" i="22"/>
  <c r="AB179" i="22"/>
  <c r="AB180" i="22"/>
  <c r="AB181" i="22"/>
  <c r="AB182" i="22"/>
  <c r="AB183" i="22"/>
  <c r="AB184" i="22"/>
  <c r="AB185" i="22"/>
  <c r="AB186" i="22"/>
  <c r="AB187" i="22"/>
  <c r="AB188" i="22"/>
  <c r="AB189" i="22"/>
  <c r="AB190" i="22"/>
  <c r="AB191" i="22"/>
  <c r="AB192" i="22"/>
  <c r="AB193" i="22"/>
  <c r="AB194" i="22"/>
  <c r="AB195" i="22"/>
  <c r="AB196" i="22"/>
  <c r="AB197" i="22"/>
  <c r="AB198" i="22"/>
  <c r="AB199" i="22"/>
  <c r="AB200" i="22"/>
  <c r="AB201" i="22"/>
  <c r="AB202" i="22"/>
  <c r="AB203" i="22"/>
  <c r="AB204" i="22"/>
  <c r="AB205" i="22"/>
  <c r="AB206" i="22"/>
  <c r="AB207" i="22"/>
  <c r="AB208" i="22"/>
  <c r="AB209" i="22"/>
  <c r="AB210" i="22"/>
  <c r="AB211" i="22"/>
  <c r="AB212" i="22"/>
  <c r="AB213" i="22"/>
  <c r="AB214" i="22"/>
  <c r="AB215" i="22"/>
  <c r="AB216" i="22"/>
  <c r="AB217" i="22"/>
  <c r="AB218" i="22"/>
  <c r="AB219" i="22"/>
  <c r="AB220" i="22"/>
  <c r="B149" i="22"/>
  <c r="B150" i="22"/>
  <c r="B151" i="22"/>
  <c r="B152" i="22"/>
  <c r="B153" i="22"/>
  <c r="B154" i="22"/>
  <c r="B155" i="22"/>
  <c r="B156" i="22"/>
  <c r="B157" i="22"/>
  <c r="B158" i="22"/>
  <c r="B159" i="22"/>
  <c r="B160" i="22"/>
  <c r="B161" i="22"/>
  <c r="B162" i="22"/>
  <c r="B163" i="22"/>
  <c r="B164" i="22"/>
  <c r="B165" i="22"/>
  <c r="B166" i="22"/>
  <c r="B167" i="22"/>
  <c r="B168" i="22"/>
  <c r="B169" i="22"/>
  <c r="B170" i="22"/>
  <c r="B171" i="22"/>
  <c r="B172" i="22"/>
  <c r="B173" i="22"/>
  <c r="B174" i="22"/>
  <c r="B175" i="22"/>
  <c r="B176" i="22"/>
  <c r="B177" i="22"/>
  <c r="B178" i="22"/>
  <c r="B179" i="22"/>
  <c r="B180" i="22"/>
  <c r="B181" i="22"/>
  <c r="B182" i="22"/>
  <c r="B183" i="22"/>
  <c r="B184" i="22"/>
  <c r="B185" i="22"/>
  <c r="B186" i="22"/>
  <c r="B187" i="22"/>
  <c r="B188" i="22"/>
  <c r="B189" i="22"/>
  <c r="B190" i="22"/>
  <c r="B191" i="22"/>
  <c r="B192" i="22"/>
  <c r="B193" i="22"/>
  <c r="B194" i="22"/>
  <c r="B195" i="22"/>
  <c r="B196" i="22"/>
  <c r="B197" i="22"/>
  <c r="B198" i="22"/>
  <c r="B199" i="22"/>
  <c r="B200" i="22"/>
  <c r="B201" i="22"/>
  <c r="B202" i="22"/>
  <c r="B203" i="22"/>
  <c r="B204" i="22"/>
  <c r="B205" i="22"/>
  <c r="B206" i="22"/>
  <c r="B207" i="22"/>
  <c r="B208" i="22"/>
  <c r="B209" i="22"/>
  <c r="B210" i="22"/>
  <c r="B211" i="22"/>
  <c r="B212" i="22"/>
  <c r="B213" i="22"/>
  <c r="B214" i="22"/>
  <c r="B215" i="22"/>
  <c r="B216" i="22"/>
  <c r="B217" i="22"/>
  <c r="B218" i="22"/>
  <c r="B219" i="22"/>
  <c r="B220" i="22"/>
  <c r="AH77" i="22"/>
  <c r="AH78" i="22"/>
  <c r="AH79" i="22"/>
  <c r="AH80" i="22"/>
  <c r="AH81" i="22"/>
  <c r="AH82" i="22"/>
  <c r="AH83" i="22"/>
  <c r="AH84" i="22"/>
  <c r="AH85" i="22"/>
  <c r="AH86" i="22"/>
  <c r="AH87" i="22"/>
  <c r="AH88" i="22"/>
  <c r="AH89" i="22"/>
  <c r="AH90" i="22"/>
  <c r="AH91" i="22"/>
  <c r="AH92" i="22"/>
  <c r="AH93" i="22"/>
  <c r="AH94" i="22"/>
  <c r="AH95" i="22"/>
  <c r="AH96" i="22"/>
  <c r="AH97" i="22"/>
  <c r="AH98" i="22"/>
  <c r="AH99" i="22"/>
  <c r="AH100" i="22"/>
  <c r="AH101" i="22"/>
  <c r="AH102" i="22"/>
  <c r="AH103" i="22"/>
  <c r="AH104" i="22"/>
  <c r="AH105" i="22"/>
  <c r="AH106" i="22"/>
  <c r="AH107" i="22"/>
  <c r="AH108" i="22"/>
  <c r="AH109" i="22"/>
  <c r="AH110" i="22"/>
  <c r="AH111" i="22"/>
  <c r="AH112" i="22"/>
  <c r="AH113" i="22"/>
  <c r="AH114" i="22"/>
  <c r="AH115" i="22"/>
  <c r="AH116" i="22"/>
  <c r="AH117" i="22"/>
  <c r="AH118" i="22"/>
  <c r="AH119" i="22"/>
  <c r="AH120" i="22"/>
  <c r="AH121" i="22"/>
  <c r="AH122" i="22"/>
  <c r="AH123" i="22"/>
  <c r="AH124" i="22"/>
  <c r="AH125" i="22"/>
  <c r="AH126" i="22"/>
  <c r="AH127" i="22"/>
  <c r="AH128" i="22"/>
  <c r="AH129" i="22"/>
  <c r="AH130" i="22"/>
  <c r="AH131" i="22"/>
  <c r="AH132" i="22"/>
  <c r="AH133" i="22"/>
  <c r="AH134" i="22"/>
  <c r="AH135" i="22"/>
  <c r="AH136" i="22"/>
  <c r="AH137" i="22"/>
  <c r="AH138" i="22"/>
  <c r="AH139" i="22"/>
  <c r="AH140" i="22"/>
  <c r="AH141" i="22"/>
  <c r="AH142" i="22"/>
  <c r="AH143" i="22"/>
  <c r="AH144" i="22"/>
  <c r="AH145" i="22"/>
  <c r="AH146" i="22"/>
  <c r="AH147" i="22"/>
  <c r="AH148" i="22"/>
  <c r="AB77" i="22"/>
  <c r="AB78" i="22"/>
  <c r="AB79" i="22"/>
  <c r="AB80" i="22"/>
  <c r="AB81" i="22"/>
  <c r="AB82" i="22"/>
  <c r="AB83" i="22"/>
  <c r="AB84" i="22"/>
  <c r="AB85" i="22"/>
  <c r="AB86" i="22"/>
  <c r="AB87" i="22"/>
  <c r="AB88" i="22"/>
  <c r="AB89" i="22"/>
  <c r="AB90" i="22"/>
  <c r="AB91" i="22"/>
  <c r="AB92" i="22"/>
  <c r="AB93" i="22"/>
  <c r="AB94" i="22"/>
  <c r="AB95" i="22"/>
  <c r="AB96" i="22"/>
  <c r="AB97" i="22"/>
  <c r="AB98" i="22"/>
  <c r="AB99" i="22"/>
  <c r="AB100" i="22"/>
  <c r="AB101" i="22"/>
  <c r="AB102" i="22"/>
  <c r="AB103" i="22"/>
  <c r="AB104" i="22"/>
  <c r="AB105" i="22"/>
  <c r="AB106" i="22"/>
  <c r="AB107" i="22"/>
  <c r="AB108" i="22"/>
  <c r="AB109" i="22"/>
  <c r="AB110" i="22"/>
  <c r="AB111" i="22"/>
  <c r="AB112" i="22"/>
  <c r="AB113" i="22"/>
  <c r="AB114" i="22"/>
  <c r="AB115" i="22"/>
  <c r="AB116" i="22"/>
  <c r="AB117" i="22"/>
  <c r="AB118" i="22"/>
  <c r="AB119" i="22"/>
  <c r="AB120" i="22"/>
  <c r="AB121" i="22"/>
  <c r="AB122" i="22"/>
  <c r="AB123" i="22"/>
  <c r="AB124" i="22"/>
  <c r="AB125" i="22"/>
  <c r="AB126" i="22"/>
  <c r="AB127" i="22"/>
  <c r="AB128" i="22"/>
  <c r="AB129" i="22"/>
  <c r="AB130" i="22"/>
  <c r="AB131" i="22"/>
  <c r="AB132" i="22"/>
  <c r="AB133" i="22"/>
  <c r="AB134" i="22"/>
  <c r="AB135" i="22"/>
  <c r="AB136" i="22"/>
  <c r="AB137" i="22"/>
  <c r="AB138" i="22"/>
  <c r="AB139" i="22"/>
  <c r="AB140" i="22"/>
  <c r="AB141" i="22"/>
  <c r="AB142" i="22"/>
  <c r="AB143" i="22"/>
  <c r="AB144" i="22"/>
  <c r="AB145" i="22"/>
  <c r="AB146" i="22"/>
  <c r="AB147" i="22"/>
  <c r="AB148"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104" i="22"/>
  <c r="B105" i="22"/>
  <c r="B106" i="22"/>
  <c r="B107" i="22"/>
  <c r="B108" i="22"/>
  <c r="B109" i="22"/>
  <c r="B110" i="22"/>
  <c r="B111" i="22"/>
  <c r="B112" i="22"/>
  <c r="B113" i="22"/>
  <c r="B114" i="22"/>
  <c r="B115" i="22"/>
  <c r="B116" i="22"/>
  <c r="B117" i="22"/>
  <c r="B118" i="22"/>
  <c r="B119" i="22"/>
  <c r="B120" i="22"/>
  <c r="B121" i="22"/>
  <c r="B122" i="22"/>
  <c r="B123" i="22"/>
  <c r="B124" i="22"/>
  <c r="B125" i="22"/>
  <c r="B126" i="22"/>
  <c r="B127" i="22"/>
  <c r="B128" i="22"/>
  <c r="B129" i="22"/>
  <c r="B130" i="22"/>
  <c r="B131" i="22"/>
  <c r="B132" i="22"/>
  <c r="B133" i="22"/>
  <c r="B134" i="22"/>
  <c r="B135" i="22"/>
  <c r="B136" i="22"/>
  <c r="B137" i="22"/>
  <c r="B138" i="22"/>
  <c r="B139" i="22"/>
  <c r="B140" i="22"/>
  <c r="B141" i="22"/>
  <c r="B142" i="22"/>
  <c r="B143" i="22"/>
  <c r="B144" i="22"/>
  <c r="B145" i="22"/>
  <c r="B146" i="22"/>
  <c r="B147" i="22"/>
  <c r="B148"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H53" i="22"/>
  <c r="AH54" i="22"/>
  <c r="AH55" i="22"/>
  <c r="AH56" i="22"/>
  <c r="AH57" i="22"/>
  <c r="AH58" i="22"/>
  <c r="AH59" i="22"/>
  <c r="AH60" i="22"/>
  <c r="AH61" i="22"/>
  <c r="AH62" i="22"/>
  <c r="AH63" i="22"/>
  <c r="AH64" i="22"/>
  <c r="AH65" i="22"/>
  <c r="AH66" i="22"/>
  <c r="AH67" i="22"/>
  <c r="AH68" i="22"/>
  <c r="AH69" i="22"/>
  <c r="AH70" i="22"/>
  <c r="AH71" i="22"/>
  <c r="AH72" i="22"/>
  <c r="AH73" i="22"/>
  <c r="AH74" i="22"/>
  <c r="AH75" i="22"/>
  <c r="AH76"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AB52" i="22"/>
  <c r="AB53" i="22"/>
  <c r="AB54" i="22"/>
  <c r="AB55" i="22"/>
  <c r="AB56" i="22"/>
  <c r="AB57" i="22"/>
  <c r="AB58" i="22"/>
  <c r="AB59" i="22"/>
  <c r="AB60" i="22"/>
  <c r="AB61" i="22"/>
  <c r="AB62" i="22"/>
  <c r="AB63" i="22"/>
  <c r="AB64" i="22"/>
  <c r="AB65" i="22"/>
  <c r="AB66" i="22"/>
  <c r="AB67" i="22"/>
  <c r="AB68" i="22"/>
  <c r="AB69" i="22"/>
  <c r="AB70" i="22"/>
  <c r="AB71" i="22"/>
  <c r="AB72" i="22"/>
  <c r="AB73" i="22"/>
  <c r="AB74" i="22"/>
  <c r="AB75" i="22"/>
  <c r="AB76"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B53" i="22"/>
  <c r="B54" i="22"/>
  <c r="B55" i="22"/>
  <c r="B56" i="22"/>
  <c r="B57" i="22"/>
  <c r="B58" i="22"/>
  <c r="B59" i="22"/>
  <c r="B60" i="22"/>
  <c r="B61" i="22"/>
  <c r="B62" i="22"/>
  <c r="B63" i="22"/>
  <c r="B64" i="22"/>
  <c r="B65" i="22"/>
  <c r="B66" i="22"/>
  <c r="B67" i="22"/>
  <c r="B68" i="22"/>
  <c r="B69" i="22"/>
  <c r="B70" i="22"/>
  <c r="B71" i="22"/>
  <c r="B72" i="22"/>
  <c r="B73" i="22"/>
  <c r="B74" i="22"/>
  <c r="B75" i="22"/>
  <c r="B76" i="22"/>
  <c r="L5" i="7"/>
  <c r="M5" i="7" s="1"/>
  <c r="L6" i="7"/>
  <c r="M6" i="7" s="1"/>
  <c r="L7" i="7"/>
  <c r="M7" i="7" s="1"/>
  <c r="L8" i="7"/>
  <c r="M8" i="7" s="1"/>
  <c r="L9" i="7"/>
  <c r="M9" i="7" s="1"/>
  <c r="L10" i="7"/>
  <c r="M10" i="7" s="1"/>
  <c r="L11" i="7"/>
  <c r="M11" i="7" s="1"/>
  <c r="L12" i="7"/>
  <c r="M12" i="7" s="1"/>
  <c r="L13" i="7"/>
  <c r="M13" i="7" s="1"/>
  <c r="L14" i="7"/>
  <c r="M14" i="7" s="1"/>
  <c r="L15" i="7"/>
  <c r="M15" i="7" s="1"/>
  <c r="L16" i="7"/>
  <c r="M16" i="7" s="1"/>
  <c r="L17" i="7"/>
  <c r="M17" i="7" s="1"/>
  <c r="L18" i="7"/>
  <c r="M18" i="7" s="1"/>
  <c r="L19" i="7"/>
  <c r="M19" i="7" s="1"/>
  <c r="L20" i="7"/>
  <c r="M20" i="7" s="1"/>
  <c r="L21" i="7"/>
  <c r="M21" i="7" s="1"/>
  <c r="L22" i="7"/>
  <c r="M22" i="7" s="1"/>
  <c r="L23" i="7"/>
  <c r="M23" i="7" s="1"/>
  <c r="L24" i="7"/>
  <c r="M24" i="7" s="1"/>
  <c r="K5" i="7"/>
  <c r="K6" i="7"/>
  <c r="K7" i="7"/>
  <c r="K8" i="7"/>
  <c r="K9" i="7"/>
  <c r="K10" i="7"/>
  <c r="K11" i="7"/>
  <c r="K12" i="7"/>
  <c r="K13" i="7"/>
  <c r="K14" i="7"/>
  <c r="K15" i="7"/>
  <c r="K16" i="7"/>
  <c r="K17" i="7"/>
  <c r="K18" i="7"/>
  <c r="K19" i="7"/>
  <c r="K20" i="7"/>
  <c r="K21" i="7"/>
  <c r="K22" i="7"/>
  <c r="K23" i="7"/>
  <c r="K24" i="7"/>
  <c r="J5" i="7"/>
  <c r="J6" i="7"/>
  <c r="J7" i="7"/>
  <c r="J8" i="7"/>
  <c r="J9" i="7"/>
  <c r="J10" i="7"/>
  <c r="J11" i="7"/>
  <c r="J12" i="7"/>
  <c r="J13" i="7"/>
  <c r="J14" i="7"/>
  <c r="J15" i="7"/>
  <c r="J16" i="7"/>
  <c r="J17" i="7"/>
  <c r="J18" i="7"/>
  <c r="J19" i="7"/>
  <c r="J20" i="7"/>
  <c r="J21" i="7"/>
  <c r="J22" i="7"/>
  <c r="J23" i="7"/>
  <c r="J24" i="7"/>
  <c r="H36" i="7"/>
  <c r="H37" i="7"/>
  <c r="H38" i="7"/>
  <c r="H39" i="7"/>
  <c r="H40" i="7"/>
  <c r="H41" i="7"/>
  <c r="H42" i="7"/>
  <c r="H43" i="7"/>
  <c r="H44" i="7"/>
  <c r="H45" i="7"/>
  <c r="H46" i="7"/>
  <c r="H47" i="7"/>
  <c r="H48" i="7"/>
  <c r="H49" i="7"/>
  <c r="H50" i="7"/>
  <c r="H51" i="7"/>
  <c r="H52" i="7"/>
  <c r="H53" i="7"/>
  <c r="H54" i="7"/>
  <c r="H55" i="7"/>
  <c r="H56" i="7"/>
  <c r="H57" i="7"/>
  <c r="H58" i="7"/>
  <c r="H26" i="7"/>
  <c r="H27" i="7"/>
  <c r="H28" i="7"/>
  <c r="H29" i="7"/>
  <c r="H30" i="7"/>
  <c r="H31" i="7"/>
  <c r="H32" i="7"/>
  <c r="H33" i="7"/>
  <c r="H34" i="7"/>
  <c r="H5" i="7"/>
  <c r="I5" i="7" s="1"/>
  <c r="H6" i="7"/>
  <c r="I6" i="7" s="1"/>
  <c r="H7" i="7"/>
  <c r="I7" i="7" s="1"/>
  <c r="H8" i="7"/>
  <c r="I8" i="7" s="1"/>
  <c r="H9" i="7"/>
  <c r="I9" i="7" s="1"/>
  <c r="H10" i="7"/>
  <c r="I10" i="7" s="1"/>
  <c r="H11" i="7"/>
  <c r="I11" i="7" s="1"/>
  <c r="H12" i="7"/>
  <c r="I12" i="7" s="1"/>
  <c r="H13" i="7"/>
  <c r="I13" i="7" s="1"/>
  <c r="H14" i="7"/>
  <c r="I14" i="7" s="1"/>
  <c r="H15" i="7"/>
  <c r="I15" i="7" s="1"/>
  <c r="H16" i="7"/>
  <c r="I16" i="7" s="1"/>
  <c r="H17" i="7"/>
  <c r="I17" i="7" s="1"/>
  <c r="H18" i="7"/>
  <c r="I18" i="7" s="1"/>
  <c r="H19" i="7"/>
  <c r="I19" i="7" s="1"/>
  <c r="H20" i="7"/>
  <c r="I20" i="7" s="1"/>
  <c r="H21" i="7"/>
  <c r="I21" i="7" s="1"/>
  <c r="H22" i="7"/>
  <c r="I22" i="7" s="1"/>
  <c r="H23" i="7"/>
  <c r="I23" i="7" s="1"/>
  <c r="H24" i="7"/>
  <c r="I24" i="7" s="1"/>
  <c r="AG5" i="6"/>
  <c r="AH5" i="6" s="1"/>
  <c r="AG6" i="6"/>
  <c r="AH6" i="6" s="1"/>
  <c r="AG7" i="6"/>
  <c r="AH7" i="6" s="1"/>
  <c r="AG8" i="6"/>
  <c r="AH8" i="6" s="1"/>
  <c r="AG9" i="6"/>
  <c r="AH9" i="6" s="1"/>
  <c r="AG10" i="6"/>
  <c r="AH10" i="6" s="1"/>
  <c r="AG11" i="6"/>
  <c r="AH11" i="6" s="1"/>
  <c r="AG12" i="6"/>
  <c r="AH12" i="6" s="1"/>
  <c r="AG13" i="6"/>
  <c r="AH13" i="6" s="1"/>
  <c r="AG14" i="6"/>
  <c r="AH14" i="6" s="1"/>
  <c r="AG15" i="6"/>
  <c r="AH15" i="6" s="1"/>
  <c r="AG16" i="6"/>
  <c r="AH16" i="6" s="1"/>
  <c r="AG17" i="6"/>
  <c r="AH17" i="6" s="1"/>
  <c r="AG18" i="6"/>
  <c r="AH18" i="6" s="1"/>
  <c r="AG19" i="6"/>
  <c r="AH19" i="6" s="1"/>
  <c r="AG20" i="6"/>
  <c r="AH20" i="6" s="1"/>
  <c r="AG21" i="6"/>
  <c r="AH21" i="6" s="1"/>
  <c r="AG22" i="6"/>
  <c r="AH22" i="6" s="1"/>
  <c r="AG23" i="6"/>
  <c r="AH23" i="6" s="1"/>
  <c r="AG24" i="6"/>
  <c r="AH24" i="6" s="1"/>
  <c r="AG25" i="6"/>
  <c r="AH25" i="6" s="1"/>
  <c r="AG26" i="6"/>
  <c r="AH26" i="6" s="1"/>
  <c r="AG27" i="6"/>
  <c r="AH27" i="6" s="1"/>
  <c r="AG28" i="6"/>
  <c r="AH28" i="6" s="1"/>
  <c r="AG29" i="6"/>
  <c r="AH29" i="6" s="1"/>
  <c r="AG30" i="6"/>
  <c r="AH30" i="6" s="1"/>
  <c r="AG31" i="6"/>
  <c r="AH31" i="6" s="1"/>
  <c r="AG32" i="6"/>
  <c r="AH32" i="6" s="1"/>
  <c r="AG33" i="6"/>
  <c r="AH33" i="6" s="1"/>
  <c r="AG34" i="6"/>
  <c r="AH34" i="6" s="1"/>
  <c r="AG35" i="6"/>
  <c r="AH35" i="6" s="1"/>
  <c r="AG36" i="6"/>
  <c r="AH36" i="6" s="1"/>
  <c r="AG37" i="6"/>
  <c r="AH37" i="6" s="1"/>
  <c r="AG38" i="6"/>
  <c r="AH38" i="6" s="1"/>
  <c r="AG39" i="6"/>
  <c r="AH39" i="6" s="1"/>
  <c r="AG40" i="6"/>
  <c r="AH40" i="6" s="1"/>
  <c r="AG41" i="6"/>
  <c r="AH41" i="6" s="1"/>
  <c r="AG42" i="6"/>
  <c r="AH42" i="6" s="1"/>
  <c r="AG43" i="6"/>
  <c r="AH43" i="6" s="1"/>
  <c r="AG44" i="6"/>
  <c r="AH44" i="6" s="1"/>
  <c r="AE68" i="6"/>
  <c r="AE69" i="6"/>
  <c r="AE70" i="6"/>
  <c r="AE71" i="6"/>
  <c r="AE72" i="6"/>
  <c r="AE73" i="6"/>
  <c r="AE74" i="6"/>
  <c r="AE75" i="6"/>
  <c r="AE76" i="6"/>
  <c r="AE46" i="6"/>
  <c r="AE47" i="6"/>
  <c r="AE48" i="6"/>
  <c r="AE49" i="6"/>
  <c r="AE50" i="6"/>
  <c r="AE51" i="6"/>
  <c r="AE52" i="6"/>
  <c r="AE53" i="6"/>
  <c r="AE54" i="6"/>
  <c r="AE55" i="6"/>
  <c r="AE56" i="6"/>
  <c r="AE57" i="6"/>
  <c r="AE58" i="6"/>
  <c r="AE59" i="6"/>
  <c r="AE60" i="6"/>
  <c r="AE61" i="6"/>
  <c r="AE62" i="6"/>
  <c r="AE63" i="6"/>
  <c r="AE64" i="6"/>
  <c r="AE65" i="6"/>
  <c r="AE66" i="6"/>
  <c r="AE5" i="6"/>
  <c r="AE6" i="6"/>
  <c r="AE7" i="6"/>
  <c r="AE8" i="6"/>
  <c r="AE9" i="6"/>
  <c r="AE10" i="6"/>
  <c r="AE11" i="6"/>
  <c r="AE12" i="6"/>
  <c r="AE13" i="6"/>
  <c r="AE14" i="6"/>
  <c r="AE15" i="6"/>
  <c r="AE16" i="6"/>
  <c r="AE17" i="6"/>
  <c r="AE18" i="6"/>
  <c r="AE19" i="6"/>
  <c r="AE20" i="6"/>
  <c r="AE21" i="6"/>
  <c r="AE22" i="6"/>
  <c r="AE23" i="6"/>
  <c r="AE24" i="6"/>
  <c r="AE25" i="6"/>
  <c r="AE26" i="6"/>
  <c r="AE27" i="6"/>
  <c r="AE28" i="6"/>
  <c r="AE29" i="6"/>
  <c r="AE30" i="6"/>
  <c r="AE31" i="6"/>
  <c r="AE32" i="6"/>
  <c r="AE33" i="6"/>
  <c r="AE34" i="6"/>
  <c r="AE35" i="6"/>
  <c r="AE36" i="6"/>
  <c r="AE37" i="6"/>
  <c r="AE38" i="6"/>
  <c r="AE39" i="6"/>
  <c r="AE40" i="6"/>
  <c r="AE41" i="6"/>
  <c r="AE42" i="6"/>
  <c r="AE43" i="6"/>
  <c r="AE44" i="6"/>
  <c r="AD68" i="6"/>
  <c r="AD69" i="6"/>
  <c r="AD70" i="6"/>
  <c r="AD71" i="6"/>
  <c r="AD72" i="6"/>
  <c r="AD73" i="6"/>
  <c r="AD74" i="6"/>
  <c r="AD75" i="6"/>
  <c r="AD76" i="6"/>
  <c r="AD46" i="6"/>
  <c r="AD47" i="6"/>
  <c r="AD48" i="6"/>
  <c r="AD49" i="6"/>
  <c r="AD50" i="6"/>
  <c r="AD51" i="6"/>
  <c r="AD52" i="6"/>
  <c r="AD53" i="6"/>
  <c r="AD54" i="6"/>
  <c r="AD55" i="6"/>
  <c r="AD56" i="6"/>
  <c r="AD57" i="6"/>
  <c r="AD58" i="6"/>
  <c r="AD59" i="6"/>
  <c r="AD60" i="6"/>
  <c r="AD61" i="6"/>
  <c r="AD62" i="6"/>
  <c r="AD63" i="6"/>
  <c r="AD64" i="6"/>
  <c r="AD65" i="6"/>
  <c r="AD66"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37" i="6"/>
  <c r="AD38" i="6"/>
  <c r="AD39" i="6"/>
  <c r="AD40" i="6"/>
  <c r="AD41" i="6"/>
  <c r="AD42" i="6"/>
  <c r="AD43" i="6"/>
  <c r="AD44" i="6"/>
  <c r="AC68" i="6"/>
  <c r="AC69" i="6"/>
  <c r="AC70" i="6"/>
  <c r="AC71" i="6"/>
  <c r="AC72" i="6"/>
  <c r="AC73" i="6"/>
  <c r="AC74" i="6"/>
  <c r="AC75" i="6"/>
  <c r="AC76" i="6"/>
  <c r="AC46" i="6"/>
  <c r="AC47" i="6"/>
  <c r="AC48" i="6"/>
  <c r="AC49" i="6"/>
  <c r="AC50" i="6"/>
  <c r="AC51" i="6"/>
  <c r="AC52" i="6"/>
  <c r="AC53" i="6"/>
  <c r="AC54" i="6"/>
  <c r="AC55" i="6"/>
  <c r="AC56" i="6"/>
  <c r="AC57" i="6"/>
  <c r="AC58" i="6"/>
  <c r="AC59" i="6"/>
  <c r="AC60" i="6"/>
  <c r="AC61" i="6"/>
  <c r="AC62" i="6"/>
  <c r="AC63" i="6"/>
  <c r="AC64" i="6"/>
  <c r="AC65" i="6"/>
  <c r="AC66" i="6"/>
  <c r="AC5" i="6"/>
  <c r="AC6" i="6"/>
  <c r="AF6" i="6" s="1"/>
  <c r="AC7" i="6"/>
  <c r="AF7" i="6" s="1"/>
  <c r="AC8" i="6"/>
  <c r="AF8" i="6" s="1"/>
  <c r="AC9" i="6"/>
  <c r="AF9" i="6" s="1"/>
  <c r="AC10" i="6"/>
  <c r="AF10" i="6" s="1"/>
  <c r="AC11" i="6"/>
  <c r="AF11" i="6" s="1"/>
  <c r="AC12" i="6"/>
  <c r="AF12" i="6" s="1"/>
  <c r="AC13" i="6"/>
  <c r="AF13" i="6" s="1"/>
  <c r="AC14" i="6"/>
  <c r="AF14" i="6" s="1"/>
  <c r="AC15" i="6"/>
  <c r="AF15" i="6" s="1"/>
  <c r="AC16" i="6"/>
  <c r="AF16" i="6" s="1"/>
  <c r="AC17" i="6"/>
  <c r="AF17" i="6" s="1"/>
  <c r="AC18" i="6"/>
  <c r="AF18" i="6" s="1"/>
  <c r="AC19" i="6"/>
  <c r="AF19" i="6" s="1"/>
  <c r="AC20" i="6"/>
  <c r="AF20" i="6" s="1"/>
  <c r="AC21" i="6"/>
  <c r="AF21" i="6" s="1"/>
  <c r="AC22" i="6"/>
  <c r="AF22" i="6" s="1"/>
  <c r="AC23" i="6"/>
  <c r="AF23" i="6" s="1"/>
  <c r="AC24" i="6"/>
  <c r="AF24" i="6" s="1"/>
  <c r="AC25" i="6"/>
  <c r="AF25" i="6" s="1"/>
  <c r="AC26" i="6"/>
  <c r="AF26" i="6" s="1"/>
  <c r="AC27" i="6"/>
  <c r="AF27" i="6" s="1"/>
  <c r="AC28" i="6"/>
  <c r="AF28" i="6" s="1"/>
  <c r="AC29" i="6"/>
  <c r="AF29" i="6" s="1"/>
  <c r="AC30" i="6"/>
  <c r="AF30" i="6" s="1"/>
  <c r="AC31" i="6"/>
  <c r="AF31" i="6" s="1"/>
  <c r="AC32" i="6"/>
  <c r="AF32" i="6" s="1"/>
  <c r="AC33" i="6"/>
  <c r="AF33" i="6" s="1"/>
  <c r="AC34" i="6"/>
  <c r="AF34" i="6" s="1"/>
  <c r="AC35" i="6"/>
  <c r="AF35" i="6" s="1"/>
  <c r="AC36" i="6"/>
  <c r="AF36" i="6" s="1"/>
  <c r="AC37" i="6"/>
  <c r="AF37" i="6" s="1"/>
  <c r="AC38" i="6"/>
  <c r="AF38" i="6" s="1"/>
  <c r="AC39" i="6"/>
  <c r="AF39" i="6" s="1"/>
  <c r="AC40" i="6"/>
  <c r="AF40" i="6" s="1"/>
  <c r="AC41" i="6"/>
  <c r="AF41" i="6" s="1"/>
  <c r="AC42" i="6"/>
  <c r="AF42" i="6" s="1"/>
  <c r="AC43" i="6"/>
  <c r="AF43" i="6" s="1"/>
  <c r="AC44" i="6"/>
  <c r="AF44" i="6" s="1"/>
  <c r="V68" i="6"/>
  <c r="V69" i="6"/>
  <c r="V70" i="6"/>
  <c r="V71" i="6"/>
  <c r="V72" i="6"/>
  <c r="V73" i="6"/>
  <c r="V74" i="6"/>
  <c r="V75" i="6"/>
  <c r="V76" i="6"/>
  <c r="V46" i="6"/>
  <c r="V47" i="6"/>
  <c r="V48" i="6"/>
  <c r="V49" i="6"/>
  <c r="V50" i="6"/>
  <c r="V51" i="6"/>
  <c r="V52" i="6"/>
  <c r="V53" i="6"/>
  <c r="V54" i="6"/>
  <c r="V55" i="6"/>
  <c r="V56" i="6"/>
  <c r="V57" i="6"/>
  <c r="V58" i="6"/>
  <c r="V59" i="6"/>
  <c r="V60" i="6"/>
  <c r="V61" i="6"/>
  <c r="V62" i="6"/>
  <c r="V63" i="6"/>
  <c r="V64" i="6"/>
  <c r="V65" i="6"/>
  <c r="V66"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AZ5" i="5"/>
  <c r="BA5" i="5" s="1"/>
  <c r="AZ6" i="5"/>
  <c r="BA6" i="5" s="1"/>
  <c r="AZ7" i="5"/>
  <c r="BA7" i="5" s="1"/>
  <c r="AZ8" i="5"/>
  <c r="BA8" i="5" s="1"/>
  <c r="AZ9" i="5"/>
  <c r="BA9" i="5" s="1"/>
  <c r="AZ10" i="5"/>
  <c r="BA10" i="5" s="1"/>
  <c r="AZ11" i="5"/>
  <c r="BA11" i="5" s="1"/>
  <c r="AZ12" i="5"/>
  <c r="BA12" i="5" s="1"/>
  <c r="AZ13" i="5"/>
  <c r="BA13" i="5" s="1"/>
  <c r="AZ14" i="5"/>
  <c r="BA14" i="5" s="1"/>
  <c r="AZ15" i="5"/>
  <c r="BA15" i="5" s="1"/>
  <c r="AZ16" i="5"/>
  <c r="BA16" i="5" s="1"/>
  <c r="AZ17" i="5"/>
  <c r="BA17" i="5" s="1"/>
  <c r="AZ18" i="5"/>
  <c r="BA18" i="5" s="1"/>
  <c r="AZ19" i="5"/>
  <c r="BA19" i="5" s="1"/>
  <c r="AX25" i="5"/>
  <c r="AX26" i="5"/>
  <c r="AX27" i="5"/>
  <c r="AX28" i="5"/>
  <c r="AX29" i="5"/>
  <c r="AX30" i="5"/>
  <c r="AX31" i="5"/>
  <c r="AX32" i="5"/>
  <c r="AX33" i="5"/>
  <c r="AX34" i="5"/>
  <c r="AX35" i="5"/>
  <c r="AX36" i="5"/>
  <c r="AX37" i="5"/>
  <c r="AX38" i="5"/>
  <c r="AX39" i="5"/>
  <c r="AX40" i="5"/>
  <c r="AX41" i="5"/>
  <c r="AX42" i="5"/>
  <c r="AX43" i="5"/>
  <c r="AX44" i="5"/>
  <c r="AX45" i="5"/>
  <c r="AX46" i="5"/>
  <c r="AX47" i="5"/>
  <c r="AX48" i="5"/>
  <c r="AX21" i="5"/>
  <c r="AX22" i="5"/>
  <c r="AX23" i="5"/>
  <c r="AY23" i="5" s="1"/>
  <c r="AX5" i="5"/>
  <c r="AX6" i="5"/>
  <c r="AY6" i="5" s="1"/>
  <c r="AX7" i="5"/>
  <c r="AY7" i="5" s="1"/>
  <c r="AX8" i="5"/>
  <c r="AY8" i="5" s="1"/>
  <c r="AX9" i="5"/>
  <c r="AY9" i="5" s="1"/>
  <c r="AX10" i="5"/>
  <c r="AY10" i="5" s="1"/>
  <c r="AX11" i="5"/>
  <c r="AY11" i="5" s="1"/>
  <c r="AX12" i="5"/>
  <c r="AY12" i="5" s="1"/>
  <c r="AX13" i="5"/>
  <c r="AY13" i="5" s="1"/>
  <c r="AX14" i="5"/>
  <c r="AY14" i="5" s="1"/>
  <c r="AX15" i="5"/>
  <c r="AY15" i="5" s="1"/>
  <c r="AX16" i="5"/>
  <c r="AY16" i="5" s="1"/>
  <c r="AX17" i="5"/>
  <c r="AY17" i="5" s="1"/>
  <c r="AX18" i="5"/>
  <c r="AY18" i="5" s="1"/>
  <c r="AX19" i="5"/>
  <c r="AY19" i="5" s="1"/>
  <c r="AQ25" i="5"/>
  <c r="AQ26" i="5"/>
  <c r="AQ27" i="5"/>
  <c r="AQ28" i="5"/>
  <c r="AQ29" i="5"/>
  <c r="AQ30" i="5"/>
  <c r="AQ31" i="5"/>
  <c r="AQ32" i="5"/>
  <c r="AQ33" i="5"/>
  <c r="AQ34" i="5"/>
  <c r="AQ35" i="5"/>
  <c r="AQ36" i="5"/>
  <c r="AQ37" i="5"/>
  <c r="AQ38" i="5"/>
  <c r="AQ39" i="5"/>
  <c r="AQ40" i="5"/>
  <c r="AQ41" i="5"/>
  <c r="AQ42" i="5"/>
  <c r="AQ43" i="5"/>
  <c r="AQ44" i="5"/>
  <c r="AQ45" i="5"/>
  <c r="AQ46" i="5"/>
  <c r="AQ47" i="5"/>
  <c r="AQ48" i="5"/>
  <c r="AQ21" i="5"/>
  <c r="AQ22" i="5"/>
  <c r="AQ23" i="5"/>
  <c r="AQ5" i="5"/>
  <c r="AQ6" i="5"/>
  <c r="AQ7" i="5"/>
  <c r="AQ8" i="5"/>
  <c r="AQ9" i="5"/>
  <c r="AQ10" i="5"/>
  <c r="AQ11" i="5"/>
  <c r="AQ12" i="5"/>
  <c r="AQ13" i="5"/>
  <c r="AQ14" i="5"/>
  <c r="AQ15" i="5"/>
  <c r="AQ16" i="5"/>
  <c r="AQ17" i="5"/>
  <c r="AQ18" i="5"/>
  <c r="AQ19" i="5"/>
  <c r="AF25" i="5"/>
  <c r="AF26" i="5"/>
  <c r="AF27" i="5"/>
  <c r="AF28" i="5"/>
  <c r="AF29" i="5"/>
  <c r="AF30" i="5"/>
  <c r="AF31" i="5"/>
  <c r="AF32" i="5"/>
  <c r="AF33" i="5"/>
  <c r="AF34" i="5"/>
  <c r="AF35" i="5"/>
  <c r="AF36" i="5"/>
  <c r="AF37" i="5"/>
  <c r="AF38" i="5"/>
  <c r="AF39" i="5"/>
  <c r="AF40" i="5"/>
  <c r="AF41" i="5"/>
  <c r="AF42" i="5"/>
  <c r="AF43" i="5"/>
  <c r="AF44" i="5"/>
  <c r="AF46" i="5"/>
  <c r="AF47" i="5"/>
  <c r="AF48" i="5"/>
  <c r="AF21" i="5"/>
  <c r="AF22" i="5"/>
  <c r="AF5" i="5"/>
  <c r="AF6" i="5"/>
  <c r="AF7" i="5"/>
  <c r="AF8" i="5"/>
  <c r="AF9" i="5"/>
  <c r="AF10" i="5"/>
  <c r="AF11" i="5"/>
  <c r="AF12" i="5"/>
  <c r="AF13" i="5"/>
  <c r="AF14" i="5"/>
  <c r="AF15" i="5"/>
  <c r="AF16" i="5"/>
  <c r="AF17" i="5"/>
  <c r="AF18" i="5"/>
  <c r="AF19" i="5"/>
  <c r="AE25" i="5"/>
  <c r="AE26" i="5"/>
  <c r="AE27" i="5"/>
  <c r="AE28" i="5"/>
  <c r="AE29" i="5"/>
  <c r="AE30" i="5"/>
  <c r="AE31" i="5"/>
  <c r="AE32" i="5"/>
  <c r="AE33" i="5"/>
  <c r="AE34" i="5"/>
  <c r="AE35" i="5"/>
  <c r="AE36" i="5"/>
  <c r="AE37" i="5"/>
  <c r="AE38" i="5"/>
  <c r="AE39" i="5"/>
  <c r="AE40" i="5"/>
  <c r="AE41" i="5"/>
  <c r="AE42" i="5"/>
  <c r="AE43" i="5"/>
  <c r="AE44" i="5"/>
  <c r="AE46" i="5"/>
  <c r="AE47" i="5"/>
  <c r="AE48" i="5"/>
  <c r="AE21" i="5"/>
  <c r="AE22" i="5"/>
  <c r="AE5" i="5"/>
  <c r="AE6" i="5"/>
  <c r="AE7" i="5"/>
  <c r="AE8" i="5"/>
  <c r="AE9" i="5"/>
  <c r="AE10" i="5"/>
  <c r="AE11" i="5"/>
  <c r="AE12" i="5"/>
  <c r="AE13" i="5"/>
  <c r="AE14" i="5"/>
  <c r="AE15" i="5"/>
  <c r="AE16" i="5"/>
  <c r="AE17" i="5"/>
  <c r="AE18" i="5"/>
  <c r="AE19" i="5"/>
  <c r="AD25" i="5"/>
  <c r="AD26" i="5"/>
  <c r="AD27" i="5"/>
  <c r="AD28" i="5"/>
  <c r="AD29" i="5"/>
  <c r="AD30" i="5"/>
  <c r="AD31" i="5"/>
  <c r="AD32" i="5"/>
  <c r="AD33" i="5"/>
  <c r="AD34" i="5"/>
  <c r="AD35" i="5"/>
  <c r="AD36" i="5"/>
  <c r="AD37" i="5"/>
  <c r="AD38" i="5"/>
  <c r="AD39" i="5"/>
  <c r="AD40" i="5"/>
  <c r="AD41" i="5"/>
  <c r="AD42" i="5"/>
  <c r="AD43" i="5"/>
  <c r="AD44" i="5"/>
  <c r="AD46" i="5"/>
  <c r="AD47" i="5"/>
  <c r="AD48" i="5"/>
  <c r="AD21" i="5"/>
  <c r="AD22" i="5"/>
  <c r="AD5" i="5"/>
  <c r="AD6" i="5"/>
  <c r="AD7" i="5"/>
  <c r="AD8" i="5"/>
  <c r="AD9" i="5"/>
  <c r="AD10" i="5"/>
  <c r="AD11" i="5"/>
  <c r="AD12" i="5"/>
  <c r="AD13" i="5"/>
  <c r="AD14" i="5"/>
  <c r="AD15" i="5"/>
  <c r="AD16" i="5"/>
  <c r="AD17" i="5"/>
  <c r="AD18" i="5"/>
  <c r="AD19" i="5"/>
  <c r="AC25" i="5"/>
  <c r="AC26" i="5"/>
  <c r="AC27" i="5"/>
  <c r="AC28" i="5"/>
  <c r="AC29" i="5"/>
  <c r="AC30" i="5"/>
  <c r="AC31" i="5"/>
  <c r="AC32" i="5"/>
  <c r="AC33" i="5"/>
  <c r="AC34" i="5"/>
  <c r="AC35" i="5"/>
  <c r="AC36" i="5"/>
  <c r="AC37" i="5"/>
  <c r="AC38" i="5"/>
  <c r="AC39" i="5"/>
  <c r="AC40" i="5"/>
  <c r="AC41" i="5"/>
  <c r="AC42" i="5"/>
  <c r="AC43" i="5"/>
  <c r="AC44" i="5"/>
  <c r="AC46" i="5"/>
  <c r="AC47" i="5"/>
  <c r="AC48" i="5"/>
  <c r="AC21" i="5"/>
  <c r="AC22" i="5"/>
  <c r="AC5" i="5"/>
  <c r="AC6" i="5"/>
  <c r="AC7" i="5"/>
  <c r="AC8" i="5"/>
  <c r="AC9" i="5"/>
  <c r="AC10" i="5"/>
  <c r="AC11" i="5"/>
  <c r="AC12" i="5"/>
  <c r="AC13" i="5"/>
  <c r="AC14" i="5"/>
  <c r="AC15" i="5"/>
  <c r="AC16" i="5"/>
  <c r="AC17" i="5"/>
  <c r="AC18" i="5"/>
  <c r="AC19" i="5"/>
  <c r="AB25" i="5"/>
  <c r="AB26" i="5"/>
  <c r="AB27" i="5"/>
  <c r="AB28" i="5"/>
  <c r="AB29" i="5"/>
  <c r="AB30" i="5"/>
  <c r="AB31" i="5"/>
  <c r="AB32" i="5"/>
  <c r="AB33" i="5"/>
  <c r="AB34" i="5"/>
  <c r="AB35" i="5"/>
  <c r="AB36" i="5"/>
  <c r="AB37" i="5"/>
  <c r="AB38" i="5"/>
  <c r="AB39" i="5"/>
  <c r="AB40" i="5"/>
  <c r="AB41" i="5"/>
  <c r="AB42" i="5"/>
  <c r="AB43" i="5"/>
  <c r="AB44" i="5"/>
  <c r="AB46" i="5"/>
  <c r="AB47" i="5"/>
  <c r="AB48" i="5"/>
  <c r="AB21" i="5"/>
  <c r="AB22" i="5"/>
  <c r="AB5" i="5"/>
  <c r="AB6" i="5"/>
  <c r="AB7" i="5"/>
  <c r="AB8" i="5"/>
  <c r="AB9" i="5"/>
  <c r="AB10" i="5"/>
  <c r="AB11" i="5"/>
  <c r="AB12" i="5"/>
  <c r="AB13" i="5"/>
  <c r="AB14" i="5"/>
  <c r="AB15" i="5"/>
  <c r="AB16" i="5"/>
  <c r="AB17" i="5"/>
  <c r="AB18" i="5"/>
  <c r="AB19" i="5"/>
  <c r="U25" i="5"/>
  <c r="U26" i="5"/>
  <c r="U27" i="5"/>
  <c r="U28" i="5"/>
  <c r="U29" i="5"/>
  <c r="U30" i="5"/>
  <c r="U31" i="5"/>
  <c r="U32" i="5"/>
  <c r="U33" i="5"/>
  <c r="U34" i="5"/>
  <c r="U35" i="5"/>
  <c r="U36" i="5"/>
  <c r="U37" i="5"/>
  <c r="U38" i="5"/>
  <c r="U39" i="5"/>
  <c r="U40" i="5"/>
  <c r="U41" i="5"/>
  <c r="U42" i="5"/>
  <c r="U43" i="5"/>
  <c r="U44" i="5"/>
  <c r="U46" i="5"/>
  <c r="U47" i="5"/>
  <c r="U48" i="5"/>
  <c r="U21" i="5"/>
  <c r="U22" i="5"/>
  <c r="U5" i="5"/>
  <c r="U6" i="5"/>
  <c r="U7" i="5"/>
  <c r="U8" i="5"/>
  <c r="U9" i="5"/>
  <c r="U10" i="5"/>
  <c r="U11" i="5"/>
  <c r="U12" i="5"/>
  <c r="U13" i="5"/>
  <c r="U14" i="5"/>
  <c r="U15" i="5"/>
  <c r="U16" i="5"/>
  <c r="U17" i="5"/>
  <c r="U18" i="5"/>
  <c r="U19" i="5"/>
  <c r="BS5" i="4"/>
  <c r="BT5" i="4" s="1"/>
  <c r="BS6" i="4"/>
  <c r="BT6" i="4" s="1"/>
  <c r="BS7" i="4"/>
  <c r="BT7" i="4" s="1"/>
  <c r="BS8" i="4"/>
  <c r="BT8" i="4" s="1"/>
  <c r="BS9" i="4"/>
  <c r="BT9" i="4" s="1"/>
  <c r="BS10" i="4"/>
  <c r="BT10" i="4" s="1"/>
  <c r="BS11" i="4"/>
  <c r="BT11" i="4" s="1"/>
  <c r="BS12" i="4"/>
  <c r="BT12" i="4" s="1"/>
  <c r="BS13" i="4"/>
  <c r="BT13" i="4" s="1"/>
  <c r="BS14" i="4"/>
  <c r="BT14" i="4" s="1"/>
  <c r="BS15" i="4"/>
  <c r="BT15" i="4" s="1"/>
  <c r="BS16" i="4"/>
  <c r="BT16" i="4" s="1"/>
  <c r="BS17" i="4"/>
  <c r="BT17" i="4" s="1"/>
  <c r="BS18" i="4"/>
  <c r="BT18" i="4" s="1"/>
  <c r="BS19" i="4"/>
  <c r="BT19" i="4" s="1"/>
  <c r="BS20" i="4"/>
  <c r="BT20" i="4" s="1"/>
  <c r="BS21" i="4"/>
  <c r="BT21" i="4" s="1"/>
  <c r="BS22" i="4"/>
  <c r="BT22" i="4" s="1"/>
  <c r="BS23" i="4"/>
  <c r="BT23" i="4" s="1"/>
  <c r="BS24" i="4"/>
  <c r="BT24" i="4" s="1"/>
  <c r="BS25" i="4"/>
  <c r="BT25" i="4" s="1"/>
  <c r="BS26" i="4"/>
  <c r="BT26" i="4" s="1"/>
  <c r="BS27" i="4"/>
  <c r="BT27" i="4" s="1"/>
  <c r="BS28" i="4"/>
  <c r="BT28" i="4" s="1"/>
  <c r="BS29" i="4"/>
  <c r="BT29" i="4" s="1"/>
  <c r="BS30" i="4"/>
  <c r="BT30" i="4" s="1"/>
  <c r="BS31" i="4"/>
  <c r="BT31" i="4" s="1"/>
  <c r="BS32" i="4"/>
  <c r="BT32" i="4" s="1"/>
  <c r="BS33" i="4"/>
  <c r="BT33" i="4" s="1"/>
  <c r="BS34" i="4"/>
  <c r="BT34" i="4" s="1"/>
  <c r="BS35" i="4"/>
  <c r="BT35" i="4" s="1"/>
  <c r="BS36" i="4"/>
  <c r="BT36" i="4" s="1"/>
  <c r="BS37" i="4"/>
  <c r="BT37" i="4" s="1"/>
  <c r="BS38" i="4"/>
  <c r="BT38" i="4" s="1"/>
  <c r="BS39" i="4"/>
  <c r="BT39" i="4" s="1"/>
  <c r="BS40" i="4"/>
  <c r="BT40" i="4" s="1"/>
  <c r="BS41" i="4"/>
  <c r="BT41" i="4" s="1"/>
  <c r="BS42" i="4"/>
  <c r="BT42" i="4" s="1"/>
  <c r="BS43" i="4"/>
  <c r="BT43" i="4" s="1"/>
  <c r="BS44" i="4"/>
  <c r="BT44" i="4" s="1"/>
  <c r="BS45" i="4"/>
  <c r="BT45" i="4" s="1"/>
  <c r="BS46" i="4"/>
  <c r="BT46" i="4" s="1"/>
  <c r="BS47" i="4"/>
  <c r="BT47" i="4" s="1"/>
  <c r="BS48" i="4"/>
  <c r="BT48" i="4" s="1"/>
  <c r="BS49" i="4"/>
  <c r="BT49" i="4" s="1"/>
  <c r="BS50" i="4"/>
  <c r="BT50" i="4" s="1"/>
  <c r="BS51" i="4"/>
  <c r="BT51" i="4" s="1"/>
  <c r="BS52" i="4"/>
  <c r="BT52" i="4" s="1"/>
  <c r="BS53" i="4"/>
  <c r="BT53" i="4" s="1"/>
  <c r="BS54" i="4"/>
  <c r="BT54" i="4" s="1"/>
  <c r="BS55" i="4"/>
  <c r="BT55" i="4" s="1"/>
  <c r="BS56" i="4"/>
  <c r="BT56" i="4" s="1"/>
  <c r="BS57" i="4"/>
  <c r="BT57" i="4" s="1"/>
  <c r="BS58" i="4"/>
  <c r="BT58" i="4" s="1"/>
  <c r="BS59" i="4"/>
  <c r="BT59" i="4" s="1"/>
  <c r="BS60" i="4"/>
  <c r="BT60" i="4" s="1"/>
  <c r="BS61" i="4"/>
  <c r="BT61" i="4" s="1"/>
  <c r="BS62" i="4"/>
  <c r="BT62" i="4" s="1"/>
  <c r="BS63" i="4"/>
  <c r="BT63" i="4" s="1"/>
  <c r="BS64" i="4"/>
  <c r="BT64" i="4" s="1"/>
  <c r="BR5" i="4"/>
  <c r="BR6" i="4"/>
  <c r="BR7" i="4"/>
  <c r="BR8" i="4"/>
  <c r="BR9" i="4"/>
  <c r="BR10" i="4"/>
  <c r="BR11" i="4"/>
  <c r="BR12" i="4"/>
  <c r="BR13" i="4"/>
  <c r="BR14" i="4"/>
  <c r="BR15" i="4"/>
  <c r="BR16" i="4"/>
  <c r="BR17" i="4"/>
  <c r="BR18" i="4"/>
  <c r="BR19" i="4"/>
  <c r="BR20" i="4"/>
  <c r="BR21" i="4"/>
  <c r="BR22" i="4"/>
  <c r="BR23" i="4"/>
  <c r="BR24" i="4"/>
  <c r="BR25" i="4"/>
  <c r="BR26" i="4"/>
  <c r="BR27" i="4"/>
  <c r="BR28" i="4"/>
  <c r="BR29" i="4"/>
  <c r="BR30" i="4"/>
  <c r="BR31" i="4"/>
  <c r="BR32" i="4"/>
  <c r="BR33" i="4"/>
  <c r="BR34" i="4"/>
  <c r="BR35" i="4"/>
  <c r="BR36" i="4"/>
  <c r="BR37" i="4"/>
  <c r="BR38" i="4"/>
  <c r="BR39" i="4"/>
  <c r="BR40" i="4"/>
  <c r="BR41" i="4"/>
  <c r="BR42" i="4"/>
  <c r="BR43" i="4"/>
  <c r="BR44" i="4"/>
  <c r="BR45" i="4"/>
  <c r="BR46" i="4"/>
  <c r="BR47" i="4"/>
  <c r="BR48" i="4"/>
  <c r="BR49" i="4"/>
  <c r="BR50" i="4"/>
  <c r="BR51" i="4"/>
  <c r="BR52" i="4"/>
  <c r="BR53" i="4"/>
  <c r="BR54" i="4"/>
  <c r="BR55" i="4"/>
  <c r="BR56" i="4"/>
  <c r="BR57" i="4"/>
  <c r="BR58" i="4"/>
  <c r="BR59" i="4"/>
  <c r="BR60" i="4"/>
  <c r="BR61" i="4"/>
  <c r="BR62" i="4"/>
  <c r="BR63" i="4"/>
  <c r="BR64" i="4"/>
  <c r="BQ71" i="4"/>
  <c r="BQ72" i="4"/>
  <c r="BQ73" i="4"/>
  <c r="BQ76" i="4"/>
  <c r="BQ77" i="4"/>
  <c r="BQ78" i="4"/>
  <c r="BQ79" i="4"/>
  <c r="BQ80" i="4"/>
  <c r="BQ81" i="4"/>
  <c r="BQ82" i="4"/>
  <c r="BQ83" i="4"/>
  <c r="BQ67" i="4"/>
  <c r="BQ68" i="4"/>
  <c r="BQ69" i="4"/>
  <c r="BQ5" i="4"/>
  <c r="BQ6" i="4"/>
  <c r="BQ7" i="4"/>
  <c r="BQ8" i="4"/>
  <c r="BQ9" i="4"/>
  <c r="BQ10" i="4"/>
  <c r="BQ11" i="4"/>
  <c r="BQ12" i="4"/>
  <c r="BQ13" i="4"/>
  <c r="BQ14" i="4"/>
  <c r="BQ15" i="4"/>
  <c r="BQ16" i="4"/>
  <c r="BQ17" i="4"/>
  <c r="BQ18" i="4"/>
  <c r="BQ19" i="4"/>
  <c r="BQ20" i="4"/>
  <c r="BQ21" i="4"/>
  <c r="BQ22" i="4"/>
  <c r="BQ23" i="4"/>
  <c r="BQ24" i="4"/>
  <c r="BQ25" i="4"/>
  <c r="BQ26" i="4"/>
  <c r="BQ27" i="4"/>
  <c r="BQ28" i="4"/>
  <c r="BQ29" i="4"/>
  <c r="BQ30" i="4"/>
  <c r="BQ31" i="4"/>
  <c r="BQ32" i="4"/>
  <c r="BQ33" i="4"/>
  <c r="BQ34" i="4"/>
  <c r="BQ35" i="4"/>
  <c r="BQ36" i="4"/>
  <c r="BQ37" i="4"/>
  <c r="BQ38" i="4"/>
  <c r="BQ39" i="4"/>
  <c r="BQ40" i="4"/>
  <c r="BQ41" i="4"/>
  <c r="BQ42" i="4"/>
  <c r="BQ43" i="4"/>
  <c r="BQ44" i="4"/>
  <c r="BQ45" i="4"/>
  <c r="BQ46" i="4"/>
  <c r="BQ47" i="4"/>
  <c r="BQ48" i="4"/>
  <c r="BQ49" i="4"/>
  <c r="BQ50" i="4"/>
  <c r="BQ51" i="4"/>
  <c r="BQ52" i="4"/>
  <c r="BQ53" i="4"/>
  <c r="BQ54" i="4"/>
  <c r="BQ55" i="4"/>
  <c r="BQ56" i="4"/>
  <c r="BQ57" i="4"/>
  <c r="BQ58" i="4"/>
  <c r="BQ59" i="4"/>
  <c r="BQ60" i="4"/>
  <c r="BQ61" i="4"/>
  <c r="BQ62" i="4"/>
  <c r="BQ63" i="4"/>
  <c r="BQ64" i="4"/>
  <c r="BE71" i="4"/>
  <c r="BE72" i="4"/>
  <c r="BE73" i="4"/>
  <c r="BE74" i="4"/>
  <c r="BE75" i="4"/>
  <c r="BE76" i="4"/>
  <c r="BE77" i="4"/>
  <c r="BE78" i="4"/>
  <c r="BE79" i="4"/>
  <c r="BE80" i="4"/>
  <c r="BE81" i="4"/>
  <c r="BE82" i="4"/>
  <c r="BE83" i="4"/>
  <c r="BE66" i="4"/>
  <c r="BE67" i="4"/>
  <c r="BE68" i="4"/>
  <c r="BE69" i="4"/>
  <c r="BE5" i="4"/>
  <c r="BE6" i="4"/>
  <c r="BE7" i="4"/>
  <c r="BE8" i="4"/>
  <c r="BE9" i="4"/>
  <c r="BE10" i="4"/>
  <c r="BE11" i="4"/>
  <c r="BE12" i="4"/>
  <c r="BE13" i="4"/>
  <c r="BE14" i="4"/>
  <c r="BE15" i="4"/>
  <c r="BE16" i="4"/>
  <c r="BE17" i="4"/>
  <c r="BE18" i="4"/>
  <c r="BE19" i="4"/>
  <c r="BE20" i="4"/>
  <c r="BE21" i="4"/>
  <c r="BE22" i="4"/>
  <c r="BE23" i="4"/>
  <c r="BE24" i="4"/>
  <c r="BE25" i="4"/>
  <c r="BE26" i="4"/>
  <c r="BE27" i="4"/>
  <c r="BE28" i="4"/>
  <c r="BE29" i="4"/>
  <c r="BE30" i="4"/>
  <c r="BE31" i="4"/>
  <c r="BE32" i="4"/>
  <c r="BE33" i="4"/>
  <c r="BE34" i="4"/>
  <c r="BE35" i="4"/>
  <c r="BE36" i="4"/>
  <c r="BE37" i="4"/>
  <c r="BE38" i="4"/>
  <c r="BE39" i="4"/>
  <c r="BE40" i="4"/>
  <c r="BE41" i="4"/>
  <c r="BE42" i="4"/>
  <c r="BE43" i="4"/>
  <c r="BE44" i="4"/>
  <c r="BE45" i="4"/>
  <c r="BE46" i="4"/>
  <c r="BE47" i="4"/>
  <c r="BE48" i="4"/>
  <c r="BE49" i="4"/>
  <c r="BE50" i="4"/>
  <c r="BE51" i="4"/>
  <c r="BE52" i="4"/>
  <c r="BE53" i="4"/>
  <c r="BE54" i="4"/>
  <c r="BE55" i="4"/>
  <c r="BE56" i="4"/>
  <c r="BE57" i="4"/>
  <c r="BE58" i="4"/>
  <c r="BE59" i="4"/>
  <c r="BE60" i="4"/>
  <c r="BE61" i="4"/>
  <c r="BE62" i="4"/>
  <c r="BE63" i="4"/>
  <c r="BE64" i="4"/>
  <c r="BC71" i="4"/>
  <c r="BD71" i="4" s="1"/>
  <c r="BC72" i="4"/>
  <c r="BD72" i="4" s="1"/>
  <c r="BC73" i="4"/>
  <c r="BD73" i="4" s="1"/>
  <c r="BC74" i="4"/>
  <c r="BD74" i="4" s="1"/>
  <c r="BC75" i="4"/>
  <c r="BD75" i="4" s="1"/>
  <c r="BC76" i="4"/>
  <c r="BC77" i="4"/>
  <c r="BC78" i="4"/>
  <c r="BC79" i="4"/>
  <c r="BD79" i="4" s="1"/>
  <c r="BC80" i="4"/>
  <c r="BD80" i="4" s="1"/>
  <c r="BC81" i="4"/>
  <c r="BC82" i="4"/>
  <c r="BC83" i="4"/>
  <c r="BC66" i="4"/>
  <c r="BD66" i="4" s="1"/>
  <c r="BC67" i="4"/>
  <c r="BD67" i="4" s="1"/>
  <c r="BC68" i="4"/>
  <c r="BD68" i="4" s="1"/>
  <c r="BC69" i="4"/>
  <c r="BD69" i="4" s="1"/>
  <c r="BC5" i="4"/>
  <c r="BD5" i="4" s="1"/>
  <c r="BC6" i="4"/>
  <c r="BD6" i="4" s="1"/>
  <c r="BC7" i="4"/>
  <c r="BD7" i="4" s="1"/>
  <c r="BC8" i="4"/>
  <c r="BD8" i="4" s="1"/>
  <c r="BC9" i="4"/>
  <c r="BD9" i="4" s="1"/>
  <c r="BC10" i="4"/>
  <c r="BD10" i="4" s="1"/>
  <c r="BC11" i="4"/>
  <c r="BD11" i="4" s="1"/>
  <c r="BC12" i="4"/>
  <c r="BD12" i="4" s="1"/>
  <c r="BC13" i="4"/>
  <c r="BD13" i="4" s="1"/>
  <c r="BC14" i="4"/>
  <c r="BD14" i="4" s="1"/>
  <c r="BC15" i="4"/>
  <c r="BD15" i="4" s="1"/>
  <c r="BC16" i="4"/>
  <c r="BD16" i="4" s="1"/>
  <c r="BC17" i="4"/>
  <c r="BD17" i="4" s="1"/>
  <c r="BC18" i="4"/>
  <c r="BD18" i="4" s="1"/>
  <c r="BC19" i="4"/>
  <c r="BD19" i="4" s="1"/>
  <c r="BC20" i="4"/>
  <c r="BD20" i="4" s="1"/>
  <c r="BC21" i="4"/>
  <c r="BD21" i="4" s="1"/>
  <c r="BC22" i="4"/>
  <c r="BD22" i="4" s="1"/>
  <c r="BC23" i="4"/>
  <c r="BD23" i="4" s="1"/>
  <c r="BC24" i="4"/>
  <c r="BD24" i="4" s="1"/>
  <c r="BC25" i="4"/>
  <c r="BD25" i="4" s="1"/>
  <c r="BC26" i="4"/>
  <c r="BD26" i="4" s="1"/>
  <c r="BC27" i="4"/>
  <c r="BD27" i="4" s="1"/>
  <c r="BC28" i="4"/>
  <c r="BD28" i="4" s="1"/>
  <c r="BC29" i="4"/>
  <c r="BD29" i="4" s="1"/>
  <c r="BC30" i="4"/>
  <c r="BD30" i="4" s="1"/>
  <c r="BC31" i="4"/>
  <c r="BD31" i="4" s="1"/>
  <c r="BC32" i="4"/>
  <c r="BD32" i="4" s="1"/>
  <c r="BC33" i="4"/>
  <c r="BD33" i="4" s="1"/>
  <c r="BC34" i="4"/>
  <c r="BD34" i="4" s="1"/>
  <c r="BC35" i="4"/>
  <c r="BD35" i="4" s="1"/>
  <c r="BC36" i="4"/>
  <c r="BD36" i="4" s="1"/>
  <c r="BC37" i="4"/>
  <c r="BD37" i="4" s="1"/>
  <c r="BC38" i="4"/>
  <c r="BD38" i="4" s="1"/>
  <c r="BC39" i="4"/>
  <c r="BD39" i="4" s="1"/>
  <c r="BC40" i="4"/>
  <c r="BD40" i="4" s="1"/>
  <c r="BC41" i="4"/>
  <c r="BD41" i="4" s="1"/>
  <c r="BC42" i="4"/>
  <c r="BD42" i="4" s="1"/>
  <c r="BC43" i="4"/>
  <c r="BD43" i="4" s="1"/>
  <c r="BC44" i="4"/>
  <c r="BD44" i="4" s="1"/>
  <c r="BC45" i="4"/>
  <c r="BD45" i="4" s="1"/>
  <c r="BC46" i="4"/>
  <c r="BD46" i="4" s="1"/>
  <c r="BC47" i="4"/>
  <c r="BD47" i="4" s="1"/>
  <c r="BC48" i="4"/>
  <c r="BD48" i="4" s="1"/>
  <c r="BC49" i="4"/>
  <c r="BD49" i="4" s="1"/>
  <c r="BC50" i="4"/>
  <c r="BD50" i="4" s="1"/>
  <c r="BC51" i="4"/>
  <c r="BD51" i="4" s="1"/>
  <c r="BC52" i="4"/>
  <c r="BD52" i="4" s="1"/>
  <c r="BC53" i="4"/>
  <c r="BD53" i="4" s="1"/>
  <c r="BC54" i="4"/>
  <c r="BD54" i="4" s="1"/>
  <c r="BC55" i="4"/>
  <c r="BD55" i="4" s="1"/>
  <c r="BC56" i="4"/>
  <c r="BD56" i="4" s="1"/>
  <c r="BC57" i="4"/>
  <c r="BD57" i="4" s="1"/>
  <c r="BC58" i="4"/>
  <c r="BD58" i="4" s="1"/>
  <c r="BC59" i="4"/>
  <c r="BD59" i="4" s="1"/>
  <c r="BC60" i="4"/>
  <c r="BD60" i="4" s="1"/>
  <c r="BC61" i="4"/>
  <c r="BD61" i="4" s="1"/>
  <c r="BC62" i="4"/>
  <c r="BD62" i="4" s="1"/>
  <c r="BC63" i="4"/>
  <c r="BD63" i="4" s="1"/>
  <c r="BC64" i="4"/>
  <c r="BD64" i="4" s="1"/>
  <c r="BB71" i="4"/>
  <c r="BB72" i="4"/>
  <c r="BB73" i="4"/>
  <c r="BB74" i="4"/>
  <c r="BB75" i="4"/>
  <c r="BB76" i="4"/>
  <c r="BB77" i="4"/>
  <c r="BB78" i="4"/>
  <c r="BB79" i="4"/>
  <c r="BB80" i="4"/>
  <c r="BB81" i="4"/>
  <c r="BB82" i="4"/>
  <c r="BB83" i="4"/>
  <c r="BB66" i="4"/>
  <c r="BB67" i="4"/>
  <c r="BB68" i="4"/>
  <c r="BB69" i="4"/>
  <c r="BB5" i="4"/>
  <c r="BB6" i="4"/>
  <c r="BB7" i="4"/>
  <c r="BB8" i="4"/>
  <c r="BB9" i="4"/>
  <c r="BB10" i="4"/>
  <c r="BB11" i="4"/>
  <c r="BB12" i="4"/>
  <c r="BB13" i="4"/>
  <c r="BB14" i="4"/>
  <c r="BB15" i="4"/>
  <c r="BB16" i="4"/>
  <c r="BB17" i="4"/>
  <c r="BB18" i="4"/>
  <c r="BB19" i="4"/>
  <c r="BB20" i="4"/>
  <c r="BB21" i="4"/>
  <c r="BB22" i="4"/>
  <c r="BB23" i="4"/>
  <c r="BB24" i="4"/>
  <c r="BB25" i="4"/>
  <c r="BB26" i="4"/>
  <c r="BB27" i="4"/>
  <c r="BB28" i="4"/>
  <c r="BB29" i="4"/>
  <c r="BB30" i="4"/>
  <c r="BB31" i="4"/>
  <c r="BB32" i="4"/>
  <c r="BB33" i="4"/>
  <c r="BB34" i="4"/>
  <c r="BB35" i="4"/>
  <c r="BB36" i="4"/>
  <c r="BB37" i="4"/>
  <c r="BB38" i="4"/>
  <c r="BB39" i="4"/>
  <c r="BB40" i="4"/>
  <c r="BB41" i="4"/>
  <c r="BB42" i="4"/>
  <c r="BB43" i="4"/>
  <c r="BB44" i="4"/>
  <c r="BB45" i="4"/>
  <c r="BB46" i="4"/>
  <c r="BB47" i="4"/>
  <c r="BB48" i="4"/>
  <c r="BB49" i="4"/>
  <c r="BB50" i="4"/>
  <c r="BB51" i="4"/>
  <c r="BB52" i="4"/>
  <c r="BB53" i="4"/>
  <c r="BB54" i="4"/>
  <c r="BB55" i="4"/>
  <c r="BB56" i="4"/>
  <c r="BB57" i="4"/>
  <c r="BB58" i="4"/>
  <c r="BB59" i="4"/>
  <c r="BB60" i="4"/>
  <c r="BB61" i="4"/>
  <c r="BB62" i="4"/>
  <c r="BB63" i="4"/>
  <c r="BB64" i="4"/>
  <c r="BA71" i="4"/>
  <c r="BA72" i="4"/>
  <c r="BA73" i="4"/>
  <c r="BA74" i="4"/>
  <c r="BA75" i="4"/>
  <c r="BA76" i="4"/>
  <c r="BA77" i="4"/>
  <c r="BA78" i="4"/>
  <c r="BA79" i="4"/>
  <c r="BA80" i="4"/>
  <c r="BA81" i="4"/>
  <c r="BA82" i="4"/>
  <c r="BA83" i="4"/>
  <c r="BA66" i="4"/>
  <c r="BA67" i="4"/>
  <c r="BA68" i="4"/>
  <c r="BA69" i="4"/>
  <c r="BA5" i="4"/>
  <c r="BA6" i="4"/>
  <c r="BA7" i="4"/>
  <c r="BA8" i="4"/>
  <c r="BA9" i="4"/>
  <c r="BA10" i="4"/>
  <c r="BA11" i="4"/>
  <c r="BA12" i="4"/>
  <c r="BA13" i="4"/>
  <c r="BA14" i="4"/>
  <c r="BA15" i="4"/>
  <c r="BA16" i="4"/>
  <c r="BA17" i="4"/>
  <c r="BA18" i="4"/>
  <c r="BA19" i="4"/>
  <c r="BA20" i="4"/>
  <c r="BA21" i="4"/>
  <c r="BA22" i="4"/>
  <c r="BA23" i="4"/>
  <c r="BA24" i="4"/>
  <c r="BA25" i="4"/>
  <c r="BA26" i="4"/>
  <c r="BA27" i="4"/>
  <c r="BA28" i="4"/>
  <c r="BA29" i="4"/>
  <c r="BA30" i="4"/>
  <c r="BA31" i="4"/>
  <c r="BA32" i="4"/>
  <c r="BA33" i="4"/>
  <c r="BA34" i="4"/>
  <c r="BA35" i="4"/>
  <c r="BA36" i="4"/>
  <c r="BA37" i="4"/>
  <c r="BA38" i="4"/>
  <c r="BA39" i="4"/>
  <c r="BA40" i="4"/>
  <c r="BA41" i="4"/>
  <c r="BA42" i="4"/>
  <c r="BA43" i="4"/>
  <c r="BA44" i="4"/>
  <c r="BA45" i="4"/>
  <c r="BA46" i="4"/>
  <c r="BA47" i="4"/>
  <c r="BA48" i="4"/>
  <c r="BA49" i="4"/>
  <c r="BA50" i="4"/>
  <c r="BA51" i="4"/>
  <c r="BA52" i="4"/>
  <c r="BA53" i="4"/>
  <c r="BA54" i="4"/>
  <c r="BA55" i="4"/>
  <c r="BA56" i="4"/>
  <c r="BA57" i="4"/>
  <c r="BA58" i="4"/>
  <c r="BA59" i="4"/>
  <c r="BA60" i="4"/>
  <c r="BA61" i="4"/>
  <c r="BA62" i="4"/>
  <c r="BA63" i="4"/>
  <c r="BA64" i="4"/>
  <c r="AZ71" i="4"/>
  <c r="AZ72" i="4"/>
  <c r="AZ73" i="4"/>
  <c r="AZ74" i="4"/>
  <c r="AZ75" i="4"/>
  <c r="AZ76" i="4"/>
  <c r="AZ77" i="4"/>
  <c r="AZ78" i="4"/>
  <c r="AZ79" i="4"/>
  <c r="AZ80" i="4"/>
  <c r="AZ81" i="4"/>
  <c r="AZ82" i="4"/>
  <c r="AZ83" i="4"/>
  <c r="AZ66" i="4"/>
  <c r="AZ67" i="4"/>
  <c r="AZ68" i="4"/>
  <c r="AZ69" i="4"/>
  <c r="AZ5" i="4"/>
  <c r="AZ6" i="4"/>
  <c r="AZ7" i="4"/>
  <c r="AZ8" i="4"/>
  <c r="AZ9" i="4"/>
  <c r="AZ10" i="4"/>
  <c r="AZ11" i="4"/>
  <c r="AZ12" i="4"/>
  <c r="AZ13" i="4"/>
  <c r="AZ14" i="4"/>
  <c r="AZ15" i="4"/>
  <c r="AZ16" i="4"/>
  <c r="AZ17" i="4"/>
  <c r="AZ18" i="4"/>
  <c r="AZ19" i="4"/>
  <c r="AZ20" i="4"/>
  <c r="AZ21" i="4"/>
  <c r="AZ22" i="4"/>
  <c r="AZ23" i="4"/>
  <c r="AZ24" i="4"/>
  <c r="AZ25" i="4"/>
  <c r="AZ26" i="4"/>
  <c r="AZ27" i="4"/>
  <c r="AZ28" i="4"/>
  <c r="AZ29" i="4"/>
  <c r="AZ30" i="4"/>
  <c r="AZ31" i="4"/>
  <c r="AZ32" i="4"/>
  <c r="AZ33" i="4"/>
  <c r="AZ34" i="4"/>
  <c r="AZ35" i="4"/>
  <c r="AZ36" i="4"/>
  <c r="AZ37" i="4"/>
  <c r="AZ38" i="4"/>
  <c r="AZ39" i="4"/>
  <c r="AZ40" i="4"/>
  <c r="AZ41" i="4"/>
  <c r="AZ42" i="4"/>
  <c r="AZ43" i="4"/>
  <c r="AZ44" i="4"/>
  <c r="AZ45" i="4"/>
  <c r="AZ46" i="4"/>
  <c r="AZ47" i="4"/>
  <c r="AZ48" i="4"/>
  <c r="AZ49" i="4"/>
  <c r="AZ50" i="4"/>
  <c r="AZ51" i="4"/>
  <c r="AZ52" i="4"/>
  <c r="AZ53" i="4"/>
  <c r="AZ54" i="4"/>
  <c r="AZ55" i="4"/>
  <c r="AZ56" i="4"/>
  <c r="AZ57" i="4"/>
  <c r="AZ58" i="4"/>
  <c r="AZ59" i="4"/>
  <c r="AZ60" i="4"/>
  <c r="AZ61" i="4"/>
  <c r="AZ62" i="4"/>
  <c r="AZ63" i="4"/>
  <c r="AZ64" i="4"/>
  <c r="AY71" i="4"/>
  <c r="AY72" i="4"/>
  <c r="AY73" i="4"/>
  <c r="AY74" i="4"/>
  <c r="AY75" i="4"/>
  <c r="AY76" i="4"/>
  <c r="AY77" i="4"/>
  <c r="AY78" i="4"/>
  <c r="AY79" i="4"/>
  <c r="AY80" i="4"/>
  <c r="AY81" i="4"/>
  <c r="AY82" i="4"/>
  <c r="AY83" i="4"/>
  <c r="AY66" i="4"/>
  <c r="AY67" i="4"/>
  <c r="AY68" i="4"/>
  <c r="AY69" i="4"/>
  <c r="AY5" i="4"/>
  <c r="AY6" i="4"/>
  <c r="AY7" i="4"/>
  <c r="AY8" i="4"/>
  <c r="AY9" i="4"/>
  <c r="AY10" i="4"/>
  <c r="AY11" i="4"/>
  <c r="AY12" i="4"/>
  <c r="AY13" i="4"/>
  <c r="AY14" i="4"/>
  <c r="AY15" i="4"/>
  <c r="AY16" i="4"/>
  <c r="AY17" i="4"/>
  <c r="AY18" i="4"/>
  <c r="AY19" i="4"/>
  <c r="AY20" i="4"/>
  <c r="AY21" i="4"/>
  <c r="AY22" i="4"/>
  <c r="AY23" i="4"/>
  <c r="AY24" i="4"/>
  <c r="AY25" i="4"/>
  <c r="AY26" i="4"/>
  <c r="AY27" i="4"/>
  <c r="AY28" i="4"/>
  <c r="AY29" i="4"/>
  <c r="AY30" i="4"/>
  <c r="AY31" i="4"/>
  <c r="AY32" i="4"/>
  <c r="AY33" i="4"/>
  <c r="AY34" i="4"/>
  <c r="AY35" i="4"/>
  <c r="AY36" i="4"/>
  <c r="AY37" i="4"/>
  <c r="AY38" i="4"/>
  <c r="AY39" i="4"/>
  <c r="AY40" i="4"/>
  <c r="AY41" i="4"/>
  <c r="AY42" i="4"/>
  <c r="AY43" i="4"/>
  <c r="AY44" i="4"/>
  <c r="AY45" i="4"/>
  <c r="AY46" i="4"/>
  <c r="AY47" i="4"/>
  <c r="AY48" i="4"/>
  <c r="AY49" i="4"/>
  <c r="AY50" i="4"/>
  <c r="AY51" i="4"/>
  <c r="AY52" i="4"/>
  <c r="AY53" i="4"/>
  <c r="AY54" i="4"/>
  <c r="AY55" i="4"/>
  <c r="AY56" i="4"/>
  <c r="AY57" i="4"/>
  <c r="AY58" i="4"/>
  <c r="AY59" i="4"/>
  <c r="AY60" i="4"/>
  <c r="AY61" i="4"/>
  <c r="AY62" i="4"/>
  <c r="AY63" i="4"/>
  <c r="AY64" i="4"/>
  <c r="AX71" i="4"/>
  <c r="AX72" i="4"/>
  <c r="AX73" i="4"/>
  <c r="AX74" i="4"/>
  <c r="AX75" i="4"/>
  <c r="AX76" i="4"/>
  <c r="AX77" i="4"/>
  <c r="AX78" i="4"/>
  <c r="AX79" i="4"/>
  <c r="AX80" i="4"/>
  <c r="AX81" i="4"/>
  <c r="AX82" i="4"/>
  <c r="AX83" i="4"/>
  <c r="AX66" i="4"/>
  <c r="AX67" i="4"/>
  <c r="AX68" i="4"/>
  <c r="AX69" i="4"/>
  <c r="AX5" i="4"/>
  <c r="AX6" i="4"/>
  <c r="AX7" i="4"/>
  <c r="AX8" i="4"/>
  <c r="AX9" i="4"/>
  <c r="AX10" i="4"/>
  <c r="AX11" i="4"/>
  <c r="AX12" i="4"/>
  <c r="AX13" i="4"/>
  <c r="AX14" i="4"/>
  <c r="AX15" i="4"/>
  <c r="AX16" i="4"/>
  <c r="AX17" i="4"/>
  <c r="AX18" i="4"/>
  <c r="AX19" i="4"/>
  <c r="AX20" i="4"/>
  <c r="AX21" i="4"/>
  <c r="AX22" i="4"/>
  <c r="AX23" i="4"/>
  <c r="AX24" i="4"/>
  <c r="AX25" i="4"/>
  <c r="AX26" i="4"/>
  <c r="AX27" i="4"/>
  <c r="AX28" i="4"/>
  <c r="AX29" i="4"/>
  <c r="AX30" i="4"/>
  <c r="AX31" i="4"/>
  <c r="AX32" i="4"/>
  <c r="AX33" i="4"/>
  <c r="AX34" i="4"/>
  <c r="AX35" i="4"/>
  <c r="AX36" i="4"/>
  <c r="AX37" i="4"/>
  <c r="AX38" i="4"/>
  <c r="AX39" i="4"/>
  <c r="AX40" i="4"/>
  <c r="AX41" i="4"/>
  <c r="AX42" i="4"/>
  <c r="AX43" i="4"/>
  <c r="AX44" i="4"/>
  <c r="AX45" i="4"/>
  <c r="AX46" i="4"/>
  <c r="AX47" i="4"/>
  <c r="AX48" i="4"/>
  <c r="AX49" i="4"/>
  <c r="AX50" i="4"/>
  <c r="AX51" i="4"/>
  <c r="AX52" i="4"/>
  <c r="AX53" i="4"/>
  <c r="AX54" i="4"/>
  <c r="AX55" i="4"/>
  <c r="AX56" i="4"/>
  <c r="AX57" i="4"/>
  <c r="AX58" i="4"/>
  <c r="AX59" i="4"/>
  <c r="AX60" i="4"/>
  <c r="AX61" i="4"/>
  <c r="AX62" i="4"/>
  <c r="AX63" i="4"/>
  <c r="AX64" i="4"/>
  <c r="AW71" i="4"/>
  <c r="AW72" i="4"/>
  <c r="AW73" i="4"/>
  <c r="AW74" i="4"/>
  <c r="AW75" i="4"/>
  <c r="AW76" i="4"/>
  <c r="AW77" i="4"/>
  <c r="AW78" i="4"/>
  <c r="AW79" i="4"/>
  <c r="AW80" i="4"/>
  <c r="AW81" i="4"/>
  <c r="AW82" i="4"/>
  <c r="AW83" i="4"/>
  <c r="AW66" i="4"/>
  <c r="AW67" i="4"/>
  <c r="AW68" i="4"/>
  <c r="AW69" i="4"/>
  <c r="AW5" i="4"/>
  <c r="AW6" i="4"/>
  <c r="AW7" i="4"/>
  <c r="AW8" i="4"/>
  <c r="AW9" i="4"/>
  <c r="AW10" i="4"/>
  <c r="AW11" i="4"/>
  <c r="AW12" i="4"/>
  <c r="AW13" i="4"/>
  <c r="AW14" i="4"/>
  <c r="AW15" i="4"/>
  <c r="AW16" i="4"/>
  <c r="AW17" i="4"/>
  <c r="AW18" i="4"/>
  <c r="AW19" i="4"/>
  <c r="AW20" i="4"/>
  <c r="AW21" i="4"/>
  <c r="AW22" i="4"/>
  <c r="AW23" i="4"/>
  <c r="AW24" i="4"/>
  <c r="AW25" i="4"/>
  <c r="AW26" i="4"/>
  <c r="AW27" i="4"/>
  <c r="AW28" i="4"/>
  <c r="AW29" i="4"/>
  <c r="AW30" i="4"/>
  <c r="AW31" i="4"/>
  <c r="AW32" i="4"/>
  <c r="AW33" i="4"/>
  <c r="AW34" i="4"/>
  <c r="AW35" i="4"/>
  <c r="AW36" i="4"/>
  <c r="AW37" i="4"/>
  <c r="AW38" i="4"/>
  <c r="AW39" i="4"/>
  <c r="AW40" i="4"/>
  <c r="AW41" i="4"/>
  <c r="AW42" i="4"/>
  <c r="AW43" i="4"/>
  <c r="AW44" i="4"/>
  <c r="AW45" i="4"/>
  <c r="AW46" i="4"/>
  <c r="AW47" i="4"/>
  <c r="AW48" i="4"/>
  <c r="AW49" i="4"/>
  <c r="AW50" i="4"/>
  <c r="AW51" i="4"/>
  <c r="AW52" i="4"/>
  <c r="AW53" i="4"/>
  <c r="AW54" i="4"/>
  <c r="AW55" i="4"/>
  <c r="AW56" i="4"/>
  <c r="AW57" i="4"/>
  <c r="AW58" i="4"/>
  <c r="AW59" i="4"/>
  <c r="AW60" i="4"/>
  <c r="AW61" i="4"/>
  <c r="AW62" i="4"/>
  <c r="AW63" i="4"/>
  <c r="AW64" i="4"/>
  <c r="AV71" i="4"/>
  <c r="AV72" i="4"/>
  <c r="AV73" i="4"/>
  <c r="AV74" i="4"/>
  <c r="AV75" i="4"/>
  <c r="AV76" i="4"/>
  <c r="AV77" i="4"/>
  <c r="AV78" i="4"/>
  <c r="AV79" i="4"/>
  <c r="AV80" i="4"/>
  <c r="AV81" i="4"/>
  <c r="AV82" i="4"/>
  <c r="AV83" i="4"/>
  <c r="AV66" i="4"/>
  <c r="AV67" i="4"/>
  <c r="AV68" i="4"/>
  <c r="AV69" i="4"/>
  <c r="AV5" i="4"/>
  <c r="AV6" i="4"/>
  <c r="AV7" i="4"/>
  <c r="AV8" i="4"/>
  <c r="AV9" i="4"/>
  <c r="AV10" i="4"/>
  <c r="AV11" i="4"/>
  <c r="AV12" i="4"/>
  <c r="AV13" i="4"/>
  <c r="AV14" i="4"/>
  <c r="AV15" i="4"/>
  <c r="AV16" i="4"/>
  <c r="AV17" i="4"/>
  <c r="AV18" i="4"/>
  <c r="AV19" i="4"/>
  <c r="AV20" i="4"/>
  <c r="AV21" i="4"/>
  <c r="AV22" i="4"/>
  <c r="AV23" i="4"/>
  <c r="AV24" i="4"/>
  <c r="AV25" i="4"/>
  <c r="AV26" i="4"/>
  <c r="AV27" i="4"/>
  <c r="AV28" i="4"/>
  <c r="AV29" i="4"/>
  <c r="AV30" i="4"/>
  <c r="AV31" i="4"/>
  <c r="AV32" i="4"/>
  <c r="AV33" i="4"/>
  <c r="AV34" i="4"/>
  <c r="AV35" i="4"/>
  <c r="AV36" i="4"/>
  <c r="AV37" i="4"/>
  <c r="AV38" i="4"/>
  <c r="AV39" i="4"/>
  <c r="AV40" i="4"/>
  <c r="AV41" i="4"/>
  <c r="AV42" i="4"/>
  <c r="AV43" i="4"/>
  <c r="AV44" i="4"/>
  <c r="AV45" i="4"/>
  <c r="AV46" i="4"/>
  <c r="AV47" i="4"/>
  <c r="AV48" i="4"/>
  <c r="AV49" i="4"/>
  <c r="AV50" i="4"/>
  <c r="AV51" i="4"/>
  <c r="AV52" i="4"/>
  <c r="AV53" i="4"/>
  <c r="AV54" i="4"/>
  <c r="AV55" i="4"/>
  <c r="AV56" i="4"/>
  <c r="AV57" i="4"/>
  <c r="AV58" i="4"/>
  <c r="AV59" i="4"/>
  <c r="AV60" i="4"/>
  <c r="AV61" i="4"/>
  <c r="AV62" i="4"/>
  <c r="AV63" i="4"/>
  <c r="AV64" i="4"/>
  <c r="AU71" i="4"/>
  <c r="AU72" i="4"/>
  <c r="AU73" i="4"/>
  <c r="AU74" i="4"/>
  <c r="AU75" i="4"/>
  <c r="AU76" i="4"/>
  <c r="AU77" i="4"/>
  <c r="AU78" i="4"/>
  <c r="AU79" i="4"/>
  <c r="AU80" i="4"/>
  <c r="AU81" i="4"/>
  <c r="AU82" i="4"/>
  <c r="AU83" i="4"/>
  <c r="AU66" i="4"/>
  <c r="AU67" i="4"/>
  <c r="AU68" i="4"/>
  <c r="AU69" i="4"/>
  <c r="AU5" i="4"/>
  <c r="AU6" i="4"/>
  <c r="AU7" i="4"/>
  <c r="AU8" i="4"/>
  <c r="AU9" i="4"/>
  <c r="AU10" i="4"/>
  <c r="AU11" i="4"/>
  <c r="AU12" i="4"/>
  <c r="AU13" i="4"/>
  <c r="AU14" i="4"/>
  <c r="AU15" i="4"/>
  <c r="AU16" i="4"/>
  <c r="AU17" i="4"/>
  <c r="AU18" i="4"/>
  <c r="AU19" i="4"/>
  <c r="AU20" i="4"/>
  <c r="AU21" i="4"/>
  <c r="AU22" i="4"/>
  <c r="AU23" i="4"/>
  <c r="AU24" i="4"/>
  <c r="AU25" i="4"/>
  <c r="AU26" i="4"/>
  <c r="AU27" i="4"/>
  <c r="AU28" i="4"/>
  <c r="AU29" i="4"/>
  <c r="AU30" i="4"/>
  <c r="AU31" i="4"/>
  <c r="AU32" i="4"/>
  <c r="AU33" i="4"/>
  <c r="AU34" i="4"/>
  <c r="AU35" i="4"/>
  <c r="AU36" i="4"/>
  <c r="AU37" i="4"/>
  <c r="AU38" i="4"/>
  <c r="AU39" i="4"/>
  <c r="AU40" i="4"/>
  <c r="AU41" i="4"/>
  <c r="AU42" i="4"/>
  <c r="AU43" i="4"/>
  <c r="AU44" i="4"/>
  <c r="AU45" i="4"/>
  <c r="AU46" i="4"/>
  <c r="AU47" i="4"/>
  <c r="AU48" i="4"/>
  <c r="AU49" i="4"/>
  <c r="AU50" i="4"/>
  <c r="AU51" i="4"/>
  <c r="AU52" i="4"/>
  <c r="AU53" i="4"/>
  <c r="AU54" i="4"/>
  <c r="AU55" i="4"/>
  <c r="AU56" i="4"/>
  <c r="AU57" i="4"/>
  <c r="AU58" i="4"/>
  <c r="AU59" i="4"/>
  <c r="AU60" i="4"/>
  <c r="AU61" i="4"/>
  <c r="AU62" i="4"/>
  <c r="AU63" i="4"/>
  <c r="AU64" i="4"/>
  <c r="AT71" i="4"/>
  <c r="AT72" i="4"/>
  <c r="AT73" i="4"/>
  <c r="AT74" i="4"/>
  <c r="AT75" i="4"/>
  <c r="AT76" i="4"/>
  <c r="AT77" i="4"/>
  <c r="AT78" i="4"/>
  <c r="AT79" i="4"/>
  <c r="AT80" i="4"/>
  <c r="AT81" i="4"/>
  <c r="AT82" i="4"/>
  <c r="AT83" i="4"/>
  <c r="AT66" i="4"/>
  <c r="AT67" i="4"/>
  <c r="AT68" i="4"/>
  <c r="AT69" i="4"/>
  <c r="AT5" i="4"/>
  <c r="AT6" i="4"/>
  <c r="AT7" i="4"/>
  <c r="AT8" i="4"/>
  <c r="AT9" i="4"/>
  <c r="AT10" i="4"/>
  <c r="AT11" i="4"/>
  <c r="AT12" i="4"/>
  <c r="AT13" i="4"/>
  <c r="AT14" i="4"/>
  <c r="AT15" i="4"/>
  <c r="AT16" i="4"/>
  <c r="AT17" i="4"/>
  <c r="AT18" i="4"/>
  <c r="AT19" i="4"/>
  <c r="AT20" i="4"/>
  <c r="AT21" i="4"/>
  <c r="AT22" i="4"/>
  <c r="AT23" i="4"/>
  <c r="AT24" i="4"/>
  <c r="AT25" i="4"/>
  <c r="AT26" i="4"/>
  <c r="AT27" i="4"/>
  <c r="AT28" i="4"/>
  <c r="AT29" i="4"/>
  <c r="AT30" i="4"/>
  <c r="AT31" i="4"/>
  <c r="AT32" i="4"/>
  <c r="AT33" i="4"/>
  <c r="AT34" i="4"/>
  <c r="AT35" i="4"/>
  <c r="AT36" i="4"/>
  <c r="AT37" i="4"/>
  <c r="AT38" i="4"/>
  <c r="AT39" i="4"/>
  <c r="AT40" i="4"/>
  <c r="AT41" i="4"/>
  <c r="AT42" i="4"/>
  <c r="AT43" i="4"/>
  <c r="AT44" i="4"/>
  <c r="AT45" i="4"/>
  <c r="AT46" i="4"/>
  <c r="AT47" i="4"/>
  <c r="AT48" i="4"/>
  <c r="AT49" i="4"/>
  <c r="AT50" i="4"/>
  <c r="AT51" i="4"/>
  <c r="AT52" i="4"/>
  <c r="AT53" i="4"/>
  <c r="AT54" i="4"/>
  <c r="AT55" i="4"/>
  <c r="AT56" i="4"/>
  <c r="AT57" i="4"/>
  <c r="AT58" i="4"/>
  <c r="AT59" i="4"/>
  <c r="AT60" i="4"/>
  <c r="AT61" i="4"/>
  <c r="AT62" i="4"/>
  <c r="AT63" i="4"/>
  <c r="AT64" i="4"/>
  <c r="AP71" i="4"/>
  <c r="AP72" i="4"/>
  <c r="AP73" i="4"/>
  <c r="AP74" i="4"/>
  <c r="AP75" i="4"/>
  <c r="AP76" i="4"/>
  <c r="AP77" i="4"/>
  <c r="AP78" i="4"/>
  <c r="AP79" i="4"/>
  <c r="AP80" i="4"/>
  <c r="AP81" i="4"/>
  <c r="AP82" i="4"/>
  <c r="AP83" i="4"/>
  <c r="AP66" i="4"/>
  <c r="AP67" i="4"/>
  <c r="AP68" i="4"/>
  <c r="AP69" i="4"/>
  <c r="AP5" i="4"/>
  <c r="AP6" i="4"/>
  <c r="AP7" i="4"/>
  <c r="AP8" i="4"/>
  <c r="AP9" i="4"/>
  <c r="AP10" i="4"/>
  <c r="AP11" i="4"/>
  <c r="AP12" i="4"/>
  <c r="AP13" i="4"/>
  <c r="AP14" i="4"/>
  <c r="AP15" i="4"/>
  <c r="AP16" i="4"/>
  <c r="AP17" i="4"/>
  <c r="AP18" i="4"/>
  <c r="AP19" i="4"/>
  <c r="AP20" i="4"/>
  <c r="AP21" i="4"/>
  <c r="AP22" i="4"/>
  <c r="AP23" i="4"/>
  <c r="AP24" i="4"/>
  <c r="AP25" i="4"/>
  <c r="AP26" i="4"/>
  <c r="AP27" i="4"/>
  <c r="AP28" i="4"/>
  <c r="AP29" i="4"/>
  <c r="AP30" i="4"/>
  <c r="AP31" i="4"/>
  <c r="AP32" i="4"/>
  <c r="AP33" i="4"/>
  <c r="AP34" i="4"/>
  <c r="AP35" i="4"/>
  <c r="AP36" i="4"/>
  <c r="AP37" i="4"/>
  <c r="AP38" i="4"/>
  <c r="AP39" i="4"/>
  <c r="AP40" i="4"/>
  <c r="AP41" i="4"/>
  <c r="AP42" i="4"/>
  <c r="AP43" i="4"/>
  <c r="AP44" i="4"/>
  <c r="AP45" i="4"/>
  <c r="AP46" i="4"/>
  <c r="AP47" i="4"/>
  <c r="AP48" i="4"/>
  <c r="AP49" i="4"/>
  <c r="AP50" i="4"/>
  <c r="AP51" i="4"/>
  <c r="AP52" i="4"/>
  <c r="AP53" i="4"/>
  <c r="AP54" i="4"/>
  <c r="AP55" i="4"/>
  <c r="AP56" i="4"/>
  <c r="AP57" i="4"/>
  <c r="AP58" i="4"/>
  <c r="AP59" i="4"/>
  <c r="AP60" i="4"/>
  <c r="AP61" i="4"/>
  <c r="AP62" i="4"/>
  <c r="AP63" i="4"/>
  <c r="AP64" i="4"/>
  <c r="AN71" i="4"/>
  <c r="AN72" i="4"/>
  <c r="AN73" i="4"/>
  <c r="AN74" i="4"/>
  <c r="AN75" i="4"/>
  <c r="AN76" i="4"/>
  <c r="AN77" i="4"/>
  <c r="AN78" i="4"/>
  <c r="AN79" i="4"/>
  <c r="AN80" i="4"/>
  <c r="AN81" i="4"/>
  <c r="AN82" i="4"/>
  <c r="AN83" i="4"/>
  <c r="AN66" i="4"/>
  <c r="AN67" i="4"/>
  <c r="AN68" i="4"/>
  <c r="AN69" i="4"/>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L71" i="4"/>
  <c r="AL72" i="4"/>
  <c r="AL73" i="4"/>
  <c r="AL74" i="4"/>
  <c r="AL75" i="4"/>
  <c r="AL76" i="4"/>
  <c r="AL77" i="4"/>
  <c r="AL78" i="4"/>
  <c r="AL79" i="4"/>
  <c r="AL80" i="4"/>
  <c r="AL81" i="4"/>
  <c r="AL82" i="4"/>
  <c r="AL83" i="4"/>
  <c r="AL66" i="4"/>
  <c r="AL67" i="4"/>
  <c r="AL68" i="4"/>
  <c r="AL69" i="4"/>
  <c r="AL5" i="4"/>
  <c r="AM5" i="4" s="1"/>
  <c r="AL6" i="4"/>
  <c r="AM6" i="4" s="1"/>
  <c r="AL7" i="4"/>
  <c r="AM7" i="4" s="1"/>
  <c r="AL8" i="4"/>
  <c r="AM8" i="4" s="1"/>
  <c r="AL9" i="4"/>
  <c r="AM9" i="4" s="1"/>
  <c r="AL10" i="4"/>
  <c r="AM10" i="4" s="1"/>
  <c r="AL11" i="4"/>
  <c r="AM11" i="4" s="1"/>
  <c r="AL12" i="4"/>
  <c r="AM12" i="4" s="1"/>
  <c r="AL13" i="4"/>
  <c r="AM13" i="4" s="1"/>
  <c r="AL14" i="4"/>
  <c r="AM14" i="4" s="1"/>
  <c r="AL15" i="4"/>
  <c r="AM15" i="4" s="1"/>
  <c r="AL16" i="4"/>
  <c r="AM16" i="4" s="1"/>
  <c r="AL17" i="4"/>
  <c r="AM17" i="4" s="1"/>
  <c r="AL18" i="4"/>
  <c r="AM18" i="4" s="1"/>
  <c r="AL19" i="4"/>
  <c r="AM19" i="4" s="1"/>
  <c r="AL20" i="4"/>
  <c r="AM20" i="4" s="1"/>
  <c r="AL21" i="4"/>
  <c r="AM21" i="4" s="1"/>
  <c r="AL22" i="4"/>
  <c r="AM22" i="4" s="1"/>
  <c r="AL23" i="4"/>
  <c r="AM23" i="4" s="1"/>
  <c r="AL24" i="4"/>
  <c r="AM24" i="4" s="1"/>
  <c r="AL25" i="4"/>
  <c r="AM25" i="4" s="1"/>
  <c r="AL26" i="4"/>
  <c r="AM26" i="4" s="1"/>
  <c r="AL27" i="4"/>
  <c r="AM27" i="4" s="1"/>
  <c r="AL28" i="4"/>
  <c r="AM28" i="4" s="1"/>
  <c r="AL29" i="4"/>
  <c r="AM29" i="4" s="1"/>
  <c r="AL30" i="4"/>
  <c r="AM30" i="4" s="1"/>
  <c r="AL31" i="4"/>
  <c r="AM31" i="4" s="1"/>
  <c r="AL32" i="4"/>
  <c r="AM32" i="4" s="1"/>
  <c r="AL33" i="4"/>
  <c r="AM33" i="4" s="1"/>
  <c r="AL34" i="4"/>
  <c r="AM34" i="4" s="1"/>
  <c r="AL35" i="4"/>
  <c r="AM35" i="4" s="1"/>
  <c r="AL36" i="4"/>
  <c r="AM36" i="4" s="1"/>
  <c r="AL37" i="4"/>
  <c r="AM37" i="4" s="1"/>
  <c r="AL38" i="4"/>
  <c r="AM38" i="4" s="1"/>
  <c r="AL39" i="4"/>
  <c r="AM39" i="4" s="1"/>
  <c r="AL40" i="4"/>
  <c r="AM40" i="4" s="1"/>
  <c r="AL41" i="4"/>
  <c r="AM41" i="4" s="1"/>
  <c r="AL42" i="4"/>
  <c r="AM42" i="4" s="1"/>
  <c r="AL43" i="4"/>
  <c r="AM43" i="4" s="1"/>
  <c r="AL44" i="4"/>
  <c r="AM44" i="4" s="1"/>
  <c r="AL45" i="4"/>
  <c r="AM45" i="4" s="1"/>
  <c r="AL46" i="4"/>
  <c r="AM46" i="4" s="1"/>
  <c r="AL47" i="4"/>
  <c r="AM47" i="4" s="1"/>
  <c r="AL48" i="4"/>
  <c r="AM48" i="4" s="1"/>
  <c r="AL49" i="4"/>
  <c r="AM49" i="4" s="1"/>
  <c r="AL50" i="4"/>
  <c r="AM50" i="4" s="1"/>
  <c r="AL51" i="4"/>
  <c r="AM51" i="4" s="1"/>
  <c r="AL52" i="4"/>
  <c r="AM52" i="4" s="1"/>
  <c r="AL53" i="4"/>
  <c r="AM53" i="4" s="1"/>
  <c r="AL54" i="4"/>
  <c r="AM54" i="4" s="1"/>
  <c r="AL55" i="4"/>
  <c r="AM55" i="4" s="1"/>
  <c r="AL56" i="4"/>
  <c r="AM56" i="4" s="1"/>
  <c r="AL57" i="4"/>
  <c r="AM57" i="4" s="1"/>
  <c r="AL58" i="4"/>
  <c r="AM58" i="4" s="1"/>
  <c r="AL59" i="4"/>
  <c r="AM59" i="4" s="1"/>
  <c r="AL60" i="4"/>
  <c r="AM60" i="4" s="1"/>
  <c r="AL61" i="4"/>
  <c r="AM61" i="4" s="1"/>
  <c r="AL62" i="4"/>
  <c r="AM62" i="4" s="1"/>
  <c r="AL63" i="4"/>
  <c r="AM63" i="4" s="1"/>
  <c r="AL64" i="4"/>
  <c r="AM64" i="4" s="1"/>
  <c r="AH71" i="4"/>
  <c r="AI71" i="4" s="1"/>
  <c r="AJ71" i="4" s="1"/>
  <c r="AK71" i="4" s="1"/>
  <c r="AH72" i="4"/>
  <c r="AI72" i="4" s="1"/>
  <c r="AJ72" i="4" s="1"/>
  <c r="AK72" i="4" s="1"/>
  <c r="AH73" i="4"/>
  <c r="AI73" i="4" s="1"/>
  <c r="AJ73" i="4" s="1"/>
  <c r="AK73" i="4" s="1"/>
  <c r="AH74" i="4"/>
  <c r="AI74" i="4" s="1"/>
  <c r="AJ74" i="4" s="1"/>
  <c r="AK74" i="4" s="1"/>
  <c r="AH75" i="4"/>
  <c r="AI75" i="4" s="1"/>
  <c r="AJ75" i="4" s="1"/>
  <c r="AK75" i="4" s="1"/>
  <c r="AH76" i="4"/>
  <c r="AI76" i="4" s="1"/>
  <c r="AJ76" i="4" s="1"/>
  <c r="AK76" i="4" s="1"/>
  <c r="AH77" i="4"/>
  <c r="AI77" i="4" s="1"/>
  <c r="AJ77" i="4" s="1"/>
  <c r="AK77" i="4" s="1"/>
  <c r="AH78" i="4"/>
  <c r="AI78" i="4" s="1"/>
  <c r="AJ78" i="4" s="1"/>
  <c r="AK78" i="4" s="1"/>
  <c r="AH79" i="4"/>
  <c r="AI79" i="4" s="1"/>
  <c r="AJ79" i="4" s="1"/>
  <c r="AK79" i="4" s="1"/>
  <c r="AH80" i="4"/>
  <c r="AI80" i="4" s="1"/>
  <c r="AJ80" i="4" s="1"/>
  <c r="AK80" i="4" s="1"/>
  <c r="AH81" i="4"/>
  <c r="AI81" i="4" s="1"/>
  <c r="AJ81" i="4" s="1"/>
  <c r="AK81" i="4" s="1"/>
  <c r="AH82" i="4"/>
  <c r="AI82" i="4" s="1"/>
  <c r="AJ82" i="4" s="1"/>
  <c r="AK82" i="4" s="1"/>
  <c r="AH83" i="4"/>
  <c r="AI83" i="4" s="1"/>
  <c r="AJ83" i="4" s="1"/>
  <c r="AK83" i="4" s="1"/>
  <c r="AH66" i="4"/>
  <c r="AI66" i="4" s="1"/>
  <c r="AJ66" i="4" s="1"/>
  <c r="AK66" i="4" s="1"/>
  <c r="AH67" i="4"/>
  <c r="AI67" i="4" s="1"/>
  <c r="AJ67" i="4" s="1"/>
  <c r="AK67" i="4" s="1"/>
  <c r="AH68" i="4"/>
  <c r="AI68" i="4" s="1"/>
  <c r="AJ68" i="4" s="1"/>
  <c r="AK68" i="4" s="1"/>
  <c r="AH69" i="4"/>
  <c r="AI69" i="4" s="1"/>
  <c r="AJ69" i="4" s="1"/>
  <c r="AK69" i="4" s="1"/>
  <c r="AH5" i="4"/>
  <c r="AI5" i="4" s="1"/>
  <c r="AJ5" i="4" s="1"/>
  <c r="AK5" i="4" s="1"/>
  <c r="AH6" i="4"/>
  <c r="AI6" i="4" s="1"/>
  <c r="AJ6" i="4" s="1"/>
  <c r="AK6" i="4" s="1"/>
  <c r="AH7" i="4"/>
  <c r="AI7" i="4" s="1"/>
  <c r="AJ7" i="4" s="1"/>
  <c r="AK7" i="4" s="1"/>
  <c r="AH8" i="4"/>
  <c r="AI8" i="4" s="1"/>
  <c r="AJ8" i="4" s="1"/>
  <c r="AK8" i="4" s="1"/>
  <c r="AH9" i="4"/>
  <c r="AI9" i="4" s="1"/>
  <c r="AJ9" i="4" s="1"/>
  <c r="AK9" i="4" s="1"/>
  <c r="AH10" i="4"/>
  <c r="AI10" i="4" s="1"/>
  <c r="AJ10" i="4" s="1"/>
  <c r="AK10" i="4" s="1"/>
  <c r="AH11" i="4"/>
  <c r="AI11" i="4" s="1"/>
  <c r="AJ11" i="4" s="1"/>
  <c r="AK11" i="4" s="1"/>
  <c r="AH12" i="4"/>
  <c r="AI12" i="4" s="1"/>
  <c r="AJ12" i="4" s="1"/>
  <c r="AK12" i="4" s="1"/>
  <c r="AH13" i="4"/>
  <c r="AI13" i="4" s="1"/>
  <c r="AJ13" i="4" s="1"/>
  <c r="AK13" i="4" s="1"/>
  <c r="AH14" i="4"/>
  <c r="AI14" i="4" s="1"/>
  <c r="AJ14" i="4" s="1"/>
  <c r="AK14" i="4" s="1"/>
  <c r="AH15" i="4"/>
  <c r="AI15" i="4" s="1"/>
  <c r="AJ15" i="4" s="1"/>
  <c r="AK15" i="4" s="1"/>
  <c r="AH16" i="4"/>
  <c r="AI16" i="4" s="1"/>
  <c r="AJ16" i="4" s="1"/>
  <c r="AK16" i="4" s="1"/>
  <c r="AH17" i="4"/>
  <c r="AI17" i="4" s="1"/>
  <c r="AJ17" i="4" s="1"/>
  <c r="AK17" i="4" s="1"/>
  <c r="AH18" i="4"/>
  <c r="AI18" i="4" s="1"/>
  <c r="AJ18" i="4" s="1"/>
  <c r="AK18" i="4" s="1"/>
  <c r="AH19" i="4"/>
  <c r="AI19" i="4" s="1"/>
  <c r="AJ19" i="4" s="1"/>
  <c r="AK19" i="4" s="1"/>
  <c r="AH20" i="4"/>
  <c r="AI20" i="4" s="1"/>
  <c r="AJ20" i="4" s="1"/>
  <c r="AK20" i="4" s="1"/>
  <c r="AH21" i="4"/>
  <c r="AI21" i="4" s="1"/>
  <c r="AJ21" i="4" s="1"/>
  <c r="AK21" i="4" s="1"/>
  <c r="AH22" i="4"/>
  <c r="AI22" i="4" s="1"/>
  <c r="AJ22" i="4" s="1"/>
  <c r="AK22" i="4" s="1"/>
  <c r="AH23" i="4"/>
  <c r="AI23" i="4" s="1"/>
  <c r="AJ23" i="4" s="1"/>
  <c r="AK23" i="4" s="1"/>
  <c r="AH24" i="4"/>
  <c r="AI24" i="4" s="1"/>
  <c r="AJ24" i="4" s="1"/>
  <c r="AK24" i="4" s="1"/>
  <c r="AH25" i="4"/>
  <c r="AI25" i="4" s="1"/>
  <c r="AJ25" i="4" s="1"/>
  <c r="AK25" i="4" s="1"/>
  <c r="AH26" i="4"/>
  <c r="AI26" i="4" s="1"/>
  <c r="AJ26" i="4" s="1"/>
  <c r="AK26" i="4" s="1"/>
  <c r="AH27" i="4"/>
  <c r="AI27" i="4" s="1"/>
  <c r="AJ27" i="4" s="1"/>
  <c r="AK27" i="4" s="1"/>
  <c r="AH28" i="4"/>
  <c r="AI28" i="4" s="1"/>
  <c r="AJ28" i="4" s="1"/>
  <c r="AK28" i="4" s="1"/>
  <c r="AH29" i="4"/>
  <c r="AI29" i="4" s="1"/>
  <c r="AJ29" i="4" s="1"/>
  <c r="AK29" i="4" s="1"/>
  <c r="AH30" i="4"/>
  <c r="AI30" i="4" s="1"/>
  <c r="AJ30" i="4" s="1"/>
  <c r="AK30" i="4" s="1"/>
  <c r="AH31" i="4"/>
  <c r="AI31" i="4" s="1"/>
  <c r="AJ31" i="4" s="1"/>
  <c r="AK31" i="4" s="1"/>
  <c r="AH32" i="4"/>
  <c r="AI32" i="4" s="1"/>
  <c r="AJ32" i="4" s="1"/>
  <c r="AK32" i="4" s="1"/>
  <c r="AH33" i="4"/>
  <c r="AI33" i="4" s="1"/>
  <c r="AJ33" i="4" s="1"/>
  <c r="AK33" i="4" s="1"/>
  <c r="AH34" i="4"/>
  <c r="AI34" i="4" s="1"/>
  <c r="AJ34" i="4" s="1"/>
  <c r="AK34" i="4" s="1"/>
  <c r="AH35" i="4"/>
  <c r="AI35" i="4" s="1"/>
  <c r="AJ35" i="4" s="1"/>
  <c r="AK35" i="4" s="1"/>
  <c r="AH36" i="4"/>
  <c r="AI36" i="4" s="1"/>
  <c r="AJ36" i="4" s="1"/>
  <c r="AK36" i="4" s="1"/>
  <c r="AH37" i="4"/>
  <c r="AI37" i="4" s="1"/>
  <c r="AJ37" i="4" s="1"/>
  <c r="AK37" i="4" s="1"/>
  <c r="AH38" i="4"/>
  <c r="AI38" i="4" s="1"/>
  <c r="AJ38" i="4" s="1"/>
  <c r="AK38" i="4" s="1"/>
  <c r="AH39" i="4"/>
  <c r="AI39" i="4" s="1"/>
  <c r="AJ39" i="4" s="1"/>
  <c r="AK39" i="4" s="1"/>
  <c r="AH40" i="4"/>
  <c r="AI40" i="4" s="1"/>
  <c r="AJ40" i="4" s="1"/>
  <c r="AK40" i="4" s="1"/>
  <c r="AH41" i="4"/>
  <c r="AI41" i="4" s="1"/>
  <c r="AJ41" i="4" s="1"/>
  <c r="AK41" i="4" s="1"/>
  <c r="AH42" i="4"/>
  <c r="AI42" i="4" s="1"/>
  <c r="AJ42" i="4" s="1"/>
  <c r="AK42" i="4" s="1"/>
  <c r="AH43" i="4"/>
  <c r="AI43" i="4" s="1"/>
  <c r="AJ43" i="4" s="1"/>
  <c r="AK43" i="4" s="1"/>
  <c r="AH44" i="4"/>
  <c r="AI44" i="4" s="1"/>
  <c r="AJ44" i="4" s="1"/>
  <c r="AK44" i="4" s="1"/>
  <c r="AH45" i="4"/>
  <c r="AI45" i="4" s="1"/>
  <c r="AJ45" i="4" s="1"/>
  <c r="AK45" i="4" s="1"/>
  <c r="AH46" i="4"/>
  <c r="AI46" i="4" s="1"/>
  <c r="AJ46" i="4" s="1"/>
  <c r="AK46" i="4" s="1"/>
  <c r="AH47" i="4"/>
  <c r="AI47" i="4" s="1"/>
  <c r="AJ47" i="4" s="1"/>
  <c r="AK47" i="4" s="1"/>
  <c r="AH48" i="4"/>
  <c r="AI48" i="4" s="1"/>
  <c r="AJ48" i="4" s="1"/>
  <c r="AK48" i="4" s="1"/>
  <c r="AH49" i="4"/>
  <c r="AI49" i="4" s="1"/>
  <c r="AJ49" i="4" s="1"/>
  <c r="AK49" i="4" s="1"/>
  <c r="AH50" i="4"/>
  <c r="AI50" i="4" s="1"/>
  <c r="AJ50" i="4" s="1"/>
  <c r="AK50" i="4" s="1"/>
  <c r="AH51" i="4"/>
  <c r="AI51" i="4" s="1"/>
  <c r="AJ51" i="4" s="1"/>
  <c r="AK51" i="4" s="1"/>
  <c r="AH52" i="4"/>
  <c r="AI52" i="4" s="1"/>
  <c r="AJ52" i="4" s="1"/>
  <c r="AK52" i="4" s="1"/>
  <c r="AH53" i="4"/>
  <c r="AI53" i="4" s="1"/>
  <c r="AJ53" i="4" s="1"/>
  <c r="AK53" i="4" s="1"/>
  <c r="AH54" i="4"/>
  <c r="AI54" i="4" s="1"/>
  <c r="AJ54" i="4" s="1"/>
  <c r="AK54" i="4" s="1"/>
  <c r="AH55" i="4"/>
  <c r="AI55" i="4" s="1"/>
  <c r="AJ55" i="4" s="1"/>
  <c r="AK55" i="4" s="1"/>
  <c r="AH56" i="4"/>
  <c r="AI56" i="4" s="1"/>
  <c r="AJ56" i="4" s="1"/>
  <c r="AK56" i="4" s="1"/>
  <c r="AH57" i="4"/>
  <c r="AI57" i="4" s="1"/>
  <c r="AJ57" i="4" s="1"/>
  <c r="AK57" i="4" s="1"/>
  <c r="AH58" i="4"/>
  <c r="AI58" i="4" s="1"/>
  <c r="AJ58" i="4" s="1"/>
  <c r="AK58" i="4" s="1"/>
  <c r="AH59" i="4"/>
  <c r="AI59" i="4" s="1"/>
  <c r="AJ59" i="4" s="1"/>
  <c r="AK59" i="4" s="1"/>
  <c r="AH60" i="4"/>
  <c r="AI60" i="4" s="1"/>
  <c r="AJ60" i="4" s="1"/>
  <c r="AK60" i="4" s="1"/>
  <c r="AH61" i="4"/>
  <c r="AI61" i="4" s="1"/>
  <c r="AJ61" i="4" s="1"/>
  <c r="AK61" i="4" s="1"/>
  <c r="AH62" i="4"/>
  <c r="AI62" i="4" s="1"/>
  <c r="AJ62" i="4" s="1"/>
  <c r="AK62" i="4" s="1"/>
  <c r="AH63" i="4"/>
  <c r="AI63" i="4" s="1"/>
  <c r="AJ63" i="4" s="1"/>
  <c r="AK63" i="4" s="1"/>
  <c r="AH64" i="4"/>
  <c r="AI64" i="4" s="1"/>
  <c r="AJ64" i="4" s="1"/>
  <c r="AK64" i="4" s="1"/>
  <c r="W71" i="4"/>
  <c r="W72" i="4"/>
  <c r="W73" i="4"/>
  <c r="W74" i="4"/>
  <c r="W75" i="4"/>
  <c r="W76" i="4"/>
  <c r="W77" i="4"/>
  <c r="W78" i="4"/>
  <c r="W79" i="4"/>
  <c r="W80" i="4"/>
  <c r="W81" i="4"/>
  <c r="W82" i="4"/>
  <c r="W83" i="4"/>
  <c r="W66" i="4"/>
  <c r="W67" i="4"/>
  <c r="W68" i="4"/>
  <c r="W69"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BN5" i="3"/>
  <c r="BO5" i="3" s="1"/>
  <c r="BN6" i="3"/>
  <c r="BO6" i="3" s="1"/>
  <c r="BN7" i="3"/>
  <c r="BO7" i="3" s="1"/>
  <c r="BN8" i="3"/>
  <c r="BO8" i="3" s="1"/>
  <c r="BN9" i="3"/>
  <c r="BO9" i="3" s="1"/>
  <c r="BN10" i="3"/>
  <c r="BO10" i="3" s="1"/>
  <c r="BN11" i="3"/>
  <c r="BO11" i="3" s="1"/>
  <c r="BN12" i="3"/>
  <c r="BO12" i="3" s="1"/>
  <c r="BN13" i="3"/>
  <c r="BO13" i="3" s="1"/>
  <c r="BN14" i="3"/>
  <c r="BO14" i="3" s="1"/>
  <c r="BN15" i="3"/>
  <c r="BO15" i="3" s="1"/>
  <c r="BN16" i="3"/>
  <c r="BO16" i="3" s="1"/>
  <c r="BN17" i="3"/>
  <c r="BO17" i="3" s="1"/>
  <c r="BN18" i="3"/>
  <c r="BO18" i="3" s="1"/>
  <c r="BN19" i="3"/>
  <c r="BO19" i="3" s="1"/>
  <c r="BN20" i="3"/>
  <c r="BO20" i="3" s="1"/>
  <c r="BN21" i="3"/>
  <c r="BO21" i="3" s="1"/>
  <c r="BN22" i="3"/>
  <c r="BO22" i="3" s="1"/>
  <c r="BN23" i="3"/>
  <c r="BO23" i="3" s="1"/>
  <c r="BN24" i="3"/>
  <c r="BO24" i="3" s="1"/>
  <c r="BN25" i="3"/>
  <c r="BO25" i="3" s="1"/>
  <c r="BN26" i="3"/>
  <c r="BO26" i="3" s="1"/>
  <c r="BN27" i="3"/>
  <c r="BO27" i="3" s="1"/>
  <c r="BN28" i="3"/>
  <c r="BO28" i="3" s="1"/>
  <c r="BN29" i="3"/>
  <c r="BO29" i="3" s="1"/>
  <c r="BN30" i="3"/>
  <c r="BO30" i="3" s="1"/>
  <c r="BN31" i="3"/>
  <c r="BO31" i="3" s="1"/>
  <c r="BN32" i="3"/>
  <c r="BO32" i="3" s="1"/>
  <c r="BN33" i="3"/>
  <c r="BO33" i="3" s="1"/>
  <c r="BN34" i="3"/>
  <c r="BO34" i="3" s="1"/>
  <c r="BL48" i="3"/>
  <c r="BL49" i="3"/>
  <c r="BL50" i="3"/>
  <c r="BL51" i="3"/>
  <c r="BL52" i="3"/>
  <c r="BL53" i="3"/>
  <c r="BL54" i="3"/>
  <c r="BL55" i="3"/>
  <c r="BL56" i="3"/>
  <c r="BL57" i="3"/>
  <c r="BL58" i="3"/>
  <c r="BL59" i="3"/>
  <c r="BL60" i="3"/>
  <c r="BL61" i="3"/>
  <c r="BL62" i="3"/>
  <c r="BL63" i="3"/>
  <c r="BL64" i="3"/>
  <c r="BL65" i="3"/>
  <c r="BL66" i="3"/>
  <c r="BL67" i="3"/>
  <c r="BL68" i="3"/>
  <c r="BL69" i="3"/>
  <c r="BL70" i="3"/>
  <c r="BL71" i="3"/>
  <c r="BL72" i="3"/>
  <c r="BL73" i="3"/>
  <c r="BL74" i="3"/>
  <c r="BL75" i="3"/>
  <c r="BL76" i="3"/>
  <c r="BL36" i="3"/>
  <c r="BM36" i="3" s="1"/>
  <c r="BN36" i="3" s="1"/>
  <c r="BO36" i="3" s="1"/>
  <c r="BL37" i="3"/>
  <c r="BL38" i="3"/>
  <c r="BL39" i="3"/>
  <c r="BL40" i="3"/>
  <c r="BL41" i="3"/>
  <c r="BL42" i="3"/>
  <c r="BL43" i="3"/>
  <c r="BL44" i="3"/>
  <c r="BL45" i="3"/>
  <c r="BL46" i="3"/>
  <c r="BL5" i="3"/>
  <c r="BL6" i="3"/>
  <c r="BM6" i="3" s="1"/>
  <c r="BL7" i="3"/>
  <c r="BM7" i="3" s="1"/>
  <c r="BL8" i="3"/>
  <c r="BM8" i="3" s="1"/>
  <c r="BL9" i="3"/>
  <c r="BM9" i="3" s="1"/>
  <c r="BL10" i="3"/>
  <c r="BM10" i="3" s="1"/>
  <c r="BL11" i="3"/>
  <c r="BM11" i="3" s="1"/>
  <c r="BL12" i="3"/>
  <c r="BM12" i="3" s="1"/>
  <c r="BL13" i="3"/>
  <c r="BM13" i="3" s="1"/>
  <c r="BL14" i="3"/>
  <c r="BM14" i="3" s="1"/>
  <c r="BL15" i="3"/>
  <c r="BM15" i="3" s="1"/>
  <c r="BL16" i="3"/>
  <c r="BM16" i="3" s="1"/>
  <c r="BL17" i="3"/>
  <c r="BM17" i="3" s="1"/>
  <c r="BL18" i="3"/>
  <c r="BM18" i="3" s="1"/>
  <c r="BL19" i="3"/>
  <c r="BM19" i="3" s="1"/>
  <c r="BL20" i="3"/>
  <c r="BM20" i="3" s="1"/>
  <c r="BL21" i="3"/>
  <c r="BM21" i="3" s="1"/>
  <c r="BL22" i="3"/>
  <c r="BM22" i="3" s="1"/>
  <c r="BL23" i="3"/>
  <c r="BM23" i="3" s="1"/>
  <c r="BL24" i="3"/>
  <c r="BM24" i="3" s="1"/>
  <c r="BL25" i="3"/>
  <c r="BM25" i="3" s="1"/>
  <c r="BL26" i="3"/>
  <c r="BM26" i="3" s="1"/>
  <c r="BL27" i="3"/>
  <c r="BM27" i="3" s="1"/>
  <c r="BL28" i="3"/>
  <c r="BM28" i="3" s="1"/>
  <c r="BL29" i="3"/>
  <c r="BM29" i="3" s="1"/>
  <c r="BL30" i="3"/>
  <c r="BM30" i="3" s="1"/>
  <c r="BL31" i="3"/>
  <c r="BM31" i="3" s="1"/>
  <c r="BL32" i="3"/>
  <c r="BM32" i="3" s="1"/>
  <c r="BL33" i="3"/>
  <c r="BM33" i="3" s="1"/>
  <c r="BL34" i="3"/>
  <c r="BM34" i="3" s="1"/>
  <c r="BE48" i="3"/>
  <c r="BE49" i="3"/>
  <c r="BE50" i="3"/>
  <c r="BE51" i="3"/>
  <c r="BE52" i="3"/>
  <c r="BE53" i="3"/>
  <c r="BE54" i="3"/>
  <c r="BE55" i="3"/>
  <c r="BE56" i="3"/>
  <c r="BE57" i="3"/>
  <c r="BE58" i="3"/>
  <c r="BE59" i="3"/>
  <c r="BE60" i="3"/>
  <c r="BE61" i="3"/>
  <c r="BE62" i="3"/>
  <c r="BE63" i="3"/>
  <c r="BE64" i="3"/>
  <c r="BE65" i="3"/>
  <c r="BE66" i="3"/>
  <c r="BE67" i="3"/>
  <c r="BE68" i="3"/>
  <c r="BE69" i="3"/>
  <c r="BE70" i="3"/>
  <c r="BE71" i="3"/>
  <c r="BE72" i="3"/>
  <c r="BE73" i="3"/>
  <c r="BE74" i="3"/>
  <c r="BE75" i="3"/>
  <c r="BE76" i="3"/>
  <c r="BE36" i="3"/>
  <c r="BE37" i="3"/>
  <c r="BE38" i="3"/>
  <c r="BE39" i="3"/>
  <c r="BE40" i="3"/>
  <c r="BE41" i="3"/>
  <c r="BE42" i="3"/>
  <c r="BE43" i="3"/>
  <c r="BE44" i="3"/>
  <c r="BE45" i="3"/>
  <c r="BE46" i="3"/>
  <c r="BE5" i="3"/>
  <c r="BE6" i="3"/>
  <c r="BE7" i="3"/>
  <c r="BE8" i="3"/>
  <c r="BE9" i="3"/>
  <c r="BE10" i="3"/>
  <c r="BE11" i="3"/>
  <c r="BE12" i="3"/>
  <c r="BE13" i="3"/>
  <c r="BE14" i="3"/>
  <c r="BE15" i="3"/>
  <c r="BE16" i="3"/>
  <c r="BE17" i="3"/>
  <c r="BE18" i="3"/>
  <c r="BE19" i="3"/>
  <c r="BE20" i="3"/>
  <c r="BE21" i="3"/>
  <c r="BE22" i="3"/>
  <c r="BE23" i="3"/>
  <c r="BE24" i="3"/>
  <c r="BE25" i="3"/>
  <c r="BE26" i="3"/>
  <c r="BE27" i="3"/>
  <c r="BE28" i="3"/>
  <c r="BE29" i="3"/>
  <c r="BE30" i="3"/>
  <c r="BE31" i="3"/>
  <c r="BE32" i="3"/>
  <c r="BE33" i="3"/>
  <c r="BE34"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36" i="3"/>
  <c r="AN37" i="3"/>
  <c r="AN38" i="3"/>
  <c r="AN39" i="3"/>
  <c r="AN40" i="3"/>
  <c r="AN41" i="3"/>
  <c r="AN42" i="3"/>
  <c r="AN43" i="3"/>
  <c r="AN44" i="3"/>
  <c r="AN45" i="3"/>
  <c r="AN46"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36" i="3"/>
  <c r="W37" i="3"/>
  <c r="W38" i="3"/>
  <c r="W39" i="3"/>
  <c r="W40" i="3"/>
  <c r="W41" i="3"/>
  <c r="W42" i="3"/>
  <c r="W43" i="3"/>
  <c r="W44" i="3"/>
  <c r="W45" i="3"/>
  <c r="W46"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26" i="2"/>
  <c r="J27" i="2"/>
  <c r="J28" i="2"/>
  <c r="J5" i="2"/>
  <c r="J6" i="2"/>
  <c r="J7" i="2"/>
  <c r="J8" i="2"/>
  <c r="J9" i="2"/>
  <c r="J10" i="2"/>
  <c r="J11" i="2"/>
  <c r="J12" i="2"/>
  <c r="J13" i="2"/>
  <c r="J14" i="2"/>
  <c r="J15" i="2"/>
  <c r="J16" i="2"/>
  <c r="J17" i="2"/>
  <c r="J18" i="2"/>
  <c r="J19" i="2"/>
  <c r="J20" i="2"/>
  <c r="J21" i="2"/>
  <c r="J22" i="2"/>
  <c r="J23" i="2"/>
  <c r="J24" i="2"/>
  <c r="AF53" i="6" l="1"/>
  <c r="AG53" i="6" s="1"/>
  <c r="AH53" i="6" s="1"/>
  <c r="AF62" i="6"/>
  <c r="AG62" i="6" s="1"/>
  <c r="AH62" i="6" s="1"/>
  <c r="AY28" i="5"/>
  <c r="AZ28" i="5" s="1"/>
  <c r="BA28" i="5" s="1"/>
  <c r="AY31" i="5"/>
  <c r="AZ31" i="5" s="1"/>
  <c r="BA31" i="5" s="1"/>
  <c r="AY35" i="5"/>
  <c r="AZ35" i="5" s="1"/>
  <c r="BA35" i="5" s="1"/>
  <c r="AY40" i="5"/>
  <c r="AZ40" i="5" s="1"/>
  <c r="BA40" i="5" s="1"/>
  <c r="AY44" i="5"/>
  <c r="AZ44" i="5" s="1"/>
  <c r="BA44" i="5" s="1"/>
  <c r="AY48" i="5"/>
  <c r="AZ48" i="5" s="1"/>
  <c r="BA48" i="5" s="1"/>
  <c r="BM53" i="3"/>
  <c r="BN53" i="3" s="1"/>
  <c r="BO53" i="3" s="1"/>
  <c r="BM57" i="3"/>
  <c r="BN57" i="3" s="1"/>
  <c r="BO57" i="3" s="1"/>
  <c r="BM64" i="3"/>
  <c r="BN64" i="3" s="1"/>
  <c r="BO64" i="3" s="1"/>
  <c r="BM70" i="3"/>
  <c r="BN70" i="3" s="1"/>
  <c r="BO70" i="3" s="1"/>
  <c r="BM76" i="3"/>
  <c r="BN76" i="3" s="1"/>
  <c r="BO76" i="3" s="1"/>
  <c r="BM42" i="3"/>
  <c r="BN42" i="3" s="1"/>
  <c r="BO42" i="3" s="1"/>
  <c r="BM46" i="3"/>
  <c r="BN46" i="3" s="1"/>
  <c r="BO46" i="3" s="1"/>
  <c r="AF54" i="6"/>
  <c r="AG54" i="6" s="1"/>
  <c r="AH54" i="6" s="1"/>
  <c r="AF61" i="6"/>
  <c r="AG61" i="6" s="1"/>
  <c r="AH61" i="6" s="1"/>
  <c r="AY25" i="5"/>
  <c r="AZ25" i="5" s="1"/>
  <c r="BA25" i="5" s="1"/>
  <c r="AY32" i="5"/>
  <c r="AZ32" i="5" s="1"/>
  <c r="BA32" i="5" s="1"/>
  <c r="AY36" i="5"/>
  <c r="AZ36" i="5" s="1"/>
  <c r="BA36" i="5" s="1"/>
  <c r="AY39" i="5"/>
  <c r="AZ39" i="5" s="1"/>
  <c r="BA39" i="5" s="1"/>
  <c r="AY43" i="5"/>
  <c r="AZ43" i="5" s="1"/>
  <c r="BA43" i="5" s="1"/>
  <c r="AY47" i="5"/>
  <c r="AZ47" i="5" s="1"/>
  <c r="BA47" i="5" s="1"/>
  <c r="BM49" i="3"/>
  <c r="BN49" i="3" s="1"/>
  <c r="BO49" i="3" s="1"/>
  <c r="BM59" i="3"/>
  <c r="BN59" i="3" s="1"/>
  <c r="BO59" i="3" s="1"/>
  <c r="BM65" i="3"/>
  <c r="BN65" i="3" s="1"/>
  <c r="BO65" i="3" s="1"/>
  <c r="BM71" i="3"/>
  <c r="BN71" i="3" s="1"/>
  <c r="BO71" i="3" s="1"/>
  <c r="AF69" i="6"/>
  <c r="AG69" i="6" s="1"/>
  <c r="AH69" i="6" s="1"/>
  <c r="AF70" i="6"/>
  <c r="AG70" i="6" s="1"/>
  <c r="AH70" i="6" s="1"/>
  <c r="AF73" i="6"/>
  <c r="AG73" i="6" s="1"/>
  <c r="AH73" i="6" s="1"/>
  <c r="AF74" i="6"/>
  <c r="AG74" i="6" s="1"/>
  <c r="AH74" i="6" s="1"/>
  <c r="AF46" i="6"/>
  <c r="AG46" i="6" s="1"/>
  <c r="AH46" i="6" s="1"/>
  <c r="AF47" i="6"/>
  <c r="AG47" i="6" s="1"/>
  <c r="AH47" i="6" s="1"/>
  <c r="AF49" i="6"/>
  <c r="AG49" i="6" s="1"/>
  <c r="AH49" i="6" s="1"/>
  <c r="AF51" i="6"/>
  <c r="AG51" i="6" s="1"/>
  <c r="AH51" i="6" s="1"/>
  <c r="AF56" i="6"/>
  <c r="AG56" i="6" s="1"/>
  <c r="AH56" i="6" s="1"/>
  <c r="AF58" i="6"/>
  <c r="AG58" i="6" s="1"/>
  <c r="AH58" i="6" s="1"/>
  <c r="AF59" i="6"/>
  <c r="AG59" i="6" s="1"/>
  <c r="AH59" i="6" s="1"/>
  <c r="AF63" i="6"/>
  <c r="AG63" i="6" s="1"/>
  <c r="AH63" i="6" s="1"/>
  <c r="AF66" i="6"/>
  <c r="AG66" i="6" s="1"/>
  <c r="AH66" i="6" s="1"/>
  <c r="AY27" i="5"/>
  <c r="AZ27" i="5" s="1"/>
  <c r="BA27" i="5" s="1"/>
  <c r="AY29" i="5"/>
  <c r="AZ29" i="5" s="1"/>
  <c r="BA29" i="5" s="1"/>
  <c r="AY34" i="5"/>
  <c r="AZ34" i="5" s="1"/>
  <c r="BA34" i="5" s="1"/>
  <c r="AY38" i="5"/>
  <c r="AZ38" i="5" s="1"/>
  <c r="BA38" i="5" s="1"/>
  <c r="AY41" i="5"/>
  <c r="AZ41" i="5" s="1"/>
  <c r="BA41" i="5" s="1"/>
  <c r="AY46" i="5"/>
  <c r="AZ46" i="5" s="1"/>
  <c r="BA46" i="5" s="1"/>
  <c r="AY21" i="5"/>
  <c r="AZ21" i="5" s="1"/>
  <c r="BA21" i="5" s="1"/>
  <c r="BM51" i="3"/>
  <c r="BN51" i="3" s="1"/>
  <c r="BO51" i="3" s="1"/>
  <c r="BM55" i="3"/>
  <c r="BN55" i="3" s="1"/>
  <c r="BO55" i="3" s="1"/>
  <c r="BM60" i="3"/>
  <c r="BN60" i="3" s="1"/>
  <c r="BO60" i="3" s="1"/>
  <c r="BM66" i="3"/>
  <c r="BN66" i="3" s="1"/>
  <c r="BO66" i="3" s="1"/>
  <c r="BM72" i="3"/>
  <c r="BN72" i="3" s="1"/>
  <c r="BO72" i="3" s="1"/>
  <c r="BM37" i="3"/>
  <c r="BN37" i="3" s="1"/>
  <c r="BO37" i="3" s="1"/>
  <c r="BM40" i="3"/>
  <c r="BN40" i="3" s="1"/>
  <c r="BO40" i="3" s="1"/>
  <c r="BM45" i="3"/>
  <c r="BN45" i="3" s="1"/>
  <c r="BO45" i="3" s="1"/>
  <c r="I36" i="7"/>
  <c r="I37" i="7"/>
  <c r="I38" i="7"/>
  <c r="I39" i="7"/>
  <c r="I40" i="7"/>
  <c r="I41" i="7"/>
  <c r="I42" i="7"/>
  <c r="I43" i="7"/>
  <c r="I44" i="7"/>
  <c r="I45" i="7"/>
  <c r="I46" i="7"/>
  <c r="I47" i="7"/>
  <c r="I48" i="7"/>
  <c r="I49" i="7"/>
  <c r="I50" i="7"/>
  <c r="I51" i="7"/>
  <c r="I52" i="7"/>
  <c r="I53" i="7"/>
  <c r="I54" i="7"/>
  <c r="I55" i="7"/>
  <c r="I56" i="7"/>
  <c r="I57" i="7"/>
  <c r="I58" i="7"/>
  <c r="I26" i="7"/>
  <c r="I27" i="7"/>
  <c r="I28" i="7"/>
  <c r="I29" i="7"/>
  <c r="I30" i="7"/>
  <c r="I31" i="7"/>
  <c r="I32" i="7"/>
  <c r="I33" i="7"/>
  <c r="I34" i="7"/>
  <c r="AF68" i="6"/>
  <c r="AG68" i="6" s="1"/>
  <c r="AH68" i="6" s="1"/>
  <c r="AF71" i="6"/>
  <c r="AG71" i="6" s="1"/>
  <c r="AH71" i="6" s="1"/>
  <c r="AF72" i="6"/>
  <c r="AG72" i="6" s="1"/>
  <c r="AH72" i="6" s="1"/>
  <c r="AF75" i="6"/>
  <c r="AG75" i="6" s="1"/>
  <c r="AH75" i="6" s="1"/>
  <c r="AF76" i="6"/>
  <c r="AG76" i="6" s="1"/>
  <c r="AH76" i="6" s="1"/>
  <c r="AF48" i="6"/>
  <c r="AG48" i="6" s="1"/>
  <c r="AH48" i="6" s="1"/>
  <c r="AF50" i="6"/>
  <c r="AG50" i="6" s="1"/>
  <c r="AH50" i="6" s="1"/>
  <c r="AF52" i="6"/>
  <c r="AG52" i="6" s="1"/>
  <c r="AH52" i="6" s="1"/>
  <c r="AF55" i="6"/>
  <c r="AG55" i="6" s="1"/>
  <c r="AH55" i="6" s="1"/>
  <c r="AF57" i="6"/>
  <c r="AG57" i="6" s="1"/>
  <c r="AH57" i="6" s="1"/>
  <c r="AF60" i="6"/>
  <c r="AG60" i="6" s="1"/>
  <c r="AH60" i="6" s="1"/>
  <c r="AF64" i="6"/>
  <c r="AG64" i="6" s="1"/>
  <c r="AH64" i="6" s="1"/>
  <c r="AF65" i="6"/>
  <c r="AG65" i="6" s="1"/>
  <c r="AH65" i="6" s="1"/>
  <c r="AY26" i="5"/>
  <c r="AZ26" i="5" s="1"/>
  <c r="BA26" i="5" s="1"/>
  <c r="AY30" i="5"/>
  <c r="AZ30" i="5" s="1"/>
  <c r="BA30" i="5" s="1"/>
  <c r="AY33" i="5"/>
  <c r="AZ33" i="5" s="1"/>
  <c r="BA33" i="5" s="1"/>
  <c r="AY37" i="5"/>
  <c r="AZ37" i="5" s="1"/>
  <c r="BA37" i="5" s="1"/>
  <c r="AY42" i="5"/>
  <c r="AZ42" i="5" s="1"/>
  <c r="BA42" i="5" s="1"/>
  <c r="AY45" i="5"/>
  <c r="AY22" i="5"/>
  <c r="AZ22" i="5" s="1"/>
  <c r="BA22" i="5" s="1"/>
  <c r="BM48" i="3"/>
  <c r="BN48" i="3" s="1"/>
  <c r="BO48" i="3" s="1"/>
  <c r="BM54" i="3"/>
  <c r="BN54" i="3" s="1"/>
  <c r="BO54" i="3" s="1"/>
  <c r="BM58" i="3"/>
  <c r="BN58" i="3" s="1"/>
  <c r="BO58" i="3" s="1"/>
  <c r="BM63" i="3"/>
  <c r="BN63" i="3" s="1"/>
  <c r="BO63" i="3" s="1"/>
  <c r="BM69" i="3"/>
  <c r="BN69" i="3" s="1"/>
  <c r="BO69" i="3" s="1"/>
  <c r="BM74" i="3"/>
  <c r="BN74" i="3" s="1"/>
  <c r="BO74" i="3" s="1"/>
  <c r="BM39" i="3"/>
  <c r="BN39" i="3" s="1"/>
  <c r="BO39" i="3" s="1"/>
  <c r="BM44" i="3"/>
  <c r="BN44" i="3" s="1"/>
  <c r="BO44" i="3" s="1"/>
  <c r="BD76" i="4"/>
  <c r="BD77" i="4"/>
  <c r="BD78" i="4"/>
  <c r="BD81" i="4"/>
  <c r="BD82" i="4"/>
  <c r="BD83" i="4"/>
  <c r="BR71" i="4"/>
  <c r="BR72" i="4"/>
  <c r="BR73" i="4"/>
  <c r="BR74" i="4"/>
  <c r="BR75" i="4"/>
  <c r="BR76" i="4"/>
  <c r="BR77" i="4"/>
  <c r="BR78" i="4"/>
  <c r="BR79" i="4"/>
  <c r="BR80" i="4"/>
  <c r="BR81" i="4"/>
  <c r="BR82" i="4"/>
  <c r="BR83" i="4"/>
  <c r="BR66" i="4"/>
  <c r="BR67" i="4"/>
  <c r="BR68" i="4"/>
  <c r="BR69" i="4"/>
  <c r="AM71" i="4"/>
  <c r="BS71" i="4" s="1"/>
  <c r="BT71" i="4" s="1"/>
  <c r="AM72" i="4"/>
  <c r="BS72" i="4" s="1"/>
  <c r="BT72" i="4" s="1"/>
  <c r="AM73" i="4"/>
  <c r="BS73" i="4" s="1"/>
  <c r="BT73" i="4" s="1"/>
  <c r="AM74" i="4"/>
  <c r="AM75" i="4"/>
  <c r="AM76" i="4"/>
  <c r="BS76" i="4" s="1"/>
  <c r="BT76" i="4" s="1"/>
  <c r="AM77" i="4"/>
  <c r="BS77" i="4" s="1"/>
  <c r="BT77" i="4" s="1"/>
  <c r="AM78" i="4"/>
  <c r="BS78" i="4" s="1"/>
  <c r="BT78" i="4" s="1"/>
  <c r="AM79" i="4"/>
  <c r="BS79" i="4" s="1"/>
  <c r="BT79" i="4" s="1"/>
  <c r="AM80" i="4"/>
  <c r="BS80" i="4" s="1"/>
  <c r="BT80" i="4" s="1"/>
  <c r="AM81" i="4"/>
  <c r="BS81" i="4" s="1"/>
  <c r="BT81" i="4" s="1"/>
  <c r="AM82" i="4"/>
  <c r="BS82" i="4" s="1"/>
  <c r="BT82" i="4" s="1"/>
  <c r="AM83" i="4"/>
  <c r="BS83" i="4" s="1"/>
  <c r="BT83" i="4" s="1"/>
  <c r="AM66" i="4"/>
  <c r="AM67" i="4"/>
  <c r="BS67" i="4" s="1"/>
  <c r="BT67" i="4" s="1"/>
  <c r="AM68" i="4"/>
  <c r="BS68" i="4" s="1"/>
  <c r="BT68" i="4" s="1"/>
  <c r="AM69" i="4"/>
  <c r="BS69" i="4" s="1"/>
  <c r="BT69" i="4" s="1"/>
  <c r="BM52" i="3"/>
  <c r="BN52" i="3" s="1"/>
  <c r="BO52" i="3" s="1"/>
  <c r="BM56" i="3"/>
  <c r="BN56" i="3" s="1"/>
  <c r="BO56" i="3" s="1"/>
  <c r="BM62" i="3"/>
  <c r="BN62" i="3" s="1"/>
  <c r="BO62" i="3" s="1"/>
  <c r="BM68" i="3"/>
  <c r="BN68" i="3" s="1"/>
  <c r="BO68" i="3" s="1"/>
  <c r="BM75" i="3"/>
  <c r="BN75" i="3" s="1"/>
  <c r="BO75" i="3" s="1"/>
  <c r="BM41" i="3"/>
  <c r="BN41" i="3" s="1"/>
  <c r="BO41" i="3" s="1"/>
  <c r="BM50" i="3"/>
  <c r="BN50" i="3" s="1"/>
  <c r="BO50" i="3" s="1"/>
  <c r="BM61" i="3"/>
  <c r="BN61" i="3" s="1"/>
  <c r="BO61" i="3" s="1"/>
  <c r="BM67" i="3"/>
  <c r="BN67" i="3" s="1"/>
  <c r="BO67" i="3" s="1"/>
  <c r="BM73" i="3"/>
  <c r="BN73" i="3" s="1"/>
  <c r="BO73" i="3" s="1"/>
  <c r="BM38" i="3"/>
  <c r="BN38" i="3" s="1"/>
  <c r="BO38" i="3" s="1"/>
  <c r="BM43" i="3"/>
  <c r="BN43" i="3" s="1"/>
  <c r="BO43" i="3" s="1"/>
  <c r="BG5" i="8"/>
  <c r="DM5" i="8"/>
  <c r="DN5" i="8"/>
  <c r="BG6" i="8"/>
  <c r="DM6" i="8"/>
  <c r="DN6" i="8"/>
  <c r="BG7" i="8"/>
  <c r="DM7" i="8"/>
  <c r="DN7" i="8"/>
  <c r="BG8" i="8"/>
  <c r="DN8" i="8"/>
  <c r="DM8" i="8"/>
  <c r="BG9" i="8"/>
  <c r="DN9" i="8"/>
  <c r="DM9" i="8"/>
  <c r="BG10" i="8"/>
  <c r="DN10" i="8"/>
  <c r="DM10" i="8"/>
  <c r="BG11" i="8"/>
  <c r="DM11" i="8"/>
  <c r="DN11" i="8"/>
  <c r="BG12" i="8"/>
  <c r="DM12" i="8"/>
  <c r="DN12" i="8"/>
  <c r="BG13" i="8"/>
  <c r="DN13" i="8"/>
  <c r="DM13" i="8"/>
  <c r="BG14" i="8"/>
  <c r="DM14" i="8"/>
  <c r="DN14" i="8"/>
  <c r="BG15" i="8"/>
  <c r="DM15" i="8"/>
  <c r="DN15" i="8"/>
  <c r="BG16" i="8"/>
  <c r="DN16" i="8"/>
  <c r="DM16" i="8"/>
  <c r="BG17" i="8"/>
  <c r="DN17" i="8"/>
  <c r="DM17" i="8"/>
  <c r="BG18" i="8"/>
  <c r="DM18" i="8"/>
  <c r="DN18" i="8"/>
  <c r="BG19" i="8"/>
  <c r="DM19" i="8"/>
  <c r="DN19" i="8"/>
  <c r="BG20" i="8"/>
  <c r="DN20" i="8"/>
  <c r="DM20" i="8"/>
  <c r="BG21" i="8"/>
  <c r="DM21" i="8"/>
  <c r="DN21" i="8"/>
  <c r="BG22" i="8"/>
  <c r="DN22" i="8"/>
  <c r="DM22" i="8"/>
  <c r="BG23" i="8"/>
  <c r="DN23" i="8"/>
  <c r="DM23" i="8"/>
  <c r="BG24" i="8"/>
  <c r="DM24" i="8"/>
  <c r="DN24" i="8"/>
  <c r="BG25" i="8"/>
  <c r="DN25" i="8"/>
  <c r="DM25" i="8"/>
  <c r="BG26" i="8"/>
  <c r="DN26" i="8"/>
  <c r="DM26" i="8"/>
  <c r="BG27" i="8"/>
  <c r="DN27" i="8"/>
  <c r="DM27" i="8"/>
  <c r="BG28" i="8"/>
  <c r="DN28" i="8"/>
  <c r="DM28" i="8"/>
  <c r="BG29" i="8"/>
  <c r="DM29" i="8"/>
  <c r="DN29" i="8"/>
  <c r="BG30" i="8"/>
  <c r="DM30" i="8"/>
  <c r="DN30" i="8"/>
  <c r="BG31" i="8"/>
  <c r="DM31" i="8"/>
  <c r="DN31" i="8"/>
  <c r="BG32" i="8"/>
  <c r="DN32" i="8"/>
  <c r="DM32" i="8"/>
  <c r="BG33" i="8"/>
  <c r="DN33" i="8"/>
  <c r="DM33" i="8"/>
  <c r="BG34" i="8"/>
  <c r="DM34" i="8"/>
  <c r="DN34" i="8"/>
  <c r="BG35" i="8"/>
  <c r="DN35" i="8"/>
  <c r="DM35" i="8"/>
  <c r="BG36" i="8"/>
  <c r="DN36" i="8"/>
  <c r="DM36" i="8"/>
  <c r="BG37" i="8"/>
  <c r="DM37" i="8"/>
  <c r="DN37" i="8"/>
  <c r="BG38" i="8"/>
  <c r="DM38" i="8"/>
  <c r="DN38" i="8"/>
  <c r="BG39" i="8"/>
  <c r="DM39" i="8"/>
  <c r="DN39" i="8"/>
  <c r="BG40" i="8"/>
  <c r="DM40" i="8"/>
  <c r="DN40" i="8"/>
  <c r="BG41" i="8"/>
  <c r="DN41" i="8"/>
  <c r="DM41" i="8"/>
  <c r="BG42" i="8"/>
  <c r="DN42" i="8"/>
  <c r="DM42" i="8"/>
  <c r="BG43" i="8"/>
  <c r="DM43" i="8"/>
  <c r="DN43" i="8"/>
  <c r="L221" i="22"/>
  <c r="M221" i="22"/>
  <c r="W221" i="22" s="1"/>
  <c r="N221" i="22"/>
  <c r="X221" i="22" s="1"/>
  <c r="L222" i="22"/>
  <c r="N222" i="22"/>
  <c r="X222" i="22" s="1"/>
  <c r="M222" i="22"/>
  <c r="W222" i="22" s="1"/>
  <c r="N223" i="22"/>
  <c r="X223" i="22" s="1"/>
  <c r="L223" i="22"/>
  <c r="M223" i="22"/>
  <c r="W223" i="22" s="1"/>
  <c r="L224" i="22"/>
  <c r="N224" i="22"/>
  <c r="X224" i="22" s="1"/>
  <c r="M224" i="22"/>
  <c r="W224" i="22" s="1"/>
  <c r="M225" i="22"/>
  <c r="W225" i="22" s="1"/>
  <c r="N225" i="22"/>
  <c r="X225" i="22" s="1"/>
  <c r="L225" i="22"/>
  <c r="N226" i="22"/>
  <c r="X226" i="22" s="1"/>
  <c r="M226" i="22"/>
  <c r="W226" i="22" s="1"/>
  <c r="L226" i="22"/>
  <c r="M227" i="22"/>
  <c r="W227" i="22" s="1"/>
  <c r="L227" i="22"/>
  <c r="N227" i="22"/>
  <c r="X227" i="22" s="1"/>
  <c r="N228" i="22"/>
  <c r="X228" i="22" s="1"/>
  <c r="M228" i="22"/>
  <c r="W228" i="22" s="1"/>
  <c r="L228" i="22"/>
  <c r="M229" i="22"/>
  <c r="W229" i="22" s="1"/>
  <c r="N229" i="22"/>
  <c r="X229" i="22" s="1"/>
  <c r="L229" i="22"/>
  <c r="N230" i="22"/>
  <c r="X230" i="22" s="1"/>
  <c r="L230" i="22"/>
  <c r="M230" i="22"/>
  <c r="W230" i="22" s="1"/>
  <c r="M231" i="22"/>
  <c r="W231" i="22" s="1"/>
  <c r="N231" i="22"/>
  <c r="X231" i="22" s="1"/>
  <c r="L231" i="22"/>
  <c r="M232" i="22"/>
  <c r="W232" i="22" s="1"/>
  <c r="L232" i="22"/>
  <c r="N232" i="22"/>
  <c r="X232" i="22" s="1"/>
  <c r="L233" i="22"/>
  <c r="M233" i="22"/>
  <c r="W233" i="22" s="1"/>
  <c r="N233" i="22"/>
  <c r="X233" i="22" s="1"/>
  <c r="M234" i="22"/>
  <c r="W234" i="22" s="1"/>
  <c r="L234" i="22"/>
  <c r="N234" i="22"/>
  <c r="X234" i="22" s="1"/>
  <c r="M235" i="22"/>
  <c r="W235" i="22" s="1"/>
  <c r="L235" i="22"/>
  <c r="N235" i="22"/>
  <c r="X235" i="22" s="1"/>
  <c r="N236" i="22"/>
  <c r="X236" i="22" s="1"/>
  <c r="M236" i="22"/>
  <c r="W236" i="22" s="1"/>
  <c r="L236" i="22"/>
  <c r="N237" i="22"/>
  <c r="X237" i="22" s="1"/>
  <c r="M237" i="22"/>
  <c r="W237" i="22" s="1"/>
  <c r="L237" i="22"/>
  <c r="N238" i="22"/>
  <c r="X238" i="22" s="1"/>
  <c r="M238" i="22"/>
  <c r="W238" i="22" s="1"/>
  <c r="L238" i="22"/>
  <c r="N239" i="22"/>
  <c r="X239" i="22" s="1"/>
  <c r="M239" i="22"/>
  <c r="W239" i="22" s="1"/>
  <c r="L239" i="22"/>
  <c r="N240" i="22"/>
  <c r="X240" i="22" s="1"/>
  <c r="M240" i="22"/>
  <c r="W240" i="22" s="1"/>
  <c r="L240" i="22"/>
  <c r="M241" i="22"/>
  <c r="W241" i="22" s="1"/>
  <c r="N241" i="22"/>
  <c r="X241" i="22" s="1"/>
  <c r="L241" i="22"/>
  <c r="N242" i="22"/>
  <c r="X242" i="22" s="1"/>
  <c r="M242" i="22"/>
  <c r="W242" i="22" s="1"/>
  <c r="L242" i="22"/>
  <c r="L243" i="22"/>
  <c r="M243" i="22"/>
  <c r="W243" i="22" s="1"/>
  <c r="N243" i="22"/>
  <c r="X243" i="22" s="1"/>
  <c r="L244" i="22"/>
  <c r="N244" i="22"/>
  <c r="X244" i="22" s="1"/>
  <c r="M244" i="22"/>
  <c r="W244" i="22" s="1"/>
  <c r="L245" i="22"/>
  <c r="N245" i="22"/>
  <c r="X245" i="22" s="1"/>
  <c r="M245" i="22"/>
  <c r="W245" i="22" s="1"/>
  <c r="L246" i="22"/>
  <c r="N246" i="22"/>
  <c r="X246" i="22" s="1"/>
  <c r="M246" i="22"/>
  <c r="W246" i="22" s="1"/>
  <c r="L247" i="22"/>
  <c r="N247" i="22"/>
  <c r="X247" i="22" s="1"/>
  <c r="M247" i="22"/>
  <c r="W247" i="22" s="1"/>
  <c r="M248" i="22"/>
  <c r="W248" i="22" s="1"/>
  <c r="N248" i="22"/>
  <c r="X248" i="22" s="1"/>
  <c r="L248" i="22"/>
  <c r="M249" i="22"/>
  <c r="W249" i="22" s="1"/>
  <c r="N249" i="22"/>
  <c r="X249" i="22" s="1"/>
  <c r="L249" i="22"/>
  <c r="N250" i="22"/>
  <c r="X250" i="22" s="1"/>
  <c r="M250" i="22"/>
  <c r="W250" i="22" s="1"/>
  <c r="L250" i="22"/>
  <c r="O251" i="22"/>
  <c r="Y251" i="22" s="1"/>
  <c r="N251" i="22"/>
  <c r="X251" i="22" s="1"/>
  <c r="M251" i="22"/>
  <c r="W251" i="22" s="1"/>
  <c r="L251" i="22"/>
  <c r="O252" i="22"/>
  <c r="Y252" i="22" s="1"/>
  <c r="N252" i="22"/>
  <c r="X252" i="22" s="1"/>
  <c r="M252" i="22"/>
  <c r="W252" i="22" s="1"/>
  <c r="L252" i="22"/>
  <c r="N253" i="22"/>
  <c r="X253" i="22" s="1"/>
  <c r="L253" i="22"/>
  <c r="M253" i="22"/>
  <c r="W253" i="22" s="1"/>
  <c r="O253" i="22"/>
  <c r="Y253" i="22" s="1"/>
  <c r="N254" i="22"/>
  <c r="X254" i="22" s="1"/>
  <c r="L254" i="22"/>
  <c r="M254" i="22"/>
  <c r="W254" i="22" s="1"/>
  <c r="O254" i="22"/>
  <c r="Y254" i="22" s="1"/>
  <c r="N255" i="22"/>
  <c r="X255" i="22" s="1"/>
  <c r="L255" i="22"/>
  <c r="O255" i="22"/>
  <c r="Y255" i="22" s="1"/>
  <c r="M255" i="22"/>
  <c r="W255" i="22" s="1"/>
  <c r="N256" i="22"/>
  <c r="X256" i="22" s="1"/>
  <c r="L256" i="22"/>
  <c r="M256" i="22"/>
  <c r="W256" i="22" s="1"/>
  <c r="O256" i="22"/>
  <c r="Y256" i="22" s="1"/>
  <c r="O257" i="22"/>
  <c r="Y257" i="22" s="1"/>
  <c r="L257" i="22"/>
  <c r="M257" i="22"/>
  <c r="W257" i="22" s="1"/>
  <c r="N257" i="22"/>
  <c r="X257" i="22" s="1"/>
  <c r="O258" i="22"/>
  <c r="Y258" i="22" s="1"/>
  <c r="N258" i="22"/>
  <c r="X258" i="22" s="1"/>
  <c r="L258" i="22"/>
  <c r="M258" i="22"/>
  <c r="W258" i="22" s="1"/>
  <c r="O259" i="22"/>
  <c r="Y259" i="22" s="1"/>
  <c r="L259" i="22"/>
  <c r="N259" i="22"/>
  <c r="X259" i="22" s="1"/>
  <c r="M259" i="22"/>
  <c r="W259" i="22" s="1"/>
  <c r="L260" i="22"/>
  <c r="O260" i="22"/>
  <c r="Y260" i="22" s="1"/>
  <c r="N260" i="22"/>
  <c r="X260" i="22" s="1"/>
  <c r="M260" i="22"/>
  <c r="W260" i="22" s="1"/>
  <c r="O261" i="22"/>
  <c r="Y261" i="22" s="1"/>
  <c r="N261" i="22"/>
  <c r="X261" i="22" s="1"/>
  <c r="M261" i="22"/>
  <c r="W261" i="22" s="1"/>
  <c r="N262" i="22"/>
  <c r="X262" i="22" s="1"/>
  <c r="M262" i="22"/>
  <c r="W262" i="22" s="1"/>
  <c r="O262" i="22"/>
  <c r="Y262" i="22" s="1"/>
  <c r="M263" i="22"/>
  <c r="W263" i="22" s="1"/>
  <c r="O263" i="22"/>
  <c r="Y263" i="22" s="1"/>
  <c r="N263" i="22"/>
  <c r="X263" i="22" s="1"/>
  <c r="N264" i="22"/>
  <c r="X264" i="22" s="1"/>
  <c r="O264" i="22"/>
  <c r="Y264" i="22" s="1"/>
  <c r="M264" i="22"/>
  <c r="W264" i="22" s="1"/>
  <c r="M265" i="22"/>
  <c r="W265" i="22" s="1"/>
  <c r="O265" i="22"/>
  <c r="Y265" i="22" s="1"/>
  <c r="N265" i="22"/>
  <c r="X265" i="22" s="1"/>
  <c r="N266" i="22"/>
  <c r="X266" i="22" s="1"/>
  <c r="O266" i="22"/>
  <c r="Y266" i="22" s="1"/>
  <c r="M266" i="22"/>
  <c r="W266" i="22" s="1"/>
  <c r="N267" i="22"/>
  <c r="X267" i="22" s="1"/>
  <c r="M267" i="22"/>
  <c r="W267" i="22" s="1"/>
  <c r="O267" i="22"/>
  <c r="Y267" i="22" s="1"/>
  <c r="M268" i="22"/>
  <c r="W268" i="22" s="1"/>
  <c r="N268" i="22"/>
  <c r="X268" i="22" s="1"/>
  <c r="O268" i="22"/>
  <c r="Y268" i="22" s="1"/>
  <c r="M269" i="22"/>
  <c r="W269" i="22" s="1"/>
  <c r="N269" i="22"/>
  <c r="X269" i="22" s="1"/>
  <c r="O269" i="22"/>
  <c r="Y269" i="22" s="1"/>
  <c r="M270" i="22"/>
  <c r="W270" i="22" s="1"/>
  <c r="N270" i="22"/>
  <c r="X270" i="22" s="1"/>
  <c r="O270" i="22"/>
  <c r="Y270" i="22" s="1"/>
  <c r="N271" i="22"/>
  <c r="X271" i="22" s="1"/>
  <c r="M271" i="22"/>
  <c r="W271" i="22" s="1"/>
  <c r="O271" i="22"/>
  <c r="Y271" i="22" s="1"/>
  <c r="O272" i="22"/>
  <c r="Y272" i="22" s="1"/>
  <c r="N272" i="22"/>
  <c r="X272" i="22" s="1"/>
  <c r="M272" i="22"/>
  <c r="W272" i="22" s="1"/>
  <c r="O273" i="22"/>
  <c r="Y273" i="22" s="1"/>
  <c r="N273" i="22"/>
  <c r="X273" i="22" s="1"/>
  <c r="M273" i="22"/>
  <c r="W273" i="22" s="1"/>
  <c r="O274" i="22"/>
  <c r="Y274" i="22" s="1"/>
  <c r="N274" i="22"/>
  <c r="X274" i="22" s="1"/>
  <c r="M274" i="22"/>
  <c r="W274" i="22" s="1"/>
  <c r="N275" i="22"/>
  <c r="X275" i="22" s="1"/>
  <c r="M275" i="22"/>
  <c r="W275" i="22" s="1"/>
  <c r="O275" i="22"/>
  <c r="Y275" i="22" s="1"/>
  <c r="M276" i="22"/>
  <c r="W276" i="22" s="1"/>
  <c r="N276" i="22"/>
  <c r="X276" i="22" s="1"/>
  <c r="O276" i="22"/>
  <c r="Y276" i="22" s="1"/>
  <c r="N277" i="22"/>
  <c r="X277" i="22" s="1"/>
  <c r="M277" i="22"/>
  <c r="W277" i="22" s="1"/>
  <c r="O277" i="22"/>
  <c r="Y277" i="22" s="1"/>
  <c r="M278" i="22"/>
  <c r="W278" i="22" s="1"/>
  <c r="O278" i="22"/>
  <c r="Y278" i="22" s="1"/>
  <c r="N278" i="22"/>
  <c r="X278" i="22" s="1"/>
  <c r="M279" i="22"/>
  <c r="W279" i="22" s="1"/>
  <c r="O279" i="22"/>
  <c r="Y279" i="22" s="1"/>
  <c r="N279" i="22"/>
  <c r="X279" i="22" s="1"/>
  <c r="M280" i="22"/>
  <c r="W280" i="22" s="1"/>
  <c r="O280" i="22"/>
  <c r="Y280" i="22" s="1"/>
  <c r="N280" i="22"/>
  <c r="X280" i="22" s="1"/>
  <c r="N281" i="22"/>
  <c r="X281" i="22" s="1"/>
  <c r="O281" i="22"/>
  <c r="Y281" i="22" s="1"/>
  <c r="M281" i="22"/>
  <c r="W281" i="22" s="1"/>
  <c r="N286" i="22"/>
  <c r="X286" i="22" s="1"/>
  <c r="M286" i="22"/>
  <c r="W286" i="22" s="1"/>
  <c r="O286" i="22"/>
  <c r="Y286" i="22" s="1"/>
  <c r="O292" i="22"/>
  <c r="Y292" i="22" s="1"/>
  <c r="N292" i="22"/>
  <c r="X292" i="22" s="1"/>
  <c r="M292" i="22"/>
  <c r="W292" i="22" s="1"/>
  <c r="N293" i="22"/>
  <c r="X293" i="22" s="1"/>
  <c r="O293" i="22"/>
  <c r="Y293" i="22" s="1"/>
  <c r="M293" i="22"/>
  <c r="W293" i="22" s="1"/>
  <c r="M294" i="22"/>
  <c r="W294" i="22" s="1"/>
  <c r="O294" i="22"/>
  <c r="Y294" i="22" s="1"/>
  <c r="N294" i="22"/>
  <c r="X294" i="22" s="1"/>
  <c r="W42" i="6"/>
  <c r="Y42" i="6"/>
  <c r="Z42" i="6"/>
  <c r="W43" i="6"/>
  <c r="Y43" i="6"/>
  <c r="Z43" i="6"/>
  <c r="Z44" i="6"/>
  <c r="W44" i="6"/>
  <c r="Y44" i="6"/>
  <c r="AY5" i="5"/>
  <c r="K26" i="7"/>
  <c r="K27" i="7"/>
  <c r="K28" i="7"/>
  <c r="K29" i="7"/>
  <c r="K30" i="7"/>
  <c r="K31" i="7"/>
  <c r="K32" i="7"/>
  <c r="K33" i="7"/>
  <c r="K34" i="7"/>
  <c r="K52" i="7"/>
  <c r="K58" i="7"/>
  <c r="K53" i="7"/>
  <c r="K54" i="7"/>
  <c r="K55" i="7"/>
  <c r="K36" i="7"/>
  <c r="K37" i="7"/>
  <c r="K38" i="7"/>
  <c r="K39" i="7"/>
  <c r="K40" i="7"/>
  <c r="K41" i="7"/>
  <c r="K42" i="7"/>
  <c r="K43" i="7"/>
  <c r="K44" i="7"/>
  <c r="K45" i="7"/>
  <c r="K46" i="7"/>
  <c r="K47" i="7"/>
  <c r="K48" i="7"/>
  <c r="K49" i="7"/>
  <c r="K50" i="7"/>
  <c r="K51" i="7"/>
  <c r="K57" i="7"/>
  <c r="K56" i="7"/>
  <c r="B64" i="18"/>
  <c r="J63" i="18"/>
  <c r="J62" i="18"/>
  <c r="J61" i="18"/>
  <c r="J60" i="18"/>
  <c r="J59" i="18"/>
  <c r="J58" i="18"/>
  <c r="J57" i="18"/>
  <c r="J56" i="18"/>
  <c r="J55" i="18"/>
  <c r="J54" i="18"/>
  <c r="J53" i="18"/>
  <c r="J52" i="18"/>
  <c r="J51" i="18"/>
  <c r="J50" i="18"/>
  <c r="J49" i="18"/>
  <c r="J48" i="18"/>
  <c r="K14" i="18"/>
  <c r="J13" i="18"/>
  <c r="K13" i="18"/>
  <c r="J14" i="18"/>
  <c r="K17" i="18"/>
  <c r="J17" i="18"/>
  <c r="K16" i="18"/>
  <c r="J16" i="18"/>
  <c r="K15" i="18"/>
  <c r="J15" i="18"/>
  <c r="K12" i="18"/>
  <c r="J4" i="18"/>
  <c r="H4" i="18"/>
  <c r="H6" i="18"/>
  <c r="J12" i="18"/>
  <c r="CB8" i="19"/>
  <c r="AH37" i="12"/>
  <c r="AJ37" i="12" s="1"/>
  <c r="AG37" i="12"/>
  <c r="AI37" i="12" s="1"/>
  <c r="AK37" i="12" s="1"/>
  <c r="AE37" i="12"/>
  <c r="AH38" i="12"/>
  <c r="AJ38" i="12" s="1"/>
  <c r="AE38" i="12"/>
  <c r="AG38" i="12"/>
  <c r="AI38" i="12" s="1"/>
  <c r="AK38" i="12" s="1"/>
  <c r="AI28" i="12"/>
  <c r="AE28" i="12"/>
  <c r="AG28" i="12"/>
  <c r="AH28" i="12"/>
  <c r="AJ28" i="12" s="1"/>
  <c r="AK28" i="12"/>
  <c r="AH29" i="12"/>
  <c r="AJ29" i="12" s="1"/>
  <c r="AI29" i="12"/>
  <c r="AK29" i="12" s="1"/>
  <c r="AE29" i="12"/>
  <c r="AG29" i="12"/>
  <c r="AG30" i="12"/>
  <c r="AI30" i="12"/>
  <c r="AK30" i="12" s="1"/>
  <c r="AH30" i="12"/>
  <c r="AJ30" i="12" s="1"/>
  <c r="AE30" i="12"/>
  <c r="AG31" i="12"/>
  <c r="AE31" i="12"/>
  <c r="AI31" i="12"/>
  <c r="AK31" i="12" s="1"/>
  <c r="AH31" i="12"/>
  <c r="AJ31" i="12" s="1"/>
  <c r="AE32" i="12"/>
  <c r="AH32" i="12"/>
  <c r="AJ32" i="12" s="1"/>
  <c r="AG32" i="12"/>
  <c r="AI32" i="12"/>
  <c r="AK32" i="12" s="1"/>
  <c r="AG33" i="12"/>
  <c r="AE33" i="12"/>
  <c r="AH33" i="12"/>
  <c r="AJ33" i="12" s="1"/>
  <c r="AI33" i="12"/>
  <c r="AK33" i="12" s="1"/>
  <c r="AE34" i="12"/>
  <c r="AG34" i="12"/>
  <c r="AI34" i="12"/>
  <c r="AH34" i="12"/>
  <c r="AJ34" i="12" s="1"/>
  <c r="AK34" i="12"/>
  <c r="AI35" i="12"/>
  <c r="AH35" i="12"/>
  <c r="AJ35" i="12" s="1"/>
  <c r="AE35" i="12"/>
  <c r="AK35" i="12"/>
  <c r="AG35" i="12"/>
  <c r="AL193" i="11"/>
  <c r="AN193" i="11" s="1"/>
  <c r="AK193" i="11"/>
  <c r="AM193" i="11" s="1"/>
  <c r="AO193" i="11" s="1"/>
  <c r="AI193" i="11"/>
  <c r="AI194" i="11"/>
  <c r="AK194" i="11"/>
  <c r="AM194" i="11" s="1"/>
  <c r="AO194" i="11" s="1"/>
  <c r="AL194" i="11"/>
  <c r="AN194" i="11" s="1"/>
  <c r="AK195" i="11"/>
  <c r="AM195" i="11" s="1"/>
  <c r="AO195" i="11" s="1"/>
  <c r="AL195" i="11"/>
  <c r="AN195" i="11" s="1"/>
  <c r="AI195" i="11"/>
  <c r="AI196" i="11"/>
  <c r="AL196" i="11"/>
  <c r="AN196" i="11" s="1"/>
  <c r="AK196" i="11"/>
  <c r="AM196" i="11" s="1"/>
  <c r="AO196" i="11" s="1"/>
  <c r="AI197" i="11"/>
  <c r="AK197" i="11"/>
  <c r="AM197" i="11" s="1"/>
  <c r="AO197" i="11" s="1"/>
  <c r="AL197" i="11"/>
  <c r="AN197" i="11" s="1"/>
  <c r="AL189" i="11"/>
  <c r="AN189" i="11" s="1"/>
  <c r="AK189" i="11"/>
  <c r="AM189" i="11" s="1"/>
  <c r="AO189" i="11" s="1"/>
  <c r="AI189" i="11"/>
  <c r="AL190" i="11"/>
  <c r="AN190" i="11" s="1"/>
  <c r="AK190" i="11"/>
  <c r="AM190" i="11" s="1"/>
  <c r="AO190" i="11" s="1"/>
  <c r="AI190" i="11"/>
  <c r="AI191" i="11"/>
  <c r="AL191" i="11"/>
  <c r="AN191" i="11" s="1"/>
  <c r="AK191" i="11"/>
  <c r="AM191" i="11" s="1"/>
  <c r="AO191" i="11" s="1"/>
  <c r="AI180" i="11"/>
  <c r="AK180" i="11"/>
  <c r="AL180" i="11"/>
  <c r="AN180" i="11" s="1"/>
  <c r="AM180" i="11"/>
  <c r="AO180" i="11" s="1"/>
  <c r="AK181" i="11"/>
  <c r="AI181" i="11"/>
  <c r="AL181" i="11"/>
  <c r="AN181" i="11" s="1"/>
  <c r="AM181" i="11"/>
  <c r="AO181" i="11" s="1"/>
  <c r="AL182" i="11"/>
  <c r="AN182" i="11" s="1"/>
  <c r="AM182" i="11"/>
  <c r="AO182" i="11" s="1"/>
  <c r="AK182" i="11"/>
  <c r="AI182" i="11"/>
  <c r="AL183" i="11"/>
  <c r="AN183" i="11" s="1"/>
  <c r="AI183" i="11"/>
  <c r="AM183" i="11"/>
  <c r="AO183" i="11" s="1"/>
  <c r="AK183" i="11"/>
  <c r="AI184" i="11"/>
  <c r="AL184" i="11"/>
  <c r="AN184" i="11" s="1"/>
  <c r="AM184" i="11"/>
  <c r="AO184" i="11" s="1"/>
  <c r="AK184" i="11"/>
  <c r="AI185" i="11"/>
  <c r="AL185" i="11"/>
  <c r="AN185" i="11" s="1"/>
  <c r="AK185" i="11"/>
  <c r="AM185" i="11"/>
  <c r="AO185" i="11" s="1"/>
  <c r="AL186" i="11"/>
  <c r="AN186" i="11" s="1"/>
  <c r="AK186" i="11"/>
  <c r="AM186" i="11"/>
  <c r="AO186" i="11" s="1"/>
  <c r="AI186" i="11"/>
  <c r="AK187" i="11"/>
  <c r="AI187" i="11"/>
  <c r="AL187" i="11"/>
  <c r="AN187" i="11" s="1"/>
  <c r="AM187" i="11"/>
  <c r="AO187" i="11" s="1"/>
  <c r="AT167" i="11"/>
  <c r="AP167" i="11"/>
  <c r="AQ167" i="11"/>
  <c r="AK170" i="11"/>
  <c r="AH170" i="11"/>
  <c r="AF170" i="11"/>
  <c r="AG170" i="11"/>
  <c r="AI170" i="11"/>
  <c r="AI171" i="11"/>
  <c r="AG171" i="11"/>
  <c r="AK171" i="11"/>
  <c r="AH171" i="11"/>
  <c r="AF171" i="11"/>
  <c r="AG172" i="11"/>
  <c r="AF172" i="11"/>
  <c r="AI172" i="11"/>
  <c r="AK172" i="11"/>
  <c r="AH172" i="11"/>
  <c r="AK173" i="11"/>
  <c r="AH173" i="11"/>
  <c r="AI173" i="11"/>
  <c r="AG173" i="11"/>
  <c r="AF173" i="11"/>
  <c r="AK161" i="11"/>
  <c r="AF161" i="11"/>
  <c r="AI161" i="11"/>
  <c r="AH161" i="11"/>
  <c r="AG161" i="11"/>
  <c r="AF162" i="11"/>
  <c r="AK162" i="11"/>
  <c r="AG162" i="11"/>
  <c r="AI162" i="11"/>
  <c r="AH162" i="11"/>
  <c r="AK163" i="11"/>
  <c r="AH163" i="11"/>
  <c r="AI163" i="11"/>
  <c r="AG163" i="11"/>
  <c r="AF163" i="11"/>
  <c r="AI164" i="11"/>
  <c r="AH164" i="11"/>
  <c r="AF164" i="11"/>
  <c r="AG164" i="11"/>
  <c r="AK164" i="11"/>
  <c r="AF165" i="11"/>
  <c r="AG165" i="11"/>
  <c r="AH165" i="11"/>
  <c r="AI165" i="11"/>
  <c r="AK165" i="11"/>
  <c r="AI166" i="11"/>
  <c r="AG166" i="11"/>
  <c r="AK166" i="11"/>
  <c r="AF166" i="11"/>
  <c r="AH166" i="11"/>
  <c r="AH167" i="11"/>
  <c r="AI167" i="11"/>
  <c r="AK167" i="11"/>
  <c r="AG167" i="11"/>
  <c r="AI168" i="11"/>
  <c r="AG168" i="11"/>
  <c r="AK168" i="11"/>
  <c r="AF168" i="11"/>
  <c r="AH168" i="11"/>
  <c r="AC170" i="11"/>
  <c r="AC171" i="11"/>
  <c r="AC172" i="11"/>
  <c r="AC173" i="11"/>
  <c r="AW161" i="11"/>
  <c r="AY161" i="11"/>
  <c r="AC161" i="11"/>
  <c r="AV161" i="11"/>
  <c r="AX161" i="11" s="1"/>
  <c r="AU161" i="11"/>
  <c r="AW162" i="11"/>
  <c r="AY162" i="11" s="1"/>
  <c r="AU162" i="11"/>
  <c r="AC162" i="11"/>
  <c r="AV162" i="11"/>
  <c r="AX162" i="11" s="1"/>
  <c r="AC163" i="11"/>
  <c r="AV163" i="11"/>
  <c r="AX163" i="11" s="1"/>
  <c r="AU163" i="11"/>
  <c r="AW163" i="11"/>
  <c r="AY163" i="11" s="1"/>
  <c r="AW164" i="11"/>
  <c r="AY164" i="11" s="1"/>
  <c r="AU164" i="11"/>
  <c r="AC164" i="11"/>
  <c r="AV164" i="11"/>
  <c r="AX164" i="11" s="1"/>
  <c r="AU165" i="11"/>
  <c r="AW165" i="11"/>
  <c r="AC165" i="11"/>
  <c r="AV165" i="11"/>
  <c r="AX165" i="11" s="1"/>
  <c r="AY165" i="11"/>
  <c r="AV166" i="11"/>
  <c r="AX166" i="11" s="1"/>
  <c r="AA166" i="11"/>
  <c r="R166" i="11"/>
  <c r="AC166" i="11"/>
  <c r="AU166" i="11"/>
  <c r="O166" i="11"/>
  <c r="N166" i="11"/>
  <c r="K166" i="11"/>
  <c r="J166" i="11"/>
  <c r="X166" i="11"/>
  <c r="U166" i="11"/>
  <c r="Z166" i="11"/>
  <c r="T166" i="11"/>
  <c r="Y166" i="11"/>
  <c r="S166" i="11"/>
  <c r="AW166" i="11"/>
  <c r="AY166" i="11" s="1"/>
  <c r="AU167" i="11"/>
  <c r="AV167" i="11"/>
  <c r="AX167" i="11" s="1"/>
  <c r="AC167" i="11"/>
  <c r="AW167" i="11"/>
  <c r="AY167" i="11" s="1"/>
  <c r="AU168" i="11"/>
  <c r="AW168" i="11"/>
  <c r="AC168" i="11"/>
  <c r="AY168" i="11"/>
  <c r="AV168" i="11"/>
  <c r="AX168" i="11" s="1"/>
  <c r="AP143" i="11"/>
  <c r="AH143" i="11"/>
  <c r="AL143" i="11" s="1"/>
  <c r="AF143" i="11"/>
  <c r="AG143" i="11"/>
  <c r="AQ143" i="11"/>
  <c r="AI143" i="11"/>
  <c r="AJ143" i="11"/>
  <c r="AQ144" i="11"/>
  <c r="AI144" i="11"/>
  <c r="AJ144" i="11"/>
  <c r="AG144" i="11"/>
  <c r="AP144" i="11"/>
  <c r="AH144" i="11"/>
  <c r="AL144" i="11" s="1"/>
  <c r="AF144" i="11"/>
  <c r="AQ145" i="11"/>
  <c r="AP145" i="11"/>
  <c r="AF145" i="11"/>
  <c r="AG145" i="11"/>
  <c r="AJ145" i="11"/>
  <c r="AI145" i="11"/>
  <c r="AH145" i="11"/>
  <c r="AL145" i="11" s="1"/>
  <c r="AI146" i="11"/>
  <c r="AF146" i="11"/>
  <c r="AQ146" i="11"/>
  <c r="AP146" i="11"/>
  <c r="AH146" i="11"/>
  <c r="AL146" i="11" s="1"/>
  <c r="AG146" i="11"/>
  <c r="AJ146" i="11"/>
  <c r="AJ147" i="11"/>
  <c r="AI147" i="11"/>
  <c r="AQ147" i="11"/>
  <c r="AF147" i="11"/>
  <c r="AH147" i="11"/>
  <c r="AL147" i="11" s="1"/>
  <c r="AP147" i="11"/>
  <c r="AG147" i="11"/>
  <c r="AH148" i="11"/>
  <c r="AL148" i="11" s="1"/>
  <c r="AQ148" i="11"/>
  <c r="AI148" i="11"/>
  <c r="AJ148" i="11"/>
  <c r="AP148" i="11"/>
  <c r="AF148" i="11"/>
  <c r="AG148" i="11"/>
  <c r="AH149" i="11"/>
  <c r="AL149" i="11" s="1"/>
  <c r="AF149" i="11"/>
  <c r="AQ149" i="11"/>
  <c r="AI149" i="11"/>
  <c r="AG149" i="11"/>
  <c r="AP149" i="11"/>
  <c r="AJ149" i="11"/>
  <c r="AF150" i="11"/>
  <c r="AH150" i="11"/>
  <c r="AL150" i="11" s="1"/>
  <c r="AQ150" i="11"/>
  <c r="AI150" i="11"/>
  <c r="AG150" i="11"/>
  <c r="AJ150" i="11"/>
  <c r="AP150" i="11"/>
  <c r="AK154" i="11"/>
  <c r="AK152" i="11"/>
  <c r="AK143" i="11"/>
  <c r="AK144" i="11"/>
  <c r="AK145" i="11"/>
  <c r="AK146" i="11"/>
  <c r="AK147" i="11"/>
  <c r="AK148" i="11"/>
  <c r="AK149" i="11"/>
  <c r="AK150" i="11"/>
  <c r="AB154" i="11"/>
  <c r="AB152" i="11"/>
  <c r="AR143" i="11"/>
  <c r="AT143" i="11"/>
  <c r="AV143" i="11" s="1"/>
  <c r="AS143" i="11"/>
  <c r="AU143" i="11" s="1"/>
  <c r="AB143" i="11"/>
  <c r="AR144" i="11"/>
  <c r="AB144" i="11"/>
  <c r="AT144" i="11"/>
  <c r="AV144" i="11" s="1"/>
  <c r="AS144" i="11"/>
  <c r="AU144" i="11" s="1"/>
  <c r="AS145" i="11"/>
  <c r="AU145" i="11" s="1"/>
  <c r="AB145" i="11"/>
  <c r="AR145" i="11"/>
  <c r="AT145" i="11"/>
  <c r="AV145" i="11" s="1"/>
  <c r="AS146" i="11"/>
  <c r="AU146" i="11" s="1"/>
  <c r="AR146" i="11"/>
  <c r="AB146" i="11"/>
  <c r="AT146" i="11"/>
  <c r="AV146" i="11" s="1"/>
  <c r="AB147" i="11"/>
  <c r="AT147" i="11"/>
  <c r="AV147" i="11" s="1"/>
  <c r="AR147" i="11"/>
  <c r="AS147" i="11"/>
  <c r="AU147" i="11" s="1"/>
  <c r="AS148" i="11"/>
  <c r="AU148" i="11" s="1"/>
  <c r="AT148" i="11"/>
  <c r="AV148" i="11" s="1"/>
  <c r="AB148" i="11"/>
  <c r="AR148" i="11"/>
  <c r="AT149" i="11"/>
  <c r="AV149" i="11" s="1"/>
  <c r="AR149" i="11"/>
  <c r="AS149" i="11"/>
  <c r="AU149" i="11" s="1"/>
  <c r="AB149" i="11"/>
  <c r="AT150" i="11"/>
  <c r="AV150" i="11" s="1"/>
  <c r="AS150" i="11"/>
  <c r="AU150" i="11" s="1"/>
  <c r="AR150" i="11"/>
  <c r="AB150" i="11"/>
  <c r="AP135" i="11"/>
  <c r="AT135" i="11"/>
  <c r="AV135" i="11" s="1"/>
  <c r="AS135" i="11"/>
  <c r="AU135" i="11" s="1"/>
  <c r="AW135" i="11" s="1"/>
  <c r="AP136" i="11"/>
  <c r="AT136" i="11"/>
  <c r="AV136" i="11" s="1"/>
  <c r="AS136" i="11"/>
  <c r="AU136" i="11" s="1"/>
  <c r="AW136" i="11" s="1"/>
  <c r="AT128" i="11"/>
  <c r="AV128" i="11" s="1"/>
  <c r="AP128" i="11"/>
  <c r="AS128" i="11"/>
  <c r="AU128" i="11" s="1"/>
  <c r="AW128" i="11" s="1"/>
  <c r="AP129" i="11"/>
  <c r="AT129" i="11"/>
  <c r="AV129" i="11" s="1"/>
  <c r="AS129" i="11"/>
  <c r="AU129" i="11" s="1"/>
  <c r="AW129" i="11" s="1"/>
  <c r="AS130" i="11"/>
  <c r="AU130" i="11" s="1"/>
  <c r="AW130" i="11" s="1"/>
  <c r="AP130" i="11"/>
  <c r="AT130" i="11"/>
  <c r="AV130" i="11" s="1"/>
  <c r="AP131" i="11"/>
  <c r="AS131" i="11"/>
  <c r="AU131" i="11" s="1"/>
  <c r="AW131" i="11" s="1"/>
  <c r="AT131" i="11"/>
  <c r="AV131" i="11" s="1"/>
  <c r="AT132" i="11"/>
  <c r="AV132" i="11" s="1"/>
  <c r="AP132" i="11"/>
  <c r="AS132" i="11"/>
  <c r="AU132" i="11" s="1"/>
  <c r="AW132" i="11" s="1"/>
  <c r="AS133" i="11"/>
  <c r="AU133" i="11" s="1"/>
  <c r="AW133" i="11" s="1"/>
  <c r="AP133" i="11"/>
  <c r="AT133" i="11"/>
  <c r="AV133" i="11" s="1"/>
  <c r="AS119" i="11"/>
  <c r="AU119" i="11"/>
  <c r="AT119" i="11"/>
  <c r="AV119" i="11" s="1"/>
  <c r="AW119" i="11"/>
  <c r="AP119" i="11"/>
  <c r="AP120" i="11"/>
  <c r="AT120" i="11"/>
  <c r="AV120" i="11" s="1"/>
  <c r="AU120" i="11"/>
  <c r="AW120" i="11" s="1"/>
  <c r="AS120" i="11"/>
  <c r="AL121" i="11"/>
  <c r="AH121" i="11"/>
  <c r="AU121" i="11"/>
  <c r="Z121" i="11"/>
  <c r="AP121" i="11"/>
  <c r="AE121" i="11"/>
  <c r="Y121" i="11"/>
  <c r="AS121" i="11"/>
  <c r="AW121" i="11"/>
  <c r="AF121" i="11"/>
  <c r="AG121" i="11"/>
  <c r="AK121" i="11"/>
  <c r="AT121" i="11"/>
  <c r="AV121" i="11" s="1"/>
  <c r="AM121" i="11"/>
  <c r="AN121" i="11"/>
  <c r="AU122" i="11"/>
  <c r="AW122" i="11" s="1"/>
  <c r="AP122" i="11"/>
  <c r="AT122" i="11"/>
  <c r="AV122" i="11" s="1"/>
  <c r="AS122" i="11"/>
  <c r="AU123" i="11"/>
  <c r="AS123" i="11"/>
  <c r="AW123" i="11"/>
  <c r="AT123" i="11"/>
  <c r="AV123" i="11" s="1"/>
  <c r="AP123" i="11"/>
  <c r="AS124" i="11"/>
  <c r="AP124" i="11"/>
  <c r="AT124" i="11"/>
  <c r="AV124" i="11" s="1"/>
  <c r="AU124" i="11"/>
  <c r="AW124" i="11" s="1"/>
  <c r="AS125" i="11"/>
  <c r="AU125" i="11"/>
  <c r="AT125" i="11"/>
  <c r="AV125" i="11" s="1"/>
  <c r="AP125" i="11"/>
  <c r="AW125" i="11"/>
  <c r="AS126" i="11"/>
  <c r="AT126" i="11"/>
  <c r="AV126" i="11" s="1"/>
  <c r="AU126" i="11"/>
  <c r="AW126" i="11" s="1"/>
  <c r="AP126" i="11"/>
  <c r="AO112" i="11"/>
  <c r="AQ112" i="11" s="1"/>
  <c r="AB112" i="11"/>
  <c r="AC112" i="11"/>
  <c r="AN112" i="11"/>
  <c r="AP112" i="11" s="1"/>
  <c r="AK112" i="11"/>
  <c r="AF112" i="11"/>
  <c r="AB109" i="11"/>
  <c r="AK109" i="11"/>
  <c r="AN109" i="11"/>
  <c r="AP109" i="11" s="1"/>
  <c r="AG109" i="11"/>
  <c r="AO109" i="11"/>
  <c r="AQ109" i="11" s="1"/>
  <c r="AF109" i="11"/>
  <c r="AC109" i="11"/>
  <c r="AC110" i="11"/>
  <c r="AB110" i="11"/>
  <c r="AN110" i="11"/>
  <c r="AP110" i="11" s="1"/>
  <c r="AO110" i="11"/>
  <c r="AQ110" i="11" s="1"/>
  <c r="AK110" i="11"/>
  <c r="AG110" i="11"/>
  <c r="AF110" i="11"/>
  <c r="AN100" i="11"/>
  <c r="AG100" i="11"/>
  <c r="AF100" i="11"/>
  <c r="AC100" i="11"/>
  <c r="AB100" i="11"/>
  <c r="AA100" i="11"/>
  <c r="Z100" i="11"/>
  <c r="V100" i="11"/>
  <c r="U100" i="11"/>
  <c r="AP100" i="11"/>
  <c r="AR100" i="11" s="1"/>
  <c r="AK100" i="11"/>
  <c r="AO100" i="11"/>
  <c r="AQ100" i="11" s="1"/>
  <c r="AN101" i="11"/>
  <c r="Z101" i="11"/>
  <c r="AC101" i="11"/>
  <c r="U101" i="11"/>
  <c r="AG101" i="11"/>
  <c r="AB101" i="11"/>
  <c r="AF101" i="11"/>
  <c r="AA101" i="11"/>
  <c r="V101" i="11"/>
  <c r="AO101" i="11"/>
  <c r="AQ101" i="11" s="1"/>
  <c r="AP101" i="11"/>
  <c r="AR101" i="11" s="1"/>
  <c r="AK101" i="11"/>
  <c r="AF102" i="11"/>
  <c r="AG102" i="11"/>
  <c r="AO102" i="11"/>
  <c r="AQ102" i="11" s="1"/>
  <c r="U102" i="11"/>
  <c r="V102" i="11"/>
  <c r="AP102" i="11"/>
  <c r="AR102" i="11" s="1"/>
  <c r="Z102" i="11"/>
  <c r="AN102" i="11"/>
  <c r="AA102" i="11"/>
  <c r="AB102" i="11"/>
  <c r="AC102" i="11"/>
  <c r="AK102" i="11"/>
  <c r="Z103" i="11"/>
  <c r="AA103" i="11"/>
  <c r="V103" i="11"/>
  <c r="AP103" i="11"/>
  <c r="AB103" i="11"/>
  <c r="U103" i="11"/>
  <c r="AK103" i="11"/>
  <c r="AC103" i="11"/>
  <c r="AN103" i="11"/>
  <c r="AG103" i="11"/>
  <c r="AO103" i="11"/>
  <c r="AQ103" i="11" s="1"/>
  <c r="AF103" i="11"/>
  <c r="AR103" i="11"/>
  <c r="AG104" i="11"/>
  <c r="AK104" i="11"/>
  <c r="AA104" i="11"/>
  <c r="AF104" i="11"/>
  <c r="AC104" i="11"/>
  <c r="AB104" i="11"/>
  <c r="Z104" i="11"/>
  <c r="V104" i="11"/>
  <c r="AP104" i="11"/>
  <c r="AR104" i="11" s="1"/>
  <c r="U104" i="11"/>
  <c r="AN104" i="11"/>
  <c r="AO104" i="11"/>
  <c r="AQ104" i="11" s="1"/>
  <c r="U105" i="11"/>
  <c r="AK105" i="11"/>
  <c r="Z105" i="11"/>
  <c r="AO105" i="11"/>
  <c r="AQ105" i="11" s="1"/>
  <c r="AP105" i="11"/>
  <c r="AN105" i="11"/>
  <c r="AG105" i="11"/>
  <c r="AC105" i="11"/>
  <c r="AF105" i="11"/>
  <c r="AB105" i="11"/>
  <c r="AR105" i="11"/>
  <c r="AA105" i="11"/>
  <c r="V105" i="11"/>
  <c r="AN106" i="11"/>
  <c r="AO106" i="11"/>
  <c r="AQ106" i="11" s="1"/>
  <c r="AK106" i="11"/>
  <c r="AC106" i="11"/>
  <c r="U106" i="11"/>
  <c r="AG106" i="11"/>
  <c r="AF106" i="11"/>
  <c r="AB106" i="11"/>
  <c r="AA106" i="11"/>
  <c r="AP106" i="11"/>
  <c r="AR106" i="11" s="1"/>
  <c r="Z106" i="11"/>
  <c r="V106" i="11"/>
  <c r="AB107" i="11"/>
  <c r="AC107" i="11"/>
  <c r="U107" i="11"/>
  <c r="AO107" i="11"/>
  <c r="AQ107" i="11" s="1"/>
  <c r="AF107" i="11"/>
  <c r="AP107" i="11"/>
  <c r="AG107" i="11"/>
  <c r="AN107" i="11"/>
  <c r="AK107" i="11"/>
  <c r="V107" i="11"/>
  <c r="Z107" i="11"/>
  <c r="AA107" i="11"/>
  <c r="AR107" i="11"/>
  <c r="AQ93" i="11"/>
  <c r="AS93" i="11" s="1"/>
  <c r="AP93" i="11"/>
  <c r="AR93" i="11" s="1"/>
  <c r="AT93" i="11" s="1"/>
  <c r="AM93" i="11"/>
  <c r="AM84" i="11"/>
  <c r="AQ84" i="11"/>
  <c r="AS84" i="11" s="1"/>
  <c r="AP84" i="11"/>
  <c r="AR84" i="11"/>
  <c r="AT84" i="11"/>
  <c r="AM85" i="11"/>
  <c r="AQ85" i="11"/>
  <c r="AS85" i="11" s="1"/>
  <c r="AP85" i="11"/>
  <c r="AR85" i="11"/>
  <c r="AT85" i="11" s="1"/>
  <c r="AM86" i="11"/>
  <c r="AR86" i="11"/>
  <c r="AT86" i="11" s="1"/>
  <c r="AQ86" i="11"/>
  <c r="AS86" i="11" s="1"/>
  <c r="AP86" i="11"/>
  <c r="AR87" i="11"/>
  <c r="AP87" i="11"/>
  <c r="AM87" i="11"/>
  <c r="AQ87" i="11"/>
  <c r="AS87" i="11" s="1"/>
  <c r="AT87" i="11"/>
  <c r="AR88" i="11"/>
  <c r="AM88" i="11"/>
  <c r="AT88" i="11"/>
  <c r="AP88" i="11"/>
  <c r="AQ88" i="11"/>
  <c r="AS88" i="11" s="1"/>
  <c r="AR89" i="11"/>
  <c r="AP89" i="11"/>
  <c r="AM89" i="11"/>
  <c r="AT89" i="11"/>
  <c r="AQ89" i="11"/>
  <c r="AS89" i="11" s="1"/>
  <c r="AR90" i="11"/>
  <c r="AM90" i="11"/>
  <c r="AQ90" i="11"/>
  <c r="AS90" i="11" s="1"/>
  <c r="AT90" i="11"/>
  <c r="AP90" i="11"/>
  <c r="AR91" i="11"/>
  <c r="AT91" i="11" s="1"/>
  <c r="AM91" i="11"/>
  <c r="AP91" i="11"/>
  <c r="AQ91" i="11"/>
  <c r="AS91" i="11" s="1"/>
  <c r="AO77" i="11"/>
  <c r="AS77" i="11"/>
  <c r="AU77" i="11" s="1"/>
  <c r="AR77" i="11"/>
  <c r="AT77" i="11" s="1"/>
  <c r="AV77" i="11" s="1"/>
  <c r="AS72" i="11"/>
  <c r="AU72" i="11" s="1"/>
  <c r="AO72" i="11"/>
  <c r="AR72" i="11"/>
  <c r="AT72" i="11" s="1"/>
  <c r="AV72" i="11" s="1"/>
  <c r="AR73" i="11"/>
  <c r="AT73" i="11" s="1"/>
  <c r="AV73" i="11" s="1"/>
  <c r="AS73" i="11"/>
  <c r="AU73" i="11" s="1"/>
  <c r="AO73" i="11"/>
  <c r="AS74" i="11"/>
  <c r="AU74" i="11" s="1"/>
  <c r="AR74" i="11"/>
  <c r="AT74" i="11" s="1"/>
  <c r="AV74" i="11" s="1"/>
  <c r="AO74" i="11"/>
  <c r="AS75" i="11"/>
  <c r="AU75" i="11" s="1"/>
  <c r="AR75" i="11"/>
  <c r="AT75" i="11" s="1"/>
  <c r="AV75" i="11" s="1"/>
  <c r="AO75" i="11"/>
  <c r="AT63" i="11"/>
  <c r="AS63" i="11"/>
  <c r="AU63" i="11" s="1"/>
  <c r="AV63" i="11"/>
  <c r="AR63" i="11"/>
  <c r="AO63" i="11"/>
  <c r="AO64" i="11"/>
  <c r="AT64" i="11"/>
  <c r="AV64" i="11" s="1"/>
  <c r="AR64" i="11"/>
  <c r="AS64" i="11"/>
  <c r="AU64" i="11" s="1"/>
  <c r="AO65" i="11"/>
  <c r="AR65" i="11"/>
  <c r="AS65" i="11"/>
  <c r="AU65" i="11" s="1"/>
  <c r="AT65" i="11"/>
  <c r="AV65" i="11" s="1"/>
  <c r="AT66" i="11"/>
  <c r="AV66" i="11" s="1"/>
  <c r="AR66" i="11"/>
  <c r="AS66" i="11"/>
  <c r="AU66" i="11" s="1"/>
  <c r="AO66" i="11"/>
  <c r="AS67" i="11"/>
  <c r="AU67" i="11" s="1"/>
  <c r="AT67" i="11"/>
  <c r="AV67" i="11" s="1"/>
  <c r="AO67" i="11"/>
  <c r="AR67" i="11"/>
  <c r="AO68" i="11"/>
  <c r="AT68" i="11"/>
  <c r="AV68" i="11" s="1"/>
  <c r="AR68" i="11"/>
  <c r="AS68" i="11"/>
  <c r="AU68" i="11" s="1"/>
  <c r="AS69" i="11"/>
  <c r="AU69" i="11" s="1"/>
  <c r="AR69" i="11"/>
  <c r="AO69" i="11"/>
  <c r="AT69" i="11"/>
  <c r="AV69" i="11" s="1"/>
  <c r="AT70" i="11"/>
  <c r="AV70" i="11" s="1"/>
  <c r="AO70" i="11"/>
  <c r="AS70" i="11"/>
  <c r="AU70" i="11" s="1"/>
  <c r="AR70" i="11"/>
  <c r="AM56" i="11"/>
  <c r="AO56" i="11" s="1"/>
  <c r="AI56" i="11"/>
  <c r="AL56" i="11"/>
  <c r="AN56" i="11" s="1"/>
  <c r="AP56" i="11" s="1"/>
  <c r="AM47" i="11"/>
  <c r="AO47" i="11" s="1"/>
  <c r="AL47" i="11"/>
  <c r="AN47" i="11"/>
  <c r="AP47" i="11" s="1"/>
  <c r="AI47" i="11"/>
  <c r="AI48" i="11"/>
  <c r="AM48" i="11"/>
  <c r="AO48" i="11" s="1"/>
  <c r="AL48" i="11"/>
  <c r="AN48" i="11"/>
  <c r="AP48" i="11" s="1"/>
  <c r="AM49" i="11"/>
  <c r="AO49" i="11" s="1"/>
  <c r="AN49" i="11"/>
  <c r="AI49" i="11"/>
  <c r="AP49" i="11"/>
  <c r="AL49" i="11"/>
  <c r="AL50" i="11"/>
  <c r="AI50" i="11"/>
  <c r="AN50" i="11"/>
  <c r="AP50" i="11" s="1"/>
  <c r="AM50" i="11"/>
  <c r="AO50" i="11" s="1"/>
  <c r="AM51" i="11"/>
  <c r="AO51" i="11" s="1"/>
  <c r="AI51" i="11"/>
  <c r="AL51" i="11"/>
  <c r="AN51" i="11"/>
  <c r="AP51" i="11" s="1"/>
  <c r="AI52" i="11"/>
  <c r="AN52" i="11"/>
  <c r="AP52" i="11" s="1"/>
  <c r="AM52" i="11"/>
  <c r="AO52" i="11" s="1"/>
  <c r="AL52" i="11"/>
  <c r="AM53" i="11"/>
  <c r="AO53" i="11" s="1"/>
  <c r="AN53" i="11"/>
  <c r="AP53" i="11" s="1"/>
  <c r="AI53" i="11"/>
  <c r="AL53" i="11"/>
  <c r="AM54" i="11"/>
  <c r="AO54" i="11" s="1"/>
  <c r="AN54" i="11"/>
  <c r="AP54" i="11" s="1"/>
  <c r="AL54" i="11"/>
  <c r="AI54" i="11"/>
  <c r="AJ40" i="11"/>
  <c r="AM40" i="11"/>
  <c r="AO40" i="11" s="1"/>
  <c r="AQ40" i="11" s="1"/>
  <c r="AN40" i="11"/>
  <c r="AP40" i="11" s="1"/>
  <c r="AN31" i="11"/>
  <c r="AP31" i="11" s="1"/>
  <c r="AO31" i="11"/>
  <c r="AQ31" i="11" s="1"/>
  <c r="AM31" i="11"/>
  <c r="AJ31" i="11"/>
  <c r="AO32" i="11"/>
  <c r="AQ32" i="11" s="1"/>
  <c r="AJ32" i="11"/>
  <c r="AN32" i="11"/>
  <c r="AP32" i="11" s="1"/>
  <c r="AM32" i="11"/>
  <c r="AN33" i="11"/>
  <c r="AP33" i="11" s="1"/>
  <c r="AO33" i="11"/>
  <c r="AQ33" i="11"/>
  <c r="AM33" i="11"/>
  <c r="AJ33" i="11"/>
  <c r="AO34" i="11"/>
  <c r="AJ34" i="11"/>
  <c r="AM34" i="11"/>
  <c r="AQ34" i="11"/>
  <c r="AN34" i="11"/>
  <c r="AP34" i="11" s="1"/>
  <c r="AM35" i="11"/>
  <c r="AJ35" i="11"/>
  <c r="AO35" i="11"/>
  <c r="AQ35" i="11" s="1"/>
  <c r="AN35" i="11"/>
  <c r="AP35" i="11" s="1"/>
  <c r="AM36" i="11"/>
  <c r="AO36" i="11"/>
  <c r="AJ36" i="11"/>
  <c r="AQ36" i="11"/>
  <c r="AN36" i="11"/>
  <c r="AP36" i="11" s="1"/>
  <c r="AM37" i="11"/>
  <c r="AO37" i="11"/>
  <c r="AN37" i="11"/>
  <c r="AP37" i="11" s="1"/>
  <c r="AJ37" i="11"/>
  <c r="AQ37" i="11"/>
  <c r="AM38" i="11"/>
  <c r="AJ38" i="11"/>
  <c r="AO38" i="11"/>
  <c r="AQ38" i="11" s="1"/>
  <c r="AN38" i="11"/>
  <c r="AP38" i="11" s="1"/>
  <c r="AP17" i="11"/>
  <c r="AR17" i="11" s="1"/>
  <c r="AO17" i="11"/>
  <c r="AQ17" i="11" s="1"/>
  <c r="AS17" i="11" s="1"/>
  <c r="AL17" i="11"/>
  <c r="AL18" i="11"/>
  <c r="AP18" i="11"/>
  <c r="AR18" i="11" s="1"/>
  <c r="AO18" i="11"/>
  <c r="AQ18" i="11" s="1"/>
  <c r="AS18" i="11" s="1"/>
  <c r="AO19" i="11"/>
  <c r="AQ19" i="11" s="1"/>
  <c r="AS19" i="11" s="1"/>
  <c r="AL19" i="11"/>
  <c r="AP19" i="11"/>
  <c r="AR19" i="11" s="1"/>
  <c r="AL20" i="11"/>
  <c r="AO20" i="11"/>
  <c r="AQ20" i="11" s="1"/>
  <c r="AS20" i="11" s="1"/>
  <c r="AP20" i="11"/>
  <c r="AR20" i="11" s="1"/>
  <c r="AL21" i="11"/>
  <c r="AO21" i="11"/>
  <c r="AQ21" i="11" s="1"/>
  <c r="AS21" i="11" s="1"/>
  <c r="AP21" i="11"/>
  <c r="AR21" i="11" s="1"/>
  <c r="AO22" i="11"/>
  <c r="AQ22" i="11" s="1"/>
  <c r="AS22" i="11" s="1"/>
  <c r="AL22" i="11"/>
  <c r="AP22" i="11"/>
  <c r="AR22" i="11" s="1"/>
  <c r="AO23" i="11"/>
  <c r="AQ23" i="11" s="1"/>
  <c r="AS23" i="11" s="1"/>
  <c r="AP23" i="11"/>
  <c r="AR23" i="11" s="1"/>
  <c r="AL23" i="11"/>
  <c r="AO24" i="11"/>
  <c r="AQ24" i="11" s="1"/>
  <c r="AS24" i="11" s="1"/>
  <c r="AP24" i="11"/>
  <c r="AR24" i="11" s="1"/>
  <c r="AL24" i="11"/>
  <c r="AQ8" i="11"/>
  <c r="AS8" i="11"/>
  <c r="AL8" i="11"/>
  <c r="AP8" i="11"/>
  <c r="AR8" i="11" s="1"/>
  <c r="AO8" i="11"/>
  <c r="AQ9" i="11"/>
  <c r="AS9" i="11" s="1"/>
  <c r="AO9" i="11"/>
  <c r="AL9" i="11"/>
  <c r="AP9" i="11"/>
  <c r="AR9" i="11" s="1"/>
  <c r="AQ10" i="11"/>
  <c r="AS10" i="11" s="1"/>
  <c r="AL10" i="11"/>
  <c r="AP10" i="11"/>
  <c r="AR10" i="11" s="1"/>
  <c r="AO10" i="11"/>
  <c r="AQ11" i="11"/>
  <c r="AP11" i="11"/>
  <c r="AR11" i="11" s="1"/>
  <c r="AS11" i="11"/>
  <c r="AL11" i="11"/>
  <c r="AO11" i="11"/>
  <c r="AO12" i="11"/>
  <c r="AP12" i="11"/>
  <c r="AR12" i="11" s="1"/>
  <c r="AL12" i="11"/>
  <c r="AQ12" i="11"/>
  <c r="AS12" i="11" s="1"/>
  <c r="AO13" i="11"/>
  <c r="AP13" i="11"/>
  <c r="AR13" i="11" s="1"/>
  <c r="AQ13" i="11"/>
  <c r="AL13" i="11"/>
  <c r="AS13" i="11"/>
  <c r="AP14" i="11"/>
  <c r="AR14" i="11" s="1"/>
  <c r="AO14" i="11"/>
  <c r="AQ14" i="11"/>
  <c r="AS14" i="11" s="1"/>
  <c r="AL14" i="11"/>
  <c r="AP15" i="11"/>
  <c r="AR15" i="11" s="1"/>
  <c r="AO15" i="11"/>
  <c r="AQ15" i="11"/>
  <c r="AL15" i="11"/>
  <c r="AS15" i="11"/>
  <c r="EH5" i="8"/>
  <c r="EI5" i="8"/>
  <c r="EH6" i="8"/>
  <c r="EI6" i="8"/>
  <c r="EH7" i="8"/>
  <c r="EI7" i="8"/>
  <c r="EI8" i="8"/>
  <c r="EH8" i="8"/>
  <c r="EH9" i="8"/>
  <c r="EI9" i="8"/>
  <c r="EI10" i="8"/>
  <c r="EH10" i="8"/>
  <c r="EI11" i="8"/>
  <c r="EH11" i="8"/>
  <c r="EI12" i="8"/>
  <c r="EH12" i="8"/>
  <c r="EH13" i="8"/>
  <c r="EI13" i="8"/>
  <c r="EH14" i="8"/>
  <c r="EI14" i="8"/>
  <c r="EH15" i="8"/>
  <c r="EI15" i="8"/>
  <c r="EI16" i="8"/>
  <c r="EH16" i="8"/>
  <c r="EH17" i="8"/>
  <c r="EI17" i="8"/>
  <c r="EI18" i="8"/>
  <c r="EH18" i="8"/>
  <c r="EH19" i="8"/>
  <c r="EI19" i="8"/>
  <c r="EH20" i="8"/>
  <c r="EI20" i="8"/>
  <c r="EI21" i="8"/>
  <c r="EH21" i="8"/>
  <c r="EH22" i="8"/>
  <c r="EI22" i="8"/>
  <c r="EH23" i="8"/>
  <c r="EI23" i="8"/>
  <c r="EI24" i="8"/>
  <c r="EH24" i="8"/>
  <c r="EI25" i="8"/>
  <c r="EH25" i="8"/>
  <c r="EI26" i="8"/>
  <c r="EH26" i="8"/>
  <c r="EH27" i="8"/>
  <c r="EI27" i="8"/>
  <c r="EI28" i="8"/>
  <c r="EH28" i="8"/>
  <c r="EI29" i="8"/>
  <c r="EH29" i="8"/>
  <c r="EI30" i="8"/>
  <c r="EH30" i="8"/>
  <c r="EI31" i="8"/>
  <c r="EH31" i="8"/>
  <c r="EI32" i="8"/>
  <c r="EH32" i="8"/>
  <c r="EI33" i="8"/>
  <c r="EH33" i="8"/>
  <c r="EI34" i="8"/>
  <c r="EH34" i="8"/>
  <c r="EI35" i="8"/>
  <c r="EH35" i="8"/>
  <c r="EH36" i="8"/>
  <c r="EI36" i="8"/>
  <c r="EH37" i="8"/>
  <c r="EI37" i="8"/>
  <c r="EI38" i="8"/>
  <c r="EH38" i="8"/>
  <c r="EI39" i="8"/>
  <c r="EH39" i="8"/>
  <c r="EI40" i="8"/>
  <c r="EH40" i="8"/>
  <c r="EI41" i="8"/>
  <c r="EH41" i="8"/>
  <c r="EI42" i="8"/>
  <c r="EH42" i="8"/>
  <c r="EH43" i="8"/>
  <c r="EI43" i="8"/>
  <c r="EH44" i="8"/>
  <c r="EI44" i="8"/>
  <c r="BY78" i="8"/>
  <c r="BZ78" i="8"/>
  <c r="CV78" i="8"/>
  <c r="CX78" i="8" s="1"/>
  <c r="AJ78" i="8"/>
  <c r="BY79" i="8"/>
  <c r="BZ79" i="8"/>
  <c r="CV79" i="8"/>
  <c r="CX79" i="8" s="1"/>
  <c r="AJ79" i="8"/>
  <c r="BY80" i="8"/>
  <c r="BZ80" i="8"/>
  <c r="CV80" i="8"/>
  <c r="CX80" i="8" s="1"/>
  <c r="AJ80" i="8"/>
  <c r="BY81" i="8"/>
  <c r="BZ81" i="8"/>
  <c r="CV81" i="8"/>
  <c r="CX81" i="8" s="1"/>
  <c r="AJ81" i="8"/>
  <c r="BY82" i="8"/>
  <c r="BZ82" i="8"/>
  <c r="CV82" i="8"/>
  <c r="CX82" i="8" s="1"/>
  <c r="AJ82" i="8"/>
  <c r="BY83" i="8"/>
  <c r="BZ83" i="8"/>
  <c r="CV83" i="8"/>
  <c r="CX83" i="8" s="1"/>
  <c r="AJ83" i="8"/>
  <c r="BY85" i="8"/>
  <c r="BZ85" i="8"/>
  <c r="CV85" i="8"/>
  <c r="CX85" i="8" s="1"/>
  <c r="AJ85" i="8"/>
  <c r="BY86" i="8"/>
  <c r="BZ86" i="8"/>
  <c r="CV86" i="8"/>
  <c r="CX86" i="8" s="1"/>
  <c r="AJ86" i="8"/>
  <c r="BY87" i="8"/>
  <c r="BZ87" i="8"/>
  <c r="CV87" i="8"/>
  <c r="CX87" i="8" s="1"/>
  <c r="AJ87" i="8"/>
  <c r="BY88" i="8"/>
  <c r="BZ88" i="8"/>
  <c r="CV88" i="8"/>
  <c r="CX88" i="8" s="1"/>
  <c r="AJ88" i="8"/>
  <c r="BY89" i="8"/>
  <c r="BZ89" i="8"/>
  <c r="CV89" i="8"/>
  <c r="CX89" i="8" s="1"/>
  <c r="AJ89" i="8"/>
  <c r="BY90" i="8"/>
  <c r="BZ90" i="8"/>
  <c r="CV90" i="8"/>
  <c r="CX90" i="8" s="1"/>
  <c r="AJ90" i="8"/>
  <c r="BY91" i="8"/>
  <c r="BZ91" i="8"/>
  <c r="CV91" i="8"/>
  <c r="CX91" i="8" s="1"/>
  <c r="AJ91" i="8"/>
  <c r="BY92" i="8"/>
  <c r="BZ92" i="8"/>
  <c r="CV92" i="8"/>
  <c r="CX92" i="8" s="1"/>
  <c r="AJ92" i="8"/>
  <c r="BY93" i="8"/>
  <c r="BZ93" i="8"/>
  <c r="CV93" i="8"/>
  <c r="CX93" i="8" s="1"/>
  <c r="AJ93" i="8"/>
  <c r="BY94" i="8"/>
  <c r="BZ94" i="8"/>
  <c r="CV94" i="8"/>
  <c r="CX94" i="8" s="1"/>
  <c r="AJ94" i="8"/>
  <c r="BY95" i="8"/>
  <c r="BZ95" i="8"/>
  <c r="CV95" i="8"/>
  <c r="CX95" i="8" s="1"/>
  <c r="AJ95" i="8"/>
  <c r="BY96" i="8"/>
  <c r="BZ96" i="8"/>
  <c r="CV96" i="8"/>
  <c r="CX96" i="8" s="1"/>
  <c r="AJ96" i="8"/>
  <c r="BY97" i="8"/>
  <c r="BZ97" i="8"/>
  <c r="CV97" i="8"/>
  <c r="CX97" i="8" s="1"/>
  <c r="AJ97" i="8"/>
  <c r="BY98" i="8"/>
  <c r="BZ98" i="8"/>
  <c r="CV98" i="8"/>
  <c r="CX98" i="8" s="1"/>
  <c r="AJ98" i="8"/>
  <c r="BY99" i="8"/>
  <c r="BZ99" i="8"/>
  <c r="CV99" i="8"/>
  <c r="CX99" i="8" s="1"/>
  <c r="AJ99" i="8"/>
  <c r="BY100" i="8"/>
  <c r="BZ100" i="8"/>
  <c r="CV100" i="8"/>
  <c r="CX100" i="8" s="1"/>
  <c r="BY103" i="8"/>
  <c r="BZ103" i="8"/>
  <c r="CV103" i="8"/>
  <c r="CX103" i="8" s="1"/>
  <c r="AJ103" i="8"/>
  <c r="BY46" i="8"/>
  <c r="BZ46" i="8"/>
  <c r="CV46" i="8"/>
  <c r="CX46" i="8" s="1"/>
  <c r="AJ46" i="8"/>
  <c r="BY47" i="8"/>
  <c r="BZ47" i="8"/>
  <c r="CV47" i="8"/>
  <c r="CX47" i="8" s="1"/>
  <c r="AJ47" i="8"/>
  <c r="BY49" i="8"/>
  <c r="BZ49" i="8"/>
  <c r="CV49" i="8"/>
  <c r="CX49" i="8" s="1"/>
  <c r="AJ49" i="8"/>
  <c r="BY50" i="8"/>
  <c r="BZ50" i="8"/>
  <c r="CV50" i="8"/>
  <c r="CX50" i="8" s="1"/>
  <c r="AJ50" i="8"/>
  <c r="BY51" i="8"/>
  <c r="BZ51" i="8"/>
  <c r="CV51" i="8"/>
  <c r="CX51" i="8" s="1"/>
  <c r="AJ51" i="8"/>
  <c r="BY52" i="8"/>
  <c r="BZ52" i="8"/>
  <c r="CV52" i="8"/>
  <c r="CX52" i="8" s="1"/>
  <c r="AJ52" i="8"/>
  <c r="BY53" i="8"/>
  <c r="BZ53" i="8"/>
  <c r="CV53" i="8"/>
  <c r="CX53" i="8" s="1"/>
  <c r="AJ53" i="8"/>
  <c r="BY54" i="8"/>
  <c r="BZ54" i="8"/>
  <c r="CV54" i="8"/>
  <c r="CX54" i="8" s="1"/>
  <c r="AJ54" i="8"/>
  <c r="BY55" i="8"/>
  <c r="BZ55" i="8"/>
  <c r="CV55" i="8"/>
  <c r="CX55" i="8" s="1"/>
  <c r="AJ55" i="8"/>
  <c r="BY56" i="8"/>
  <c r="BZ56" i="8"/>
  <c r="CV56" i="8"/>
  <c r="CX56" i="8" s="1"/>
  <c r="AJ56" i="8"/>
  <c r="BY57" i="8"/>
  <c r="BZ57" i="8"/>
  <c r="CV57" i="8"/>
  <c r="CX57" i="8" s="1"/>
  <c r="AJ57" i="8"/>
  <c r="BY58" i="8"/>
  <c r="BZ58" i="8"/>
  <c r="CV58" i="8"/>
  <c r="CX58" i="8" s="1"/>
  <c r="AJ58" i="8"/>
  <c r="BY59" i="8"/>
  <c r="BZ59" i="8"/>
  <c r="CV59" i="8"/>
  <c r="CX59" i="8" s="1"/>
  <c r="AJ59" i="8"/>
  <c r="BY60" i="8"/>
  <c r="BZ60" i="8"/>
  <c r="CV60" i="8"/>
  <c r="CX60" i="8" s="1"/>
  <c r="AJ60" i="8"/>
  <c r="BY61" i="8"/>
  <c r="BZ61" i="8"/>
  <c r="CV61" i="8"/>
  <c r="CX61" i="8" s="1"/>
  <c r="AJ61" i="8"/>
  <c r="BY62" i="8"/>
  <c r="BZ62" i="8"/>
  <c r="CV62" i="8"/>
  <c r="CX62" i="8" s="1"/>
  <c r="AJ62" i="8"/>
  <c r="BY64" i="8"/>
  <c r="BZ64" i="8"/>
  <c r="CV64" i="8"/>
  <c r="CX64" i="8" s="1"/>
  <c r="AJ64" i="8"/>
  <c r="BY65" i="8"/>
  <c r="BZ65" i="8"/>
  <c r="CV65" i="8"/>
  <c r="CX65" i="8" s="1"/>
  <c r="AJ65" i="8"/>
  <c r="BY68" i="8"/>
  <c r="BZ68" i="8"/>
  <c r="CV68" i="8"/>
  <c r="CX68" i="8" s="1"/>
  <c r="AJ68" i="8"/>
  <c r="BY69" i="8"/>
  <c r="BZ69" i="8"/>
  <c r="CV69" i="8"/>
  <c r="CX69" i="8" s="1"/>
  <c r="AJ69" i="8"/>
  <c r="BY70" i="8"/>
  <c r="BZ70" i="8"/>
  <c r="CV70" i="8"/>
  <c r="CX70" i="8" s="1"/>
  <c r="AJ70" i="8"/>
  <c r="BY71" i="8"/>
  <c r="BZ71" i="8"/>
  <c r="CV71" i="8"/>
  <c r="CX71" i="8" s="1"/>
  <c r="AJ71" i="8"/>
  <c r="BY72" i="8"/>
  <c r="BZ72" i="8"/>
  <c r="CV72" i="8"/>
  <c r="CX72" i="8" s="1"/>
  <c r="AJ72" i="8"/>
  <c r="BY73" i="8"/>
  <c r="BZ73" i="8"/>
  <c r="CV73" i="8"/>
  <c r="CX73" i="8" s="1"/>
  <c r="AJ73" i="8"/>
  <c r="BY75" i="8"/>
  <c r="BZ75" i="8"/>
  <c r="CV75" i="8"/>
  <c r="CX75" i="8" s="1"/>
  <c r="AJ75" i="8"/>
  <c r="BY76" i="8"/>
  <c r="BZ76" i="8"/>
  <c r="CV76" i="8"/>
  <c r="CX76" i="8" s="1"/>
  <c r="AJ76" i="8"/>
  <c r="BY5" i="8"/>
  <c r="BZ5" i="8"/>
  <c r="CV5" i="8"/>
  <c r="CX5" i="8" s="1"/>
  <c r="AJ5" i="8"/>
  <c r="BY6" i="8"/>
  <c r="BZ6" i="8"/>
  <c r="CV6" i="8"/>
  <c r="CX6" i="8" s="1"/>
  <c r="AJ6" i="8"/>
  <c r="BY7" i="8"/>
  <c r="BZ7" i="8"/>
  <c r="CV7" i="8"/>
  <c r="CX7" i="8" s="1"/>
  <c r="AJ7" i="8"/>
  <c r="BY8" i="8"/>
  <c r="BZ8" i="8"/>
  <c r="CV8" i="8"/>
  <c r="CX8" i="8" s="1"/>
  <c r="AJ8" i="8"/>
  <c r="BY9" i="8"/>
  <c r="BZ9" i="8"/>
  <c r="CV9" i="8"/>
  <c r="CX9" i="8" s="1"/>
  <c r="AJ9" i="8"/>
  <c r="BY10" i="8"/>
  <c r="BZ10" i="8"/>
  <c r="CV10" i="8"/>
  <c r="CX10" i="8" s="1"/>
  <c r="AJ10" i="8"/>
  <c r="BY11" i="8"/>
  <c r="BZ11" i="8"/>
  <c r="CV11" i="8"/>
  <c r="CX11" i="8" s="1"/>
  <c r="AJ11" i="8"/>
  <c r="BY12" i="8"/>
  <c r="BZ12" i="8"/>
  <c r="CV12" i="8"/>
  <c r="CX12" i="8" s="1"/>
  <c r="AJ12" i="8"/>
  <c r="BY13" i="8"/>
  <c r="BZ13" i="8"/>
  <c r="CV13" i="8"/>
  <c r="CX13" i="8" s="1"/>
  <c r="AJ13" i="8"/>
  <c r="BY14" i="8"/>
  <c r="BZ14" i="8"/>
  <c r="CV14" i="8"/>
  <c r="CX14" i="8" s="1"/>
  <c r="AJ14" i="8"/>
  <c r="BY15" i="8"/>
  <c r="BZ15" i="8"/>
  <c r="CV15" i="8"/>
  <c r="CX15" i="8" s="1"/>
  <c r="AJ15" i="8"/>
  <c r="BY16" i="8"/>
  <c r="BZ16" i="8"/>
  <c r="CV16" i="8"/>
  <c r="CX16" i="8" s="1"/>
  <c r="AJ16" i="8"/>
  <c r="BY17" i="8"/>
  <c r="BZ17" i="8"/>
  <c r="CV17" i="8"/>
  <c r="CX17" i="8" s="1"/>
  <c r="AJ17" i="8"/>
  <c r="BY18" i="8"/>
  <c r="BZ18" i="8"/>
  <c r="CV18" i="8"/>
  <c r="CX18" i="8" s="1"/>
  <c r="AJ18" i="8"/>
  <c r="BY19" i="8"/>
  <c r="BZ19" i="8"/>
  <c r="CV19" i="8"/>
  <c r="CX19" i="8" s="1"/>
  <c r="AJ19" i="8"/>
  <c r="BY20" i="8"/>
  <c r="BZ20" i="8"/>
  <c r="CV20" i="8"/>
  <c r="CX20" i="8" s="1"/>
  <c r="AJ20" i="8"/>
  <c r="BY21" i="8"/>
  <c r="BZ21" i="8"/>
  <c r="CV21" i="8"/>
  <c r="CX21" i="8" s="1"/>
  <c r="AJ21" i="8"/>
  <c r="BY22" i="8"/>
  <c r="BZ22" i="8"/>
  <c r="CV22" i="8"/>
  <c r="CX22" i="8" s="1"/>
  <c r="AJ22" i="8"/>
  <c r="BY23" i="8"/>
  <c r="BZ23" i="8"/>
  <c r="CV23" i="8"/>
  <c r="CX23" i="8" s="1"/>
  <c r="AJ23" i="8"/>
  <c r="BY24" i="8"/>
  <c r="BZ24" i="8"/>
  <c r="CV24" i="8"/>
  <c r="CX24" i="8" s="1"/>
  <c r="AJ24" i="8"/>
  <c r="BY25" i="8"/>
  <c r="BZ25" i="8"/>
  <c r="CV25" i="8"/>
  <c r="CX25" i="8" s="1"/>
  <c r="AJ25" i="8"/>
  <c r="BY26" i="8"/>
  <c r="BZ26" i="8"/>
  <c r="CV26" i="8"/>
  <c r="CX26" i="8" s="1"/>
  <c r="AJ26" i="8"/>
  <c r="BY27" i="8"/>
  <c r="BZ27" i="8"/>
  <c r="CV27" i="8"/>
  <c r="CX27" i="8" s="1"/>
  <c r="AJ27" i="8"/>
  <c r="BY28" i="8"/>
  <c r="BZ28" i="8"/>
  <c r="CV28" i="8"/>
  <c r="CX28" i="8" s="1"/>
  <c r="AJ28" i="8"/>
  <c r="BY29" i="8"/>
  <c r="BZ29" i="8"/>
  <c r="CV29" i="8"/>
  <c r="CX29" i="8" s="1"/>
  <c r="AJ29" i="8"/>
  <c r="BY30" i="8"/>
  <c r="BZ30" i="8"/>
  <c r="CV30" i="8"/>
  <c r="CX30" i="8" s="1"/>
  <c r="AJ30" i="8"/>
  <c r="BY31" i="8"/>
  <c r="BZ31" i="8"/>
  <c r="CV31" i="8"/>
  <c r="CX31" i="8" s="1"/>
  <c r="AJ31" i="8"/>
  <c r="BY32" i="8"/>
  <c r="BZ32" i="8"/>
  <c r="CV32" i="8"/>
  <c r="CX32" i="8" s="1"/>
  <c r="AJ32" i="8"/>
  <c r="BY33" i="8"/>
  <c r="BZ33" i="8"/>
  <c r="CV33" i="8"/>
  <c r="CX33" i="8" s="1"/>
  <c r="AJ33" i="8"/>
  <c r="CY33" i="8" s="1"/>
  <c r="BY34" i="8"/>
  <c r="BZ34" i="8"/>
  <c r="CV34" i="8"/>
  <c r="CX34" i="8" s="1"/>
  <c r="AJ34" i="8"/>
  <c r="CY34" i="8" s="1"/>
  <c r="BY35" i="8"/>
  <c r="BZ35" i="8"/>
  <c r="CV35" i="8"/>
  <c r="CX35" i="8" s="1"/>
  <c r="AJ35" i="8"/>
  <c r="CY35" i="8" s="1"/>
  <c r="BY36" i="8"/>
  <c r="BZ36" i="8"/>
  <c r="CV36" i="8"/>
  <c r="CX36" i="8" s="1"/>
  <c r="AJ36" i="8"/>
  <c r="CY36" i="8" s="1"/>
  <c r="BY37" i="8"/>
  <c r="BZ37" i="8"/>
  <c r="CV37" i="8"/>
  <c r="CX37" i="8" s="1"/>
  <c r="AJ37" i="8"/>
  <c r="CY37" i="8" s="1"/>
  <c r="BY38" i="8"/>
  <c r="BZ38" i="8"/>
  <c r="CV38" i="8"/>
  <c r="CX38" i="8" s="1"/>
  <c r="AJ38" i="8"/>
  <c r="CY38" i="8" s="1"/>
  <c r="BY39" i="8"/>
  <c r="BZ39" i="8"/>
  <c r="CV39" i="8"/>
  <c r="CX39" i="8" s="1"/>
  <c r="AJ39" i="8"/>
  <c r="CY39" i="8" s="1"/>
  <c r="BY40" i="8"/>
  <c r="BZ40" i="8"/>
  <c r="CV40" i="8"/>
  <c r="CX40" i="8" s="1"/>
  <c r="AJ40" i="8"/>
  <c r="CY40" i="8" s="1"/>
  <c r="BY41" i="8"/>
  <c r="BZ41" i="8"/>
  <c r="CV41" i="8"/>
  <c r="CX41" i="8" s="1"/>
  <c r="AJ41" i="8"/>
  <c r="CY41" i="8" s="1"/>
  <c r="BY42" i="8"/>
  <c r="BZ42" i="8"/>
  <c r="CV42" i="8"/>
  <c r="CX42" i="8" s="1"/>
  <c r="AJ42" i="8"/>
  <c r="CY42" i="8" s="1"/>
  <c r="BY43" i="8"/>
  <c r="BZ43" i="8"/>
  <c r="CV43" i="8"/>
  <c r="CX43" i="8" s="1"/>
  <c r="AJ43" i="8"/>
  <c r="CY43" i="8" s="1"/>
  <c r="BY44" i="8"/>
  <c r="BZ44" i="8"/>
  <c r="CV44" i="8"/>
  <c r="CX44" i="8" s="1"/>
  <c r="AJ44" i="8"/>
  <c r="CY44" i="8" s="1"/>
  <c r="AP5" i="8"/>
  <c r="BC5" i="8"/>
  <c r="BB5" i="8"/>
  <c r="AQ5" i="8"/>
  <c r="AP6" i="8"/>
  <c r="BC6" i="8"/>
  <c r="BB6" i="8"/>
  <c r="AQ6" i="8"/>
  <c r="AP7" i="8"/>
  <c r="BC7" i="8"/>
  <c r="BB7" i="8"/>
  <c r="AQ7" i="8"/>
  <c r="AP8" i="8"/>
  <c r="BC8" i="8"/>
  <c r="BB8" i="8"/>
  <c r="AQ8" i="8"/>
  <c r="AP9" i="8"/>
  <c r="BC9" i="8"/>
  <c r="BB9" i="8"/>
  <c r="AQ9" i="8"/>
  <c r="AP10" i="8"/>
  <c r="BC10" i="8"/>
  <c r="BB10" i="8"/>
  <c r="AQ10" i="8"/>
  <c r="AP11" i="8"/>
  <c r="AQ11" i="8"/>
  <c r="BC11" i="8"/>
  <c r="BB11" i="8"/>
  <c r="AP12" i="8"/>
  <c r="BC12" i="8"/>
  <c r="BB12" i="8"/>
  <c r="AQ12" i="8"/>
  <c r="AP13" i="8"/>
  <c r="BC13" i="8"/>
  <c r="AQ13" i="8"/>
  <c r="BB13" i="8"/>
  <c r="BC14" i="8"/>
  <c r="BB14" i="8"/>
  <c r="AP14" i="8"/>
  <c r="AQ14" i="8"/>
  <c r="BC15" i="8"/>
  <c r="AQ15" i="8"/>
  <c r="BB15" i="8"/>
  <c r="AP15" i="8"/>
  <c r="BB16" i="8"/>
  <c r="AQ16" i="8"/>
  <c r="AP16" i="8"/>
  <c r="BC16" i="8"/>
  <c r="AQ17" i="8"/>
  <c r="BB17" i="8"/>
  <c r="AP17" i="8"/>
  <c r="BC17" i="8"/>
  <c r="BB18" i="8"/>
  <c r="AP18" i="8"/>
  <c r="BC18" i="8"/>
  <c r="AQ18" i="8"/>
  <c r="AQ19" i="8"/>
  <c r="BB19" i="8"/>
  <c r="AP19" i="8"/>
  <c r="BC19" i="8"/>
  <c r="BB20" i="8"/>
  <c r="AP20" i="8"/>
  <c r="AQ20" i="8"/>
  <c r="BC20" i="8"/>
  <c r="AQ21" i="8"/>
  <c r="BB21" i="8"/>
  <c r="AP21" i="8"/>
  <c r="BC21" i="8"/>
  <c r="BB22" i="8"/>
  <c r="AQ22" i="8"/>
  <c r="BC22" i="8"/>
  <c r="AP22" i="8"/>
  <c r="AQ23" i="8"/>
  <c r="BC23" i="8"/>
  <c r="BB23" i="8"/>
  <c r="AP23" i="8"/>
  <c r="AP24" i="8"/>
  <c r="BC24" i="8"/>
  <c r="BB24" i="8"/>
  <c r="AQ24" i="8"/>
  <c r="AP25" i="8"/>
  <c r="BB25" i="8"/>
  <c r="AQ25" i="8"/>
  <c r="BC25" i="8"/>
  <c r="AP26" i="8"/>
  <c r="BC26" i="8"/>
  <c r="AQ26" i="8"/>
  <c r="BB26" i="8"/>
  <c r="AP27" i="8"/>
  <c r="BC27" i="8"/>
  <c r="BB27" i="8"/>
  <c r="AQ27" i="8"/>
  <c r="AP28" i="8"/>
  <c r="BC28" i="8"/>
  <c r="BB28" i="8"/>
  <c r="AQ28" i="8"/>
  <c r="AP29" i="8"/>
  <c r="BB29" i="8"/>
  <c r="BC29" i="8"/>
  <c r="AQ29" i="8"/>
  <c r="AQ30" i="8"/>
  <c r="BB30" i="8"/>
  <c r="AP30" i="8"/>
  <c r="BC30" i="8"/>
  <c r="BC31" i="8"/>
  <c r="AQ31" i="8"/>
  <c r="AP31" i="8"/>
  <c r="BB31" i="8"/>
  <c r="AQ32" i="8"/>
  <c r="BC32" i="8"/>
  <c r="AP32" i="8"/>
  <c r="BB32" i="8"/>
  <c r="AQ33" i="8"/>
  <c r="BB33" i="8"/>
  <c r="BC33" i="8"/>
  <c r="AP33" i="8"/>
  <c r="AQ34" i="8"/>
  <c r="BC34" i="8"/>
  <c r="AP34" i="8"/>
  <c r="BB34" i="8"/>
  <c r="AQ35" i="8"/>
  <c r="BC35" i="8"/>
  <c r="AP35" i="8"/>
  <c r="BB35" i="8"/>
  <c r="AQ36" i="8"/>
  <c r="BC36" i="8"/>
  <c r="AP36" i="8"/>
  <c r="BB36" i="8"/>
  <c r="BC37" i="8"/>
  <c r="AP37" i="8"/>
  <c r="BB37" i="8"/>
  <c r="AQ37" i="8"/>
  <c r="BC38" i="8"/>
  <c r="BB38" i="8"/>
  <c r="AP38" i="8"/>
  <c r="AQ38" i="8"/>
  <c r="AP39" i="8"/>
  <c r="BB39" i="8"/>
  <c r="BC39" i="8"/>
  <c r="AQ39" i="8"/>
  <c r="BB40" i="8"/>
  <c r="BC40" i="8"/>
  <c r="AQ40" i="8"/>
  <c r="AP40" i="8"/>
  <c r="BB41" i="8"/>
  <c r="BC41" i="8"/>
  <c r="AP41" i="8"/>
  <c r="AQ41" i="8"/>
  <c r="AP42" i="8"/>
  <c r="BC42" i="8"/>
  <c r="AQ42" i="8"/>
  <c r="BB42" i="8"/>
  <c r="BC43" i="8"/>
  <c r="BB43" i="8"/>
  <c r="AP43" i="8"/>
  <c r="AQ43" i="8"/>
  <c r="BB44" i="8"/>
  <c r="AQ44" i="8"/>
  <c r="BC44" i="8"/>
  <c r="AP44" i="8"/>
  <c r="AZ5" i="8"/>
  <c r="BA78" i="8"/>
  <c r="AY78" i="8"/>
  <c r="BA79" i="8"/>
  <c r="AY79" i="8"/>
  <c r="BA80" i="8"/>
  <c r="AY80" i="8"/>
  <c r="BA81" i="8"/>
  <c r="AY81" i="8"/>
  <c r="BA82" i="8"/>
  <c r="AY82" i="8"/>
  <c r="BA83" i="8"/>
  <c r="AY83" i="8"/>
  <c r="BA84" i="8"/>
  <c r="AY84" i="8"/>
  <c r="AY85" i="8"/>
  <c r="BA85" i="8"/>
  <c r="AY86" i="8"/>
  <c r="BA86" i="8"/>
  <c r="AY87" i="8"/>
  <c r="BA87" i="8"/>
  <c r="BA88" i="8"/>
  <c r="AY88" i="8"/>
  <c r="BA89" i="8"/>
  <c r="AY89" i="8"/>
  <c r="BA90" i="8"/>
  <c r="AY90" i="8"/>
  <c r="AY91" i="8"/>
  <c r="BA91" i="8"/>
  <c r="BA92" i="8"/>
  <c r="AY92" i="8"/>
  <c r="AY93" i="8"/>
  <c r="BA93" i="8"/>
  <c r="AY94" i="8"/>
  <c r="BA94" i="8"/>
  <c r="AY95" i="8"/>
  <c r="BA95" i="8"/>
  <c r="BA96" i="8"/>
  <c r="AY96" i="8"/>
  <c r="AY97" i="8"/>
  <c r="BA97" i="8"/>
  <c r="AY98" i="8"/>
  <c r="BA98" i="8"/>
  <c r="AY99" i="8"/>
  <c r="BA99" i="8"/>
  <c r="AY100" i="8"/>
  <c r="BA100" i="8"/>
  <c r="BA101" i="8"/>
  <c r="AY101" i="8"/>
  <c r="BA102" i="8"/>
  <c r="AY102" i="8"/>
  <c r="BA103" i="8"/>
  <c r="AY103" i="8"/>
  <c r="BA46" i="8"/>
  <c r="AY46" i="8"/>
  <c r="BA47" i="8"/>
  <c r="AY47" i="8"/>
  <c r="BA48" i="8"/>
  <c r="AY48" i="8"/>
  <c r="BA49" i="8"/>
  <c r="AY49" i="8"/>
  <c r="BA50" i="8"/>
  <c r="AY50" i="8"/>
  <c r="BA51" i="8"/>
  <c r="AY51" i="8"/>
  <c r="BA52" i="8"/>
  <c r="AY52" i="8"/>
  <c r="BA53" i="8"/>
  <c r="AY53" i="8"/>
  <c r="BA54" i="8"/>
  <c r="AY54" i="8"/>
  <c r="AY55" i="8"/>
  <c r="BA55" i="8"/>
  <c r="AY56" i="8"/>
  <c r="BA56" i="8"/>
  <c r="AY57" i="8"/>
  <c r="BA57" i="8"/>
  <c r="AY58" i="8"/>
  <c r="BA58" i="8"/>
  <c r="AY59" i="8"/>
  <c r="BA59" i="8"/>
  <c r="BA60" i="8"/>
  <c r="AY60" i="8"/>
  <c r="BA61" i="8"/>
  <c r="AY61" i="8"/>
  <c r="BA62" i="8"/>
  <c r="AY62" i="8"/>
  <c r="BA63" i="8"/>
  <c r="AY63" i="8"/>
  <c r="BA64" i="8"/>
  <c r="AY64" i="8"/>
  <c r="AY65" i="8"/>
  <c r="BA65" i="8"/>
  <c r="BA66" i="8"/>
  <c r="AY66" i="8"/>
  <c r="BA67" i="8"/>
  <c r="AY67" i="8"/>
  <c r="BA68" i="8"/>
  <c r="AY68" i="8"/>
  <c r="BA69" i="8"/>
  <c r="AY69" i="8"/>
  <c r="BA70" i="8"/>
  <c r="AY70" i="8"/>
  <c r="BA71" i="8"/>
  <c r="AY71" i="8"/>
  <c r="BA72" i="8"/>
  <c r="AY72" i="8"/>
  <c r="AY73" i="8"/>
  <c r="BA73" i="8"/>
  <c r="BA74" i="8"/>
  <c r="AY74" i="8"/>
  <c r="BA75" i="8"/>
  <c r="AY75" i="8"/>
  <c r="AY76" i="8"/>
  <c r="AZ76" i="8" s="1"/>
  <c r="BA76" i="8"/>
  <c r="AV78" i="8"/>
  <c r="AV79" i="8"/>
  <c r="AV80" i="8"/>
  <c r="AV81" i="8"/>
  <c r="AV82" i="8"/>
  <c r="AV83" i="8"/>
  <c r="AV84" i="8"/>
  <c r="AV85" i="8"/>
  <c r="AV86" i="8"/>
  <c r="AV87" i="8"/>
  <c r="AV88" i="8"/>
  <c r="AV89" i="8"/>
  <c r="AV90" i="8"/>
  <c r="AV91" i="8"/>
  <c r="AV92" i="8"/>
  <c r="AV93" i="8"/>
  <c r="AV94" i="8"/>
  <c r="AV95" i="8"/>
  <c r="AV96" i="8"/>
  <c r="AV97" i="8"/>
  <c r="AV98" i="8"/>
  <c r="AV99" i="8"/>
  <c r="AV100" i="8"/>
  <c r="AV101" i="8"/>
  <c r="AV102" i="8"/>
  <c r="AV103" i="8"/>
  <c r="AV46" i="8"/>
  <c r="AV47" i="8"/>
  <c r="AV48" i="8"/>
  <c r="AV49" i="8"/>
  <c r="AV50" i="8"/>
  <c r="AV51" i="8"/>
  <c r="AV52" i="8"/>
  <c r="AV53" i="8"/>
  <c r="AV54" i="8"/>
  <c r="AV55" i="8"/>
  <c r="AV56" i="8"/>
  <c r="AV57" i="8"/>
  <c r="AV58" i="8"/>
  <c r="AV59" i="8"/>
  <c r="AV60" i="8"/>
  <c r="AV61" i="8"/>
  <c r="AV62" i="8"/>
  <c r="AV63" i="8"/>
  <c r="AV64" i="8"/>
  <c r="AV65" i="8"/>
  <c r="AV66" i="8"/>
  <c r="AV67" i="8"/>
  <c r="AV68" i="8"/>
  <c r="AV69" i="8"/>
  <c r="AV70" i="8"/>
  <c r="AV71" i="8"/>
  <c r="AV72" i="8"/>
  <c r="AV73" i="8"/>
  <c r="AV74" i="8"/>
  <c r="AV75" i="8"/>
  <c r="AV76" i="8"/>
  <c r="AI5" i="8"/>
  <c r="AV5" i="8"/>
  <c r="AD5" i="8"/>
  <c r="AC5" i="8"/>
  <c r="CY5" i="8"/>
  <c r="Z5" i="8"/>
  <c r="U5" i="8"/>
  <c r="T5" i="8"/>
  <c r="AV6" i="8"/>
  <c r="U6" i="8"/>
  <c r="CY6" i="8"/>
  <c r="T6" i="8"/>
  <c r="AC6" i="8"/>
  <c r="AI6" i="8"/>
  <c r="AD6" i="8"/>
  <c r="Z6" i="8"/>
  <c r="AD7" i="8"/>
  <c r="AI7" i="8"/>
  <c r="AV7" i="8"/>
  <c r="CY7" i="8"/>
  <c r="AC7" i="8"/>
  <c r="T7" i="8"/>
  <c r="U7" i="8"/>
  <c r="Z7" i="8"/>
  <c r="AI8" i="8"/>
  <c r="CY8" i="8"/>
  <c r="AV8" i="8"/>
  <c r="AC8" i="8"/>
  <c r="T8" i="8"/>
  <c r="AD8" i="8"/>
  <c r="Z8" i="8"/>
  <c r="U8" i="8"/>
  <c r="CY9" i="8"/>
  <c r="AC9" i="8"/>
  <c r="AI9" i="8"/>
  <c r="T9" i="8"/>
  <c r="U9" i="8"/>
  <c r="AD9" i="8"/>
  <c r="Z9" i="8"/>
  <c r="AV9" i="8"/>
  <c r="AD10" i="8"/>
  <c r="AI10" i="8"/>
  <c r="AV10" i="8"/>
  <c r="U10" i="8"/>
  <c r="Z10" i="8"/>
  <c r="T10" i="8"/>
  <c r="AC10" i="8"/>
  <c r="CY10" i="8"/>
  <c r="AI11" i="8"/>
  <c r="AD11" i="8"/>
  <c r="T11" i="8"/>
  <c r="Z11" i="8"/>
  <c r="AC11" i="8"/>
  <c r="CY11" i="8"/>
  <c r="AV11" i="8"/>
  <c r="U11" i="8"/>
  <c r="AI12" i="8"/>
  <c r="AD12" i="8"/>
  <c r="T12" i="8"/>
  <c r="AC12" i="8"/>
  <c r="AV12" i="8"/>
  <c r="CY12" i="8"/>
  <c r="Z12" i="8"/>
  <c r="U12" i="8"/>
  <c r="AV13" i="8"/>
  <c r="Z13" i="8"/>
  <c r="AI13" i="8"/>
  <c r="T13" i="8"/>
  <c r="U13" i="8"/>
  <c r="CY13" i="8"/>
  <c r="AC13" i="8"/>
  <c r="AD13" i="8"/>
  <c r="AI14" i="8"/>
  <c r="U14" i="8"/>
  <c r="CY14" i="8"/>
  <c r="AV14" i="8"/>
  <c r="AC14" i="8"/>
  <c r="T14" i="8"/>
  <c r="Z14" i="8"/>
  <c r="AD14" i="8"/>
  <c r="Z15" i="8"/>
  <c r="AI15" i="8"/>
  <c r="U15" i="8"/>
  <c r="AV15" i="8"/>
  <c r="T15" i="8"/>
  <c r="AC15" i="8"/>
  <c r="AD15" i="8"/>
  <c r="CY15" i="8"/>
  <c r="AI16" i="8"/>
  <c r="T16" i="8"/>
  <c r="AD16" i="8"/>
  <c r="Z16" i="8"/>
  <c r="U16" i="8"/>
  <c r="AV16" i="8"/>
  <c r="AC16" i="8"/>
  <c r="CY16" i="8"/>
  <c r="AI17" i="8"/>
  <c r="AV17" i="8"/>
  <c r="AD17" i="8"/>
  <c r="Z17" i="8"/>
  <c r="CY17" i="8"/>
  <c r="AC17" i="8"/>
  <c r="U17" i="8"/>
  <c r="T17" i="8"/>
  <c r="CY18" i="8"/>
  <c r="AV18" i="8"/>
  <c r="AI18" i="8"/>
  <c r="T18" i="8"/>
  <c r="AC18" i="8"/>
  <c r="Z18" i="8"/>
  <c r="U18" i="8"/>
  <c r="AD18" i="8"/>
  <c r="AV19" i="8"/>
  <c r="AI19" i="8"/>
  <c r="T19" i="8"/>
  <c r="Z19" i="8"/>
  <c r="U19" i="8"/>
  <c r="AD19" i="8"/>
  <c r="AC19" i="8"/>
  <c r="CY19" i="8"/>
  <c r="AV20" i="8"/>
  <c r="AC20" i="8"/>
  <c r="CY20" i="8"/>
  <c r="U20" i="8"/>
  <c r="Z20" i="8"/>
  <c r="AD20" i="8"/>
  <c r="AI20" i="8"/>
  <c r="T20" i="8"/>
  <c r="CY21" i="8"/>
  <c r="AD21" i="8"/>
  <c r="U21" i="8"/>
  <c r="AV21" i="8"/>
  <c r="Z21" i="8"/>
  <c r="T21" i="8"/>
  <c r="AC21" i="8"/>
  <c r="AI21" i="8"/>
  <c r="AC22" i="8"/>
  <c r="AD22" i="8"/>
  <c r="U22" i="8"/>
  <c r="CY22" i="8"/>
  <c r="AI22" i="8"/>
  <c r="T22" i="8"/>
  <c r="AV22" i="8"/>
  <c r="Z22" i="8"/>
  <c r="AD23" i="8"/>
  <c r="U23" i="8"/>
  <c r="CY23" i="8"/>
  <c r="AV23" i="8"/>
  <c r="Z23" i="8"/>
  <c r="AI23" i="8"/>
  <c r="AC23" i="8"/>
  <c r="T23" i="8"/>
  <c r="Z24" i="8"/>
  <c r="AC24" i="8"/>
  <c r="CY24" i="8"/>
  <c r="T24" i="8"/>
  <c r="U24" i="8"/>
  <c r="AD24" i="8"/>
  <c r="AV24" i="8"/>
  <c r="AI24" i="8"/>
  <c r="Z25" i="8"/>
  <c r="AD25" i="8"/>
  <c r="AV25" i="8"/>
  <c r="CY25" i="8"/>
  <c r="T25" i="8"/>
  <c r="AC25" i="8"/>
  <c r="U25" i="8"/>
  <c r="AI25" i="8"/>
  <c r="T26" i="8"/>
  <c r="CY26" i="8"/>
  <c r="AI26" i="8"/>
  <c r="AV26" i="8"/>
  <c r="U26" i="8"/>
  <c r="AC26" i="8"/>
  <c r="AD26" i="8"/>
  <c r="Z26" i="8"/>
  <c r="Z27" i="8"/>
  <c r="AD27" i="8"/>
  <c r="T27" i="8"/>
  <c r="AC27" i="8"/>
  <c r="AI27" i="8"/>
  <c r="AV27" i="8"/>
  <c r="U27" i="8"/>
  <c r="CY27" i="8"/>
  <c r="AC28" i="8"/>
  <c r="Z28" i="8"/>
  <c r="AD28" i="8"/>
  <c r="U28" i="8"/>
  <c r="AI28" i="8"/>
  <c r="T28" i="8"/>
  <c r="AV28" i="8"/>
  <c r="CY28" i="8"/>
  <c r="AV29" i="8"/>
  <c r="Z29" i="8"/>
  <c r="AC29" i="8"/>
  <c r="T29" i="8"/>
  <c r="U29" i="8"/>
  <c r="AI29" i="8"/>
  <c r="AD29" i="8"/>
  <c r="CY29" i="8"/>
  <c r="Z30" i="8"/>
  <c r="AC30" i="8"/>
  <c r="AD30" i="8"/>
  <c r="AI30" i="8"/>
  <c r="U30" i="8"/>
  <c r="T30" i="8"/>
  <c r="AV30" i="8"/>
  <c r="CY30" i="8"/>
  <c r="T31" i="8"/>
  <c r="Z31" i="8"/>
  <c r="AI31" i="8"/>
  <c r="U31" i="8"/>
  <c r="AC31" i="8"/>
  <c r="AV31" i="8"/>
  <c r="AD31" i="8"/>
  <c r="CY31" i="8"/>
  <c r="AC32" i="8"/>
  <c r="AI32" i="8"/>
  <c r="AD32" i="8"/>
  <c r="Z32" i="8"/>
  <c r="AV32" i="8"/>
  <c r="T32" i="8"/>
  <c r="U32" i="8"/>
  <c r="CY32" i="8"/>
  <c r="R221" i="22"/>
  <c r="V221" i="22"/>
  <c r="R222" i="22"/>
  <c r="V222" i="22"/>
  <c r="V223" i="22"/>
  <c r="R223" i="22"/>
  <c r="V224" i="22"/>
  <c r="Q224" i="22"/>
  <c r="R224" i="22"/>
  <c r="V225" i="22"/>
  <c r="R225" i="22"/>
  <c r="Q225" i="22"/>
  <c r="Q226" i="22"/>
  <c r="R226" i="22"/>
  <c r="V226" i="22"/>
  <c r="R227" i="22"/>
  <c r="V227" i="22"/>
  <c r="Q227" i="22"/>
  <c r="Q228" i="22"/>
  <c r="R228" i="22"/>
  <c r="V228" i="22"/>
  <c r="R229" i="22"/>
  <c r="Q229" i="22"/>
  <c r="V229" i="22"/>
  <c r="R230" i="22"/>
  <c r="Q230" i="22"/>
  <c r="V230" i="22"/>
  <c r="R231" i="22"/>
  <c r="V231" i="22"/>
  <c r="Q231" i="22"/>
  <c r="Q232" i="22"/>
  <c r="V232" i="22"/>
  <c r="R232" i="22"/>
  <c r="V233" i="22"/>
  <c r="R233" i="22"/>
  <c r="Q233" i="22"/>
  <c r="V234" i="22"/>
  <c r="R234" i="22"/>
  <c r="Q234" i="22"/>
  <c r="V235" i="22"/>
  <c r="Q235" i="22"/>
  <c r="R235" i="22"/>
  <c r="V236" i="22"/>
  <c r="Q236" i="22"/>
  <c r="R236" i="22"/>
  <c r="Q237" i="22"/>
  <c r="R237" i="22"/>
  <c r="V237" i="22"/>
  <c r="Q238" i="22"/>
  <c r="R238" i="22"/>
  <c r="V238" i="22"/>
  <c r="Q239" i="22"/>
  <c r="V239" i="22"/>
  <c r="R239" i="22"/>
  <c r="Q240" i="22"/>
  <c r="R240" i="22"/>
  <c r="V240" i="22"/>
  <c r="Q241" i="22"/>
  <c r="V241" i="22"/>
  <c r="R241" i="22"/>
  <c r="Q242" i="22"/>
  <c r="V242" i="22"/>
  <c r="R242" i="22"/>
  <c r="Q243" i="22"/>
  <c r="R243" i="22"/>
  <c r="V243" i="22"/>
  <c r="Q244" i="22"/>
  <c r="R244" i="22"/>
  <c r="V244" i="22"/>
  <c r="R245" i="22"/>
  <c r="V245" i="22"/>
  <c r="V246" i="22"/>
  <c r="R246" i="22"/>
  <c r="R247" i="22"/>
  <c r="V247" i="22"/>
  <c r="R248" i="22"/>
  <c r="V248" i="22"/>
  <c r="R249" i="22"/>
  <c r="V249" i="22"/>
  <c r="R250" i="22"/>
  <c r="V250" i="22"/>
  <c r="V251" i="22"/>
  <c r="R251" i="22"/>
  <c r="V252" i="22"/>
  <c r="R252" i="22"/>
  <c r="V253" i="22"/>
  <c r="R253" i="22"/>
  <c r="V254" i="22"/>
  <c r="R254" i="22"/>
  <c r="R255" i="22"/>
  <c r="V255" i="22"/>
  <c r="R256" i="22"/>
  <c r="V256" i="22"/>
  <c r="R257" i="22"/>
  <c r="V257" i="22"/>
  <c r="R258" i="22"/>
  <c r="V258" i="22"/>
  <c r="R259" i="22"/>
  <c r="V259" i="22"/>
  <c r="V260" i="22"/>
  <c r="R260" i="22"/>
  <c r="R261" i="22"/>
  <c r="V261" i="22"/>
  <c r="R262" i="22"/>
  <c r="V262" i="22"/>
  <c r="R263" i="22"/>
  <c r="V263" i="22"/>
  <c r="R264" i="22"/>
  <c r="V264" i="22"/>
  <c r="V265" i="22"/>
  <c r="R265" i="22"/>
  <c r="R266" i="22"/>
  <c r="V266" i="22"/>
  <c r="V267" i="22"/>
  <c r="R267" i="22"/>
  <c r="V268" i="22"/>
  <c r="R268" i="22"/>
  <c r="V269" i="22"/>
  <c r="R269" i="22"/>
  <c r="R270" i="22"/>
  <c r="V270" i="22"/>
  <c r="V271" i="22"/>
  <c r="R271" i="22"/>
  <c r="V272" i="22"/>
  <c r="R272" i="22"/>
  <c r="R273" i="22"/>
  <c r="V273" i="22"/>
  <c r="V274" i="22"/>
  <c r="R274" i="22"/>
  <c r="V275" i="22"/>
  <c r="R275" i="22"/>
  <c r="V276" i="22"/>
  <c r="R276" i="22"/>
  <c r="R277" i="22"/>
  <c r="V277" i="22"/>
  <c r="V278" i="22"/>
  <c r="R278" i="22"/>
  <c r="V279" i="22"/>
  <c r="R279" i="22"/>
  <c r="V280" i="22"/>
  <c r="R280" i="22"/>
  <c r="V281" i="22"/>
  <c r="R281" i="22"/>
  <c r="R286" i="22"/>
  <c r="V286" i="22"/>
  <c r="R292" i="22"/>
  <c r="V292" i="22"/>
  <c r="V293" i="22"/>
  <c r="R293" i="22"/>
  <c r="R294" i="22"/>
  <c r="V294" i="22"/>
  <c r="C388" i="22"/>
  <c r="P388" i="22"/>
  <c r="Z388" i="22" s="1"/>
  <c r="S388" i="22"/>
  <c r="G388" i="22"/>
  <c r="D388" i="22"/>
  <c r="H388" i="22"/>
  <c r="I388" i="22"/>
  <c r="A388" i="22"/>
  <c r="AD388" i="22"/>
  <c r="K388" i="22"/>
  <c r="L388" i="22"/>
  <c r="E388" i="22"/>
  <c r="M388" i="22"/>
  <c r="W388" i="22" s="1"/>
  <c r="N388" i="22"/>
  <c r="X388" i="22" s="1"/>
  <c r="U388" i="22"/>
  <c r="O388" i="22"/>
  <c r="Y388" i="22" s="1"/>
  <c r="F388" i="22"/>
  <c r="J388" i="22"/>
  <c r="T388" i="22"/>
  <c r="S389" i="22"/>
  <c r="T389" i="22"/>
  <c r="K389" i="22"/>
  <c r="D389" i="22"/>
  <c r="O389" i="22"/>
  <c r="Y389" i="22" s="1"/>
  <c r="L389" i="22"/>
  <c r="E389" i="22"/>
  <c r="AD389" i="22"/>
  <c r="M389" i="22"/>
  <c r="W389" i="22" s="1"/>
  <c r="J389" i="22"/>
  <c r="U389" i="22"/>
  <c r="N389" i="22"/>
  <c r="X389" i="22" s="1"/>
  <c r="F389" i="22"/>
  <c r="I389" i="22"/>
  <c r="H389" i="22"/>
  <c r="P389" i="22"/>
  <c r="Z389" i="22" s="1"/>
  <c r="G389" i="22"/>
  <c r="A389" i="22"/>
  <c r="C389" i="22"/>
  <c r="J390" i="22"/>
  <c r="U390" i="22"/>
  <c r="D390" i="22"/>
  <c r="O390" i="22"/>
  <c r="Y390" i="22" s="1"/>
  <c r="AD390" i="22"/>
  <c r="F390" i="22"/>
  <c r="C390" i="22"/>
  <c r="M390" i="22"/>
  <c r="W390" i="22" s="1"/>
  <c r="A390" i="22"/>
  <c r="I390" i="22"/>
  <c r="T390" i="22"/>
  <c r="G390" i="22"/>
  <c r="L390" i="22"/>
  <c r="E390" i="22"/>
  <c r="P390" i="22"/>
  <c r="Z390" i="22" s="1"/>
  <c r="S390" i="22"/>
  <c r="K390" i="22"/>
  <c r="H390" i="22"/>
  <c r="N390" i="22"/>
  <c r="X390" i="22" s="1"/>
  <c r="D391" i="22"/>
  <c r="I391" i="22"/>
  <c r="M391" i="22"/>
  <c r="W391" i="22" s="1"/>
  <c r="L391" i="22"/>
  <c r="F391" i="22"/>
  <c r="AD391" i="22"/>
  <c r="E391" i="22"/>
  <c r="U391" i="22"/>
  <c r="O391" i="22"/>
  <c r="Y391" i="22" s="1"/>
  <c r="N391" i="22"/>
  <c r="X391" i="22" s="1"/>
  <c r="P391" i="22"/>
  <c r="Z391" i="22" s="1"/>
  <c r="K391" i="22"/>
  <c r="T391" i="22"/>
  <c r="A391" i="22"/>
  <c r="S391" i="22"/>
  <c r="H391" i="22"/>
  <c r="J391" i="22"/>
  <c r="C391" i="22"/>
  <c r="G391" i="22"/>
  <c r="N392" i="22"/>
  <c r="X392" i="22" s="1"/>
  <c r="T392" i="22"/>
  <c r="C392" i="22"/>
  <c r="S392" i="22"/>
  <c r="D392" i="22"/>
  <c r="E392" i="22"/>
  <c r="AD392" i="22"/>
  <c r="A392" i="22"/>
  <c r="K392" i="22"/>
  <c r="P392" i="22"/>
  <c r="Z392" i="22" s="1"/>
  <c r="J392" i="22"/>
  <c r="G392" i="22"/>
  <c r="H392" i="22"/>
  <c r="L392" i="22"/>
  <c r="M392" i="22"/>
  <c r="W392" i="22" s="1"/>
  <c r="U392" i="22"/>
  <c r="I392" i="22"/>
  <c r="O392" i="22"/>
  <c r="Y392" i="22" s="1"/>
  <c r="F392" i="22"/>
  <c r="P393" i="22"/>
  <c r="Z393" i="22" s="1"/>
  <c r="N393" i="22"/>
  <c r="X393" i="22" s="1"/>
  <c r="T393" i="22"/>
  <c r="L393" i="22"/>
  <c r="H393" i="22"/>
  <c r="E393" i="22"/>
  <c r="O393" i="22"/>
  <c r="Y393" i="22" s="1"/>
  <c r="A393" i="22"/>
  <c r="F393" i="22"/>
  <c r="D393" i="22"/>
  <c r="K393" i="22"/>
  <c r="J393" i="22"/>
  <c r="I393" i="22"/>
  <c r="U393" i="22"/>
  <c r="C393" i="22"/>
  <c r="G393" i="22"/>
  <c r="AD393" i="22"/>
  <c r="S393" i="22"/>
  <c r="M393" i="22"/>
  <c r="W393" i="22" s="1"/>
  <c r="G394" i="22"/>
  <c r="D394" i="22"/>
  <c r="L394" i="22"/>
  <c r="J394" i="22"/>
  <c r="AD394" i="22"/>
  <c r="P394" i="22"/>
  <c r="Z394" i="22" s="1"/>
  <c r="A394" i="22"/>
  <c r="E394" i="22"/>
  <c r="O394" i="22"/>
  <c r="Y394" i="22" s="1"/>
  <c r="K394" i="22"/>
  <c r="T394" i="22"/>
  <c r="M394" i="22"/>
  <c r="W394" i="22" s="1"/>
  <c r="N394" i="22"/>
  <c r="X394" i="22" s="1"/>
  <c r="C394" i="22"/>
  <c r="U394" i="22"/>
  <c r="F394" i="22"/>
  <c r="I394" i="22"/>
  <c r="H394" i="22"/>
  <c r="S394" i="22"/>
  <c r="AD395" i="22"/>
  <c r="A395" i="22"/>
  <c r="H395" i="22"/>
  <c r="J395" i="22"/>
  <c r="O395" i="22"/>
  <c r="Y395" i="22" s="1"/>
  <c r="U395" i="22"/>
  <c r="E395" i="22"/>
  <c r="I395" i="22"/>
  <c r="N395" i="22"/>
  <c r="X395" i="22" s="1"/>
  <c r="T395" i="22"/>
  <c r="C395" i="22"/>
  <c r="F395" i="22"/>
  <c r="P395" i="22"/>
  <c r="Z395" i="22" s="1"/>
  <c r="L395" i="22"/>
  <c r="M395" i="22"/>
  <c r="W395" i="22" s="1"/>
  <c r="D395" i="22"/>
  <c r="G395" i="22"/>
  <c r="K395" i="22"/>
  <c r="S395" i="22"/>
  <c r="D396" i="22"/>
  <c r="E396" i="22"/>
  <c r="C396" i="22"/>
  <c r="O396" i="22"/>
  <c r="Y396" i="22" s="1"/>
  <c r="K396" i="22"/>
  <c r="H396" i="22"/>
  <c r="L396" i="22"/>
  <c r="J396" i="22"/>
  <c r="AD396" i="22"/>
  <c r="M396" i="22"/>
  <c r="W396" i="22" s="1"/>
  <c r="A396" i="22"/>
  <c r="I396" i="22"/>
  <c r="U396" i="22"/>
  <c r="N396" i="22"/>
  <c r="X396" i="22" s="1"/>
  <c r="G396" i="22"/>
  <c r="P396" i="22"/>
  <c r="Z396" i="22" s="1"/>
  <c r="F396" i="22"/>
  <c r="T396" i="22"/>
  <c r="S396" i="22"/>
  <c r="I397" i="22"/>
  <c r="H397" i="22"/>
  <c r="J397" i="22"/>
  <c r="K397" i="22"/>
  <c r="S397" i="22"/>
  <c r="N397" i="22"/>
  <c r="X397" i="22" s="1"/>
  <c r="E397" i="22"/>
  <c r="T397" i="22"/>
  <c r="U397" i="22"/>
  <c r="C397" i="22"/>
  <c r="L397" i="22"/>
  <c r="G397" i="22"/>
  <c r="F397" i="22"/>
  <c r="M397" i="22"/>
  <c r="W397" i="22" s="1"/>
  <c r="O397" i="22"/>
  <c r="Y397" i="22" s="1"/>
  <c r="P397" i="22"/>
  <c r="Z397" i="22" s="1"/>
  <c r="A397" i="22"/>
  <c r="AD397" i="22"/>
  <c r="D397" i="22"/>
  <c r="A398" i="22"/>
  <c r="L398" i="22"/>
  <c r="AD398" i="22"/>
  <c r="H398" i="22"/>
  <c r="E398" i="22"/>
  <c r="U398" i="22"/>
  <c r="C398" i="22"/>
  <c r="O398" i="22"/>
  <c r="Y398" i="22" s="1"/>
  <c r="T398" i="22"/>
  <c r="P398" i="22"/>
  <c r="Z398" i="22" s="1"/>
  <c r="G398" i="22"/>
  <c r="K398" i="22"/>
  <c r="N398" i="22"/>
  <c r="X398" i="22" s="1"/>
  <c r="D398" i="22"/>
  <c r="F398" i="22"/>
  <c r="M398" i="22"/>
  <c r="W398" i="22" s="1"/>
  <c r="J398" i="22"/>
  <c r="I398" i="22"/>
  <c r="S398" i="22"/>
  <c r="E399" i="22"/>
  <c r="S399" i="22"/>
  <c r="D399" i="22"/>
  <c r="N399" i="22"/>
  <c r="X399" i="22" s="1"/>
  <c r="U399" i="22"/>
  <c r="M399" i="22"/>
  <c r="W399" i="22" s="1"/>
  <c r="H399" i="22"/>
  <c r="L399" i="22"/>
  <c r="AD399" i="22"/>
  <c r="F399" i="22"/>
  <c r="P399" i="22"/>
  <c r="Z399" i="22" s="1"/>
  <c r="A399" i="22"/>
  <c r="I399" i="22"/>
  <c r="K399" i="22"/>
  <c r="G399" i="22"/>
  <c r="O399" i="22"/>
  <c r="Y399" i="22" s="1"/>
  <c r="J399" i="22"/>
  <c r="T399" i="22"/>
  <c r="C399" i="22"/>
  <c r="A400" i="22"/>
  <c r="O400" i="22"/>
  <c r="Y400" i="22" s="1"/>
  <c r="D400" i="22"/>
  <c r="U400" i="22"/>
  <c r="G400" i="22"/>
  <c r="AD400" i="22"/>
  <c r="P400" i="22"/>
  <c r="Z400" i="22" s="1"/>
  <c r="M400" i="22"/>
  <c r="W400" i="22" s="1"/>
  <c r="I400" i="22"/>
  <c r="T400" i="22"/>
  <c r="E400" i="22"/>
  <c r="S400" i="22"/>
  <c r="J400" i="22"/>
  <c r="F400" i="22"/>
  <c r="H400" i="22"/>
  <c r="L400" i="22"/>
  <c r="K400" i="22"/>
  <c r="N400" i="22"/>
  <c r="X400" i="22" s="1"/>
  <c r="C400" i="22"/>
  <c r="U401" i="22"/>
  <c r="G401" i="22"/>
  <c r="C401" i="22"/>
  <c r="F401" i="22"/>
  <c r="T401" i="22"/>
  <c r="H401" i="22"/>
  <c r="AD401" i="22"/>
  <c r="M401" i="22"/>
  <c r="W401" i="22" s="1"/>
  <c r="J401" i="22"/>
  <c r="S401" i="22"/>
  <c r="E401" i="22"/>
  <c r="N401" i="22"/>
  <c r="X401" i="22" s="1"/>
  <c r="I401" i="22"/>
  <c r="D401" i="22"/>
  <c r="K401" i="22"/>
  <c r="P401" i="22"/>
  <c r="Z401" i="22" s="1"/>
  <c r="O401" i="22"/>
  <c r="Y401" i="22" s="1"/>
  <c r="A401" i="22"/>
  <c r="L401" i="22"/>
  <c r="U402" i="22"/>
  <c r="O402" i="22"/>
  <c r="Y402" i="22" s="1"/>
  <c r="G402" i="22"/>
  <c r="T402" i="22"/>
  <c r="H402" i="22"/>
  <c r="F402" i="22"/>
  <c r="J402" i="22"/>
  <c r="M402" i="22"/>
  <c r="W402" i="22" s="1"/>
  <c r="N402" i="22"/>
  <c r="X402" i="22" s="1"/>
  <c r="A402" i="22"/>
  <c r="I402" i="22"/>
  <c r="S402" i="22"/>
  <c r="L402" i="22"/>
  <c r="AD402" i="22"/>
  <c r="E402" i="22"/>
  <c r="K402" i="22"/>
  <c r="P402" i="22"/>
  <c r="Z402" i="22" s="1"/>
  <c r="C402" i="22"/>
  <c r="D402" i="22"/>
  <c r="C403" i="22"/>
  <c r="U403" i="22"/>
  <c r="A403" i="22"/>
  <c r="I403" i="22"/>
  <c r="S403" i="22"/>
  <c r="F403" i="22"/>
  <c r="AD403" i="22"/>
  <c r="M403" i="22"/>
  <c r="W403" i="22" s="1"/>
  <c r="N403" i="22"/>
  <c r="X403" i="22" s="1"/>
  <c r="L403" i="22"/>
  <c r="J403" i="22"/>
  <c r="T403" i="22"/>
  <c r="O403" i="22"/>
  <c r="Y403" i="22" s="1"/>
  <c r="E403" i="22"/>
  <c r="K403" i="22"/>
  <c r="P403" i="22"/>
  <c r="Z403" i="22" s="1"/>
  <c r="G403" i="22"/>
  <c r="H403" i="22"/>
  <c r="D403" i="22"/>
  <c r="S404" i="22"/>
  <c r="I404" i="22"/>
  <c r="O404" i="22"/>
  <c r="Y404" i="22" s="1"/>
  <c r="E404" i="22"/>
  <c r="C404" i="22"/>
  <c r="G404" i="22"/>
  <c r="L404" i="22"/>
  <c r="M404" i="22"/>
  <c r="W404" i="22" s="1"/>
  <c r="J404" i="22"/>
  <c r="A404" i="22"/>
  <c r="T404" i="22"/>
  <c r="K404" i="22"/>
  <c r="H404" i="22"/>
  <c r="F404" i="22"/>
  <c r="P404" i="22"/>
  <c r="Z404" i="22" s="1"/>
  <c r="N404" i="22"/>
  <c r="X404" i="22" s="1"/>
  <c r="AD404" i="22"/>
  <c r="U404" i="22"/>
  <c r="D404" i="22"/>
  <c r="J405" i="22"/>
  <c r="I405" i="22"/>
  <c r="G405" i="22"/>
  <c r="K405" i="22"/>
  <c r="C405" i="22"/>
  <c r="D405" i="22"/>
  <c r="T405" i="22"/>
  <c r="P405" i="22"/>
  <c r="Z405" i="22" s="1"/>
  <c r="AD405" i="22"/>
  <c r="U405" i="22"/>
  <c r="N405" i="22"/>
  <c r="X405" i="22" s="1"/>
  <c r="E405" i="22"/>
  <c r="F405" i="22"/>
  <c r="H405" i="22"/>
  <c r="M405" i="22"/>
  <c r="W405" i="22" s="1"/>
  <c r="A405" i="22"/>
  <c r="O405" i="22"/>
  <c r="Y405" i="22" s="1"/>
  <c r="S405" i="22"/>
  <c r="L405" i="22"/>
  <c r="D406" i="22"/>
  <c r="I406" i="22"/>
  <c r="G406" i="22"/>
  <c r="N406" i="22"/>
  <c r="X406" i="22" s="1"/>
  <c r="F406" i="22"/>
  <c r="J406" i="22"/>
  <c r="M406" i="22"/>
  <c r="W406" i="22" s="1"/>
  <c r="E406" i="22"/>
  <c r="AD406" i="22"/>
  <c r="H406" i="22"/>
  <c r="S406" i="22"/>
  <c r="K406" i="22"/>
  <c r="A406" i="22"/>
  <c r="P406" i="22"/>
  <c r="Z406" i="22" s="1"/>
  <c r="O406" i="22"/>
  <c r="Y406" i="22" s="1"/>
  <c r="U406" i="22"/>
  <c r="T406" i="22"/>
  <c r="C406" i="22"/>
  <c r="L406" i="22"/>
  <c r="I407" i="22"/>
  <c r="K407" i="22"/>
  <c r="J407" i="22"/>
  <c r="G407" i="22"/>
  <c r="M407" i="22"/>
  <c r="W407" i="22" s="1"/>
  <c r="P407" i="22"/>
  <c r="Z407" i="22" s="1"/>
  <c r="O407" i="22"/>
  <c r="Y407" i="22" s="1"/>
  <c r="L407" i="22"/>
  <c r="C407" i="22"/>
  <c r="N407" i="22"/>
  <c r="X407" i="22" s="1"/>
  <c r="E407" i="22"/>
  <c r="S407" i="22"/>
  <c r="F407" i="22"/>
  <c r="T407" i="22"/>
  <c r="H407" i="22"/>
  <c r="A407" i="22"/>
  <c r="U407" i="22"/>
  <c r="AD407" i="22"/>
  <c r="D407" i="22"/>
  <c r="F408" i="22"/>
  <c r="H408" i="22"/>
  <c r="G408" i="22"/>
  <c r="N408" i="22"/>
  <c r="X408" i="22" s="1"/>
  <c r="P408" i="22"/>
  <c r="Z408" i="22" s="1"/>
  <c r="T408" i="22"/>
  <c r="C408" i="22"/>
  <c r="U408" i="22"/>
  <c r="L408" i="22"/>
  <c r="O408" i="22"/>
  <c r="Y408" i="22" s="1"/>
  <c r="S408" i="22"/>
  <c r="AD408" i="22"/>
  <c r="A408" i="22"/>
  <c r="M408" i="22"/>
  <c r="W408" i="22" s="1"/>
  <c r="J408" i="22"/>
  <c r="K408" i="22"/>
  <c r="I408" i="22"/>
  <c r="E408" i="22"/>
  <c r="D408" i="22"/>
  <c r="U409" i="22"/>
  <c r="P409" i="22"/>
  <c r="Z409" i="22" s="1"/>
  <c r="S409" i="22"/>
  <c r="M409" i="22"/>
  <c r="W409" i="22" s="1"/>
  <c r="AD409" i="22"/>
  <c r="F409" i="22"/>
  <c r="E409" i="22"/>
  <c r="G409" i="22"/>
  <c r="T409" i="22"/>
  <c r="L409" i="22"/>
  <c r="N409" i="22"/>
  <c r="X409" i="22" s="1"/>
  <c r="K409" i="22"/>
  <c r="I409" i="22"/>
  <c r="A409" i="22"/>
  <c r="H409" i="22"/>
  <c r="J409" i="22"/>
  <c r="O409" i="22"/>
  <c r="Y409" i="22" s="1"/>
  <c r="C409" i="22"/>
  <c r="D409" i="22"/>
  <c r="E410" i="22"/>
  <c r="C410" i="22"/>
  <c r="J410" i="22"/>
  <c r="K410" i="22"/>
  <c r="L410" i="22"/>
  <c r="M410" i="22"/>
  <c r="W410" i="22" s="1"/>
  <c r="N410" i="22"/>
  <c r="X410" i="22" s="1"/>
  <c r="O410" i="22"/>
  <c r="Y410" i="22" s="1"/>
  <c r="P410" i="22"/>
  <c r="Z410" i="22" s="1"/>
  <c r="AD410" i="22"/>
  <c r="S410" i="22"/>
  <c r="T410" i="22"/>
  <c r="U410" i="22"/>
  <c r="A410" i="22"/>
  <c r="F410" i="22"/>
  <c r="I410" i="22"/>
  <c r="H410" i="22"/>
  <c r="G410" i="22"/>
  <c r="D410" i="22"/>
  <c r="AD411" i="22"/>
  <c r="S411" i="22"/>
  <c r="F411" i="22"/>
  <c r="A411" i="22"/>
  <c r="K411" i="22"/>
  <c r="E411" i="22"/>
  <c r="O411" i="22"/>
  <c r="Y411" i="22" s="1"/>
  <c r="D411" i="22"/>
  <c r="I411" i="22"/>
  <c r="G411" i="22"/>
  <c r="T411" i="22"/>
  <c r="M411" i="22"/>
  <c r="W411" i="22" s="1"/>
  <c r="J411" i="22"/>
  <c r="L411" i="22"/>
  <c r="H411" i="22"/>
  <c r="N411" i="22"/>
  <c r="X411" i="22" s="1"/>
  <c r="C411" i="22"/>
  <c r="U411" i="22"/>
  <c r="P411" i="22"/>
  <c r="Z411" i="22" s="1"/>
  <c r="AD412" i="22"/>
  <c r="F412" i="22"/>
  <c r="O412" i="22"/>
  <c r="Y412" i="22" s="1"/>
  <c r="H412" i="22"/>
  <c r="L412" i="22"/>
  <c r="S412" i="22"/>
  <c r="I412" i="22"/>
  <c r="M412" i="22"/>
  <c r="W412" i="22" s="1"/>
  <c r="T412" i="22"/>
  <c r="A412" i="22"/>
  <c r="N412" i="22"/>
  <c r="X412" i="22" s="1"/>
  <c r="D412" i="22"/>
  <c r="C412" i="22"/>
  <c r="K412" i="22"/>
  <c r="E412" i="22"/>
  <c r="P412" i="22"/>
  <c r="Z412" i="22" s="1"/>
  <c r="G412" i="22"/>
  <c r="J412" i="22"/>
  <c r="U412" i="22"/>
  <c r="T413" i="22"/>
  <c r="G413" i="22"/>
  <c r="N413" i="22"/>
  <c r="X413" i="22" s="1"/>
  <c r="P413" i="22"/>
  <c r="Z413" i="22" s="1"/>
  <c r="K413" i="22"/>
  <c r="F413" i="22"/>
  <c r="D413" i="22"/>
  <c r="C413" i="22"/>
  <c r="A413" i="22"/>
  <c r="AD413" i="22"/>
  <c r="O413" i="22"/>
  <c r="Y413" i="22" s="1"/>
  <c r="J413" i="22"/>
  <c r="E413" i="22"/>
  <c r="S413" i="22"/>
  <c r="L413" i="22"/>
  <c r="I413" i="22"/>
  <c r="M413" i="22"/>
  <c r="W413" i="22" s="1"/>
  <c r="H413" i="22"/>
  <c r="U413" i="22"/>
  <c r="F414" i="22"/>
  <c r="O414" i="22"/>
  <c r="Y414" i="22" s="1"/>
  <c r="D414" i="22"/>
  <c r="M414" i="22"/>
  <c r="W414" i="22" s="1"/>
  <c r="J414" i="22"/>
  <c r="C414" i="22"/>
  <c r="G414" i="22"/>
  <c r="T414" i="22"/>
  <c r="H414" i="22"/>
  <c r="I414" i="22"/>
  <c r="L414" i="22"/>
  <c r="S414" i="22"/>
  <c r="E414" i="22"/>
  <c r="AD414" i="22"/>
  <c r="N414" i="22"/>
  <c r="X414" i="22" s="1"/>
  <c r="P414" i="22"/>
  <c r="Z414" i="22" s="1"/>
  <c r="A414" i="22"/>
  <c r="K414" i="22"/>
  <c r="U414" i="22"/>
  <c r="F415" i="22"/>
  <c r="O415" i="22"/>
  <c r="Y415" i="22" s="1"/>
  <c r="T415" i="22"/>
  <c r="D415" i="22"/>
  <c r="S415" i="22"/>
  <c r="K415" i="22"/>
  <c r="U415" i="22"/>
  <c r="E415" i="22"/>
  <c r="P415" i="22"/>
  <c r="Z415" i="22" s="1"/>
  <c r="C415" i="22"/>
  <c r="N415" i="22"/>
  <c r="X415" i="22" s="1"/>
  <c r="J415" i="22"/>
  <c r="A415" i="22"/>
  <c r="G415" i="22"/>
  <c r="M415" i="22"/>
  <c r="W415" i="22" s="1"/>
  <c r="H415" i="22"/>
  <c r="I415" i="22"/>
  <c r="L415" i="22"/>
  <c r="AD415" i="22"/>
  <c r="F416" i="22"/>
  <c r="D416" i="22"/>
  <c r="O416" i="22"/>
  <c r="Y416" i="22" s="1"/>
  <c r="K416" i="22"/>
  <c r="H416" i="22"/>
  <c r="J416" i="22"/>
  <c r="A416" i="22"/>
  <c r="P416" i="22"/>
  <c r="Z416" i="22" s="1"/>
  <c r="C416" i="22"/>
  <c r="T416" i="22"/>
  <c r="L416" i="22"/>
  <c r="G416" i="22"/>
  <c r="I416" i="22"/>
  <c r="N416" i="22"/>
  <c r="X416" i="22" s="1"/>
  <c r="U416" i="22"/>
  <c r="S416" i="22"/>
  <c r="M416" i="22"/>
  <c r="W416" i="22" s="1"/>
  <c r="E416" i="22"/>
  <c r="AD416" i="22"/>
  <c r="A417" i="22"/>
  <c r="L417" i="22"/>
  <c r="U417" i="22"/>
  <c r="I417" i="22"/>
  <c r="S417" i="22"/>
  <c r="H417" i="22"/>
  <c r="T417" i="22"/>
  <c r="M417" i="22"/>
  <c r="W417" i="22" s="1"/>
  <c r="G417" i="22"/>
  <c r="C417" i="22"/>
  <c r="N417" i="22"/>
  <c r="X417" i="22" s="1"/>
  <c r="P417" i="22"/>
  <c r="Z417" i="22" s="1"/>
  <c r="K417" i="22"/>
  <c r="E417" i="22"/>
  <c r="F417" i="22"/>
  <c r="D417" i="22"/>
  <c r="O417" i="22"/>
  <c r="Y417" i="22" s="1"/>
  <c r="AD417" i="22"/>
  <c r="J417" i="22"/>
  <c r="A418" i="22"/>
  <c r="J418" i="22"/>
  <c r="S418" i="22"/>
  <c r="K418" i="22"/>
  <c r="F418" i="22"/>
  <c r="E418" i="22"/>
  <c r="G418" i="22"/>
  <c r="P418" i="22"/>
  <c r="Z418" i="22" s="1"/>
  <c r="U418" i="22"/>
  <c r="D418" i="22"/>
  <c r="T418" i="22"/>
  <c r="M418" i="22"/>
  <c r="W418" i="22" s="1"/>
  <c r="N418" i="22"/>
  <c r="X418" i="22" s="1"/>
  <c r="O418" i="22"/>
  <c r="Y418" i="22" s="1"/>
  <c r="H418" i="22"/>
  <c r="I418" i="22"/>
  <c r="L418" i="22"/>
  <c r="C418" i="22"/>
  <c r="AD418" i="22"/>
  <c r="F419" i="22"/>
  <c r="S419" i="22"/>
  <c r="O419" i="22"/>
  <c r="Y419" i="22" s="1"/>
  <c r="P419" i="22"/>
  <c r="Z419" i="22" s="1"/>
  <c r="G419" i="22"/>
  <c r="N419" i="22"/>
  <c r="X419" i="22" s="1"/>
  <c r="D419" i="22"/>
  <c r="C419" i="22"/>
  <c r="M419" i="22"/>
  <c r="W419" i="22" s="1"/>
  <c r="H419" i="22"/>
  <c r="I419" i="22"/>
  <c r="J419" i="22"/>
  <c r="T419" i="22"/>
  <c r="A419" i="22"/>
  <c r="L419" i="22"/>
  <c r="K419" i="22"/>
  <c r="U419" i="22"/>
  <c r="AD419" i="22"/>
  <c r="E419" i="22"/>
  <c r="F420" i="22"/>
  <c r="H420" i="22"/>
  <c r="P420" i="22"/>
  <c r="Z420" i="22" s="1"/>
  <c r="E420" i="22"/>
  <c r="L420" i="22"/>
  <c r="AD420" i="22"/>
  <c r="K420" i="22"/>
  <c r="D420" i="22"/>
  <c r="C420" i="22"/>
  <c r="S420" i="22"/>
  <c r="O420" i="22"/>
  <c r="Y420" i="22" s="1"/>
  <c r="U420" i="22"/>
  <c r="N420" i="22"/>
  <c r="X420" i="22" s="1"/>
  <c r="T420" i="22"/>
  <c r="G420" i="22"/>
  <c r="I420" i="22"/>
  <c r="J420" i="22"/>
  <c r="A420" i="22"/>
  <c r="M420" i="22"/>
  <c r="W420" i="22" s="1"/>
  <c r="F421" i="22"/>
  <c r="L421" i="22"/>
  <c r="A421" i="22"/>
  <c r="S421" i="22"/>
  <c r="U421" i="22"/>
  <c r="P421" i="22"/>
  <c r="Z421" i="22" s="1"/>
  <c r="I421" i="22"/>
  <c r="T421" i="22"/>
  <c r="D421" i="22"/>
  <c r="N421" i="22"/>
  <c r="X421" i="22" s="1"/>
  <c r="J421" i="22"/>
  <c r="K421" i="22"/>
  <c r="E421" i="22"/>
  <c r="O421" i="22"/>
  <c r="Y421" i="22" s="1"/>
  <c r="H421" i="22"/>
  <c r="M421" i="22"/>
  <c r="W421" i="22" s="1"/>
  <c r="G421" i="22"/>
  <c r="C421" i="22"/>
  <c r="AD421" i="22"/>
  <c r="S422" i="22"/>
  <c r="O422" i="22"/>
  <c r="Y422" i="22" s="1"/>
  <c r="T422" i="22"/>
  <c r="A422" i="22"/>
  <c r="J422" i="22"/>
  <c r="F422" i="22"/>
  <c r="U422" i="22"/>
  <c r="P422" i="22"/>
  <c r="Z422" i="22" s="1"/>
  <c r="N422" i="22"/>
  <c r="X422" i="22" s="1"/>
  <c r="D422" i="22"/>
  <c r="K422" i="22"/>
  <c r="H422" i="22"/>
  <c r="M422" i="22"/>
  <c r="W422" i="22" s="1"/>
  <c r="I422" i="22"/>
  <c r="G422" i="22"/>
  <c r="C422" i="22"/>
  <c r="AD422" i="22"/>
  <c r="E422" i="22"/>
  <c r="L422" i="22"/>
  <c r="F423" i="22"/>
  <c r="S423" i="22"/>
  <c r="A423" i="22"/>
  <c r="L423" i="22"/>
  <c r="T423" i="22"/>
  <c r="AD423" i="22"/>
  <c r="J423" i="22"/>
  <c r="K423" i="22"/>
  <c r="U423" i="22"/>
  <c r="P423" i="22"/>
  <c r="Z423" i="22" s="1"/>
  <c r="G423" i="22"/>
  <c r="O423" i="22"/>
  <c r="Y423" i="22" s="1"/>
  <c r="E423" i="22"/>
  <c r="N423" i="22"/>
  <c r="X423" i="22" s="1"/>
  <c r="I423" i="22"/>
  <c r="D423" i="22"/>
  <c r="C423" i="22"/>
  <c r="M423" i="22"/>
  <c r="W423" i="22" s="1"/>
  <c r="H423" i="22"/>
  <c r="F424" i="22"/>
  <c r="D424" i="22"/>
  <c r="T424" i="22"/>
  <c r="P424" i="22"/>
  <c r="Z424" i="22" s="1"/>
  <c r="N424" i="22"/>
  <c r="X424" i="22" s="1"/>
  <c r="I424" i="22"/>
  <c r="J424" i="22"/>
  <c r="AD424" i="22"/>
  <c r="C424" i="22"/>
  <c r="L424" i="22"/>
  <c r="O424" i="22"/>
  <c r="Y424" i="22" s="1"/>
  <c r="H424" i="22"/>
  <c r="K424" i="22"/>
  <c r="E424" i="22"/>
  <c r="S424" i="22"/>
  <c r="G424" i="22"/>
  <c r="A424" i="22"/>
  <c r="M424" i="22"/>
  <c r="W424" i="22" s="1"/>
  <c r="U424" i="22"/>
  <c r="F425" i="22"/>
  <c r="O425" i="22"/>
  <c r="Y425" i="22" s="1"/>
  <c r="N425" i="22"/>
  <c r="X425" i="22" s="1"/>
  <c r="L425" i="22"/>
  <c r="G425" i="22"/>
  <c r="J425" i="22"/>
  <c r="K425" i="22"/>
  <c r="U425" i="22"/>
  <c r="M425" i="22"/>
  <c r="W425" i="22" s="1"/>
  <c r="C425" i="22"/>
  <c r="A425" i="22"/>
  <c r="P425" i="22"/>
  <c r="Z425" i="22" s="1"/>
  <c r="I425" i="22"/>
  <c r="S425" i="22"/>
  <c r="D425" i="22"/>
  <c r="E425" i="22"/>
  <c r="AD425" i="22"/>
  <c r="H425" i="22"/>
  <c r="T425" i="22"/>
  <c r="M426" i="22"/>
  <c r="W426" i="22" s="1"/>
  <c r="T426" i="22"/>
  <c r="K426" i="22"/>
  <c r="L426" i="22"/>
  <c r="A426" i="22"/>
  <c r="F426" i="22"/>
  <c r="S426" i="22"/>
  <c r="I426" i="22"/>
  <c r="G426" i="22"/>
  <c r="AD426" i="22"/>
  <c r="J426" i="22"/>
  <c r="C426" i="22"/>
  <c r="U426" i="22"/>
  <c r="H426" i="22"/>
  <c r="O426" i="22"/>
  <c r="Y426" i="22" s="1"/>
  <c r="P426" i="22"/>
  <c r="Z426" i="22" s="1"/>
  <c r="E426" i="22"/>
  <c r="D426" i="22"/>
  <c r="N426" i="22"/>
  <c r="X426" i="22" s="1"/>
  <c r="F427" i="22"/>
  <c r="U427" i="22"/>
  <c r="L427" i="22"/>
  <c r="J427" i="22"/>
  <c r="T427" i="22"/>
  <c r="K427" i="22"/>
  <c r="C427" i="22"/>
  <c r="D427" i="22"/>
  <c r="N427" i="22"/>
  <c r="X427" i="22" s="1"/>
  <c r="AD427" i="22"/>
  <c r="M427" i="22"/>
  <c r="W427" i="22" s="1"/>
  <c r="I427" i="22"/>
  <c r="P427" i="22"/>
  <c r="Z427" i="22" s="1"/>
  <c r="G427" i="22"/>
  <c r="S427" i="22"/>
  <c r="A427" i="22"/>
  <c r="E427" i="22"/>
  <c r="O427" i="22"/>
  <c r="Y427" i="22" s="1"/>
  <c r="H427" i="22"/>
  <c r="F428" i="22"/>
  <c r="O428" i="22"/>
  <c r="Y428" i="22" s="1"/>
  <c r="U428" i="22"/>
  <c r="G428" i="22"/>
  <c r="H428" i="22"/>
  <c r="T428" i="22"/>
  <c r="C428" i="22"/>
  <c r="N428" i="22"/>
  <c r="X428" i="22" s="1"/>
  <c r="S428" i="22"/>
  <c r="P428" i="22"/>
  <c r="Z428" i="22" s="1"/>
  <c r="J428" i="22"/>
  <c r="A428" i="22"/>
  <c r="D428" i="22"/>
  <c r="K428" i="22"/>
  <c r="M428" i="22"/>
  <c r="W428" i="22" s="1"/>
  <c r="AD428" i="22"/>
  <c r="I428" i="22"/>
  <c r="E428" i="22"/>
  <c r="L428" i="22"/>
  <c r="D429" i="22"/>
  <c r="I429" i="22"/>
  <c r="G429" i="22"/>
  <c r="C429" i="22"/>
  <c r="S429" i="22"/>
  <c r="AD429" i="22"/>
  <c r="T429" i="22"/>
  <c r="E429" i="22"/>
  <c r="U429" i="22"/>
  <c r="J429" i="22"/>
  <c r="F429" i="22"/>
  <c r="A429" i="22" s="1"/>
  <c r="H429" i="22"/>
  <c r="S430" i="22"/>
  <c r="H430" i="22"/>
  <c r="T430" i="22"/>
  <c r="D430" i="22"/>
  <c r="AD430" i="22"/>
  <c r="G430" i="22"/>
  <c r="J430" i="22"/>
  <c r="E430" i="22"/>
  <c r="C430" i="22"/>
  <c r="I430" i="22"/>
  <c r="U430" i="22"/>
  <c r="F430" i="22"/>
  <c r="A430" i="22" s="1"/>
  <c r="H431" i="22"/>
  <c r="C431" i="22"/>
  <c r="G431" i="22"/>
  <c r="E431" i="22"/>
  <c r="U431" i="22"/>
  <c r="S431" i="22"/>
  <c r="D431" i="22"/>
  <c r="T431" i="22"/>
  <c r="AD431" i="22"/>
  <c r="F431" i="22"/>
  <c r="A431" i="22"/>
  <c r="J431" i="22"/>
  <c r="I431" i="22"/>
  <c r="U432" i="22"/>
  <c r="I432" i="22"/>
  <c r="D432" i="22"/>
  <c r="G432" i="22"/>
  <c r="E432" i="22"/>
  <c r="F432" i="22" s="1"/>
  <c r="A432" i="22" s="1"/>
  <c r="J432" i="22"/>
  <c r="H432" i="22"/>
  <c r="C432" i="22"/>
  <c r="T432" i="22"/>
  <c r="S432" i="22"/>
  <c r="AD432" i="22"/>
  <c r="D433" i="22"/>
  <c r="H433" i="22"/>
  <c r="U433" i="22"/>
  <c r="E433" i="22"/>
  <c r="F433" i="22" s="1"/>
  <c r="A433" i="22" s="1"/>
  <c r="T433" i="22"/>
  <c r="G433" i="22"/>
  <c r="J433" i="22"/>
  <c r="I433" i="22"/>
  <c r="C433" i="22"/>
  <c r="S433" i="22"/>
  <c r="AD433" i="22"/>
  <c r="U434" i="22"/>
  <c r="S434" i="22"/>
  <c r="G434" i="22"/>
  <c r="H434" i="22"/>
  <c r="J434" i="22"/>
  <c r="D434" i="22"/>
  <c r="E434" i="22"/>
  <c r="F434" i="22"/>
  <c r="A434" i="22" s="1"/>
  <c r="T434" i="22"/>
  <c r="I434" i="22"/>
  <c r="C434" i="22"/>
  <c r="AD434" i="22"/>
  <c r="G435" i="22"/>
  <c r="AD435" i="22"/>
  <c r="T435" i="22"/>
  <c r="J435" i="22"/>
  <c r="E435" i="22"/>
  <c r="D435" i="22"/>
  <c r="I435" i="22"/>
  <c r="S435" i="22"/>
  <c r="U435" i="22"/>
  <c r="F435" i="22"/>
  <c r="A435" i="22" s="1"/>
  <c r="C435" i="22"/>
  <c r="H435" i="22"/>
  <c r="U436" i="22"/>
  <c r="T436" i="22"/>
  <c r="H436" i="22"/>
  <c r="S436" i="22"/>
  <c r="E436" i="22"/>
  <c r="J436" i="22"/>
  <c r="G436" i="22"/>
  <c r="D436" i="22"/>
  <c r="I436" i="22"/>
  <c r="C436" i="22"/>
  <c r="F436" i="22"/>
  <c r="A436" i="22"/>
  <c r="AD436" i="22"/>
  <c r="H437" i="22"/>
  <c r="T437" i="22"/>
  <c r="J437" i="22"/>
  <c r="G437" i="22"/>
  <c r="I437" i="22"/>
  <c r="D437" i="22"/>
  <c r="S437" i="22"/>
  <c r="U437" i="22"/>
  <c r="C437" i="22"/>
  <c r="E437" i="22"/>
  <c r="F437" i="22" s="1"/>
  <c r="A437" i="22" s="1"/>
  <c r="AD437" i="22"/>
  <c r="E438" i="22"/>
  <c r="H438" i="22"/>
  <c r="D438" i="22"/>
  <c r="F438" i="22"/>
  <c r="A438" i="22"/>
  <c r="I438" i="22"/>
  <c r="T438" i="22"/>
  <c r="U438" i="22"/>
  <c r="J438" i="22"/>
  <c r="S438" i="22"/>
  <c r="G438" i="22"/>
  <c r="AD438" i="22"/>
  <c r="C438" i="22"/>
  <c r="I439" i="22"/>
  <c r="U439" i="22"/>
  <c r="J439" i="22"/>
  <c r="S439" i="22"/>
  <c r="T439" i="22"/>
  <c r="D439" i="22"/>
  <c r="G439" i="22"/>
  <c r="E439" i="22"/>
  <c r="F439" i="22"/>
  <c r="A439" i="22" s="1"/>
  <c r="AD439" i="22"/>
  <c r="H439" i="22"/>
  <c r="C439" i="22"/>
  <c r="S440" i="22"/>
  <c r="D440" i="22"/>
  <c r="U440" i="22"/>
  <c r="J440" i="22"/>
  <c r="AD440" i="22"/>
  <c r="I440" i="22"/>
  <c r="E440" i="22"/>
  <c r="F440" i="22" s="1"/>
  <c r="A440" i="22" s="1"/>
  <c r="H440" i="22"/>
  <c r="C440" i="22"/>
  <c r="G440" i="22"/>
  <c r="T440" i="22"/>
  <c r="I441" i="22"/>
  <c r="AD441" i="22"/>
  <c r="C441" i="22"/>
  <c r="U441" i="22"/>
  <c r="H441" i="22"/>
  <c r="J441" i="22"/>
  <c r="E441" i="22"/>
  <c r="G441" i="22"/>
  <c r="D441" i="22"/>
  <c r="F441" i="22" s="1"/>
  <c r="A441" i="22" s="1"/>
  <c r="T441" i="22"/>
  <c r="S441" i="22"/>
  <c r="H442" i="22"/>
  <c r="G442" i="22"/>
  <c r="J442" i="22"/>
  <c r="D442" i="22"/>
  <c r="AD442" i="22"/>
  <c r="U442" i="22"/>
  <c r="C442" i="22"/>
  <c r="T442" i="22"/>
  <c r="S442" i="22"/>
  <c r="I442" i="22"/>
  <c r="E442" i="22"/>
  <c r="F442" i="22" s="1"/>
  <c r="A442" i="22" s="1"/>
  <c r="G443" i="22"/>
  <c r="E443" i="22"/>
  <c r="I443" i="22"/>
  <c r="D443" i="22"/>
  <c r="F443" i="22"/>
  <c r="AD443" i="22"/>
  <c r="A443" i="22"/>
  <c r="T443" i="22"/>
  <c r="S443" i="22"/>
  <c r="J443" i="22"/>
  <c r="C443" i="22"/>
  <c r="U443" i="22"/>
  <c r="H443" i="22"/>
  <c r="U444" i="22"/>
  <c r="I444" i="22"/>
  <c r="S444" i="22"/>
  <c r="D444" i="22"/>
  <c r="G444" i="22"/>
  <c r="E444" i="22"/>
  <c r="J444" i="22"/>
  <c r="T444" i="22"/>
  <c r="AD444" i="22"/>
  <c r="C444" i="22"/>
  <c r="H444" i="22"/>
  <c r="U445" i="22"/>
  <c r="G445" i="22"/>
  <c r="T445" i="22"/>
  <c r="S445" i="22"/>
  <c r="J445" i="22"/>
  <c r="AD445" i="22"/>
  <c r="D445" i="22"/>
  <c r="I445" i="22"/>
  <c r="E445" i="22"/>
  <c r="C445" i="22"/>
  <c r="H445" i="22"/>
  <c r="T446" i="22"/>
  <c r="U446" i="22"/>
  <c r="C446" i="22"/>
  <c r="D446" i="22"/>
  <c r="J446" i="22"/>
  <c r="AD446" i="22"/>
  <c r="G446" i="22"/>
  <c r="E446" i="22"/>
  <c r="S446" i="22"/>
  <c r="H446" i="22"/>
  <c r="I446" i="22"/>
  <c r="H447" i="22"/>
  <c r="U447" i="22"/>
  <c r="I447" i="22"/>
  <c r="J447" i="22"/>
  <c r="G447" i="22"/>
  <c r="T447" i="22"/>
  <c r="S447" i="22"/>
  <c r="AD447" i="22"/>
  <c r="D447" i="22"/>
  <c r="E447" i="22"/>
  <c r="F447" i="22"/>
  <c r="A447" i="22" s="1"/>
  <c r="C447" i="22"/>
  <c r="U448" i="22"/>
  <c r="E448" i="22"/>
  <c r="S448" i="22"/>
  <c r="G448" i="22"/>
  <c r="J448" i="22"/>
  <c r="T448" i="22"/>
  <c r="C448" i="22"/>
  <c r="H448" i="22"/>
  <c r="AD448" i="22"/>
  <c r="D448" i="22"/>
  <c r="F448" i="22" s="1"/>
  <c r="A448" i="22" s="1"/>
  <c r="I448" i="22"/>
  <c r="C449" i="22"/>
  <c r="E449" i="22"/>
  <c r="S449" i="22"/>
  <c r="J449" i="22"/>
  <c r="T449" i="22"/>
  <c r="AD449" i="22"/>
  <c r="I449" i="22"/>
  <c r="U449" i="22"/>
  <c r="D449" i="22"/>
  <c r="F449" i="22" s="1"/>
  <c r="A449" i="22" s="1"/>
  <c r="H449" i="22"/>
  <c r="G449" i="22"/>
  <c r="S450" i="22"/>
  <c r="C450" i="22"/>
  <c r="O450" i="22"/>
  <c r="Y450" i="22" s="1"/>
  <c r="U450" i="22"/>
  <c r="M450" i="22"/>
  <c r="W450" i="22" s="1"/>
  <c r="J450" i="22"/>
  <c r="K450" i="22"/>
  <c r="AD450" i="22"/>
  <c r="G450" i="22"/>
  <c r="A450" i="22"/>
  <c r="D450" i="22"/>
  <c r="F450" i="22"/>
  <c r="P450" i="22"/>
  <c r="Z450" i="22" s="1"/>
  <c r="I450" i="22"/>
  <c r="L450" i="22"/>
  <c r="N450" i="22"/>
  <c r="X450" i="22" s="1"/>
  <c r="E450" i="22"/>
  <c r="T450" i="22"/>
  <c r="H450" i="22"/>
  <c r="U451" i="22"/>
  <c r="G451" i="22"/>
  <c r="S451" i="22"/>
  <c r="T451" i="22"/>
  <c r="E451" i="22"/>
  <c r="J451" i="22"/>
  <c r="I451" i="22"/>
  <c r="D451" i="22"/>
  <c r="F451" i="22" s="1"/>
  <c r="A451" i="22" s="1"/>
  <c r="C451" i="22"/>
  <c r="AD451" i="22"/>
  <c r="H451" i="22"/>
  <c r="U452" i="22"/>
  <c r="I452" i="22"/>
  <c r="J452" i="22"/>
  <c r="G452" i="22"/>
  <c r="E452" i="22"/>
  <c r="C452" i="22"/>
  <c r="D452" i="22"/>
  <c r="F452" i="22" s="1"/>
  <c r="A452" i="22" s="1"/>
  <c r="S452" i="22"/>
  <c r="H452" i="22"/>
  <c r="T452" i="22"/>
  <c r="AD452" i="22"/>
  <c r="H453" i="22"/>
  <c r="T453" i="22"/>
  <c r="S453" i="22"/>
  <c r="AD453" i="22"/>
  <c r="G453" i="22"/>
  <c r="D453" i="22"/>
  <c r="J453" i="22"/>
  <c r="C453" i="22"/>
  <c r="E453" i="22"/>
  <c r="I453" i="22"/>
  <c r="F453" i="22"/>
  <c r="A453" i="22" s="1"/>
  <c r="U453" i="22"/>
  <c r="U454" i="22"/>
  <c r="T454" i="22"/>
  <c r="S454" i="22"/>
  <c r="D454" i="22"/>
  <c r="H454" i="22"/>
  <c r="E454" i="22"/>
  <c r="J454" i="22"/>
  <c r="F454" i="22"/>
  <c r="A454" i="22" s="1"/>
  <c r="C454" i="22"/>
  <c r="I454" i="22"/>
  <c r="G454" i="22"/>
  <c r="AD454" i="22"/>
  <c r="U455" i="22"/>
  <c r="G455" i="22"/>
  <c r="J455" i="22"/>
  <c r="C455" i="22"/>
  <c r="H455" i="22"/>
  <c r="D455" i="22"/>
  <c r="T455" i="22"/>
  <c r="S455" i="22"/>
  <c r="I455" i="22"/>
  <c r="E455" i="22"/>
  <c r="F455" i="22"/>
  <c r="A455" i="22" s="1"/>
  <c r="AD455" i="22"/>
  <c r="G456" i="22"/>
  <c r="D456" i="22"/>
  <c r="S456" i="22"/>
  <c r="J456" i="22"/>
  <c r="C456" i="22"/>
  <c r="T456" i="22"/>
  <c r="H456" i="22"/>
  <c r="I456" i="22"/>
  <c r="E456" i="22"/>
  <c r="F456" i="22" s="1"/>
  <c r="A456" i="22" s="1"/>
  <c r="U456" i="22"/>
  <c r="AD456" i="22"/>
  <c r="S457" i="22"/>
  <c r="AD457" i="22"/>
  <c r="J457" i="22"/>
  <c r="C457" i="22"/>
  <c r="G457" i="22"/>
  <c r="U457" i="22"/>
  <c r="H457" i="22"/>
  <c r="E457" i="22"/>
  <c r="I457" i="22"/>
  <c r="T457" i="22"/>
  <c r="D457" i="22"/>
  <c r="F457" i="22" s="1"/>
  <c r="A457" i="22" s="1"/>
  <c r="S458" i="22"/>
  <c r="T458" i="22"/>
  <c r="AD458" i="22"/>
  <c r="U458" i="22"/>
  <c r="E458" i="22"/>
  <c r="I458" i="22"/>
  <c r="C458" i="22"/>
  <c r="J458" i="22"/>
  <c r="H458" i="22"/>
  <c r="D458" i="22"/>
  <c r="G458" i="22"/>
  <c r="F458" i="22"/>
  <c r="A458" i="22" s="1"/>
  <c r="S459" i="22"/>
  <c r="U459" i="22"/>
  <c r="J459" i="22"/>
  <c r="G459" i="22"/>
  <c r="D459" i="22"/>
  <c r="AD459" i="22"/>
  <c r="T459" i="22"/>
  <c r="E459" i="22"/>
  <c r="C459" i="22"/>
  <c r="F459" i="22"/>
  <c r="A459" i="22" s="1"/>
  <c r="I459" i="22"/>
  <c r="H459" i="22"/>
  <c r="G344" i="22"/>
  <c r="C344" i="22"/>
  <c r="F344" i="22"/>
  <c r="M344" i="22"/>
  <c r="W344" i="22" s="1"/>
  <c r="L344" i="22"/>
  <c r="E344" i="22"/>
  <c r="I344" i="22"/>
  <c r="O344" i="22"/>
  <c r="Y344" i="22" s="1"/>
  <c r="N344" i="22"/>
  <c r="X344" i="22" s="1"/>
  <c r="D344" i="22"/>
  <c r="K344" i="22"/>
  <c r="H344" i="22"/>
  <c r="AD344" i="22"/>
  <c r="J344" i="22"/>
  <c r="T344" i="22"/>
  <c r="U344" i="22"/>
  <c r="S344" i="22"/>
  <c r="A344" i="22"/>
  <c r="P344" i="22"/>
  <c r="Z344" i="22" s="1"/>
  <c r="C345" i="22"/>
  <c r="F345" i="22"/>
  <c r="G345" i="22"/>
  <c r="M345" i="22"/>
  <c r="W345" i="22" s="1"/>
  <c r="J345" i="22"/>
  <c r="I345" i="22"/>
  <c r="P345" i="22"/>
  <c r="Z345" i="22" s="1"/>
  <c r="K345" i="22"/>
  <c r="E345" i="22"/>
  <c r="O345" i="22"/>
  <c r="Y345" i="22" s="1"/>
  <c r="N345" i="22"/>
  <c r="X345" i="22" s="1"/>
  <c r="U345" i="22"/>
  <c r="S345" i="22"/>
  <c r="D345" i="22"/>
  <c r="T345" i="22"/>
  <c r="A345" i="22"/>
  <c r="AD345" i="22"/>
  <c r="L345" i="22"/>
  <c r="H345" i="22"/>
  <c r="C346" i="22"/>
  <c r="K346" i="22"/>
  <c r="L346" i="22"/>
  <c r="M346" i="22"/>
  <c r="W346" i="22" s="1"/>
  <c r="N346" i="22"/>
  <c r="X346" i="22" s="1"/>
  <c r="O346" i="22"/>
  <c r="Y346" i="22" s="1"/>
  <c r="F346" i="22"/>
  <c r="A346" i="22"/>
  <c r="AD346" i="22"/>
  <c r="U346" i="22"/>
  <c r="T346" i="22"/>
  <c r="S346" i="22"/>
  <c r="P346" i="22"/>
  <c r="Z346" i="22" s="1"/>
  <c r="J346" i="22"/>
  <c r="I346" i="22"/>
  <c r="H346" i="22"/>
  <c r="G346" i="22"/>
  <c r="E346" i="22"/>
  <c r="D346" i="22"/>
  <c r="A347" i="22"/>
  <c r="H347" i="22"/>
  <c r="K347" i="22"/>
  <c r="S347" i="22"/>
  <c r="U347" i="22"/>
  <c r="E347" i="22"/>
  <c r="O347" i="22"/>
  <c r="Y347" i="22" s="1"/>
  <c r="M347" i="22"/>
  <c r="W347" i="22" s="1"/>
  <c r="C347" i="22"/>
  <c r="J347" i="22"/>
  <c r="T347" i="22"/>
  <c r="P347" i="22"/>
  <c r="Z347" i="22" s="1"/>
  <c r="L347" i="22"/>
  <c r="G347" i="22"/>
  <c r="N347" i="22"/>
  <c r="X347" i="22" s="1"/>
  <c r="I347" i="22"/>
  <c r="F347" i="22"/>
  <c r="AD347" i="22"/>
  <c r="D347" i="22"/>
  <c r="T348" i="22"/>
  <c r="D348" i="22"/>
  <c r="S348" i="22"/>
  <c r="L348" i="22"/>
  <c r="M348" i="22"/>
  <c r="W348" i="22" s="1"/>
  <c r="J348" i="22"/>
  <c r="A348" i="22"/>
  <c r="AD348" i="22"/>
  <c r="H348" i="22"/>
  <c r="P348" i="22"/>
  <c r="Z348" i="22" s="1"/>
  <c r="N348" i="22"/>
  <c r="X348" i="22" s="1"/>
  <c r="F348" i="22"/>
  <c r="G348" i="22"/>
  <c r="I348" i="22"/>
  <c r="O348" i="22"/>
  <c r="Y348" i="22" s="1"/>
  <c r="C348" i="22"/>
  <c r="K348" i="22"/>
  <c r="E348" i="22"/>
  <c r="U348" i="22"/>
  <c r="K349" i="22"/>
  <c r="S349" i="22"/>
  <c r="E349" i="22"/>
  <c r="L349" i="22"/>
  <c r="T349" i="22"/>
  <c r="J349" i="22"/>
  <c r="I349" i="22"/>
  <c r="C349" i="22"/>
  <c r="P349" i="22"/>
  <c r="Z349" i="22" s="1"/>
  <c r="O349" i="22"/>
  <c r="Y349" i="22" s="1"/>
  <c r="D349" i="22"/>
  <c r="A349" i="22"/>
  <c r="G349" i="22"/>
  <c r="H349" i="22"/>
  <c r="AD349" i="22"/>
  <c r="F349" i="22"/>
  <c r="M349" i="22"/>
  <c r="W349" i="22" s="1"/>
  <c r="N349" i="22"/>
  <c r="X349" i="22" s="1"/>
  <c r="U349" i="22"/>
  <c r="U350" i="22"/>
  <c r="L350" i="22"/>
  <c r="P350" i="22"/>
  <c r="Z350" i="22" s="1"/>
  <c r="I350" i="22"/>
  <c r="T350" i="22"/>
  <c r="S350" i="22"/>
  <c r="H350" i="22"/>
  <c r="F350" i="22"/>
  <c r="E350" i="22"/>
  <c r="O350" i="22"/>
  <c r="Y350" i="22" s="1"/>
  <c r="M350" i="22"/>
  <c r="W350" i="22" s="1"/>
  <c r="D350" i="22"/>
  <c r="J350" i="22"/>
  <c r="G350" i="22"/>
  <c r="A350" i="22"/>
  <c r="N350" i="22"/>
  <c r="X350" i="22" s="1"/>
  <c r="C350" i="22"/>
  <c r="K350" i="22"/>
  <c r="AD350" i="22"/>
  <c r="L351" i="22"/>
  <c r="H351" i="22"/>
  <c r="G351" i="22"/>
  <c r="J351" i="22"/>
  <c r="D351" i="22"/>
  <c r="A351" i="22"/>
  <c r="O351" i="22"/>
  <c r="Y351" i="22" s="1"/>
  <c r="U351" i="22"/>
  <c r="S351" i="22"/>
  <c r="E351" i="22"/>
  <c r="K351" i="22"/>
  <c r="T351" i="22"/>
  <c r="F351" i="22"/>
  <c r="AD351" i="22"/>
  <c r="C351" i="22"/>
  <c r="N351" i="22"/>
  <c r="X351" i="22" s="1"/>
  <c r="M351" i="22"/>
  <c r="W351" i="22" s="1"/>
  <c r="P351" i="22"/>
  <c r="Z351" i="22" s="1"/>
  <c r="I351" i="22"/>
  <c r="I352" i="22"/>
  <c r="G352" i="22"/>
  <c r="E352" i="22"/>
  <c r="H352" i="22"/>
  <c r="A352" i="22"/>
  <c r="F352" i="22"/>
  <c r="U352" i="22"/>
  <c r="AD352" i="22"/>
  <c r="L352" i="22"/>
  <c r="M352" i="22"/>
  <c r="W352" i="22" s="1"/>
  <c r="J352" i="22"/>
  <c r="C352" i="22"/>
  <c r="O352" i="22"/>
  <c r="Y352" i="22" s="1"/>
  <c r="K352" i="22"/>
  <c r="D352" i="22"/>
  <c r="T352" i="22"/>
  <c r="S352" i="22"/>
  <c r="N352" i="22"/>
  <c r="X352" i="22" s="1"/>
  <c r="P352" i="22"/>
  <c r="Z352" i="22" s="1"/>
  <c r="M353" i="22"/>
  <c r="W353" i="22" s="1"/>
  <c r="L353" i="22"/>
  <c r="O353" i="22"/>
  <c r="Y353" i="22" s="1"/>
  <c r="E353" i="22"/>
  <c r="H353" i="22"/>
  <c r="U353" i="22"/>
  <c r="C353" i="22"/>
  <c r="G353" i="22"/>
  <c r="AD353" i="22"/>
  <c r="T353" i="22"/>
  <c r="S353" i="22"/>
  <c r="K353" i="22"/>
  <c r="D353" i="22"/>
  <c r="F353" i="22"/>
  <c r="P353" i="22"/>
  <c r="Z353" i="22" s="1"/>
  <c r="J353" i="22"/>
  <c r="I353" i="22"/>
  <c r="N353" i="22"/>
  <c r="X353" i="22" s="1"/>
  <c r="A353" i="22"/>
  <c r="S354" i="22"/>
  <c r="I354" i="22"/>
  <c r="C354" i="22"/>
  <c r="G354" i="22"/>
  <c r="O354" i="22"/>
  <c r="Y354" i="22" s="1"/>
  <c r="P354" i="22"/>
  <c r="Z354" i="22" s="1"/>
  <c r="A354" i="22"/>
  <c r="M354" i="22"/>
  <c r="W354" i="22" s="1"/>
  <c r="L354" i="22"/>
  <c r="J354" i="22"/>
  <c r="E354" i="22"/>
  <c r="F354" i="22"/>
  <c r="AD354" i="22"/>
  <c r="T354" i="22"/>
  <c r="N354" i="22"/>
  <c r="X354" i="22" s="1"/>
  <c r="D354" i="22"/>
  <c r="H354" i="22"/>
  <c r="U354" i="22"/>
  <c r="K354" i="22"/>
  <c r="H355" i="22"/>
  <c r="D355" i="22"/>
  <c r="P355" i="22"/>
  <c r="Z355" i="22" s="1"/>
  <c r="C355" i="22"/>
  <c r="A355" i="22"/>
  <c r="O355" i="22"/>
  <c r="Y355" i="22" s="1"/>
  <c r="F355" i="22"/>
  <c r="N355" i="22"/>
  <c r="X355" i="22" s="1"/>
  <c r="AD355" i="22"/>
  <c r="M355" i="22"/>
  <c r="W355" i="22" s="1"/>
  <c r="I355" i="22"/>
  <c r="U355" i="22"/>
  <c r="L355" i="22"/>
  <c r="T355" i="22"/>
  <c r="K355" i="22"/>
  <c r="S355" i="22"/>
  <c r="G355" i="22"/>
  <c r="E355" i="22"/>
  <c r="J355" i="22"/>
  <c r="I356" i="22"/>
  <c r="L356" i="22"/>
  <c r="A356" i="22"/>
  <c r="U356" i="22"/>
  <c r="E356" i="22"/>
  <c r="S356" i="22"/>
  <c r="M356" i="22"/>
  <c r="W356" i="22" s="1"/>
  <c r="J356" i="22"/>
  <c r="C356" i="22"/>
  <c r="F356" i="22"/>
  <c r="N356" i="22"/>
  <c r="X356" i="22" s="1"/>
  <c r="H356" i="22"/>
  <c r="K356" i="22"/>
  <c r="G356" i="22"/>
  <c r="AD356" i="22"/>
  <c r="D356" i="22"/>
  <c r="T356" i="22"/>
  <c r="P356" i="22"/>
  <c r="Z356" i="22" s="1"/>
  <c r="O356" i="22"/>
  <c r="Y356" i="22" s="1"/>
  <c r="I357" i="22"/>
  <c r="U357" i="22"/>
  <c r="AD357" i="22"/>
  <c r="C357" i="22"/>
  <c r="D357" i="22"/>
  <c r="N357" i="22"/>
  <c r="X357" i="22" s="1"/>
  <c r="S357" i="22"/>
  <c r="L357" i="22"/>
  <c r="H357" i="22"/>
  <c r="K357" i="22"/>
  <c r="G357" i="22"/>
  <c r="J357" i="22"/>
  <c r="A357" i="22"/>
  <c r="T357" i="22"/>
  <c r="F357" i="22"/>
  <c r="P357" i="22"/>
  <c r="Z357" i="22" s="1"/>
  <c r="O357" i="22"/>
  <c r="Y357" i="22" s="1"/>
  <c r="M357" i="22"/>
  <c r="W357" i="22" s="1"/>
  <c r="E357" i="22"/>
  <c r="I358" i="22"/>
  <c r="H358" i="22"/>
  <c r="C358" i="22"/>
  <c r="P358" i="22"/>
  <c r="Z358" i="22" s="1"/>
  <c r="F358" i="22"/>
  <c r="S358" i="22"/>
  <c r="A358" i="22"/>
  <c r="U358" i="22"/>
  <c r="L358" i="22"/>
  <c r="D358" i="22"/>
  <c r="K358" i="22"/>
  <c r="N358" i="22"/>
  <c r="X358" i="22" s="1"/>
  <c r="AD358" i="22"/>
  <c r="M358" i="22"/>
  <c r="W358" i="22" s="1"/>
  <c r="E358" i="22"/>
  <c r="T358" i="22"/>
  <c r="G358" i="22"/>
  <c r="O358" i="22"/>
  <c r="Y358" i="22" s="1"/>
  <c r="J358" i="22"/>
  <c r="I359" i="22"/>
  <c r="AD359" i="22"/>
  <c r="G359" i="22"/>
  <c r="M359" i="22"/>
  <c r="W359" i="22" s="1"/>
  <c r="S359" i="22"/>
  <c r="H359" i="22"/>
  <c r="T359" i="22"/>
  <c r="F359" i="22"/>
  <c r="N359" i="22"/>
  <c r="X359" i="22" s="1"/>
  <c r="U359" i="22"/>
  <c r="E359" i="22"/>
  <c r="D359" i="22"/>
  <c r="P359" i="22"/>
  <c r="Z359" i="22" s="1"/>
  <c r="J359" i="22"/>
  <c r="C359" i="22"/>
  <c r="L359" i="22"/>
  <c r="A359" i="22"/>
  <c r="K359" i="22"/>
  <c r="O359" i="22"/>
  <c r="Y359" i="22" s="1"/>
  <c r="I360" i="22"/>
  <c r="K360" i="22"/>
  <c r="N360" i="22"/>
  <c r="X360" i="22" s="1"/>
  <c r="S360" i="22"/>
  <c r="M360" i="22"/>
  <c r="W360" i="22" s="1"/>
  <c r="G360" i="22"/>
  <c r="E360" i="22"/>
  <c r="T360" i="22"/>
  <c r="O360" i="22"/>
  <c r="Y360" i="22" s="1"/>
  <c r="J360" i="22"/>
  <c r="C360" i="22"/>
  <c r="AD360" i="22"/>
  <c r="U360" i="22"/>
  <c r="L360" i="22"/>
  <c r="A360" i="22"/>
  <c r="H360" i="22"/>
  <c r="F360" i="22"/>
  <c r="D360" i="22"/>
  <c r="P360" i="22"/>
  <c r="Z360" i="22" s="1"/>
  <c r="U361" i="22"/>
  <c r="M361" i="22"/>
  <c r="W361" i="22" s="1"/>
  <c r="I361" i="22"/>
  <c r="L361" i="22"/>
  <c r="AD361" i="22"/>
  <c r="S361" i="22"/>
  <c r="A361" i="22"/>
  <c r="E361" i="22"/>
  <c r="H361" i="22"/>
  <c r="J361" i="22"/>
  <c r="F361" i="22"/>
  <c r="N361" i="22"/>
  <c r="X361" i="22" s="1"/>
  <c r="D361" i="22"/>
  <c r="P361" i="22"/>
  <c r="Z361" i="22" s="1"/>
  <c r="G361" i="22"/>
  <c r="O361" i="22"/>
  <c r="Y361" i="22" s="1"/>
  <c r="C361" i="22"/>
  <c r="K361" i="22"/>
  <c r="T361" i="22"/>
  <c r="G362" i="22"/>
  <c r="AD362" i="22"/>
  <c r="O362" i="22"/>
  <c r="Y362" i="22" s="1"/>
  <c r="J362" i="22"/>
  <c r="E362" i="22"/>
  <c r="H362" i="22"/>
  <c r="I362" i="22"/>
  <c r="S362" i="22"/>
  <c r="C362" i="22"/>
  <c r="D362" i="22"/>
  <c r="F362" i="22" s="1"/>
  <c r="A362" i="22" s="1"/>
  <c r="P362" i="22"/>
  <c r="Z362" i="22" s="1"/>
  <c r="U362" i="22"/>
  <c r="T362" i="22"/>
  <c r="K362" i="22"/>
  <c r="O363" i="22"/>
  <c r="Y363" i="22" s="1"/>
  <c r="AD363" i="22"/>
  <c r="F363" i="22"/>
  <c r="P363" i="22"/>
  <c r="Z363" i="22" s="1"/>
  <c r="G363" i="22"/>
  <c r="D363" i="22"/>
  <c r="N363" i="22"/>
  <c r="X363" i="22" s="1"/>
  <c r="S363" i="22"/>
  <c r="T363" i="22"/>
  <c r="U363" i="22"/>
  <c r="L363" i="22"/>
  <c r="J363" i="22"/>
  <c r="H363" i="22"/>
  <c r="C363" i="22"/>
  <c r="E363" i="22"/>
  <c r="A363" i="22"/>
  <c r="K363" i="22"/>
  <c r="M363" i="22"/>
  <c r="W363" i="22" s="1"/>
  <c r="I363" i="22"/>
  <c r="L364" i="22"/>
  <c r="D364" i="22"/>
  <c r="H364" i="22"/>
  <c r="J364" i="22"/>
  <c r="K364" i="22"/>
  <c r="C364" i="22"/>
  <c r="G364" i="22"/>
  <c r="A364" i="22"/>
  <c r="AD364" i="22"/>
  <c r="E364" i="22"/>
  <c r="S364" i="22"/>
  <c r="O364" i="22"/>
  <c r="Y364" i="22" s="1"/>
  <c r="U364" i="22"/>
  <c r="P364" i="22"/>
  <c r="Z364" i="22" s="1"/>
  <c r="M364" i="22"/>
  <c r="W364" i="22" s="1"/>
  <c r="T364" i="22"/>
  <c r="N364" i="22"/>
  <c r="X364" i="22" s="1"/>
  <c r="I364" i="22"/>
  <c r="F364" i="22"/>
  <c r="M365" i="22"/>
  <c r="W365" i="22" s="1"/>
  <c r="L365" i="22"/>
  <c r="G365" i="22"/>
  <c r="N365" i="22"/>
  <c r="X365" i="22" s="1"/>
  <c r="A365" i="22"/>
  <c r="I365" i="22"/>
  <c r="C365" i="22"/>
  <c r="O365" i="22"/>
  <c r="Y365" i="22" s="1"/>
  <c r="AD365" i="22"/>
  <c r="D365" i="22"/>
  <c r="J365" i="22"/>
  <c r="E365" i="22"/>
  <c r="T365" i="22"/>
  <c r="H365" i="22"/>
  <c r="P365" i="22"/>
  <c r="Z365" i="22" s="1"/>
  <c r="S365" i="22"/>
  <c r="K365" i="22"/>
  <c r="U365" i="22"/>
  <c r="F365" i="22"/>
  <c r="D366" i="22"/>
  <c r="A366" i="22"/>
  <c r="O366" i="22"/>
  <c r="Y366" i="22" s="1"/>
  <c r="G366" i="22"/>
  <c r="S366" i="22"/>
  <c r="H366" i="22"/>
  <c r="M366" i="22"/>
  <c r="W366" i="22" s="1"/>
  <c r="P366" i="22"/>
  <c r="Z366" i="22" s="1"/>
  <c r="C366" i="22"/>
  <c r="I366" i="22"/>
  <c r="L366" i="22"/>
  <c r="T366" i="22"/>
  <c r="U366" i="22"/>
  <c r="E366" i="22"/>
  <c r="J366" i="22"/>
  <c r="N366" i="22"/>
  <c r="X366" i="22" s="1"/>
  <c r="AD366" i="22"/>
  <c r="F366" i="22"/>
  <c r="K366" i="22"/>
  <c r="AD367" i="22"/>
  <c r="C367" i="22"/>
  <c r="H367" i="22"/>
  <c r="L367" i="22"/>
  <c r="S367" i="22"/>
  <c r="T367" i="22"/>
  <c r="M367" i="22"/>
  <c r="W367" i="22" s="1"/>
  <c r="D367" i="22"/>
  <c r="O367" i="22"/>
  <c r="Y367" i="22" s="1"/>
  <c r="U367" i="22"/>
  <c r="N367" i="22"/>
  <c r="X367" i="22" s="1"/>
  <c r="E367" i="22"/>
  <c r="I367" i="22"/>
  <c r="J367" i="22"/>
  <c r="A367" i="22"/>
  <c r="K367" i="22"/>
  <c r="F367" i="22"/>
  <c r="G367" i="22"/>
  <c r="P367" i="22"/>
  <c r="Z367" i="22" s="1"/>
  <c r="M368" i="22"/>
  <c r="W368" i="22" s="1"/>
  <c r="L368" i="22"/>
  <c r="K368" i="22"/>
  <c r="J368" i="22"/>
  <c r="I368" i="22"/>
  <c r="P368" i="22"/>
  <c r="Z368" i="22" s="1"/>
  <c r="A368" i="22"/>
  <c r="S368" i="22"/>
  <c r="H368" i="22"/>
  <c r="C368" i="22"/>
  <c r="D368" i="22"/>
  <c r="E368" i="22"/>
  <c r="G368" i="22"/>
  <c r="T368" i="22"/>
  <c r="U368" i="22"/>
  <c r="AD368" i="22"/>
  <c r="F368" i="22"/>
  <c r="O368" i="22"/>
  <c r="Y368" i="22" s="1"/>
  <c r="N368" i="22"/>
  <c r="X368" i="22" s="1"/>
  <c r="F369" i="22"/>
  <c r="J369" i="22"/>
  <c r="G369" i="22"/>
  <c r="AD369" i="22"/>
  <c r="M369" i="22"/>
  <c r="W369" i="22" s="1"/>
  <c r="U369" i="22"/>
  <c r="T369" i="22"/>
  <c r="S369" i="22"/>
  <c r="L369" i="22"/>
  <c r="C369" i="22"/>
  <c r="P369" i="22"/>
  <c r="Z369" i="22" s="1"/>
  <c r="K369" i="22"/>
  <c r="E369" i="22"/>
  <c r="D369" i="22"/>
  <c r="H369" i="22"/>
  <c r="N369" i="22"/>
  <c r="X369" i="22" s="1"/>
  <c r="I369" i="22"/>
  <c r="O369" i="22"/>
  <c r="Y369" i="22" s="1"/>
  <c r="A369" i="22"/>
  <c r="C370" i="22"/>
  <c r="H370" i="22"/>
  <c r="A370" i="22"/>
  <c r="T370" i="22"/>
  <c r="S370" i="22"/>
  <c r="E370" i="22"/>
  <c r="L370" i="22"/>
  <c r="D370" i="22"/>
  <c r="P370" i="22"/>
  <c r="Z370" i="22" s="1"/>
  <c r="F370" i="22"/>
  <c r="M370" i="22"/>
  <c r="W370" i="22" s="1"/>
  <c r="G370" i="22"/>
  <c r="AD370" i="22"/>
  <c r="I370" i="22"/>
  <c r="U370" i="22"/>
  <c r="O370" i="22"/>
  <c r="Y370" i="22" s="1"/>
  <c r="N370" i="22"/>
  <c r="X370" i="22" s="1"/>
  <c r="K370" i="22"/>
  <c r="J370" i="22"/>
  <c r="S371" i="22"/>
  <c r="C371" i="22"/>
  <c r="U371" i="22"/>
  <c r="J371" i="22"/>
  <c r="O371" i="22"/>
  <c r="Y371" i="22" s="1"/>
  <c r="E371" i="22"/>
  <c r="I371" i="22"/>
  <c r="A371" i="22"/>
  <c r="P371" i="22"/>
  <c r="Z371" i="22" s="1"/>
  <c r="L371" i="22"/>
  <c r="F371" i="22"/>
  <c r="N371" i="22"/>
  <c r="X371" i="22" s="1"/>
  <c r="M371" i="22"/>
  <c r="W371" i="22" s="1"/>
  <c r="H371" i="22"/>
  <c r="D371" i="22"/>
  <c r="K371" i="22"/>
  <c r="AD371" i="22"/>
  <c r="G371" i="22"/>
  <c r="T371" i="22"/>
  <c r="I372" i="22"/>
  <c r="F372" i="22"/>
  <c r="C372" i="22"/>
  <c r="M372" i="22"/>
  <c r="W372" i="22" s="1"/>
  <c r="N372" i="22"/>
  <c r="X372" i="22" s="1"/>
  <c r="E372" i="22"/>
  <c r="P372" i="22"/>
  <c r="Z372" i="22" s="1"/>
  <c r="H372" i="22"/>
  <c r="AD372" i="22"/>
  <c r="K372" i="22"/>
  <c r="D372" i="22"/>
  <c r="S372" i="22"/>
  <c r="O372" i="22"/>
  <c r="Y372" i="22" s="1"/>
  <c r="L372" i="22"/>
  <c r="T372" i="22"/>
  <c r="G372" i="22"/>
  <c r="J372" i="22"/>
  <c r="A372" i="22"/>
  <c r="U372" i="22"/>
  <c r="P373" i="22"/>
  <c r="Z373" i="22" s="1"/>
  <c r="I373" i="22"/>
  <c r="H373" i="22"/>
  <c r="D373" i="22"/>
  <c r="A373" i="22"/>
  <c r="O373" i="22"/>
  <c r="Y373" i="22" s="1"/>
  <c r="M373" i="22"/>
  <c r="W373" i="22" s="1"/>
  <c r="K373" i="22"/>
  <c r="U373" i="22"/>
  <c r="F373" i="22"/>
  <c r="N373" i="22"/>
  <c r="X373" i="22" s="1"/>
  <c r="S373" i="22"/>
  <c r="G373" i="22"/>
  <c r="L373" i="22"/>
  <c r="E373" i="22"/>
  <c r="J373" i="22"/>
  <c r="C373" i="22"/>
  <c r="AD373" i="22"/>
  <c r="T373" i="22"/>
  <c r="L374" i="22"/>
  <c r="M374" i="22"/>
  <c r="W374" i="22" s="1"/>
  <c r="A374" i="22"/>
  <c r="F374" i="22"/>
  <c r="S374" i="22"/>
  <c r="O374" i="22"/>
  <c r="Y374" i="22" s="1"/>
  <c r="I374" i="22"/>
  <c r="U374" i="22"/>
  <c r="D374" i="22"/>
  <c r="J374" i="22"/>
  <c r="E374" i="22"/>
  <c r="K374" i="22"/>
  <c r="T374" i="22"/>
  <c r="P374" i="22"/>
  <c r="Z374" i="22" s="1"/>
  <c r="H374" i="22"/>
  <c r="G374" i="22"/>
  <c r="N374" i="22"/>
  <c r="X374" i="22" s="1"/>
  <c r="AD374" i="22"/>
  <c r="C374" i="22"/>
  <c r="L375" i="22"/>
  <c r="G375" i="22"/>
  <c r="H375" i="22"/>
  <c r="S375" i="22"/>
  <c r="I375" i="22"/>
  <c r="U375" i="22"/>
  <c r="J375" i="22"/>
  <c r="C375" i="22"/>
  <c r="AD375" i="22"/>
  <c r="A375" i="22"/>
  <c r="O375" i="22"/>
  <c r="Y375" i="22" s="1"/>
  <c r="T375" i="22"/>
  <c r="F375" i="22"/>
  <c r="E375" i="22"/>
  <c r="P375" i="22"/>
  <c r="Z375" i="22" s="1"/>
  <c r="N375" i="22"/>
  <c r="X375" i="22" s="1"/>
  <c r="K375" i="22"/>
  <c r="M375" i="22"/>
  <c r="W375" i="22" s="1"/>
  <c r="D375" i="22"/>
  <c r="A376" i="22"/>
  <c r="F376" i="22"/>
  <c r="H376" i="22"/>
  <c r="T376" i="22"/>
  <c r="C376" i="22"/>
  <c r="L376" i="22"/>
  <c r="N376" i="22"/>
  <c r="X376" i="22" s="1"/>
  <c r="S376" i="22"/>
  <c r="P376" i="22"/>
  <c r="Z376" i="22" s="1"/>
  <c r="O376" i="22"/>
  <c r="Y376" i="22" s="1"/>
  <c r="M376" i="22"/>
  <c r="W376" i="22" s="1"/>
  <c r="AD376" i="22"/>
  <c r="I376" i="22"/>
  <c r="K376" i="22"/>
  <c r="J376" i="22"/>
  <c r="G376" i="22"/>
  <c r="D376" i="22"/>
  <c r="U376" i="22"/>
  <c r="E376" i="22"/>
  <c r="N377" i="22"/>
  <c r="X377" i="22" s="1"/>
  <c r="S377" i="22"/>
  <c r="O377" i="22"/>
  <c r="Y377" i="22" s="1"/>
  <c r="U377" i="22"/>
  <c r="C377" i="22"/>
  <c r="G377" i="22"/>
  <c r="M377" i="22"/>
  <c r="W377" i="22" s="1"/>
  <c r="D377" i="22"/>
  <c r="H377" i="22"/>
  <c r="E377" i="22"/>
  <c r="T377" i="22"/>
  <c r="L377" i="22"/>
  <c r="P377" i="22"/>
  <c r="Z377" i="22" s="1"/>
  <c r="K377" i="22"/>
  <c r="AD377" i="22"/>
  <c r="J377" i="22"/>
  <c r="A377" i="22"/>
  <c r="F377" i="22"/>
  <c r="I377" i="22"/>
  <c r="S378" i="22"/>
  <c r="T378" i="22"/>
  <c r="M378" i="22"/>
  <c r="W378" i="22" s="1"/>
  <c r="I378" i="22"/>
  <c r="L378" i="22"/>
  <c r="AD378" i="22"/>
  <c r="J378" i="22"/>
  <c r="E378" i="22"/>
  <c r="D378" i="22"/>
  <c r="A378" i="22"/>
  <c r="G378" i="22"/>
  <c r="P378" i="22"/>
  <c r="Z378" i="22" s="1"/>
  <c r="F378" i="22"/>
  <c r="O378" i="22"/>
  <c r="Y378" i="22" s="1"/>
  <c r="U378" i="22"/>
  <c r="K378" i="22"/>
  <c r="N378" i="22"/>
  <c r="X378" i="22" s="1"/>
  <c r="C378" i="22"/>
  <c r="H378" i="22"/>
  <c r="A379" i="22"/>
  <c r="H379" i="22"/>
  <c r="G379" i="22"/>
  <c r="E379" i="22"/>
  <c r="U379" i="22"/>
  <c r="K379" i="22"/>
  <c r="T379" i="22"/>
  <c r="AD379" i="22"/>
  <c r="I379" i="22"/>
  <c r="N379" i="22"/>
  <c r="X379" i="22" s="1"/>
  <c r="D379" i="22"/>
  <c r="L379" i="22"/>
  <c r="J379" i="22"/>
  <c r="F379" i="22"/>
  <c r="P379" i="22"/>
  <c r="Z379" i="22" s="1"/>
  <c r="C379" i="22"/>
  <c r="S379" i="22"/>
  <c r="O379" i="22"/>
  <c r="Y379" i="22" s="1"/>
  <c r="M379" i="22"/>
  <c r="W379" i="22" s="1"/>
  <c r="J380" i="22"/>
  <c r="G380" i="22"/>
  <c r="S380" i="22"/>
  <c r="M380" i="22"/>
  <c r="W380" i="22" s="1"/>
  <c r="F380" i="22"/>
  <c r="U380" i="22"/>
  <c r="N380" i="22"/>
  <c r="X380" i="22" s="1"/>
  <c r="K380" i="22"/>
  <c r="H380" i="22"/>
  <c r="O380" i="22"/>
  <c r="Y380" i="22" s="1"/>
  <c r="L380" i="22"/>
  <c r="E380" i="22"/>
  <c r="D380" i="22"/>
  <c r="C380" i="22"/>
  <c r="I380" i="22"/>
  <c r="A380" i="22"/>
  <c r="P380" i="22"/>
  <c r="Z380" i="22" s="1"/>
  <c r="AD380" i="22"/>
  <c r="T380" i="22"/>
  <c r="G381" i="22"/>
  <c r="E381" i="22"/>
  <c r="C381" i="22"/>
  <c r="D381" i="22"/>
  <c r="P381" i="22"/>
  <c r="Z381" i="22" s="1"/>
  <c r="A381" i="22"/>
  <c r="F381" i="22"/>
  <c r="K381" i="22"/>
  <c r="T381" i="22"/>
  <c r="N381" i="22"/>
  <c r="X381" i="22" s="1"/>
  <c r="L381" i="22"/>
  <c r="O381" i="22"/>
  <c r="Y381" i="22" s="1"/>
  <c r="U381" i="22"/>
  <c r="M381" i="22"/>
  <c r="W381" i="22" s="1"/>
  <c r="S381" i="22"/>
  <c r="AD381" i="22"/>
  <c r="J381" i="22"/>
  <c r="I381" i="22"/>
  <c r="H381" i="22"/>
  <c r="I382" i="22"/>
  <c r="C382" i="22"/>
  <c r="K382" i="22"/>
  <c r="N382" i="22"/>
  <c r="X382" i="22" s="1"/>
  <c r="L382" i="22"/>
  <c r="O382" i="22"/>
  <c r="Y382" i="22" s="1"/>
  <c r="A382" i="22"/>
  <c r="T382" i="22"/>
  <c r="AD382" i="22"/>
  <c r="S382" i="22"/>
  <c r="M382" i="22"/>
  <c r="W382" i="22" s="1"/>
  <c r="U382" i="22"/>
  <c r="P382" i="22"/>
  <c r="Z382" i="22" s="1"/>
  <c r="E382" i="22"/>
  <c r="G382" i="22"/>
  <c r="J382" i="22"/>
  <c r="H382" i="22"/>
  <c r="F382" i="22"/>
  <c r="D382" i="22"/>
  <c r="O383" i="22"/>
  <c r="Y383" i="22" s="1"/>
  <c r="C383" i="22"/>
  <c r="A383" i="22"/>
  <c r="L383" i="22"/>
  <c r="E383" i="22"/>
  <c r="G383" i="22"/>
  <c r="P383" i="22"/>
  <c r="Z383" i="22" s="1"/>
  <c r="T383" i="22"/>
  <c r="J383" i="22"/>
  <c r="M383" i="22"/>
  <c r="W383" i="22" s="1"/>
  <c r="AD383" i="22"/>
  <c r="N383" i="22"/>
  <c r="X383" i="22" s="1"/>
  <c r="S383" i="22"/>
  <c r="K383" i="22"/>
  <c r="U383" i="22"/>
  <c r="I383" i="22"/>
  <c r="H383" i="22"/>
  <c r="F383" i="22"/>
  <c r="D383" i="22"/>
  <c r="D384" i="22"/>
  <c r="N384" i="22"/>
  <c r="X384" i="22" s="1"/>
  <c r="G384" i="22"/>
  <c r="U384" i="22"/>
  <c r="F384" i="22"/>
  <c r="T384" i="22"/>
  <c r="M384" i="22"/>
  <c r="W384" i="22" s="1"/>
  <c r="S384" i="22"/>
  <c r="K384" i="22"/>
  <c r="O384" i="22"/>
  <c r="Y384" i="22" s="1"/>
  <c r="P384" i="22"/>
  <c r="Z384" i="22" s="1"/>
  <c r="AD384" i="22"/>
  <c r="A384" i="22"/>
  <c r="E384" i="22"/>
  <c r="C384" i="22"/>
  <c r="L384" i="22"/>
  <c r="J384" i="22"/>
  <c r="H384" i="22"/>
  <c r="I384" i="22"/>
  <c r="L385" i="22"/>
  <c r="O385" i="22"/>
  <c r="Y385" i="22" s="1"/>
  <c r="N385" i="22"/>
  <c r="X385" i="22" s="1"/>
  <c r="T385" i="22"/>
  <c r="P385" i="22"/>
  <c r="Z385" i="22" s="1"/>
  <c r="U385" i="22"/>
  <c r="AD385" i="22"/>
  <c r="A385" i="22"/>
  <c r="F385" i="22"/>
  <c r="D385" i="22"/>
  <c r="S385" i="22"/>
  <c r="K385" i="22"/>
  <c r="H385" i="22"/>
  <c r="C385" i="22"/>
  <c r="E385" i="22"/>
  <c r="J385" i="22"/>
  <c r="G385" i="22"/>
  <c r="M385" i="22"/>
  <c r="W385" i="22" s="1"/>
  <c r="I385" i="22"/>
  <c r="L386" i="22"/>
  <c r="AD386" i="22"/>
  <c r="E386" i="22"/>
  <c r="F386" i="22"/>
  <c r="P386" i="22"/>
  <c r="Z386" i="22" s="1"/>
  <c r="S386" i="22"/>
  <c r="K386" i="22"/>
  <c r="M386" i="22"/>
  <c r="W386" i="22" s="1"/>
  <c r="C386" i="22"/>
  <c r="O386" i="22"/>
  <c r="Y386" i="22" s="1"/>
  <c r="A386" i="22"/>
  <c r="J386" i="22"/>
  <c r="I386" i="22"/>
  <c r="N386" i="22"/>
  <c r="X386" i="22" s="1"/>
  <c r="H386" i="22"/>
  <c r="T386" i="22"/>
  <c r="G386" i="22"/>
  <c r="D386" i="22"/>
  <c r="U386" i="22"/>
  <c r="T387" i="22"/>
  <c r="O387" i="22"/>
  <c r="Y387" i="22" s="1"/>
  <c r="G387" i="22"/>
  <c r="C387" i="22"/>
  <c r="E387" i="22"/>
  <c r="AD387" i="22"/>
  <c r="M387" i="22"/>
  <c r="W387" i="22" s="1"/>
  <c r="P387" i="22"/>
  <c r="Z387" i="22" s="1"/>
  <c r="J387" i="22"/>
  <c r="S387" i="22"/>
  <c r="D387" i="22"/>
  <c r="F387" i="22"/>
  <c r="L387" i="22"/>
  <c r="I387" i="22"/>
  <c r="A387" i="22"/>
  <c r="U387" i="22"/>
  <c r="K387" i="22"/>
  <c r="N387" i="22"/>
  <c r="X387" i="22" s="1"/>
  <c r="H387" i="22"/>
  <c r="AD300" i="22"/>
  <c r="T300" i="22"/>
  <c r="U300" i="22"/>
  <c r="O300" i="22"/>
  <c r="Y300" i="22" s="1"/>
  <c r="P300" i="22"/>
  <c r="Z300" i="22" s="1"/>
  <c r="S300" i="22"/>
  <c r="F300" i="22"/>
  <c r="C300" i="22"/>
  <c r="K300" i="22"/>
  <c r="D300" i="22"/>
  <c r="L300" i="22"/>
  <c r="M300" i="22"/>
  <c r="W300" i="22" s="1"/>
  <c r="A300" i="22"/>
  <c r="AH300" i="22"/>
  <c r="E300" i="22"/>
  <c r="G300" i="22"/>
  <c r="N300" i="22"/>
  <c r="X300" i="22" s="1"/>
  <c r="H300" i="22"/>
  <c r="I300" i="22"/>
  <c r="J300" i="22"/>
  <c r="A301" i="22"/>
  <c r="U301" i="22"/>
  <c r="D301" i="22"/>
  <c r="E301" i="22"/>
  <c r="K301" i="22"/>
  <c r="L301" i="22"/>
  <c r="AD301" i="22"/>
  <c r="J301" i="22"/>
  <c r="AH301" i="22"/>
  <c r="T301" i="22"/>
  <c r="C301" i="22"/>
  <c r="F301" i="22"/>
  <c r="N301" i="22"/>
  <c r="X301" i="22" s="1"/>
  <c r="O301" i="22"/>
  <c r="Y301" i="22" s="1"/>
  <c r="M301" i="22"/>
  <c r="W301" i="22" s="1"/>
  <c r="I301" i="22"/>
  <c r="H301" i="22"/>
  <c r="S301" i="22"/>
  <c r="P301" i="22"/>
  <c r="Z301" i="22" s="1"/>
  <c r="G301" i="22"/>
  <c r="U302" i="22"/>
  <c r="E302" i="22"/>
  <c r="L302" i="22"/>
  <c r="AH302" i="22"/>
  <c r="C302" i="22"/>
  <c r="M302" i="22"/>
  <c r="W302" i="22" s="1"/>
  <c r="S302" i="22"/>
  <c r="P302" i="22"/>
  <c r="Z302" i="22" s="1"/>
  <c r="T302" i="22"/>
  <c r="K302" i="22"/>
  <c r="J302" i="22"/>
  <c r="A302" i="22"/>
  <c r="F302" i="22"/>
  <c r="I302" i="22"/>
  <c r="H302" i="22"/>
  <c r="N302" i="22"/>
  <c r="X302" i="22" s="1"/>
  <c r="AD302" i="22"/>
  <c r="D302" i="22"/>
  <c r="G302" i="22"/>
  <c r="O302" i="22"/>
  <c r="Y302" i="22" s="1"/>
  <c r="S303" i="22"/>
  <c r="N303" i="22"/>
  <c r="X303" i="22" s="1"/>
  <c r="A303" i="22"/>
  <c r="M303" i="22"/>
  <c r="W303" i="22" s="1"/>
  <c r="E303" i="22"/>
  <c r="G303" i="22"/>
  <c r="L303" i="22"/>
  <c r="H303" i="22"/>
  <c r="I303" i="22"/>
  <c r="J303" i="22"/>
  <c r="F303" i="22"/>
  <c r="K303" i="22"/>
  <c r="D303" i="22"/>
  <c r="P303" i="22"/>
  <c r="Z303" i="22" s="1"/>
  <c r="T303" i="22"/>
  <c r="AD303" i="22"/>
  <c r="U303" i="22"/>
  <c r="O303" i="22"/>
  <c r="Y303" i="22" s="1"/>
  <c r="C303" i="22"/>
  <c r="AH303" i="22"/>
  <c r="C304" i="22"/>
  <c r="D304" i="22"/>
  <c r="T304" i="22"/>
  <c r="P304" i="22"/>
  <c r="Z304" i="22" s="1"/>
  <c r="A304" i="22"/>
  <c r="L304" i="22"/>
  <c r="H304" i="22"/>
  <c r="O304" i="22"/>
  <c r="Y304" i="22" s="1"/>
  <c r="I304" i="22"/>
  <c r="S304" i="22"/>
  <c r="AD304" i="22"/>
  <c r="AH304" i="22"/>
  <c r="K304" i="22"/>
  <c r="U304" i="22"/>
  <c r="J304" i="22"/>
  <c r="G304" i="22"/>
  <c r="M304" i="22"/>
  <c r="W304" i="22" s="1"/>
  <c r="F304" i="22"/>
  <c r="N304" i="22"/>
  <c r="X304" i="22" s="1"/>
  <c r="E304" i="22"/>
  <c r="P305" i="22"/>
  <c r="Z305" i="22" s="1"/>
  <c r="D305" i="22"/>
  <c r="L305" i="22"/>
  <c r="F305" i="22"/>
  <c r="S305" i="22"/>
  <c r="C305" i="22"/>
  <c r="AH305" i="22"/>
  <c r="E305" i="22"/>
  <c r="O305" i="22"/>
  <c r="Y305" i="22" s="1"/>
  <c r="G305" i="22"/>
  <c r="M305" i="22"/>
  <c r="W305" i="22" s="1"/>
  <c r="H305" i="22"/>
  <c r="N305" i="22"/>
  <c r="X305" i="22" s="1"/>
  <c r="U305" i="22"/>
  <c r="AD305" i="22"/>
  <c r="I305" i="22"/>
  <c r="T305" i="22"/>
  <c r="J305" i="22"/>
  <c r="A305" i="22"/>
  <c r="K305" i="22"/>
  <c r="F306" i="22"/>
  <c r="G306" i="22"/>
  <c r="N306" i="22"/>
  <c r="X306" i="22" s="1"/>
  <c r="O306" i="22"/>
  <c r="Y306" i="22" s="1"/>
  <c r="E306" i="22"/>
  <c r="M306" i="22"/>
  <c r="W306" i="22" s="1"/>
  <c r="J306" i="22"/>
  <c r="U306" i="22"/>
  <c r="S306" i="22"/>
  <c r="A306" i="22"/>
  <c r="T306" i="22"/>
  <c r="P306" i="22"/>
  <c r="Z306" i="22" s="1"/>
  <c r="L306" i="22"/>
  <c r="K306" i="22"/>
  <c r="I306" i="22"/>
  <c r="C306" i="22"/>
  <c r="AD306" i="22"/>
  <c r="H306" i="22"/>
  <c r="D306" i="22"/>
  <c r="AH306" i="22"/>
  <c r="O307" i="22"/>
  <c r="Y307" i="22" s="1"/>
  <c r="D307" i="22"/>
  <c r="AD307" i="22"/>
  <c r="AH307" i="22"/>
  <c r="J307" i="22"/>
  <c r="P307" i="22"/>
  <c r="Z307" i="22" s="1"/>
  <c r="E307" i="22"/>
  <c r="H307" i="22"/>
  <c r="F307" i="22"/>
  <c r="L307" i="22"/>
  <c r="M307" i="22"/>
  <c r="W307" i="22" s="1"/>
  <c r="A307" i="22"/>
  <c r="K307" i="22"/>
  <c r="C307" i="22"/>
  <c r="N307" i="22"/>
  <c r="X307" i="22" s="1"/>
  <c r="S307" i="22"/>
  <c r="I307" i="22"/>
  <c r="G307" i="22"/>
  <c r="T307" i="22"/>
  <c r="U307" i="22"/>
  <c r="AD308" i="22"/>
  <c r="L308" i="22"/>
  <c r="O308" i="22"/>
  <c r="Y308" i="22" s="1"/>
  <c r="E308" i="22"/>
  <c r="G308" i="22"/>
  <c r="K308" i="22"/>
  <c r="M308" i="22"/>
  <c r="W308" i="22" s="1"/>
  <c r="S308" i="22"/>
  <c r="C308" i="22"/>
  <c r="P308" i="22"/>
  <c r="Z308" i="22" s="1"/>
  <c r="D308" i="22"/>
  <c r="A308" i="22"/>
  <c r="T308" i="22"/>
  <c r="U308" i="22"/>
  <c r="I308" i="22"/>
  <c r="H308" i="22"/>
  <c r="J308" i="22"/>
  <c r="AH308" i="22"/>
  <c r="N308" i="22"/>
  <c r="X308" i="22" s="1"/>
  <c r="F308" i="22"/>
  <c r="A309" i="22"/>
  <c r="D309" i="22"/>
  <c r="O309" i="22"/>
  <c r="Y309" i="22" s="1"/>
  <c r="AH309" i="22"/>
  <c r="I309" i="22"/>
  <c r="K309" i="22"/>
  <c r="U309" i="22"/>
  <c r="S309" i="22"/>
  <c r="T309" i="22"/>
  <c r="G309" i="22"/>
  <c r="C309" i="22"/>
  <c r="E309" i="22"/>
  <c r="H309" i="22"/>
  <c r="M309" i="22"/>
  <c r="W309" i="22" s="1"/>
  <c r="L309" i="22"/>
  <c r="J309" i="22"/>
  <c r="P309" i="22"/>
  <c r="Z309" i="22" s="1"/>
  <c r="N309" i="22"/>
  <c r="X309" i="22" s="1"/>
  <c r="AD309" i="22"/>
  <c r="F309" i="22"/>
  <c r="F310" i="22"/>
  <c r="K310" i="22"/>
  <c r="I310" i="22"/>
  <c r="A310" i="22"/>
  <c r="P310" i="22"/>
  <c r="Z310" i="22" s="1"/>
  <c r="S310" i="22"/>
  <c r="O310" i="22"/>
  <c r="Y310" i="22" s="1"/>
  <c r="E310" i="22"/>
  <c r="G310" i="22"/>
  <c r="H310" i="22"/>
  <c r="C310" i="22"/>
  <c r="L310" i="22"/>
  <c r="AH310" i="22"/>
  <c r="D310" i="22"/>
  <c r="M310" i="22"/>
  <c r="W310" i="22" s="1"/>
  <c r="T310" i="22"/>
  <c r="N310" i="22"/>
  <c r="X310" i="22" s="1"/>
  <c r="J310" i="22"/>
  <c r="AD310" i="22"/>
  <c r="U310" i="22"/>
  <c r="U311" i="22"/>
  <c r="K311" i="22"/>
  <c r="AH311" i="22"/>
  <c r="H311" i="22"/>
  <c r="I311" i="22"/>
  <c r="A311" i="22"/>
  <c r="P311" i="22"/>
  <c r="Z311" i="22" s="1"/>
  <c r="O311" i="22"/>
  <c r="Y311" i="22" s="1"/>
  <c r="M311" i="22"/>
  <c r="W311" i="22" s="1"/>
  <c r="T311" i="22"/>
  <c r="J311" i="22"/>
  <c r="D311" i="22"/>
  <c r="L311" i="22"/>
  <c r="C311" i="22"/>
  <c r="F311" i="22"/>
  <c r="N311" i="22"/>
  <c r="X311" i="22" s="1"/>
  <c r="G311" i="22"/>
  <c r="E311" i="22"/>
  <c r="AD311" i="22"/>
  <c r="S311" i="22"/>
  <c r="AH312" i="22"/>
  <c r="L312" i="22"/>
  <c r="C312" i="22"/>
  <c r="T312" i="22"/>
  <c r="U312" i="22"/>
  <c r="K312" i="22"/>
  <c r="S312" i="22"/>
  <c r="O312" i="22"/>
  <c r="Y312" i="22" s="1"/>
  <c r="N312" i="22"/>
  <c r="X312" i="22" s="1"/>
  <c r="F312" i="22"/>
  <c r="P312" i="22"/>
  <c r="Z312" i="22" s="1"/>
  <c r="J312" i="22"/>
  <c r="I312" i="22"/>
  <c r="E312" i="22"/>
  <c r="H312" i="22"/>
  <c r="AD312" i="22"/>
  <c r="M312" i="22"/>
  <c r="W312" i="22" s="1"/>
  <c r="A312" i="22"/>
  <c r="D312" i="22"/>
  <c r="G312" i="22"/>
  <c r="E313" i="22"/>
  <c r="A313" i="22"/>
  <c r="G313" i="22"/>
  <c r="L313" i="22"/>
  <c r="I313" i="22"/>
  <c r="S313" i="22"/>
  <c r="AD313" i="22"/>
  <c r="D313" i="22"/>
  <c r="J313" i="22"/>
  <c r="AH313" i="22"/>
  <c r="T313" i="22"/>
  <c r="U313" i="22"/>
  <c r="F313" i="22"/>
  <c r="N313" i="22"/>
  <c r="X313" i="22" s="1"/>
  <c r="M313" i="22"/>
  <c r="W313" i="22" s="1"/>
  <c r="H313" i="22"/>
  <c r="C313" i="22"/>
  <c r="O313" i="22"/>
  <c r="Y313" i="22" s="1"/>
  <c r="K313" i="22"/>
  <c r="P313" i="22"/>
  <c r="Z313" i="22" s="1"/>
  <c r="U314" i="22"/>
  <c r="F314" i="22"/>
  <c r="H314" i="22"/>
  <c r="I314" i="22"/>
  <c r="T314" i="22"/>
  <c r="S314" i="22"/>
  <c r="J314" i="22"/>
  <c r="E314" i="22"/>
  <c r="O314" i="22"/>
  <c r="Y314" i="22" s="1"/>
  <c r="N314" i="22"/>
  <c r="X314" i="22" s="1"/>
  <c r="M314" i="22"/>
  <c r="W314" i="22" s="1"/>
  <c r="D314" i="22"/>
  <c r="L314" i="22"/>
  <c r="AH314" i="22"/>
  <c r="G314" i="22"/>
  <c r="AD314" i="22"/>
  <c r="C314" i="22"/>
  <c r="A314" i="22"/>
  <c r="P314" i="22"/>
  <c r="Z314" i="22" s="1"/>
  <c r="K314" i="22"/>
  <c r="F315" i="22"/>
  <c r="O315" i="22"/>
  <c r="Y315" i="22" s="1"/>
  <c r="P315" i="22"/>
  <c r="Z315" i="22" s="1"/>
  <c r="J315" i="22"/>
  <c r="E315" i="22"/>
  <c r="N315" i="22"/>
  <c r="X315" i="22" s="1"/>
  <c r="U315" i="22"/>
  <c r="I315" i="22"/>
  <c r="S315" i="22"/>
  <c r="A315" i="22"/>
  <c r="M315" i="22"/>
  <c r="W315" i="22" s="1"/>
  <c r="L315" i="22"/>
  <c r="K315" i="22"/>
  <c r="D315" i="22"/>
  <c r="AD315" i="22"/>
  <c r="T315" i="22"/>
  <c r="AH315" i="22"/>
  <c r="C315" i="22"/>
  <c r="H315" i="22"/>
  <c r="G315" i="22"/>
  <c r="C316" i="22"/>
  <c r="J316" i="22"/>
  <c r="E316" i="22"/>
  <c r="D316" i="22"/>
  <c r="T316" i="22"/>
  <c r="I316" i="22"/>
  <c r="F316" i="22"/>
  <c r="A316" i="22" s="1"/>
  <c r="K316" i="22"/>
  <c r="H316" i="22"/>
  <c r="P316" i="22"/>
  <c r="Z316" i="22" s="1"/>
  <c r="AD316" i="22"/>
  <c r="O316" i="22"/>
  <c r="Y316" i="22" s="1"/>
  <c r="S316" i="22"/>
  <c r="G316" i="22"/>
  <c r="AH316" i="22"/>
  <c r="U316" i="22"/>
  <c r="U317" i="22"/>
  <c r="G317" i="22"/>
  <c r="AH317" i="22"/>
  <c r="O317" i="22"/>
  <c r="Y317" i="22" s="1"/>
  <c r="H317" i="22"/>
  <c r="AD317" i="22"/>
  <c r="I317" i="22"/>
  <c r="J317" i="22"/>
  <c r="K317" i="22"/>
  <c r="P317" i="22"/>
  <c r="Z317" i="22" s="1"/>
  <c r="T317" i="22"/>
  <c r="S317" i="22"/>
  <c r="E317" i="22"/>
  <c r="D317" i="22"/>
  <c r="F317" i="22" s="1"/>
  <c r="A317" i="22" s="1"/>
  <c r="C317" i="22"/>
  <c r="U318" i="22"/>
  <c r="H318" i="22"/>
  <c r="G318" i="22"/>
  <c r="D318" i="22"/>
  <c r="E318" i="22"/>
  <c r="AD318" i="22"/>
  <c r="C318" i="22"/>
  <c r="S318" i="22"/>
  <c r="T318" i="22"/>
  <c r="I318" i="22"/>
  <c r="AH318" i="22"/>
  <c r="U319" i="22"/>
  <c r="AH319" i="22"/>
  <c r="G319" i="22"/>
  <c r="K319" i="22"/>
  <c r="S319" i="22"/>
  <c r="N319" i="22"/>
  <c r="X319" i="22" s="1"/>
  <c r="A319" i="22"/>
  <c r="D319" i="22"/>
  <c r="C319" i="22"/>
  <c r="O319" i="22"/>
  <c r="Y319" i="22" s="1"/>
  <c r="T319" i="22"/>
  <c r="F319" i="22"/>
  <c r="J319" i="22"/>
  <c r="I319" i="22"/>
  <c r="H319" i="22"/>
  <c r="E319" i="22"/>
  <c r="M319" i="22"/>
  <c r="W319" i="22" s="1"/>
  <c r="L319" i="22"/>
  <c r="P319" i="22"/>
  <c r="Z319" i="22" s="1"/>
  <c r="AD319" i="22"/>
  <c r="U320" i="22"/>
  <c r="O320" i="22"/>
  <c r="Y320" i="22" s="1"/>
  <c r="AD320" i="22"/>
  <c r="E320" i="22"/>
  <c r="S320" i="22"/>
  <c r="G320" i="22"/>
  <c r="I320" i="22"/>
  <c r="T320" i="22"/>
  <c r="K320" i="22"/>
  <c r="AH320" i="22"/>
  <c r="J320" i="22"/>
  <c r="C320" i="22"/>
  <c r="D320" i="22"/>
  <c r="F320" i="22" s="1"/>
  <c r="A320" i="22" s="1"/>
  <c r="P320" i="22"/>
  <c r="Z320" i="22" s="1"/>
  <c r="H320" i="22"/>
  <c r="U321" i="22"/>
  <c r="C321" i="22"/>
  <c r="I321" i="22"/>
  <c r="E321" i="22"/>
  <c r="K321" i="22"/>
  <c r="T321" i="22"/>
  <c r="D321" i="22"/>
  <c r="G321" i="22"/>
  <c r="O321" i="22"/>
  <c r="Y321" i="22" s="1"/>
  <c r="S321" i="22"/>
  <c r="P321" i="22"/>
  <c r="Z321" i="22" s="1"/>
  <c r="H321" i="22"/>
  <c r="J321" i="22"/>
  <c r="AH321" i="22"/>
  <c r="AD321" i="22"/>
  <c r="F321" i="22"/>
  <c r="A321" i="22" s="1"/>
  <c r="U322" i="22"/>
  <c r="C322" i="22"/>
  <c r="I322" i="22"/>
  <c r="E322" i="22"/>
  <c r="AD322" i="22"/>
  <c r="J322" i="22"/>
  <c r="S322" i="22"/>
  <c r="AH322" i="22"/>
  <c r="K322" i="22"/>
  <c r="T322" i="22"/>
  <c r="P322" i="22"/>
  <c r="Z322" i="22" s="1"/>
  <c r="O322" i="22"/>
  <c r="Y322" i="22" s="1"/>
  <c r="G322" i="22"/>
  <c r="D322" i="22"/>
  <c r="F322" i="22" s="1"/>
  <c r="A322" i="22" s="1"/>
  <c r="H322" i="22"/>
  <c r="U323" i="22"/>
  <c r="D323" i="22"/>
  <c r="K323" i="22"/>
  <c r="C323" i="22"/>
  <c r="AH323" i="22"/>
  <c r="T323" i="22"/>
  <c r="I323" i="22"/>
  <c r="O323" i="22"/>
  <c r="Y323" i="22" s="1"/>
  <c r="G323" i="22"/>
  <c r="E323" i="22"/>
  <c r="F323" i="22" s="1"/>
  <c r="A323" i="22" s="1"/>
  <c r="J323" i="22"/>
  <c r="P323" i="22"/>
  <c r="Z323" i="22" s="1"/>
  <c r="S323" i="22"/>
  <c r="AD323" i="22"/>
  <c r="H323" i="22"/>
  <c r="U324" i="22"/>
  <c r="T324" i="22"/>
  <c r="G324" i="22"/>
  <c r="K324" i="22"/>
  <c r="D324" i="22"/>
  <c r="E324" i="22"/>
  <c r="I324" i="22"/>
  <c r="O324" i="22"/>
  <c r="Y324" i="22" s="1"/>
  <c r="AD324" i="22"/>
  <c r="AH324" i="22"/>
  <c r="H324" i="22"/>
  <c r="S324" i="22"/>
  <c r="P324" i="22"/>
  <c r="Z324" i="22" s="1"/>
  <c r="J324" i="22"/>
  <c r="C324" i="22"/>
  <c r="U325" i="22"/>
  <c r="K325" i="22"/>
  <c r="AH325" i="22"/>
  <c r="T325" i="22"/>
  <c r="C325" i="22"/>
  <c r="I325" i="22"/>
  <c r="AD325" i="22"/>
  <c r="D325" i="22"/>
  <c r="J325" i="22"/>
  <c r="O325" i="22"/>
  <c r="Y325" i="22" s="1"/>
  <c r="G325" i="22"/>
  <c r="H325" i="22"/>
  <c r="E325" i="22"/>
  <c r="F325" i="22"/>
  <c r="A325" i="22" s="1"/>
  <c r="S325" i="22"/>
  <c r="P325" i="22"/>
  <c r="Z325" i="22" s="1"/>
  <c r="J326" i="22"/>
  <c r="I326" i="22"/>
  <c r="H326" i="22"/>
  <c r="E326" i="22"/>
  <c r="K326" i="22"/>
  <c r="D326" i="22"/>
  <c r="F326" i="22" s="1"/>
  <c r="A326" i="22" s="1"/>
  <c r="O326" i="22"/>
  <c r="Y326" i="22" s="1"/>
  <c r="G326" i="22"/>
  <c r="T326" i="22"/>
  <c r="U326" i="22"/>
  <c r="AH326" i="22"/>
  <c r="C326" i="22"/>
  <c r="AD326" i="22"/>
  <c r="P326" i="22"/>
  <c r="Z326" i="22" s="1"/>
  <c r="S326" i="22"/>
  <c r="T327" i="22"/>
  <c r="H327" i="22"/>
  <c r="AH327" i="22"/>
  <c r="C327" i="22"/>
  <c r="I327" i="22"/>
  <c r="J327" i="22"/>
  <c r="K327" i="22"/>
  <c r="D327" i="22"/>
  <c r="AD327" i="22"/>
  <c r="G327" i="22"/>
  <c r="E327" i="22"/>
  <c r="P327" i="22"/>
  <c r="Z327" i="22" s="1"/>
  <c r="S327" i="22"/>
  <c r="U327" i="22"/>
  <c r="O327" i="22"/>
  <c r="Y327" i="22" s="1"/>
  <c r="AD328" i="22"/>
  <c r="U328" i="22"/>
  <c r="T328" i="22"/>
  <c r="S328" i="22"/>
  <c r="P328" i="22"/>
  <c r="Z328" i="22" s="1"/>
  <c r="O328" i="22"/>
  <c r="Y328" i="22" s="1"/>
  <c r="K328" i="22"/>
  <c r="J328" i="22"/>
  <c r="I328" i="22"/>
  <c r="H328" i="22"/>
  <c r="G328" i="22"/>
  <c r="E328" i="22"/>
  <c r="D328" i="22"/>
  <c r="C328" i="22"/>
  <c r="F328" i="22"/>
  <c r="A328" i="22"/>
  <c r="AH328" i="22"/>
  <c r="J329" i="22"/>
  <c r="AD329" i="22"/>
  <c r="I329" i="22"/>
  <c r="G329" i="22"/>
  <c r="S329" i="22"/>
  <c r="H329" i="22"/>
  <c r="K329" i="22"/>
  <c r="C329" i="22"/>
  <c r="E329" i="22"/>
  <c r="AH329" i="22"/>
  <c r="O329" i="22"/>
  <c r="Y329" i="22" s="1"/>
  <c r="U329" i="22"/>
  <c r="T329" i="22"/>
  <c r="P329" i="22"/>
  <c r="Z329" i="22" s="1"/>
  <c r="D329" i="22"/>
  <c r="F329" i="22" s="1"/>
  <c r="A329" i="22" s="1"/>
  <c r="G330" i="22"/>
  <c r="D330" i="22"/>
  <c r="C330" i="22"/>
  <c r="H330" i="22"/>
  <c r="AH330" i="22"/>
  <c r="E330" i="22"/>
  <c r="F330" i="22" s="1"/>
  <c r="A330" i="22" s="1"/>
  <c r="T330" i="22"/>
  <c r="K330" i="22"/>
  <c r="I330" i="22"/>
  <c r="AD330" i="22"/>
  <c r="J330" i="22"/>
  <c r="P330" i="22"/>
  <c r="Z330" i="22" s="1"/>
  <c r="S330" i="22"/>
  <c r="U330" i="22"/>
  <c r="O330" i="22"/>
  <c r="Y330" i="22" s="1"/>
  <c r="C331" i="22"/>
  <c r="P331" i="22"/>
  <c r="Z331" i="22" s="1"/>
  <c r="S331" i="22"/>
  <c r="K331" i="22"/>
  <c r="AD331" i="22"/>
  <c r="D331" i="22"/>
  <c r="I331" i="22"/>
  <c r="U331" i="22"/>
  <c r="G331" i="22"/>
  <c r="J331" i="22"/>
  <c r="E331" i="22"/>
  <c r="F331" i="22" s="1"/>
  <c r="A331" i="22" s="1"/>
  <c r="O331" i="22"/>
  <c r="Y331" i="22" s="1"/>
  <c r="H331" i="22"/>
  <c r="AH331" i="22"/>
  <c r="T331" i="22"/>
  <c r="E332" i="22"/>
  <c r="H332" i="22"/>
  <c r="O332" i="22"/>
  <c r="Y332" i="22" s="1"/>
  <c r="AD332" i="22"/>
  <c r="AH332" i="22"/>
  <c r="P332" i="22"/>
  <c r="Z332" i="22" s="1"/>
  <c r="C332" i="22"/>
  <c r="J332" i="22"/>
  <c r="I332" i="22"/>
  <c r="D332" i="22"/>
  <c r="K332" i="22"/>
  <c r="T332" i="22"/>
  <c r="G332" i="22"/>
  <c r="F332" i="22"/>
  <c r="A332" i="22" s="1"/>
  <c r="S332" i="22"/>
  <c r="U332" i="22"/>
  <c r="H333" i="22"/>
  <c r="O333" i="22"/>
  <c r="Y333" i="22" s="1"/>
  <c r="AD333" i="22"/>
  <c r="G333" i="22"/>
  <c r="S333" i="22"/>
  <c r="D333" i="22"/>
  <c r="I333" i="22"/>
  <c r="U333" i="22"/>
  <c r="P333" i="22"/>
  <c r="Z333" i="22" s="1"/>
  <c r="T333" i="22"/>
  <c r="C333" i="22"/>
  <c r="J333" i="22"/>
  <c r="AH333" i="22"/>
  <c r="E333" i="22"/>
  <c r="F333" i="22" s="1"/>
  <c r="A333" i="22" s="1"/>
  <c r="K333" i="22"/>
  <c r="G334" i="22"/>
  <c r="O334" i="22"/>
  <c r="Y334" i="22" s="1"/>
  <c r="C334" i="22"/>
  <c r="AD334" i="22"/>
  <c r="P334" i="22"/>
  <c r="Z334" i="22" s="1"/>
  <c r="D334" i="22"/>
  <c r="AH334" i="22"/>
  <c r="T334" i="22"/>
  <c r="I334" i="22"/>
  <c r="E334" i="22"/>
  <c r="U334" i="22"/>
  <c r="K334" i="22"/>
  <c r="S334" i="22"/>
  <c r="J334" i="22"/>
  <c r="H334" i="22"/>
  <c r="N335" i="22"/>
  <c r="X335" i="22" s="1"/>
  <c r="J335" i="22"/>
  <c r="L335" i="22"/>
  <c r="M335" i="22"/>
  <c r="W335" i="22" s="1"/>
  <c r="E335" i="22"/>
  <c r="A335" i="22"/>
  <c r="O335" i="22"/>
  <c r="Y335" i="22" s="1"/>
  <c r="C335" i="22"/>
  <c r="U335" i="22"/>
  <c r="AD335" i="22"/>
  <c r="AH335" i="22"/>
  <c r="F335" i="22"/>
  <c r="D335" i="22"/>
  <c r="I335" i="22"/>
  <c r="G335" i="22"/>
  <c r="S335" i="22"/>
  <c r="H335" i="22"/>
  <c r="T335" i="22"/>
  <c r="P335" i="22"/>
  <c r="Z335" i="22" s="1"/>
  <c r="K335" i="22"/>
  <c r="H336" i="22"/>
  <c r="D336" i="22"/>
  <c r="I336" i="22"/>
  <c r="O336" i="22"/>
  <c r="Y336" i="22" s="1"/>
  <c r="S336" i="22"/>
  <c r="AD336" i="22"/>
  <c r="J336" i="22"/>
  <c r="T336" i="22"/>
  <c r="AH336" i="22"/>
  <c r="P336" i="22"/>
  <c r="Z336" i="22" s="1"/>
  <c r="K336" i="22"/>
  <c r="G336" i="22"/>
  <c r="U336" i="22"/>
  <c r="C336" i="22"/>
  <c r="E336" i="22"/>
  <c r="F336" i="22" s="1"/>
  <c r="A336" i="22" s="1"/>
  <c r="S337" i="22"/>
  <c r="F337" i="22"/>
  <c r="A337" i="22"/>
  <c r="H337" i="22"/>
  <c r="J337" i="22"/>
  <c r="N337" i="22"/>
  <c r="X337" i="22" s="1"/>
  <c r="L337" i="22"/>
  <c r="O337" i="22"/>
  <c r="Y337" i="22" s="1"/>
  <c r="D337" i="22"/>
  <c r="P337" i="22"/>
  <c r="Z337" i="22" s="1"/>
  <c r="I337" i="22"/>
  <c r="U337" i="22"/>
  <c r="AD337" i="22"/>
  <c r="C337" i="22"/>
  <c r="M337" i="22"/>
  <c r="W337" i="22" s="1"/>
  <c r="T337" i="22"/>
  <c r="G337" i="22"/>
  <c r="E337" i="22"/>
  <c r="K337" i="22"/>
  <c r="AH337" i="22"/>
  <c r="N338" i="22"/>
  <c r="X338" i="22" s="1"/>
  <c r="L338" i="22"/>
  <c r="A338" i="22"/>
  <c r="D338" i="22"/>
  <c r="O338" i="22"/>
  <c r="Y338" i="22" s="1"/>
  <c r="C338" i="22"/>
  <c r="U338" i="22"/>
  <c r="I338" i="22"/>
  <c r="AD338" i="22"/>
  <c r="F338" i="22"/>
  <c r="AH338" i="22"/>
  <c r="K338" i="22"/>
  <c r="P338" i="22"/>
  <c r="Z338" i="22" s="1"/>
  <c r="H338" i="22"/>
  <c r="S338" i="22"/>
  <c r="M338" i="22"/>
  <c r="W338" i="22" s="1"/>
  <c r="G338" i="22"/>
  <c r="T338" i="22"/>
  <c r="J338" i="22"/>
  <c r="E338" i="22"/>
  <c r="F339" i="22"/>
  <c r="L339" i="22"/>
  <c r="O339" i="22"/>
  <c r="Y339" i="22" s="1"/>
  <c r="J339" i="22"/>
  <c r="M339" i="22"/>
  <c r="W339" i="22" s="1"/>
  <c r="I339" i="22"/>
  <c r="AD339" i="22"/>
  <c r="S339" i="22"/>
  <c r="AH339" i="22"/>
  <c r="H339" i="22"/>
  <c r="P339" i="22"/>
  <c r="Z339" i="22" s="1"/>
  <c r="T339" i="22"/>
  <c r="A339" i="22"/>
  <c r="G339" i="22"/>
  <c r="K339" i="22"/>
  <c r="N339" i="22"/>
  <c r="X339" i="22" s="1"/>
  <c r="E339" i="22"/>
  <c r="U339" i="22"/>
  <c r="D339" i="22"/>
  <c r="C339" i="22"/>
  <c r="AD340" i="22"/>
  <c r="I340" i="22"/>
  <c r="E340" i="22"/>
  <c r="H340" i="22"/>
  <c r="U340" i="22"/>
  <c r="C340" i="22"/>
  <c r="D340" i="22"/>
  <c r="F340" i="22" s="1"/>
  <c r="A340" i="22" s="1"/>
  <c r="AH340" i="22"/>
  <c r="T340" i="22"/>
  <c r="G340" i="22"/>
  <c r="S340" i="22"/>
  <c r="AD341" i="22"/>
  <c r="D341" i="22"/>
  <c r="S341" i="22"/>
  <c r="T341" i="22"/>
  <c r="O341" i="22"/>
  <c r="Y341" i="22" s="1"/>
  <c r="U341" i="22"/>
  <c r="P341" i="22"/>
  <c r="Z341" i="22" s="1"/>
  <c r="J341" i="22"/>
  <c r="I341" i="22"/>
  <c r="AH341" i="22"/>
  <c r="C341" i="22"/>
  <c r="G341" i="22"/>
  <c r="K341" i="22"/>
  <c r="E341" i="22"/>
  <c r="F341" i="22" s="1"/>
  <c r="A341" i="22" s="1"/>
  <c r="H341" i="22"/>
  <c r="G342" i="22"/>
  <c r="I342" i="22"/>
  <c r="O342" i="22"/>
  <c r="Y342" i="22" s="1"/>
  <c r="E342" i="22"/>
  <c r="AH342" i="22"/>
  <c r="AD342" i="22"/>
  <c r="P342" i="22"/>
  <c r="Z342" i="22" s="1"/>
  <c r="U342" i="22"/>
  <c r="S342" i="22"/>
  <c r="T342" i="22"/>
  <c r="D342" i="22"/>
  <c r="F342" i="22" s="1"/>
  <c r="A342" i="22" s="1"/>
  <c r="C342" i="22"/>
  <c r="K342" i="22"/>
  <c r="H342" i="22"/>
  <c r="J342" i="22"/>
  <c r="I343" i="22"/>
  <c r="J343" i="22"/>
  <c r="P343" i="22"/>
  <c r="Z343" i="22" s="1"/>
  <c r="U343" i="22"/>
  <c r="D343" i="22"/>
  <c r="C343" i="22"/>
  <c r="K343" i="22"/>
  <c r="H343" i="22"/>
  <c r="G343" i="22"/>
  <c r="AD343" i="22"/>
  <c r="S343" i="22"/>
  <c r="T343" i="22"/>
  <c r="AH343" i="22"/>
  <c r="E343" i="22"/>
  <c r="F343" i="22" s="1"/>
  <c r="A343" i="22" s="1"/>
  <c r="O343" i="22"/>
  <c r="Y343" i="22" s="1"/>
  <c r="E221" i="22"/>
  <c r="H221" i="22"/>
  <c r="K221" i="22"/>
  <c r="D221" i="22"/>
  <c r="C221" i="22"/>
  <c r="AE221" i="22" s="1"/>
  <c r="AF221" i="22" s="1"/>
  <c r="J221" i="22"/>
  <c r="G221" i="22"/>
  <c r="I221" i="22"/>
  <c r="E222" i="22"/>
  <c r="D222" i="22"/>
  <c r="I222" i="22"/>
  <c r="H222" i="22"/>
  <c r="C222" i="22"/>
  <c r="AE222" i="22" s="1"/>
  <c r="AF222" i="22" s="1"/>
  <c r="J222" i="22"/>
  <c r="G222" i="22"/>
  <c r="K222" i="22"/>
  <c r="C223" i="22"/>
  <c r="AE223" i="22" s="1"/>
  <c r="AF223" i="22" s="1"/>
  <c r="H223" i="22"/>
  <c r="J223" i="22"/>
  <c r="D223" i="22"/>
  <c r="I223" i="22"/>
  <c r="E223" i="22"/>
  <c r="G223" i="22"/>
  <c r="K223" i="22"/>
  <c r="J224" i="22"/>
  <c r="I224" i="22"/>
  <c r="K224" i="22"/>
  <c r="E224" i="22"/>
  <c r="H224" i="22"/>
  <c r="D224" i="22"/>
  <c r="G224" i="22"/>
  <c r="C224" i="22"/>
  <c r="AE224" i="22" s="1"/>
  <c r="AF224" i="22" s="1"/>
  <c r="J225" i="22"/>
  <c r="H225" i="22"/>
  <c r="K225" i="22"/>
  <c r="E225" i="22"/>
  <c r="I225" i="22"/>
  <c r="G225" i="22"/>
  <c r="D225" i="22"/>
  <c r="C225" i="22"/>
  <c r="AE225" i="22" s="1"/>
  <c r="AF225" i="22" s="1"/>
  <c r="H226" i="22"/>
  <c r="G226" i="22"/>
  <c r="K226" i="22"/>
  <c r="C226" i="22"/>
  <c r="AE226" i="22" s="1"/>
  <c r="AF226" i="22" s="1"/>
  <c r="E226" i="22"/>
  <c r="J226" i="22"/>
  <c r="AG226" i="22" s="1"/>
  <c r="D226" i="22"/>
  <c r="I226" i="22"/>
  <c r="H227" i="22"/>
  <c r="D227" i="22"/>
  <c r="C227" i="22"/>
  <c r="AE227" i="22" s="1"/>
  <c r="AF227" i="22" s="1"/>
  <c r="I227" i="22"/>
  <c r="E227" i="22"/>
  <c r="J227" i="22"/>
  <c r="AG227" i="22" s="1"/>
  <c r="K227" i="22"/>
  <c r="G227" i="22"/>
  <c r="H228" i="22"/>
  <c r="G228" i="22"/>
  <c r="K228" i="22"/>
  <c r="D228" i="22"/>
  <c r="C228" i="22"/>
  <c r="AE228" i="22" s="1"/>
  <c r="AF228" i="22" s="1"/>
  <c r="I228" i="22"/>
  <c r="E228" i="22"/>
  <c r="J228" i="22"/>
  <c r="AG228" i="22" s="1"/>
  <c r="E229" i="22"/>
  <c r="G229" i="22"/>
  <c r="C229" i="22"/>
  <c r="AE229" i="22" s="1"/>
  <c r="AF229" i="22" s="1"/>
  <c r="D229" i="22"/>
  <c r="K229" i="22"/>
  <c r="I229" i="22"/>
  <c r="J229" i="22"/>
  <c r="H229" i="22"/>
  <c r="E230" i="22"/>
  <c r="G230" i="22"/>
  <c r="D230" i="22"/>
  <c r="K230" i="22"/>
  <c r="I230" i="22"/>
  <c r="H230" i="22"/>
  <c r="J230" i="22"/>
  <c r="AG230" i="22" s="1"/>
  <c r="C230" i="22"/>
  <c r="AE230" i="22" s="1"/>
  <c r="AF230" i="22" s="1"/>
  <c r="E231" i="22"/>
  <c r="C231" i="22"/>
  <c r="AE231" i="22" s="1"/>
  <c r="AF231" i="22" s="1"/>
  <c r="G231" i="22"/>
  <c r="D231" i="22"/>
  <c r="K231" i="22"/>
  <c r="H231" i="22"/>
  <c r="J231" i="22"/>
  <c r="AG231" i="22" s="1"/>
  <c r="I231" i="22"/>
  <c r="G232" i="22"/>
  <c r="E232" i="22"/>
  <c r="D232" i="22"/>
  <c r="C232" i="22"/>
  <c r="AE232" i="22" s="1"/>
  <c r="AF232" i="22" s="1"/>
  <c r="H232" i="22"/>
  <c r="I232" i="22"/>
  <c r="J232" i="22"/>
  <c r="K232" i="22"/>
  <c r="C233" i="22"/>
  <c r="AE233" i="22" s="1"/>
  <c r="AF233" i="22" s="1"/>
  <c r="D233" i="22"/>
  <c r="H233" i="22"/>
  <c r="I233" i="22"/>
  <c r="K233" i="22"/>
  <c r="G233" i="22"/>
  <c r="J233" i="22"/>
  <c r="AG233" i="22" s="1"/>
  <c r="E233" i="22"/>
  <c r="G234" i="22"/>
  <c r="D234" i="22"/>
  <c r="C234" i="22"/>
  <c r="AE234" i="22" s="1"/>
  <c r="AF234" i="22" s="1"/>
  <c r="K234" i="22"/>
  <c r="H234" i="22"/>
  <c r="E234" i="22"/>
  <c r="I234" i="22"/>
  <c r="J234" i="22"/>
  <c r="AG234" i="22" s="1"/>
  <c r="K235" i="22"/>
  <c r="G235" i="22"/>
  <c r="C235" i="22"/>
  <c r="AE235" i="22" s="1"/>
  <c r="AF235" i="22" s="1"/>
  <c r="D235" i="22"/>
  <c r="E235" i="22"/>
  <c r="J235" i="22"/>
  <c r="H235" i="22"/>
  <c r="I235" i="22"/>
  <c r="G236" i="22"/>
  <c r="K236" i="22"/>
  <c r="I236" i="22"/>
  <c r="J236" i="22"/>
  <c r="E236" i="22"/>
  <c r="C236" i="22"/>
  <c r="AE236" i="22" s="1"/>
  <c r="AF236" i="22" s="1"/>
  <c r="H236" i="22"/>
  <c r="D236" i="22"/>
  <c r="D237" i="22"/>
  <c r="G237" i="22"/>
  <c r="K237" i="22"/>
  <c r="J237" i="22"/>
  <c r="E237" i="22"/>
  <c r="I237" i="22"/>
  <c r="H237" i="22"/>
  <c r="C237" i="22"/>
  <c r="AE237" i="22" s="1"/>
  <c r="AF237" i="22" s="1"/>
  <c r="G238" i="22"/>
  <c r="K238" i="22"/>
  <c r="E238" i="22"/>
  <c r="I238" i="22"/>
  <c r="C238" i="22"/>
  <c r="AE238" i="22" s="1"/>
  <c r="AF238" i="22" s="1"/>
  <c r="J238" i="22"/>
  <c r="D238" i="22"/>
  <c r="H238" i="22"/>
  <c r="K239" i="22"/>
  <c r="E239" i="22"/>
  <c r="J239" i="22"/>
  <c r="D239" i="22"/>
  <c r="H239" i="22"/>
  <c r="C239" i="22"/>
  <c r="AE239" i="22" s="1"/>
  <c r="AF239" i="22" s="1"/>
  <c r="G239" i="22"/>
  <c r="I239" i="22"/>
  <c r="K240" i="22"/>
  <c r="I240" i="22"/>
  <c r="E240" i="22"/>
  <c r="J240" i="22"/>
  <c r="D240" i="22"/>
  <c r="C240" i="22"/>
  <c r="AE240" i="22" s="1"/>
  <c r="AF240" i="22" s="1"/>
  <c r="G240" i="22"/>
  <c r="H240" i="22"/>
  <c r="C241" i="22"/>
  <c r="AE241" i="22" s="1"/>
  <c r="AF241" i="22" s="1"/>
  <c r="E241" i="22"/>
  <c r="K241" i="22"/>
  <c r="G241" i="22"/>
  <c r="J241" i="22"/>
  <c r="D241" i="22"/>
  <c r="I241" i="22"/>
  <c r="H241" i="22"/>
  <c r="K242" i="22"/>
  <c r="D242" i="22"/>
  <c r="H242" i="22"/>
  <c r="I242" i="22"/>
  <c r="J242" i="22"/>
  <c r="AG242" i="22" s="1"/>
  <c r="C242" i="22"/>
  <c r="AE242" i="22" s="1"/>
  <c r="AF242" i="22" s="1"/>
  <c r="E242" i="22"/>
  <c r="G242" i="22"/>
  <c r="D243" i="22"/>
  <c r="E243" i="22"/>
  <c r="I243" i="22"/>
  <c r="H243" i="22"/>
  <c r="K243" i="22"/>
  <c r="J243" i="22"/>
  <c r="AG243" i="22" s="1"/>
  <c r="C243" i="22"/>
  <c r="AE243" i="22" s="1"/>
  <c r="AF243" i="22" s="1"/>
  <c r="G243" i="22"/>
  <c r="D244" i="22"/>
  <c r="E244" i="22"/>
  <c r="I244" i="22"/>
  <c r="C244" i="22"/>
  <c r="AE244" i="22" s="1"/>
  <c r="AF244" i="22" s="1"/>
  <c r="K244" i="22"/>
  <c r="H244" i="22"/>
  <c r="J244" i="22"/>
  <c r="AG244" i="22" s="1"/>
  <c r="G244" i="22"/>
  <c r="C245" i="22"/>
  <c r="AE245" i="22" s="1"/>
  <c r="AF245" i="22" s="1"/>
  <c r="E245" i="22"/>
  <c r="D245" i="22"/>
  <c r="J245" i="22"/>
  <c r="Q245" i="22" s="1"/>
  <c r="H245" i="22"/>
  <c r="K245" i="22"/>
  <c r="I245" i="22"/>
  <c r="G245" i="22"/>
  <c r="J246" i="22"/>
  <c r="Q246" i="22" s="1"/>
  <c r="C246" i="22"/>
  <c r="AE246" i="22" s="1"/>
  <c r="AF246" i="22" s="1"/>
  <c r="G246" i="22"/>
  <c r="D246" i="22"/>
  <c r="E246" i="22"/>
  <c r="K246" i="22"/>
  <c r="H246" i="22"/>
  <c r="I246" i="22"/>
  <c r="C247" i="22"/>
  <c r="AE247" i="22" s="1"/>
  <c r="AF247" i="22" s="1"/>
  <c r="J247" i="22"/>
  <c r="Q247" i="22" s="1"/>
  <c r="D247" i="22"/>
  <c r="K247" i="22"/>
  <c r="E247" i="22"/>
  <c r="G247" i="22"/>
  <c r="H247" i="22"/>
  <c r="I247" i="22"/>
  <c r="I248" i="22"/>
  <c r="C248" i="22"/>
  <c r="AE248" i="22" s="1"/>
  <c r="AF248" i="22" s="1"/>
  <c r="J248" i="22"/>
  <c r="Q248" i="22" s="1"/>
  <c r="D248" i="22"/>
  <c r="G248" i="22"/>
  <c r="H248" i="22"/>
  <c r="K248" i="22"/>
  <c r="E248" i="22"/>
  <c r="K249" i="22"/>
  <c r="C249" i="22"/>
  <c r="AE249" i="22" s="1"/>
  <c r="AF249" i="22" s="1"/>
  <c r="G249" i="22"/>
  <c r="E249" i="22"/>
  <c r="D249" i="22"/>
  <c r="H249" i="22"/>
  <c r="J249" i="22"/>
  <c r="I249" i="22"/>
  <c r="D250" i="22"/>
  <c r="E250" i="22"/>
  <c r="C250" i="22"/>
  <c r="AE250" i="22" s="1"/>
  <c r="AF250" i="22" s="1"/>
  <c r="G250" i="22"/>
  <c r="I250" i="22"/>
  <c r="K250" i="22"/>
  <c r="J250" i="22"/>
  <c r="Q250" i="22" s="1"/>
  <c r="H250" i="22"/>
  <c r="I251" i="22"/>
  <c r="C251" i="22"/>
  <c r="AE251" i="22" s="1"/>
  <c r="AF251" i="22" s="1"/>
  <c r="D251" i="22"/>
  <c r="G251" i="22"/>
  <c r="K251" i="22"/>
  <c r="J251" i="22"/>
  <c r="Q251" i="22" s="1"/>
  <c r="H251" i="22"/>
  <c r="E251" i="22"/>
  <c r="H252" i="22"/>
  <c r="J252" i="22"/>
  <c r="C252" i="22"/>
  <c r="AE252" i="22" s="1"/>
  <c r="AF252" i="22" s="1"/>
  <c r="K252" i="22"/>
  <c r="I252" i="22"/>
  <c r="G252" i="22"/>
  <c r="D252" i="22"/>
  <c r="E252" i="22"/>
  <c r="H253" i="22"/>
  <c r="J253" i="22"/>
  <c r="G253" i="22"/>
  <c r="C253" i="22"/>
  <c r="AE253" i="22" s="1"/>
  <c r="AF253" i="22" s="1"/>
  <c r="E253" i="22"/>
  <c r="I253" i="22"/>
  <c r="K253" i="22"/>
  <c r="D253" i="22"/>
  <c r="J254" i="22"/>
  <c r="Q254" i="22" s="1"/>
  <c r="I254" i="22"/>
  <c r="C254" i="22"/>
  <c r="AE254" i="22" s="1"/>
  <c r="AF254" i="22" s="1"/>
  <c r="K254" i="22"/>
  <c r="H254" i="22"/>
  <c r="E254" i="22"/>
  <c r="D254" i="22"/>
  <c r="G254" i="22"/>
  <c r="J255" i="22"/>
  <c r="Q255" i="22" s="1"/>
  <c r="D255" i="22"/>
  <c r="I255" i="22"/>
  <c r="G255" i="22"/>
  <c r="C255" i="22"/>
  <c r="AE255" i="22" s="1"/>
  <c r="AF255" i="22" s="1"/>
  <c r="K255" i="22"/>
  <c r="H255" i="22"/>
  <c r="E255" i="22"/>
  <c r="C256" i="22"/>
  <c r="AE256" i="22" s="1"/>
  <c r="AF256" i="22" s="1"/>
  <c r="K256" i="22"/>
  <c r="H256" i="22"/>
  <c r="J256" i="22"/>
  <c r="I256" i="22"/>
  <c r="E256" i="22"/>
  <c r="G256" i="22"/>
  <c r="D256" i="22"/>
  <c r="G257" i="22"/>
  <c r="I257" i="22"/>
  <c r="H257" i="22"/>
  <c r="J257" i="22"/>
  <c r="E257" i="22"/>
  <c r="D257" i="22"/>
  <c r="K257" i="22"/>
  <c r="C257" i="22"/>
  <c r="AE257" i="22" s="1"/>
  <c r="AF257" i="22" s="1"/>
  <c r="C258" i="22"/>
  <c r="AE258" i="22" s="1"/>
  <c r="AF258" i="22" s="1"/>
  <c r="E258" i="22"/>
  <c r="I258" i="22"/>
  <c r="G258" i="22"/>
  <c r="D258" i="22"/>
  <c r="H258" i="22"/>
  <c r="K258" i="22"/>
  <c r="J258" i="22"/>
  <c r="I259" i="22"/>
  <c r="E259" i="22"/>
  <c r="D259" i="22"/>
  <c r="G259" i="22"/>
  <c r="H259" i="22"/>
  <c r="J259" i="22"/>
  <c r="K259" i="22"/>
  <c r="C259" i="22"/>
  <c r="AE259" i="22" s="1"/>
  <c r="AF259" i="22" s="1"/>
  <c r="G260" i="22"/>
  <c r="H260" i="22"/>
  <c r="I260" i="22"/>
  <c r="D260" i="22"/>
  <c r="C260" i="22"/>
  <c r="AE260" i="22" s="1"/>
  <c r="AF260" i="22" s="1"/>
  <c r="E260" i="22"/>
  <c r="K260" i="22"/>
  <c r="J260" i="22"/>
  <c r="G261" i="22"/>
  <c r="H261" i="22"/>
  <c r="D261" i="22"/>
  <c r="C261" i="22"/>
  <c r="AE261" i="22" s="1"/>
  <c r="AF261" i="22" s="1"/>
  <c r="K261" i="22"/>
  <c r="J261" i="22"/>
  <c r="E261" i="22"/>
  <c r="L261" i="22"/>
  <c r="I261" i="22"/>
  <c r="G262" i="22"/>
  <c r="D262" i="22"/>
  <c r="I262" i="22"/>
  <c r="L262" i="22"/>
  <c r="C262" i="22"/>
  <c r="AE262" i="22" s="1"/>
  <c r="AF262" i="22" s="1"/>
  <c r="K262" i="22"/>
  <c r="J262" i="22"/>
  <c r="Q262" i="22" s="1"/>
  <c r="H262" i="22"/>
  <c r="E262" i="22"/>
  <c r="H263" i="22"/>
  <c r="J263" i="22"/>
  <c r="L263" i="22"/>
  <c r="D263" i="22"/>
  <c r="K263" i="22"/>
  <c r="C263" i="22"/>
  <c r="AE263" i="22" s="1"/>
  <c r="AF263" i="22" s="1"/>
  <c r="G263" i="22"/>
  <c r="E263" i="22"/>
  <c r="I263" i="22"/>
  <c r="I264" i="22"/>
  <c r="J264" i="22"/>
  <c r="Q264" i="22" s="1"/>
  <c r="E264" i="22"/>
  <c r="C264" i="22"/>
  <c r="AE264" i="22" s="1"/>
  <c r="AF264" i="22" s="1"/>
  <c r="G264" i="22"/>
  <c r="D264" i="22"/>
  <c r="H264" i="22"/>
  <c r="L264" i="22"/>
  <c r="K264" i="22"/>
  <c r="H265" i="22"/>
  <c r="K265" i="22"/>
  <c r="I265" i="22"/>
  <c r="C265" i="22"/>
  <c r="AE265" i="22" s="1"/>
  <c r="AF265" i="22" s="1"/>
  <c r="J265" i="22"/>
  <c r="E265" i="22"/>
  <c r="L265" i="22"/>
  <c r="G265" i="22"/>
  <c r="D265" i="22"/>
  <c r="H266" i="22"/>
  <c r="G266" i="22"/>
  <c r="J266" i="22"/>
  <c r="D266" i="22"/>
  <c r="L266" i="22"/>
  <c r="E266" i="22"/>
  <c r="K266" i="22"/>
  <c r="C266" i="22"/>
  <c r="AE266" i="22" s="1"/>
  <c r="AF266" i="22" s="1"/>
  <c r="I266" i="22"/>
  <c r="C267" i="22"/>
  <c r="AE267" i="22" s="1"/>
  <c r="AF267" i="22" s="1"/>
  <c r="E267" i="22"/>
  <c r="K267" i="22"/>
  <c r="I267" i="22"/>
  <c r="J267" i="22"/>
  <c r="Q267" i="22" s="1"/>
  <c r="G267" i="22"/>
  <c r="D267" i="22"/>
  <c r="H267" i="22"/>
  <c r="L267" i="22"/>
  <c r="C268" i="22"/>
  <c r="AE268" i="22" s="1"/>
  <c r="AF268" i="22" s="1"/>
  <c r="I268" i="22"/>
  <c r="K268" i="22"/>
  <c r="D268" i="22"/>
  <c r="H268" i="22"/>
  <c r="E268" i="22"/>
  <c r="J268" i="22"/>
  <c r="L268" i="22"/>
  <c r="G268" i="22"/>
  <c r="C269" i="22"/>
  <c r="AE269" i="22" s="1"/>
  <c r="AF269" i="22" s="1"/>
  <c r="H269" i="22"/>
  <c r="J269" i="22"/>
  <c r="I269" i="22"/>
  <c r="G269" i="22"/>
  <c r="E269" i="22"/>
  <c r="K269" i="22"/>
  <c r="D269" i="22"/>
  <c r="L269" i="22"/>
  <c r="C270" i="22"/>
  <c r="AE270" i="22" s="1"/>
  <c r="AF270" i="22" s="1"/>
  <c r="J270" i="22"/>
  <c r="Q270" i="22" s="1"/>
  <c r="I270" i="22"/>
  <c r="H270" i="22"/>
  <c r="K270" i="22"/>
  <c r="E270" i="22"/>
  <c r="D270" i="22"/>
  <c r="L270" i="22"/>
  <c r="G270" i="22"/>
  <c r="C271" i="22"/>
  <c r="AE271" i="22" s="1"/>
  <c r="AF271" i="22" s="1"/>
  <c r="H271" i="22"/>
  <c r="G271" i="22"/>
  <c r="E271" i="22"/>
  <c r="I271" i="22"/>
  <c r="D271" i="22"/>
  <c r="L271" i="22"/>
  <c r="J271" i="22"/>
  <c r="K271" i="22"/>
  <c r="C272" i="22"/>
  <c r="AE272" i="22" s="1"/>
  <c r="AF272" i="22" s="1"/>
  <c r="H272" i="22"/>
  <c r="K272" i="22"/>
  <c r="G272" i="22"/>
  <c r="E272" i="22"/>
  <c r="I272" i="22"/>
  <c r="D272" i="22"/>
  <c r="L272" i="22"/>
  <c r="J272" i="22"/>
  <c r="C273" i="22"/>
  <c r="AE273" i="22" s="1"/>
  <c r="AF273" i="22" s="1"/>
  <c r="H273" i="22"/>
  <c r="E273" i="22"/>
  <c r="D273" i="22"/>
  <c r="I273" i="22"/>
  <c r="G273" i="22"/>
  <c r="K273" i="22"/>
  <c r="J273" i="22"/>
  <c r="L273" i="22"/>
  <c r="C274" i="22"/>
  <c r="AE274" i="22" s="1"/>
  <c r="AF274" i="22" s="1"/>
  <c r="J274" i="22"/>
  <c r="Q274" i="22" s="1"/>
  <c r="I274" i="22"/>
  <c r="G274" i="22"/>
  <c r="E274" i="22"/>
  <c r="L274" i="22"/>
  <c r="K274" i="22"/>
  <c r="H274" i="22"/>
  <c r="D274" i="22"/>
  <c r="C275" i="22"/>
  <c r="AE275" i="22" s="1"/>
  <c r="AF275" i="22" s="1"/>
  <c r="I275" i="22"/>
  <c r="H275" i="22"/>
  <c r="K275" i="22"/>
  <c r="L275" i="22"/>
  <c r="J275" i="22"/>
  <c r="E275" i="22"/>
  <c r="D275" i="22"/>
  <c r="G275" i="22"/>
  <c r="C276" i="22"/>
  <c r="AE276" i="22" s="1"/>
  <c r="AF276" i="22" s="1"/>
  <c r="L276" i="22"/>
  <c r="I276" i="22"/>
  <c r="D276" i="22"/>
  <c r="E276" i="22"/>
  <c r="J276" i="22"/>
  <c r="Q276" i="22" s="1"/>
  <c r="K276" i="22"/>
  <c r="G276" i="22"/>
  <c r="H276" i="22"/>
  <c r="I277" i="22"/>
  <c r="C277" i="22"/>
  <c r="AE277" i="22" s="1"/>
  <c r="AF277" i="22" s="1"/>
  <c r="H277" i="22"/>
  <c r="D277" i="22"/>
  <c r="K277" i="22"/>
  <c r="G277" i="22"/>
  <c r="J277" i="22"/>
  <c r="E277" i="22"/>
  <c r="L277" i="22"/>
  <c r="K278" i="22"/>
  <c r="E278" i="22"/>
  <c r="G278" i="22"/>
  <c r="C278" i="22"/>
  <c r="AE278" i="22" s="1"/>
  <c r="AF278" i="22" s="1"/>
  <c r="D278" i="22"/>
  <c r="J278" i="22"/>
  <c r="Q278" i="22" s="1"/>
  <c r="H278" i="22"/>
  <c r="L278" i="22"/>
  <c r="I278" i="22"/>
  <c r="C279" i="22"/>
  <c r="AE279" i="22" s="1"/>
  <c r="AF279" i="22" s="1"/>
  <c r="G279" i="22"/>
  <c r="E279" i="22"/>
  <c r="I279" i="22"/>
  <c r="D279" i="22"/>
  <c r="L279" i="22"/>
  <c r="H279" i="22"/>
  <c r="J279" i="22"/>
  <c r="K279" i="22"/>
  <c r="C280" i="22"/>
  <c r="AE280" i="22" s="1"/>
  <c r="AF280" i="22" s="1"/>
  <c r="K280" i="22"/>
  <c r="G280" i="22"/>
  <c r="D280" i="22"/>
  <c r="J280" i="22"/>
  <c r="Q280" i="22" s="1"/>
  <c r="I280" i="22"/>
  <c r="E280" i="22"/>
  <c r="L280" i="22"/>
  <c r="H280" i="22"/>
  <c r="K281" i="22"/>
  <c r="C281" i="22"/>
  <c r="AE281" i="22" s="1"/>
  <c r="AF281" i="22" s="1"/>
  <c r="E281" i="22"/>
  <c r="G281" i="22"/>
  <c r="D281" i="22"/>
  <c r="J281" i="22"/>
  <c r="Q281" i="22" s="1"/>
  <c r="L281" i="22"/>
  <c r="H281" i="22"/>
  <c r="I281" i="22"/>
  <c r="G282" i="22"/>
  <c r="C282" i="22"/>
  <c r="D282" i="22"/>
  <c r="H282" i="22"/>
  <c r="J282" i="22"/>
  <c r="K282" i="22"/>
  <c r="E282" i="22"/>
  <c r="I282" i="22"/>
  <c r="C283" i="22"/>
  <c r="E283" i="22"/>
  <c r="I283" i="22"/>
  <c r="K283" i="22"/>
  <c r="J283" i="22"/>
  <c r="H283" i="22"/>
  <c r="D283" i="22"/>
  <c r="F283" i="22" s="1"/>
  <c r="A283" i="22" s="1"/>
  <c r="G283" i="22"/>
  <c r="C284" i="22"/>
  <c r="E284" i="22"/>
  <c r="H284" i="22"/>
  <c r="I284" i="22"/>
  <c r="J284" i="22"/>
  <c r="K284" i="22"/>
  <c r="G284" i="22"/>
  <c r="D284" i="22"/>
  <c r="F284" i="22" s="1"/>
  <c r="A284" i="22" s="1"/>
  <c r="E285" i="22"/>
  <c r="D285" i="22"/>
  <c r="F285" i="22" s="1"/>
  <c r="A285" i="22" s="1"/>
  <c r="J285" i="22"/>
  <c r="H285" i="22"/>
  <c r="I285" i="22"/>
  <c r="C285" i="22"/>
  <c r="K285" i="22"/>
  <c r="G285" i="22"/>
  <c r="E286" i="22"/>
  <c r="K286" i="22"/>
  <c r="H286" i="22"/>
  <c r="I286" i="22"/>
  <c r="C286" i="22"/>
  <c r="AE286" i="22" s="1"/>
  <c r="AF286" i="22" s="1"/>
  <c r="D286" i="22"/>
  <c r="G286" i="22"/>
  <c r="J286" i="22"/>
  <c r="L286" i="22"/>
  <c r="E287" i="22"/>
  <c r="K287" i="22"/>
  <c r="J287" i="22"/>
  <c r="I287" i="22"/>
  <c r="D287" i="22"/>
  <c r="F287" i="22" s="1"/>
  <c r="A287" i="22" s="1"/>
  <c r="H287" i="22"/>
  <c r="G287" i="22"/>
  <c r="C287" i="22"/>
  <c r="K288" i="22"/>
  <c r="E288" i="22"/>
  <c r="J288" i="22"/>
  <c r="H288" i="22"/>
  <c r="C288" i="22"/>
  <c r="D288" i="22"/>
  <c r="F288" i="22" s="1"/>
  <c r="A288" i="22" s="1"/>
  <c r="G288" i="22"/>
  <c r="I288" i="22"/>
  <c r="H289" i="22"/>
  <c r="D289" i="22"/>
  <c r="G289" i="22"/>
  <c r="C289" i="22"/>
  <c r="J289" i="22"/>
  <c r="E289" i="22"/>
  <c r="K289" i="22"/>
  <c r="I289" i="22"/>
  <c r="J290" i="22"/>
  <c r="D290" i="22"/>
  <c r="I290" i="22"/>
  <c r="K290" i="22"/>
  <c r="G290" i="22"/>
  <c r="E290" i="22"/>
  <c r="H290" i="22"/>
  <c r="C290" i="22"/>
  <c r="H291" i="22"/>
  <c r="E291" i="22"/>
  <c r="J291" i="22"/>
  <c r="I291" i="22"/>
  <c r="D291" i="22"/>
  <c r="F291" i="22" s="1"/>
  <c r="A291" i="22" s="1"/>
  <c r="G291" i="22"/>
  <c r="K291" i="22"/>
  <c r="C291" i="22"/>
  <c r="J292" i="22"/>
  <c r="Q292" i="22" s="1"/>
  <c r="E292" i="22"/>
  <c r="C292" i="22"/>
  <c r="AE292" i="22" s="1"/>
  <c r="AF292" i="22" s="1"/>
  <c r="H292" i="22"/>
  <c r="D292" i="22"/>
  <c r="I292" i="22"/>
  <c r="G292" i="22"/>
  <c r="K292" i="22"/>
  <c r="L292" i="22"/>
  <c r="J293" i="22"/>
  <c r="Q293" i="22" s="1"/>
  <c r="E293" i="22"/>
  <c r="K293" i="22"/>
  <c r="D293" i="22"/>
  <c r="C293" i="22"/>
  <c r="AE293" i="22" s="1"/>
  <c r="AF293" i="22" s="1"/>
  <c r="H293" i="22"/>
  <c r="I293" i="22"/>
  <c r="G293" i="22"/>
  <c r="L293" i="22"/>
  <c r="E294" i="22"/>
  <c r="J294" i="22"/>
  <c r="Q294" i="22" s="1"/>
  <c r="K294" i="22"/>
  <c r="C294" i="22"/>
  <c r="AE294" i="22" s="1"/>
  <c r="AF294" i="22" s="1"/>
  <c r="H294" i="22"/>
  <c r="D294" i="22"/>
  <c r="I294" i="22"/>
  <c r="G294" i="22"/>
  <c r="L294" i="22"/>
  <c r="H295" i="22"/>
  <c r="D295" i="22"/>
  <c r="G295" i="22"/>
  <c r="K295" i="22"/>
  <c r="J295" i="22"/>
  <c r="E295" i="22"/>
  <c r="C295" i="22"/>
  <c r="I295" i="22"/>
  <c r="K296" i="22"/>
  <c r="H296" i="22"/>
  <c r="E296" i="22"/>
  <c r="G296" i="22"/>
  <c r="C296" i="22"/>
  <c r="J296" i="22"/>
  <c r="D296" i="22"/>
  <c r="F296" i="22" s="1"/>
  <c r="A296" i="22" s="1"/>
  <c r="I296" i="22"/>
  <c r="K297" i="22"/>
  <c r="H297" i="22"/>
  <c r="D297" i="22"/>
  <c r="G297" i="22"/>
  <c r="C297" i="22"/>
  <c r="E297" i="22"/>
  <c r="J297" i="22"/>
  <c r="I297" i="22"/>
  <c r="H298" i="22"/>
  <c r="G298" i="22"/>
  <c r="C298" i="22"/>
  <c r="K298" i="22"/>
  <c r="E298" i="22"/>
  <c r="J298" i="22"/>
  <c r="I298" i="22"/>
  <c r="D298" i="22"/>
  <c r="F298" i="22" s="1"/>
  <c r="A298" i="22" s="1"/>
  <c r="K299" i="22"/>
  <c r="G299" i="22"/>
  <c r="E299" i="22"/>
  <c r="C299" i="22"/>
  <c r="H299" i="22"/>
  <c r="D299" i="22"/>
  <c r="I299" i="22"/>
  <c r="F299" i="22"/>
  <c r="A299" i="22" s="1"/>
  <c r="J299" i="22"/>
  <c r="D149" i="22"/>
  <c r="C149" i="22"/>
  <c r="I149" i="22"/>
  <c r="J149" i="22"/>
  <c r="K149" i="22"/>
  <c r="L149" i="22"/>
  <c r="M149" i="22"/>
  <c r="W149" i="22" s="1"/>
  <c r="N149" i="22"/>
  <c r="X149" i="22" s="1"/>
  <c r="O149" i="22"/>
  <c r="Y149" i="22" s="1"/>
  <c r="P149" i="22"/>
  <c r="Z149" i="22" s="1"/>
  <c r="H149" i="22"/>
  <c r="S149" i="22"/>
  <c r="T149" i="22"/>
  <c r="A149" i="22"/>
  <c r="U149" i="22"/>
  <c r="F149" i="22"/>
  <c r="AC149" i="22"/>
  <c r="AD149" i="22"/>
  <c r="G149" i="22"/>
  <c r="E149" i="22"/>
  <c r="C150" i="22"/>
  <c r="AC150" i="22"/>
  <c r="L150" i="22"/>
  <c r="E150" i="22"/>
  <c r="F150" i="22"/>
  <c r="O150" i="22"/>
  <c r="Y150" i="22" s="1"/>
  <c r="G150" i="22"/>
  <c r="A150" i="22"/>
  <c r="AD150" i="22"/>
  <c r="D150" i="22"/>
  <c r="T150" i="22"/>
  <c r="J150" i="22"/>
  <c r="N150" i="22"/>
  <c r="X150" i="22" s="1"/>
  <c r="P150" i="22"/>
  <c r="Z150" i="22" s="1"/>
  <c r="S150" i="22"/>
  <c r="U150" i="22"/>
  <c r="I150" i="22"/>
  <c r="H150" i="22"/>
  <c r="K150" i="22"/>
  <c r="M150" i="22"/>
  <c r="W150" i="22" s="1"/>
  <c r="I151" i="22"/>
  <c r="G151" i="22"/>
  <c r="F151" i="22"/>
  <c r="J151" i="22"/>
  <c r="P151" i="22"/>
  <c r="Z151" i="22" s="1"/>
  <c r="K151" i="22"/>
  <c r="L151" i="22"/>
  <c r="O151" i="22"/>
  <c r="Y151" i="22" s="1"/>
  <c r="C151" i="22"/>
  <c r="H151" i="22"/>
  <c r="M151" i="22"/>
  <c r="W151" i="22" s="1"/>
  <c r="A151" i="22"/>
  <c r="AC151" i="22"/>
  <c r="U151" i="22"/>
  <c r="S151" i="22"/>
  <c r="N151" i="22"/>
  <c r="X151" i="22" s="1"/>
  <c r="D151" i="22"/>
  <c r="AD151" i="22"/>
  <c r="E151" i="22"/>
  <c r="T151" i="22"/>
  <c r="I152" i="22"/>
  <c r="U152" i="22"/>
  <c r="AC152" i="22"/>
  <c r="H152" i="22"/>
  <c r="K152" i="22"/>
  <c r="O152" i="22"/>
  <c r="Y152" i="22" s="1"/>
  <c r="N152" i="22"/>
  <c r="X152" i="22" s="1"/>
  <c r="S152" i="22"/>
  <c r="J152" i="22"/>
  <c r="M152" i="22"/>
  <c r="W152" i="22" s="1"/>
  <c r="D152" i="22"/>
  <c r="T152" i="22"/>
  <c r="L152" i="22"/>
  <c r="A152" i="22"/>
  <c r="P152" i="22"/>
  <c r="Z152" i="22" s="1"/>
  <c r="F152" i="22"/>
  <c r="C152" i="22"/>
  <c r="G152" i="22"/>
  <c r="E152" i="22"/>
  <c r="AD152" i="22"/>
  <c r="F153" i="22"/>
  <c r="A153" i="22"/>
  <c r="AC153" i="22"/>
  <c r="H153" i="22"/>
  <c r="I153" i="22"/>
  <c r="C153" i="22"/>
  <c r="O153" i="22"/>
  <c r="Y153" i="22" s="1"/>
  <c r="E153" i="22"/>
  <c r="L153" i="22"/>
  <c r="M153" i="22"/>
  <c r="W153" i="22" s="1"/>
  <c r="K153" i="22"/>
  <c r="J153" i="22"/>
  <c r="P153" i="22"/>
  <c r="Z153" i="22" s="1"/>
  <c r="T153" i="22"/>
  <c r="D153" i="22"/>
  <c r="N153" i="22"/>
  <c r="X153" i="22" s="1"/>
  <c r="S153" i="22"/>
  <c r="U153" i="22"/>
  <c r="AD153" i="22"/>
  <c r="G153" i="22"/>
  <c r="T154" i="22"/>
  <c r="H154" i="22"/>
  <c r="P154" i="22"/>
  <c r="Z154" i="22" s="1"/>
  <c r="L154" i="22"/>
  <c r="I154" i="22"/>
  <c r="C154" i="22"/>
  <c r="E154" i="22"/>
  <c r="AC154" i="22"/>
  <c r="AD154" i="22"/>
  <c r="M154" i="22"/>
  <c r="W154" i="22" s="1"/>
  <c r="K154" i="22"/>
  <c r="N154" i="22"/>
  <c r="X154" i="22" s="1"/>
  <c r="A154" i="22"/>
  <c r="O154" i="22"/>
  <c r="Y154" i="22" s="1"/>
  <c r="F154" i="22"/>
  <c r="D154" i="22"/>
  <c r="J154" i="22"/>
  <c r="U154" i="22"/>
  <c r="S154" i="22"/>
  <c r="G154" i="22"/>
  <c r="AD155" i="22"/>
  <c r="G155" i="22"/>
  <c r="N155" i="22"/>
  <c r="X155" i="22" s="1"/>
  <c r="E155" i="22"/>
  <c r="O155" i="22"/>
  <c r="Y155" i="22" s="1"/>
  <c r="I155" i="22"/>
  <c r="K155" i="22"/>
  <c r="F155" i="22"/>
  <c r="A155" i="22"/>
  <c r="L155" i="22"/>
  <c r="J155" i="22"/>
  <c r="AC155" i="22"/>
  <c r="M155" i="22"/>
  <c r="W155" i="22" s="1"/>
  <c r="P155" i="22"/>
  <c r="Z155" i="22" s="1"/>
  <c r="S155" i="22"/>
  <c r="C155" i="22"/>
  <c r="D155" i="22"/>
  <c r="U155" i="22"/>
  <c r="T155" i="22"/>
  <c r="H155" i="22"/>
  <c r="M156" i="22"/>
  <c r="W156" i="22" s="1"/>
  <c r="A156" i="22"/>
  <c r="H156" i="22"/>
  <c r="F156" i="22"/>
  <c r="P156" i="22"/>
  <c r="Z156" i="22" s="1"/>
  <c r="E156" i="22"/>
  <c r="S156" i="22"/>
  <c r="D156" i="22"/>
  <c r="K156" i="22"/>
  <c r="N156" i="22"/>
  <c r="X156" i="22" s="1"/>
  <c r="I156" i="22"/>
  <c r="AC156" i="22"/>
  <c r="C156" i="22"/>
  <c r="U156" i="22"/>
  <c r="O156" i="22"/>
  <c r="Y156" i="22" s="1"/>
  <c r="T156" i="22"/>
  <c r="AD156" i="22"/>
  <c r="G156" i="22"/>
  <c r="L156" i="22"/>
  <c r="J156" i="22"/>
  <c r="F157" i="22"/>
  <c r="K157" i="22"/>
  <c r="D157" i="22"/>
  <c r="AD157" i="22"/>
  <c r="J157" i="22"/>
  <c r="T157" i="22"/>
  <c r="I157" i="22"/>
  <c r="O157" i="22"/>
  <c r="Y157" i="22" s="1"/>
  <c r="G157" i="22"/>
  <c r="C157" i="22"/>
  <c r="U157" i="22"/>
  <c r="S157" i="22"/>
  <c r="AC157" i="22"/>
  <c r="H157" i="22"/>
  <c r="M157" i="22"/>
  <c r="W157" i="22" s="1"/>
  <c r="L157" i="22"/>
  <c r="E157" i="22"/>
  <c r="N157" i="22"/>
  <c r="X157" i="22" s="1"/>
  <c r="P157" i="22"/>
  <c r="Z157" i="22" s="1"/>
  <c r="A157" i="22"/>
  <c r="E158" i="22"/>
  <c r="J158" i="22"/>
  <c r="F158" i="22"/>
  <c r="H158" i="22"/>
  <c r="C158" i="22"/>
  <c r="N158" i="22"/>
  <c r="X158" i="22" s="1"/>
  <c r="L158" i="22"/>
  <c r="O158" i="22"/>
  <c r="Y158" i="22" s="1"/>
  <c r="T158" i="22"/>
  <c r="U158" i="22"/>
  <c r="M158" i="22"/>
  <c r="W158" i="22" s="1"/>
  <c r="AD158" i="22"/>
  <c r="A158" i="22"/>
  <c r="I158" i="22"/>
  <c r="S158" i="22"/>
  <c r="P158" i="22"/>
  <c r="Z158" i="22" s="1"/>
  <c r="AC158" i="22"/>
  <c r="K158" i="22"/>
  <c r="D158" i="22"/>
  <c r="G158" i="22"/>
  <c r="L159" i="22"/>
  <c r="O159" i="22"/>
  <c r="Y159" i="22" s="1"/>
  <c r="F159" i="22"/>
  <c r="AD159" i="22"/>
  <c r="G159" i="22"/>
  <c r="I159" i="22"/>
  <c r="S159" i="22"/>
  <c r="E159" i="22"/>
  <c r="M159" i="22"/>
  <c r="W159" i="22" s="1"/>
  <c r="P159" i="22"/>
  <c r="Z159" i="22" s="1"/>
  <c r="U159" i="22"/>
  <c r="T159" i="22"/>
  <c r="A159" i="22"/>
  <c r="C159" i="22"/>
  <c r="H159" i="22"/>
  <c r="AC159" i="22"/>
  <c r="D159" i="22"/>
  <c r="N159" i="22"/>
  <c r="X159" i="22" s="1"/>
  <c r="K159" i="22"/>
  <c r="J159" i="22"/>
  <c r="H160" i="22"/>
  <c r="N160" i="22"/>
  <c r="X160" i="22" s="1"/>
  <c r="L160" i="22"/>
  <c r="AC160" i="22"/>
  <c r="P160" i="22"/>
  <c r="Z160" i="22" s="1"/>
  <c r="C160" i="22"/>
  <c r="D160" i="22"/>
  <c r="O160" i="22"/>
  <c r="Y160" i="22" s="1"/>
  <c r="A160" i="22"/>
  <c r="K160" i="22"/>
  <c r="I160" i="22"/>
  <c r="M160" i="22"/>
  <c r="W160" i="22" s="1"/>
  <c r="S160" i="22"/>
  <c r="AD160" i="22"/>
  <c r="G160" i="22"/>
  <c r="U160" i="22"/>
  <c r="T160" i="22"/>
  <c r="F160" i="22"/>
  <c r="E160" i="22"/>
  <c r="J160" i="22"/>
  <c r="A161" i="22"/>
  <c r="D161" i="22"/>
  <c r="AD161" i="22"/>
  <c r="H161" i="22"/>
  <c r="AC161" i="22"/>
  <c r="N161" i="22"/>
  <c r="X161" i="22" s="1"/>
  <c r="P161" i="22"/>
  <c r="Z161" i="22" s="1"/>
  <c r="U161" i="22"/>
  <c r="L161" i="22"/>
  <c r="G161" i="22"/>
  <c r="K161" i="22"/>
  <c r="S161" i="22"/>
  <c r="I161" i="22"/>
  <c r="T161" i="22"/>
  <c r="M161" i="22"/>
  <c r="W161" i="22" s="1"/>
  <c r="F161" i="22"/>
  <c r="E161" i="22"/>
  <c r="O161" i="22"/>
  <c r="Y161" i="22" s="1"/>
  <c r="C161" i="22"/>
  <c r="J161" i="22"/>
  <c r="D162" i="22"/>
  <c r="O162" i="22"/>
  <c r="Y162" i="22" s="1"/>
  <c r="I162" i="22"/>
  <c r="AC162" i="22"/>
  <c r="C162" i="22"/>
  <c r="F162" i="22"/>
  <c r="H162" i="22"/>
  <c r="P162" i="22"/>
  <c r="Z162" i="22" s="1"/>
  <c r="E162" i="22"/>
  <c r="AD162" i="22"/>
  <c r="K162" i="22"/>
  <c r="T162" i="22"/>
  <c r="G162" i="22"/>
  <c r="A162" i="22"/>
  <c r="U162" i="22"/>
  <c r="M162" i="22"/>
  <c r="W162" i="22" s="1"/>
  <c r="L162" i="22"/>
  <c r="N162" i="22"/>
  <c r="X162" i="22" s="1"/>
  <c r="J162" i="22"/>
  <c r="S162" i="22"/>
  <c r="AD163" i="22"/>
  <c r="N163" i="22"/>
  <c r="X163" i="22" s="1"/>
  <c r="E163" i="22"/>
  <c r="U163" i="22"/>
  <c r="G163" i="22"/>
  <c r="F163" i="22"/>
  <c r="A163" i="22"/>
  <c r="I163" i="22"/>
  <c r="T163" i="22"/>
  <c r="J163" i="22"/>
  <c r="S163" i="22"/>
  <c r="K163" i="22"/>
  <c r="P163" i="22"/>
  <c r="Z163" i="22" s="1"/>
  <c r="L163" i="22"/>
  <c r="O163" i="22"/>
  <c r="Y163" i="22" s="1"/>
  <c r="H163" i="22"/>
  <c r="M163" i="22"/>
  <c r="W163" i="22" s="1"/>
  <c r="AC163" i="22"/>
  <c r="C163" i="22"/>
  <c r="D163" i="22"/>
  <c r="N164" i="22"/>
  <c r="X164" i="22" s="1"/>
  <c r="L164" i="22"/>
  <c r="K164" i="22"/>
  <c r="E164" i="22"/>
  <c r="G164" i="22"/>
  <c r="I164" i="22"/>
  <c r="U164" i="22"/>
  <c r="C164" i="22"/>
  <c r="D164" i="22"/>
  <c r="J164" i="22"/>
  <c r="S164" i="22"/>
  <c r="T164" i="22"/>
  <c r="O164" i="22"/>
  <c r="Y164" i="22" s="1"/>
  <c r="M164" i="22"/>
  <c r="W164" i="22" s="1"/>
  <c r="H164" i="22"/>
  <c r="P164" i="22"/>
  <c r="Z164" i="22" s="1"/>
  <c r="AD164" i="22"/>
  <c r="F164" i="22"/>
  <c r="AC164" i="22"/>
  <c r="A164" i="22"/>
  <c r="F165" i="22"/>
  <c r="L165" i="22"/>
  <c r="C165" i="22"/>
  <c r="A165" i="22"/>
  <c r="J165" i="22"/>
  <c r="N165" i="22"/>
  <c r="X165" i="22" s="1"/>
  <c r="M165" i="22"/>
  <c r="W165" i="22" s="1"/>
  <c r="H165" i="22"/>
  <c r="I165" i="22"/>
  <c r="AC165" i="22"/>
  <c r="K165" i="22"/>
  <c r="E165" i="22"/>
  <c r="T165" i="22"/>
  <c r="U165" i="22"/>
  <c r="G165" i="22"/>
  <c r="O165" i="22"/>
  <c r="Y165" i="22" s="1"/>
  <c r="S165" i="22"/>
  <c r="P165" i="22"/>
  <c r="Z165" i="22" s="1"/>
  <c r="AD165" i="22"/>
  <c r="D165" i="22"/>
  <c r="D166" i="22"/>
  <c r="AD166" i="22"/>
  <c r="E166" i="22"/>
  <c r="I166" i="22"/>
  <c r="O166" i="22"/>
  <c r="Y166" i="22" s="1"/>
  <c r="G166" i="22"/>
  <c r="T166" i="22"/>
  <c r="F166" i="22"/>
  <c r="H166" i="22"/>
  <c r="J166" i="22"/>
  <c r="K166" i="22"/>
  <c r="U166" i="22"/>
  <c r="A166" i="22"/>
  <c r="S166" i="22"/>
  <c r="N166" i="22"/>
  <c r="X166" i="22" s="1"/>
  <c r="AC166" i="22"/>
  <c r="P166" i="22"/>
  <c r="Z166" i="22" s="1"/>
  <c r="L166" i="22"/>
  <c r="M166" i="22"/>
  <c r="W166" i="22" s="1"/>
  <c r="C166" i="22"/>
  <c r="E167" i="22"/>
  <c r="P167" i="22"/>
  <c r="Z167" i="22" s="1"/>
  <c r="T167" i="22"/>
  <c r="D167" i="22"/>
  <c r="U167" i="22"/>
  <c r="K167" i="22"/>
  <c r="J167" i="22"/>
  <c r="H167" i="22"/>
  <c r="S167" i="22"/>
  <c r="I167" i="22"/>
  <c r="AC167" i="22"/>
  <c r="N167" i="22"/>
  <c r="X167" i="22" s="1"/>
  <c r="M167" i="22"/>
  <c r="W167" i="22" s="1"/>
  <c r="O167" i="22"/>
  <c r="Y167" i="22" s="1"/>
  <c r="AD167" i="22"/>
  <c r="F167" i="22"/>
  <c r="C167" i="22"/>
  <c r="G167" i="22"/>
  <c r="A167" i="22"/>
  <c r="L167" i="22"/>
  <c r="E168" i="22"/>
  <c r="N168" i="22"/>
  <c r="X168" i="22" s="1"/>
  <c r="D168" i="22"/>
  <c r="AD168" i="22"/>
  <c r="L168" i="22"/>
  <c r="P168" i="22"/>
  <c r="Z168" i="22" s="1"/>
  <c r="T168" i="22"/>
  <c r="O168" i="22"/>
  <c r="Y168" i="22" s="1"/>
  <c r="C168" i="22"/>
  <c r="I168" i="22"/>
  <c r="M168" i="22"/>
  <c r="W168" i="22" s="1"/>
  <c r="S168" i="22"/>
  <c r="A168" i="22"/>
  <c r="U168" i="22"/>
  <c r="G168" i="22"/>
  <c r="F168" i="22"/>
  <c r="K168" i="22"/>
  <c r="AC168" i="22"/>
  <c r="J168" i="22"/>
  <c r="H168" i="22"/>
  <c r="E169" i="22"/>
  <c r="O169" i="22"/>
  <c r="Y169" i="22" s="1"/>
  <c r="C169" i="22"/>
  <c r="M169" i="22"/>
  <c r="W169" i="22" s="1"/>
  <c r="I169" i="22"/>
  <c r="N169" i="22"/>
  <c r="X169" i="22" s="1"/>
  <c r="A169" i="22"/>
  <c r="AD169" i="22"/>
  <c r="U169" i="22"/>
  <c r="G169" i="22"/>
  <c r="F169" i="22"/>
  <c r="L169" i="22"/>
  <c r="S169" i="22"/>
  <c r="AC169" i="22"/>
  <c r="K169" i="22"/>
  <c r="J169" i="22"/>
  <c r="D169" i="22"/>
  <c r="P169" i="22"/>
  <c r="Z169" i="22" s="1"/>
  <c r="H169" i="22"/>
  <c r="T169" i="22"/>
  <c r="G170" i="22"/>
  <c r="O170" i="22"/>
  <c r="Y170" i="22" s="1"/>
  <c r="M170" i="22"/>
  <c r="W170" i="22" s="1"/>
  <c r="C170" i="22"/>
  <c r="E170" i="22"/>
  <c r="I170" i="22"/>
  <c r="N170" i="22"/>
  <c r="X170" i="22" s="1"/>
  <c r="S170" i="22"/>
  <c r="A170" i="22"/>
  <c r="U170" i="22"/>
  <c r="P170" i="22"/>
  <c r="Z170" i="22" s="1"/>
  <c r="K170" i="22"/>
  <c r="AD170" i="22"/>
  <c r="J170" i="22"/>
  <c r="F170" i="22"/>
  <c r="T170" i="22"/>
  <c r="D170" i="22"/>
  <c r="AC170" i="22"/>
  <c r="H170" i="22"/>
  <c r="L170" i="22"/>
  <c r="E171" i="22"/>
  <c r="G171" i="22"/>
  <c r="L171" i="22"/>
  <c r="T171" i="22"/>
  <c r="O171" i="22"/>
  <c r="Y171" i="22" s="1"/>
  <c r="P171" i="22"/>
  <c r="Z171" i="22" s="1"/>
  <c r="AD171" i="22"/>
  <c r="D171" i="22"/>
  <c r="U171" i="22"/>
  <c r="M171" i="22"/>
  <c r="W171" i="22" s="1"/>
  <c r="J171" i="22"/>
  <c r="A171" i="22"/>
  <c r="AC171" i="22"/>
  <c r="H171" i="22"/>
  <c r="I171" i="22"/>
  <c r="S171" i="22"/>
  <c r="K171" i="22"/>
  <c r="F171" i="22"/>
  <c r="C171" i="22"/>
  <c r="N171" i="22"/>
  <c r="X171" i="22" s="1"/>
  <c r="AC172" i="22"/>
  <c r="S172" i="22"/>
  <c r="K172" i="22"/>
  <c r="AD172" i="22"/>
  <c r="D172" i="22"/>
  <c r="H172" i="22"/>
  <c r="P172" i="22"/>
  <c r="Z172" i="22" s="1"/>
  <c r="L172" i="22"/>
  <c r="A172" i="22"/>
  <c r="O172" i="22"/>
  <c r="Y172" i="22" s="1"/>
  <c r="M172" i="22"/>
  <c r="W172" i="22" s="1"/>
  <c r="C172" i="22"/>
  <c r="F172" i="22"/>
  <c r="I172" i="22"/>
  <c r="U172" i="22"/>
  <c r="G172" i="22"/>
  <c r="T172" i="22"/>
  <c r="N172" i="22"/>
  <c r="X172" i="22" s="1"/>
  <c r="J172" i="22"/>
  <c r="E172" i="22"/>
  <c r="P173" i="22"/>
  <c r="Z173" i="22" s="1"/>
  <c r="N173" i="22"/>
  <c r="X173" i="22" s="1"/>
  <c r="E173" i="22"/>
  <c r="G173" i="22"/>
  <c r="H173" i="22"/>
  <c r="U173" i="22"/>
  <c r="D173" i="22"/>
  <c r="T173" i="22"/>
  <c r="L173" i="22"/>
  <c r="J173" i="22"/>
  <c r="C173" i="22"/>
  <c r="S173" i="22"/>
  <c r="O173" i="22"/>
  <c r="Y173" i="22" s="1"/>
  <c r="I173" i="22"/>
  <c r="AC173" i="22"/>
  <c r="A173" i="22"/>
  <c r="F173" i="22"/>
  <c r="M173" i="22"/>
  <c r="W173" i="22" s="1"/>
  <c r="K173" i="22"/>
  <c r="AD173" i="22"/>
  <c r="A174" i="22"/>
  <c r="AC174" i="22"/>
  <c r="H174" i="22"/>
  <c r="P174" i="22"/>
  <c r="Z174" i="22" s="1"/>
  <c r="F174" i="22"/>
  <c r="N174" i="22"/>
  <c r="X174" i="22" s="1"/>
  <c r="C174" i="22"/>
  <c r="AD174" i="22"/>
  <c r="S174" i="22"/>
  <c r="T174" i="22"/>
  <c r="U174" i="22"/>
  <c r="D174" i="22"/>
  <c r="E174" i="22"/>
  <c r="M174" i="22"/>
  <c r="W174" i="22" s="1"/>
  <c r="G174" i="22"/>
  <c r="I174" i="22"/>
  <c r="O174" i="22"/>
  <c r="Y174" i="22" s="1"/>
  <c r="L174" i="22"/>
  <c r="K174" i="22"/>
  <c r="J174" i="22"/>
  <c r="D175" i="22"/>
  <c r="H175" i="22"/>
  <c r="U175" i="22"/>
  <c r="C175" i="22"/>
  <c r="P175" i="22"/>
  <c r="Z175" i="22" s="1"/>
  <c r="S175" i="22"/>
  <c r="T175" i="22"/>
  <c r="A175" i="22"/>
  <c r="M175" i="22"/>
  <c r="W175" i="22" s="1"/>
  <c r="F175" i="22"/>
  <c r="I175" i="22"/>
  <c r="AC175" i="22"/>
  <c r="E175" i="22"/>
  <c r="G175" i="22"/>
  <c r="AD175" i="22"/>
  <c r="J175" i="22"/>
  <c r="L175" i="22"/>
  <c r="N175" i="22"/>
  <c r="X175" i="22" s="1"/>
  <c r="K175" i="22"/>
  <c r="O175" i="22"/>
  <c r="Y175" i="22" s="1"/>
  <c r="C176" i="22"/>
  <c r="S176" i="22"/>
  <c r="P176" i="22"/>
  <c r="Z176" i="22" s="1"/>
  <c r="M176" i="22"/>
  <c r="W176" i="22" s="1"/>
  <c r="N176" i="22"/>
  <c r="X176" i="22" s="1"/>
  <c r="AC176" i="22"/>
  <c r="J176" i="22"/>
  <c r="AD176" i="22"/>
  <c r="E176" i="22"/>
  <c r="K176" i="22"/>
  <c r="T176" i="22"/>
  <c r="A176" i="22"/>
  <c r="I176" i="22"/>
  <c r="F176" i="22"/>
  <c r="G176" i="22"/>
  <c r="O176" i="22"/>
  <c r="Y176" i="22" s="1"/>
  <c r="U176" i="22"/>
  <c r="D176" i="22"/>
  <c r="L176" i="22"/>
  <c r="H176" i="22"/>
  <c r="H177" i="22"/>
  <c r="F177" i="22"/>
  <c r="N177" i="22"/>
  <c r="X177" i="22" s="1"/>
  <c r="S177" i="22"/>
  <c r="K177" i="22"/>
  <c r="J177" i="22"/>
  <c r="AD177" i="22"/>
  <c r="T177" i="22"/>
  <c r="G177" i="22"/>
  <c r="P177" i="22"/>
  <c r="Z177" i="22" s="1"/>
  <c r="A177" i="22"/>
  <c r="L177" i="22"/>
  <c r="E177" i="22"/>
  <c r="I177" i="22"/>
  <c r="U177" i="22"/>
  <c r="D177" i="22"/>
  <c r="C177" i="22"/>
  <c r="AC177" i="22"/>
  <c r="O177" i="22"/>
  <c r="Y177" i="22" s="1"/>
  <c r="M177" i="22"/>
  <c r="W177" i="22" s="1"/>
  <c r="O178" i="22"/>
  <c r="Y178" i="22" s="1"/>
  <c r="M178" i="22"/>
  <c r="W178" i="22" s="1"/>
  <c r="H178" i="22"/>
  <c r="G178" i="22"/>
  <c r="I178" i="22"/>
  <c r="J178" i="22"/>
  <c r="AC178" i="22"/>
  <c r="F178" i="22"/>
  <c r="T178" i="22"/>
  <c r="AD178" i="22"/>
  <c r="K178" i="22"/>
  <c r="U178" i="22"/>
  <c r="L178" i="22"/>
  <c r="D178" i="22"/>
  <c r="P178" i="22"/>
  <c r="Z178" i="22" s="1"/>
  <c r="A178" i="22"/>
  <c r="S178" i="22"/>
  <c r="N178" i="22"/>
  <c r="X178" i="22" s="1"/>
  <c r="C178" i="22"/>
  <c r="E178" i="22"/>
  <c r="F179" i="22"/>
  <c r="P179" i="22"/>
  <c r="Z179" i="22" s="1"/>
  <c r="L179" i="22"/>
  <c r="G179" i="22"/>
  <c r="K179" i="22"/>
  <c r="U179" i="22"/>
  <c r="T179" i="22"/>
  <c r="E179" i="22"/>
  <c r="D179" i="22"/>
  <c r="M179" i="22"/>
  <c r="W179" i="22" s="1"/>
  <c r="J179" i="22"/>
  <c r="A179" i="22"/>
  <c r="S179" i="22"/>
  <c r="H179" i="22"/>
  <c r="AC179" i="22"/>
  <c r="AD179" i="22"/>
  <c r="N179" i="22"/>
  <c r="X179" i="22" s="1"/>
  <c r="I179" i="22"/>
  <c r="O179" i="22"/>
  <c r="Y179" i="22" s="1"/>
  <c r="C179" i="22"/>
  <c r="K180" i="22"/>
  <c r="J180" i="22"/>
  <c r="P180" i="22"/>
  <c r="Z180" i="22" s="1"/>
  <c r="O180" i="22"/>
  <c r="Y180" i="22" s="1"/>
  <c r="M180" i="22"/>
  <c r="W180" i="22" s="1"/>
  <c r="F180" i="22"/>
  <c r="L180" i="22"/>
  <c r="H180" i="22"/>
  <c r="S180" i="22"/>
  <c r="G180" i="22"/>
  <c r="AD180" i="22"/>
  <c r="I180" i="22"/>
  <c r="AC180" i="22"/>
  <c r="D180" i="22"/>
  <c r="A180" i="22"/>
  <c r="N180" i="22"/>
  <c r="X180" i="22" s="1"/>
  <c r="U180" i="22"/>
  <c r="E180" i="22"/>
  <c r="T180" i="22"/>
  <c r="C180" i="22"/>
  <c r="L181" i="22"/>
  <c r="F181" i="22"/>
  <c r="U181" i="22"/>
  <c r="E181" i="22"/>
  <c r="P181" i="22"/>
  <c r="Z181" i="22" s="1"/>
  <c r="M181" i="22"/>
  <c r="W181" i="22" s="1"/>
  <c r="D181" i="22"/>
  <c r="K181" i="22"/>
  <c r="H181" i="22"/>
  <c r="AC181" i="22"/>
  <c r="A181" i="22"/>
  <c r="N181" i="22"/>
  <c r="X181" i="22" s="1"/>
  <c r="I181" i="22"/>
  <c r="J181" i="22"/>
  <c r="O181" i="22"/>
  <c r="Y181" i="22" s="1"/>
  <c r="AD181" i="22"/>
  <c r="T181" i="22"/>
  <c r="G181" i="22"/>
  <c r="C181" i="22"/>
  <c r="S181" i="22"/>
  <c r="H182" i="22"/>
  <c r="N182" i="22"/>
  <c r="X182" i="22" s="1"/>
  <c r="M182" i="22"/>
  <c r="W182" i="22" s="1"/>
  <c r="L182" i="22"/>
  <c r="K182" i="22"/>
  <c r="J182" i="22"/>
  <c r="I182" i="22"/>
  <c r="G182" i="22"/>
  <c r="E182" i="22"/>
  <c r="D182" i="22"/>
  <c r="C182" i="22"/>
  <c r="AC182" i="22"/>
  <c r="AD182" i="22"/>
  <c r="A182" i="22"/>
  <c r="U182" i="22"/>
  <c r="F182" i="22"/>
  <c r="T182" i="22"/>
  <c r="S182" i="22"/>
  <c r="P182" i="22"/>
  <c r="Z182" i="22" s="1"/>
  <c r="O182" i="22"/>
  <c r="Y182" i="22" s="1"/>
  <c r="J183" i="22"/>
  <c r="U183" i="22"/>
  <c r="C183" i="22"/>
  <c r="L183" i="22"/>
  <c r="P183" i="22"/>
  <c r="Z183" i="22" s="1"/>
  <c r="G183" i="22"/>
  <c r="K183" i="22"/>
  <c r="M183" i="22"/>
  <c r="W183" i="22" s="1"/>
  <c r="I183" i="22"/>
  <c r="D183" i="22"/>
  <c r="A183" i="22"/>
  <c r="AD183" i="22"/>
  <c r="N183" i="22"/>
  <c r="X183" i="22" s="1"/>
  <c r="O183" i="22"/>
  <c r="Y183" i="22" s="1"/>
  <c r="E183" i="22"/>
  <c r="H183" i="22"/>
  <c r="F183" i="22"/>
  <c r="T183" i="22"/>
  <c r="S183" i="22"/>
  <c r="AC183" i="22"/>
  <c r="I184" i="22"/>
  <c r="T184" i="22"/>
  <c r="M184" i="22"/>
  <c r="W184" i="22" s="1"/>
  <c r="L184" i="22"/>
  <c r="O184" i="22"/>
  <c r="Y184" i="22" s="1"/>
  <c r="C184" i="22"/>
  <c r="AC184" i="22"/>
  <c r="A184" i="22"/>
  <c r="F184" i="22"/>
  <c r="U184" i="22"/>
  <c r="H184" i="22"/>
  <c r="G184" i="22"/>
  <c r="N184" i="22"/>
  <c r="X184" i="22" s="1"/>
  <c r="E184" i="22"/>
  <c r="AD184" i="22"/>
  <c r="P184" i="22"/>
  <c r="Z184" i="22" s="1"/>
  <c r="K184" i="22"/>
  <c r="D184" i="22"/>
  <c r="S184" i="22"/>
  <c r="J184" i="22"/>
  <c r="H185" i="22"/>
  <c r="T185" i="22"/>
  <c r="O185" i="22"/>
  <c r="Y185" i="22" s="1"/>
  <c r="C185" i="22"/>
  <c r="A185" i="22"/>
  <c r="P185" i="22"/>
  <c r="Z185" i="22" s="1"/>
  <c r="AD185" i="22"/>
  <c r="AC185" i="22"/>
  <c r="J185" i="22"/>
  <c r="K185" i="22"/>
  <c r="F185" i="22"/>
  <c r="S185" i="22"/>
  <c r="G185" i="22"/>
  <c r="I185" i="22"/>
  <c r="L185" i="22"/>
  <c r="U185" i="22"/>
  <c r="D185" i="22"/>
  <c r="N185" i="22"/>
  <c r="X185" i="22" s="1"/>
  <c r="M185" i="22"/>
  <c r="W185" i="22" s="1"/>
  <c r="E185" i="22"/>
  <c r="K186" i="22"/>
  <c r="P186" i="22"/>
  <c r="Z186" i="22" s="1"/>
  <c r="T186" i="22"/>
  <c r="D186" i="22"/>
  <c r="A186" i="22"/>
  <c r="F186" i="22"/>
  <c r="AC186" i="22"/>
  <c r="O186" i="22"/>
  <c r="Y186" i="22" s="1"/>
  <c r="H186" i="22"/>
  <c r="U186" i="22"/>
  <c r="N186" i="22"/>
  <c r="X186" i="22" s="1"/>
  <c r="J186" i="22"/>
  <c r="M186" i="22"/>
  <c r="W186" i="22" s="1"/>
  <c r="S186" i="22"/>
  <c r="C186" i="22"/>
  <c r="L186" i="22"/>
  <c r="AD186" i="22"/>
  <c r="I186" i="22"/>
  <c r="G186" i="22"/>
  <c r="E186" i="22"/>
  <c r="H187" i="22"/>
  <c r="O187" i="22"/>
  <c r="Y187" i="22" s="1"/>
  <c r="D187" i="22"/>
  <c r="M187" i="22"/>
  <c r="W187" i="22" s="1"/>
  <c r="G187" i="22"/>
  <c r="K187" i="22"/>
  <c r="P187" i="22"/>
  <c r="Z187" i="22" s="1"/>
  <c r="S187" i="22"/>
  <c r="L187" i="22"/>
  <c r="AD187" i="22"/>
  <c r="A187" i="22"/>
  <c r="T187" i="22"/>
  <c r="AC187" i="22"/>
  <c r="I187" i="22"/>
  <c r="N187" i="22"/>
  <c r="X187" i="22" s="1"/>
  <c r="J187" i="22"/>
  <c r="U187" i="22"/>
  <c r="C187" i="22"/>
  <c r="F187" i="22"/>
  <c r="E187" i="22"/>
  <c r="M188" i="22"/>
  <c r="W188" i="22" s="1"/>
  <c r="P188" i="22"/>
  <c r="Z188" i="22" s="1"/>
  <c r="S188" i="22"/>
  <c r="O188" i="22"/>
  <c r="Y188" i="22" s="1"/>
  <c r="H188" i="22"/>
  <c r="T188" i="22"/>
  <c r="AC188" i="22"/>
  <c r="C188" i="22"/>
  <c r="K188" i="22"/>
  <c r="D188" i="22"/>
  <c r="G188" i="22"/>
  <c r="N188" i="22"/>
  <c r="X188" i="22" s="1"/>
  <c r="J188" i="22"/>
  <c r="I188" i="22"/>
  <c r="L188" i="22"/>
  <c r="F188" i="22"/>
  <c r="A188" i="22"/>
  <c r="U188" i="22"/>
  <c r="AD188" i="22"/>
  <c r="E188" i="22"/>
  <c r="M189" i="22"/>
  <c r="W189" i="22" s="1"/>
  <c r="S189" i="22"/>
  <c r="G189" i="22"/>
  <c r="K189" i="22"/>
  <c r="N189" i="22"/>
  <c r="X189" i="22" s="1"/>
  <c r="I189" i="22"/>
  <c r="AD189" i="22"/>
  <c r="J189" i="22"/>
  <c r="O189" i="22"/>
  <c r="Y189" i="22" s="1"/>
  <c r="T189" i="22"/>
  <c r="C189" i="22"/>
  <c r="H189" i="22"/>
  <c r="D189" i="22"/>
  <c r="AC189" i="22"/>
  <c r="U189" i="22"/>
  <c r="A189" i="22"/>
  <c r="E189" i="22"/>
  <c r="L189" i="22"/>
  <c r="P189" i="22"/>
  <c r="Z189" i="22" s="1"/>
  <c r="F189" i="22"/>
  <c r="J190" i="22"/>
  <c r="A190" i="22"/>
  <c r="AD190" i="22"/>
  <c r="G190" i="22"/>
  <c r="S190" i="22"/>
  <c r="M190" i="22"/>
  <c r="W190" i="22" s="1"/>
  <c r="N190" i="22"/>
  <c r="X190" i="22" s="1"/>
  <c r="F190" i="22"/>
  <c r="K190" i="22"/>
  <c r="U190" i="22"/>
  <c r="L190" i="22"/>
  <c r="T190" i="22"/>
  <c r="C190" i="22"/>
  <c r="AC190" i="22"/>
  <c r="O190" i="22"/>
  <c r="Y190" i="22" s="1"/>
  <c r="H190" i="22"/>
  <c r="P190" i="22"/>
  <c r="Z190" i="22" s="1"/>
  <c r="I190" i="22"/>
  <c r="E190" i="22"/>
  <c r="D190" i="22"/>
  <c r="H191" i="22"/>
  <c r="AC191" i="22"/>
  <c r="I191" i="22"/>
  <c r="N191" i="22"/>
  <c r="X191" i="22" s="1"/>
  <c r="C191" i="22"/>
  <c r="D191" i="22"/>
  <c r="M191" i="22"/>
  <c r="W191" i="22" s="1"/>
  <c r="AD191" i="22"/>
  <c r="A191" i="22"/>
  <c r="P191" i="22"/>
  <c r="Z191" i="22" s="1"/>
  <c r="O191" i="22"/>
  <c r="Y191" i="22" s="1"/>
  <c r="L191" i="22"/>
  <c r="E191" i="22"/>
  <c r="G191" i="22"/>
  <c r="S191" i="22"/>
  <c r="K191" i="22"/>
  <c r="F191" i="22"/>
  <c r="U191" i="22"/>
  <c r="T191" i="22"/>
  <c r="J191" i="22"/>
  <c r="T192" i="22"/>
  <c r="H192" i="22"/>
  <c r="N192" i="22"/>
  <c r="X192" i="22" s="1"/>
  <c r="I192" i="22"/>
  <c r="U192" i="22"/>
  <c r="J192" i="22"/>
  <c r="K192" i="22"/>
  <c r="G192" i="22"/>
  <c r="AC192" i="22"/>
  <c r="E192" i="22"/>
  <c r="L192" i="22"/>
  <c r="O192" i="22"/>
  <c r="Y192" i="22" s="1"/>
  <c r="P192" i="22"/>
  <c r="Z192" i="22" s="1"/>
  <c r="A192" i="22"/>
  <c r="S192" i="22"/>
  <c r="C192" i="22"/>
  <c r="AD192" i="22"/>
  <c r="M192" i="22"/>
  <c r="W192" i="22" s="1"/>
  <c r="D192" i="22"/>
  <c r="F192" i="22"/>
  <c r="G193" i="22"/>
  <c r="E193" i="22"/>
  <c r="C193" i="22"/>
  <c r="P193" i="22"/>
  <c r="Z193" i="22" s="1"/>
  <c r="M193" i="22"/>
  <c r="W193" i="22" s="1"/>
  <c r="F193" i="22"/>
  <c r="A193" i="22"/>
  <c r="O193" i="22"/>
  <c r="Y193" i="22" s="1"/>
  <c r="AC193" i="22"/>
  <c r="D193" i="22"/>
  <c r="AD193" i="22"/>
  <c r="L193" i="22"/>
  <c r="U193" i="22"/>
  <c r="S193" i="22"/>
  <c r="J193" i="22"/>
  <c r="I193" i="22"/>
  <c r="H193" i="22"/>
  <c r="K193" i="22"/>
  <c r="T193" i="22"/>
  <c r="N193" i="22"/>
  <c r="X193" i="22" s="1"/>
  <c r="J194" i="22"/>
  <c r="S194" i="22"/>
  <c r="U194" i="22"/>
  <c r="P194" i="22"/>
  <c r="Z194" i="22" s="1"/>
  <c r="AC194" i="22"/>
  <c r="C194" i="22"/>
  <c r="AD194" i="22"/>
  <c r="O194" i="22"/>
  <c r="Y194" i="22" s="1"/>
  <c r="T194" i="22"/>
  <c r="G194" i="22"/>
  <c r="F194" i="22"/>
  <c r="K194" i="22"/>
  <c r="E194" i="22"/>
  <c r="N194" i="22"/>
  <c r="X194" i="22" s="1"/>
  <c r="D194" i="22"/>
  <c r="A194" i="22"/>
  <c r="I194" i="22"/>
  <c r="M194" i="22"/>
  <c r="W194" i="22" s="1"/>
  <c r="L194" i="22"/>
  <c r="H194" i="22"/>
  <c r="S195" i="22"/>
  <c r="O195" i="22"/>
  <c r="Y195" i="22" s="1"/>
  <c r="D195" i="22"/>
  <c r="C195" i="22"/>
  <c r="T195" i="22"/>
  <c r="E195" i="22"/>
  <c r="A195" i="22"/>
  <c r="P195" i="22"/>
  <c r="Z195" i="22" s="1"/>
  <c r="J195" i="22"/>
  <c r="H195" i="22"/>
  <c r="N195" i="22"/>
  <c r="X195" i="22" s="1"/>
  <c r="U195" i="22"/>
  <c r="I195" i="22"/>
  <c r="AC195" i="22"/>
  <c r="G195" i="22"/>
  <c r="AD195" i="22"/>
  <c r="M195" i="22"/>
  <c r="W195" i="22" s="1"/>
  <c r="L195" i="22"/>
  <c r="K195" i="22"/>
  <c r="F195" i="22"/>
  <c r="C196" i="22"/>
  <c r="G196" i="22"/>
  <c r="K196" i="22"/>
  <c r="U196" i="22"/>
  <c r="E196" i="22"/>
  <c r="P196" i="22"/>
  <c r="Z196" i="22" s="1"/>
  <c r="M196" i="22"/>
  <c r="W196" i="22" s="1"/>
  <c r="I196" i="22"/>
  <c r="S196" i="22"/>
  <c r="H196" i="22"/>
  <c r="J196" i="22"/>
  <c r="O196" i="22"/>
  <c r="Y196" i="22" s="1"/>
  <c r="D196" i="22"/>
  <c r="A196" i="22"/>
  <c r="AD196" i="22"/>
  <c r="T196" i="22"/>
  <c r="L196" i="22"/>
  <c r="N196" i="22"/>
  <c r="X196" i="22" s="1"/>
  <c r="AC196" i="22"/>
  <c r="F196" i="22"/>
  <c r="O197" i="22"/>
  <c r="Y197" i="22" s="1"/>
  <c r="AD197" i="22"/>
  <c r="E197" i="22"/>
  <c r="P197" i="22"/>
  <c r="Z197" i="22" s="1"/>
  <c r="J197" i="22"/>
  <c r="S197" i="22"/>
  <c r="F197" i="22"/>
  <c r="A197" i="22"/>
  <c r="D197" i="22"/>
  <c r="I197" i="22"/>
  <c r="G197" i="22"/>
  <c r="U197" i="22"/>
  <c r="AC197" i="22"/>
  <c r="C197" i="22"/>
  <c r="L197" i="22"/>
  <c r="T197" i="22"/>
  <c r="K197" i="22"/>
  <c r="N197" i="22"/>
  <c r="X197" i="22" s="1"/>
  <c r="H197" i="22"/>
  <c r="M197" i="22"/>
  <c r="W197" i="22" s="1"/>
  <c r="O198" i="22"/>
  <c r="Y198" i="22" s="1"/>
  <c r="E198" i="22"/>
  <c r="P198" i="22"/>
  <c r="Z198" i="22" s="1"/>
  <c r="J198" i="22"/>
  <c r="A198" i="22"/>
  <c r="D198" i="22"/>
  <c r="H198" i="22"/>
  <c r="F198" i="22"/>
  <c r="T198" i="22"/>
  <c r="AC198" i="22"/>
  <c r="M198" i="22"/>
  <c r="W198" i="22" s="1"/>
  <c r="U198" i="22"/>
  <c r="AD198" i="22"/>
  <c r="S198" i="22"/>
  <c r="I198" i="22"/>
  <c r="C198" i="22"/>
  <c r="G198" i="22"/>
  <c r="N198" i="22"/>
  <c r="X198" i="22" s="1"/>
  <c r="K198" i="22"/>
  <c r="L198" i="22"/>
  <c r="AC199" i="22"/>
  <c r="E199" i="22"/>
  <c r="H199" i="22"/>
  <c r="D199" i="22"/>
  <c r="F199" i="22" s="1"/>
  <c r="A199" i="22" s="1"/>
  <c r="I199" i="22"/>
  <c r="S199" i="22"/>
  <c r="T199" i="22"/>
  <c r="G199" i="22"/>
  <c r="AD199" i="22"/>
  <c r="J199" i="22"/>
  <c r="U199" i="22"/>
  <c r="C199" i="22"/>
  <c r="I200" i="22"/>
  <c r="N200" i="22"/>
  <c r="X200" i="22" s="1"/>
  <c r="O200" i="22"/>
  <c r="Y200" i="22" s="1"/>
  <c r="M200" i="22"/>
  <c r="W200" i="22" s="1"/>
  <c r="P200" i="22"/>
  <c r="Z200" i="22" s="1"/>
  <c r="L200" i="22"/>
  <c r="S200" i="22"/>
  <c r="K200" i="22"/>
  <c r="T200" i="22"/>
  <c r="J200" i="22"/>
  <c r="E200" i="22"/>
  <c r="U200" i="22"/>
  <c r="H200" i="22"/>
  <c r="F200" i="22"/>
  <c r="G200" i="22"/>
  <c r="A200" i="22"/>
  <c r="D200" i="22"/>
  <c r="AC200" i="22"/>
  <c r="AD200" i="22"/>
  <c r="C200" i="22"/>
  <c r="J201" i="22"/>
  <c r="G201" i="22"/>
  <c r="U201" i="22"/>
  <c r="C201" i="22"/>
  <c r="I201" i="22"/>
  <c r="N201" i="22"/>
  <c r="X201" i="22" s="1"/>
  <c r="A201" i="22"/>
  <c r="L201" i="22"/>
  <c r="D201" i="22"/>
  <c r="AD201" i="22"/>
  <c r="E201" i="22"/>
  <c r="AC201" i="22"/>
  <c r="F201" i="22"/>
  <c r="T201" i="22"/>
  <c r="S201" i="22"/>
  <c r="M201" i="22"/>
  <c r="W201" i="22" s="1"/>
  <c r="O201" i="22"/>
  <c r="Y201" i="22" s="1"/>
  <c r="H201" i="22"/>
  <c r="K201" i="22"/>
  <c r="P201" i="22"/>
  <c r="Z201" i="22" s="1"/>
  <c r="F202" i="22"/>
  <c r="J202" i="22"/>
  <c r="AD202" i="22"/>
  <c r="N202" i="22"/>
  <c r="X202" i="22" s="1"/>
  <c r="D202" i="22"/>
  <c r="T202" i="22"/>
  <c r="U202" i="22"/>
  <c r="I202" i="22"/>
  <c r="G202" i="22"/>
  <c r="H202" i="22"/>
  <c r="E202" i="22"/>
  <c r="C202" i="22"/>
  <c r="AC202" i="22"/>
  <c r="A202" i="22"/>
  <c r="O202" i="22"/>
  <c r="Y202" i="22" s="1"/>
  <c r="M202" i="22"/>
  <c r="W202" i="22" s="1"/>
  <c r="K202" i="22"/>
  <c r="S202" i="22"/>
  <c r="L202" i="22"/>
  <c r="P202" i="22"/>
  <c r="Z202" i="22" s="1"/>
  <c r="G203" i="22"/>
  <c r="I203" i="22"/>
  <c r="F203" i="22"/>
  <c r="D203" i="22"/>
  <c r="K203" i="22"/>
  <c r="C203" i="22"/>
  <c r="T203" i="22"/>
  <c r="J203" i="22"/>
  <c r="M203" i="22"/>
  <c r="W203" i="22" s="1"/>
  <c r="E203" i="22"/>
  <c r="S203" i="22"/>
  <c r="O203" i="22"/>
  <c r="Y203" i="22" s="1"/>
  <c r="AD203" i="22"/>
  <c r="N203" i="22"/>
  <c r="X203" i="22" s="1"/>
  <c r="AC203" i="22"/>
  <c r="L203" i="22"/>
  <c r="U203" i="22"/>
  <c r="A203" i="22"/>
  <c r="H203" i="22"/>
  <c r="P203" i="22"/>
  <c r="Z203" i="22" s="1"/>
  <c r="D204" i="22"/>
  <c r="F204" i="22"/>
  <c r="N204" i="22"/>
  <c r="X204" i="22" s="1"/>
  <c r="G204" i="22"/>
  <c r="E204" i="22"/>
  <c r="J204" i="22"/>
  <c r="K204" i="22"/>
  <c r="M204" i="22"/>
  <c r="W204" i="22" s="1"/>
  <c r="A204" i="22"/>
  <c r="P204" i="22"/>
  <c r="Z204" i="22" s="1"/>
  <c r="S204" i="22"/>
  <c r="U204" i="22"/>
  <c r="AC204" i="22"/>
  <c r="AD204" i="22"/>
  <c r="H204" i="22"/>
  <c r="L204" i="22"/>
  <c r="O204" i="22"/>
  <c r="Y204" i="22" s="1"/>
  <c r="T204" i="22"/>
  <c r="C204" i="22"/>
  <c r="I204" i="22"/>
  <c r="A205" i="22"/>
  <c r="K205" i="22"/>
  <c r="N205" i="22"/>
  <c r="X205" i="22" s="1"/>
  <c r="J205" i="22"/>
  <c r="G205" i="22"/>
  <c r="L205" i="22"/>
  <c r="AC205" i="22"/>
  <c r="S205" i="22"/>
  <c r="E205" i="22"/>
  <c r="M205" i="22"/>
  <c r="W205" i="22" s="1"/>
  <c r="H205" i="22"/>
  <c r="U205" i="22"/>
  <c r="AD205" i="22"/>
  <c r="P205" i="22"/>
  <c r="Z205" i="22" s="1"/>
  <c r="F205" i="22"/>
  <c r="T205" i="22"/>
  <c r="C205" i="22"/>
  <c r="D205" i="22"/>
  <c r="O205" i="22"/>
  <c r="Y205" i="22" s="1"/>
  <c r="I205" i="22"/>
  <c r="H206" i="22"/>
  <c r="O206" i="22"/>
  <c r="Y206" i="22" s="1"/>
  <c r="AD206" i="22"/>
  <c r="T206" i="22"/>
  <c r="N206" i="22"/>
  <c r="X206" i="22" s="1"/>
  <c r="G206" i="22"/>
  <c r="M206" i="22"/>
  <c r="W206" i="22" s="1"/>
  <c r="K206" i="22"/>
  <c r="J206" i="22"/>
  <c r="S206" i="22"/>
  <c r="P206" i="22"/>
  <c r="Z206" i="22" s="1"/>
  <c r="A206" i="22"/>
  <c r="E206" i="22"/>
  <c r="D206" i="22"/>
  <c r="AC206" i="22"/>
  <c r="C206" i="22"/>
  <c r="F206" i="22"/>
  <c r="L206" i="22"/>
  <c r="U206" i="22"/>
  <c r="I206" i="22"/>
  <c r="AD207" i="22"/>
  <c r="AC207" i="22"/>
  <c r="H207" i="22"/>
  <c r="O207" i="22"/>
  <c r="Y207" i="22" s="1"/>
  <c r="K207" i="22"/>
  <c r="M207" i="22"/>
  <c r="W207" i="22" s="1"/>
  <c r="E207" i="22"/>
  <c r="U207" i="22"/>
  <c r="J207" i="22"/>
  <c r="P207" i="22"/>
  <c r="Z207" i="22" s="1"/>
  <c r="A207" i="22"/>
  <c r="L207" i="22"/>
  <c r="S207" i="22"/>
  <c r="D207" i="22"/>
  <c r="C207" i="22"/>
  <c r="T207" i="22"/>
  <c r="F207" i="22"/>
  <c r="N207" i="22"/>
  <c r="X207" i="22" s="1"/>
  <c r="G207" i="22"/>
  <c r="I207" i="22"/>
  <c r="H208" i="22"/>
  <c r="E208" i="22"/>
  <c r="D208" i="22"/>
  <c r="J208" i="22"/>
  <c r="O208" i="22"/>
  <c r="Y208" i="22" s="1"/>
  <c r="U208" i="22"/>
  <c r="N208" i="22"/>
  <c r="X208" i="22" s="1"/>
  <c r="F208" i="22"/>
  <c r="S208" i="22"/>
  <c r="AD208" i="22"/>
  <c r="K208" i="22"/>
  <c r="AC208" i="22"/>
  <c r="M208" i="22"/>
  <c r="W208" i="22" s="1"/>
  <c r="L208" i="22"/>
  <c r="P208" i="22"/>
  <c r="Z208" i="22" s="1"/>
  <c r="T208" i="22"/>
  <c r="A208" i="22"/>
  <c r="C208" i="22"/>
  <c r="G208" i="22"/>
  <c r="I208" i="22"/>
  <c r="AC209" i="22"/>
  <c r="AD209" i="22"/>
  <c r="N209" i="22"/>
  <c r="X209" i="22" s="1"/>
  <c r="G209" i="22"/>
  <c r="T209" i="22"/>
  <c r="F209" i="22"/>
  <c r="S209" i="22"/>
  <c r="O209" i="22"/>
  <c r="Y209" i="22" s="1"/>
  <c r="A209" i="22"/>
  <c r="M209" i="22"/>
  <c r="W209" i="22" s="1"/>
  <c r="H209" i="22"/>
  <c r="D209" i="22"/>
  <c r="C209" i="22"/>
  <c r="J209" i="22"/>
  <c r="E209" i="22"/>
  <c r="L209" i="22"/>
  <c r="U209" i="22"/>
  <c r="P209" i="22"/>
  <c r="Z209" i="22" s="1"/>
  <c r="K209" i="22"/>
  <c r="I209" i="22"/>
  <c r="M210" i="22"/>
  <c r="W210" i="22" s="1"/>
  <c r="S210" i="22"/>
  <c r="G210" i="22"/>
  <c r="AD210" i="22"/>
  <c r="D210" i="22"/>
  <c r="AC210" i="22"/>
  <c r="P210" i="22"/>
  <c r="Z210" i="22" s="1"/>
  <c r="E210" i="22"/>
  <c r="U210" i="22"/>
  <c r="N210" i="22"/>
  <c r="X210" i="22" s="1"/>
  <c r="F210" i="22"/>
  <c r="C210" i="22"/>
  <c r="A210" i="22"/>
  <c r="O210" i="22"/>
  <c r="Y210" i="22" s="1"/>
  <c r="L210" i="22"/>
  <c r="J210" i="22"/>
  <c r="H210" i="22"/>
  <c r="T210" i="22"/>
  <c r="K210" i="22"/>
  <c r="I210" i="22"/>
  <c r="AC211" i="22"/>
  <c r="T211" i="22"/>
  <c r="J211" i="22"/>
  <c r="O211" i="22"/>
  <c r="Y211" i="22" s="1"/>
  <c r="L211" i="22"/>
  <c r="N211" i="22"/>
  <c r="X211" i="22" s="1"/>
  <c r="U211" i="22"/>
  <c r="H211" i="22"/>
  <c r="S211" i="22"/>
  <c r="M211" i="22"/>
  <c r="W211" i="22" s="1"/>
  <c r="C211" i="22"/>
  <c r="D211" i="22"/>
  <c r="F211" i="22"/>
  <c r="P211" i="22"/>
  <c r="Z211" i="22" s="1"/>
  <c r="E211" i="22"/>
  <c r="A211" i="22"/>
  <c r="G211" i="22"/>
  <c r="AD211" i="22"/>
  <c r="K211" i="22"/>
  <c r="I211" i="22"/>
  <c r="P212" i="22"/>
  <c r="Z212" i="22" s="1"/>
  <c r="O212" i="22"/>
  <c r="Y212" i="22" s="1"/>
  <c r="N212" i="22"/>
  <c r="X212" i="22" s="1"/>
  <c r="U212" i="22"/>
  <c r="J212" i="22"/>
  <c r="H212" i="22"/>
  <c r="T212" i="22"/>
  <c r="K212" i="22"/>
  <c r="S212" i="22"/>
  <c r="C212" i="22"/>
  <c r="D212" i="22"/>
  <c r="G212" i="22"/>
  <c r="AD212" i="22"/>
  <c r="F212" i="22"/>
  <c r="AC212" i="22"/>
  <c r="A212" i="22"/>
  <c r="L212" i="22"/>
  <c r="M212" i="22"/>
  <c r="W212" i="22" s="1"/>
  <c r="E212" i="22"/>
  <c r="I212" i="22"/>
  <c r="S213" i="22"/>
  <c r="C213" i="22"/>
  <c r="A213" i="22"/>
  <c r="U213" i="22"/>
  <c r="AC213" i="22"/>
  <c r="I213" i="22"/>
  <c r="T213" i="22"/>
  <c r="J213" i="22"/>
  <c r="H213" i="22"/>
  <c r="F213" i="22"/>
  <c r="O213" i="22"/>
  <c r="Y213" i="22" s="1"/>
  <c r="D213" i="22"/>
  <c r="K213" i="22"/>
  <c r="AD213" i="22"/>
  <c r="P213" i="22"/>
  <c r="Z213" i="22" s="1"/>
  <c r="L213" i="22"/>
  <c r="E213" i="22"/>
  <c r="G213" i="22"/>
  <c r="M213" i="22"/>
  <c r="W213" i="22" s="1"/>
  <c r="N213" i="22"/>
  <c r="X213" i="22" s="1"/>
  <c r="U214" i="22"/>
  <c r="I214" i="22"/>
  <c r="J214" i="22"/>
  <c r="S214" i="22"/>
  <c r="D214" i="22"/>
  <c r="P214" i="22"/>
  <c r="Z214" i="22" s="1"/>
  <c r="H214" i="22"/>
  <c r="E214" i="22"/>
  <c r="N214" i="22"/>
  <c r="X214" i="22" s="1"/>
  <c r="C214" i="22"/>
  <c r="L214" i="22"/>
  <c r="AD214" i="22"/>
  <c r="A214" i="22"/>
  <c r="O214" i="22"/>
  <c r="Y214" i="22" s="1"/>
  <c r="T214" i="22"/>
  <c r="F214" i="22"/>
  <c r="K214" i="22"/>
  <c r="M214" i="22"/>
  <c r="W214" i="22" s="1"/>
  <c r="G214" i="22"/>
  <c r="AC214" i="22"/>
  <c r="L215" i="22"/>
  <c r="S215" i="22"/>
  <c r="U215" i="22"/>
  <c r="D215" i="22"/>
  <c r="E215" i="22"/>
  <c r="O215" i="22"/>
  <c r="Y215" i="22" s="1"/>
  <c r="A215" i="22"/>
  <c r="AD215" i="22"/>
  <c r="AC215" i="22"/>
  <c r="G215" i="22"/>
  <c r="N215" i="22"/>
  <c r="X215" i="22" s="1"/>
  <c r="P215" i="22"/>
  <c r="Z215" i="22" s="1"/>
  <c r="M215" i="22"/>
  <c r="W215" i="22" s="1"/>
  <c r="F215" i="22"/>
  <c r="K215" i="22"/>
  <c r="T215" i="22"/>
  <c r="H215" i="22"/>
  <c r="C215" i="22"/>
  <c r="J215" i="22"/>
  <c r="I215" i="22"/>
  <c r="AC216" i="22"/>
  <c r="T216" i="22"/>
  <c r="G216" i="22"/>
  <c r="P216" i="22"/>
  <c r="Z216" i="22" s="1"/>
  <c r="AD216" i="22"/>
  <c r="K216" i="22"/>
  <c r="F216" i="22"/>
  <c r="H216" i="22"/>
  <c r="N216" i="22"/>
  <c r="X216" i="22" s="1"/>
  <c r="O216" i="22"/>
  <c r="Y216" i="22" s="1"/>
  <c r="A216" i="22"/>
  <c r="E216" i="22"/>
  <c r="C216" i="22"/>
  <c r="D216" i="22"/>
  <c r="S216" i="22"/>
  <c r="M216" i="22"/>
  <c r="W216" i="22" s="1"/>
  <c r="J216" i="22"/>
  <c r="U216" i="22"/>
  <c r="L216" i="22"/>
  <c r="I216" i="22"/>
  <c r="E217" i="22"/>
  <c r="AC217" i="22"/>
  <c r="G217" i="22"/>
  <c r="AD217" i="22"/>
  <c r="C217" i="22"/>
  <c r="F217" i="22"/>
  <c r="K217" i="22"/>
  <c r="P217" i="22"/>
  <c r="Z217" i="22" s="1"/>
  <c r="S217" i="22"/>
  <c r="L217" i="22"/>
  <c r="T217" i="22"/>
  <c r="A217" i="22"/>
  <c r="J217" i="22"/>
  <c r="U217" i="22"/>
  <c r="I217" i="22"/>
  <c r="H217" i="22"/>
  <c r="O217" i="22"/>
  <c r="Y217" i="22" s="1"/>
  <c r="N217" i="22"/>
  <c r="X217" i="22" s="1"/>
  <c r="M217" i="22"/>
  <c r="W217" i="22" s="1"/>
  <c r="D217" i="22"/>
  <c r="AC218" i="22"/>
  <c r="U218" i="22"/>
  <c r="S218" i="22"/>
  <c r="P218" i="22"/>
  <c r="Z218" i="22" s="1"/>
  <c r="C218" i="22"/>
  <c r="H218" i="22"/>
  <c r="O218" i="22"/>
  <c r="Y218" i="22" s="1"/>
  <c r="N218" i="22"/>
  <c r="X218" i="22" s="1"/>
  <c r="M218" i="22"/>
  <c r="W218" i="22" s="1"/>
  <c r="L218" i="22"/>
  <c r="K218" i="22"/>
  <c r="D218" i="22"/>
  <c r="G218" i="22"/>
  <c r="J218" i="22"/>
  <c r="E218" i="22"/>
  <c r="I218" i="22"/>
  <c r="A218" i="22"/>
  <c r="F218" i="22"/>
  <c r="T218" i="22"/>
  <c r="AD218" i="22"/>
  <c r="I219" i="22"/>
  <c r="S219" i="22"/>
  <c r="N219" i="22"/>
  <c r="X219" i="22" s="1"/>
  <c r="J219" i="22"/>
  <c r="L219" i="22"/>
  <c r="P219" i="22"/>
  <c r="Z219" i="22" s="1"/>
  <c r="T219" i="22"/>
  <c r="H219" i="22"/>
  <c r="C219" i="22"/>
  <c r="AD219" i="22"/>
  <c r="D219" i="22"/>
  <c r="A219" i="22"/>
  <c r="AC219" i="22"/>
  <c r="E219" i="22"/>
  <c r="O219" i="22"/>
  <c r="Y219" i="22" s="1"/>
  <c r="G219" i="22"/>
  <c r="K219" i="22"/>
  <c r="F219" i="22"/>
  <c r="M219" i="22"/>
  <c r="W219" i="22" s="1"/>
  <c r="U219" i="22"/>
  <c r="T220" i="22"/>
  <c r="D220" i="22"/>
  <c r="K220" i="22"/>
  <c r="F220" i="22"/>
  <c r="E220" i="22"/>
  <c r="H220" i="22"/>
  <c r="A220" i="22"/>
  <c r="O220" i="22"/>
  <c r="Y220" i="22" s="1"/>
  <c r="I220" i="22"/>
  <c r="N220" i="22"/>
  <c r="X220" i="22" s="1"/>
  <c r="AC220" i="22"/>
  <c r="AD220" i="22"/>
  <c r="G220" i="22"/>
  <c r="J220" i="22"/>
  <c r="L220" i="22"/>
  <c r="C220" i="22"/>
  <c r="S220" i="22"/>
  <c r="M220" i="22"/>
  <c r="W220" i="22" s="1"/>
  <c r="P220" i="22"/>
  <c r="Z220" i="22" s="1"/>
  <c r="U220" i="22"/>
  <c r="I77" i="22"/>
  <c r="K77" i="22"/>
  <c r="O77" i="22"/>
  <c r="Y77" i="22" s="1"/>
  <c r="AD77" i="22"/>
  <c r="AC77" i="22"/>
  <c r="L77" i="22"/>
  <c r="C77" i="22"/>
  <c r="D77" i="22"/>
  <c r="U77" i="22"/>
  <c r="F77" i="22"/>
  <c r="T77" i="22"/>
  <c r="J77" i="22"/>
  <c r="S77" i="22"/>
  <c r="M77" i="22"/>
  <c r="W77" i="22" s="1"/>
  <c r="A77" i="22"/>
  <c r="E77" i="22"/>
  <c r="G77" i="22"/>
  <c r="P77" i="22"/>
  <c r="Z77" i="22" s="1"/>
  <c r="N77" i="22"/>
  <c r="X77" i="22" s="1"/>
  <c r="H77" i="22"/>
  <c r="L78" i="22"/>
  <c r="G78" i="22"/>
  <c r="D78" i="22"/>
  <c r="O78" i="22"/>
  <c r="Y78" i="22" s="1"/>
  <c r="F78" i="22"/>
  <c r="I78" i="22"/>
  <c r="AD78" i="22"/>
  <c r="T78" i="22"/>
  <c r="E78" i="22"/>
  <c r="P78" i="22"/>
  <c r="Z78" i="22" s="1"/>
  <c r="A78" i="22"/>
  <c r="M78" i="22"/>
  <c r="W78" i="22" s="1"/>
  <c r="K78" i="22"/>
  <c r="AC78" i="22"/>
  <c r="S78" i="22"/>
  <c r="C78" i="22"/>
  <c r="N78" i="22"/>
  <c r="X78" i="22" s="1"/>
  <c r="J78" i="22"/>
  <c r="U78" i="22"/>
  <c r="H78" i="22"/>
  <c r="AD79" i="22"/>
  <c r="P79" i="22"/>
  <c r="Z79" i="22" s="1"/>
  <c r="O79" i="22"/>
  <c r="Y79" i="22" s="1"/>
  <c r="F79" i="22"/>
  <c r="I79" i="22"/>
  <c r="T79" i="22"/>
  <c r="S79" i="22"/>
  <c r="E79" i="22"/>
  <c r="U79" i="22"/>
  <c r="M79" i="22"/>
  <c r="W79" i="22" s="1"/>
  <c r="J79" i="22"/>
  <c r="A79" i="22"/>
  <c r="G79" i="22"/>
  <c r="N79" i="22"/>
  <c r="X79" i="22" s="1"/>
  <c r="K79" i="22"/>
  <c r="AC79" i="22"/>
  <c r="D79" i="22"/>
  <c r="C79" i="22"/>
  <c r="L79" i="22"/>
  <c r="H79" i="22"/>
  <c r="N80" i="22"/>
  <c r="X80" i="22" s="1"/>
  <c r="AC80" i="22"/>
  <c r="H80" i="22"/>
  <c r="P80" i="22"/>
  <c r="Z80" i="22" s="1"/>
  <c r="T80" i="22"/>
  <c r="L80" i="22"/>
  <c r="O80" i="22"/>
  <c r="Y80" i="22" s="1"/>
  <c r="S80" i="22"/>
  <c r="G80" i="22"/>
  <c r="A80" i="22"/>
  <c r="K80" i="22"/>
  <c r="C80" i="22"/>
  <c r="E80" i="22"/>
  <c r="F80" i="22"/>
  <c r="U80" i="22"/>
  <c r="D80" i="22"/>
  <c r="I80" i="22"/>
  <c r="J80" i="22"/>
  <c r="M80" i="22"/>
  <c r="W80" i="22" s="1"/>
  <c r="AD80" i="22"/>
  <c r="N81" i="22"/>
  <c r="X81" i="22" s="1"/>
  <c r="L81" i="22"/>
  <c r="S81" i="22"/>
  <c r="G81" i="22"/>
  <c r="F81" i="22"/>
  <c r="D81" i="22"/>
  <c r="H81" i="22"/>
  <c r="E81" i="22"/>
  <c r="A81" i="22"/>
  <c r="T81" i="22"/>
  <c r="K81" i="22"/>
  <c r="J81" i="22"/>
  <c r="C81" i="22"/>
  <c r="M81" i="22"/>
  <c r="W81" i="22" s="1"/>
  <c r="AC81" i="22"/>
  <c r="P81" i="22"/>
  <c r="Z81" i="22" s="1"/>
  <c r="U81" i="22"/>
  <c r="AD81" i="22"/>
  <c r="O81" i="22"/>
  <c r="Y81" i="22" s="1"/>
  <c r="I81" i="22"/>
  <c r="H82" i="22"/>
  <c r="G82" i="22"/>
  <c r="D82" i="22"/>
  <c r="I82" i="22"/>
  <c r="F82" i="22"/>
  <c r="O82" i="22"/>
  <c r="Y82" i="22" s="1"/>
  <c r="A82" i="22"/>
  <c r="L82" i="22"/>
  <c r="K82" i="22"/>
  <c r="C82" i="22"/>
  <c r="P82" i="22"/>
  <c r="Z82" i="22" s="1"/>
  <c r="N82" i="22"/>
  <c r="X82" i="22" s="1"/>
  <c r="AC82" i="22"/>
  <c r="AD82" i="22"/>
  <c r="U82" i="22"/>
  <c r="E82" i="22"/>
  <c r="T82" i="22"/>
  <c r="S82" i="22"/>
  <c r="J82" i="22"/>
  <c r="M82" i="22"/>
  <c r="W82" i="22" s="1"/>
  <c r="L83" i="22"/>
  <c r="C83" i="22"/>
  <c r="D83" i="22"/>
  <c r="K83" i="22"/>
  <c r="U83" i="22"/>
  <c r="E83" i="22"/>
  <c r="AD83" i="22"/>
  <c r="O83" i="22"/>
  <c r="Y83" i="22" s="1"/>
  <c r="T83" i="22"/>
  <c r="N83" i="22"/>
  <c r="X83" i="22" s="1"/>
  <c r="A83" i="22"/>
  <c r="J83" i="22"/>
  <c r="G83" i="22"/>
  <c r="H83" i="22"/>
  <c r="I83" i="22"/>
  <c r="M83" i="22"/>
  <c r="W83" i="22" s="1"/>
  <c r="S83" i="22"/>
  <c r="AC83" i="22"/>
  <c r="F83" i="22"/>
  <c r="P83" i="22"/>
  <c r="Z83" i="22" s="1"/>
  <c r="A84" i="22"/>
  <c r="G84" i="22"/>
  <c r="K84" i="22"/>
  <c r="E84" i="22"/>
  <c r="L84" i="22"/>
  <c r="F84" i="22"/>
  <c r="N84" i="22"/>
  <c r="X84" i="22" s="1"/>
  <c r="C84" i="22"/>
  <c r="AC84" i="22"/>
  <c r="I84" i="22"/>
  <c r="D84" i="22"/>
  <c r="U84" i="22"/>
  <c r="H84" i="22"/>
  <c r="O84" i="22"/>
  <c r="Y84" i="22" s="1"/>
  <c r="AD84" i="22"/>
  <c r="J84" i="22"/>
  <c r="T84" i="22"/>
  <c r="P84" i="22"/>
  <c r="Z84" i="22" s="1"/>
  <c r="M84" i="22"/>
  <c r="W84" i="22" s="1"/>
  <c r="S84" i="22"/>
  <c r="A85" i="22"/>
  <c r="E85" i="22"/>
  <c r="I85" i="22"/>
  <c r="L85" i="22"/>
  <c r="AD85" i="22"/>
  <c r="O85" i="22"/>
  <c r="Y85" i="22" s="1"/>
  <c r="D85" i="22"/>
  <c r="M85" i="22"/>
  <c r="W85" i="22" s="1"/>
  <c r="T85" i="22"/>
  <c r="U85" i="22"/>
  <c r="S85" i="22"/>
  <c r="P85" i="22"/>
  <c r="Z85" i="22" s="1"/>
  <c r="H85" i="22"/>
  <c r="AC85" i="22"/>
  <c r="J85" i="22"/>
  <c r="N85" i="22"/>
  <c r="X85" i="22" s="1"/>
  <c r="F85" i="22"/>
  <c r="K85" i="22"/>
  <c r="C85" i="22"/>
  <c r="G85" i="22"/>
  <c r="I86" i="22"/>
  <c r="U86" i="22"/>
  <c r="D86" i="22"/>
  <c r="E86" i="22"/>
  <c r="A86" i="22"/>
  <c r="T86" i="22"/>
  <c r="C86" i="22"/>
  <c r="P86" i="22"/>
  <c r="Z86" i="22" s="1"/>
  <c r="J86" i="22"/>
  <c r="H86" i="22"/>
  <c r="F86" i="22"/>
  <c r="O86" i="22"/>
  <c r="Y86" i="22" s="1"/>
  <c r="AD86" i="22"/>
  <c r="S86" i="22"/>
  <c r="M86" i="22"/>
  <c r="W86" i="22" s="1"/>
  <c r="N86" i="22"/>
  <c r="X86" i="22" s="1"/>
  <c r="K86" i="22"/>
  <c r="AC86" i="22"/>
  <c r="L86" i="22"/>
  <c r="G86" i="22"/>
  <c r="D87" i="22"/>
  <c r="E87" i="22"/>
  <c r="T87" i="22"/>
  <c r="AD87" i="22"/>
  <c r="J87" i="22"/>
  <c r="I87" i="22"/>
  <c r="L87" i="22"/>
  <c r="P87" i="22"/>
  <c r="Z87" i="22" s="1"/>
  <c r="N87" i="22"/>
  <c r="X87" i="22" s="1"/>
  <c r="M87" i="22"/>
  <c r="W87" i="22" s="1"/>
  <c r="S87" i="22"/>
  <c r="C87" i="22"/>
  <c r="F87" i="22"/>
  <c r="O87" i="22"/>
  <c r="Y87" i="22" s="1"/>
  <c r="K87" i="22"/>
  <c r="U87" i="22"/>
  <c r="H87" i="22"/>
  <c r="A87" i="22"/>
  <c r="G87" i="22"/>
  <c r="AC87" i="22"/>
  <c r="A88" i="22"/>
  <c r="L88" i="22"/>
  <c r="E88" i="22"/>
  <c r="O88" i="22"/>
  <c r="Y88" i="22" s="1"/>
  <c r="C88" i="22"/>
  <c r="U88" i="22"/>
  <c r="N88" i="22"/>
  <c r="X88" i="22" s="1"/>
  <c r="AC88" i="22"/>
  <c r="J88" i="22"/>
  <c r="H88" i="22"/>
  <c r="F88" i="22"/>
  <c r="M88" i="22"/>
  <c r="W88" i="22" s="1"/>
  <c r="T88" i="22"/>
  <c r="K88" i="22"/>
  <c r="AD88" i="22"/>
  <c r="S88" i="22"/>
  <c r="P88" i="22"/>
  <c r="Z88" i="22" s="1"/>
  <c r="I88" i="22"/>
  <c r="G88" i="22"/>
  <c r="D88" i="22"/>
  <c r="P89" i="22"/>
  <c r="Z89" i="22" s="1"/>
  <c r="N89" i="22"/>
  <c r="X89" i="22" s="1"/>
  <c r="F89" i="22"/>
  <c r="E89" i="22"/>
  <c r="M89" i="22"/>
  <c r="W89" i="22" s="1"/>
  <c r="J89" i="22"/>
  <c r="O89" i="22"/>
  <c r="Y89" i="22" s="1"/>
  <c r="C89" i="22"/>
  <c r="G89" i="22"/>
  <c r="D89" i="22"/>
  <c r="U89" i="22"/>
  <c r="K89" i="22"/>
  <c r="S89" i="22"/>
  <c r="I89" i="22"/>
  <c r="H89" i="22"/>
  <c r="A89" i="22"/>
  <c r="L89" i="22"/>
  <c r="AD89" i="22"/>
  <c r="T89" i="22"/>
  <c r="AC89" i="22"/>
  <c r="AD90" i="22"/>
  <c r="E90" i="22"/>
  <c r="AC90" i="22"/>
  <c r="C90" i="22"/>
  <c r="D90" i="22"/>
  <c r="A90" i="22"/>
  <c r="H90" i="22"/>
  <c r="N90" i="22"/>
  <c r="X90" i="22" s="1"/>
  <c r="I90" i="22"/>
  <c r="U90" i="22"/>
  <c r="K90" i="22"/>
  <c r="G90" i="22"/>
  <c r="S90" i="22"/>
  <c r="P90" i="22"/>
  <c r="Z90" i="22" s="1"/>
  <c r="L90" i="22"/>
  <c r="M90" i="22"/>
  <c r="W90" i="22" s="1"/>
  <c r="T90" i="22"/>
  <c r="J90" i="22"/>
  <c r="O90" i="22"/>
  <c r="Y90" i="22" s="1"/>
  <c r="F90" i="22"/>
  <c r="A91" i="22"/>
  <c r="AD91" i="22"/>
  <c r="E91" i="22"/>
  <c r="C91" i="22"/>
  <c r="J91" i="22"/>
  <c r="L91" i="22"/>
  <c r="N91" i="22"/>
  <c r="X91" i="22" s="1"/>
  <c r="AC91" i="22"/>
  <c r="H91" i="22"/>
  <c r="D91" i="22"/>
  <c r="F91" i="22"/>
  <c r="S91" i="22"/>
  <c r="I91" i="22"/>
  <c r="O91" i="22"/>
  <c r="Y91" i="22" s="1"/>
  <c r="U91" i="22"/>
  <c r="G91" i="22"/>
  <c r="M91" i="22"/>
  <c r="W91" i="22" s="1"/>
  <c r="P91" i="22"/>
  <c r="Z91" i="22" s="1"/>
  <c r="K91" i="22"/>
  <c r="T91" i="22"/>
  <c r="AD92" i="22"/>
  <c r="M92" i="22"/>
  <c r="W92" i="22" s="1"/>
  <c r="H92" i="22"/>
  <c r="A92" i="22"/>
  <c r="D92" i="22"/>
  <c r="O92" i="22"/>
  <c r="Y92" i="22" s="1"/>
  <c r="J92" i="22"/>
  <c r="N92" i="22"/>
  <c r="X92" i="22" s="1"/>
  <c r="T92" i="22"/>
  <c r="P92" i="22"/>
  <c r="Z92" i="22" s="1"/>
  <c r="U92" i="22"/>
  <c r="E92" i="22"/>
  <c r="G92" i="22"/>
  <c r="AC92" i="22"/>
  <c r="L92" i="22"/>
  <c r="F92" i="22"/>
  <c r="C92" i="22"/>
  <c r="K92" i="22"/>
  <c r="I92" i="22"/>
  <c r="S92" i="22"/>
  <c r="A93" i="22"/>
  <c r="AC93" i="22"/>
  <c r="F93" i="22"/>
  <c r="C93" i="22"/>
  <c r="T93" i="22"/>
  <c r="J93" i="22"/>
  <c r="K93" i="22"/>
  <c r="P93" i="22"/>
  <c r="Z93" i="22" s="1"/>
  <c r="U93" i="22"/>
  <c r="N93" i="22"/>
  <c r="X93" i="22" s="1"/>
  <c r="G93" i="22"/>
  <c r="I93" i="22"/>
  <c r="O93" i="22"/>
  <c r="Y93" i="22" s="1"/>
  <c r="S93" i="22"/>
  <c r="M93" i="22"/>
  <c r="W93" i="22" s="1"/>
  <c r="D93" i="22"/>
  <c r="AD93" i="22"/>
  <c r="L93" i="22"/>
  <c r="H93" i="22"/>
  <c r="E93" i="22"/>
  <c r="C94" i="22"/>
  <c r="F94" i="22"/>
  <c r="AD94" i="22"/>
  <c r="O94" i="22"/>
  <c r="Y94" i="22" s="1"/>
  <c r="N94" i="22"/>
  <c r="X94" i="22" s="1"/>
  <c r="L94" i="22"/>
  <c r="S94" i="22"/>
  <c r="J94" i="22"/>
  <c r="U94" i="22"/>
  <c r="K94" i="22"/>
  <c r="I94" i="22"/>
  <c r="H94" i="22"/>
  <c r="G94" i="22"/>
  <c r="T94" i="22"/>
  <c r="E94" i="22"/>
  <c r="D94" i="22"/>
  <c r="AC94" i="22"/>
  <c r="P94" i="22"/>
  <c r="Z94" i="22" s="1"/>
  <c r="A94" i="22"/>
  <c r="M94" i="22"/>
  <c r="W94" i="22" s="1"/>
  <c r="J95" i="22"/>
  <c r="P95" i="22"/>
  <c r="Z95" i="22" s="1"/>
  <c r="S95" i="22"/>
  <c r="L95" i="22"/>
  <c r="K95" i="22"/>
  <c r="G95" i="22"/>
  <c r="H95" i="22"/>
  <c r="AC95" i="22"/>
  <c r="I95" i="22"/>
  <c r="D95" i="22"/>
  <c r="U95" i="22"/>
  <c r="O95" i="22"/>
  <c r="Y95" i="22" s="1"/>
  <c r="AD95" i="22"/>
  <c r="N95" i="22"/>
  <c r="X95" i="22" s="1"/>
  <c r="M95" i="22"/>
  <c r="W95" i="22" s="1"/>
  <c r="E95" i="22"/>
  <c r="T95" i="22"/>
  <c r="F95" i="22"/>
  <c r="A95" i="22"/>
  <c r="C95" i="22"/>
  <c r="D96" i="22"/>
  <c r="N96" i="22"/>
  <c r="X96" i="22" s="1"/>
  <c r="O96" i="22"/>
  <c r="Y96" i="22" s="1"/>
  <c r="C96" i="22"/>
  <c r="AD96" i="22"/>
  <c r="AC96" i="22"/>
  <c r="I96" i="22"/>
  <c r="U96" i="22"/>
  <c r="P96" i="22"/>
  <c r="Z96" i="22" s="1"/>
  <c r="L96" i="22"/>
  <c r="K96" i="22"/>
  <c r="F96" i="22"/>
  <c r="M96" i="22"/>
  <c r="W96" i="22" s="1"/>
  <c r="H96" i="22"/>
  <c r="G96" i="22"/>
  <c r="A96" i="22"/>
  <c r="S96" i="22"/>
  <c r="J96" i="22"/>
  <c r="T96" i="22"/>
  <c r="E96" i="22"/>
  <c r="M97" i="22"/>
  <c r="W97" i="22" s="1"/>
  <c r="D97" i="22"/>
  <c r="U97" i="22"/>
  <c r="I97" i="22"/>
  <c r="L97" i="22"/>
  <c r="G97" i="22"/>
  <c r="A97" i="22"/>
  <c r="P97" i="22"/>
  <c r="Z97" i="22" s="1"/>
  <c r="J97" i="22"/>
  <c r="K97" i="22"/>
  <c r="F97" i="22"/>
  <c r="AD97" i="22"/>
  <c r="O97" i="22"/>
  <c r="Y97" i="22" s="1"/>
  <c r="H97" i="22"/>
  <c r="S97" i="22"/>
  <c r="T97" i="22"/>
  <c r="AC97" i="22"/>
  <c r="C97" i="22"/>
  <c r="E97" i="22"/>
  <c r="N97" i="22"/>
  <c r="X97" i="22" s="1"/>
  <c r="O98" i="22"/>
  <c r="Y98" i="22" s="1"/>
  <c r="K98" i="22"/>
  <c r="S98" i="22"/>
  <c r="I98" i="22"/>
  <c r="AC98" i="22"/>
  <c r="F98" i="22"/>
  <c r="J98" i="22"/>
  <c r="M98" i="22"/>
  <c r="W98" i="22" s="1"/>
  <c r="AD98" i="22"/>
  <c r="A98" i="22"/>
  <c r="U98" i="22"/>
  <c r="T98" i="22"/>
  <c r="H98" i="22"/>
  <c r="G98" i="22"/>
  <c r="L98" i="22"/>
  <c r="P98" i="22"/>
  <c r="Z98" i="22" s="1"/>
  <c r="E98" i="22"/>
  <c r="C98" i="22"/>
  <c r="D98" i="22"/>
  <c r="N98" i="22"/>
  <c r="X98" i="22" s="1"/>
  <c r="AC99" i="22"/>
  <c r="S99" i="22"/>
  <c r="H99" i="22"/>
  <c r="J99" i="22"/>
  <c r="K99" i="22"/>
  <c r="I99" i="22"/>
  <c r="M99" i="22"/>
  <c r="W99" i="22" s="1"/>
  <c r="T99" i="22"/>
  <c r="AD99" i="22"/>
  <c r="A99" i="22"/>
  <c r="U99" i="22"/>
  <c r="D99" i="22"/>
  <c r="F99" i="22"/>
  <c r="G99" i="22"/>
  <c r="L99" i="22"/>
  <c r="C99" i="22"/>
  <c r="O99" i="22"/>
  <c r="Y99" i="22" s="1"/>
  <c r="N99" i="22"/>
  <c r="X99" i="22" s="1"/>
  <c r="P99" i="22"/>
  <c r="Z99" i="22" s="1"/>
  <c r="E99" i="22"/>
  <c r="C100" i="22"/>
  <c r="F100" i="22"/>
  <c r="L100" i="22"/>
  <c r="T100" i="22"/>
  <c r="AC100" i="22"/>
  <c r="H100" i="22"/>
  <c r="O100" i="22"/>
  <c r="Y100" i="22" s="1"/>
  <c r="U100" i="22"/>
  <c r="AD100" i="22"/>
  <c r="I100" i="22"/>
  <c r="K100" i="22"/>
  <c r="A100" i="22"/>
  <c r="M100" i="22"/>
  <c r="W100" i="22" s="1"/>
  <c r="S100" i="22"/>
  <c r="J100" i="22"/>
  <c r="N100" i="22"/>
  <c r="X100" i="22" s="1"/>
  <c r="D100" i="22"/>
  <c r="G100" i="22"/>
  <c r="E100" i="22"/>
  <c r="P100" i="22"/>
  <c r="Z100" i="22" s="1"/>
  <c r="G101" i="22"/>
  <c r="C101" i="22"/>
  <c r="F101" i="22"/>
  <c r="L101" i="22"/>
  <c r="H101" i="22"/>
  <c r="O101" i="22"/>
  <c r="Y101" i="22" s="1"/>
  <c r="U101" i="22"/>
  <c r="P101" i="22"/>
  <c r="Z101" i="22" s="1"/>
  <c r="N101" i="22"/>
  <c r="X101" i="22" s="1"/>
  <c r="K101" i="22"/>
  <c r="AC101" i="22"/>
  <c r="M101" i="22"/>
  <c r="W101" i="22" s="1"/>
  <c r="AD101" i="22"/>
  <c r="A101" i="22"/>
  <c r="D101" i="22"/>
  <c r="I101" i="22"/>
  <c r="E101" i="22"/>
  <c r="T101" i="22"/>
  <c r="J101" i="22"/>
  <c r="S101" i="22"/>
  <c r="L102" i="22"/>
  <c r="M102" i="22"/>
  <c r="W102" i="22" s="1"/>
  <c r="G102" i="22"/>
  <c r="F102" i="22"/>
  <c r="U102" i="22"/>
  <c r="P102" i="22"/>
  <c r="Z102" i="22" s="1"/>
  <c r="C102" i="22"/>
  <c r="J102" i="22"/>
  <c r="S102" i="22"/>
  <c r="I102" i="22"/>
  <c r="D102" i="22"/>
  <c r="AD102" i="22"/>
  <c r="A102" i="22"/>
  <c r="AC102" i="22"/>
  <c r="E102" i="22"/>
  <c r="K102" i="22"/>
  <c r="N102" i="22"/>
  <c r="X102" i="22" s="1"/>
  <c r="T102" i="22"/>
  <c r="H102" i="22"/>
  <c r="O102" i="22"/>
  <c r="Y102" i="22" s="1"/>
  <c r="AD103" i="22"/>
  <c r="U103" i="22"/>
  <c r="M103" i="22"/>
  <c r="W103" i="22" s="1"/>
  <c r="J103" i="22"/>
  <c r="E103" i="22"/>
  <c r="C103" i="22"/>
  <c r="D103" i="22"/>
  <c r="N103" i="22"/>
  <c r="X103" i="22" s="1"/>
  <c r="K103" i="22"/>
  <c r="A103" i="22"/>
  <c r="P103" i="22"/>
  <c r="Z103" i="22" s="1"/>
  <c r="AC103" i="22"/>
  <c r="F103" i="22"/>
  <c r="L103" i="22"/>
  <c r="O103" i="22"/>
  <c r="Y103" i="22" s="1"/>
  <c r="H103" i="22"/>
  <c r="S103" i="22"/>
  <c r="G103" i="22"/>
  <c r="T103" i="22"/>
  <c r="I103" i="22"/>
  <c r="U104" i="22"/>
  <c r="AC104" i="22"/>
  <c r="C104" i="22"/>
  <c r="O104" i="22"/>
  <c r="Y104" i="22" s="1"/>
  <c r="AD104" i="22"/>
  <c r="A104" i="22"/>
  <c r="P104" i="22"/>
  <c r="Z104" i="22" s="1"/>
  <c r="K104" i="22"/>
  <c r="L104" i="22"/>
  <c r="T104" i="22"/>
  <c r="S104" i="22"/>
  <c r="M104" i="22"/>
  <c r="W104" i="22" s="1"/>
  <c r="N104" i="22"/>
  <c r="X104" i="22" s="1"/>
  <c r="E104" i="22"/>
  <c r="F104" i="22"/>
  <c r="H104" i="22"/>
  <c r="I104" i="22"/>
  <c r="J104" i="22"/>
  <c r="G104" i="22"/>
  <c r="D104" i="22"/>
  <c r="H105" i="22"/>
  <c r="AD105" i="22"/>
  <c r="A105" i="22"/>
  <c r="T105" i="22"/>
  <c r="K105" i="22"/>
  <c r="G105" i="22"/>
  <c r="J105" i="22"/>
  <c r="S105" i="22"/>
  <c r="N105" i="22"/>
  <c r="X105" i="22" s="1"/>
  <c r="AC105" i="22"/>
  <c r="U105" i="22"/>
  <c r="F105" i="22"/>
  <c r="D105" i="22"/>
  <c r="I105" i="22"/>
  <c r="M105" i="22"/>
  <c r="W105" i="22" s="1"/>
  <c r="E105" i="22"/>
  <c r="C105" i="22"/>
  <c r="L105" i="22"/>
  <c r="O105" i="22"/>
  <c r="Y105" i="22" s="1"/>
  <c r="P105" i="22"/>
  <c r="Z105" i="22" s="1"/>
  <c r="C106" i="22"/>
  <c r="J106" i="22"/>
  <c r="U106" i="22"/>
  <c r="G106" i="22"/>
  <c r="O106" i="22"/>
  <c r="Y106" i="22" s="1"/>
  <c r="K106" i="22"/>
  <c r="L106" i="22"/>
  <c r="E106" i="22"/>
  <c r="H106" i="22"/>
  <c r="F106" i="22"/>
  <c r="AD106" i="22"/>
  <c r="A106" i="22"/>
  <c r="M106" i="22"/>
  <c r="W106" i="22" s="1"/>
  <c r="N106" i="22"/>
  <c r="X106" i="22" s="1"/>
  <c r="I106" i="22"/>
  <c r="D106" i="22"/>
  <c r="S106" i="22"/>
  <c r="P106" i="22"/>
  <c r="Z106" i="22" s="1"/>
  <c r="AC106" i="22"/>
  <c r="T106" i="22"/>
  <c r="O107" i="22"/>
  <c r="Y107" i="22" s="1"/>
  <c r="K107" i="22"/>
  <c r="G107" i="22"/>
  <c r="I107" i="22"/>
  <c r="M107" i="22"/>
  <c r="W107" i="22" s="1"/>
  <c r="J107" i="22"/>
  <c r="E107" i="22"/>
  <c r="S107" i="22"/>
  <c r="AC107" i="22"/>
  <c r="L107" i="22"/>
  <c r="N107" i="22"/>
  <c r="X107" i="22" s="1"/>
  <c r="A107" i="22"/>
  <c r="P107" i="22"/>
  <c r="Z107" i="22" s="1"/>
  <c r="AD107" i="22"/>
  <c r="H107" i="22"/>
  <c r="D107" i="22"/>
  <c r="C107" i="22"/>
  <c r="F107" i="22"/>
  <c r="U107" i="22"/>
  <c r="T107" i="22"/>
  <c r="I108" i="22"/>
  <c r="AD108" i="22"/>
  <c r="D108" i="22"/>
  <c r="C108" i="22"/>
  <c r="G108" i="22"/>
  <c r="U108" i="22"/>
  <c r="S108" i="22"/>
  <c r="J108" i="22"/>
  <c r="T108" i="22"/>
  <c r="E108" i="22"/>
  <c r="F108" i="22" s="1"/>
  <c r="A108" i="22" s="1"/>
  <c r="AC108" i="22"/>
  <c r="H108" i="22"/>
  <c r="C109" i="22"/>
  <c r="U109" i="22"/>
  <c r="J109" i="22"/>
  <c r="I109" i="22"/>
  <c r="AC109" i="22"/>
  <c r="S109" i="22"/>
  <c r="D109" i="22"/>
  <c r="E109" i="22"/>
  <c r="T109" i="22"/>
  <c r="AD109" i="22"/>
  <c r="G109" i="22"/>
  <c r="H109" i="22"/>
  <c r="K110" i="22"/>
  <c r="AC110" i="22"/>
  <c r="D110" i="22"/>
  <c r="F110" i="22"/>
  <c r="M110" i="22"/>
  <c r="W110" i="22" s="1"/>
  <c r="I110" i="22"/>
  <c r="L110" i="22"/>
  <c r="S110" i="22"/>
  <c r="E110" i="22"/>
  <c r="J110" i="22"/>
  <c r="AD110" i="22"/>
  <c r="A110" i="22"/>
  <c r="H110" i="22"/>
  <c r="O110" i="22"/>
  <c r="Y110" i="22" s="1"/>
  <c r="G110" i="22"/>
  <c r="T110" i="22"/>
  <c r="C110" i="22"/>
  <c r="U110" i="22"/>
  <c r="P110" i="22"/>
  <c r="Z110" i="22" s="1"/>
  <c r="N110" i="22"/>
  <c r="X110" i="22" s="1"/>
  <c r="G111" i="22"/>
  <c r="AD111" i="22"/>
  <c r="U111" i="22"/>
  <c r="I111" i="22"/>
  <c r="H111" i="22"/>
  <c r="J111" i="22"/>
  <c r="C111" i="22"/>
  <c r="T111" i="22"/>
  <c r="AC111" i="22"/>
  <c r="E111" i="22"/>
  <c r="S111" i="22"/>
  <c r="D111" i="22"/>
  <c r="F111" i="22" s="1"/>
  <c r="A111" i="22" s="1"/>
  <c r="AD112" i="22"/>
  <c r="U112" i="22"/>
  <c r="J112" i="22"/>
  <c r="C112" i="22"/>
  <c r="S112" i="22"/>
  <c r="I112" i="22"/>
  <c r="D112" i="22"/>
  <c r="H112" i="22"/>
  <c r="G112" i="22"/>
  <c r="AC112" i="22"/>
  <c r="E112" i="22"/>
  <c r="T112" i="22"/>
  <c r="AD113" i="22"/>
  <c r="I113" i="22"/>
  <c r="P113" i="22"/>
  <c r="Z113" i="22" s="1"/>
  <c r="H113" i="22"/>
  <c r="K113" i="22"/>
  <c r="S113" i="22"/>
  <c r="O113" i="22"/>
  <c r="Y113" i="22" s="1"/>
  <c r="J113" i="22"/>
  <c r="G113" i="22"/>
  <c r="L113" i="22"/>
  <c r="D113" i="22"/>
  <c r="AC113" i="22"/>
  <c r="T113" i="22"/>
  <c r="C113" i="22"/>
  <c r="A113" i="22"/>
  <c r="U113" i="22"/>
  <c r="M113" i="22"/>
  <c r="W113" i="22" s="1"/>
  <c r="F113" i="22"/>
  <c r="N113" i="22"/>
  <c r="X113" i="22" s="1"/>
  <c r="E113" i="22"/>
  <c r="AD114" i="22"/>
  <c r="S114" i="22"/>
  <c r="H114" i="22"/>
  <c r="I114" i="22"/>
  <c r="G114" i="22"/>
  <c r="D114" i="22"/>
  <c r="C114" i="22"/>
  <c r="AC114" i="22"/>
  <c r="U114" i="22"/>
  <c r="J114" i="22"/>
  <c r="E114" i="22"/>
  <c r="F114" i="22" s="1"/>
  <c r="A114" i="22" s="1"/>
  <c r="T114" i="22"/>
  <c r="D115" i="22"/>
  <c r="AC115" i="22"/>
  <c r="U115" i="22"/>
  <c r="I115" i="22"/>
  <c r="T115" i="22"/>
  <c r="J115" i="22"/>
  <c r="C115" i="22"/>
  <c r="H115" i="22"/>
  <c r="G115" i="22"/>
  <c r="AD115" i="22"/>
  <c r="E115" i="22"/>
  <c r="F115" i="22" s="1"/>
  <c r="A115" i="22" s="1"/>
  <c r="S115" i="22"/>
  <c r="E116" i="22"/>
  <c r="D116" i="22"/>
  <c r="J116" i="22"/>
  <c r="S116" i="22"/>
  <c r="U116" i="22"/>
  <c r="F116" i="22"/>
  <c r="H116" i="22"/>
  <c r="A116" i="22"/>
  <c r="AC116" i="22"/>
  <c r="AD116" i="22"/>
  <c r="I116" i="22"/>
  <c r="C116" i="22"/>
  <c r="T116" i="22"/>
  <c r="G116" i="22"/>
  <c r="AC117" i="22"/>
  <c r="E117" i="22"/>
  <c r="S117" i="22"/>
  <c r="AD117" i="22"/>
  <c r="I117" i="22"/>
  <c r="T117" i="22"/>
  <c r="H117" i="22"/>
  <c r="D117" i="22"/>
  <c r="F117" i="22"/>
  <c r="A117" i="22" s="1"/>
  <c r="U117" i="22"/>
  <c r="C117" i="22"/>
  <c r="G117" i="22"/>
  <c r="J117" i="22"/>
  <c r="E118" i="22"/>
  <c r="H118" i="22"/>
  <c r="J118" i="22"/>
  <c r="M118" i="22"/>
  <c r="W118" i="22" s="1"/>
  <c r="U118" i="22"/>
  <c r="C118" i="22"/>
  <c r="G118" i="22"/>
  <c r="P118" i="22"/>
  <c r="Z118" i="22" s="1"/>
  <c r="S118" i="22"/>
  <c r="A118" i="22"/>
  <c r="O118" i="22"/>
  <c r="Y118" i="22" s="1"/>
  <c r="I118" i="22"/>
  <c r="K118" i="22"/>
  <c r="N118" i="22"/>
  <c r="X118" i="22" s="1"/>
  <c r="T118" i="22"/>
  <c r="D118" i="22"/>
  <c r="AD118" i="22"/>
  <c r="AC118" i="22"/>
  <c r="L118" i="22"/>
  <c r="F118" i="22"/>
  <c r="E119" i="22"/>
  <c r="AC119" i="22"/>
  <c r="I119" i="22"/>
  <c r="O119" i="22"/>
  <c r="Y119" i="22" s="1"/>
  <c r="G119" i="22"/>
  <c r="P119" i="22"/>
  <c r="Z119" i="22" s="1"/>
  <c r="AD119" i="22"/>
  <c r="A119" i="22"/>
  <c r="U119" i="22"/>
  <c r="N119" i="22"/>
  <c r="X119" i="22" s="1"/>
  <c r="T119" i="22"/>
  <c r="D119" i="22"/>
  <c r="M119" i="22"/>
  <c r="W119" i="22" s="1"/>
  <c r="J119" i="22"/>
  <c r="L119" i="22"/>
  <c r="S119" i="22"/>
  <c r="C119" i="22"/>
  <c r="K119" i="22"/>
  <c r="H119" i="22"/>
  <c r="F119" i="22"/>
  <c r="E120" i="22"/>
  <c r="N120" i="22"/>
  <c r="X120" i="22" s="1"/>
  <c r="L120" i="22"/>
  <c r="P120" i="22"/>
  <c r="Z120" i="22" s="1"/>
  <c r="AD120" i="22"/>
  <c r="T120" i="22"/>
  <c r="G120" i="22"/>
  <c r="A120" i="22"/>
  <c r="F120" i="22"/>
  <c r="S120" i="22"/>
  <c r="H120" i="22"/>
  <c r="C120" i="22"/>
  <c r="K120" i="22"/>
  <c r="J120" i="22"/>
  <c r="D120" i="22"/>
  <c r="M120" i="22"/>
  <c r="W120" i="22" s="1"/>
  <c r="O120" i="22"/>
  <c r="Y120" i="22" s="1"/>
  <c r="U120" i="22"/>
  <c r="I120" i="22"/>
  <c r="AC120" i="22"/>
  <c r="E121" i="22"/>
  <c r="H121" i="22"/>
  <c r="T121" i="22"/>
  <c r="AD121" i="22"/>
  <c r="G121" i="22"/>
  <c r="C121" i="22"/>
  <c r="J121" i="22"/>
  <c r="U121" i="22"/>
  <c r="D121" i="22"/>
  <c r="I121" i="22"/>
  <c r="P121" i="22"/>
  <c r="Z121" i="22" s="1"/>
  <c r="A121" i="22"/>
  <c r="L121" i="22"/>
  <c r="F121" i="22"/>
  <c r="N121" i="22"/>
  <c r="X121" i="22" s="1"/>
  <c r="M121" i="22"/>
  <c r="W121" i="22" s="1"/>
  <c r="AC121" i="22"/>
  <c r="S121" i="22"/>
  <c r="O121" i="22"/>
  <c r="Y121" i="22" s="1"/>
  <c r="K121" i="22"/>
  <c r="E122" i="22"/>
  <c r="C122" i="22"/>
  <c r="U122" i="22"/>
  <c r="S122" i="22"/>
  <c r="P122" i="22"/>
  <c r="Z122" i="22" s="1"/>
  <c r="F122" i="22"/>
  <c r="L122" i="22"/>
  <c r="K122" i="22"/>
  <c r="J122" i="22"/>
  <c r="O122" i="22"/>
  <c r="Y122" i="22" s="1"/>
  <c r="G122" i="22"/>
  <c r="A122" i="22"/>
  <c r="I122" i="22"/>
  <c r="AD122" i="22"/>
  <c r="N122" i="22"/>
  <c r="X122" i="22" s="1"/>
  <c r="AC122" i="22"/>
  <c r="T122" i="22"/>
  <c r="M122" i="22"/>
  <c r="W122" i="22" s="1"/>
  <c r="D122" i="22"/>
  <c r="H122" i="22"/>
  <c r="K123" i="22"/>
  <c r="G123" i="22"/>
  <c r="C123" i="22"/>
  <c r="F123" i="22"/>
  <c r="E123" i="22"/>
  <c r="T123" i="22"/>
  <c r="P123" i="22"/>
  <c r="Z123" i="22" s="1"/>
  <c r="U123" i="22"/>
  <c r="J123" i="22"/>
  <c r="M123" i="22"/>
  <c r="W123" i="22" s="1"/>
  <c r="AD123" i="22"/>
  <c r="S123" i="22"/>
  <c r="I123" i="22"/>
  <c r="A123" i="22"/>
  <c r="D123" i="22"/>
  <c r="N123" i="22"/>
  <c r="X123" i="22" s="1"/>
  <c r="H123" i="22"/>
  <c r="AC123" i="22"/>
  <c r="O123" i="22"/>
  <c r="Y123" i="22" s="1"/>
  <c r="L123" i="22"/>
  <c r="A124" i="22"/>
  <c r="G124" i="22"/>
  <c r="AD124" i="22"/>
  <c r="I124" i="22"/>
  <c r="S124" i="22"/>
  <c r="M124" i="22"/>
  <c r="W124" i="22" s="1"/>
  <c r="O124" i="22"/>
  <c r="Y124" i="22" s="1"/>
  <c r="T124" i="22"/>
  <c r="K124" i="22"/>
  <c r="J124" i="22"/>
  <c r="L124" i="22"/>
  <c r="E124" i="22"/>
  <c r="D124" i="22"/>
  <c r="H124" i="22"/>
  <c r="U124" i="22"/>
  <c r="N124" i="22"/>
  <c r="X124" i="22" s="1"/>
  <c r="P124" i="22"/>
  <c r="Z124" i="22" s="1"/>
  <c r="F124" i="22"/>
  <c r="AC124" i="22"/>
  <c r="C124" i="22"/>
  <c r="G125" i="22"/>
  <c r="AD125" i="22"/>
  <c r="I125" i="22"/>
  <c r="L125" i="22"/>
  <c r="AC125" i="22"/>
  <c r="D125" i="22"/>
  <c r="J125" i="22"/>
  <c r="C125" i="22"/>
  <c r="K125" i="22"/>
  <c r="M125" i="22"/>
  <c r="W125" i="22" s="1"/>
  <c r="T125" i="22"/>
  <c r="U125" i="22"/>
  <c r="H125" i="22"/>
  <c r="O125" i="22"/>
  <c r="Y125" i="22" s="1"/>
  <c r="N125" i="22"/>
  <c r="X125" i="22" s="1"/>
  <c r="A125" i="22"/>
  <c r="S125" i="22"/>
  <c r="E125" i="22"/>
  <c r="P125" i="22"/>
  <c r="Z125" i="22" s="1"/>
  <c r="F125" i="22"/>
  <c r="K126" i="22"/>
  <c r="I126" i="22"/>
  <c r="J126" i="22"/>
  <c r="P126" i="22"/>
  <c r="Z126" i="22" s="1"/>
  <c r="E126" i="22"/>
  <c r="T126" i="22"/>
  <c r="U126" i="22"/>
  <c r="A126" i="22"/>
  <c r="AD126" i="22"/>
  <c r="D126" i="22"/>
  <c r="F126" i="22"/>
  <c r="L126" i="22"/>
  <c r="S126" i="22"/>
  <c r="M126" i="22"/>
  <c r="W126" i="22" s="1"/>
  <c r="AC126" i="22"/>
  <c r="H126" i="22"/>
  <c r="N126" i="22"/>
  <c r="X126" i="22" s="1"/>
  <c r="C126" i="22"/>
  <c r="G126" i="22"/>
  <c r="O126" i="22"/>
  <c r="Y126" i="22" s="1"/>
  <c r="E127" i="22"/>
  <c r="I127" i="22"/>
  <c r="T127" i="22"/>
  <c r="AC127" i="22"/>
  <c r="C127" i="22"/>
  <c r="S127" i="22"/>
  <c r="U127" i="22"/>
  <c r="H127" i="22"/>
  <c r="D127" i="22"/>
  <c r="F127" i="22" s="1"/>
  <c r="A127" i="22" s="1"/>
  <c r="G127" i="22"/>
  <c r="J127" i="22"/>
  <c r="AD127" i="22"/>
  <c r="L128" i="22"/>
  <c r="S128" i="22"/>
  <c r="M128" i="22"/>
  <c r="W128" i="22" s="1"/>
  <c r="AD128" i="22"/>
  <c r="H128" i="22"/>
  <c r="G128" i="22"/>
  <c r="A128" i="22"/>
  <c r="D128" i="22"/>
  <c r="E128" i="22"/>
  <c r="P128" i="22"/>
  <c r="Z128" i="22" s="1"/>
  <c r="F128" i="22"/>
  <c r="U128" i="22"/>
  <c r="C128" i="22"/>
  <c r="K128" i="22"/>
  <c r="T128" i="22"/>
  <c r="I128" i="22"/>
  <c r="N128" i="22"/>
  <c r="X128" i="22" s="1"/>
  <c r="AC128" i="22"/>
  <c r="O128" i="22"/>
  <c r="Y128" i="22" s="1"/>
  <c r="J128" i="22"/>
  <c r="T129" i="22"/>
  <c r="E129" i="22"/>
  <c r="N129" i="22"/>
  <c r="X129" i="22" s="1"/>
  <c r="H129" i="22"/>
  <c r="L129" i="22"/>
  <c r="O129" i="22"/>
  <c r="Y129" i="22" s="1"/>
  <c r="G129" i="22"/>
  <c r="C129" i="22"/>
  <c r="P129" i="22"/>
  <c r="Z129" i="22" s="1"/>
  <c r="I129" i="22"/>
  <c r="J129" i="22"/>
  <c r="F129" i="22"/>
  <c r="U129" i="22"/>
  <c r="K129" i="22"/>
  <c r="A129" i="22"/>
  <c r="AD129" i="22"/>
  <c r="S129" i="22"/>
  <c r="D129" i="22"/>
  <c r="M129" i="22"/>
  <c r="W129" i="22" s="1"/>
  <c r="AC129" i="22"/>
  <c r="H130" i="22"/>
  <c r="N130" i="22"/>
  <c r="X130" i="22" s="1"/>
  <c r="T130" i="22"/>
  <c r="C130" i="22"/>
  <c r="I130" i="22"/>
  <c r="U130" i="22"/>
  <c r="AD130" i="22"/>
  <c r="G130" i="22"/>
  <c r="J130" i="22"/>
  <c r="D130" i="22"/>
  <c r="E130" i="22"/>
  <c r="AC130" i="22"/>
  <c r="A130" i="22"/>
  <c r="P130" i="22"/>
  <c r="Z130" i="22" s="1"/>
  <c r="F130" i="22"/>
  <c r="O130" i="22"/>
  <c r="Y130" i="22" s="1"/>
  <c r="S130" i="22"/>
  <c r="M130" i="22"/>
  <c r="W130" i="22" s="1"/>
  <c r="L130" i="22"/>
  <c r="K130" i="22"/>
  <c r="S131" i="22"/>
  <c r="A131" i="22"/>
  <c r="O131" i="22"/>
  <c r="Y131" i="22" s="1"/>
  <c r="N131" i="22"/>
  <c r="X131" i="22" s="1"/>
  <c r="M131" i="22"/>
  <c r="W131" i="22" s="1"/>
  <c r="L131" i="22"/>
  <c r="F131" i="22"/>
  <c r="D131" i="22"/>
  <c r="C131" i="22"/>
  <c r="K131" i="22"/>
  <c r="J131" i="22"/>
  <c r="I131" i="22"/>
  <c r="H131" i="22"/>
  <c r="G131" i="22"/>
  <c r="E131" i="22"/>
  <c r="AC131" i="22"/>
  <c r="P131" i="22"/>
  <c r="Z131" i="22" s="1"/>
  <c r="U131" i="22"/>
  <c r="T131" i="22"/>
  <c r="AD131" i="22"/>
  <c r="N132" i="22"/>
  <c r="X132" i="22" s="1"/>
  <c r="AD132" i="22"/>
  <c r="L132" i="22"/>
  <c r="A132" i="22"/>
  <c r="I132" i="22"/>
  <c r="AC132" i="22"/>
  <c r="K132" i="22"/>
  <c r="G132" i="22"/>
  <c r="D132" i="22"/>
  <c r="S132" i="22"/>
  <c r="T132" i="22"/>
  <c r="P132" i="22"/>
  <c r="Z132" i="22" s="1"/>
  <c r="C132" i="22"/>
  <c r="H132" i="22"/>
  <c r="E132" i="22"/>
  <c r="U132" i="22"/>
  <c r="F132" i="22"/>
  <c r="J132" i="22"/>
  <c r="M132" i="22"/>
  <c r="W132" i="22" s="1"/>
  <c r="O132" i="22"/>
  <c r="Y132" i="22" s="1"/>
  <c r="C133" i="22"/>
  <c r="P133" i="22"/>
  <c r="Z133" i="22" s="1"/>
  <c r="L133" i="22"/>
  <c r="I133" i="22"/>
  <c r="U133" i="22"/>
  <c r="A133" i="22"/>
  <c r="AC133" i="22"/>
  <c r="H133" i="22"/>
  <c r="T133" i="22"/>
  <c r="S133" i="22"/>
  <c r="F133" i="22"/>
  <c r="AD133" i="22"/>
  <c r="J133" i="22"/>
  <c r="E133" i="22"/>
  <c r="K133" i="22"/>
  <c r="G133" i="22"/>
  <c r="M133" i="22"/>
  <c r="W133" i="22" s="1"/>
  <c r="D133" i="22"/>
  <c r="N133" i="22"/>
  <c r="X133" i="22" s="1"/>
  <c r="O133" i="22"/>
  <c r="Y133" i="22" s="1"/>
  <c r="L134" i="22"/>
  <c r="I134" i="22"/>
  <c r="U134" i="22"/>
  <c r="G134" i="22"/>
  <c r="E134" i="22"/>
  <c r="C134" i="22"/>
  <c r="S134" i="22"/>
  <c r="D134" i="22"/>
  <c r="J134" i="22"/>
  <c r="O134" i="22"/>
  <c r="Y134" i="22" s="1"/>
  <c r="K134" i="22"/>
  <c r="A134" i="22"/>
  <c r="F134" i="22"/>
  <c r="P134" i="22"/>
  <c r="Z134" i="22" s="1"/>
  <c r="H134" i="22"/>
  <c r="M134" i="22"/>
  <c r="W134" i="22" s="1"/>
  <c r="AC134" i="22"/>
  <c r="AD134" i="22"/>
  <c r="N134" i="22"/>
  <c r="X134" i="22" s="1"/>
  <c r="T134" i="22"/>
  <c r="AD135" i="22"/>
  <c r="L135" i="22"/>
  <c r="D135" i="22"/>
  <c r="T135" i="22"/>
  <c r="C135" i="22"/>
  <c r="S135" i="22"/>
  <c r="N135" i="22"/>
  <c r="X135" i="22" s="1"/>
  <c r="K135" i="22"/>
  <c r="J135" i="22"/>
  <c r="F135" i="22"/>
  <c r="U135" i="22"/>
  <c r="P135" i="22"/>
  <c r="Z135" i="22" s="1"/>
  <c r="AC135" i="22"/>
  <c r="I135" i="22"/>
  <c r="G135" i="22"/>
  <c r="O135" i="22"/>
  <c r="Y135" i="22" s="1"/>
  <c r="A135" i="22"/>
  <c r="E135" i="22"/>
  <c r="H135" i="22"/>
  <c r="M135" i="22"/>
  <c r="W135" i="22" s="1"/>
  <c r="E136" i="22"/>
  <c r="C136" i="22"/>
  <c r="S136" i="22"/>
  <c r="N136" i="22"/>
  <c r="X136" i="22" s="1"/>
  <c r="G136" i="22"/>
  <c r="P136" i="22"/>
  <c r="Z136" i="22" s="1"/>
  <c r="O136" i="22"/>
  <c r="Y136" i="22" s="1"/>
  <c r="D136" i="22"/>
  <c r="U136" i="22"/>
  <c r="L136" i="22"/>
  <c r="A136" i="22"/>
  <c r="AD136" i="22"/>
  <c r="H136" i="22"/>
  <c r="AC136" i="22"/>
  <c r="T136" i="22"/>
  <c r="K136" i="22"/>
  <c r="I136" i="22"/>
  <c r="M136" i="22"/>
  <c r="W136" i="22" s="1"/>
  <c r="F136" i="22"/>
  <c r="J136" i="22"/>
  <c r="C137" i="22"/>
  <c r="E137" i="22"/>
  <c r="H137" i="22"/>
  <c r="M137" i="22"/>
  <c r="W137" i="22" s="1"/>
  <c r="L137" i="22"/>
  <c r="U137" i="22"/>
  <c r="AD137" i="22"/>
  <c r="J137" i="22"/>
  <c r="AC137" i="22"/>
  <c r="K137" i="22"/>
  <c r="D137" i="22"/>
  <c r="A137" i="22"/>
  <c r="F137" i="22"/>
  <c r="T137" i="22"/>
  <c r="S137" i="22"/>
  <c r="I137" i="22"/>
  <c r="G137" i="22"/>
  <c r="N137" i="22"/>
  <c r="X137" i="22" s="1"/>
  <c r="P137" i="22"/>
  <c r="Z137" i="22" s="1"/>
  <c r="O137" i="22"/>
  <c r="Y137" i="22" s="1"/>
  <c r="P138" i="22"/>
  <c r="Z138" i="22" s="1"/>
  <c r="AC138" i="22"/>
  <c r="M138" i="22"/>
  <c r="W138" i="22" s="1"/>
  <c r="AD138" i="22"/>
  <c r="E138" i="22"/>
  <c r="C138" i="22"/>
  <c r="S138" i="22"/>
  <c r="U138" i="22"/>
  <c r="D138" i="22"/>
  <c r="G138" i="22"/>
  <c r="H138" i="22"/>
  <c r="I138" i="22"/>
  <c r="T138" i="22"/>
  <c r="N138" i="22"/>
  <c r="X138" i="22" s="1"/>
  <c r="F138" i="22"/>
  <c r="J138" i="22"/>
  <c r="K138" i="22"/>
  <c r="L138" i="22"/>
  <c r="O138" i="22"/>
  <c r="Y138" i="22" s="1"/>
  <c r="A138" i="22"/>
  <c r="M139" i="22"/>
  <c r="W139" i="22" s="1"/>
  <c r="A139" i="22"/>
  <c r="T139" i="22"/>
  <c r="F139" i="22"/>
  <c r="L139" i="22"/>
  <c r="K139" i="22"/>
  <c r="S139" i="22"/>
  <c r="O139" i="22"/>
  <c r="Y139" i="22" s="1"/>
  <c r="D139" i="22"/>
  <c r="C139" i="22"/>
  <c r="H139" i="22"/>
  <c r="I139" i="22"/>
  <c r="G139" i="22"/>
  <c r="AD139" i="22"/>
  <c r="AC139" i="22"/>
  <c r="E139" i="22"/>
  <c r="J139" i="22"/>
  <c r="N139" i="22"/>
  <c r="X139" i="22" s="1"/>
  <c r="P139" i="22"/>
  <c r="Z139" i="22" s="1"/>
  <c r="U139" i="22"/>
  <c r="S140" i="22"/>
  <c r="D140" i="22"/>
  <c r="I140" i="22"/>
  <c r="C140" i="22"/>
  <c r="J140" i="22"/>
  <c r="H140" i="22"/>
  <c r="G140" i="22"/>
  <c r="U140" i="22"/>
  <c r="E140" i="22"/>
  <c r="F140" i="22"/>
  <c r="A140" i="22" s="1"/>
  <c r="AC140" i="22"/>
  <c r="T140" i="22"/>
  <c r="AD140" i="22"/>
  <c r="AC141" i="22"/>
  <c r="H141" i="22"/>
  <c r="AD141" i="22"/>
  <c r="T141" i="22"/>
  <c r="U141" i="22"/>
  <c r="E141" i="22"/>
  <c r="J141" i="22"/>
  <c r="S141" i="22"/>
  <c r="D141" i="22"/>
  <c r="F141" i="22" s="1"/>
  <c r="A141" i="22" s="1"/>
  <c r="C141" i="22"/>
  <c r="I141" i="22"/>
  <c r="G141" i="22"/>
  <c r="D142" i="22"/>
  <c r="C142" i="22"/>
  <c r="G142" i="22"/>
  <c r="I142" i="22"/>
  <c r="H142" i="22"/>
  <c r="AD142" i="22"/>
  <c r="S142" i="22"/>
  <c r="U142" i="22"/>
  <c r="J142" i="22"/>
  <c r="AC142" i="22"/>
  <c r="T142" i="22"/>
  <c r="E142" i="22"/>
  <c r="F142" i="22" s="1"/>
  <c r="A142" i="22" s="1"/>
  <c r="AC143" i="22"/>
  <c r="A143" i="22"/>
  <c r="G143" i="22"/>
  <c r="I143" i="22"/>
  <c r="T143" i="22"/>
  <c r="M143" i="22"/>
  <c r="W143" i="22" s="1"/>
  <c r="S143" i="22"/>
  <c r="H143" i="22"/>
  <c r="AD143" i="22"/>
  <c r="N143" i="22"/>
  <c r="X143" i="22" s="1"/>
  <c r="D143" i="22"/>
  <c r="J143" i="22"/>
  <c r="K143" i="22"/>
  <c r="E143" i="22"/>
  <c r="P143" i="22"/>
  <c r="Z143" i="22" s="1"/>
  <c r="L143" i="22"/>
  <c r="O143" i="22"/>
  <c r="Y143" i="22" s="1"/>
  <c r="C143" i="22"/>
  <c r="U143" i="22"/>
  <c r="F143" i="22"/>
  <c r="F144" i="22"/>
  <c r="A144" i="22"/>
  <c r="K144" i="22"/>
  <c r="G144" i="22"/>
  <c r="E144" i="22"/>
  <c r="U144" i="22"/>
  <c r="I144" i="22"/>
  <c r="AC144" i="22"/>
  <c r="P144" i="22"/>
  <c r="Z144" i="22" s="1"/>
  <c r="T144" i="22"/>
  <c r="D144" i="22"/>
  <c r="L144" i="22"/>
  <c r="J144" i="22"/>
  <c r="N144" i="22"/>
  <c r="X144" i="22" s="1"/>
  <c r="S144" i="22"/>
  <c r="AD144" i="22"/>
  <c r="O144" i="22"/>
  <c r="Y144" i="22" s="1"/>
  <c r="M144" i="22"/>
  <c r="W144" i="22" s="1"/>
  <c r="H144" i="22"/>
  <c r="C144" i="22"/>
  <c r="S145" i="22"/>
  <c r="N145" i="22"/>
  <c r="X145" i="22" s="1"/>
  <c r="O145" i="22"/>
  <c r="Y145" i="22" s="1"/>
  <c r="D145" i="22"/>
  <c r="U145" i="22"/>
  <c r="AD145" i="22"/>
  <c r="G145" i="22"/>
  <c r="H145" i="22"/>
  <c r="E145" i="22"/>
  <c r="L145" i="22"/>
  <c r="I145" i="22"/>
  <c r="AC145" i="22"/>
  <c r="C145" i="22"/>
  <c r="F145" i="22"/>
  <c r="P145" i="22"/>
  <c r="Z145" i="22" s="1"/>
  <c r="T145" i="22"/>
  <c r="M145" i="22"/>
  <c r="W145" i="22" s="1"/>
  <c r="A145" i="22"/>
  <c r="K145" i="22"/>
  <c r="J145" i="22"/>
  <c r="J146" i="22"/>
  <c r="K146" i="22"/>
  <c r="A146" i="22"/>
  <c r="AC146" i="22"/>
  <c r="G146" i="22"/>
  <c r="F146" i="22"/>
  <c r="E146" i="22"/>
  <c r="T146" i="22"/>
  <c r="O146" i="22"/>
  <c r="Y146" i="22" s="1"/>
  <c r="P146" i="22"/>
  <c r="Z146" i="22" s="1"/>
  <c r="S146" i="22"/>
  <c r="H146" i="22"/>
  <c r="M146" i="22"/>
  <c r="W146" i="22" s="1"/>
  <c r="N146" i="22"/>
  <c r="X146" i="22" s="1"/>
  <c r="AD146" i="22"/>
  <c r="L146" i="22"/>
  <c r="U146" i="22"/>
  <c r="D146" i="22"/>
  <c r="I146" i="22"/>
  <c r="C146" i="22"/>
  <c r="H147" i="22"/>
  <c r="AD147" i="22"/>
  <c r="P147" i="22"/>
  <c r="Z147" i="22" s="1"/>
  <c r="G147" i="22"/>
  <c r="I147" i="22"/>
  <c r="M147" i="22"/>
  <c r="W147" i="22" s="1"/>
  <c r="E147" i="22"/>
  <c r="AC147" i="22"/>
  <c r="O147" i="22"/>
  <c r="Y147" i="22" s="1"/>
  <c r="J147" i="22"/>
  <c r="U147" i="22"/>
  <c r="S147" i="22"/>
  <c r="L147" i="22"/>
  <c r="F147" i="22"/>
  <c r="T147" i="22"/>
  <c r="D147" i="22"/>
  <c r="N147" i="22"/>
  <c r="X147" i="22" s="1"/>
  <c r="K147" i="22"/>
  <c r="A147" i="22"/>
  <c r="C147" i="22"/>
  <c r="U148" i="22"/>
  <c r="K148" i="22"/>
  <c r="H148" i="22"/>
  <c r="AC148" i="22"/>
  <c r="G148" i="22"/>
  <c r="F148" i="22"/>
  <c r="M148" i="22"/>
  <c r="W148" i="22" s="1"/>
  <c r="L148" i="22"/>
  <c r="I148" i="22"/>
  <c r="O148" i="22"/>
  <c r="Y148" i="22" s="1"/>
  <c r="J148" i="22"/>
  <c r="D148" i="22"/>
  <c r="P148" i="22"/>
  <c r="Z148" i="22" s="1"/>
  <c r="E148" i="22"/>
  <c r="A148" i="22"/>
  <c r="AD148" i="22"/>
  <c r="T148" i="22"/>
  <c r="N148" i="22"/>
  <c r="X148" i="22" s="1"/>
  <c r="S148" i="22"/>
  <c r="C148" i="22"/>
  <c r="D5" i="22"/>
  <c r="J5" i="22"/>
  <c r="H5" i="22"/>
  <c r="AC5" i="22"/>
  <c r="F5" i="22"/>
  <c r="O5" i="22"/>
  <c r="Y5" i="22" s="1"/>
  <c r="E5" i="22"/>
  <c r="I5" i="22"/>
  <c r="A5" i="22"/>
  <c r="AD5" i="22"/>
  <c r="K5" i="22"/>
  <c r="G5" i="22"/>
  <c r="M5" i="22"/>
  <c r="W5" i="22" s="1"/>
  <c r="U5" i="22"/>
  <c r="P5" i="22"/>
  <c r="Z5" i="22" s="1"/>
  <c r="T5" i="22"/>
  <c r="N5" i="22"/>
  <c r="X5" i="22" s="1"/>
  <c r="S5" i="22"/>
  <c r="C5" i="22"/>
  <c r="L5" i="22"/>
  <c r="I6" i="22"/>
  <c r="H6" i="22"/>
  <c r="G6" i="22"/>
  <c r="E6" i="22"/>
  <c r="D6" i="22"/>
  <c r="C6" i="22"/>
  <c r="A6" i="22"/>
  <c r="K6" i="22"/>
  <c r="F6" i="22"/>
  <c r="AD6" i="22"/>
  <c r="N6" i="22"/>
  <c r="X6" i="22" s="1"/>
  <c r="P6" i="22"/>
  <c r="Z6" i="22" s="1"/>
  <c r="L6" i="22"/>
  <c r="AC6" i="22"/>
  <c r="M6" i="22"/>
  <c r="W6" i="22" s="1"/>
  <c r="U6" i="22"/>
  <c r="T6" i="22"/>
  <c r="S6" i="22"/>
  <c r="O6" i="22"/>
  <c r="Y6" i="22" s="1"/>
  <c r="J6" i="22"/>
  <c r="J7" i="22"/>
  <c r="M7" i="22"/>
  <c r="W7" i="22" s="1"/>
  <c r="A7" i="22"/>
  <c r="AC7" i="22"/>
  <c r="K7" i="22"/>
  <c r="D7" i="22"/>
  <c r="O7" i="22"/>
  <c r="Y7" i="22" s="1"/>
  <c r="E7" i="22"/>
  <c r="C7" i="22"/>
  <c r="G7" i="22"/>
  <c r="S7" i="22"/>
  <c r="F7" i="22"/>
  <c r="L7" i="22"/>
  <c r="H7" i="22"/>
  <c r="AD7" i="22"/>
  <c r="T7" i="22"/>
  <c r="N7" i="22"/>
  <c r="X7" i="22" s="1"/>
  <c r="P7" i="22"/>
  <c r="Z7" i="22" s="1"/>
  <c r="U7" i="22"/>
  <c r="I7" i="22"/>
  <c r="AC8" i="22"/>
  <c r="F8" i="22"/>
  <c r="M8" i="22"/>
  <c r="W8" i="22" s="1"/>
  <c r="H8" i="22"/>
  <c r="O8" i="22"/>
  <c r="Y8" i="22" s="1"/>
  <c r="J8" i="22"/>
  <c r="U8" i="22"/>
  <c r="G8" i="22"/>
  <c r="N8" i="22"/>
  <c r="X8" i="22" s="1"/>
  <c r="L8" i="22"/>
  <c r="T8" i="22"/>
  <c r="P8" i="22"/>
  <c r="Z8" i="22" s="1"/>
  <c r="AD8" i="22"/>
  <c r="K8" i="22"/>
  <c r="S8" i="22"/>
  <c r="D8" i="22"/>
  <c r="I8" i="22"/>
  <c r="C8" i="22"/>
  <c r="A8" i="22"/>
  <c r="E8" i="22"/>
  <c r="L9" i="22"/>
  <c r="S9" i="22"/>
  <c r="D9" i="22"/>
  <c r="P9" i="22"/>
  <c r="Z9" i="22" s="1"/>
  <c r="G9" i="22"/>
  <c r="U9" i="22"/>
  <c r="H9" i="22"/>
  <c r="J9" i="22"/>
  <c r="O9" i="22"/>
  <c r="Y9" i="22" s="1"/>
  <c r="I9" i="22"/>
  <c r="M9" i="22"/>
  <c r="W9" i="22" s="1"/>
  <c r="T9" i="22"/>
  <c r="E9" i="22"/>
  <c r="AD9" i="22"/>
  <c r="N9" i="22"/>
  <c r="X9" i="22" s="1"/>
  <c r="K9" i="22"/>
  <c r="AC9" i="22"/>
  <c r="A9" i="22"/>
  <c r="C9" i="22"/>
  <c r="F9" i="22"/>
  <c r="U10" i="22"/>
  <c r="K10" i="22"/>
  <c r="E10" i="22"/>
  <c r="H10" i="22"/>
  <c r="C10" i="22"/>
  <c r="L10" i="22"/>
  <c r="AD10" i="22"/>
  <c r="J10" i="22"/>
  <c r="P10" i="22"/>
  <c r="Z10" i="22" s="1"/>
  <c r="F10" i="22"/>
  <c r="M10" i="22"/>
  <c r="W10" i="22" s="1"/>
  <c r="I10" i="22"/>
  <c r="G10" i="22"/>
  <c r="A10" i="22"/>
  <c r="AC10" i="22"/>
  <c r="N10" i="22"/>
  <c r="X10" i="22" s="1"/>
  <c r="T10" i="22"/>
  <c r="O10" i="22"/>
  <c r="Y10" i="22" s="1"/>
  <c r="D10" i="22"/>
  <c r="S10" i="22"/>
  <c r="E11" i="22"/>
  <c r="M11" i="22"/>
  <c r="W11" i="22" s="1"/>
  <c r="AC11" i="22"/>
  <c r="G11" i="22"/>
  <c r="N11" i="22"/>
  <c r="X11" i="22" s="1"/>
  <c r="C11" i="22"/>
  <c r="H11" i="22"/>
  <c r="K11" i="22"/>
  <c r="P11" i="22"/>
  <c r="Z11" i="22" s="1"/>
  <c r="F11" i="22"/>
  <c r="T11" i="22"/>
  <c r="O11" i="22"/>
  <c r="Y11" i="22" s="1"/>
  <c r="J11" i="22"/>
  <c r="L11" i="22"/>
  <c r="D11" i="22"/>
  <c r="AD11" i="22"/>
  <c r="U11" i="22"/>
  <c r="A11" i="22"/>
  <c r="I11" i="22"/>
  <c r="S11" i="22"/>
  <c r="A12" i="22"/>
  <c r="M12" i="22"/>
  <c r="W12" i="22" s="1"/>
  <c r="H12" i="22"/>
  <c r="D12" i="22"/>
  <c r="L12" i="22"/>
  <c r="AD12" i="22"/>
  <c r="J12" i="22"/>
  <c r="T12" i="22"/>
  <c r="O12" i="22"/>
  <c r="Y12" i="22" s="1"/>
  <c r="G12" i="22"/>
  <c r="AC12" i="22"/>
  <c r="U12" i="22"/>
  <c r="E12" i="22"/>
  <c r="C12" i="22"/>
  <c r="P12" i="22"/>
  <c r="Z12" i="22" s="1"/>
  <c r="K12" i="22"/>
  <c r="N12" i="22"/>
  <c r="X12" i="22" s="1"/>
  <c r="I12" i="22"/>
  <c r="S12" i="22"/>
  <c r="F12" i="22"/>
  <c r="P13" i="22"/>
  <c r="Z13" i="22" s="1"/>
  <c r="I13" i="22"/>
  <c r="A13" i="22"/>
  <c r="E13" i="22"/>
  <c r="L13" i="22"/>
  <c r="T13" i="22"/>
  <c r="O13" i="22"/>
  <c r="Y13" i="22" s="1"/>
  <c r="G13" i="22"/>
  <c r="J13" i="22"/>
  <c r="U13" i="22"/>
  <c r="H13" i="22"/>
  <c r="N13" i="22"/>
  <c r="X13" i="22" s="1"/>
  <c r="AC13" i="22"/>
  <c r="M13" i="22"/>
  <c r="W13" i="22" s="1"/>
  <c r="S13" i="22"/>
  <c r="AD13" i="22"/>
  <c r="C13" i="22"/>
  <c r="D13" i="22"/>
  <c r="F13" i="22"/>
  <c r="K13" i="22"/>
  <c r="K14" i="22"/>
  <c r="D14" i="22"/>
  <c r="T14" i="22"/>
  <c r="U14" i="22"/>
  <c r="O14" i="22"/>
  <c r="Y14" i="22" s="1"/>
  <c r="N14" i="22"/>
  <c r="X14" i="22" s="1"/>
  <c r="J14" i="22"/>
  <c r="I14" i="22"/>
  <c r="AD14" i="22"/>
  <c r="H14" i="22"/>
  <c r="L14" i="22"/>
  <c r="G14" i="22"/>
  <c r="E14" i="22"/>
  <c r="A14" i="22"/>
  <c r="C14" i="22"/>
  <c r="S14" i="22"/>
  <c r="AC14" i="22"/>
  <c r="F14" i="22"/>
  <c r="M14" i="22"/>
  <c r="W14" i="22" s="1"/>
  <c r="P14" i="22"/>
  <c r="Z14" i="22" s="1"/>
  <c r="H15" i="22"/>
  <c r="P15" i="22"/>
  <c r="Z15" i="22" s="1"/>
  <c r="D15" i="22"/>
  <c r="I15" i="22"/>
  <c r="T15" i="22"/>
  <c r="J15" i="22"/>
  <c r="C15" i="22"/>
  <c r="AD15" i="22"/>
  <c r="O15" i="22"/>
  <c r="Y15" i="22" s="1"/>
  <c r="K15" i="22"/>
  <c r="L15" i="22"/>
  <c r="S15" i="22"/>
  <c r="G15" i="22"/>
  <c r="U15" i="22"/>
  <c r="A15" i="22"/>
  <c r="N15" i="22"/>
  <c r="X15" i="22" s="1"/>
  <c r="AC15" i="22"/>
  <c r="M15" i="22"/>
  <c r="W15" i="22" s="1"/>
  <c r="F15" i="22"/>
  <c r="E15" i="22"/>
  <c r="L16" i="22"/>
  <c r="AD16" i="22"/>
  <c r="S16" i="22"/>
  <c r="M16" i="22"/>
  <c r="W16" i="22" s="1"/>
  <c r="G16" i="22"/>
  <c r="I16" i="22"/>
  <c r="J16" i="22"/>
  <c r="U16" i="22"/>
  <c r="E16" i="22"/>
  <c r="D16" i="22"/>
  <c r="N16" i="22"/>
  <c r="X16" i="22" s="1"/>
  <c r="K16" i="22"/>
  <c r="P16" i="22"/>
  <c r="Z16" i="22" s="1"/>
  <c r="C16" i="22"/>
  <c r="F16" i="22"/>
  <c r="A16" i="22"/>
  <c r="AC16" i="22"/>
  <c r="H16" i="22"/>
  <c r="O16" i="22"/>
  <c r="Y16" i="22" s="1"/>
  <c r="T16" i="22"/>
  <c r="H17" i="22"/>
  <c r="O17" i="22"/>
  <c r="Y17" i="22" s="1"/>
  <c r="I17" i="22"/>
  <c r="C17" i="22"/>
  <c r="J17" i="22"/>
  <c r="N17" i="22"/>
  <c r="X17" i="22" s="1"/>
  <c r="M17" i="22"/>
  <c r="W17" i="22" s="1"/>
  <c r="L17" i="22"/>
  <c r="A17" i="22"/>
  <c r="D17" i="22"/>
  <c r="AD17" i="22"/>
  <c r="U17" i="22"/>
  <c r="T17" i="22"/>
  <c r="F17" i="22"/>
  <c r="S17" i="22"/>
  <c r="E17" i="22"/>
  <c r="AC17" i="22"/>
  <c r="P17" i="22"/>
  <c r="Z17" i="22" s="1"/>
  <c r="G17" i="22"/>
  <c r="K17" i="22"/>
  <c r="M18" i="22"/>
  <c r="W18" i="22" s="1"/>
  <c r="P18" i="22"/>
  <c r="Z18" i="22" s="1"/>
  <c r="O18" i="22"/>
  <c r="Y18" i="22" s="1"/>
  <c r="C18" i="22"/>
  <c r="K18" i="22"/>
  <c r="H18" i="22"/>
  <c r="F18" i="22"/>
  <c r="J18" i="22"/>
  <c r="AD18" i="22"/>
  <c r="T18" i="22"/>
  <c r="A18" i="22"/>
  <c r="I18" i="22"/>
  <c r="N18" i="22"/>
  <c r="X18" i="22" s="1"/>
  <c r="L18" i="22"/>
  <c r="S18" i="22"/>
  <c r="U18" i="22"/>
  <c r="G18" i="22"/>
  <c r="AC18" i="22"/>
  <c r="E18" i="22"/>
  <c r="D18" i="22"/>
  <c r="AC19" i="22"/>
  <c r="O19" i="22"/>
  <c r="Y19" i="22" s="1"/>
  <c r="N19" i="22"/>
  <c r="X19" i="22" s="1"/>
  <c r="H19" i="22"/>
  <c r="I19" i="22"/>
  <c r="D19" i="22"/>
  <c r="G19" i="22"/>
  <c r="C19" i="22"/>
  <c r="J19" i="22"/>
  <c r="P19" i="22"/>
  <c r="Z19" i="22" s="1"/>
  <c r="L19" i="22"/>
  <c r="M19" i="22"/>
  <c r="W19" i="22" s="1"/>
  <c r="A19" i="22"/>
  <c r="K19" i="22"/>
  <c r="E19" i="22"/>
  <c r="S19" i="22"/>
  <c r="T19" i="22"/>
  <c r="U19" i="22"/>
  <c r="AD19" i="22"/>
  <c r="F19" i="22"/>
  <c r="N20" i="22"/>
  <c r="X20" i="22" s="1"/>
  <c r="L20" i="22"/>
  <c r="E20" i="22"/>
  <c r="K20" i="22"/>
  <c r="A20" i="22"/>
  <c r="O20" i="22"/>
  <c r="Y20" i="22" s="1"/>
  <c r="D20" i="22"/>
  <c r="J20" i="22"/>
  <c r="C20" i="22"/>
  <c r="AC20" i="22"/>
  <c r="T20" i="22"/>
  <c r="M20" i="22"/>
  <c r="W20" i="22" s="1"/>
  <c r="P20" i="22"/>
  <c r="Z20" i="22" s="1"/>
  <c r="F20" i="22"/>
  <c r="AD20" i="22"/>
  <c r="I20" i="22"/>
  <c r="S20" i="22"/>
  <c r="G20" i="22"/>
  <c r="H20" i="22"/>
  <c r="U20" i="22"/>
  <c r="A21" i="22"/>
  <c r="D21" i="22"/>
  <c r="P21" i="22"/>
  <c r="Z21" i="22" s="1"/>
  <c r="L21" i="22"/>
  <c r="O21" i="22"/>
  <c r="Y21" i="22" s="1"/>
  <c r="I21" i="22"/>
  <c r="N21" i="22"/>
  <c r="X21" i="22" s="1"/>
  <c r="C21" i="22"/>
  <c r="U21" i="22"/>
  <c r="T21" i="22"/>
  <c r="J21" i="22"/>
  <c r="F21" i="22"/>
  <c r="G21" i="22"/>
  <c r="AC21" i="22"/>
  <c r="M21" i="22"/>
  <c r="W21" i="22" s="1"/>
  <c r="E21" i="22"/>
  <c r="S21" i="22"/>
  <c r="K21" i="22"/>
  <c r="H21" i="22"/>
  <c r="AD21" i="22"/>
  <c r="AC22" i="22"/>
  <c r="K22" i="22"/>
  <c r="L22" i="22"/>
  <c r="D22" i="22"/>
  <c r="A22" i="22"/>
  <c r="U22" i="22"/>
  <c r="C22" i="22"/>
  <c r="E22" i="22"/>
  <c r="G22" i="22"/>
  <c r="J22" i="22"/>
  <c r="M22" i="22"/>
  <c r="W22" i="22" s="1"/>
  <c r="O22" i="22"/>
  <c r="Y22" i="22" s="1"/>
  <c r="F22" i="22"/>
  <c r="P22" i="22"/>
  <c r="Z22" i="22" s="1"/>
  <c r="T22" i="22"/>
  <c r="N22" i="22"/>
  <c r="X22" i="22" s="1"/>
  <c r="S22" i="22"/>
  <c r="I22" i="22"/>
  <c r="H22" i="22"/>
  <c r="AD22" i="22"/>
  <c r="L23" i="22"/>
  <c r="AC23" i="22"/>
  <c r="C23" i="22"/>
  <c r="G23" i="22"/>
  <c r="K23" i="22"/>
  <c r="O23" i="22"/>
  <c r="Y23" i="22" s="1"/>
  <c r="J23" i="22"/>
  <c r="N23" i="22"/>
  <c r="X23" i="22" s="1"/>
  <c r="I23" i="22"/>
  <c r="T23" i="22"/>
  <c r="P23" i="22"/>
  <c r="Z23" i="22" s="1"/>
  <c r="U23" i="22"/>
  <c r="AD23" i="22"/>
  <c r="E23" i="22"/>
  <c r="A23" i="22"/>
  <c r="S23" i="22"/>
  <c r="F23" i="22"/>
  <c r="D23" i="22"/>
  <c r="H23" i="22"/>
  <c r="M23" i="22"/>
  <c r="W23" i="22" s="1"/>
  <c r="P24" i="22"/>
  <c r="Z24" i="22" s="1"/>
  <c r="T24" i="22"/>
  <c r="J24" i="22"/>
  <c r="N24" i="22"/>
  <c r="X24" i="22" s="1"/>
  <c r="AC24" i="22"/>
  <c r="F24" i="22"/>
  <c r="G24" i="22"/>
  <c r="A24" i="22"/>
  <c r="O24" i="22"/>
  <c r="Y24" i="22" s="1"/>
  <c r="S24" i="22"/>
  <c r="E24" i="22"/>
  <c r="M24" i="22"/>
  <c r="W24" i="22" s="1"/>
  <c r="AD24" i="22"/>
  <c r="D24" i="22"/>
  <c r="L24" i="22"/>
  <c r="I24" i="22"/>
  <c r="C24" i="22"/>
  <c r="U24" i="22"/>
  <c r="K24" i="22"/>
  <c r="H24" i="22"/>
  <c r="N25" i="22"/>
  <c r="X25" i="22" s="1"/>
  <c r="AC25" i="22"/>
  <c r="P25" i="22"/>
  <c r="Z25" i="22" s="1"/>
  <c r="J25" i="22"/>
  <c r="M25" i="22"/>
  <c r="W25" i="22" s="1"/>
  <c r="G25" i="22"/>
  <c r="D25" i="22"/>
  <c r="AD25" i="22"/>
  <c r="K25" i="22"/>
  <c r="E25" i="22"/>
  <c r="H25" i="22"/>
  <c r="T25" i="22"/>
  <c r="C25" i="22"/>
  <c r="L25" i="22"/>
  <c r="F25" i="22"/>
  <c r="A25" i="22"/>
  <c r="O25" i="22"/>
  <c r="Y25" i="22" s="1"/>
  <c r="U25" i="22"/>
  <c r="S25" i="22"/>
  <c r="I25" i="22"/>
  <c r="C26" i="22"/>
  <c r="J26" i="22"/>
  <c r="N26" i="22"/>
  <c r="X26" i="22" s="1"/>
  <c r="S26" i="22"/>
  <c r="H26" i="22"/>
  <c r="O26" i="22"/>
  <c r="Y26" i="22" s="1"/>
  <c r="A26" i="22"/>
  <c r="D26" i="22"/>
  <c r="M26" i="22"/>
  <c r="W26" i="22" s="1"/>
  <c r="I26" i="22"/>
  <c r="AC26" i="22"/>
  <c r="U26" i="22"/>
  <c r="K26" i="22"/>
  <c r="L26" i="22"/>
  <c r="P26" i="22"/>
  <c r="Z26" i="22" s="1"/>
  <c r="F26" i="22"/>
  <c r="E26" i="22"/>
  <c r="T26" i="22"/>
  <c r="AD26" i="22"/>
  <c r="G26" i="22"/>
  <c r="M27" i="22"/>
  <c r="W27" i="22" s="1"/>
  <c r="O27" i="22"/>
  <c r="Y27" i="22" s="1"/>
  <c r="F27" i="22"/>
  <c r="A27" i="22"/>
  <c r="AC27" i="22"/>
  <c r="S27" i="22"/>
  <c r="G27" i="22"/>
  <c r="E27" i="22"/>
  <c r="U27" i="22"/>
  <c r="H27" i="22"/>
  <c r="T27" i="22"/>
  <c r="K27" i="22"/>
  <c r="L27" i="22"/>
  <c r="C27" i="22"/>
  <c r="I27" i="22"/>
  <c r="AD27" i="22"/>
  <c r="D27" i="22"/>
  <c r="J27" i="22"/>
  <c r="N27" i="22"/>
  <c r="X27" i="22" s="1"/>
  <c r="P27" i="22"/>
  <c r="Z27" i="22" s="1"/>
  <c r="AC28" i="22"/>
  <c r="F28" i="22"/>
  <c r="AD28" i="22"/>
  <c r="G28" i="22"/>
  <c r="D28" i="22"/>
  <c r="N28" i="22"/>
  <c r="X28" i="22" s="1"/>
  <c r="I28" i="22"/>
  <c r="S28" i="22"/>
  <c r="T28" i="22"/>
  <c r="A28" i="22"/>
  <c r="C28" i="22"/>
  <c r="M28" i="22"/>
  <c r="W28" i="22" s="1"/>
  <c r="J28" i="22"/>
  <c r="O28" i="22"/>
  <c r="Y28" i="22" s="1"/>
  <c r="K28" i="22"/>
  <c r="L28" i="22"/>
  <c r="E28" i="22"/>
  <c r="H28" i="22"/>
  <c r="P28" i="22"/>
  <c r="Z28" i="22" s="1"/>
  <c r="U28" i="22"/>
  <c r="A29" i="22"/>
  <c r="P29" i="22"/>
  <c r="Z29" i="22" s="1"/>
  <c r="AC29" i="22"/>
  <c r="AD29" i="22"/>
  <c r="O29" i="22"/>
  <c r="Y29" i="22" s="1"/>
  <c r="J29" i="22"/>
  <c r="T29" i="22"/>
  <c r="K29" i="22"/>
  <c r="U29" i="22"/>
  <c r="S29" i="22"/>
  <c r="C29" i="22"/>
  <c r="F29" i="22"/>
  <c r="G29" i="22"/>
  <c r="I29" i="22"/>
  <c r="M29" i="22"/>
  <c r="W29" i="22" s="1"/>
  <c r="D29" i="22"/>
  <c r="H29" i="22"/>
  <c r="E29" i="22"/>
  <c r="L29" i="22"/>
  <c r="N29" i="22"/>
  <c r="X29" i="22" s="1"/>
  <c r="M30" i="22"/>
  <c r="W30" i="22" s="1"/>
  <c r="U30" i="22"/>
  <c r="F30" i="22"/>
  <c r="J30" i="22"/>
  <c r="A30" i="22"/>
  <c r="E30" i="22"/>
  <c r="C30" i="22"/>
  <c r="O30" i="22"/>
  <c r="Y30" i="22" s="1"/>
  <c r="T30" i="22"/>
  <c r="D30" i="22"/>
  <c r="H30" i="22"/>
  <c r="AC30" i="22"/>
  <c r="L30" i="22"/>
  <c r="I30" i="22"/>
  <c r="S30" i="22"/>
  <c r="AD30" i="22"/>
  <c r="K30" i="22"/>
  <c r="P30" i="22"/>
  <c r="Z30" i="22" s="1"/>
  <c r="N30" i="22"/>
  <c r="X30" i="22" s="1"/>
  <c r="G30" i="22"/>
  <c r="D31" i="22"/>
  <c r="C31" i="22"/>
  <c r="O31" i="22"/>
  <c r="Y31" i="22" s="1"/>
  <c r="G31" i="22"/>
  <c r="I31" i="22"/>
  <c r="A31" i="22"/>
  <c r="H31" i="22"/>
  <c r="K31" i="22"/>
  <c r="S31" i="22"/>
  <c r="M31" i="22"/>
  <c r="W31" i="22" s="1"/>
  <c r="F31" i="22"/>
  <c r="P31" i="22"/>
  <c r="Z31" i="22" s="1"/>
  <c r="T31" i="22"/>
  <c r="AC31" i="22"/>
  <c r="U31" i="22"/>
  <c r="AD31" i="22"/>
  <c r="E31" i="22"/>
  <c r="J31" i="22"/>
  <c r="N31" i="22"/>
  <c r="X31" i="22" s="1"/>
  <c r="L31" i="22"/>
  <c r="C32" i="22"/>
  <c r="G32" i="22"/>
  <c r="H32" i="22"/>
  <c r="L32" i="22"/>
  <c r="S32" i="22"/>
  <c r="AC32" i="22"/>
  <c r="E32" i="22"/>
  <c r="M32" i="22"/>
  <c r="W32" i="22" s="1"/>
  <c r="D32" i="22"/>
  <c r="J32" i="22"/>
  <c r="P32" i="22"/>
  <c r="Z32" i="22" s="1"/>
  <c r="K32" i="22"/>
  <c r="F32" i="22"/>
  <c r="T32" i="22"/>
  <c r="A32" i="22"/>
  <c r="U32" i="22"/>
  <c r="O32" i="22"/>
  <c r="Y32" i="22" s="1"/>
  <c r="N32" i="22"/>
  <c r="X32" i="22" s="1"/>
  <c r="AD32" i="22"/>
  <c r="I32" i="22"/>
  <c r="P33" i="22"/>
  <c r="Z33" i="22" s="1"/>
  <c r="E33" i="22"/>
  <c r="J33" i="22"/>
  <c r="AC33" i="22"/>
  <c r="D33" i="22"/>
  <c r="U33" i="22"/>
  <c r="M33" i="22"/>
  <c r="W33" i="22" s="1"/>
  <c r="T33" i="22"/>
  <c r="A33" i="22"/>
  <c r="K33" i="22"/>
  <c r="C33" i="22"/>
  <c r="O33" i="22"/>
  <c r="Y33" i="22" s="1"/>
  <c r="I33" i="22"/>
  <c r="G33" i="22"/>
  <c r="L33" i="22"/>
  <c r="H33" i="22"/>
  <c r="N33" i="22"/>
  <c r="X33" i="22" s="1"/>
  <c r="F33" i="22"/>
  <c r="S33" i="22"/>
  <c r="AD33" i="22"/>
  <c r="P34" i="22"/>
  <c r="Z34" i="22" s="1"/>
  <c r="T34" i="22"/>
  <c r="F34" i="22"/>
  <c r="D34" i="22"/>
  <c r="AD34" i="22"/>
  <c r="G34" i="22"/>
  <c r="K34" i="22"/>
  <c r="U34" i="22"/>
  <c r="S34" i="22"/>
  <c r="H34" i="22"/>
  <c r="N34" i="22"/>
  <c r="X34" i="22" s="1"/>
  <c r="C34" i="22"/>
  <c r="A34" i="22"/>
  <c r="M34" i="22"/>
  <c r="W34" i="22" s="1"/>
  <c r="O34" i="22"/>
  <c r="Y34" i="22" s="1"/>
  <c r="J34" i="22"/>
  <c r="L34" i="22"/>
  <c r="I34" i="22"/>
  <c r="E34" i="22"/>
  <c r="AC34" i="22"/>
  <c r="P35" i="22"/>
  <c r="Z35" i="22" s="1"/>
  <c r="T35" i="22"/>
  <c r="N35" i="22"/>
  <c r="X35" i="22" s="1"/>
  <c r="AD35" i="22"/>
  <c r="C35" i="22"/>
  <c r="L35" i="22"/>
  <c r="A35" i="22"/>
  <c r="I35" i="22"/>
  <c r="G35" i="22"/>
  <c r="AC35" i="22"/>
  <c r="M35" i="22"/>
  <c r="W35" i="22" s="1"/>
  <c r="J35" i="22"/>
  <c r="S35" i="22"/>
  <c r="O35" i="22"/>
  <c r="Y35" i="22" s="1"/>
  <c r="E35" i="22"/>
  <c r="H35" i="22"/>
  <c r="D35" i="22"/>
  <c r="F35" i="22"/>
  <c r="U35" i="22"/>
  <c r="K35" i="22"/>
  <c r="AD36" i="22"/>
  <c r="I36" i="22"/>
  <c r="T36" i="22"/>
  <c r="AC36" i="22"/>
  <c r="E36" i="22"/>
  <c r="G36" i="22"/>
  <c r="U36" i="22"/>
  <c r="J36" i="22"/>
  <c r="H36" i="22"/>
  <c r="D36" i="22"/>
  <c r="F36" i="22" s="1"/>
  <c r="C36" i="22"/>
  <c r="S36" i="22"/>
  <c r="J37" i="22"/>
  <c r="C37" i="22"/>
  <c r="T37" i="22"/>
  <c r="D37" i="22"/>
  <c r="U37" i="22"/>
  <c r="AD37" i="22"/>
  <c r="H37" i="22"/>
  <c r="S37" i="22"/>
  <c r="I37" i="22"/>
  <c r="G37" i="22"/>
  <c r="E37" i="22"/>
  <c r="AC37" i="22"/>
  <c r="H38" i="22"/>
  <c r="D38" i="22"/>
  <c r="E38" i="22"/>
  <c r="F38" i="22"/>
  <c r="I38" i="22"/>
  <c r="G38" i="22"/>
  <c r="T38" i="22"/>
  <c r="S38" i="22"/>
  <c r="C38" i="22"/>
  <c r="AC38" i="22"/>
  <c r="A38" i="22"/>
  <c r="U38" i="22"/>
  <c r="J38" i="22"/>
  <c r="AD38" i="22"/>
  <c r="I39" i="22"/>
  <c r="G39" i="22"/>
  <c r="AC39" i="22"/>
  <c r="T39" i="22"/>
  <c r="AD39" i="22"/>
  <c r="U39" i="22"/>
  <c r="H39" i="22"/>
  <c r="J39" i="22"/>
  <c r="C39" i="22"/>
  <c r="D39" i="22"/>
  <c r="F39" i="22" s="1"/>
  <c r="A39" i="22" s="1"/>
  <c r="E39" i="22"/>
  <c r="S39" i="22"/>
  <c r="J40" i="22"/>
  <c r="T40" i="22"/>
  <c r="D40" i="22"/>
  <c r="G40" i="22"/>
  <c r="C40" i="22"/>
  <c r="AD40" i="22"/>
  <c r="I40" i="22"/>
  <c r="U40" i="22"/>
  <c r="AC40" i="22"/>
  <c r="E40" i="22"/>
  <c r="H40" i="22"/>
  <c r="S40" i="22"/>
  <c r="C41" i="22"/>
  <c r="L41" i="22"/>
  <c r="J41" i="22"/>
  <c r="P41" i="22"/>
  <c r="Z41" i="22" s="1"/>
  <c r="U41" i="22"/>
  <c r="K41" i="22"/>
  <c r="AD41" i="22"/>
  <c r="AC41" i="22"/>
  <c r="D41" i="22"/>
  <c r="O41" i="22"/>
  <c r="Y41" i="22" s="1"/>
  <c r="H41" i="22"/>
  <c r="M41" i="22"/>
  <c r="W41" i="22" s="1"/>
  <c r="I41" i="22"/>
  <c r="T41" i="22"/>
  <c r="E41" i="22"/>
  <c r="N41" i="22"/>
  <c r="X41" i="22" s="1"/>
  <c r="A41" i="22"/>
  <c r="G41" i="22"/>
  <c r="F41" i="22"/>
  <c r="S41" i="22"/>
  <c r="AD42" i="22"/>
  <c r="G42" i="22"/>
  <c r="H42" i="22"/>
  <c r="J42" i="22"/>
  <c r="C42" i="22"/>
  <c r="E42" i="22"/>
  <c r="T42" i="22"/>
  <c r="D42" i="22"/>
  <c r="I42" i="22"/>
  <c r="U42" i="22"/>
  <c r="F42" i="22"/>
  <c r="A42" i="22" s="1"/>
  <c r="AC42" i="22"/>
  <c r="S42" i="22"/>
  <c r="C43" i="22"/>
  <c r="D43" i="22"/>
  <c r="J43" i="22"/>
  <c r="E43" i="22"/>
  <c r="F43" i="22"/>
  <c r="A43" i="22" s="1"/>
  <c r="AC43" i="22"/>
  <c r="G43" i="22"/>
  <c r="AD43" i="22"/>
  <c r="U43" i="22"/>
  <c r="I43" i="22"/>
  <c r="H43" i="22"/>
  <c r="T43" i="22"/>
  <c r="S43" i="22"/>
  <c r="AC44" i="22"/>
  <c r="H44" i="22"/>
  <c r="S44" i="22"/>
  <c r="AD44" i="22"/>
  <c r="T44" i="22"/>
  <c r="U44" i="22"/>
  <c r="J44" i="22"/>
  <c r="I44" i="22"/>
  <c r="D44" i="22"/>
  <c r="E44" i="22"/>
  <c r="G44" i="22"/>
  <c r="F44" i="22"/>
  <c r="A44" i="22" s="1"/>
  <c r="C44" i="22"/>
  <c r="E45" i="22"/>
  <c r="S45" i="22"/>
  <c r="G45" i="22"/>
  <c r="H45" i="22"/>
  <c r="AD45" i="22"/>
  <c r="C45" i="22"/>
  <c r="J45" i="22"/>
  <c r="I45" i="22"/>
  <c r="U45" i="22"/>
  <c r="AC45" i="22"/>
  <c r="T45" i="22"/>
  <c r="D45" i="22"/>
  <c r="F45" i="22" s="1"/>
  <c r="A45" i="22" s="1"/>
  <c r="E46" i="22"/>
  <c r="S46" i="22"/>
  <c r="J46" i="22"/>
  <c r="I46" i="22"/>
  <c r="C46" i="22"/>
  <c r="U46" i="22"/>
  <c r="T46" i="22"/>
  <c r="AD46" i="22"/>
  <c r="G46" i="22"/>
  <c r="H46" i="22"/>
  <c r="AC46" i="22"/>
  <c r="D46" i="22"/>
  <c r="F46" i="22" s="1"/>
  <c r="A46" i="22" s="1"/>
  <c r="O47" i="22"/>
  <c r="Y47" i="22" s="1"/>
  <c r="S47" i="22"/>
  <c r="T47" i="22"/>
  <c r="U47" i="22"/>
  <c r="J47" i="22"/>
  <c r="I47" i="22"/>
  <c r="M47" i="22"/>
  <c r="W47" i="22" s="1"/>
  <c r="L47" i="22"/>
  <c r="A47" i="22"/>
  <c r="AC47" i="22"/>
  <c r="G47" i="22"/>
  <c r="H47" i="22"/>
  <c r="D47" i="22"/>
  <c r="AD47" i="22"/>
  <c r="P47" i="22"/>
  <c r="Z47" i="22" s="1"/>
  <c r="F47" i="22"/>
  <c r="C47" i="22"/>
  <c r="K47" i="22"/>
  <c r="N47" i="22"/>
  <c r="X47" i="22" s="1"/>
  <c r="E47" i="22"/>
  <c r="J48" i="22"/>
  <c r="I48" i="22"/>
  <c r="S48" i="22"/>
  <c r="C48" i="22"/>
  <c r="T48" i="22"/>
  <c r="H48" i="22"/>
  <c r="AC48" i="22"/>
  <c r="AD48" i="22"/>
  <c r="D48" i="22"/>
  <c r="U48" i="22"/>
  <c r="E48" i="22"/>
  <c r="G48" i="22"/>
  <c r="H49" i="22"/>
  <c r="AD49" i="22"/>
  <c r="C49" i="22"/>
  <c r="J49" i="22"/>
  <c r="I49" i="22"/>
  <c r="U49" i="22"/>
  <c r="E49" i="22"/>
  <c r="AC49" i="22"/>
  <c r="G49" i="22"/>
  <c r="S49" i="22"/>
  <c r="T49" i="22"/>
  <c r="D49" i="22"/>
  <c r="F49" i="22" s="1"/>
  <c r="A49" i="22" s="1"/>
  <c r="G50" i="22"/>
  <c r="J50" i="22"/>
  <c r="I50" i="22"/>
  <c r="S50" i="22"/>
  <c r="E50" i="22"/>
  <c r="AD50" i="22"/>
  <c r="T50" i="22"/>
  <c r="AC50" i="22"/>
  <c r="D50" i="22"/>
  <c r="F50" i="22" s="1"/>
  <c r="A50" i="22" s="1"/>
  <c r="H50" i="22"/>
  <c r="C50" i="22"/>
  <c r="U50" i="22"/>
  <c r="E51" i="22"/>
  <c r="J51" i="22"/>
  <c r="I51" i="22"/>
  <c r="S51" i="22"/>
  <c r="D51" i="22"/>
  <c r="G51" i="22"/>
  <c r="AC51" i="22"/>
  <c r="H51" i="22"/>
  <c r="T51" i="22"/>
  <c r="F51" i="22"/>
  <c r="A51" i="22" s="1"/>
  <c r="U51" i="22"/>
  <c r="AD51" i="22"/>
  <c r="C51" i="22"/>
  <c r="AD52" i="22"/>
  <c r="S52" i="22"/>
  <c r="AC52" i="22"/>
  <c r="I52" i="22"/>
  <c r="J52" i="22"/>
  <c r="U52" i="22"/>
  <c r="E52" i="22"/>
  <c r="D52" i="22"/>
  <c r="F52" i="22" s="1"/>
  <c r="A52" i="22" s="1"/>
  <c r="G52" i="22"/>
  <c r="T52" i="22"/>
  <c r="H52" i="22"/>
  <c r="C52" i="22"/>
  <c r="E53" i="22"/>
  <c r="S53" i="22"/>
  <c r="U53" i="22"/>
  <c r="T53" i="22"/>
  <c r="J53" i="22"/>
  <c r="I53" i="22"/>
  <c r="G53" i="22"/>
  <c r="D53" i="22"/>
  <c r="H53" i="22"/>
  <c r="AC53" i="22"/>
  <c r="F53" i="22"/>
  <c r="A53" i="22" s="1"/>
  <c r="AD53" i="22"/>
  <c r="C53" i="22"/>
  <c r="J54" i="22"/>
  <c r="H54" i="22"/>
  <c r="G54" i="22"/>
  <c r="AD54" i="22"/>
  <c r="T54" i="22"/>
  <c r="I54" i="22"/>
  <c r="D54" i="22"/>
  <c r="AC54" i="22"/>
  <c r="S54" i="22"/>
  <c r="E54" i="22"/>
  <c r="U54" i="22"/>
  <c r="C54" i="22"/>
  <c r="D55" i="22"/>
  <c r="H55" i="22"/>
  <c r="I55" i="22"/>
  <c r="J55" i="22"/>
  <c r="S55" i="22"/>
  <c r="AD55" i="22"/>
  <c r="E55" i="22"/>
  <c r="F55" i="22" s="1"/>
  <c r="A55" i="22" s="1"/>
  <c r="U55" i="22"/>
  <c r="G55" i="22"/>
  <c r="AC55" i="22"/>
  <c r="C55" i="22"/>
  <c r="T55" i="22"/>
  <c r="H56" i="22"/>
  <c r="E56" i="22"/>
  <c r="C56" i="22"/>
  <c r="S56" i="22"/>
  <c r="T56" i="22"/>
  <c r="AD56" i="22"/>
  <c r="AC56" i="22"/>
  <c r="U56" i="22"/>
  <c r="J56" i="22"/>
  <c r="D56" i="22"/>
  <c r="F56" i="22" s="1"/>
  <c r="A56" i="22" s="1"/>
  <c r="G56" i="22"/>
  <c r="I56" i="22"/>
  <c r="S57" i="22"/>
  <c r="J57" i="22"/>
  <c r="AC57" i="22"/>
  <c r="AD57" i="22"/>
  <c r="E57" i="22"/>
  <c r="C57" i="22"/>
  <c r="G57" i="22"/>
  <c r="T57" i="22"/>
  <c r="H57" i="22"/>
  <c r="U57" i="22"/>
  <c r="D57" i="22"/>
  <c r="F57" i="22" s="1"/>
  <c r="A57" i="22" s="1"/>
  <c r="I57" i="22"/>
  <c r="C58" i="22"/>
  <c r="S58" i="22"/>
  <c r="AC58" i="22"/>
  <c r="U58" i="22"/>
  <c r="D58" i="22"/>
  <c r="J58" i="22"/>
  <c r="AD58" i="22"/>
  <c r="G58" i="22"/>
  <c r="I58" i="22"/>
  <c r="H58" i="22"/>
  <c r="E58" i="22"/>
  <c r="T58" i="22"/>
  <c r="T59" i="22"/>
  <c r="AD59" i="22"/>
  <c r="S59" i="22"/>
  <c r="J59" i="22"/>
  <c r="AC59" i="22"/>
  <c r="C59" i="22"/>
  <c r="D59" i="22"/>
  <c r="G59" i="22"/>
  <c r="H59" i="22"/>
  <c r="I59" i="22"/>
  <c r="E59" i="22"/>
  <c r="U59" i="22"/>
  <c r="AD60" i="22"/>
  <c r="J60" i="22"/>
  <c r="C60" i="22"/>
  <c r="T60" i="22"/>
  <c r="D60" i="22"/>
  <c r="I60" i="22"/>
  <c r="G60" i="22"/>
  <c r="AC60" i="22"/>
  <c r="H60" i="22"/>
  <c r="E60" i="22"/>
  <c r="U60" i="22"/>
  <c r="F60" i="22"/>
  <c r="A60" i="22" s="1"/>
  <c r="S60" i="22"/>
  <c r="C61" i="22"/>
  <c r="J61" i="22"/>
  <c r="S61" i="22"/>
  <c r="AC61" i="22"/>
  <c r="T61" i="22"/>
  <c r="U61" i="22"/>
  <c r="G61" i="22"/>
  <c r="AD61" i="22"/>
  <c r="D61" i="22"/>
  <c r="H61" i="22"/>
  <c r="E61" i="22"/>
  <c r="I61" i="22"/>
  <c r="J62" i="22"/>
  <c r="AD62" i="22"/>
  <c r="E62" i="22"/>
  <c r="S62" i="22"/>
  <c r="D62" i="22"/>
  <c r="F62" i="22" s="1"/>
  <c r="A62" i="22" s="1"/>
  <c r="C62" i="22"/>
  <c r="G62" i="22"/>
  <c r="T62" i="22"/>
  <c r="I62" i="22"/>
  <c r="U62" i="22"/>
  <c r="AC62" i="22"/>
  <c r="H62" i="22"/>
  <c r="T63" i="22"/>
  <c r="AD63" i="22"/>
  <c r="U63" i="22"/>
  <c r="G63" i="22"/>
  <c r="C63" i="22"/>
  <c r="S63" i="22"/>
  <c r="I63" i="22"/>
  <c r="AC63" i="22"/>
  <c r="E63" i="22"/>
  <c r="H63" i="22"/>
  <c r="J63" i="22"/>
  <c r="D63" i="22"/>
  <c r="F63" i="22" s="1"/>
  <c r="A63" i="22" s="1"/>
  <c r="C64" i="22"/>
  <c r="U64" i="22"/>
  <c r="AC64" i="22"/>
  <c r="I64" i="22"/>
  <c r="G64" i="22"/>
  <c r="AD64" i="22"/>
  <c r="D64" i="22"/>
  <c r="H64" i="22"/>
  <c r="T64" i="22"/>
  <c r="J64" i="22"/>
  <c r="E64" i="22"/>
  <c r="S64" i="22"/>
  <c r="AD65" i="22"/>
  <c r="AC65" i="22"/>
  <c r="N65" i="22"/>
  <c r="X65" i="22" s="1"/>
  <c r="K65" i="22"/>
  <c r="M65" i="22"/>
  <c r="W65" i="22" s="1"/>
  <c r="E65" i="22"/>
  <c r="S65" i="22"/>
  <c r="A65" i="22"/>
  <c r="I65" i="22"/>
  <c r="D65" i="22"/>
  <c r="O65" i="22"/>
  <c r="Y65" i="22" s="1"/>
  <c r="P65" i="22"/>
  <c r="Z65" i="22" s="1"/>
  <c r="U65" i="22"/>
  <c r="H65" i="22"/>
  <c r="G65" i="22"/>
  <c r="F65" i="22"/>
  <c r="J65" i="22"/>
  <c r="T65" i="22"/>
  <c r="L65" i="22"/>
  <c r="C65" i="22"/>
  <c r="AC66" i="22"/>
  <c r="G66" i="22"/>
  <c r="D66" i="22"/>
  <c r="S66" i="22"/>
  <c r="C66" i="22"/>
  <c r="J66" i="22"/>
  <c r="I66" i="22"/>
  <c r="U66" i="22"/>
  <c r="E66" i="22"/>
  <c r="T66" i="22"/>
  <c r="H66" i="22"/>
  <c r="F66" i="22"/>
  <c r="A66" i="22" s="1"/>
  <c r="AD66" i="22"/>
  <c r="AC67" i="22"/>
  <c r="K67" i="22"/>
  <c r="P67" i="22"/>
  <c r="Z67" i="22" s="1"/>
  <c r="T67" i="22"/>
  <c r="U67" i="22"/>
  <c r="F67" i="22"/>
  <c r="J67" i="22"/>
  <c r="A67" i="22"/>
  <c r="S67" i="22"/>
  <c r="M67" i="22"/>
  <c r="W67" i="22" s="1"/>
  <c r="G67" i="22"/>
  <c r="O67" i="22"/>
  <c r="Y67" i="22" s="1"/>
  <c r="D67" i="22"/>
  <c r="L67" i="22"/>
  <c r="C67" i="22"/>
  <c r="N67" i="22"/>
  <c r="X67" i="22" s="1"/>
  <c r="AD67" i="22"/>
  <c r="I67" i="22"/>
  <c r="H67" i="22"/>
  <c r="E67" i="22"/>
  <c r="O68" i="22"/>
  <c r="Y68" i="22" s="1"/>
  <c r="C68" i="22"/>
  <c r="J68" i="22"/>
  <c r="N68" i="22"/>
  <c r="X68" i="22" s="1"/>
  <c r="M68" i="22"/>
  <c r="W68" i="22" s="1"/>
  <c r="A68" i="22"/>
  <c r="L68" i="22"/>
  <c r="K68" i="22"/>
  <c r="D68" i="22"/>
  <c r="I68" i="22"/>
  <c r="E68" i="22"/>
  <c r="H68" i="22"/>
  <c r="F68" i="22"/>
  <c r="AD68" i="22"/>
  <c r="AC68" i="22"/>
  <c r="G68" i="22"/>
  <c r="U68" i="22"/>
  <c r="T68" i="22"/>
  <c r="S68" i="22"/>
  <c r="P68" i="22"/>
  <c r="Z68" i="22" s="1"/>
  <c r="O69" i="22"/>
  <c r="Y69" i="22" s="1"/>
  <c r="I69" i="22"/>
  <c r="P69" i="22"/>
  <c r="Z69" i="22" s="1"/>
  <c r="AC69" i="22"/>
  <c r="U69" i="22"/>
  <c r="J69" i="22"/>
  <c r="H69" i="22"/>
  <c r="D69" i="22"/>
  <c r="S69" i="22"/>
  <c r="G69" i="22"/>
  <c r="C69" i="22"/>
  <c r="N69" i="22"/>
  <c r="X69" i="22" s="1"/>
  <c r="M69" i="22"/>
  <c r="W69" i="22" s="1"/>
  <c r="T69" i="22"/>
  <c r="K69" i="22"/>
  <c r="E69" i="22"/>
  <c r="A69" i="22"/>
  <c r="AD69" i="22"/>
  <c r="F69" i="22"/>
  <c r="L69" i="22"/>
  <c r="K70" i="22"/>
  <c r="AC70" i="22"/>
  <c r="E70" i="22"/>
  <c r="J70" i="22"/>
  <c r="I70" i="22"/>
  <c r="N70" i="22"/>
  <c r="X70" i="22" s="1"/>
  <c r="S70" i="22"/>
  <c r="P70" i="22"/>
  <c r="Z70" i="22" s="1"/>
  <c r="G70" i="22"/>
  <c r="C70" i="22"/>
  <c r="D70" i="22"/>
  <c r="M70" i="22"/>
  <c r="W70" i="22" s="1"/>
  <c r="L70" i="22"/>
  <c r="H70" i="22"/>
  <c r="F70" i="22"/>
  <c r="A70" i="22"/>
  <c r="O70" i="22"/>
  <c r="Y70" i="22" s="1"/>
  <c r="AD70" i="22"/>
  <c r="T70" i="22"/>
  <c r="U70" i="22"/>
  <c r="J71" i="22"/>
  <c r="E71" i="22"/>
  <c r="C71" i="22"/>
  <c r="S71" i="22"/>
  <c r="D71" i="22"/>
  <c r="F71" i="22" s="1"/>
  <c r="A71" i="22" s="1"/>
  <c r="AD71" i="22"/>
  <c r="G71" i="22"/>
  <c r="I71" i="22"/>
  <c r="T71" i="22"/>
  <c r="H71" i="22"/>
  <c r="AC71" i="22"/>
  <c r="U71" i="22"/>
  <c r="D72" i="22"/>
  <c r="T72" i="22"/>
  <c r="S72" i="22"/>
  <c r="C72" i="22"/>
  <c r="AD72" i="22"/>
  <c r="J72" i="22"/>
  <c r="E72" i="22"/>
  <c r="I72" i="22"/>
  <c r="AC72" i="22"/>
  <c r="H72" i="22"/>
  <c r="G72" i="22"/>
  <c r="U72" i="22"/>
  <c r="I73" i="22"/>
  <c r="E73" i="22"/>
  <c r="H73" i="22"/>
  <c r="D73" i="22"/>
  <c r="F73" i="22" s="1"/>
  <c r="A73" i="22" s="1"/>
  <c r="G73" i="22"/>
  <c r="S73" i="22"/>
  <c r="C73" i="22"/>
  <c r="J73" i="22"/>
  <c r="AC73" i="22"/>
  <c r="AD73" i="22"/>
  <c r="T73" i="22"/>
  <c r="U73" i="22"/>
  <c r="T74" i="22"/>
  <c r="E74" i="22"/>
  <c r="S74" i="22"/>
  <c r="H74" i="22"/>
  <c r="C74" i="22"/>
  <c r="AD74" i="22"/>
  <c r="G74" i="22"/>
  <c r="I74" i="22"/>
  <c r="AC74" i="22"/>
  <c r="J74" i="22"/>
  <c r="D74" i="22"/>
  <c r="F74" i="22" s="1"/>
  <c r="A74" i="22" s="1"/>
  <c r="U74" i="22"/>
  <c r="G75" i="22"/>
  <c r="I75" i="22"/>
  <c r="AD75" i="22"/>
  <c r="H75" i="22"/>
  <c r="AC75" i="22"/>
  <c r="J75" i="22"/>
  <c r="S75" i="22"/>
  <c r="T75" i="22"/>
  <c r="C75" i="22"/>
  <c r="D75" i="22"/>
  <c r="F75" i="22" s="1"/>
  <c r="A75" i="22" s="1"/>
  <c r="E75" i="22"/>
  <c r="U75" i="22"/>
  <c r="F76" i="22"/>
  <c r="P76" i="22"/>
  <c r="Z76" i="22" s="1"/>
  <c r="H76" i="22"/>
  <c r="AC76" i="22"/>
  <c r="K76" i="22"/>
  <c r="E76" i="22"/>
  <c r="A76" i="22"/>
  <c r="AD76" i="22"/>
  <c r="I76" i="22"/>
  <c r="J76" i="22"/>
  <c r="M76" i="22"/>
  <c r="W76" i="22" s="1"/>
  <c r="S76" i="22"/>
  <c r="T76" i="22"/>
  <c r="G76" i="22"/>
  <c r="C76" i="22"/>
  <c r="D76" i="22"/>
  <c r="O76" i="22"/>
  <c r="Y76" i="22" s="1"/>
  <c r="L76" i="22"/>
  <c r="N76" i="22"/>
  <c r="X76" i="22" s="1"/>
  <c r="U76" i="22"/>
  <c r="AC23" i="5"/>
  <c r="AB45" i="5"/>
  <c r="AB23" i="5"/>
  <c r="AF5" i="6"/>
  <c r="AC45" i="5"/>
  <c r="Z68" i="6"/>
  <c r="P451" i="22" s="1"/>
  <c r="Z451" i="22" s="1"/>
  <c r="W68" i="6"/>
  <c r="K451" i="22" s="1"/>
  <c r="Y68" i="6"/>
  <c r="O451" i="22" s="1"/>
  <c r="Y451" i="22" s="1"/>
  <c r="Y69" i="6"/>
  <c r="O452" i="22" s="1"/>
  <c r="Y452" i="22" s="1"/>
  <c r="W69" i="6"/>
  <c r="K452" i="22" s="1"/>
  <c r="Z69" i="6"/>
  <c r="P452" i="22" s="1"/>
  <c r="Z452" i="22" s="1"/>
  <c r="Y70" i="6"/>
  <c r="O453" i="22" s="1"/>
  <c r="Y453" i="22" s="1"/>
  <c r="Z70" i="6"/>
  <c r="P453" i="22" s="1"/>
  <c r="Z453" i="22" s="1"/>
  <c r="W70" i="6"/>
  <c r="K453" i="22" s="1"/>
  <c r="W71" i="6"/>
  <c r="K454" i="22" s="1"/>
  <c r="Y71" i="6"/>
  <c r="O454" i="22" s="1"/>
  <c r="Y454" i="22" s="1"/>
  <c r="Z71" i="6"/>
  <c r="P454" i="22" s="1"/>
  <c r="Z454" i="22" s="1"/>
  <c r="Z72" i="6"/>
  <c r="P455" i="22" s="1"/>
  <c r="Z455" i="22" s="1"/>
  <c r="W72" i="6"/>
  <c r="K455" i="22" s="1"/>
  <c r="Y72" i="6"/>
  <c r="O455" i="22" s="1"/>
  <c r="Y455" i="22" s="1"/>
  <c r="Z73" i="6"/>
  <c r="P456" i="22" s="1"/>
  <c r="Z456" i="22" s="1"/>
  <c r="W73" i="6"/>
  <c r="K456" i="22" s="1"/>
  <c r="Y73" i="6"/>
  <c r="O456" i="22" s="1"/>
  <c r="Y456" i="22" s="1"/>
  <c r="W74" i="6"/>
  <c r="K457" i="22" s="1"/>
  <c r="Y74" i="6"/>
  <c r="O457" i="22" s="1"/>
  <c r="Y457" i="22" s="1"/>
  <c r="Z74" i="6"/>
  <c r="P457" i="22" s="1"/>
  <c r="Z457" i="22" s="1"/>
  <c r="W75" i="6"/>
  <c r="K458" i="22" s="1"/>
  <c r="Y75" i="6"/>
  <c r="O458" i="22" s="1"/>
  <c r="Y458" i="22" s="1"/>
  <c r="Z75" i="6"/>
  <c r="P458" i="22" s="1"/>
  <c r="Z458" i="22" s="1"/>
  <c r="W76" i="6"/>
  <c r="K459" i="22" s="1"/>
  <c r="Z76" i="6"/>
  <c r="P459" i="22" s="1"/>
  <c r="Z459" i="22" s="1"/>
  <c r="Y76" i="6"/>
  <c r="O459" i="22" s="1"/>
  <c r="Y459" i="22" s="1"/>
  <c r="Y46" i="6"/>
  <c r="O429" i="22" s="1"/>
  <c r="Y429" i="22" s="1"/>
  <c r="W46" i="6"/>
  <c r="K429" i="22" s="1"/>
  <c r="Z46" i="6"/>
  <c r="P429" i="22" s="1"/>
  <c r="Z429" i="22" s="1"/>
  <c r="Y47" i="6"/>
  <c r="O430" i="22" s="1"/>
  <c r="Y430" i="22" s="1"/>
  <c r="W47" i="6"/>
  <c r="K430" i="22" s="1"/>
  <c r="Z47" i="6"/>
  <c r="P430" i="22" s="1"/>
  <c r="Z430" i="22" s="1"/>
  <c r="Y48" i="6"/>
  <c r="O431" i="22" s="1"/>
  <c r="Y431" i="22" s="1"/>
  <c r="Z48" i="6"/>
  <c r="P431" i="22" s="1"/>
  <c r="Z431" i="22" s="1"/>
  <c r="W48" i="6"/>
  <c r="K431" i="22" s="1"/>
  <c r="W49" i="6"/>
  <c r="K432" i="22" s="1"/>
  <c r="Z49" i="6"/>
  <c r="P432" i="22" s="1"/>
  <c r="Z432" i="22" s="1"/>
  <c r="Y49" i="6"/>
  <c r="O432" i="22" s="1"/>
  <c r="Y432" i="22" s="1"/>
  <c r="Y50" i="6"/>
  <c r="O433" i="22" s="1"/>
  <c r="Y433" i="22" s="1"/>
  <c r="W50" i="6"/>
  <c r="K433" i="22" s="1"/>
  <c r="Z50" i="6"/>
  <c r="P433" i="22" s="1"/>
  <c r="Z433" i="22" s="1"/>
  <c r="Y51" i="6"/>
  <c r="O434" i="22" s="1"/>
  <c r="Y434" i="22" s="1"/>
  <c r="Z51" i="6"/>
  <c r="P434" i="22" s="1"/>
  <c r="Z434" i="22" s="1"/>
  <c r="W51" i="6"/>
  <c r="K434" i="22" s="1"/>
  <c r="W52" i="6"/>
  <c r="K435" i="22" s="1"/>
  <c r="Z52" i="6"/>
  <c r="P435" i="22" s="1"/>
  <c r="Z435" i="22" s="1"/>
  <c r="Y52" i="6"/>
  <c r="O435" i="22" s="1"/>
  <c r="Y435" i="22" s="1"/>
  <c r="Z53" i="6"/>
  <c r="P436" i="22" s="1"/>
  <c r="Z436" i="22" s="1"/>
  <c r="Y53" i="6"/>
  <c r="O436" i="22" s="1"/>
  <c r="Y436" i="22" s="1"/>
  <c r="W53" i="6"/>
  <c r="K436" i="22" s="1"/>
  <c r="W54" i="6"/>
  <c r="K437" i="22" s="1"/>
  <c r="Z54" i="6"/>
  <c r="P437" i="22" s="1"/>
  <c r="Z437" i="22" s="1"/>
  <c r="Y54" i="6"/>
  <c r="O437" i="22" s="1"/>
  <c r="Y437" i="22" s="1"/>
  <c r="W55" i="6"/>
  <c r="K438" i="22" s="1"/>
  <c r="Y55" i="6"/>
  <c r="O438" i="22" s="1"/>
  <c r="Y438" i="22" s="1"/>
  <c r="Z55" i="6"/>
  <c r="P438" i="22" s="1"/>
  <c r="Z438" i="22" s="1"/>
  <c r="Y56" i="6"/>
  <c r="O439" i="22" s="1"/>
  <c r="Y439" i="22" s="1"/>
  <c r="W56" i="6"/>
  <c r="K439" i="22" s="1"/>
  <c r="Z56" i="6"/>
  <c r="P439" i="22" s="1"/>
  <c r="Z439" i="22" s="1"/>
  <c r="Z57" i="6"/>
  <c r="P440" i="22" s="1"/>
  <c r="Z440" i="22" s="1"/>
  <c r="W57" i="6"/>
  <c r="K440" i="22" s="1"/>
  <c r="Y57" i="6"/>
  <c r="O440" i="22" s="1"/>
  <c r="Y440" i="22" s="1"/>
  <c r="Z58" i="6"/>
  <c r="P441" i="22" s="1"/>
  <c r="Z441" i="22" s="1"/>
  <c r="Y58" i="6"/>
  <c r="O441" i="22" s="1"/>
  <c r="Y441" i="22" s="1"/>
  <c r="W58" i="6"/>
  <c r="K441" i="22" s="1"/>
  <c r="W59" i="6"/>
  <c r="K442" i="22" s="1"/>
  <c r="Z59" i="6"/>
  <c r="P442" i="22" s="1"/>
  <c r="Z442" i="22" s="1"/>
  <c r="Y59" i="6"/>
  <c r="O442" i="22" s="1"/>
  <c r="Y442" i="22" s="1"/>
  <c r="Z60" i="6"/>
  <c r="P443" i="22" s="1"/>
  <c r="Z443" i="22" s="1"/>
  <c r="W60" i="6"/>
  <c r="K443" i="22" s="1"/>
  <c r="Y60" i="6"/>
  <c r="O443" i="22" s="1"/>
  <c r="Y443" i="22" s="1"/>
  <c r="Y61" i="6"/>
  <c r="O444" i="22" s="1"/>
  <c r="Y444" i="22" s="1"/>
  <c r="W61" i="6"/>
  <c r="K444" i="22" s="1"/>
  <c r="Z61" i="6"/>
  <c r="P444" i="22" s="1"/>
  <c r="Z444" i="22" s="1"/>
  <c r="W62" i="6"/>
  <c r="K445" i="22" s="1"/>
  <c r="Y62" i="6"/>
  <c r="O445" i="22" s="1"/>
  <c r="Y445" i="22" s="1"/>
  <c r="Z62" i="6"/>
  <c r="P445" i="22" s="1"/>
  <c r="Z445" i="22" s="1"/>
  <c r="Y63" i="6"/>
  <c r="O446" i="22" s="1"/>
  <c r="Y446" i="22" s="1"/>
  <c r="W63" i="6"/>
  <c r="K446" i="22" s="1"/>
  <c r="Z63" i="6"/>
  <c r="P446" i="22" s="1"/>
  <c r="Z446" i="22" s="1"/>
  <c r="W64" i="6"/>
  <c r="K447" i="22" s="1"/>
  <c r="Z64" i="6"/>
  <c r="P447" i="22" s="1"/>
  <c r="Z447" i="22" s="1"/>
  <c r="Y64" i="6"/>
  <c r="O447" i="22" s="1"/>
  <c r="Y447" i="22" s="1"/>
  <c r="Y65" i="6"/>
  <c r="O448" i="22" s="1"/>
  <c r="Y448" i="22" s="1"/>
  <c r="W65" i="6"/>
  <c r="K448" i="22" s="1"/>
  <c r="Z65" i="6"/>
  <c r="P448" i="22" s="1"/>
  <c r="Z448" i="22" s="1"/>
  <c r="Z66" i="6"/>
  <c r="P449" i="22" s="1"/>
  <c r="Z449" i="22" s="1"/>
  <c r="Y66" i="6"/>
  <c r="O449" i="22" s="1"/>
  <c r="Y449" i="22" s="1"/>
  <c r="W66" i="6"/>
  <c r="K449" i="22" s="1"/>
  <c r="Y5" i="6"/>
  <c r="W5" i="6"/>
  <c r="Z5" i="6"/>
  <c r="W6" i="6"/>
  <c r="Z6" i="6"/>
  <c r="Y6" i="6"/>
  <c r="Z7" i="6"/>
  <c r="Y7" i="6"/>
  <c r="W7" i="6"/>
  <c r="Z8" i="6"/>
  <c r="W8" i="6"/>
  <c r="Y8" i="6"/>
  <c r="Y9" i="6"/>
  <c r="W9" i="6"/>
  <c r="Z9" i="6"/>
  <c r="Z10" i="6"/>
  <c r="W10" i="6"/>
  <c r="Y10" i="6"/>
  <c r="Z11" i="6"/>
  <c r="Y11" i="6"/>
  <c r="W11" i="6"/>
  <c r="Z12" i="6"/>
  <c r="W12" i="6"/>
  <c r="Y12" i="6"/>
  <c r="Y13" i="6"/>
  <c r="Z13" i="6"/>
  <c r="W13" i="6"/>
  <c r="Z14" i="6"/>
  <c r="W14" i="6"/>
  <c r="Y14" i="6"/>
  <c r="Z15" i="6"/>
  <c r="W15" i="6"/>
  <c r="Y15" i="6"/>
  <c r="W16" i="6"/>
  <c r="Y16" i="6"/>
  <c r="Z16" i="6"/>
  <c r="Z17" i="6"/>
  <c r="Y17" i="6"/>
  <c r="W17" i="6"/>
  <c r="Y18" i="6"/>
  <c r="Z18" i="6"/>
  <c r="W18" i="6"/>
  <c r="Y19" i="6"/>
  <c r="Z19" i="6"/>
  <c r="W19" i="6"/>
  <c r="Z20" i="6"/>
  <c r="Y20" i="6"/>
  <c r="W20" i="6"/>
  <c r="Z21" i="6"/>
  <c r="Y21" i="6"/>
  <c r="W21" i="6"/>
  <c r="Z22" i="6"/>
  <c r="W22" i="6"/>
  <c r="Y22" i="6"/>
  <c r="Z23" i="6"/>
  <c r="Y23" i="6"/>
  <c r="W23" i="6"/>
  <c r="Z24" i="6"/>
  <c r="Y24" i="6"/>
  <c r="W24" i="6"/>
  <c r="Y25" i="6"/>
  <c r="Z25" i="6"/>
  <c r="W25" i="6"/>
  <c r="Z26" i="6"/>
  <c r="Y26" i="6"/>
  <c r="W26" i="6"/>
  <c r="Y27" i="6"/>
  <c r="Z27" i="6"/>
  <c r="W27" i="6"/>
  <c r="Z28" i="6"/>
  <c r="Y28" i="6"/>
  <c r="W28" i="6"/>
  <c r="Z29" i="6"/>
  <c r="W29" i="6"/>
  <c r="Y29" i="6"/>
  <c r="Y30" i="6"/>
  <c r="Z30" i="6"/>
  <c r="W30" i="6"/>
  <c r="Z31" i="6"/>
  <c r="Y31" i="6"/>
  <c r="W31" i="6"/>
  <c r="Y32" i="6"/>
  <c r="W32" i="6"/>
  <c r="Z32" i="6"/>
  <c r="Z33" i="6"/>
  <c r="Y33" i="6"/>
  <c r="W33" i="6"/>
  <c r="Z34" i="6"/>
  <c r="Y34" i="6"/>
  <c r="W34" i="6"/>
  <c r="W35" i="6"/>
  <c r="Y35" i="6"/>
  <c r="Z35" i="6"/>
  <c r="Y36" i="6"/>
  <c r="Z36" i="6"/>
  <c r="W36" i="6"/>
  <c r="Z37" i="6"/>
  <c r="W37" i="6"/>
  <c r="Y37" i="6"/>
  <c r="Y38" i="6"/>
  <c r="W38" i="6"/>
  <c r="Z38" i="6"/>
  <c r="Y39" i="6"/>
  <c r="Z39" i="6"/>
  <c r="W39" i="6"/>
  <c r="Y40" i="6"/>
  <c r="Z40" i="6"/>
  <c r="W40" i="6"/>
  <c r="Z41" i="6"/>
  <c r="Y41" i="6"/>
  <c r="W41" i="6"/>
  <c r="AR25" i="5"/>
  <c r="AT25" i="5"/>
  <c r="AU25" i="5"/>
  <c r="AR26" i="5"/>
  <c r="AU26" i="5"/>
  <c r="AT26" i="5"/>
  <c r="AU27" i="5"/>
  <c r="AR27" i="5"/>
  <c r="AT27" i="5"/>
  <c r="AU28" i="5"/>
  <c r="AR28" i="5"/>
  <c r="AT28" i="5"/>
  <c r="AR29" i="5"/>
  <c r="AT29" i="5"/>
  <c r="AU29" i="5"/>
  <c r="AT30" i="5"/>
  <c r="AR30" i="5"/>
  <c r="AU30" i="5"/>
  <c r="AT31" i="5"/>
  <c r="AR31" i="5"/>
  <c r="AU31" i="5"/>
  <c r="AT32" i="5"/>
  <c r="AR32" i="5"/>
  <c r="AU32" i="5"/>
  <c r="AT33" i="5"/>
  <c r="AU33" i="5"/>
  <c r="AR33" i="5"/>
  <c r="AT34" i="5"/>
  <c r="AU34" i="5"/>
  <c r="AR34" i="5"/>
  <c r="AT35" i="5"/>
  <c r="AU35" i="5"/>
  <c r="AR35" i="5"/>
  <c r="AT36" i="5"/>
  <c r="AU36" i="5"/>
  <c r="AR36" i="5"/>
  <c r="AT37" i="5"/>
  <c r="AR37" i="5"/>
  <c r="AU37" i="5"/>
  <c r="AT38" i="5"/>
  <c r="AU38" i="5"/>
  <c r="AR38" i="5"/>
  <c r="AT39" i="5"/>
  <c r="AR39" i="5"/>
  <c r="AU39" i="5"/>
  <c r="AU40" i="5"/>
  <c r="AT40" i="5"/>
  <c r="AR40" i="5"/>
  <c r="AT41" i="5"/>
  <c r="AR41" i="5"/>
  <c r="AU41" i="5"/>
  <c r="AU42" i="5"/>
  <c r="AT42" i="5"/>
  <c r="AR42" i="5"/>
  <c r="AU43" i="5"/>
  <c r="AT43" i="5"/>
  <c r="AR43" i="5"/>
  <c r="AU44" i="5"/>
  <c r="AT44" i="5"/>
  <c r="AR44" i="5"/>
  <c r="AT45" i="5"/>
  <c r="AU45" i="5"/>
  <c r="AR45" i="5"/>
  <c r="AR46" i="5"/>
  <c r="AT46" i="5"/>
  <c r="AU46" i="5"/>
  <c r="AT47" i="5"/>
  <c r="AU47" i="5"/>
  <c r="AR47" i="5"/>
  <c r="AU48" i="5"/>
  <c r="AT48" i="5"/>
  <c r="AR48" i="5"/>
  <c r="AR21" i="5"/>
  <c r="AT21" i="5"/>
  <c r="AU21" i="5"/>
  <c r="AT22" i="5"/>
  <c r="AU22" i="5"/>
  <c r="AR22" i="5"/>
  <c r="AR23" i="5"/>
  <c r="AU23" i="5"/>
  <c r="AT23" i="5"/>
  <c r="AT5" i="5"/>
  <c r="AR5" i="5"/>
  <c r="AU5" i="5"/>
  <c r="AU6" i="5"/>
  <c r="AT6" i="5"/>
  <c r="AR6" i="5"/>
  <c r="AU7" i="5"/>
  <c r="AT7" i="5"/>
  <c r="AR7" i="5"/>
  <c r="AU8" i="5"/>
  <c r="AR8" i="5"/>
  <c r="AT8" i="5"/>
  <c r="AR9" i="5"/>
  <c r="AT9" i="5"/>
  <c r="AU9" i="5"/>
  <c r="AT10" i="5"/>
  <c r="AR10" i="5"/>
  <c r="AU10" i="5"/>
  <c r="AT11" i="5"/>
  <c r="AR11" i="5"/>
  <c r="AU11" i="5"/>
  <c r="AT12" i="5"/>
  <c r="AR12" i="5"/>
  <c r="AU12" i="5"/>
  <c r="AR13" i="5"/>
  <c r="AU13" i="5"/>
  <c r="AT13" i="5"/>
  <c r="AT14" i="5"/>
  <c r="AU14" i="5"/>
  <c r="AR14" i="5"/>
  <c r="AT15" i="5"/>
  <c r="AR15" i="5"/>
  <c r="AU15" i="5"/>
  <c r="AR16" i="5"/>
  <c r="AU16" i="5"/>
  <c r="AT16" i="5"/>
  <c r="AT17" i="5"/>
  <c r="AR17" i="5"/>
  <c r="AU17" i="5"/>
  <c r="AU18" i="5"/>
  <c r="AT18" i="5"/>
  <c r="AR18" i="5"/>
  <c r="AT19" i="5"/>
  <c r="AU19" i="5"/>
  <c r="AR19" i="5"/>
  <c r="X25" i="5"/>
  <c r="V25" i="5"/>
  <c r="Y25" i="5"/>
  <c r="Y26" i="5"/>
  <c r="V26" i="5"/>
  <c r="X26" i="5"/>
  <c r="X27" i="5"/>
  <c r="Y27" i="5"/>
  <c r="V27" i="5"/>
  <c r="X28" i="5"/>
  <c r="Y28" i="5"/>
  <c r="V28" i="5"/>
  <c r="Y29" i="5"/>
  <c r="X29" i="5"/>
  <c r="V29" i="5"/>
  <c r="X30" i="5"/>
  <c r="V30" i="5"/>
  <c r="Y30" i="5"/>
  <c r="X31" i="5"/>
  <c r="V31" i="5"/>
  <c r="Y31" i="5"/>
  <c r="Y32" i="5"/>
  <c r="X32" i="5"/>
  <c r="V32" i="5"/>
  <c r="V33" i="5"/>
  <c r="X33" i="5"/>
  <c r="Y33" i="5"/>
  <c r="X34" i="5"/>
  <c r="Y34" i="5"/>
  <c r="V34" i="5"/>
  <c r="Y35" i="5"/>
  <c r="X35" i="5"/>
  <c r="V35" i="5"/>
  <c r="X36" i="5"/>
  <c r="V36" i="5"/>
  <c r="Y36" i="5"/>
  <c r="X37" i="5"/>
  <c r="V37" i="5"/>
  <c r="Y37" i="5"/>
  <c r="X38" i="5"/>
  <c r="V38" i="5"/>
  <c r="Y38" i="5"/>
  <c r="X39" i="5"/>
  <c r="Y39" i="5"/>
  <c r="V39" i="5"/>
  <c r="X40" i="5"/>
  <c r="Y40" i="5"/>
  <c r="V40" i="5"/>
  <c r="V41" i="5"/>
  <c r="Y41" i="5"/>
  <c r="X41" i="5"/>
  <c r="V42" i="5"/>
  <c r="Y42" i="5"/>
  <c r="X42" i="5"/>
  <c r="V43" i="5"/>
  <c r="Y43" i="5"/>
  <c r="X43" i="5"/>
  <c r="V44" i="5"/>
  <c r="Y44" i="5"/>
  <c r="X44" i="5"/>
  <c r="X46" i="5"/>
  <c r="V46" i="5"/>
  <c r="Y46" i="5"/>
  <c r="Y47" i="5"/>
  <c r="X47" i="5"/>
  <c r="V47" i="5"/>
  <c r="X48" i="5"/>
  <c r="V48" i="5"/>
  <c r="Y48" i="5"/>
  <c r="Y21" i="5"/>
  <c r="X21" i="5"/>
  <c r="V21" i="5"/>
  <c r="Y22" i="5"/>
  <c r="V22" i="5"/>
  <c r="X22" i="5"/>
  <c r="X5" i="5"/>
  <c r="Y5" i="5"/>
  <c r="V5" i="5"/>
  <c r="X6" i="5"/>
  <c r="V6" i="5"/>
  <c r="Y6" i="5"/>
  <c r="X7" i="5"/>
  <c r="V7" i="5"/>
  <c r="Y7" i="5"/>
  <c r="Y8" i="5"/>
  <c r="X8" i="5"/>
  <c r="V8" i="5"/>
  <c r="V9" i="5"/>
  <c r="X9" i="5"/>
  <c r="Y9" i="5"/>
  <c r="V10" i="5"/>
  <c r="X10" i="5"/>
  <c r="Y10" i="5"/>
  <c r="Y11" i="5"/>
  <c r="V11" i="5"/>
  <c r="X11" i="5"/>
  <c r="V12" i="5"/>
  <c r="X12" i="5"/>
  <c r="Y12" i="5"/>
  <c r="V13" i="5"/>
  <c r="X13" i="5"/>
  <c r="Y13" i="5"/>
  <c r="V14" i="5"/>
  <c r="X14" i="5"/>
  <c r="Y14" i="5"/>
  <c r="V15" i="5"/>
  <c r="X15" i="5"/>
  <c r="Y15" i="5"/>
  <c r="X16" i="5"/>
  <c r="Y16" i="5"/>
  <c r="V16" i="5"/>
  <c r="X17" i="5"/>
  <c r="V17" i="5"/>
  <c r="Y17" i="5"/>
  <c r="X18" i="5"/>
  <c r="Y18" i="5"/>
  <c r="V18" i="5"/>
  <c r="X19" i="5"/>
  <c r="V19" i="5"/>
  <c r="Y19" i="5"/>
  <c r="Z71" i="4"/>
  <c r="AA71" i="4"/>
  <c r="P287" i="22" s="1"/>
  <c r="Z287" i="22" s="1"/>
  <c r="X71" i="4"/>
  <c r="BG71" i="4" s="1"/>
  <c r="AA72" i="4"/>
  <c r="P288" i="22" s="1"/>
  <c r="Z288" i="22" s="1"/>
  <c r="X72" i="4"/>
  <c r="BG72" i="4"/>
  <c r="Z72" i="4"/>
  <c r="Z73" i="4"/>
  <c r="O289" i="22" s="1"/>
  <c r="Y289" i="22" s="1"/>
  <c r="AA73" i="4"/>
  <c r="P289" i="22" s="1"/>
  <c r="Z289" i="22" s="1"/>
  <c r="X73" i="4"/>
  <c r="AO73" i="4"/>
  <c r="BG73" i="4"/>
  <c r="X74" i="4"/>
  <c r="BG74" i="4" s="1"/>
  <c r="Z74" i="4"/>
  <c r="O290" i="22" s="1"/>
  <c r="Y290" i="22" s="1"/>
  <c r="AO74" i="4"/>
  <c r="AA74" i="4"/>
  <c r="P290" i="22" s="1"/>
  <c r="Z290" i="22" s="1"/>
  <c r="BQ74" i="4"/>
  <c r="X75" i="4"/>
  <c r="AA75" i="4"/>
  <c r="P291" i="22" s="1"/>
  <c r="Z291" i="22" s="1"/>
  <c r="BQ75" i="4"/>
  <c r="Z75" i="4"/>
  <c r="BG75" i="4"/>
  <c r="AA76" i="4"/>
  <c r="X76" i="4"/>
  <c r="Z76" i="4"/>
  <c r="AO76" i="4" s="1"/>
  <c r="BG76" i="4"/>
  <c r="X77" i="4"/>
  <c r="Z77" i="4"/>
  <c r="AA77" i="4"/>
  <c r="AO77" i="4"/>
  <c r="BG77" i="4"/>
  <c r="AA78" i="4"/>
  <c r="Z78" i="4"/>
  <c r="AO78" i="4" s="1"/>
  <c r="X78" i="4"/>
  <c r="BG78" i="4" s="1"/>
  <c r="X79" i="4"/>
  <c r="BG79" i="4"/>
  <c r="AA79" i="4"/>
  <c r="P295" i="22" s="1"/>
  <c r="Z295" i="22" s="1"/>
  <c r="Z79" i="4"/>
  <c r="AA80" i="4"/>
  <c r="P296" i="22" s="1"/>
  <c r="Z296" i="22" s="1"/>
  <c r="X80" i="4"/>
  <c r="BG80" i="4" s="1"/>
  <c r="Z80" i="4"/>
  <c r="Z81" i="4"/>
  <c r="O297" i="22" s="1"/>
  <c r="Y297" i="22" s="1"/>
  <c r="X81" i="4"/>
  <c r="AA81" i="4"/>
  <c r="P297" i="22" s="1"/>
  <c r="Z297" i="22" s="1"/>
  <c r="AO81" i="4"/>
  <c r="BG81" i="4"/>
  <c r="X82" i="4"/>
  <c r="Z82" i="4"/>
  <c r="O298" i="22" s="1"/>
  <c r="Y298" i="22" s="1"/>
  <c r="BG82" i="4"/>
  <c r="AA82" i="4"/>
  <c r="P298" i="22" s="1"/>
  <c r="Z298" i="22" s="1"/>
  <c r="AO82" i="4"/>
  <c r="AA83" i="4"/>
  <c r="P299" i="22" s="1"/>
  <c r="Z299" i="22" s="1"/>
  <c r="Z83" i="4"/>
  <c r="X83" i="4"/>
  <c r="BG83" i="4" s="1"/>
  <c r="Z66" i="4"/>
  <c r="O282" i="22" s="1"/>
  <c r="Y282" i="22" s="1"/>
  <c r="AO66" i="4"/>
  <c r="AA66" i="4"/>
  <c r="P282" i="22" s="1"/>
  <c r="Z282" i="22" s="1"/>
  <c r="X66" i="4"/>
  <c r="Z67" i="4"/>
  <c r="O283" i="22" s="1"/>
  <c r="Y283" i="22" s="1"/>
  <c r="X67" i="4"/>
  <c r="AA67" i="4"/>
  <c r="P283" i="22" s="1"/>
  <c r="Z283" i="22" s="1"/>
  <c r="BG67" i="4"/>
  <c r="AO67" i="4"/>
  <c r="X68" i="4"/>
  <c r="AA68" i="4"/>
  <c r="P284" i="22" s="1"/>
  <c r="Z284" i="22" s="1"/>
  <c r="BG68" i="4"/>
  <c r="Z68" i="4"/>
  <c r="AA69" i="4"/>
  <c r="P285" i="22" s="1"/>
  <c r="Z285" i="22" s="1"/>
  <c r="Z69" i="4"/>
  <c r="O285" i="22" s="1"/>
  <c r="Y285" i="22" s="1"/>
  <c r="AO69" i="4"/>
  <c r="X69" i="4"/>
  <c r="BG69" i="4"/>
  <c r="X5" i="4"/>
  <c r="AA5" i="4"/>
  <c r="BG5" i="4"/>
  <c r="Z5" i="4"/>
  <c r="AO5" i="4" s="1"/>
  <c r="Z6" i="4"/>
  <c r="X6" i="4"/>
  <c r="BG6" i="4"/>
  <c r="AO6" i="4"/>
  <c r="AA6" i="4"/>
  <c r="Z7" i="4"/>
  <c r="AO7" i="4"/>
  <c r="AA7" i="4"/>
  <c r="X7" i="4"/>
  <c r="BG7" i="4" s="1"/>
  <c r="AA8" i="4"/>
  <c r="X8" i="4"/>
  <c r="BG8" i="4" s="1"/>
  <c r="Z8" i="4"/>
  <c r="AO8" i="4" s="1"/>
  <c r="Z9" i="4"/>
  <c r="AO9" i="4" s="1"/>
  <c r="X9" i="4"/>
  <c r="AA9" i="4"/>
  <c r="BG9" i="4"/>
  <c r="Z10" i="4"/>
  <c r="X10" i="4"/>
  <c r="AO10" i="4"/>
  <c r="BG10" i="4"/>
  <c r="AA10" i="4"/>
  <c r="AA11" i="4"/>
  <c r="Z11" i="4"/>
  <c r="AO11" i="4" s="1"/>
  <c r="X11" i="4"/>
  <c r="BG11" i="4" s="1"/>
  <c r="Z12" i="4"/>
  <c r="AO12" i="4" s="1"/>
  <c r="AA12" i="4"/>
  <c r="X12" i="4"/>
  <c r="BG12" i="4" s="1"/>
  <c r="Z13" i="4"/>
  <c r="AO13" i="4" s="1"/>
  <c r="AA13" i="4"/>
  <c r="X13" i="4"/>
  <c r="BG13" i="4" s="1"/>
  <c r="Z14" i="4"/>
  <c r="AA14" i="4"/>
  <c r="AO14" i="4"/>
  <c r="X14" i="4"/>
  <c r="BG14" i="4" s="1"/>
  <c r="X15" i="4"/>
  <c r="Z15" i="4"/>
  <c r="AA15" i="4"/>
  <c r="AO15" i="4"/>
  <c r="BG15" i="4"/>
  <c r="AA16" i="4"/>
  <c r="X16" i="4"/>
  <c r="BG16" i="4"/>
  <c r="Z16" i="4"/>
  <c r="AO16" i="4" s="1"/>
  <c r="Z17" i="4"/>
  <c r="AO17" i="4"/>
  <c r="X17" i="4"/>
  <c r="BG17" i="4"/>
  <c r="AA17" i="4"/>
  <c r="AA18" i="4"/>
  <c r="X18" i="4"/>
  <c r="BG18" i="4" s="1"/>
  <c r="Z18" i="4"/>
  <c r="AO18" i="4" s="1"/>
  <c r="AA19" i="4"/>
  <c r="X19" i="4"/>
  <c r="Z19" i="4"/>
  <c r="AO19" i="4"/>
  <c r="BG19" i="4"/>
  <c r="AA20" i="4"/>
  <c r="X20" i="4"/>
  <c r="BG20" i="4" s="1"/>
  <c r="Z20" i="4"/>
  <c r="AO20" i="4" s="1"/>
  <c r="AA21" i="4"/>
  <c r="Z21" i="4"/>
  <c r="X21" i="4"/>
  <c r="AO21" i="4"/>
  <c r="BG21" i="4"/>
  <c r="Z22" i="4"/>
  <c r="AO22" i="4" s="1"/>
  <c r="X22" i="4"/>
  <c r="BG22" i="4"/>
  <c r="AA22" i="4"/>
  <c r="Z23" i="4"/>
  <c r="AO23" i="4"/>
  <c r="AA23" i="4"/>
  <c r="X23" i="4"/>
  <c r="BG23" i="4" s="1"/>
  <c r="X24" i="4"/>
  <c r="AA24" i="4"/>
  <c r="BG24" i="4"/>
  <c r="Z24" i="4"/>
  <c r="AO24" i="4"/>
  <c r="AA25" i="4"/>
  <c r="Z25" i="4"/>
  <c r="AO25" i="4" s="1"/>
  <c r="X25" i="4"/>
  <c r="BG25" i="4" s="1"/>
  <c r="Z26" i="4"/>
  <c r="AO26" i="4" s="1"/>
  <c r="X26" i="4"/>
  <c r="BG26" i="4" s="1"/>
  <c r="AA26" i="4"/>
  <c r="AA27" i="4"/>
  <c r="Z27" i="4"/>
  <c r="AO27" i="4"/>
  <c r="X27" i="4"/>
  <c r="BG27" i="4" s="1"/>
  <c r="X28" i="4"/>
  <c r="AA28" i="4"/>
  <c r="Z28" i="4"/>
  <c r="AO28" i="4" s="1"/>
  <c r="BG28" i="4"/>
  <c r="AA29" i="4"/>
  <c r="Z29" i="4"/>
  <c r="X29" i="4"/>
  <c r="BG29" i="4" s="1"/>
  <c r="AO29" i="4"/>
  <c r="AA30" i="4"/>
  <c r="Z30" i="4"/>
  <c r="AO30" i="4" s="1"/>
  <c r="X30" i="4"/>
  <c r="BG30" i="4" s="1"/>
  <c r="X31" i="4"/>
  <c r="BG31" i="4" s="1"/>
  <c r="Z31" i="4"/>
  <c r="AO31" i="4" s="1"/>
  <c r="AA31" i="4"/>
  <c r="Z32" i="4"/>
  <c r="AO32" i="4"/>
  <c r="X32" i="4"/>
  <c r="BG32" i="4" s="1"/>
  <c r="AA32" i="4"/>
  <c r="AA33" i="4"/>
  <c r="X33" i="4"/>
  <c r="Z33" i="4"/>
  <c r="AO33" i="4" s="1"/>
  <c r="BG33" i="4"/>
  <c r="Z34" i="4"/>
  <c r="AA34" i="4"/>
  <c r="X34" i="4"/>
  <c r="BG34" i="4" s="1"/>
  <c r="AO34" i="4"/>
  <c r="Z35" i="4"/>
  <c r="X35" i="4"/>
  <c r="BG35" i="4"/>
  <c r="AO35" i="4"/>
  <c r="AA35" i="4"/>
  <c r="Z36" i="4"/>
  <c r="AO36" i="4"/>
  <c r="AA36" i="4"/>
  <c r="X36" i="4"/>
  <c r="BG36" i="4" s="1"/>
  <c r="X37" i="4"/>
  <c r="BG37" i="4"/>
  <c r="AA37" i="4"/>
  <c r="Z37" i="4"/>
  <c r="AO37" i="4" s="1"/>
  <c r="AA38" i="4"/>
  <c r="Z38" i="4"/>
  <c r="X38" i="4"/>
  <c r="BG38" i="4"/>
  <c r="AO38" i="4"/>
  <c r="AA39" i="4"/>
  <c r="Z39" i="4"/>
  <c r="AO39" i="4"/>
  <c r="X39" i="4"/>
  <c r="BG39" i="4" s="1"/>
  <c r="X40" i="4"/>
  <c r="BG40" i="4" s="1"/>
  <c r="Z40" i="4"/>
  <c r="AO40" i="4" s="1"/>
  <c r="AA40" i="4"/>
  <c r="X41" i="4"/>
  <c r="BG41" i="4" s="1"/>
  <c r="Z41" i="4"/>
  <c r="AO41" i="4" s="1"/>
  <c r="AA41" i="4"/>
  <c r="X42" i="4"/>
  <c r="BG42" i="4"/>
  <c r="Z42" i="4"/>
  <c r="AO42" i="4" s="1"/>
  <c r="AA42" i="4"/>
  <c r="AA43" i="4"/>
  <c r="Z43" i="4"/>
  <c r="X43" i="4"/>
  <c r="AO43" i="4"/>
  <c r="BG43" i="4"/>
  <c r="Z44" i="4"/>
  <c r="AA44" i="4"/>
  <c r="X44" i="4"/>
  <c r="BG44" i="4" s="1"/>
  <c r="AO44" i="4"/>
  <c r="Z45" i="4"/>
  <c r="AA45" i="4"/>
  <c r="AO45" i="4"/>
  <c r="X45" i="4"/>
  <c r="BG45" i="4" s="1"/>
  <c r="AA46" i="4"/>
  <c r="Z46" i="4"/>
  <c r="AO46" i="4" s="1"/>
  <c r="X46" i="4"/>
  <c r="BG46" i="4"/>
  <c r="AA47" i="4"/>
  <c r="X47" i="4"/>
  <c r="BG47" i="4" s="1"/>
  <c r="Z47" i="4"/>
  <c r="AO47" i="4" s="1"/>
  <c r="X48" i="4"/>
  <c r="BG48" i="4"/>
  <c r="AA48" i="4"/>
  <c r="Z48" i="4"/>
  <c r="AO48" i="4" s="1"/>
  <c r="AA49" i="4"/>
  <c r="Z49" i="4"/>
  <c r="AO49" i="4" s="1"/>
  <c r="X49" i="4"/>
  <c r="BG49" i="4" s="1"/>
  <c r="Z50" i="4"/>
  <c r="AO50" i="4"/>
  <c r="X50" i="4"/>
  <c r="AA50" i="4"/>
  <c r="BG50" i="4"/>
  <c r="AA51" i="4"/>
  <c r="X51" i="4"/>
  <c r="BG51" i="4"/>
  <c r="Z51" i="4"/>
  <c r="AO51" i="4" s="1"/>
  <c r="X52" i="4"/>
  <c r="Z52" i="4"/>
  <c r="BG52" i="4"/>
  <c r="AO52" i="4"/>
  <c r="AA52" i="4"/>
  <c r="Z53" i="4"/>
  <c r="AO53" i="4"/>
  <c r="AA53" i="4"/>
  <c r="X53" i="4"/>
  <c r="BG53" i="4" s="1"/>
  <c r="X54" i="4"/>
  <c r="AA54" i="4"/>
  <c r="BG54" i="4"/>
  <c r="Z54" i="4"/>
  <c r="AO54" i="4" s="1"/>
  <c r="AA55" i="4"/>
  <c r="Z55" i="4"/>
  <c r="AO55" i="4"/>
  <c r="X55" i="4"/>
  <c r="BG55" i="4" s="1"/>
  <c r="Z56" i="4"/>
  <c r="AO56" i="4" s="1"/>
  <c r="X56" i="4"/>
  <c r="BG56" i="4" s="1"/>
  <c r="AA56" i="4"/>
  <c r="X57" i="4"/>
  <c r="BG57" i="4"/>
  <c r="AA57" i="4"/>
  <c r="Z57" i="4"/>
  <c r="AO57" i="4" s="1"/>
  <c r="Z58" i="4"/>
  <c r="AA58" i="4"/>
  <c r="AO58" i="4"/>
  <c r="X58" i="4"/>
  <c r="BG58" i="4"/>
  <c r="Z59" i="4"/>
  <c r="X59" i="4"/>
  <c r="BG59" i="4" s="1"/>
  <c r="AO59" i="4"/>
  <c r="AA59" i="4"/>
  <c r="AA60" i="4"/>
  <c r="X60" i="4"/>
  <c r="BG60" i="4"/>
  <c r="Z60" i="4"/>
  <c r="AO60" i="4" s="1"/>
  <c r="Z61" i="4"/>
  <c r="X61" i="4"/>
  <c r="BG61" i="4" s="1"/>
  <c r="AA61" i="4"/>
  <c r="AO61" i="4"/>
  <c r="Z62" i="4"/>
  <c r="AA62" i="4"/>
  <c r="AO62" i="4"/>
  <c r="X62" i="4"/>
  <c r="BG62" i="4"/>
  <c r="AA63" i="4"/>
  <c r="X63" i="4"/>
  <c r="BG63" i="4"/>
  <c r="Z63" i="4"/>
  <c r="AO63" i="4"/>
  <c r="AA64" i="4"/>
  <c r="Z64" i="4"/>
  <c r="AO64" i="4" s="1"/>
  <c r="X64" i="4"/>
  <c r="BG64" i="4" s="1"/>
  <c r="J54" i="7"/>
  <c r="J57" i="7"/>
  <c r="J29" i="7"/>
  <c r="J32" i="7"/>
  <c r="J27" i="7"/>
  <c r="J26" i="7"/>
  <c r="J52" i="7"/>
  <c r="J49" i="7"/>
  <c r="J44" i="7"/>
  <c r="J41" i="7"/>
  <c r="J39" i="7"/>
  <c r="AC282" i="22"/>
  <c r="AC283" i="22"/>
  <c r="AC284" i="22"/>
  <c r="AC285" i="22"/>
  <c r="AC287" i="22"/>
  <c r="AC288" i="22"/>
  <c r="AC289" i="22"/>
  <c r="AC290" i="22"/>
  <c r="AC291" i="22"/>
  <c r="AC295" i="22"/>
  <c r="AC296" i="22"/>
  <c r="BM5" i="3"/>
  <c r="AC297" i="22"/>
  <c r="AC298" i="22"/>
  <c r="AC299" i="22"/>
  <c r="J37" i="7"/>
  <c r="J40" i="7"/>
  <c r="J45" i="7"/>
  <c r="J48" i="7"/>
  <c r="J53" i="7"/>
  <c r="J56" i="7"/>
  <c r="J30" i="7"/>
  <c r="J34" i="7"/>
  <c r="J36" i="7"/>
  <c r="J42" i="7"/>
  <c r="J47" i="7"/>
  <c r="J50" i="7"/>
  <c r="J55" i="7"/>
  <c r="J58" i="7"/>
  <c r="J28" i="7"/>
  <c r="J33" i="7"/>
  <c r="J31" i="7"/>
  <c r="J38" i="7"/>
  <c r="J43" i="7"/>
  <c r="J46" i="7"/>
  <c r="J51" i="7"/>
  <c r="BH48" i="3"/>
  <c r="BF48" i="3"/>
  <c r="BI48" i="3"/>
  <c r="BF49" i="3"/>
  <c r="BH49" i="3"/>
  <c r="BI49" i="3"/>
  <c r="BF50" i="3"/>
  <c r="BI50" i="3"/>
  <c r="BH50" i="3"/>
  <c r="BH51" i="3"/>
  <c r="BF51" i="3"/>
  <c r="BI51" i="3"/>
  <c r="BF52" i="3"/>
  <c r="BH52" i="3"/>
  <c r="BI52" i="3"/>
  <c r="BH53" i="3"/>
  <c r="BF53" i="3"/>
  <c r="BI53" i="3"/>
  <c r="BF54" i="3"/>
  <c r="BH54" i="3"/>
  <c r="BI54" i="3"/>
  <c r="BF55" i="3"/>
  <c r="K199" i="22" s="1"/>
  <c r="BH55" i="3"/>
  <c r="O199" i="22" s="1"/>
  <c r="Y199" i="22" s="1"/>
  <c r="BI55" i="3"/>
  <c r="P199" i="22" s="1"/>
  <c r="Z199" i="22" s="1"/>
  <c r="BH56" i="3"/>
  <c r="BF56" i="3"/>
  <c r="BI56" i="3"/>
  <c r="BH57" i="3"/>
  <c r="BI57" i="3"/>
  <c r="BF57" i="3"/>
  <c r="BF58" i="3"/>
  <c r="BH58" i="3"/>
  <c r="BI58" i="3"/>
  <c r="BH59" i="3"/>
  <c r="BI59" i="3"/>
  <c r="BF59" i="3"/>
  <c r="BF60" i="3"/>
  <c r="BH60" i="3"/>
  <c r="BI60" i="3"/>
  <c r="BH61" i="3"/>
  <c r="BI61" i="3"/>
  <c r="BF61" i="3"/>
  <c r="BF62" i="3"/>
  <c r="BH62" i="3"/>
  <c r="BI62" i="3"/>
  <c r="BF63" i="3"/>
  <c r="BH63" i="3"/>
  <c r="BI63" i="3"/>
  <c r="BF64" i="3"/>
  <c r="BI64" i="3"/>
  <c r="BH64" i="3"/>
  <c r="BF65" i="3"/>
  <c r="BH65" i="3"/>
  <c r="BI65" i="3"/>
  <c r="BI66" i="3"/>
  <c r="BF66" i="3"/>
  <c r="BH66" i="3"/>
  <c r="BF67" i="3"/>
  <c r="BH67" i="3"/>
  <c r="BI67" i="3"/>
  <c r="BF68" i="3"/>
  <c r="BI68" i="3"/>
  <c r="BH68" i="3"/>
  <c r="BF69" i="3"/>
  <c r="BH69" i="3"/>
  <c r="BI69" i="3"/>
  <c r="BI70" i="3"/>
  <c r="BF70" i="3"/>
  <c r="BH70" i="3"/>
  <c r="BF71" i="3"/>
  <c r="BH71" i="3"/>
  <c r="BI71" i="3"/>
  <c r="BF72" i="3"/>
  <c r="BI72" i="3"/>
  <c r="BH72" i="3"/>
  <c r="BH73" i="3"/>
  <c r="BF73" i="3"/>
  <c r="BI73" i="3"/>
  <c r="BF74" i="3"/>
  <c r="BH74" i="3"/>
  <c r="BI74" i="3"/>
  <c r="BH75" i="3"/>
  <c r="BI75" i="3"/>
  <c r="BF75" i="3"/>
  <c r="BH76" i="3"/>
  <c r="BF76" i="3"/>
  <c r="BI76" i="3"/>
  <c r="BI36" i="3"/>
  <c r="BF36" i="3"/>
  <c r="BH36" i="3"/>
  <c r="BI37" i="3"/>
  <c r="BH37" i="3"/>
  <c r="BF37" i="3"/>
  <c r="BI38" i="3"/>
  <c r="BF38" i="3"/>
  <c r="BH38" i="3"/>
  <c r="BF39" i="3"/>
  <c r="BH39" i="3"/>
  <c r="BI39" i="3"/>
  <c r="BF40" i="3"/>
  <c r="BH40" i="3"/>
  <c r="BI40" i="3"/>
  <c r="BF41" i="3"/>
  <c r="BI41" i="3"/>
  <c r="BH41" i="3"/>
  <c r="BF42" i="3"/>
  <c r="BH42" i="3"/>
  <c r="BI42" i="3"/>
  <c r="BF43" i="3"/>
  <c r="BI43" i="3"/>
  <c r="BH43" i="3"/>
  <c r="BF44" i="3"/>
  <c r="BI44" i="3"/>
  <c r="BH44" i="3"/>
  <c r="BH45" i="3"/>
  <c r="BF45" i="3"/>
  <c r="BI45" i="3"/>
  <c r="BF46" i="3"/>
  <c r="BH46" i="3"/>
  <c r="BI46" i="3"/>
  <c r="BF5" i="3"/>
  <c r="BH5" i="3"/>
  <c r="BI5" i="3"/>
  <c r="BF6" i="3"/>
  <c r="BI6" i="3"/>
  <c r="BH6" i="3"/>
  <c r="BF7" i="3"/>
  <c r="BH7" i="3"/>
  <c r="BI7" i="3"/>
  <c r="BI8" i="3"/>
  <c r="BF8" i="3"/>
  <c r="BH8" i="3"/>
  <c r="BI9" i="3"/>
  <c r="BF9" i="3"/>
  <c r="BH9" i="3"/>
  <c r="BI10" i="3"/>
  <c r="BF10" i="3"/>
  <c r="BH10" i="3"/>
  <c r="BF11" i="3"/>
  <c r="BI11" i="3"/>
  <c r="BH11" i="3"/>
  <c r="BI12" i="3"/>
  <c r="BF12" i="3"/>
  <c r="BH12" i="3"/>
  <c r="BI13" i="3"/>
  <c r="BF13" i="3"/>
  <c r="BH13" i="3"/>
  <c r="BI14" i="3"/>
  <c r="BH14" i="3"/>
  <c r="BF14" i="3"/>
  <c r="BH15" i="3"/>
  <c r="BI15" i="3"/>
  <c r="BF15" i="3"/>
  <c r="BI16" i="3"/>
  <c r="BH16" i="3"/>
  <c r="BF16" i="3"/>
  <c r="BI17" i="3"/>
  <c r="BH17" i="3"/>
  <c r="BF17" i="3"/>
  <c r="BI18" i="3"/>
  <c r="BF18" i="3"/>
  <c r="BH18" i="3"/>
  <c r="BI19" i="3"/>
  <c r="BH19" i="3"/>
  <c r="BF19" i="3"/>
  <c r="BH20" i="3"/>
  <c r="BI20" i="3"/>
  <c r="BF20" i="3"/>
  <c r="BI21" i="3"/>
  <c r="BH21" i="3"/>
  <c r="BF21" i="3"/>
  <c r="BI22" i="3"/>
  <c r="BH22" i="3"/>
  <c r="BF22" i="3"/>
  <c r="BI23" i="3"/>
  <c r="BF23" i="3"/>
  <c r="BH23" i="3"/>
  <c r="BH24" i="3"/>
  <c r="BF24" i="3"/>
  <c r="BI24" i="3"/>
  <c r="BI25" i="3"/>
  <c r="BF25" i="3"/>
  <c r="BH25" i="3"/>
  <c r="BH26" i="3"/>
  <c r="BF26" i="3"/>
  <c r="BI26" i="3"/>
  <c r="BI27" i="3"/>
  <c r="BF27" i="3"/>
  <c r="BH27" i="3"/>
  <c r="BH28" i="3"/>
  <c r="BF28" i="3"/>
  <c r="BI28" i="3"/>
  <c r="BF29" i="3"/>
  <c r="BH29" i="3"/>
  <c r="BI29" i="3"/>
  <c r="BF30" i="3"/>
  <c r="BH30" i="3"/>
  <c r="BI30" i="3"/>
  <c r="BH31" i="3"/>
  <c r="BI31" i="3"/>
  <c r="BF31" i="3"/>
  <c r="BF32" i="3"/>
  <c r="BH32" i="3"/>
  <c r="BI32" i="3"/>
  <c r="BF33" i="3"/>
  <c r="BH33" i="3"/>
  <c r="BI33" i="3"/>
  <c r="BF34" i="3"/>
  <c r="BH34" i="3"/>
  <c r="BI34" i="3"/>
  <c r="AR48" i="3"/>
  <c r="AO48" i="3"/>
  <c r="AQ48" i="3"/>
  <c r="AO49" i="3"/>
  <c r="AR49" i="3"/>
  <c r="AQ49" i="3"/>
  <c r="AR50" i="3"/>
  <c r="AQ50" i="3"/>
  <c r="AO50" i="3"/>
  <c r="AO51" i="3"/>
  <c r="AR51" i="3"/>
  <c r="AQ51" i="3"/>
  <c r="AR52" i="3"/>
  <c r="AQ52" i="3"/>
  <c r="AO52" i="3"/>
  <c r="AQ53" i="3"/>
  <c r="AR53" i="3"/>
  <c r="AO53" i="3"/>
  <c r="AR54" i="3"/>
  <c r="AQ54" i="3"/>
  <c r="AO54" i="3"/>
  <c r="AR55" i="3"/>
  <c r="P127" i="22" s="1"/>
  <c r="Z127" i="22" s="1"/>
  <c r="AQ55" i="3"/>
  <c r="O127" i="22" s="1"/>
  <c r="Y127" i="22" s="1"/>
  <c r="AO55" i="3"/>
  <c r="K127" i="22" s="1"/>
  <c r="AR56" i="3"/>
  <c r="AQ56" i="3"/>
  <c r="AO56" i="3"/>
  <c r="AO57" i="3"/>
  <c r="AQ57" i="3"/>
  <c r="AR57" i="3"/>
  <c r="AO58" i="3"/>
  <c r="AR58" i="3"/>
  <c r="AQ58" i="3"/>
  <c r="AO59" i="3"/>
  <c r="AR59" i="3"/>
  <c r="AQ59" i="3"/>
  <c r="AR60" i="3"/>
  <c r="AQ60" i="3"/>
  <c r="AO60" i="3"/>
  <c r="AR61" i="3"/>
  <c r="AO61" i="3"/>
  <c r="AQ61" i="3"/>
  <c r="AQ62" i="3"/>
  <c r="AR62" i="3"/>
  <c r="AO62" i="3"/>
  <c r="AO63" i="3"/>
  <c r="AR63" i="3"/>
  <c r="AQ63" i="3"/>
  <c r="AQ64" i="3"/>
  <c r="AR64" i="3"/>
  <c r="AO64" i="3"/>
  <c r="AR65" i="3"/>
  <c r="AQ65" i="3"/>
  <c r="AO65" i="3"/>
  <c r="AO66" i="3"/>
  <c r="AR66" i="3"/>
  <c r="AQ66" i="3"/>
  <c r="AR67" i="3"/>
  <c r="AQ67" i="3"/>
  <c r="AO67" i="3"/>
  <c r="AR68" i="3"/>
  <c r="P140" i="22" s="1"/>
  <c r="Z140" i="22" s="1"/>
  <c r="AQ68" i="3"/>
  <c r="O140" i="22" s="1"/>
  <c r="Y140" i="22" s="1"/>
  <c r="AO68" i="3"/>
  <c r="K140" i="22" s="1"/>
  <c r="AQ69" i="3"/>
  <c r="O141" i="22" s="1"/>
  <c r="Y141" i="22" s="1"/>
  <c r="AR69" i="3"/>
  <c r="P141" i="22" s="1"/>
  <c r="Z141" i="22" s="1"/>
  <c r="AO69" i="3"/>
  <c r="K141" i="22" s="1"/>
  <c r="AQ70" i="3"/>
  <c r="O142" i="22" s="1"/>
  <c r="Y142" i="22" s="1"/>
  <c r="AO70" i="3"/>
  <c r="K142" i="22" s="1"/>
  <c r="AR70" i="3"/>
  <c r="P142" i="22" s="1"/>
  <c r="Z142" i="22" s="1"/>
  <c r="AQ71" i="3"/>
  <c r="AR71" i="3"/>
  <c r="AO71" i="3"/>
  <c r="AR72" i="3"/>
  <c r="AO72" i="3"/>
  <c r="AQ72" i="3"/>
  <c r="AR73" i="3"/>
  <c r="AQ73" i="3"/>
  <c r="AO73" i="3"/>
  <c r="AQ74" i="3"/>
  <c r="AR74" i="3"/>
  <c r="AO74" i="3"/>
  <c r="AO75" i="3"/>
  <c r="AR75" i="3"/>
  <c r="AQ75" i="3"/>
  <c r="AQ76" i="3"/>
  <c r="AO76" i="3"/>
  <c r="AR76" i="3"/>
  <c r="AR36" i="3"/>
  <c r="P108" i="22" s="1"/>
  <c r="Z108" i="22" s="1"/>
  <c r="AQ36" i="3"/>
  <c r="O108" i="22" s="1"/>
  <c r="Y108" i="22" s="1"/>
  <c r="AO36" i="3"/>
  <c r="K108" i="22" s="1"/>
  <c r="AR37" i="3"/>
  <c r="P109" i="22" s="1"/>
  <c r="Z109" i="22" s="1"/>
  <c r="AO37" i="3"/>
  <c r="K109" i="22" s="1"/>
  <c r="AQ37" i="3"/>
  <c r="O109" i="22" s="1"/>
  <c r="Y109" i="22" s="1"/>
  <c r="AO38" i="3"/>
  <c r="AR38" i="3"/>
  <c r="AQ38" i="3"/>
  <c r="AR39" i="3"/>
  <c r="P111" i="22" s="1"/>
  <c r="Z111" i="22" s="1"/>
  <c r="AO39" i="3"/>
  <c r="K111" i="22" s="1"/>
  <c r="AQ39" i="3"/>
  <c r="O111" i="22" s="1"/>
  <c r="Y111" i="22" s="1"/>
  <c r="AR40" i="3"/>
  <c r="P112" i="22" s="1"/>
  <c r="Z112" i="22" s="1"/>
  <c r="AO40" i="3"/>
  <c r="K112" i="22" s="1"/>
  <c r="AQ40" i="3"/>
  <c r="O112" i="22" s="1"/>
  <c r="Y112" i="22" s="1"/>
  <c r="AO41" i="3"/>
  <c r="AQ41" i="3"/>
  <c r="AR41" i="3"/>
  <c r="AQ42" i="3"/>
  <c r="O114" i="22" s="1"/>
  <c r="Y114" i="22" s="1"/>
  <c r="AR42" i="3"/>
  <c r="P114" i="22" s="1"/>
  <c r="Z114" i="22" s="1"/>
  <c r="AO42" i="3"/>
  <c r="K114" i="22" s="1"/>
  <c r="AR43" i="3"/>
  <c r="P115" i="22" s="1"/>
  <c r="Z115" i="22" s="1"/>
  <c r="AQ43" i="3"/>
  <c r="O115" i="22" s="1"/>
  <c r="Y115" i="22" s="1"/>
  <c r="AO43" i="3"/>
  <c r="K115" i="22" s="1"/>
  <c r="AO44" i="3"/>
  <c r="K116" i="22" s="1"/>
  <c r="AQ44" i="3"/>
  <c r="O116" i="22" s="1"/>
  <c r="Y116" i="22" s="1"/>
  <c r="AR44" i="3"/>
  <c r="P116" i="22" s="1"/>
  <c r="Z116" i="22" s="1"/>
  <c r="AQ45" i="3"/>
  <c r="O117" i="22" s="1"/>
  <c r="Y117" i="22" s="1"/>
  <c r="AR45" i="3"/>
  <c r="P117" i="22" s="1"/>
  <c r="Z117" i="22" s="1"/>
  <c r="AO45" i="3"/>
  <c r="K117" i="22" s="1"/>
  <c r="AO46" i="3"/>
  <c r="AQ46" i="3"/>
  <c r="AR46" i="3"/>
  <c r="AO5" i="3"/>
  <c r="AQ5" i="3"/>
  <c r="AR5" i="3"/>
  <c r="AO6" i="3"/>
  <c r="AR6" i="3"/>
  <c r="AQ6" i="3"/>
  <c r="AQ7" i="3"/>
  <c r="AO7" i="3"/>
  <c r="AR7" i="3"/>
  <c r="AQ8" i="3"/>
  <c r="AO8" i="3"/>
  <c r="AR8" i="3"/>
  <c r="AR9" i="3"/>
  <c r="AQ9" i="3"/>
  <c r="AO9" i="3"/>
  <c r="AO10" i="3"/>
  <c r="AQ10" i="3"/>
  <c r="AR10" i="3"/>
  <c r="AR11" i="3"/>
  <c r="AO11" i="3"/>
  <c r="AQ11" i="3"/>
  <c r="AQ12" i="3"/>
  <c r="AO12" i="3"/>
  <c r="AR12" i="3"/>
  <c r="AO13" i="3"/>
  <c r="AQ13" i="3"/>
  <c r="AR13" i="3"/>
  <c r="AQ14" i="3"/>
  <c r="AR14" i="3"/>
  <c r="AO14" i="3"/>
  <c r="AR15" i="3"/>
  <c r="AQ15" i="3"/>
  <c r="AO15" i="3"/>
  <c r="AO16" i="3"/>
  <c r="AQ16" i="3"/>
  <c r="AR16" i="3"/>
  <c r="AQ17" i="3"/>
  <c r="AR17" i="3"/>
  <c r="AO17" i="3"/>
  <c r="AR18" i="3"/>
  <c r="AQ18" i="3"/>
  <c r="AO18" i="3"/>
  <c r="AQ19" i="3"/>
  <c r="AR19" i="3"/>
  <c r="AO19" i="3"/>
  <c r="AO20" i="3"/>
  <c r="AQ20" i="3"/>
  <c r="AR20" i="3"/>
  <c r="AR21" i="3"/>
  <c r="AQ21" i="3"/>
  <c r="AO21" i="3"/>
  <c r="AR22" i="3"/>
  <c r="AO22" i="3"/>
  <c r="AQ22" i="3"/>
  <c r="AR23" i="3"/>
  <c r="AO23" i="3"/>
  <c r="AQ23" i="3"/>
  <c r="AO24" i="3"/>
  <c r="AR24" i="3"/>
  <c r="AQ24" i="3"/>
  <c r="AR25" i="3"/>
  <c r="AQ25" i="3"/>
  <c r="AO25" i="3"/>
  <c r="AQ26" i="3"/>
  <c r="AO26" i="3"/>
  <c r="AR26" i="3"/>
  <c r="AR27" i="3"/>
  <c r="AO27" i="3"/>
  <c r="AQ27" i="3"/>
  <c r="AQ28" i="3"/>
  <c r="AR28" i="3"/>
  <c r="AO28" i="3"/>
  <c r="AQ29" i="3"/>
  <c r="AO29" i="3"/>
  <c r="AR29" i="3"/>
  <c r="AQ30" i="3"/>
  <c r="AR30" i="3"/>
  <c r="AO30" i="3"/>
  <c r="AR31" i="3"/>
  <c r="AO31" i="3"/>
  <c r="AQ31" i="3"/>
  <c r="AO32" i="3"/>
  <c r="AQ32" i="3"/>
  <c r="AR32" i="3"/>
  <c r="AR33" i="3"/>
  <c r="AQ33" i="3"/>
  <c r="AO33" i="3"/>
  <c r="AQ34" i="3"/>
  <c r="AO34" i="3"/>
  <c r="AR34" i="3"/>
  <c r="AA48" i="3"/>
  <c r="P48" i="22" s="1"/>
  <c r="Z48" i="22" s="1"/>
  <c r="X48" i="3"/>
  <c r="K48" i="22" s="1"/>
  <c r="Z48" i="3"/>
  <c r="O48" i="22" s="1"/>
  <c r="Y48" i="22" s="1"/>
  <c r="AA49" i="3"/>
  <c r="P49" i="22" s="1"/>
  <c r="Z49" i="22" s="1"/>
  <c r="Z49" i="3"/>
  <c r="O49" i="22" s="1"/>
  <c r="Y49" i="22" s="1"/>
  <c r="X49" i="3"/>
  <c r="K49" i="22" s="1"/>
  <c r="Z50" i="3"/>
  <c r="O50" i="22" s="1"/>
  <c r="Y50" i="22" s="1"/>
  <c r="AA50" i="3"/>
  <c r="P50" i="22" s="1"/>
  <c r="Z50" i="22" s="1"/>
  <c r="X50" i="3"/>
  <c r="K50" i="22" s="1"/>
  <c r="Z51" i="3"/>
  <c r="O51" i="22" s="1"/>
  <c r="Y51" i="22" s="1"/>
  <c r="AA51" i="3"/>
  <c r="P51" i="22" s="1"/>
  <c r="Z51" i="22" s="1"/>
  <c r="X51" i="3"/>
  <c r="K51" i="22" s="1"/>
  <c r="X52" i="3"/>
  <c r="K52" i="22" s="1"/>
  <c r="AA52" i="3"/>
  <c r="P52" i="22" s="1"/>
  <c r="Z52" i="22" s="1"/>
  <c r="Z52" i="3"/>
  <c r="O52" i="22" s="1"/>
  <c r="Y52" i="22" s="1"/>
  <c r="AA53" i="3"/>
  <c r="P53" i="22" s="1"/>
  <c r="Z53" i="22" s="1"/>
  <c r="Z53" i="3"/>
  <c r="O53" i="22" s="1"/>
  <c r="Y53" i="22" s="1"/>
  <c r="X53" i="3"/>
  <c r="K53" i="22" s="1"/>
  <c r="AA54" i="3"/>
  <c r="P54" i="22" s="1"/>
  <c r="Z54" i="22" s="1"/>
  <c r="X54" i="3"/>
  <c r="K54" i="22" s="1"/>
  <c r="Z54" i="3"/>
  <c r="O54" i="22" s="1"/>
  <c r="Y54" i="22" s="1"/>
  <c r="Z55" i="3"/>
  <c r="O55" i="22" s="1"/>
  <c r="Y55" i="22" s="1"/>
  <c r="X55" i="3"/>
  <c r="K55" i="22" s="1"/>
  <c r="AA55" i="3"/>
  <c r="P55" i="22" s="1"/>
  <c r="Z55" i="22" s="1"/>
  <c r="AA56" i="3"/>
  <c r="P56" i="22" s="1"/>
  <c r="Z56" i="22" s="1"/>
  <c r="Z56" i="3"/>
  <c r="O56" i="22" s="1"/>
  <c r="Y56" i="22" s="1"/>
  <c r="X56" i="3"/>
  <c r="K56" i="22" s="1"/>
  <c r="AA57" i="3"/>
  <c r="P57" i="22" s="1"/>
  <c r="Z57" i="22" s="1"/>
  <c r="Z57" i="3"/>
  <c r="O57" i="22" s="1"/>
  <c r="Y57" i="22" s="1"/>
  <c r="X57" i="3"/>
  <c r="K57" i="22" s="1"/>
  <c r="X58" i="3"/>
  <c r="K58" i="22" s="1"/>
  <c r="AA58" i="3"/>
  <c r="P58" i="22" s="1"/>
  <c r="Z58" i="22" s="1"/>
  <c r="Z58" i="3"/>
  <c r="O58" i="22" s="1"/>
  <c r="Y58" i="22" s="1"/>
  <c r="Z59" i="3"/>
  <c r="O59" i="22" s="1"/>
  <c r="Y59" i="22" s="1"/>
  <c r="X59" i="3"/>
  <c r="K59" i="22" s="1"/>
  <c r="AA59" i="3"/>
  <c r="P59" i="22" s="1"/>
  <c r="Z59" i="22" s="1"/>
  <c r="AA60" i="3"/>
  <c r="P60" i="22" s="1"/>
  <c r="Z60" i="22" s="1"/>
  <c r="Z60" i="3"/>
  <c r="O60" i="22" s="1"/>
  <c r="Y60" i="22" s="1"/>
  <c r="X60" i="3"/>
  <c r="K60" i="22" s="1"/>
  <c r="Z61" i="3"/>
  <c r="O61" i="22" s="1"/>
  <c r="Y61" i="22" s="1"/>
  <c r="AA61" i="3"/>
  <c r="P61" i="22" s="1"/>
  <c r="Z61" i="22" s="1"/>
  <c r="X61" i="3"/>
  <c r="K61" i="22" s="1"/>
  <c r="X62" i="3"/>
  <c r="K62" i="22" s="1"/>
  <c r="AA62" i="3"/>
  <c r="P62" i="22" s="1"/>
  <c r="Z62" i="22" s="1"/>
  <c r="Z62" i="3"/>
  <c r="O62" i="22" s="1"/>
  <c r="Y62" i="22" s="1"/>
  <c r="AA63" i="3"/>
  <c r="P63" i="22" s="1"/>
  <c r="Z63" i="22" s="1"/>
  <c r="Z63" i="3"/>
  <c r="O63" i="22" s="1"/>
  <c r="Y63" i="22" s="1"/>
  <c r="X63" i="3"/>
  <c r="K63" i="22" s="1"/>
  <c r="X64" i="3"/>
  <c r="K64" i="22" s="1"/>
  <c r="Z64" i="3"/>
  <c r="O64" i="22" s="1"/>
  <c r="Y64" i="22" s="1"/>
  <c r="AA64" i="3"/>
  <c r="P64" i="22" s="1"/>
  <c r="Z64" i="22" s="1"/>
  <c r="Z65" i="3"/>
  <c r="AA65" i="3"/>
  <c r="X65" i="3"/>
  <c r="X66" i="3"/>
  <c r="K66" i="22" s="1"/>
  <c r="Z66" i="3"/>
  <c r="O66" i="22" s="1"/>
  <c r="Y66" i="22" s="1"/>
  <c r="AA66" i="3"/>
  <c r="P66" i="22" s="1"/>
  <c r="Z66" i="22" s="1"/>
  <c r="X67" i="3"/>
  <c r="AA67" i="3"/>
  <c r="Z67" i="3"/>
  <c r="X68" i="3"/>
  <c r="AA68" i="3"/>
  <c r="Z68" i="3"/>
  <c r="X69" i="3"/>
  <c r="AA69" i="3"/>
  <c r="Z69" i="3"/>
  <c r="Z70" i="3"/>
  <c r="AA70" i="3"/>
  <c r="X70" i="3"/>
  <c r="AA71" i="3"/>
  <c r="P71" i="22" s="1"/>
  <c r="Z71" i="22" s="1"/>
  <c r="X71" i="3"/>
  <c r="K71" i="22" s="1"/>
  <c r="Z71" i="3"/>
  <c r="O71" i="22" s="1"/>
  <c r="Y71" i="22" s="1"/>
  <c r="Z72" i="3"/>
  <c r="O72" i="22" s="1"/>
  <c r="Y72" i="22" s="1"/>
  <c r="X72" i="3"/>
  <c r="K72" i="22" s="1"/>
  <c r="AA72" i="3"/>
  <c r="P72" i="22" s="1"/>
  <c r="Z72" i="22" s="1"/>
  <c r="AA73" i="3"/>
  <c r="P73" i="22" s="1"/>
  <c r="Z73" i="22" s="1"/>
  <c r="Z73" i="3"/>
  <c r="O73" i="22" s="1"/>
  <c r="Y73" i="22" s="1"/>
  <c r="X73" i="3"/>
  <c r="K73" i="22" s="1"/>
  <c r="AA74" i="3"/>
  <c r="P74" i="22" s="1"/>
  <c r="Z74" i="22" s="1"/>
  <c r="Z74" i="3"/>
  <c r="O74" i="22" s="1"/>
  <c r="Y74" i="22" s="1"/>
  <c r="X74" i="3"/>
  <c r="K74" i="22" s="1"/>
  <c r="Z75" i="3"/>
  <c r="O75" i="22" s="1"/>
  <c r="Y75" i="22" s="1"/>
  <c r="X75" i="3"/>
  <c r="K75" i="22" s="1"/>
  <c r="AA75" i="3"/>
  <c r="P75" i="22" s="1"/>
  <c r="Z75" i="22" s="1"/>
  <c r="AA76" i="3"/>
  <c r="X76" i="3"/>
  <c r="Z76" i="3"/>
  <c r="AA36" i="3"/>
  <c r="P36" i="22" s="1"/>
  <c r="Z36" i="22" s="1"/>
  <c r="Z36" i="3"/>
  <c r="O36" i="22" s="1"/>
  <c r="Y36" i="22" s="1"/>
  <c r="X36" i="3"/>
  <c r="K36" i="22" s="1"/>
  <c r="Z37" i="3"/>
  <c r="O37" i="22" s="1"/>
  <c r="Y37" i="22" s="1"/>
  <c r="X37" i="3"/>
  <c r="K37" i="22" s="1"/>
  <c r="AA37" i="3"/>
  <c r="P37" i="22" s="1"/>
  <c r="Z37" i="22" s="1"/>
  <c r="X38" i="3"/>
  <c r="K38" i="22" s="1"/>
  <c r="Z38" i="3"/>
  <c r="O38" i="22" s="1"/>
  <c r="Y38" i="22" s="1"/>
  <c r="AA38" i="3"/>
  <c r="P38" i="22" s="1"/>
  <c r="Z38" i="22" s="1"/>
  <c r="X39" i="3"/>
  <c r="K39" i="22" s="1"/>
  <c r="AA39" i="3"/>
  <c r="P39" i="22" s="1"/>
  <c r="Z39" i="22" s="1"/>
  <c r="Z39" i="3"/>
  <c r="O39" i="22" s="1"/>
  <c r="Y39" i="22" s="1"/>
  <c r="AA40" i="3"/>
  <c r="P40" i="22" s="1"/>
  <c r="Z40" i="22" s="1"/>
  <c r="Z40" i="3"/>
  <c r="O40" i="22" s="1"/>
  <c r="Y40" i="22" s="1"/>
  <c r="X40" i="3"/>
  <c r="K40" i="22" s="1"/>
  <c r="X41" i="3"/>
  <c r="AA41" i="3"/>
  <c r="Z41" i="3"/>
  <c r="AA42" i="3"/>
  <c r="P42" i="22" s="1"/>
  <c r="Z42" i="22" s="1"/>
  <c r="X42" i="3"/>
  <c r="K42" i="22" s="1"/>
  <c r="Z42" i="3"/>
  <c r="O42" i="22" s="1"/>
  <c r="Y42" i="22" s="1"/>
  <c r="Z43" i="3"/>
  <c r="O43" i="22" s="1"/>
  <c r="Y43" i="22" s="1"/>
  <c r="AA43" i="3"/>
  <c r="P43" i="22" s="1"/>
  <c r="Z43" i="22" s="1"/>
  <c r="X43" i="3"/>
  <c r="K43" i="22" s="1"/>
  <c r="X44" i="3"/>
  <c r="K44" i="22" s="1"/>
  <c r="AA44" i="3"/>
  <c r="P44" i="22" s="1"/>
  <c r="Z44" i="22" s="1"/>
  <c r="Z44" i="3"/>
  <c r="O44" i="22" s="1"/>
  <c r="Y44" i="22" s="1"/>
  <c r="AA45" i="3"/>
  <c r="P45" i="22" s="1"/>
  <c r="Z45" i="22" s="1"/>
  <c r="X45" i="3"/>
  <c r="K45" i="22" s="1"/>
  <c r="Z45" i="3"/>
  <c r="O45" i="22" s="1"/>
  <c r="Y45" i="22" s="1"/>
  <c r="AA46" i="3"/>
  <c r="P46" i="22" s="1"/>
  <c r="Z46" i="22" s="1"/>
  <c r="Z46" i="3"/>
  <c r="O46" i="22" s="1"/>
  <c r="Y46" i="22" s="1"/>
  <c r="X46" i="3"/>
  <c r="K46" i="22" s="1"/>
  <c r="X5" i="3"/>
  <c r="AA5" i="3"/>
  <c r="Z5" i="3"/>
  <c r="Z6" i="3"/>
  <c r="X6" i="3"/>
  <c r="AA6" i="3"/>
  <c r="AA7" i="3"/>
  <c r="Z7" i="3"/>
  <c r="X7" i="3"/>
  <c r="Z8" i="3"/>
  <c r="X8" i="3"/>
  <c r="AA8" i="3"/>
  <c r="X9" i="3"/>
  <c r="AA9" i="3"/>
  <c r="Z9" i="3"/>
  <c r="Z10" i="3"/>
  <c r="AA10" i="3"/>
  <c r="X10" i="3"/>
  <c r="Z11" i="3"/>
  <c r="X11" i="3"/>
  <c r="AA11" i="3"/>
  <c r="X12" i="3"/>
  <c r="AA12" i="3"/>
  <c r="Z12" i="3"/>
  <c r="X13" i="3"/>
  <c r="AA13" i="3"/>
  <c r="Z13" i="3"/>
  <c r="Z14" i="3"/>
  <c r="X14" i="3"/>
  <c r="AA14" i="3"/>
  <c r="X15" i="3"/>
  <c r="AA15" i="3"/>
  <c r="Z15" i="3"/>
  <c r="X16" i="3"/>
  <c r="AA16" i="3"/>
  <c r="Z16" i="3"/>
  <c r="X17" i="3"/>
  <c r="AA17" i="3"/>
  <c r="Z17" i="3"/>
  <c r="Z18" i="3"/>
  <c r="X18" i="3"/>
  <c r="AA18" i="3"/>
  <c r="Z19" i="3"/>
  <c r="AA19" i="3"/>
  <c r="X19" i="3"/>
  <c r="X20" i="3"/>
  <c r="Z20" i="3"/>
  <c r="AA20" i="3"/>
  <c r="AA21" i="3"/>
  <c r="X21" i="3"/>
  <c r="Z21" i="3"/>
  <c r="X22" i="3"/>
  <c r="AA22" i="3"/>
  <c r="Z22" i="3"/>
  <c r="AA23" i="3"/>
  <c r="Z23" i="3"/>
  <c r="X23" i="3"/>
  <c r="Z24" i="3"/>
  <c r="AA24" i="3"/>
  <c r="X24" i="3"/>
  <c r="X25" i="3"/>
  <c r="Z25" i="3"/>
  <c r="AA25" i="3"/>
  <c r="Z26" i="3"/>
  <c r="X26" i="3"/>
  <c r="AA26" i="3"/>
  <c r="Z27" i="3"/>
  <c r="AA27" i="3"/>
  <c r="X27" i="3"/>
  <c r="X28" i="3"/>
  <c r="AA28" i="3"/>
  <c r="Z28" i="3"/>
  <c r="Z29" i="3"/>
  <c r="X29" i="3"/>
  <c r="AA29" i="3"/>
  <c r="Z30" i="3"/>
  <c r="AA30" i="3"/>
  <c r="X30" i="3"/>
  <c r="X31" i="3"/>
  <c r="Z31" i="3"/>
  <c r="AA31" i="3"/>
  <c r="AA32" i="3"/>
  <c r="Z32" i="3"/>
  <c r="X32" i="3"/>
  <c r="Z33" i="3"/>
  <c r="X33" i="3"/>
  <c r="AA33" i="3"/>
  <c r="X34" i="3"/>
  <c r="Z34" i="3"/>
  <c r="AA34" i="3"/>
  <c r="K30" i="2"/>
  <c r="L30" i="2" s="1"/>
  <c r="M30" i="2" s="1"/>
  <c r="K31" i="2"/>
  <c r="L31" i="2" s="1"/>
  <c r="M31" i="2" s="1"/>
  <c r="K32" i="2"/>
  <c r="L32" i="2" s="1"/>
  <c r="M32" i="2" s="1"/>
  <c r="K33" i="2"/>
  <c r="L33" i="2" s="1"/>
  <c r="M33" i="2" s="1"/>
  <c r="K34" i="2"/>
  <c r="L34" i="2" s="1"/>
  <c r="M34" i="2" s="1"/>
  <c r="K35" i="2"/>
  <c r="L35" i="2" s="1"/>
  <c r="M35" i="2" s="1"/>
  <c r="K36" i="2"/>
  <c r="L36" i="2" s="1"/>
  <c r="M36" i="2" s="1"/>
  <c r="K37" i="2"/>
  <c r="L37" i="2" s="1"/>
  <c r="M37" i="2" s="1"/>
  <c r="K38" i="2"/>
  <c r="L38" i="2" s="1"/>
  <c r="M38" i="2" s="1"/>
  <c r="K39" i="2"/>
  <c r="L39" i="2" s="1"/>
  <c r="M39" i="2" s="1"/>
  <c r="K40" i="2"/>
  <c r="L40" i="2" s="1"/>
  <c r="M40" i="2" s="1"/>
  <c r="K41" i="2"/>
  <c r="L41" i="2" s="1"/>
  <c r="M41" i="2" s="1"/>
  <c r="K42" i="2"/>
  <c r="L42" i="2" s="1"/>
  <c r="M42" i="2" s="1"/>
  <c r="K43" i="2"/>
  <c r="L43" i="2" s="1"/>
  <c r="M43" i="2" s="1"/>
  <c r="K44" i="2"/>
  <c r="L44" i="2" s="1"/>
  <c r="M44" i="2" s="1"/>
  <c r="K45" i="2"/>
  <c r="L45" i="2" s="1"/>
  <c r="M45" i="2" s="1"/>
  <c r="K46" i="2"/>
  <c r="L46" i="2" s="1"/>
  <c r="M46" i="2" s="1"/>
  <c r="K47" i="2"/>
  <c r="L47" i="2" s="1"/>
  <c r="M47" i="2" s="1"/>
  <c r="K48" i="2"/>
  <c r="L48" i="2" s="1"/>
  <c r="M48" i="2" s="1"/>
  <c r="K49" i="2"/>
  <c r="L49" i="2" s="1"/>
  <c r="M49" i="2" s="1"/>
  <c r="K50" i="2"/>
  <c r="L50" i="2" s="1"/>
  <c r="M50" i="2" s="1"/>
  <c r="K51" i="2"/>
  <c r="L51" i="2" s="1"/>
  <c r="M51" i="2" s="1"/>
  <c r="K52" i="2"/>
  <c r="L52" i="2" s="1"/>
  <c r="M52" i="2" s="1"/>
  <c r="K53" i="2"/>
  <c r="L53" i="2" s="1"/>
  <c r="M53" i="2" s="1"/>
  <c r="K54" i="2"/>
  <c r="L54" i="2" s="1"/>
  <c r="M54" i="2" s="1"/>
  <c r="K55" i="2"/>
  <c r="L55" i="2" s="1"/>
  <c r="M55" i="2" s="1"/>
  <c r="K56" i="2"/>
  <c r="L56" i="2" s="1"/>
  <c r="M56" i="2" s="1"/>
  <c r="K57" i="2"/>
  <c r="L57" i="2" s="1"/>
  <c r="M57" i="2" s="1"/>
  <c r="K58" i="2"/>
  <c r="L58" i="2" s="1"/>
  <c r="M58" i="2" s="1"/>
  <c r="K59" i="2"/>
  <c r="L59" i="2" s="1"/>
  <c r="M59" i="2" s="1"/>
  <c r="K60" i="2"/>
  <c r="L60" i="2" s="1"/>
  <c r="M60" i="2" s="1"/>
  <c r="K61" i="2"/>
  <c r="L61" i="2" s="1"/>
  <c r="M61" i="2" s="1"/>
  <c r="K62" i="2"/>
  <c r="L62" i="2" s="1"/>
  <c r="M62" i="2" s="1"/>
  <c r="K63" i="2"/>
  <c r="L63" i="2" s="1"/>
  <c r="M63" i="2" s="1"/>
  <c r="K64" i="2"/>
  <c r="L64" i="2" s="1"/>
  <c r="M64" i="2" s="1"/>
  <c r="K65" i="2"/>
  <c r="L65" i="2" s="1"/>
  <c r="M65" i="2" s="1"/>
  <c r="K66" i="2"/>
  <c r="L66" i="2" s="1"/>
  <c r="M66" i="2" s="1"/>
  <c r="K67" i="2"/>
  <c r="L67" i="2" s="1"/>
  <c r="M67" i="2" s="1"/>
  <c r="K26" i="2"/>
  <c r="L26" i="2" s="1"/>
  <c r="M26" i="2" s="1"/>
  <c r="K27" i="2"/>
  <c r="L27" i="2" s="1"/>
  <c r="M27" i="2" s="1"/>
  <c r="K28" i="2"/>
  <c r="L28" i="2" s="1"/>
  <c r="M28" i="2" s="1"/>
  <c r="K5" i="2"/>
  <c r="L5" i="2"/>
  <c r="M5" i="2" s="1"/>
  <c r="L6" i="2"/>
  <c r="M6" i="2" s="1"/>
  <c r="K6" i="2"/>
  <c r="K7" i="2"/>
  <c r="L7" i="2"/>
  <c r="M7" i="2" s="1"/>
  <c r="L8" i="2"/>
  <c r="M8" i="2" s="1"/>
  <c r="K8" i="2"/>
  <c r="K9" i="2"/>
  <c r="L9" i="2"/>
  <c r="M9" i="2" s="1"/>
  <c r="K10" i="2"/>
  <c r="L10" i="2"/>
  <c r="M10" i="2" s="1"/>
  <c r="L11" i="2"/>
  <c r="M11" i="2" s="1"/>
  <c r="K11" i="2"/>
  <c r="K12" i="2"/>
  <c r="L12" i="2"/>
  <c r="M12" i="2" s="1"/>
  <c r="K13" i="2"/>
  <c r="L13" i="2"/>
  <c r="M13" i="2" s="1"/>
  <c r="L14" i="2"/>
  <c r="M14" i="2" s="1"/>
  <c r="K14" i="2"/>
  <c r="L15" i="2"/>
  <c r="M15" i="2" s="1"/>
  <c r="K15" i="2"/>
  <c r="L16" i="2"/>
  <c r="M16" i="2" s="1"/>
  <c r="K16" i="2"/>
  <c r="L17" i="2"/>
  <c r="M17" i="2" s="1"/>
  <c r="K17" i="2"/>
  <c r="K18" i="2"/>
  <c r="L18" i="2"/>
  <c r="M18" i="2" s="1"/>
  <c r="K19" i="2"/>
  <c r="L19" i="2"/>
  <c r="M19" i="2" s="1"/>
  <c r="L20" i="2"/>
  <c r="M20" i="2" s="1"/>
  <c r="K20" i="2"/>
  <c r="L21" i="2"/>
  <c r="M21" i="2" s="1"/>
  <c r="K21" i="2"/>
  <c r="L22" i="2"/>
  <c r="M22" i="2" s="1"/>
  <c r="K22" i="2"/>
  <c r="L23" i="2"/>
  <c r="M23" i="2" s="1"/>
  <c r="K23" i="2"/>
  <c r="K24" i="2"/>
  <c r="L24" i="2"/>
  <c r="M24" i="2" s="1"/>
  <c r="CA78" i="8" l="1"/>
  <c r="CA79" i="8"/>
  <c r="CA80" i="8"/>
  <c r="CA81" i="8"/>
  <c r="CA83" i="8"/>
  <c r="CA89" i="8"/>
  <c r="CA91" i="8"/>
  <c r="CA92" i="8"/>
  <c r="CA94" i="8"/>
  <c r="CA95" i="8"/>
  <c r="CA96" i="8"/>
  <c r="CA97" i="8"/>
  <c r="CA98" i="8"/>
  <c r="CA99" i="8"/>
  <c r="CA100" i="8"/>
  <c r="CA103" i="8"/>
  <c r="CA47" i="8"/>
  <c r="CA49" i="8"/>
  <c r="CA50" i="8"/>
  <c r="CA51" i="8"/>
  <c r="CA52" i="8"/>
  <c r="CA53" i="8"/>
  <c r="CA54" i="8"/>
  <c r="CA55" i="8"/>
  <c r="CA56" i="8"/>
  <c r="CA57" i="8"/>
  <c r="CA58" i="8"/>
  <c r="CA59" i="8"/>
  <c r="CA60" i="8"/>
  <c r="CA61" i="8"/>
  <c r="CA62" i="8"/>
  <c r="F444" i="22"/>
  <c r="A444" i="22" s="1"/>
  <c r="F445" i="22"/>
  <c r="A445" i="22" s="1"/>
  <c r="F446" i="22"/>
  <c r="A446" i="22" s="1"/>
  <c r="AG232" i="22"/>
  <c r="F318" i="22"/>
  <c r="A318" i="22" s="1"/>
  <c r="F324" i="22"/>
  <c r="A324" i="22" s="1"/>
  <c r="F327" i="22"/>
  <c r="A327" i="22" s="1"/>
  <c r="F334" i="22"/>
  <c r="A334" i="22" s="1"/>
  <c r="F40" i="22"/>
  <c r="A40" i="22" s="1"/>
  <c r="F59" i="22"/>
  <c r="A59" i="22" s="1"/>
  <c r="F61" i="22"/>
  <c r="A61" i="22" s="1"/>
  <c r="F109" i="22"/>
  <c r="A109" i="22" s="1"/>
  <c r="F112" i="22"/>
  <c r="A112" i="22" s="1"/>
  <c r="F37" i="22"/>
  <c r="A37" i="22" s="1"/>
  <c r="F64" i="22"/>
  <c r="A64" i="22" s="1"/>
  <c r="F48" i="22"/>
  <c r="A48" i="22" s="1"/>
  <c r="F54" i="22"/>
  <c r="A54" i="22" s="1"/>
  <c r="F58" i="22"/>
  <c r="A58" i="22" s="1"/>
  <c r="F72" i="22"/>
  <c r="A72" i="22" s="1"/>
  <c r="BS74" i="4"/>
  <c r="BT74" i="4" s="1"/>
  <c r="BS75" i="4"/>
  <c r="BT75" i="4" s="1"/>
  <c r="L54" i="7"/>
  <c r="M54" i="7" s="1"/>
  <c r="L57" i="7"/>
  <c r="M57" i="7" s="1"/>
  <c r="L29" i="7"/>
  <c r="M29" i="7" s="1"/>
  <c r="L32" i="7"/>
  <c r="M32" i="7" s="1"/>
  <c r="L27" i="7"/>
  <c r="M27" i="7" s="1"/>
  <c r="L26" i="7"/>
  <c r="M26" i="7" s="1"/>
  <c r="L52" i="7"/>
  <c r="M52" i="7" s="1"/>
  <c r="L49" i="7"/>
  <c r="M49" i="7" s="1"/>
  <c r="L44" i="7"/>
  <c r="M44" i="7" s="1"/>
  <c r="L41" i="7"/>
  <c r="M41" i="7" s="1"/>
  <c r="L39" i="7"/>
  <c r="M39" i="7" s="1"/>
  <c r="L37" i="7"/>
  <c r="M37" i="7" s="1"/>
  <c r="L40" i="7"/>
  <c r="M40" i="7" s="1"/>
  <c r="L45" i="7"/>
  <c r="M45" i="7" s="1"/>
  <c r="L48" i="7"/>
  <c r="M48" i="7" s="1"/>
  <c r="L53" i="7"/>
  <c r="M53" i="7" s="1"/>
  <c r="L56" i="7"/>
  <c r="M56" i="7" s="1"/>
  <c r="L30" i="7"/>
  <c r="M30" i="7" s="1"/>
  <c r="L34" i="7"/>
  <c r="M34" i="7" s="1"/>
  <c r="L36" i="7"/>
  <c r="M36" i="7" s="1"/>
  <c r="L42" i="7"/>
  <c r="M42" i="7" s="1"/>
  <c r="L47" i="7"/>
  <c r="M47" i="7" s="1"/>
  <c r="L50" i="7"/>
  <c r="M50" i="7" s="1"/>
  <c r="L55" i="7"/>
  <c r="M55" i="7" s="1"/>
  <c r="L58" i="7"/>
  <c r="M58" i="7" s="1"/>
  <c r="L28" i="7"/>
  <c r="M28" i="7" s="1"/>
  <c r="L33" i="7"/>
  <c r="M33" i="7" s="1"/>
  <c r="L31" i="7"/>
  <c r="M31" i="7" s="1"/>
  <c r="L38" i="7"/>
  <c r="M38" i="7" s="1"/>
  <c r="L43" i="7"/>
  <c r="M43" i="7" s="1"/>
  <c r="L46" i="7"/>
  <c r="M46" i="7" s="1"/>
  <c r="L51" i="7"/>
  <c r="M51" i="7" s="1"/>
  <c r="AA42" i="6"/>
  <c r="X42" i="6"/>
  <c r="AB42" i="6" s="1"/>
  <c r="X43" i="6"/>
  <c r="AB43" i="6" s="1"/>
  <c r="AA43" i="6"/>
  <c r="AA44" i="6"/>
  <c r="X44" i="6"/>
  <c r="AB44" i="6" s="1"/>
  <c r="B63" i="18"/>
  <c r="C63" i="18"/>
  <c r="D63" i="18"/>
  <c r="E63" i="18"/>
  <c r="F63" i="18"/>
  <c r="G63" i="18"/>
  <c r="H63" i="18"/>
  <c r="B62" i="18"/>
  <c r="C62" i="18"/>
  <c r="D62" i="18"/>
  <c r="E62" i="18"/>
  <c r="F62" i="18"/>
  <c r="G62" i="18"/>
  <c r="H62" i="18"/>
  <c r="B61" i="18"/>
  <c r="C61" i="18"/>
  <c r="B60" i="18"/>
  <c r="C60" i="18"/>
  <c r="B59" i="18"/>
  <c r="C59" i="18"/>
  <c r="B58" i="18"/>
  <c r="C58" i="18"/>
  <c r="B57" i="18"/>
  <c r="C57" i="18"/>
  <c r="B56" i="18"/>
  <c r="C56" i="18"/>
  <c r="B55" i="18"/>
  <c r="C55" i="18"/>
  <c r="B54" i="18"/>
  <c r="C54" i="18"/>
  <c r="B53" i="18"/>
  <c r="C53" i="18"/>
  <c r="B52" i="18"/>
  <c r="C52" i="18"/>
  <c r="B51" i="18"/>
  <c r="C51" i="18"/>
  <c r="B50" i="18"/>
  <c r="C50" i="18"/>
  <c r="B49" i="18"/>
  <c r="C49" i="18"/>
  <c r="B48" i="18"/>
  <c r="C48" i="18"/>
  <c r="F14" i="18"/>
  <c r="G14" i="18"/>
  <c r="H14" i="18"/>
  <c r="B13" i="18"/>
  <c r="C13" i="18"/>
  <c r="D13" i="18"/>
  <c r="E13" i="18"/>
  <c r="F13" i="18"/>
  <c r="G13" i="18"/>
  <c r="H13" i="18"/>
  <c r="B14" i="18"/>
  <c r="C14" i="18"/>
  <c r="D14" i="18"/>
  <c r="E14" i="18"/>
  <c r="F17" i="18"/>
  <c r="G17" i="18"/>
  <c r="H17" i="18"/>
  <c r="B17" i="18"/>
  <c r="C17" i="18"/>
  <c r="D17" i="18"/>
  <c r="E17" i="18"/>
  <c r="F16" i="18"/>
  <c r="G16" i="18"/>
  <c r="H16" i="18"/>
  <c r="B16" i="18"/>
  <c r="C16" i="18"/>
  <c r="D16" i="18"/>
  <c r="E16" i="18"/>
  <c r="F15" i="18"/>
  <c r="G15" i="18"/>
  <c r="H15" i="18"/>
  <c r="B15" i="18"/>
  <c r="C15" i="18"/>
  <c r="D15" i="18"/>
  <c r="E15" i="18"/>
  <c r="F12" i="18"/>
  <c r="G12" i="18"/>
  <c r="H12" i="18"/>
  <c r="C5" i="18"/>
  <c r="E5" i="18"/>
  <c r="H5" i="18"/>
  <c r="C6" i="18"/>
  <c r="E6" i="18"/>
  <c r="C7" i="18"/>
  <c r="C8" i="18"/>
  <c r="C85" i="18"/>
  <c r="B12" i="18"/>
  <c r="C12" i="18"/>
  <c r="D12" i="18"/>
  <c r="E12" i="18"/>
  <c r="CC9" i="19"/>
  <c r="T37" i="12"/>
  <c r="G122" i="21" s="1"/>
  <c r="H122" i="21" s="1"/>
  <c r="U37" i="12"/>
  <c r="Q37" i="12"/>
  <c r="R37" i="12"/>
  <c r="Y37" i="12"/>
  <c r="Y38" i="12"/>
  <c r="R38" i="12"/>
  <c r="Q38" i="12"/>
  <c r="U38" i="12"/>
  <c r="T38" i="12"/>
  <c r="G174" i="21" s="1"/>
  <c r="H174" i="21" s="1"/>
  <c r="Q28" i="12"/>
  <c r="X28" i="12"/>
  <c r="R28" i="12"/>
  <c r="S28" i="12"/>
  <c r="Y28" i="12"/>
  <c r="Q29" i="12"/>
  <c r="R29" i="12"/>
  <c r="X29" i="12"/>
  <c r="Y29" i="12"/>
  <c r="S29" i="12"/>
  <c r="Q30" i="12"/>
  <c r="S30" i="12"/>
  <c r="R30" i="12"/>
  <c r="X30" i="12"/>
  <c r="Y30" i="12"/>
  <c r="R31" i="12"/>
  <c r="Y31" i="12"/>
  <c r="Q31" i="12"/>
  <c r="S31" i="12"/>
  <c r="X31" i="12"/>
  <c r="S32" i="12"/>
  <c r="Q32" i="12"/>
  <c r="R32" i="12"/>
  <c r="X32" i="12"/>
  <c r="Y32" i="12"/>
  <c r="S33" i="12"/>
  <c r="X33" i="12"/>
  <c r="Y33" i="12"/>
  <c r="Q33" i="12"/>
  <c r="R33" i="12"/>
  <c r="Y34" i="12"/>
  <c r="R34" i="12"/>
  <c r="S34" i="12"/>
  <c r="Q34" i="12"/>
  <c r="X34" i="12"/>
  <c r="S35" i="12"/>
  <c r="Y35" i="12"/>
  <c r="Q35" i="12"/>
  <c r="R35" i="12"/>
  <c r="X35" i="12"/>
  <c r="AC193" i="11"/>
  <c r="T193" i="11"/>
  <c r="U193" i="11" s="1"/>
  <c r="V193" i="11"/>
  <c r="W193" i="11"/>
  <c r="X193" i="11"/>
  <c r="G145" i="21" s="1"/>
  <c r="H145" i="21" s="1"/>
  <c r="Y193" i="11"/>
  <c r="Y194" i="11"/>
  <c r="X194" i="11"/>
  <c r="G146" i="21" s="1"/>
  <c r="H146" i="21" s="1"/>
  <c r="W194" i="11"/>
  <c r="T194" i="11"/>
  <c r="U194" i="11"/>
  <c r="AB194" i="11"/>
  <c r="V194" i="11"/>
  <c r="AC194" i="11"/>
  <c r="Y195" i="11"/>
  <c r="X195" i="11"/>
  <c r="G147" i="21" s="1"/>
  <c r="H147" i="21" s="1"/>
  <c r="V195" i="11"/>
  <c r="AC195" i="11"/>
  <c r="W195" i="11"/>
  <c r="T195" i="11"/>
  <c r="U195" i="11" s="1"/>
  <c r="T196" i="11"/>
  <c r="U196" i="11"/>
  <c r="AC196" i="11"/>
  <c r="W196" i="11"/>
  <c r="G143" i="21" s="1"/>
  <c r="H143" i="21" s="1"/>
  <c r="V196" i="11"/>
  <c r="R196" i="11"/>
  <c r="Y196" i="11"/>
  <c r="X196" i="11"/>
  <c r="G148" i="21" s="1"/>
  <c r="H148" i="21" s="1"/>
  <c r="X197" i="11"/>
  <c r="G149" i="21" s="1"/>
  <c r="H149" i="21" s="1"/>
  <c r="Y197" i="11"/>
  <c r="R197" i="11"/>
  <c r="AB197" i="11"/>
  <c r="S197" i="11"/>
  <c r="V197" i="11"/>
  <c r="T197" i="11"/>
  <c r="W197" i="11"/>
  <c r="U197" i="11"/>
  <c r="G144" i="21" s="1"/>
  <c r="H144" i="21" s="1"/>
  <c r="AC197" i="11"/>
  <c r="X189" i="11"/>
  <c r="Y189" i="11"/>
  <c r="T189" i="11"/>
  <c r="U189" i="11"/>
  <c r="V189" i="11"/>
  <c r="W189" i="11"/>
  <c r="AC189" i="11"/>
  <c r="V190" i="11"/>
  <c r="AB190" i="11"/>
  <c r="U190" i="11"/>
  <c r="AC190" i="11"/>
  <c r="T190" i="11"/>
  <c r="S190" i="11"/>
  <c r="W190" i="11"/>
  <c r="Y190" i="11"/>
  <c r="R190" i="11"/>
  <c r="K41" i="20" s="1"/>
  <c r="X190" i="11"/>
  <c r="J41" i="20" s="1"/>
  <c r="L41" i="20" s="1"/>
  <c r="Y191" i="11"/>
  <c r="R191" i="11"/>
  <c r="K42" i="20" s="1"/>
  <c r="X191" i="11"/>
  <c r="J42" i="20" s="1"/>
  <c r="L42" i="20" s="1"/>
  <c r="S191" i="11"/>
  <c r="V191" i="11"/>
  <c r="AB191" i="11"/>
  <c r="U191" i="11"/>
  <c r="T191" i="11"/>
  <c r="W191" i="11"/>
  <c r="AC191" i="11"/>
  <c r="AC180" i="11"/>
  <c r="T180" i="11"/>
  <c r="V180" i="11"/>
  <c r="AB180" i="11"/>
  <c r="U180" i="11"/>
  <c r="W180" i="11"/>
  <c r="U181" i="11"/>
  <c r="T181" i="11"/>
  <c r="AC181" i="11"/>
  <c r="W181" i="11"/>
  <c r="V181" i="11"/>
  <c r="AB181" i="11"/>
  <c r="T182" i="11"/>
  <c r="AC182" i="11"/>
  <c r="U182" i="11"/>
  <c r="W182" i="11"/>
  <c r="V182" i="11"/>
  <c r="AB182" i="11"/>
  <c r="T183" i="11"/>
  <c r="U183" i="11"/>
  <c r="W183" i="11"/>
  <c r="AB183" i="11"/>
  <c r="AC183" i="11"/>
  <c r="V183" i="11"/>
  <c r="T184" i="11"/>
  <c r="U184" i="11"/>
  <c r="W184" i="11"/>
  <c r="AB184" i="11"/>
  <c r="V184" i="11"/>
  <c r="AC184" i="11"/>
  <c r="V185" i="11"/>
  <c r="AB185" i="11"/>
  <c r="T185" i="11"/>
  <c r="U185" i="11"/>
  <c r="W185" i="11"/>
  <c r="AC185" i="11"/>
  <c r="T186" i="11"/>
  <c r="U186" i="11"/>
  <c r="W186" i="11"/>
  <c r="V186" i="11"/>
  <c r="AB186" i="11"/>
  <c r="AC186" i="11"/>
  <c r="V187" i="11"/>
  <c r="AB187" i="11"/>
  <c r="AC187" i="11"/>
  <c r="U187" i="11"/>
  <c r="T187" i="11"/>
  <c r="W187" i="11"/>
  <c r="T170" i="11"/>
  <c r="N170" i="11"/>
  <c r="T171" i="11"/>
  <c r="N171" i="11"/>
  <c r="N172" i="11"/>
  <c r="T172" i="11"/>
  <c r="N173" i="11"/>
  <c r="T173" i="11"/>
  <c r="AQ161" i="11"/>
  <c r="AP161" i="11"/>
  <c r="AQ162" i="11"/>
  <c r="AP162" i="11"/>
  <c r="AP163" i="11"/>
  <c r="AQ163" i="11"/>
  <c r="AQ164" i="11"/>
  <c r="AP164" i="11"/>
  <c r="AQ165" i="11"/>
  <c r="AP165" i="11"/>
  <c r="AQ166" i="11"/>
  <c r="AP166" i="11"/>
  <c r="AQ168" i="11"/>
  <c r="AP168" i="11"/>
  <c r="P161" i="11"/>
  <c r="Q161" i="11"/>
  <c r="V161" i="11"/>
  <c r="W161" i="11"/>
  <c r="L161" i="11"/>
  <c r="M161" i="11"/>
  <c r="V162" i="11"/>
  <c r="L162" i="11"/>
  <c r="M162" i="11"/>
  <c r="Q162" i="11"/>
  <c r="W162" i="11"/>
  <c r="P162" i="11"/>
  <c r="P163" i="11"/>
  <c r="L163" i="11"/>
  <c r="M163" i="11"/>
  <c r="W163" i="11"/>
  <c r="Q163" i="11"/>
  <c r="V163" i="11"/>
  <c r="L164" i="11"/>
  <c r="M164" i="11"/>
  <c r="P164" i="11"/>
  <c r="V164" i="11"/>
  <c r="Q164" i="11"/>
  <c r="W164" i="11"/>
  <c r="W165" i="11"/>
  <c r="Q165" i="11"/>
  <c r="L165" i="11"/>
  <c r="M165" i="11"/>
  <c r="P165" i="11"/>
  <c r="V165" i="11"/>
  <c r="L166" i="11"/>
  <c r="M166" i="11"/>
  <c r="Q166" i="11"/>
  <c r="V166" i="11"/>
  <c r="P166" i="11"/>
  <c r="W166" i="11"/>
  <c r="L167" i="11"/>
  <c r="M167" i="11"/>
  <c r="P167" i="11"/>
  <c r="V167" i="11"/>
  <c r="W167" i="11"/>
  <c r="Q167" i="11"/>
  <c r="P168" i="11"/>
  <c r="V168" i="11"/>
  <c r="L168" i="11"/>
  <c r="M168" i="11"/>
  <c r="W168" i="11"/>
  <c r="Q168" i="11"/>
  <c r="AO143" i="11"/>
  <c r="AN143" i="11"/>
  <c r="AN144" i="11"/>
  <c r="AO144" i="11"/>
  <c r="AO145" i="11"/>
  <c r="AN145" i="11"/>
  <c r="AN146" i="11"/>
  <c r="AO146" i="11"/>
  <c r="AN147" i="11"/>
  <c r="AO147" i="11"/>
  <c r="AN148" i="11"/>
  <c r="AO148" i="11"/>
  <c r="AN149" i="11"/>
  <c r="AO149" i="11"/>
  <c r="AN150" i="11"/>
  <c r="AO150" i="11"/>
  <c r="S154" i="11"/>
  <c r="O154" i="11"/>
  <c r="S152" i="11"/>
  <c r="O152" i="11"/>
  <c r="V143" i="11"/>
  <c r="M143" i="11"/>
  <c r="N143" i="11"/>
  <c r="P143" i="11"/>
  <c r="U143" i="11"/>
  <c r="U144" i="11"/>
  <c r="V144" i="11"/>
  <c r="N144" i="11"/>
  <c r="M144" i="11"/>
  <c r="P144" i="11"/>
  <c r="P145" i="11"/>
  <c r="U145" i="11"/>
  <c r="M145" i="11"/>
  <c r="V145" i="11"/>
  <c r="N145" i="11"/>
  <c r="M146" i="11"/>
  <c r="N146" i="11"/>
  <c r="P146" i="11"/>
  <c r="V146" i="11"/>
  <c r="U146" i="11"/>
  <c r="V147" i="11"/>
  <c r="M147" i="11"/>
  <c r="N147" i="11"/>
  <c r="P147" i="11"/>
  <c r="U147" i="11"/>
  <c r="V148" i="11"/>
  <c r="M148" i="11"/>
  <c r="U148" i="11"/>
  <c r="N148" i="11"/>
  <c r="P148" i="11"/>
  <c r="P149" i="11"/>
  <c r="M149" i="11"/>
  <c r="N149" i="11"/>
  <c r="U149" i="11"/>
  <c r="V149" i="11"/>
  <c r="N150" i="11"/>
  <c r="P150" i="11"/>
  <c r="V150" i="11"/>
  <c r="M150" i="11"/>
  <c r="U150" i="11"/>
  <c r="AE135" i="11"/>
  <c r="G127" i="21" s="1"/>
  <c r="H127" i="21" s="1"/>
  <c r="AF135" i="11"/>
  <c r="AB135" i="11"/>
  <c r="G126" i="21" s="1"/>
  <c r="H126" i="21" s="1"/>
  <c r="AA135" i="11"/>
  <c r="AD135" i="11"/>
  <c r="AC135" i="11"/>
  <c r="Y135" i="11" s="1"/>
  <c r="AJ135" i="11"/>
  <c r="AE136" i="11"/>
  <c r="G193" i="21" s="1"/>
  <c r="H193" i="21" s="1"/>
  <c r="AF136" i="11"/>
  <c r="AJ136" i="11"/>
  <c r="AB136" i="11"/>
  <c r="G192" i="21" s="1"/>
  <c r="H192" i="21" s="1"/>
  <c r="AA136" i="11"/>
  <c r="G191" i="21" s="1"/>
  <c r="H191" i="21" s="1"/>
  <c r="G44" i="21" s="1"/>
  <c r="H44" i="21" s="1"/>
  <c r="AC136" i="11"/>
  <c r="AD136" i="11"/>
  <c r="AI136" i="11"/>
  <c r="Z136" i="11"/>
  <c r="AF128" i="11"/>
  <c r="AE128" i="11"/>
  <c r="J47" i="20" s="1"/>
  <c r="L47" i="20" s="1"/>
  <c r="AB128" i="11"/>
  <c r="AA128" i="11"/>
  <c r="AI128" i="11"/>
  <c r="AJ128" i="11"/>
  <c r="Z128" i="11"/>
  <c r="J84" i="20" s="1"/>
  <c r="L84" i="20" s="1"/>
  <c r="AC128" i="11"/>
  <c r="AD128" i="11"/>
  <c r="J44" i="20" s="1"/>
  <c r="L44" i="20" s="1"/>
  <c r="AE129" i="11"/>
  <c r="AF129" i="11"/>
  <c r="AB129" i="11"/>
  <c r="AD129" i="11"/>
  <c r="J46" i="20" s="1"/>
  <c r="L46" i="20" s="1"/>
  <c r="AA129" i="11"/>
  <c r="AI129" i="11"/>
  <c r="AJ129" i="11"/>
  <c r="AJ130" i="11"/>
  <c r="AB130" i="11"/>
  <c r="AD130" i="11" s="1"/>
  <c r="J75" i="20" s="1"/>
  <c r="L75" i="20" s="1"/>
  <c r="AA130" i="11"/>
  <c r="AF130" i="11"/>
  <c r="AE130" i="11"/>
  <c r="J89" i="20" s="1"/>
  <c r="L89" i="20" s="1"/>
  <c r="AA131" i="11"/>
  <c r="AB131" i="11"/>
  <c r="AJ131" i="11"/>
  <c r="AE131" i="11"/>
  <c r="AF131" i="11"/>
  <c r="AJ132" i="11"/>
  <c r="AB132" i="11"/>
  <c r="AD132" i="11"/>
  <c r="J93" i="20" s="1"/>
  <c r="L93" i="20" s="1"/>
  <c r="AA132" i="11"/>
  <c r="AE132" i="11"/>
  <c r="J94" i="20" s="1"/>
  <c r="L94" i="20" s="1"/>
  <c r="AF132" i="11"/>
  <c r="AJ133" i="11"/>
  <c r="AA133" i="11"/>
  <c r="AB133" i="11"/>
  <c r="AD133" i="11" s="1"/>
  <c r="AC133" i="11"/>
  <c r="J95" i="20" s="1"/>
  <c r="L95" i="20" s="1"/>
  <c r="AE133" i="11"/>
  <c r="AF133" i="11"/>
  <c r="AD119" i="11"/>
  <c r="AA119" i="11"/>
  <c r="AI119" i="11"/>
  <c r="AB119" i="11"/>
  <c r="AC119" i="11"/>
  <c r="AJ119" i="11"/>
  <c r="AA120" i="11"/>
  <c r="AB120" i="11"/>
  <c r="AC120" i="11"/>
  <c r="AJ120" i="11"/>
  <c r="AD120" i="11"/>
  <c r="AI120" i="11"/>
  <c r="AD121" i="11"/>
  <c r="AI121" i="11"/>
  <c r="AB121" i="11"/>
  <c r="AC121" i="11"/>
  <c r="AJ121" i="11"/>
  <c r="AA121" i="11"/>
  <c r="AA122" i="11"/>
  <c r="AC122" i="11"/>
  <c r="AD122" i="11"/>
  <c r="AJ122" i="11"/>
  <c r="AB122" i="11"/>
  <c r="AI122" i="11"/>
  <c r="AB123" i="11"/>
  <c r="AD123" i="11"/>
  <c r="AI123" i="11"/>
  <c r="AC123" i="11"/>
  <c r="AA123" i="11"/>
  <c r="AJ123" i="11"/>
  <c r="AA124" i="11"/>
  <c r="AB124" i="11"/>
  <c r="AJ124" i="11"/>
  <c r="AD124" i="11"/>
  <c r="AI124" i="11"/>
  <c r="AC124" i="11"/>
  <c r="AA125" i="11"/>
  <c r="AD125" i="11"/>
  <c r="AI125" i="11"/>
  <c r="AB125" i="11"/>
  <c r="AC125" i="11"/>
  <c r="AJ125" i="11"/>
  <c r="AI126" i="11"/>
  <c r="AB126" i="11"/>
  <c r="AC126" i="11"/>
  <c r="AD126" i="11"/>
  <c r="AA126" i="11"/>
  <c r="AJ126" i="11"/>
  <c r="W100" i="11"/>
  <c r="X100" i="11"/>
  <c r="Y100" i="11"/>
  <c r="AD100" i="11"/>
  <c r="AE100" i="11"/>
  <c r="W101" i="11"/>
  <c r="X101" i="11"/>
  <c r="Y101" i="11"/>
  <c r="AD101" i="11"/>
  <c r="AE101" i="11"/>
  <c r="W102" i="11"/>
  <c r="X102" i="11"/>
  <c r="Y102" i="11"/>
  <c r="AD102" i="11"/>
  <c r="AE102" i="11"/>
  <c r="W103" i="11"/>
  <c r="X103" i="11"/>
  <c r="Y103" i="11"/>
  <c r="AD103" i="11"/>
  <c r="AE103" i="11"/>
  <c r="W104" i="11"/>
  <c r="X104" i="11"/>
  <c r="Y104" i="11"/>
  <c r="AD104" i="11"/>
  <c r="AE104" i="11"/>
  <c r="W105" i="11"/>
  <c r="X105" i="11"/>
  <c r="Y105" i="11"/>
  <c r="AD105" i="11"/>
  <c r="AE105" i="11"/>
  <c r="W106" i="11"/>
  <c r="X106" i="11"/>
  <c r="Y106" i="11"/>
  <c r="AD106" i="11"/>
  <c r="AE106" i="11"/>
  <c r="W107" i="11"/>
  <c r="X107" i="11"/>
  <c r="Y107" i="11"/>
  <c r="AD107" i="11"/>
  <c r="AE107" i="11"/>
  <c r="Z93" i="11"/>
  <c r="AA93" i="11"/>
  <c r="G119" i="21" s="1"/>
  <c r="H119" i="21" s="1"/>
  <c r="AF93" i="11"/>
  <c r="AG93" i="11"/>
  <c r="X93" i="11"/>
  <c r="AB93" i="11"/>
  <c r="G120" i="21" s="1"/>
  <c r="H120" i="21" s="1"/>
  <c r="AC93" i="11"/>
  <c r="Z84" i="11"/>
  <c r="AA84" i="11"/>
  <c r="AF84" i="11"/>
  <c r="AG84" i="11"/>
  <c r="Z85" i="11"/>
  <c r="AA85" i="11"/>
  <c r="AF85" i="11"/>
  <c r="AG85" i="11"/>
  <c r="Z86" i="11"/>
  <c r="AA86" i="11"/>
  <c r="AF86" i="11"/>
  <c r="AG86" i="11"/>
  <c r="Z87" i="11"/>
  <c r="AA87" i="11"/>
  <c r="AF87" i="11"/>
  <c r="AG87" i="11"/>
  <c r="Z88" i="11"/>
  <c r="AA88" i="11"/>
  <c r="AF88" i="11"/>
  <c r="AG88" i="11"/>
  <c r="Z89" i="11"/>
  <c r="AA89" i="11"/>
  <c r="AF89" i="11"/>
  <c r="AG89" i="11"/>
  <c r="Z90" i="11"/>
  <c r="AA90" i="11"/>
  <c r="AF90" i="11"/>
  <c r="AG90" i="11"/>
  <c r="Z91" i="11"/>
  <c r="AA91" i="11"/>
  <c r="AF91" i="11"/>
  <c r="AG91" i="11"/>
  <c r="Z77" i="11"/>
  <c r="AA77" i="11"/>
  <c r="G116" i="21" s="1"/>
  <c r="H116" i="21" s="1"/>
  <c r="AB77" i="11"/>
  <c r="AC77" i="11"/>
  <c r="AH77" i="11"/>
  <c r="AI77" i="11"/>
  <c r="X77" i="11"/>
  <c r="AD77" i="11"/>
  <c r="G117" i="21" s="1"/>
  <c r="H117" i="21" s="1"/>
  <c r="AE77" i="11"/>
  <c r="Z72" i="11"/>
  <c r="AA72" i="11"/>
  <c r="J48" i="20" s="1"/>
  <c r="L48" i="20" s="1"/>
  <c r="AB72" i="11"/>
  <c r="AC72" i="11"/>
  <c r="AH72" i="11"/>
  <c r="AI72" i="11"/>
  <c r="X72" i="11"/>
  <c r="K48" i="20" s="1"/>
  <c r="AD72" i="11"/>
  <c r="AE72" i="11"/>
  <c r="AD73" i="11"/>
  <c r="AE73" i="11"/>
  <c r="Z73" i="11"/>
  <c r="AA73" i="11"/>
  <c r="J49" i="20" s="1"/>
  <c r="L49" i="20" s="1"/>
  <c r="AB73" i="11"/>
  <c r="AC73" i="11"/>
  <c r="AH73" i="11"/>
  <c r="AI73" i="11"/>
  <c r="AD74" i="11"/>
  <c r="AE74" i="11"/>
  <c r="Z74" i="11"/>
  <c r="AA74" i="11"/>
  <c r="J50" i="20" s="1"/>
  <c r="L50" i="20" s="1"/>
  <c r="AB74" i="11"/>
  <c r="AC74" i="11"/>
  <c r="AH74" i="11"/>
  <c r="AI74" i="11"/>
  <c r="AD75" i="11"/>
  <c r="AE75" i="11"/>
  <c r="Z75" i="11"/>
  <c r="AA75" i="11"/>
  <c r="J51" i="20" s="1"/>
  <c r="L51" i="20" s="1"/>
  <c r="AB75" i="11"/>
  <c r="AC75" i="11"/>
  <c r="AH75" i="11"/>
  <c r="AI75" i="11"/>
  <c r="Z63" i="11"/>
  <c r="AA63" i="11"/>
  <c r="AB63" i="11"/>
  <c r="AC63" i="11"/>
  <c r="AH63" i="11"/>
  <c r="AI63" i="11"/>
  <c r="Z64" i="11"/>
  <c r="AA64" i="11"/>
  <c r="AB64" i="11"/>
  <c r="AC64" i="11"/>
  <c r="AH64" i="11"/>
  <c r="AI64" i="11"/>
  <c r="Z65" i="11"/>
  <c r="AA65" i="11"/>
  <c r="AB65" i="11"/>
  <c r="AC65" i="11"/>
  <c r="AH65" i="11"/>
  <c r="AI65" i="11"/>
  <c r="Z66" i="11"/>
  <c r="AA66" i="11"/>
  <c r="AB66" i="11"/>
  <c r="AC66" i="11"/>
  <c r="AH66" i="11"/>
  <c r="AI66" i="11"/>
  <c r="Z67" i="11"/>
  <c r="AA67" i="11"/>
  <c r="AB67" i="11"/>
  <c r="AC67" i="11"/>
  <c r="AH67" i="11"/>
  <c r="AI67" i="11"/>
  <c r="Z68" i="11"/>
  <c r="AA68" i="11"/>
  <c r="AB68" i="11"/>
  <c r="AC68" i="11"/>
  <c r="AH68" i="11"/>
  <c r="AI68" i="11"/>
  <c r="Z69" i="11"/>
  <c r="AA69" i="11"/>
  <c r="AB69" i="11"/>
  <c r="AC69" i="11"/>
  <c r="AH69" i="11"/>
  <c r="AI69" i="11"/>
  <c r="Z70" i="11"/>
  <c r="AA70" i="11"/>
  <c r="AB70" i="11"/>
  <c r="AC70" i="11"/>
  <c r="AH70" i="11"/>
  <c r="AI70" i="11"/>
  <c r="W56" i="11"/>
  <c r="AB56" i="11"/>
  <c r="AC56" i="11"/>
  <c r="U56" i="11"/>
  <c r="X56" i="11"/>
  <c r="G114" i="21" s="1"/>
  <c r="H114" i="21" s="1"/>
  <c r="Y56" i="11"/>
  <c r="W47" i="11"/>
  <c r="AB47" i="11"/>
  <c r="AC47" i="11"/>
  <c r="W48" i="11"/>
  <c r="AB48" i="11"/>
  <c r="AC48" i="11"/>
  <c r="W49" i="11"/>
  <c r="AB49" i="11"/>
  <c r="AC49" i="11"/>
  <c r="W50" i="11"/>
  <c r="AB50" i="11"/>
  <c r="AC50" i="11"/>
  <c r="W51" i="11"/>
  <c r="AB51" i="11"/>
  <c r="AC51" i="11"/>
  <c r="W52" i="11"/>
  <c r="AB52" i="11"/>
  <c r="AC52" i="11"/>
  <c r="W53" i="11"/>
  <c r="AB53" i="11"/>
  <c r="AC53" i="11"/>
  <c r="W54" i="11"/>
  <c r="AB54" i="11"/>
  <c r="AC54" i="11"/>
  <c r="W40" i="11"/>
  <c r="G111" i="21" s="1"/>
  <c r="H111" i="21" s="1"/>
  <c r="X40" i="11"/>
  <c r="AC40" i="11"/>
  <c r="AD40" i="11"/>
  <c r="U40" i="11"/>
  <c r="Y40" i="11"/>
  <c r="G112" i="21" s="1"/>
  <c r="H112" i="21" s="1"/>
  <c r="Z40" i="11"/>
  <c r="W31" i="11"/>
  <c r="X31" i="11"/>
  <c r="AC31" i="11"/>
  <c r="AD31" i="11"/>
  <c r="W32" i="11"/>
  <c r="X32" i="11"/>
  <c r="AC32" i="11"/>
  <c r="AD32" i="11"/>
  <c r="W33" i="11"/>
  <c r="X33" i="11"/>
  <c r="AC33" i="11"/>
  <c r="AD33" i="11"/>
  <c r="W34" i="11"/>
  <c r="X34" i="11"/>
  <c r="AC34" i="11"/>
  <c r="AD34" i="11"/>
  <c r="W35" i="11"/>
  <c r="X35" i="11"/>
  <c r="AC35" i="11"/>
  <c r="AD35" i="11"/>
  <c r="W36" i="11"/>
  <c r="X36" i="11"/>
  <c r="AC36" i="11"/>
  <c r="AD36" i="11"/>
  <c r="W37" i="11"/>
  <c r="X37" i="11"/>
  <c r="AC37" i="11"/>
  <c r="AD37" i="11"/>
  <c r="W38" i="11"/>
  <c r="X38" i="11"/>
  <c r="AC38" i="11"/>
  <c r="AD38" i="11"/>
  <c r="AA17" i="11"/>
  <c r="G109" i="21" s="1"/>
  <c r="H109" i="21" s="1"/>
  <c r="AB17" i="11"/>
  <c r="W17" i="11"/>
  <c r="X17" i="11"/>
  <c r="Y17" i="11"/>
  <c r="Z17" i="11"/>
  <c r="G108" i="21" s="1"/>
  <c r="H108" i="21" s="1"/>
  <c r="AE17" i="11"/>
  <c r="AF17" i="11"/>
  <c r="U18" i="11"/>
  <c r="AA18" i="11"/>
  <c r="G128" i="21" s="1"/>
  <c r="H128" i="21" s="1"/>
  <c r="AB18" i="11"/>
  <c r="V18" i="11"/>
  <c r="W18" i="11"/>
  <c r="X18" i="11"/>
  <c r="Y18" i="11"/>
  <c r="Z18" i="11"/>
  <c r="AE18" i="11"/>
  <c r="AF18" i="11"/>
  <c r="U19" i="11"/>
  <c r="AA19" i="11"/>
  <c r="G129" i="21" s="1"/>
  <c r="H129" i="21" s="1"/>
  <c r="AB19" i="11"/>
  <c r="V19" i="11"/>
  <c r="W19" i="11"/>
  <c r="X19" i="11"/>
  <c r="Y19" i="11"/>
  <c r="Z19" i="11"/>
  <c r="AE19" i="11"/>
  <c r="AF19" i="11"/>
  <c r="U20" i="11"/>
  <c r="AA20" i="11"/>
  <c r="G130" i="21" s="1"/>
  <c r="H130" i="21" s="1"/>
  <c r="AB20" i="11"/>
  <c r="V20" i="11"/>
  <c r="W20" i="11"/>
  <c r="X20" i="11"/>
  <c r="Y20" i="11"/>
  <c r="Z20" i="11"/>
  <c r="AE20" i="11"/>
  <c r="AF20" i="11"/>
  <c r="U21" i="11"/>
  <c r="AA21" i="11"/>
  <c r="G183" i="21" s="1"/>
  <c r="H183" i="21" s="1"/>
  <c r="AB21" i="11"/>
  <c r="V21" i="11"/>
  <c r="W21" i="11"/>
  <c r="X21" i="11"/>
  <c r="Y21" i="11"/>
  <c r="Z21" i="11"/>
  <c r="AE21" i="11"/>
  <c r="AF21" i="11"/>
  <c r="V22" i="11"/>
  <c r="W22" i="11"/>
  <c r="G185" i="21" s="1"/>
  <c r="H185" i="21" s="1"/>
  <c r="X22" i="11"/>
  <c r="Y22" i="11"/>
  <c r="Z22" i="11"/>
  <c r="AE22" i="11"/>
  <c r="AF22" i="11"/>
  <c r="U22" i="11"/>
  <c r="AA22" i="11"/>
  <c r="G186" i="21" s="1"/>
  <c r="H186" i="21" s="1"/>
  <c r="AB22" i="11"/>
  <c r="AA23" i="11"/>
  <c r="G188" i="21" s="1"/>
  <c r="H188" i="21" s="1"/>
  <c r="AB23" i="11"/>
  <c r="W23" i="11"/>
  <c r="X23" i="11"/>
  <c r="Y23" i="11"/>
  <c r="Z23" i="11"/>
  <c r="AE23" i="11"/>
  <c r="AF23" i="11"/>
  <c r="U24" i="11"/>
  <c r="AA24" i="11"/>
  <c r="G190" i="21" s="1"/>
  <c r="H190" i="21" s="1"/>
  <c r="AB24" i="11"/>
  <c r="V24" i="11"/>
  <c r="W24" i="11"/>
  <c r="G189" i="21" s="1"/>
  <c r="H189" i="21" s="1"/>
  <c r="X24" i="11"/>
  <c r="Y24" i="11"/>
  <c r="Z24" i="11"/>
  <c r="AE24" i="11"/>
  <c r="AF24" i="11"/>
  <c r="W8" i="11"/>
  <c r="X8" i="11"/>
  <c r="Y8" i="11"/>
  <c r="Z8" i="11"/>
  <c r="AE8" i="11"/>
  <c r="AF8" i="11"/>
  <c r="W9" i="11"/>
  <c r="X9" i="11"/>
  <c r="Y9" i="11"/>
  <c r="Z9" i="11"/>
  <c r="AE9" i="11"/>
  <c r="AF9" i="11"/>
  <c r="W10" i="11"/>
  <c r="X10" i="11"/>
  <c r="Y10" i="11"/>
  <c r="Z10" i="11"/>
  <c r="AE10" i="11"/>
  <c r="AF10" i="11"/>
  <c r="W11" i="11"/>
  <c r="X11" i="11"/>
  <c r="Y11" i="11"/>
  <c r="Z11" i="11"/>
  <c r="AE11" i="11"/>
  <c r="AF11" i="11"/>
  <c r="W12" i="11"/>
  <c r="X12" i="11"/>
  <c r="Y12" i="11"/>
  <c r="Z12" i="11"/>
  <c r="AE12" i="11"/>
  <c r="AF12" i="11"/>
  <c r="W13" i="11"/>
  <c r="X13" i="11"/>
  <c r="Y13" i="11"/>
  <c r="Z13" i="11"/>
  <c r="AE13" i="11"/>
  <c r="AF13" i="11"/>
  <c r="W14" i="11"/>
  <c r="X14" i="11"/>
  <c r="Y14" i="11"/>
  <c r="Z14" i="11"/>
  <c r="AE14" i="11"/>
  <c r="AF14" i="11"/>
  <c r="W15" i="11"/>
  <c r="X15" i="11"/>
  <c r="Y15" i="11"/>
  <c r="Z15" i="11"/>
  <c r="AE15" i="11"/>
  <c r="AF15" i="11"/>
  <c r="V5" i="8"/>
  <c r="Y5" i="8"/>
  <c r="AA5" i="8"/>
  <c r="FF5" i="8" s="1"/>
  <c r="AR5" i="8"/>
  <c r="AS5" i="8"/>
  <c r="AT5" i="8"/>
  <c r="V6" i="8"/>
  <c r="Y6" i="8"/>
  <c r="AA6" i="8"/>
  <c r="FF6" i="8" s="1"/>
  <c r="AR6" i="8"/>
  <c r="AS6" i="8"/>
  <c r="AT6" i="8"/>
  <c r="V7" i="8"/>
  <c r="Y7" i="8"/>
  <c r="AA7" i="8"/>
  <c r="FF7" i="8" s="1"/>
  <c r="AR7" i="8"/>
  <c r="AS7" i="8"/>
  <c r="AT7" i="8"/>
  <c r="V8" i="8"/>
  <c r="Y8" i="8"/>
  <c r="AA8" i="8"/>
  <c r="FF8" i="8" s="1"/>
  <c r="AR8" i="8"/>
  <c r="AS8" i="8"/>
  <c r="AT8" i="8"/>
  <c r="V9" i="8"/>
  <c r="Y9" i="8"/>
  <c r="AA9" i="8"/>
  <c r="FF9" i="8" s="1"/>
  <c r="AR9" i="8"/>
  <c r="AS9" i="8"/>
  <c r="AT9" i="8"/>
  <c r="V10" i="8"/>
  <c r="Y10" i="8"/>
  <c r="AA10" i="8"/>
  <c r="FF10" i="8" s="1"/>
  <c r="AR10" i="8"/>
  <c r="AS10" i="8"/>
  <c r="AT10" i="8"/>
  <c r="V11" i="8"/>
  <c r="Y11" i="8"/>
  <c r="AA11" i="8"/>
  <c r="FF11" i="8" s="1"/>
  <c r="AR11" i="8"/>
  <c r="AS11" i="8"/>
  <c r="AT11" i="8"/>
  <c r="V12" i="8"/>
  <c r="Y12" i="8"/>
  <c r="AA12" i="8"/>
  <c r="FF12" i="8" s="1"/>
  <c r="AR12" i="8"/>
  <c r="AS12" i="8"/>
  <c r="AT12" i="8"/>
  <c r="V13" i="8"/>
  <c r="Y13" i="8"/>
  <c r="AA13" i="8"/>
  <c r="FF13" i="8" s="1"/>
  <c r="AR13" i="8"/>
  <c r="AS13" i="8"/>
  <c r="AT13" i="8"/>
  <c r="V14" i="8"/>
  <c r="Y14" i="8"/>
  <c r="AA14" i="8"/>
  <c r="FF14" i="8" s="1"/>
  <c r="AR14" i="8"/>
  <c r="AS14" i="8"/>
  <c r="AT14" i="8"/>
  <c r="V15" i="8"/>
  <c r="Y15" i="8"/>
  <c r="AA15" i="8"/>
  <c r="FF15" i="8" s="1"/>
  <c r="AR15" i="8"/>
  <c r="AS15" i="8"/>
  <c r="AT15" i="8"/>
  <c r="V16" i="8"/>
  <c r="Y16" i="8"/>
  <c r="AA16" i="8"/>
  <c r="FF16" i="8" s="1"/>
  <c r="AR16" i="8"/>
  <c r="AS16" i="8"/>
  <c r="AT16" i="8"/>
  <c r="V17" i="8"/>
  <c r="Y17" i="8"/>
  <c r="AA17" i="8"/>
  <c r="FF17" i="8" s="1"/>
  <c r="AR17" i="8"/>
  <c r="AS17" i="8"/>
  <c r="AT17" i="8"/>
  <c r="V18" i="8"/>
  <c r="Y18" i="8"/>
  <c r="AA18" i="8"/>
  <c r="FF18" i="8" s="1"/>
  <c r="AR18" i="8"/>
  <c r="AS18" i="8"/>
  <c r="AT18" i="8"/>
  <c r="V19" i="8"/>
  <c r="Y19" i="8"/>
  <c r="AA19" i="8"/>
  <c r="FF19" i="8" s="1"/>
  <c r="AR19" i="8"/>
  <c r="AS19" i="8"/>
  <c r="AT19" i="8"/>
  <c r="V20" i="8"/>
  <c r="Y20" i="8"/>
  <c r="AA20" i="8"/>
  <c r="FF20" i="8" s="1"/>
  <c r="AR20" i="8"/>
  <c r="AS20" i="8"/>
  <c r="AT20" i="8"/>
  <c r="V21" i="8"/>
  <c r="Y21" i="8"/>
  <c r="AA21" i="8"/>
  <c r="FF21" i="8" s="1"/>
  <c r="AR21" i="8"/>
  <c r="AS21" i="8"/>
  <c r="AT21" i="8"/>
  <c r="V22" i="8"/>
  <c r="Y22" i="8"/>
  <c r="AA22" i="8"/>
  <c r="FF22" i="8" s="1"/>
  <c r="AR22" i="8"/>
  <c r="AS22" i="8"/>
  <c r="AT22" i="8"/>
  <c r="V23" i="8"/>
  <c r="Y23" i="8"/>
  <c r="AA23" i="8"/>
  <c r="FF23" i="8" s="1"/>
  <c r="AR23" i="8"/>
  <c r="AS23" i="8"/>
  <c r="AT23" i="8"/>
  <c r="V24" i="8"/>
  <c r="Y24" i="8"/>
  <c r="AA24" i="8"/>
  <c r="FF24" i="8" s="1"/>
  <c r="AR24" i="8"/>
  <c r="AS24" i="8"/>
  <c r="AT24" i="8"/>
  <c r="V25" i="8"/>
  <c r="Y25" i="8"/>
  <c r="AA25" i="8"/>
  <c r="FF25" i="8" s="1"/>
  <c r="AR25" i="8"/>
  <c r="AS25" i="8"/>
  <c r="AT25" i="8"/>
  <c r="V26" i="8"/>
  <c r="Y26" i="8"/>
  <c r="AA26" i="8"/>
  <c r="FF26" i="8" s="1"/>
  <c r="AR26" i="8"/>
  <c r="AS26" i="8"/>
  <c r="AT26" i="8"/>
  <c r="V27" i="8"/>
  <c r="Y27" i="8"/>
  <c r="AA27" i="8"/>
  <c r="FF27" i="8" s="1"/>
  <c r="AR27" i="8"/>
  <c r="AS27" i="8"/>
  <c r="AT27" i="8"/>
  <c r="V28" i="8"/>
  <c r="Y28" i="8"/>
  <c r="AA28" i="8"/>
  <c r="FF28" i="8" s="1"/>
  <c r="AR28" i="8"/>
  <c r="AS28" i="8"/>
  <c r="AT28" i="8"/>
  <c r="V29" i="8"/>
  <c r="Y29" i="8"/>
  <c r="AA29" i="8"/>
  <c r="FF29" i="8" s="1"/>
  <c r="AR29" i="8"/>
  <c r="AS29" i="8"/>
  <c r="AT29" i="8"/>
  <c r="V30" i="8"/>
  <c r="Y30" i="8"/>
  <c r="AA30" i="8"/>
  <c r="FF30" i="8" s="1"/>
  <c r="AR30" i="8"/>
  <c r="AS30" i="8"/>
  <c r="AT30" i="8"/>
  <c r="V31" i="8"/>
  <c r="Y31" i="8"/>
  <c r="AA31" i="8"/>
  <c r="FF31" i="8" s="1"/>
  <c r="AR31" i="8"/>
  <c r="AS31" i="8"/>
  <c r="AT31" i="8"/>
  <c r="V32" i="8"/>
  <c r="Y32" i="8"/>
  <c r="AA32" i="8"/>
  <c r="FF32" i="8" s="1"/>
  <c r="AR32" i="8"/>
  <c r="AS32" i="8"/>
  <c r="AT32" i="8"/>
  <c r="V33" i="8"/>
  <c r="Y33" i="8"/>
  <c r="AA33" i="8"/>
  <c r="FF33" i="8" s="1"/>
  <c r="AR33" i="8"/>
  <c r="AS33" i="8"/>
  <c r="AT33" i="8"/>
  <c r="V34" i="8"/>
  <c r="Y34" i="8"/>
  <c r="AA34" i="8"/>
  <c r="FF34" i="8" s="1"/>
  <c r="AR34" i="8"/>
  <c r="AS34" i="8"/>
  <c r="AT34" i="8"/>
  <c r="V35" i="8"/>
  <c r="Y35" i="8"/>
  <c r="AA35" i="8"/>
  <c r="FF35" i="8" s="1"/>
  <c r="AR35" i="8"/>
  <c r="AS35" i="8"/>
  <c r="AT35" i="8"/>
  <c r="V36" i="8"/>
  <c r="Y36" i="8"/>
  <c r="AA36" i="8"/>
  <c r="FF36" i="8" s="1"/>
  <c r="AR36" i="8"/>
  <c r="AS36" i="8"/>
  <c r="AT36" i="8"/>
  <c r="V37" i="8"/>
  <c r="Y37" i="8"/>
  <c r="AA37" i="8"/>
  <c r="FF37" i="8" s="1"/>
  <c r="AR37" i="8"/>
  <c r="AS37" i="8"/>
  <c r="AT37" i="8"/>
  <c r="V38" i="8"/>
  <c r="Y38" i="8"/>
  <c r="AA38" i="8"/>
  <c r="FF38" i="8" s="1"/>
  <c r="AR38" i="8"/>
  <c r="AS38" i="8"/>
  <c r="AT38" i="8"/>
  <c r="V39" i="8"/>
  <c r="Y39" i="8"/>
  <c r="AA39" i="8"/>
  <c r="FF39" i="8" s="1"/>
  <c r="AR39" i="8"/>
  <c r="AS39" i="8"/>
  <c r="AT39" i="8"/>
  <c r="V40" i="8"/>
  <c r="Y40" i="8"/>
  <c r="AA40" i="8"/>
  <c r="FF40" i="8" s="1"/>
  <c r="AR40" i="8"/>
  <c r="AS40" i="8"/>
  <c r="AT40" i="8"/>
  <c r="V41" i="8"/>
  <c r="Y41" i="8"/>
  <c r="AA41" i="8"/>
  <c r="FF41" i="8" s="1"/>
  <c r="AR41" i="8"/>
  <c r="AS41" i="8"/>
  <c r="AT41" i="8"/>
  <c r="V42" i="8"/>
  <c r="Y42" i="8"/>
  <c r="AA42" i="8"/>
  <c r="FF42" i="8" s="1"/>
  <c r="AR42" i="8"/>
  <c r="AS42" i="8"/>
  <c r="AT42" i="8"/>
  <c r="V43" i="8"/>
  <c r="Y43" i="8"/>
  <c r="AA43" i="8"/>
  <c r="FF43" i="8" s="1"/>
  <c r="AR43" i="8"/>
  <c r="AS43" i="8"/>
  <c r="AT43" i="8"/>
  <c r="V44" i="8"/>
  <c r="Y44" i="8"/>
  <c r="AA44" i="8"/>
  <c r="FF44" i="8" s="1"/>
  <c r="AR44" i="8"/>
  <c r="AS44" i="8"/>
  <c r="AT44" i="8"/>
  <c r="CZ33" i="8"/>
  <c r="DA33" i="8"/>
  <c r="DB33" i="8"/>
  <c r="DC33" i="8"/>
  <c r="DD33" i="8"/>
  <c r="DE33" i="8"/>
  <c r="DF33" i="8"/>
  <c r="DG33" i="8"/>
  <c r="DH33" i="8"/>
  <c r="DI33" i="8"/>
  <c r="DJ33" i="8"/>
  <c r="DK33" i="8"/>
  <c r="DL33" i="8"/>
  <c r="AL33" i="8"/>
  <c r="AM33" i="8"/>
  <c r="CZ34" i="8"/>
  <c r="DA34" i="8"/>
  <c r="DB34" i="8"/>
  <c r="DC34" i="8"/>
  <c r="DD34" i="8"/>
  <c r="DE34" i="8"/>
  <c r="DF34" i="8"/>
  <c r="DG34" i="8"/>
  <c r="DH34" i="8"/>
  <c r="DI34" i="8"/>
  <c r="DJ34" i="8"/>
  <c r="DK34" i="8"/>
  <c r="DL34" i="8"/>
  <c r="AL34" i="8"/>
  <c r="AM34" i="8"/>
  <c r="CZ35" i="8"/>
  <c r="DA35" i="8"/>
  <c r="DB35" i="8"/>
  <c r="DC35" i="8"/>
  <c r="DD35" i="8"/>
  <c r="DE35" i="8"/>
  <c r="DF35" i="8"/>
  <c r="DG35" i="8"/>
  <c r="DH35" i="8"/>
  <c r="DI35" i="8"/>
  <c r="DJ35" i="8"/>
  <c r="DK35" i="8"/>
  <c r="DL35" i="8"/>
  <c r="AL35" i="8"/>
  <c r="AM35" i="8"/>
  <c r="CZ36" i="8"/>
  <c r="DA36" i="8"/>
  <c r="DB36" i="8"/>
  <c r="DC36" i="8"/>
  <c r="DD36" i="8"/>
  <c r="DE36" i="8"/>
  <c r="DF36" i="8"/>
  <c r="DG36" i="8"/>
  <c r="DH36" i="8"/>
  <c r="DI36" i="8"/>
  <c r="DJ36" i="8"/>
  <c r="DK36" i="8"/>
  <c r="DL36" i="8"/>
  <c r="AL36" i="8"/>
  <c r="AM36" i="8"/>
  <c r="CZ37" i="8"/>
  <c r="DA37" i="8"/>
  <c r="DB37" i="8"/>
  <c r="DC37" i="8"/>
  <c r="DD37" i="8"/>
  <c r="DE37" i="8"/>
  <c r="DF37" i="8"/>
  <c r="DG37" i="8"/>
  <c r="DH37" i="8"/>
  <c r="DI37" i="8"/>
  <c r="DJ37" i="8"/>
  <c r="DK37" i="8"/>
  <c r="DL37" i="8"/>
  <c r="AL37" i="8"/>
  <c r="AM37" i="8"/>
  <c r="CZ38" i="8"/>
  <c r="DA38" i="8"/>
  <c r="DB38" i="8"/>
  <c r="DC38" i="8"/>
  <c r="DD38" i="8"/>
  <c r="DE38" i="8"/>
  <c r="DF38" i="8"/>
  <c r="DG38" i="8"/>
  <c r="DH38" i="8"/>
  <c r="DI38" i="8"/>
  <c r="DJ38" i="8"/>
  <c r="DK38" i="8"/>
  <c r="DL38" i="8"/>
  <c r="AL38" i="8"/>
  <c r="AM38" i="8"/>
  <c r="CZ39" i="8"/>
  <c r="DA39" i="8"/>
  <c r="DB39" i="8"/>
  <c r="DC39" i="8"/>
  <c r="DD39" i="8"/>
  <c r="DE39" i="8"/>
  <c r="DF39" i="8"/>
  <c r="DG39" i="8"/>
  <c r="DH39" i="8"/>
  <c r="DI39" i="8"/>
  <c r="DJ39" i="8"/>
  <c r="DK39" i="8"/>
  <c r="DL39" i="8"/>
  <c r="AL39" i="8"/>
  <c r="AM39" i="8"/>
  <c r="CZ40" i="8"/>
  <c r="DA40" i="8"/>
  <c r="DB40" i="8"/>
  <c r="DC40" i="8"/>
  <c r="DD40" i="8"/>
  <c r="DE40" i="8"/>
  <c r="DF40" i="8"/>
  <c r="DG40" i="8"/>
  <c r="DH40" i="8"/>
  <c r="DI40" i="8"/>
  <c r="DJ40" i="8"/>
  <c r="DK40" i="8"/>
  <c r="DL40" i="8"/>
  <c r="AL40" i="8"/>
  <c r="AM40" i="8"/>
  <c r="CZ41" i="8"/>
  <c r="DA41" i="8"/>
  <c r="DB41" i="8"/>
  <c r="DC41" i="8"/>
  <c r="DD41" i="8"/>
  <c r="DE41" i="8"/>
  <c r="DF41" i="8"/>
  <c r="DG41" i="8"/>
  <c r="DH41" i="8"/>
  <c r="DI41" i="8"/>
  <c r="DJ41" i="8"/>
  <c r="DK41" i="8"/>
  <c r="DL41" i="8"/>
  <c r="AL41" i="8"/>
  <c r="AM41" i="8"/>
  <c r="CZ42" i="8"/>
  <c r="DA42" i="8"/>
  <c r="DB42" i="8"/>
  <c r="DC42" i="8"/>
  <c r="DD42" i="8"/>
  <c r="DE42" i="8"/>
  <c r="DF42" i="8"/>
  <c r="DG42" i="8"/>
  <c r="DH42" i="8"/>
  <c r="DI42" i="8"/>
  <c r="DJ42" i="8"/>
  <c r="DK42" i="8"/>
  <c r="DL42" i="8"/>
  <c r="AL42" i="8"/>
  <c r="AM42" i="8"/>
  <c r="CZ43" i="8"/>
  <c r="DA43" i="8"/>
  <c r="DB43" i="8"/>
  <c r="DC43" i="8"/>
  <c r="DD43" i="8"/>
  <c r="DE43" i="8"/>
  <c r="DF43" i="8"/>
  <c r="DG43" i="8"/>
  <c r="DH43" i="8"/>
  <c r="DI43" i="8"/>
  <c r="DJ43" i="8"/>
  <c r="DK43" i="8"/>
  <c r="DL43" i="8"/>
  <c r="AL43" i="8"/>
  <c r="AM43" i="8"/>
  <c r="CZ44" i="8"/>
  <c r="DA44" i="8"/>
  <c r="DB44" i="8"/>
  <c r="DC44" i="8"/>
  <c r="DD44" i="8"/>
  <c r="DE44" i="8"/>
  <c r="DF44" i="8"/>
  <c r="DG44" i="8"/>
  <c r="DH44" i="8"/>
  <c r="DI44" i="8"/>
  <c r="DJ44" i="8"/>
  <c r="DK44" i="8"/>
  <c r="DL44" i="8"/>
  <c r="AL44" i="8"/>
  <c r="AM44" i="8"/>
  <c r="BX5" i="8"/>
  <c r="BD5" i="8"/>
  <c r="BE5" i="8"/>
  <c r="AK5" i="8"/>
  <c r="BX6" i="8"/>
  <c r="BD6" i="8"/>
  <c r="BE6" i="8"/>
  <c r="AK6" i="8"/>
  <c r="BX7" i="8"/>
  <c r="BD7" i="8"/>
  <c r="BE7" i="8"/>
  <c r="AK7" i="8"/>
  <c r="BX8" i="8"/>
  <c r="BD8" i="8"/>
  <c r="BE8" i="8"/>
  <c r="AK8" i="8"/>
  <c r="BX9" i="8"/>
  <c r="BD9" i="8"/>
  <c r="BE9" i="8"/>
  <c r="AK9" i="8"/>
  <c r="BX10" i="8"/>
  <c r="BD10" i="8"/>
  <c r="BE10" i="8"/>
  <c r="AK10" i="8"/>
  <c r="BX11" i="8"/>
  <c r="BD11" i="8"/>
  <c r="BE11" i="8"/>
  <c r="AK11" i="8"/>
  <c r="BX12" i="8"/>
  <c r="BD12" i="8"/>
  <c r="BE12" i="8"/>
  <c r="AK12" i="8"/>
  <c r="BX13" i="8"/>
  <c r="BD13" i="8"/>
  <c r="BE13" i="8"/>
  <c r="AK13" i="8"/>
  <c r="BX14" i="8"/>
  <c r="BD14" i="8"/>
  <c r="BE14" i="8"/>
  <c r="AK14" i="8"/>
  <c r="BE15" i="8"/>
  <c r="AK15" i="8"/>
  <c r="BX15" i="8"/>
  <c r="BD15" i="8"/>
  <c r="BE16" i="8"/>
  <c r="AK16" i="8"/>
  <c r="BX16" i="8"/>
  <c r="BD16" i="8"/>
  <c r="BE17" i="8"/>
  <c r="AK17" i="8"/>
  <c r="BX17" i="8"/>
  <c r="BD17" i="8"/>
  <c r="BX18" i="8"/>
  <c r="BD18" i="8"/>
  <c r="BE18" i="8"/>
  <c r="AK18" i="8"/>
  <c r="BE19" i="8"/>
  <c r="AK19" i="8"/>
  <c r="BX19" i="8"/>
  <c r="BD19" i="8"/>
  <c r="BX20" i="8"/>
  <c r="BD20" i="8"/>
  <c r="BE20" i="8"/>
  <c r="AK20" i="8"/>
  <c r="BE21" i="8"/>
  <c r="AK21" i="8"/>
  <c r="BX21" i="8"/>
  <c r="BD21" i="8"/>
  <c r="BE22" i="8"/>
  <c r="AK22" i="8"/>
  <c r="BX22" i="8"/>
  <c r="BD22" i="8"/>
  <c r="BE23" i="8"/>
  <c r="AK23" i="8"/>
  <c r="BX23" i="8"/>
  <c r="BD23" i="8"/>
  <c r="BX24" i="8"/>
  <c r="BD24" i="8"/>
  <c r="BE24" i="8"/>
  <c r="AK24" i="8"/>
  <c r="BX25" i="8"/>
  <c r="BD25" i="8"/>
  <c r="BE25" i="8"/>
  <c r="AK25" i="8"/>
  <c r="BX26" i="8"/>
  <c r="BD26" i="8"/>
  <c r="BE26" i="8"/>
  <c r="AK26" i="8"/>
  <c r="BX27" i="8"/>
  <c r="BD27" i="8"/>
  <c r="BE27" i="8"/>
  <c r="AK27" i="8"/>
  <c r="BX28" i="8"/>
  <c r="BD28" i="8"/>
  <c r="BE28" i="8"/>
  <c r="AK28" i="8"/>
  <c r="BX29" i="8"/>
  <c r="BD29" i="8"/>
  <c r="BE29" i="8"/>
  <c r="AK29" i="8"/>
  <c r="BE30" i="8"/>
  <c r="AK30" i="8"/>
  <c r="BX30" i="8"/>
  <c r="BD30" i="8"/>
  <c r="BE31" i="8"/>
  <c r="AK31" i="8"/>
  <c r="BX31" i="8"/>
  <c r="BD31" i="8"/>
  <c r="BE32" i="8"/>
  <c r="AK32" i="8"/>
  <c r="BX32" i="8"/>
  <c r="BD32" i="8"/>
  <c r="BE33" i="8"/>
  <c r="AK33" i="8"/>
  <c r="BX33" i="8"/>
  <c r="BD33" i="8"/>
  <c r="BE34" i="8"/>
  <c r="AK34" i="8"/>
  <c r="BX34" i="8"/>
  <c r="BD34" i="8"/>
  <c r="BE35" i="8"/>
  <c r="AK35" i="8"/>
  <c r="BX35" i="8"/>
  <c r="BD35" i="8"/>
  <c r="BE36" i="8"/>
  <c r="AK36" i="8"/>
  <c r="BX36" i="8"/>
  <c r="BD36" i="8"/>
  <c r="BX37" i="8"/>
  <c r="BD37" i="8"/>
  <c r="BE37" i="8"/>
  <c r="AK37" i="8"/>
  <c r="BX38" i="8"/>
  <c r="BD38" i="8"/>
  <c r="BE38" i="8"/>
  <c r="AK38" i="8"/>
  <c r="BX39" i="8"/>
  <c r="BD39" i="8"/>
  <c r="BE39" i="8"/>
  <c r="AK39" i="8"/>
  <c r="BE40" i="8"/>
  <c r="AK40" i="8"/>
  <c r="BX40" i="8"/>
  <c r="BD40" i="8"/>
  <c r="BX41" i="8"/>
  <c r="BD41" i="8"/>
  <c r="BE41" i="8"/>
  <c r="AK41" i="8"/>
  <c r="BX42" i="8"/>
  <c r="BD42" i="8"/>
  <c r="BE42" i="8"/>
  <c r="AK42" i="8"/>
  <c r="BX43" i="8"/>
  <c r="BD43" i="8"/>
  <c r="BE43" i="8"/>
  <c r="AK43" i="8"/>
  <c r="BE44" i="8"/>
  <c r="AK44" i="8"/>
  <c r="BX44" i="8"/>
  <c r="BD44" i="8"/>
  <c r="BB78" i="8"/>
  <c r="BC78" i="8"/>
  <c r="AP78" i="8"/>
  <c r="AQ78" i="8"/>
  <c r="BE78" i="8" s="1"/>
  <c r="BB79" i="8"/>
  <c r="BC79" i="8"/>
  <c r="AP79" i="8"/>
  <c r="AQ79" i="8"/>
  <c r="BE79" i="8" s="1"/>
  <c r="BB80" i="8"/>
  <c r="BC80" i="8"/>
  <c r="AP80" i="8"/>
  <c r="AQ80" i="8"/>
  <c r="BE80" i="8" s="1"/>
  <c r="BB81" i="8"/>
  <c r="BC81" i="8"/>
  <c r="AP81" i="8"/>
  <c r="AQ81" i="8"/>
  <c r="BE81" i="8" s="1"/>
  <c r="BB82" i="8"/>
  <c r="BC82" i="8"/>
  <c r="AP82" i="8"/>
  <c r="AQ82" i="8"/>
  <c r="BE82" i="8" s="1"/>
  <c r="BB83" i="8"/>
  <c r="BC83" i="8"/>
  <c r="AP83" i="8"/>
  <c r="AQ83" i="8"/>
  <c r="BE83" i="8" s="1"/>
  <c r="BB84" i="8"/>
  <c r="BC84" i="8"/>
  <c r="AP84" i="8"/>
  <c r="AQ84" i="8"/>
  <c r="BE84" i="8" s="1"/>
  <c r="BB85" i="8"/>
  <c r="BC85" i="8"/>
  <c r="AP85" i="8"/>
  <c r="AQ85" i="8"/>
  <c r="BE85" i="8" s="1"/>
  <c r="BB86" i="8"/>
  <c r="BC86" i="8"/>
  <c r="AP86" i="8"/>
  <c r="AQ86" i="8"/>
  <c r="BE86" i="8" s="1"/>
  <c r="BB87" i="8"/>
  <c r="BC87" i="8"/>
  <c r="AP87" i="8"/>
  <c r="AQ87" i="8"/>
  <c r="BE87" i="8" s="1"/>
  <c r="BB88" i="8"/>
  <c r="BC88" i="8"/>
  <c r="AP88" i="8"/>
  <c r="AQ88" i="8"/>
  <c r="BE88" i="8" s="1"/>
  <c r="BB89" i="8"/>
  <c r="BC89" i="8"/>
  <c r="AP89" i="8"/>
  <c r="AQ89" i="8"/>
  <c r="BE89" i="8" s="1"/>
  <c r="BB90" i="8"/>
  <c r="BC90" i="8"/>
  <c r="AP90" i="8"/>
  <c r="AQ90" i="8"/>
  <c r="BE90" i="8" s="1"/>
  <c r="BB91" i="8"/>
  <c r="BC91" i="8"/>
  <c r="AP91" i="8"/>
  <c r="AQ91" i="8"/>
  <c r="BE91" i="8" s="1"/>
  <c r="BB92" i="8"/>
  <c r="BC92" i="8"/>
  <c r="AP92" i="8"/>
  <c r="AQ92" i="8"/>
  <c r="BE92" i="8" s="1"/>
  <c r="BB93" i="8"/>
  <c r="BC93" i="8"/>
  <c r="AP93" i="8"/>
  <c r="AQ93" i="8"/>
  <c r="BE93" i="8" s="1"/>
  <c r="BB94" i="8"/>
  <c r="BC94" i="8"/>
  <c r="AP94" i="8"/>
  <c r="AQ94" i="8"/>
  <c r="BE94" i="8" s="1"/>
  <c r="BB95" i="8"/>
  <c r="BC95" i="8"/>
  <c r="AP95" i="8"/>
  <c r="AQ95" i="8"/>
  <c r="BE95" i="8" s="1"/>
  <c r="BB96" i="8"/>
  <c r="BC96" i="8"/>
  <c r="AP96" i="8"/>
  <c r="AQ96" i="8"/>
  <c r="BE96" i="8" s="1"/>
  <c r="BB97" i="8"/>
  <c r="BC97" i="8"/>
  <c r="AP97" i="8"/>
  <c r="AQ97" i="8"/>
  <c r="BE97" i="8" s="1"/>
  <c r="BB98" i="8"/>
  <c r="BC98" i="8"/>
  <c r="AP98" i="8"/>
  <c r="AQ98" i="8"/>
  <c r="BE98" i="8" s="1"/>
  <c r="BB99" i="8"/>
  <c r="BC99" i="8"/>
  <c r="AP99" i="8"/>
  <c r="AQ99" i="8"/>
  <c r="BE99" i="8" s="1"/>
  <c r="BB100" i="8"/>
  <c r="BC100" i="8"/>
  <c r="AP100" i="8"/>
  <c r="AQ100" i="8"/>
  <c r="BB101" i="8"/>
  <c r="BC101" i="8"/>
  <c r="AP101" i="8"/>
  <c r="AQ101" i="8"/>
  <c r="BB102" i="8"/>
  <c r="BC102" i="8"/>
  <c r="AP102" i="8"/>
  <c r="AQ102" i="8"/>
  <c r="BB103" i="8"/>
  <c r="BC103" i="8"/>
  <c r="AP103" i="8"/>
  <c r="AQ103" i="8"/>
  <c r="BE103" i="8" s="1"/>
  <c r="BB46" i="8"/>
  <c r="BC46" i="8"/>
  <c r="AP46" i="8"/>
  <c r="AQ46" i="8"/>
  <c r="BE46" i="8" s="1"/>
  <c r="AZ46" i="8"/>
  <c r="BB47" i="8"/>
  <c r="BC47" i="8"/>
  <c r="AP47" i="8"/>
  <c r="AQ47" i="8"/>
  <c r="BE47" i="8" s="1"/>
  <c r="BB48" i="8"/>
  <c r="BC48" i="8"/>
  <c r="AP48" i="8"/>
  <c r="AQ48" i="8"/>
  <c r="BE48" i="8" s="1"/>
  <c r="BB49" i="8"/>
  <c r="BC49" i="8"/>
  <c r="AP49" i="8"/>
  <c r="AQ49" i="8"/>
  <c r="BE49" i="8" s="1"/>
  <c r="BB50" i="8"/>
  <c r="BC50" i="8"/>
  <c r="AP50" i="8"/>
  <c r="AQ50" i="8"/>
  <c r="BE50" i="8" s="1"/>
  <c r="BB51" i="8"/>
  <c r="BC51" i="8"/>
  <c r="AP51" i="8"/>
  <c r="AQ51" i="8"/>
  <c r="BE51" i="8" s="1"/>
  <c r="BB52" i="8"/>
  <c r="BC52" i="8"/>
  <c r="AP52" i="8"/>
  <c r="AQ52" i="8"/>
  <c r="BE52" i="8" s="1"/>
  <c r="BB53" i="8"/>
  <c r="BC53" i="8"/>
  <c r="AP53" i="8"/>
  <c r="AQ53" i="8"/>
  <c r="BE53" i="8" s="1"/>
  <c r="BB54" i="8"/>
  <c r="BC54" i="8"/>
  <c r="AP54" i="8"/>
  <c r="AQ54" i="8"/>
  <c r="BE54" i="8" s="1"/>
  <c r="BB55" i="8"/>
  <c r="BC55" i="8"/>
  <c r="AP55" i="8"/>
  <c r="AQ55" i="8"/>
  <c r="BE55" i="8" s="1"/>
  <c r="BB56" i="8"/>
  <c r="BC56" i="8"/>
  <c r="AP56" i="8"/>
  <c r="AQ56" i="8"/>
  <c r="BE56" i="8" s="1"/>
  <c r="BB57" i="8"/>
  <c r="BC57" i="8"/>
  <c r="AP57" i="8"/>
  <c r="AQ57" i="8"/>
  <c r="BE57" i="8" s="1"/>
  <c r="BB58" i="8"/>
  <c r="BC58" i="8"/>
  <c r="AP58" i="8"/>
  <c r="AQ58" i="8"/>
  <c r="BE58" i="8" s="1"/>
  <c r="BB59" i="8"/>
  <c r="BC59" i="8"/>
  <c r="AP59" i="8"/>
  <c r="AQ59" i="8"/>
  <c r="BE59" i="8" s="1"/>
  <c r="BB60" i="8"/>
  <c r="BC60" i="8"/>
  <c r="AP60" i="8"/>
  <c r="AQ60" i="8"/>
  <c r="BE60" i="8" s="1"/>
  <c r="BB61" i="8"/>
  <c r="BC61" i="8"/>
  <c r="AP61" i="8"/>
  <c r="AQ61" i="8"/>
  <c r="BE61" i="8" s="1"/>
  <c r="BB62" i="8"/>
  <c r="BC62" i="8"/>
  <c r="AP62" i="8"/>
  <c r="AQ62" i="8"/>
  <c r="BE62" i="8" s="1"/>
  <c r="BB63" i="8"/>
  <c r="BC63" i="8"/>
  <c r="AP63" i="8"/>
  <c r="AQ63" i="8"/>
  <c r="BE63" i="8" s="1"/>
  <c r="BB64" i="8"/>
  <c r="BC64" i="8"/>
  <c r="AP64" i="8"/>
  <c r="AQ64" i="8"/>
  <c r="BE64" i="8" s="1"/>
  <c r="BB65" i="8"/>
  <c r="BC65" i="8"/>
  <c r="AP65" i="8"/>
  <c r="AQ65" i="8"/>
  <c r="BE65" i="8" s="1"/>
  <c r="BB66" i="8"/>
  <c r="BC66" i="8"/>
  <c r="AP66" i="8"/>
  <c r="AQ66" i="8"/>
  <c r="BE66" i="8" s="1"/>
  <c r="BB67" i="8"/>
  <c r="BC67" i="8"/>
  <c r="AP67" i="8"/>
  <c r="AQ67" i="8"/>
  <c r="BE67" i="8" s="1"/>
  <c r="BB68" i="8"/>
  <c r="BC68" i="8"/>
  <c r="AP68" i="8"/>
  <c r="AQ68" i="8"/>
  <c r="BE68" i="8" s="1"/>
  <c r="BB69" i="8"/>
  <c r="BC69" i="8"/>
  <c r="AP69" i="8"/>
  <c r="AQ69" i="8"/>
  <c r="BE69" i="8" s="1"/>
  <c r="BB70" i="8"/>
  <c r="BC70" i="8"/>
  <c r="AP70" i="8"/>
  <c r="AQ70" i="8"/>
  <c r="BE70" i="8" s="1"/>
  <c r="BB71" i="8"/>
  <c r="BC71" i="8"/>
  <c r="AP71" i="8"/>
  <c r="AQ71" i="8"/>
  <c r="BE71" i="8" s="1"/>
  <c r="BB72" i="8"/>
  <c r="BC72" i="8"/>
  <c r="AP72" i="8"/>
  <c r="AQ72" i="8"/>
  <c r="BE72" i="8" s="1"/>
  <c r="BB73" i="8"/>
  <c r="BC73" i="8"/>
  <c r="AP73" i="8"/>
  <c r="AQ73" i="8"/>
  <c r="BE73" i="8" s="1"/>
  <c r="BB74" i="8"/>
  <c r="BC74" i="8"/>
  <c r="AP74" i="8"/>
  <c r="AQ74" i="8"/>
  <c r="BE74" i="8" s="1"/>
  <c r="BB75" i="8"/>
  <c r="BC75" i="8"/>
  <c r="AP75" i="8"/>
  <c r="AQ75" i="8"/>
  <c r="BE75" i="8" s="1"/>
  <c r="BB76" i="8"/>
  <c r="BC76" i="8"/>
  <c r="AP76" i="8"/>
  <c r="AQ76" i="8"/>
  <c r="BE76" i="8" s="1"/>
  <c r="CZ5" i="8"/>
  <c r="DA5" i="8"/>
  <c r="DB5" i="8"/>
  <c r="DC5" i="8"/>
  <c r="DD5" i="8"/>
  <c r="DE5" i="8"/>
  <c r="DF5" i="8"/>
  <c r="DG5" i="8"/>
  <c r="DH5" i="8"/>
  <c r="DI5" i="8"/>
  <c r="DJ5" i="8"/>
  <c r="DK5" i="8"/>
  <c r="DL5" i="8"/>
  <c r="AL5" i="8"/>
  <c r="AM5" i="8"/>
  <c r="CZ6" i="8"/>
  <c r="DA6" i="8"/>
  <c r="DB6" i="8"/>
  <c r="DC6" i="8"/>
  <c r="DD6" i="8"/>
  <c r="DE6" i="8"/>
  <c r="DF6" i="8"/>
  <c r="DG6" i="8"/>
  <c r="DH6" i="8"/>
  <c r="DI6" i="8"/>
  <c r="DJ6" i="8"/>
  <c r="DK6" i="8"/>
  <c r="DL6" i="8"/>
  <c r="AL6" i="8"/>
  <c r="AM6" i="8"/>
  <c r="CZ7" i="8"/>
  <c r="DA7" i="8"/>
  <c r="DB7" i="8"/>
  <c r="DC7" i="8"/>
  <c r="DD7" i="8"/>
  <c r="DE7" i="8"/>
  <c r="DF7" i="8"/>
  <c r="DG7" i="8"/>
  <c r="DH7" i="8"/>
  <c r="DI7" i="8"/>
  <c r="DJ7" i="8"/>
  <c r="DK7" i="8"/>
  <c r="DL7" i="8"/>
  <c r="AL7" i="8"/>
  <c r="AM7" i="8"/>
  <c r="CZ8" i="8"/>
  <c r="DA8" i="8"/>
  <c r="DB8" i="8"/>
  <c r="DC8" i="8"/>
  <c r="DD8" i="8"/>
  <c r="DE8" i="8"/>
  <c r="DF8" i="8"/>
  <c r="DG8" i="8"/>
  <c r="DH8" i="8"/>
  <c r="DI8" i="8"/>
  <c r="DJ8" i="8"/>
  <c r="DK8" i="8"/>
  <c r="DL8" i="8"/>
  <c r="AL8" i="8"/>
  <c r="AM8" i="8"/>
  <c r="CZ9" i="8"/>
  <c r="DA9" i="8"/>
  <c r="DB9" i="8"/>
  <c r="DC9" i="8"/>
  <c r="DD9" i="8"/>
  <c r="DE9" i="8"/>
  <c r="DF9" i="8"/>
  <c r="DG9" i="8"/>
  <c r="DH9" i="8"/>
  <c r="DI9" i="8"/>
  <c r="DJ9" i="8"/>
  <c r="DK9" i="8"/>
  <c r="DL9" i="8"/>
  <c r="AL9" i="8"/>
  <c r="AM9" i="8"/>
  <c r="CZ10" i="8"/>
  <c r="DA10" i="8"/>
  <c r="DB10" i="8"/>
  <c r="DC10" i="8"/>
  <c r="DD10" i="8"/>
  <c r="DE10" i="8"/>
  <c r="DF10" i="8"/>
  <c r="DG10" i="8"/>
  <c r="DH10" i="8"/>
  <c r="DI10" i="8"/>
  <c r="DJ10" i="8"/>
  <c r="DK10" i="8"/>
  <c r="DL10" i="8"/>
  <c r="AL10" i="8"/>
  <c r="AM10" i="8"/>
  <c r="CZ11" i="8"/>
  <c r="DA11" i="8"/>
  <c r="DB11" i="8"/>
  <c r="DC11" i="8"/>
  <c r="DD11" i="8"/>
  <c r="DE11" i="8"/>
  <c r="DF11" i="8"/>
  <c r="DG11" i="8"/>
  <c r="DH11" i="8"/>
  <c r="DI11" i="8"/>
  <c r="DJ11" i="8"/>
  <c r="DK11" i="8"/>
  <c r="DL11" i="8"/>
  <c r="AL11" i="8"/>
  <c r="AM11" i="8"/>
  <c r="CZ12" i="8"/>
  <c r="DA12" i="8"/>
  <c r="DB12" i="8"/>
  <c r="DC12" i="8"/>
  <c r="DD12" i="8"/>
  <c r="DE12" i="8"/>
  <c r="DF12" i="8"/>
  <c r="DG12" i="8"/>
  <c r="DH12" i="8"/>
  <c r="DI12" i="8"/>
  <c r="DJ12" i="8"/>
  <c r="DK12" i="8"/>
  <c r="DL12" i="8"/>
  <c r="AL12" i="8"/>
  <c r="AM12" i="8"/>
  <c r="CZ13" i="8"/>
  <c r="DA13" i="8"/>
  <c r="DB13" i="8"/>
  <c r="DC13" i="8"/>
  <c r="DD13" i="8"/>
  <c r="DE13" i="8"/>
  <c r="DF13" i="8"/>
  <c r="DG13" i="8"/>
  <c r="DH13" i="8"/>
  <c r="DI13" i="8"/>
  <c r="DJ13" i="8"/>
  <c r="DK13" i="8"/>
  <c r="DL13" i="8"/>
  <c r="AL13" i="8"/>
  <c r="AM13" i="8"/>
  <c r="CZ14" i="8"/>
  <c r="DA14" i="8"/>
  <c r="DB14" i="8"/>
  <c r="DC14" i="8"/>
  <c r="DD14" i="8"/>
  <c r="DE14" i="8"/>
  <c r="DF14" i="8"/>
  <c r="DG14" i="8"/>
  <c r="DH14" i="8"/>
  <c r="DI14" i="8"/>
  <c r="DJ14" i="8"/>
  <c r="DK14" i="8"/>
  <c r="DL14" i="8"/>
  <c r="AL14" i="8"/>
  <c r="AM14" i="8"/>
  <c r="CZ15" i="8"/>
  <c r="DA15" i="8"/>
  <c r="DB15" i="8"/>
  <c r="DC15" i="8"/>
  <c r="DD15" i="8"/>
  <c r="DE15" i="8"/>
  <c r="DF15" i="8"/>
  <c r="DG15" i="8"/>
  <c r="DH15" i="8"/>
  <c r="DI15" i="8"/>
  <c r="DJ15" i="8"/>
  <c r="DK15" i="8"/>
  <c r="DL15" i="8"/>
  <c r="AL15" i="8"/>
  <c r="AM15" i="8"/>
  <c r="CZ16" i="8"/>
  <c r="DA16" i="8"/>
  <c r="DB16" i="8"/>
  <c r="DC16" i="8"/>
  <c r="DD16" i="8"/>
  <c r="DE16" i="8"/>
  <c r="DF16" i="8"/>
  <c r="DG16" i="8"/>
  <c r="DH16" i="8"/>
  <c r="DI16" i="8"/>
  <c r="DJ16" i="8"/>
  <c r="DK16" i="8"/>
  <c r="DL16" i="8"/>
  <c r="AL16" i="8"/>
  <c r="AM16" i="8"/>
  <c r="CZ17" i="8"/>
  <c r="DA17" i="8"/>
  <c r="DB17" i="8"/>
  <c r="DC17" i="8"/>
  <c r="DD17" i="8"/>
  <c r="DE17" i="8"/>
  <c r="DF17" i="8"/>
  <c r="DG17" i="8"/>
  <c r="DH17" i="8"/>
  <c r="DI17" i="8"/>
  <c r="DJ17" i="8"/>
  <c r="DK17" i="8"/>
  <c r="DL17" i="8"/>
  <c r="AL17" i="8"/>
  <c r="AM17" i="8"/>
  <c r="CZ18" i="8"/>
  <c r="DA18" i="8"/>
  <c r="DB18" i="8"/>
  <c r="DC18" i="8"/>
  <c r="DD18" i="8"/>
  <c r="DE18" i="8"/>
  <c r="DF18" i="8"/>
  <c r="DG18" i="8"/>
  <c r="DH18" i="8"/>
  <c r="DI18" i="8"/>
  <c r="DJ18" i="8"/>
  <c r="DK18" i="8"/>
  <c r="DL18" i="8"/>
  <c r="AL18" i="8"/>
  <c r="AM18" i="8"/>
  <c r="CZ19" i="8"/>
  <c r="DA19" i="8"/>
  <c r="DB19" i="8"/>
  <c r="DC19" i="8"/>
  <c r="DL19" i="8" s="1"/>
  <c r="DD19" i="8"/>
  <c r="DE19" i="8"/>
  <c r="DF19" i="8"/>
  <c r="DG19" i="8"/>
  <c r="DH19" i="8"/>
  <c r="DI19" i="8"/>
  <c r="DJ19" i="8"/>
  <c r="DK19" i="8"/>
  <c r="AL19" i="8"/>
  <c r="AM19" i="8"/>
  <c r="CZ20" i="8"/>
  <c r="DA20" i="8"/>
  <c r="DB20" i="8"/>
  <c r="DC20" i="8"/>
  <c r="DD20" i="8"/>
  <c r="DE20" i="8"/>
  <c r="DF20" i="8"/>
  <c r="DG20" i="8"/>
  <c r="DH20" i="8"/>
  <c r="DI20" i="8"/>
  <c r="DJ20" i="8"/>
  <c r="DK20" i="8"/>
  <c r="DL20" i="8"/>
  <c r="AL20" i="8"/>
  <c r="AM20" i="8"/>
  <c r="CZ21" i="8"/>
  <c r="DA21" i="8"/>
  <c r="DB21" i="8"/>
  <c r="DC21" i="8"/>
  <c r="DD21" i="8"/>
  <c r="DE21" i="8"/>
  <c r="DF21" i="8"/>
  <c r="DG21" i="8"/>
  <c r="DH21" i="8"/>
  <c r="DI21" i="8"/>
  <c r="DJ21" i="8"/>
  <c r="DK21" i="8"/>
  <c r="DL21" i="8"/>
  <c r="AL21" i="8"/>
  <c r="AM21" i="8"/>
  <c r="CZ22" i="8"/>
  <c r="DA22" i="8"/>
  <c r="DB22" i="8"/>
  <c r="DC22" i="8"/>
  <c r="DD22" i="8"/>
  <c r="DE22" i="8"/>
  <c r="DF22" i="8"/>
  <c r="DG22" i="8"/>
  <c r="DH22" i="8"/>
  <c r="DI22" i="8"/>
  <c r="DJ22" i="8"/>
  <c r="DK22" i="8"/>
  <c r="DL22" i="8"/>
  <c r="AL22" i="8"/>
  <c r="AM22" i="8"/>
  <c r="CZ23" i="8"/>
  <c r="DA23" i="8"/>
  <c r="DB23" i="8"/>
  <c r="DC23" i="8"/>
  <c r="DD23" i="8"/>
  <c r="DE23" i="8"/>
  <c r="DF23" i="8"/>
  <c r="DG23" i="8"/>
  <c r="DH23" i="8"/>
  <c r="DI23" i="8"/>
  <c r="DJ23" i="8"/>
  <c r="DK23" i="8"/>
  <c r="DL23" i="8"/>
  <c r="AL23" i="8"/>
  <c r="AM23" i="8"/>
  <c r="CZ24" i="8"/>
  <c r="DA24" i="8"/>
  <c r="DB24" i="8"/>
  <c r="DC24" i="8"/>
  <c r="DD24" i="8"/>
  <c r="DE24" i="8"/>
  <c r="DF24" i="8"/>
  <c r="DG24" i="8"/>
  <c r="DH24" i="8"/>
  <c r="DI24" i="8"/>
  <c r="DJ24" i="8"/>
  <c r="DK24" i="8"/>
  <c r="DL24" i="8"/>
  <c r="AL24" i="8"/>
  <c r="AM24" i="8"/>
  <c r="CZ25" i="8"/>
  <c r="DA25" i="8"/>
  <c r="DB25" i="8"/>
  <c r="DC25" i="8"/>
  <c r="DD25" i="8"/>
  <c r="DE25" i="8"/>
  <c r="DF25" i="8"/>
  <c r="DG25" i="8"/>
  <c r="DH25" i="8"/>
  <c r="DI25" i="8"/>
  <c r="DJ25" i="8"/>
  <c r="DK25" i="8"/>
  <c r="DL25" i="8"/>
  <c r="AL25" i="8"/>
  <c r="AM25" i="8"/>
  <c r="CZ26" i="8"/>
  <c r="DA26" i="8"/>
  <c r="DB26" i="8"/>
  <c r="DC26" i="8"/>
  <c r="DD26" i="8"/>
  <c r="DE26" i="8"/>
  <c r="DF26" i="8"/>
  <c r="DG26" i="8"/>
  <c r="DH26" i="8"/>
  <c r="DI26" i="8"/>
  <c r="DJ26" i="8"/>
  <c r="DK26" i="8"/>
  <c r="DL26" i="8"/>
  <c r="AL26" i="8"/>
  <c r="AM26" i="8"/>
  <c r="CZ27" i="8"/>
  <c r="DA27" i="8"/>
  <c r="DB27" i="8"/>
  <c r="DC27" i="8"/>
  <c r="DD27" i="8"/>
  <c r="DE27" i="8"/>
  <c r="DF27" i="8"/>
  <c r="DG27" i="8"/>
  <c r="DH27" i="8"/>
  <c r="DI27" i="8"/>
  <c r="DJ27" i="8"/>
  <c r="DK27" i="8"/>
  <c r="DL27" i="8"/>
  <c r="AL27" i="8"/>
  <c r="AM27" i="8"/>
  <c r="CZ28" i="8"/>
  <c r="DA28" i="8"/>
  <c r="DB28" i="8"/>
  <c r="DC28" i="8"/>
  <c r="DD28" i="8"/>
  <c r="DE28" i="8"/>
  <c r="DF28" i="8"/>
  <c r="DG28" i="8"/>
  <c r="DH28" i="8"/>
  <c r="DI28" i="8"/>
  <c r="DJ28" i="8"/>
  <c r="DK28" i="8"/>
  <c r="DL28" i="8"/>
  <c r="AL28" i="8"/>
  <c r="AM28" i="8"/>
  <c r="CZ29" i="8"/>
  <c r="DA29" i="8"/>
  <c r="DB29" i="8"/>
  <c r="DC29" i="8"/>
  <c r="DD29" i="8"/>
  <c r="DE29" i="8"/>
  <c r="DF29" i="8"/>
  <c r="DG29" i="8"/>
  <c r="DH29" i="8"/>
  <c r="DI29" i="8"/>
  <c r="DJ29" i="8"/>
  <c r="DK29" i="8"/>
  <c r="DL29" i="8"/>
  <c r="AL29" i="8"/>
  <c r="AM29" i="8"/>
  <c r="CZ30" i="8"/>
  <c r="DA30" i="8"/>
  <c r="DB30" i="8"/>
  <c r="DC30" i="8"/>
  <c r="DD30" i="8"/>
  <c r="DE30" i="8"/>
  <c r="DF30" i="8"/>
  <c r="DG30" i="8"/>
  <c r="DH30" i="8"/>
  <c r="DI30" i="8"/>
  <c r="DJ30" i="8"/>
  <c r="DK30" i="8"/>
  <c r="DL30" i="8"/>
  <c r="AL30" i="8"/>
  <c r="AM30" i="8"/>
  <c r="CZ31" i="8"/>
  <c r="DA31" i="8"/>
  <c r="DB31" i="8"/>
  <c r="DC31" i="8"/>
  <c r="DD31" i="8"/>
  <c r="DE31" i="8"/>
  <c r="DF31" i="8"/>
  <c r="DG31" i="8"/>
  <c r="DH31" i="8"/>
  <c r="DI31" i="8"/>
  <c r="DJ31" i="8"/>
  <c r="DK31" i="8"/>
  <c r="DL31" i="8"/>
  <c r="AL31" i="8"/>
  <c r="AM31" i="8"/>
  <c r="CZ32" i="8"/>
  <c r="DA32" i="8"/>
  <c r="DB32" i="8"/>
  <c r="DC32" i="8"/>
  <c r="DD32" i="8"/>
  <c r="DE32" i="8"/>
  <c r="DF32" i="8"/>
  <c r="DG32" i="8"/>
  <c r="DH32" i="8"/>
  <c r="DI32" i="8"/>
  <c r="DJ32" i="8"/>
  <c r="DK32" i="8"/>
  <c r="DL32" i="8"/>
  <c r="AL32" i="8"/>
  <c r="AM32" i="8"/>
  <c r="Q388" i="22"/>
  <c r="R388" i="22"/>
  <c r="V388" i="22"/>
  <c r="AE388" i="22"/>
  <c r="AF388" i="22" s="1"/>
  <c r="AG388" i="22"/>
  <c r="Q389" i="22"/>
  <c r="R389" i="22"/>
  <c r="V389" i="22"/>
  <c r="AE389" i="22"/>
  <c r="AF389" i="22" s="1"/>
  <c r="AG389" i="22"/>
  <c r="Q390" i="22"/>
  <c r="R390" i="22"/>
  <c r="V390" i="22"/>
  <c r="AE390" i="22"/>
  <c r="AF390" i="22" s="1"/>
  <c r="AG390" i="22"/>
  <c r="Q391" i="22"/>
  <c r="R391" i="22"/>
  <c r="V391" i="22"/>
  <c r="AE391" i="22"/>
  <c r="AF391" i="22" s="1"/>
  <c r="AG391" i="22"/>
  <c r="Q392" i="22"/>
  <c r="R392" i="22"/>
  <c r="V392" i="22"/>
  <c r="AE392" i="22"/>
  <c r="AF392" i="22" s="1"/>
  <c r="AG392" i="22"/>
  <c r="Q393" i="22"/>
  <c r="R393" i="22"/>
  <c r="V393" i="22"/>
  <c r="AE393" i="22"/>
  <c r="AF393" i="22" s="1"/>
  <c r="AG393" i="22"/>
  <c r="Q394" i="22"/>
  <c r="R394" i="22"/>
  <c r="V394" i="22"/>
  <c r="AE394" i="22"/>
  <c r="AF394" i="22" s="1"/>
  <c r="AG394" i="22"/>
  <c r="Q395" i="22"/>
  <c r="R395" i="22"/>
  <c r="V395" i="22"/>
  <c r="AE395" i="22"/>
  <c r="AF395" i="22" s="1"/>
  <c r="AG395" i="22"/>
  <c r="Q396" i="22"/>
  <c r="R396" i="22"/>
  <c r="V396" i="22"/>
  <c r="AE396" i="22"/>
  <c r="AF396" i="22" s="1"/>
  <c r="AG396" i="22"/>
  <c r="Q397" i="22"/>
  <c r="R397" i="22"/>
  <c r="V397" i="22"/>
  <c r="AE397" i="22"/>
  <c r="AF397" i="22" s="1"/>
  <c r="AG397" i="22"/>
  <c r="Q398" i="22"/>
  <c r="R398" i="22"/>
  <c r="V398" i="22"/>
  <c r="AE398" i="22"/>
  <c r="AF398" i="22" s="1"/>
  <c r="AG398" i="22"/>
  <c r="Q399" i="22"/>
  <c r="R399" i="22"/>
  <c r="V399" i="22"/>
  <c r="AE399" i="22"/>
  <c r="AF399" i="22" s="1"/>
  <c r="AG399" i="22"/>
  <c r="Q400" i="22"/>
  <c r="R400" i="22"/>
  <c r="V400" i="22"/>
  <c r="AE400" i="22"/>
  <c r="AF400" i="22" s="1"/>
  <c r="AG400" i="22"/>
  <c r="Q401" i="22"/>
  <c r="R401" i="22"/>
  <c r="V401" i="22"/>
  <c r="AE401" i="22"/>
  <c r="AF401" i="22" s="1"/>
  <c r="AG401" i="22"/>
  <c r="Q402" i="22"/>
  <c r="R402" i="22"/>
  <c r="V402" i="22"/>
  <c r="AE402" i="22"/>
  <c r="AF402" i="22" s="1"/>
  <c r="AG402" i="22"/>
  <c r="Q403" i="22"/>
  <c r="R403" i="22"/>
  <c r="V403" i="22"/>
  <c r="AE403" i="22"/>
  <c r="AF403" i="22" s="1"/>
  <c r="AG403" i="22"/>
  <c r="Q404" i="22"/>
  <c r="R404" i="22"/>
  <c r="V404" i="22"/>
  <c r="AE404" i="22"/>
  <c r="AF404" i="22" s="1"/>
  <c r="AG404" i="22"/>
  <c r="Q405" i="22"/>
  <c r="R405" i="22"/>
  <c r="V405" i="22"/>
  <c r="AE405" i="22"/>
  <c r="AF405" i="22" s="1"/>
  <c r="AG405" i="22"/>
  <c r="Q406" i="22"/>
  <c r="R406" i="22"/>
  <c r="V406" i="22"/>
  <c r="AE406" i="22"/>
  <c r="AF406" i="22" s="1"/>
  <c r="AG406" i="22"/>
  <c r="Q407" i="22"/>
  <c r="R407" i="22"/>
  <c r="V407" i="22"/>
  <c r="AE407" i="22"/>
  <c r="AF407" i="22" s="1"/>
  <c r="AG407" i="22"/>
  <c r="Q408" i="22"/>
  <c r="R408" i="22"/>
  <c r="V408" i="22"/>
  <c r="AE408" i="22"/>
  <c r="AF408" i="22" s="1"/>
  <c r="AG408" i="22"/>
  <c r="Q409" i="22"/>
  <c r="R409" i="22"/>
  <c r="V409" i="22"/>
  <c r="AE409" i="22"/>
  <c r="AF409" i="22" s="1"/>
  <c r="AG409" i="22"/>
  <c r="Q410" i="22"/>
  <c r="R410" i="22"/>
  <c r="V410" i="22"/>
  <c r="AE410" i="22"/>
  <c r="AF410" i="22" s="1"/>
  <c r="AG410" i="22"/>
  <c r="Q411" i="22"/>
  <c r="R411" i="22"/>
  <c r="V411" i="22"/>
  <c r="AE411" i="22"/>
  <c r="AF411" i="22" s="1"/>
  <c r="AG411" i="22"/>
  <c r="Q412" i="22"/>
  <c r="R412" i="22"/>
  <c r="V412" i="22"/>
  <c r="AE412" i="22"/>
  <c r="AF412" i="22" s="1"/>
  <c r="AG412" i="22"/>
  <c r="Q413" i="22"/>
  <c r="R413" i="22"/>
  <c r="V413" i="22"/>
  <c r="AE413" i="22"/>
  <c r="AF413" i="22" s="1"/>
  <c r="AG413" i="22"/>
  <c r="Q414" i="22"/>
  <c r="R414" i="22"/>
  <c r="V414" i="22"/>
  <c r="AE414" i="22"/>
  <c r="AF414" i="22" s="1"/>
  <c r="AG414" i="22"/>
  <c r="Q415" i="22"/>
  <c r="R415" i="22"/>
  <c r="V415" i="22"/>
  <c r="AE415" i="22"/>
  <c r="AF415" i="22" s="1"/>
  <c r="AG415" i="22"/>
  <c r="Q416" i="22"/>
  <c r="R416" i="22"/>
  <c r="V416" i="22"/>
  <c r="AE416" i="22"/>
  <c r="AF416" i="22" s="1"/>
  <c r="AG416" i="22"/>
  <c r="Q417" i="22"/>
  <c r="R417" i="22"/>
  <c r="V417" i="22"/>
  <c r="AE417" i="22"/>
  <c r="AF417" i="22" s="1"/>
  <c r="AG417" i="22"/>
  <c r="Q418" i="22"/>
  <c r="R418" i="22"/>
  <c r="V418" i="22"/>
  <c r="AE418" i="22"/>
  <c r="AF418" i="22" s="1"/>
  <c r="AG418" i="22"/>
  <c r="Q419" i="22"/>
  <c r="R419" i="22"/>
  <c r="V419" i="22"/>
  <c r="AE419" i="22"/>
  <c r="AF419" i="22" s="1"/>
  <c r="AG419" i="22"/>
  <c r="Q420" i="22"/>
  <c r="R420" i="22"/>
  <c r="V420" i="22"/>
  <c r="AE420" i="22"/>
  <c r="AF420" i="22" s="1"/>
  <c r="AG420" i="22"/>
  <c r="Q421" i="22"/>
  <c r="R421" i="22"/>
  <c r="V421" i="22"/>
  <c r="AE421" i="22"/>
  <c r="AF421" i="22" s="1"/>
  <c r="AG421" i="22"/>
  <c r="Q422" i="22"/>
  <c r="R422" i="22"/>
  <c r="V422" i="22"/>
  <c r="AE422" i="22"/>
  <c r="AF422" i="22" s="1"/>
  <c r="AG422" i="22"/>
  <c r="Q423" i="22"/>
  <c r="R423" i="22"/>
  <c r="V423" i="22"/>
  <c r="AE423" i="22"/>
  <c r="AF423" i="22" s="1"/>
  <c r="AG423" i="22"/>
  <c r="Q424" i="22"/>
  <c r="R424" i="22"/>
  <c r="V424" i="22"/>
  <c r="AE424" i="22"/>
  <c r="AF424" i="22" s="1"/>
  <c r="AG424" i="22"/>
  <c r="Q425" i="22"/>
  <c r="R425" i="22"/>
  <c r="V425" i="22"/>
  <c r="AE425" i="22"/>
  <c r="AF425" i="22" s="1"/>
  <c r="AG425" i="22"/>
  <c r="Q426" i="22"/>
  <c r="R426" i="22"/>
  <c r="V426" i="22"/>
  <c r="AE426" i="22"/>
  <c r="AF426" i="22" s="1"/>
  <c r="AG426" i="22"/>
  <c r="Q427" i="22"/>
  <c r="R427" i="22"/>
  <c r="V427" i="22"/>
  <c r="AE427" i="22"/>
  <c r="AF427" i="22" s="1"/>
  <c r="AG427" i="22"/>
  <c r="Q428" i="22"/>
  <c r="R428" i="22"/>
  <c r="V428" i="22"/>
  <c r="AE428" i="22"/>
  <c r="AF428" i="22" s="1"/>
  <c r="AG428" i="22"/>
  <c r="AE429" i="22"/>
  <c r="AF429" i="22" s="1"/>
  <c r="AG429" i="22"/>
  <c r="AE430" i="22"/>
  <c r="AF430" i="22" s="1"/>
  <c r="AG430" i="22"/>
  <c r="AE431" i="22"/>
  <c r="AF431" i="22" s="1"/>
  <c r="AG431" i="22"/>
  <c r="AE432" i="22"/>
  <c r="AF432" i="22" s="1"/>
  <c r="AG432" i="22"/>
  <c r="AE433" i="22"/>
  <c r="AF433" i="22" s="1"/>
  <c r="AG433" i="22"/>
  <c r="Q434" i="22"/>
  <c r="R434" i="22"/>
  <c r="AE434" i="22"/>
  <c r="AF434" i="22" s="1"/>
  <c r="AG434" i="22"/>
  <c r="Q435" i="22"/>
  <c r="R435" i="22"/>
  <c r="AE435" i="22"/>
  <c r="AF435" i="22" s="1"/>
  <c r="AG435" i="22"/>
  <c r="Q436" i="22"/>
  <c r="R436" i="22"/>
  <c r="AE436" i="22"/>
  <c r="AF436" i="22" s="1"/>
  <c r="AG436" i="22"/>
  <c r="Q437" i="22"/>
  <c r="R437" i="22"/>
  <c r="AE437" i="22"/>
  <c r="AF437" i="22" s="1"/>
  <c r="AG437" i="22"/>
  <c r="AE438" i="22"/>
  <c r="AF438" i="22" s="1"/>
  <c r="AG438" i="22"/>
  <c r="Q439" i="22"/>
  <c r="R439" i="22"/>
  <c r="AE439" i="22"/>
  <c r="AF439" i="22" s="1"/>
  <c r="AG439" i="22"/>
  <c r="Q440" i="22"/>
  <c r="R440" i="22"/>
  <c r="AE440" i="22"/>
  <c r="AF440" i="22" s="1"/>
  <c r="AG440" i="22"/>
  <c r="Q441" i="22"/>
  <c r="R441" i="22"/>
  <c r="AE441" i="22"/>
  <c r="AF441" i="22" s="1"/>
  <c r="AG441" i="22"/>
  <c r="Q442" i="22"/>
  <c r="R442" i="22"/>
  <c r="AE442" i="22"/>
  <c r="AF442" i="22" s="1"/>
  <c r="AG442" i="22"/>
  <c r="Q443" i="22"/>
  <c r="R443" i="22"/>
  <c r="AE443" i="22"/>
  <c r="AF443" i="22" s="1"/>
  <c r="AG443" i="22"/>
  <c r="Q444" i="22"/>
  <c r="R444" i="22"/>
  <c r="AE444" i="22"/>
  <c r="AF444" i="22" s="1"/>
  <c r="AG444" i="22"/>
  <c r="Q445" i="22"/>
  <c r="R445" i="22"/>
  <c r="AE445" i="22"/>
  <c r="AF445" i="22" s="1"/>
  <c r="AG445" i="22"/>
  <c r="Q446" i="22"/>
  <c r="R446" i="22"/>
  <c r="AE446" i="22"/>
  <c r="AF446" i="22" s="1"/>
  <c r="AG446" i="22"/>
  <c r="Q447" i="22"/>
  <c r="R447" i="22"/>
  <c r="AE447" i="22"/>
  <c r="AF447" i="22" s="1"/>
  <c r="AG447" i="22"/>
  <c r="Q448" i="22"/>
  <c r="R448" i="22"/>
  <c r="AE448" i="22"/>
  <c r="AF448" i="22" s="1"/>
  <c r="AG448" i="22"/>
  <c r="Q449" i="22"/>
  <c r="R449" i="22"/>
  <c r="AE449" i="22"/>
  <c r="AF449" i="22" s="1"/>
  <c r="AG449" i="22"/>
  <c r="Q450" i="22"/>
  <c r="R450" i="22"/>
  <c r="V450" i="22"/>
  <c r="AE450" i="22"/>
  <c r="AF450" i="22" s="1"/>
  <c r="AG450" i="22"/>
  <c r="AE451" i="22"/>
  <c r="AF451" i="22" s="1"/>
  <c r="AG451" i="22"/>
  <c r="AE452" i="22"/>
  <c r="AF452" i="22" s="1"/>
  <c r="AG452" i="22"/>
  <c r="Q453" i="22"/>
  <c r="R453" i="22"/>
  <c r="AE453" i="22"/>
  <c r="AF453" i="22" s="1"/>
  <c r="AG453" i="22"/>
  <c r="Q454" i="22"/>
  <c r="R454" i="22"/>
  <c r="AE454" i="22"/>
  <c r="AF454" i="22" s="1"/>
  <c r="AG454" i="22"/>
  <c r="Q455" i="22"/>
  <c r="R455" i="22"/>
  <c r="AE455" i="22"/>
  <c r="AF455" i="22" s="1"/>
  <c r="AG455" i="22"/>
  <c r="Q456" i="22"/>
  <c r="R456" i="22"/>
  <c r="AE456" i="22"/>
  <c r="AF456" i="22" s="1"/>
  <c r="AG456" i="22"/>
  <c r="Q457" i="22"/>
  <c r="R457" i="22"/>
  <c r="AE457" i="22"/>
  <c r="AF457" i="22" s="1"/>
  <c r="AG457" i="22"/>
  <c r="Q458" i="22"/>
  <c r="R458" i="22"/>
  <c r="AE458" i="22"/>
  <c r="AF458" i="22" s="1"/>
  <c r="AG458" i="22"/>
  <c r="Q459" i="22"/>
  <c r="R459" i="22"/>
  <c r="AE459" i="22"/>
  <c r="AF459" i="22" s="1"/>
  <c r="AG459" i="22"/>
  <c r="Q344" i="22"/>
  <c r="R344" i="22"/>
  <c r="V344" i="22"/>
  <c r="AE344" i="22"/>
  <c r="AF344" i="22" s="1"/>
  <c r="AG344" i="22"/>
  <c r="Q345" i="22"/>
  <c r="R345" i="22"/>
  <c r="V345" i="22"/>
  <c r="AE345" i="22"/>
  <c r="AF345" i="22" s="1"/>
  <c r="AG345" i="22"/>
  <c r="Q346" i="22"/>
  <c r="R346" i="22"/>
  <c r="V346" i="22"/>
  <c r="AE346" i="22"/>
  <c r="AF346" i="22" s="1"/>
  <c r="AG346" i="22"/>
  <c r="Q347" i="22"/>
  <c r="R347" i="22"/>
  <c r="V347" i="22"/>
  <c r="AE347" i="22"/>
  <c r="AF347" i="22" s="1"/>
  <c r="AG347" i="22"/>
  <c r="Q348" i="22"/>
  <c r="R348" i="22"/>
  <c r="V348" i="22"/>
  <c r="AE348" i="22"/>
  <c r="AF348" i="22" s="1"/>
  <c r="AG348" i="22"/>
  <c r="Q349" i="22"/>
  <c r="R349" i="22"/>
  <c r="V349" i="22"/>
  <c r="AE349" i="22"/>
  <c r="AF349" i="22" s="1"/>
  <c r="AG349" i="22"/>
  <c r="Q350" i="22"/>
  <c r="R350" i="22"/>
  <c r="V350" i="22"/>
  <c r="AE350" i="22"/>
  <c r="AF350" i="22" s="1"/>
  <c r="AG350" i="22"/>
  <c r="Q351" i="22"/>
  <c r="R351" i="22"/>
  <c r="V351" i="22"/>
  <c r="AE351" i="22"/>
  <c r="AF351" i="22" s="1"/>
  <c r="AG351" i="22"/>
  <c r="Q352" i="22"/>
  <c r="R352" i="22"/>
  <c r="V352" i="22"/>
  <c r="AE352" i="22"/>
  <c r="AF352" i="22" s="1"/>
  <c r="AG352" i="22"/>
  <c r="Q353" i="22"/>
  <c r="R353" i="22"/>
  <c r="V353" i="22"/>
  <c r="AE353" i="22"/>
  <c r="AF353" i="22" s="1"/>
  <c r="AG353" i="22"/>
  <c r="Q354" i="22"/>
  <c r="R354" i="22"/>
  <c r="V354" i="22"/>
  <c r="AE354" i="22"/>
  <c r="AF354" i="22" s="1"/>
  <c r="AG354" i="22"/>
  <c r="Q355" i="22"/>
  <c r="R355" i="22"/>
  <c r="V355" i="22"/>
  <c r="AE355" i="22"/>
  <c r="AF355" i="22" s="1"/>
  <c r="AG355" i="22"/>
  <c r="Q356" i="22"/>
  <c r="R356" i="22"/>
  <c r="V356" i="22"/>
  <c r="AE356" i="22"/>
  <c r="AF356" i="22" s="1"/>
  <c r="AG356" i="22"/>
  <c r="Q357" i="22"/>
  <c r="R357" i="22"/>
  <c r="V357" i="22"/>
  <c r="AE357" i="22"/>
  <c r="AF357" i="22" s="1"/>
  <c r="AG357" i="22"/>
  <c r="Q358" i="22"/>
  <c r="R358" i="22"/>
  <c r="V358" i="22"/>
  <c r="AE358" i="22"/>
  <c r="AF358" i="22" s="1"/>
  <c r="AG358" i="22"/>
  <c r="Q359" i="22"/>
  <c r="R359" i="22"/>
  <c r="V359" i="22"/>
  <c r="AE359" i="22"/>
  <c r="AF359" i="22" s="1"/>
  <c r="AG359" i="22"/>
  <c r="Q360" i="22"/>
  <c r="R360" i="22"/>
  <c r="V360" i="22"/>
  <c r="AE360" i="22"/>
  <c r="AF360" i="22" s="1"/>
  <c r="AG360" i="22"/>
  <c r="Q361" i="22"/>
  <c r="R361" i="22"/>
  <c r="V361" i="22"/>
  <c r="AE361" i="22"/>
  <c r="AF361" i="22" s="1"/>
  <c r="AG361" i="22"/>
  <c r="Q362" i="22"/>
  <c r="R362" i="22"/>
  <c r="AE362" i="22"/>
  <c r="AF362" i="22" s="1"/>
  <c r="AG362" i="22"/>
  <c r="Q363" i="22"/>
  <c r="R363" i="22"/>
  <c r="V363" i="22"/>
  <c r="AE363" i="22"/>
  <c r="AF363" i="22" s="1"/>
  <c r="AG363" i="22"/>
  <c r="Q364" i="22"/>
  <c r="R364" i="22"/>
  <c r="V364" i="22"/>
  <c r="AE364" i="22"/>
  <c r="AF364" i="22" s="1"/>
  <c r="AG364" i="22"/>
  <c r="Q365" i="22"/>
  <c r="R365" i="22"/>
  <c r="V365" i="22"/>
  <c r="AE365" i="22"/>
  <c r="AF365" i="22" s="1"/>
  <c r="AG365" i="22"/>
  <c r="Q366" i="22"/>
  <c r="R366" i="22"/>
  <c r="V366" i="22"/>
  <c r="AE366" i="22"/>
  <c r="AF366" i="22" s="1"/>
  <c r="AG366" i="22"/>
  <c r="Q367" i="22"/>
  <c r="R367" i="22"/>
  <c r="V367" i="22"/>
  <c r="AE367" i="22"/>
  <c r="AF367" i="22" s="1"/>
  <c r="AG367" i="22"/>
  <c r="Q368" i="22"/>
  <c r="R368" i="22"/>
  <c r="V368" i="22"/>
  <c r="AE368" i="22"/>
  <c r="AF368" i="22" s="1"/>
  <c r="AG368" i="22"/>
  <c r="Q369" i="22"/>
  <c r="R369" i="22"/>
  <c r="V369" i="22"/>
  <c r="AE369" i="22"/>
  <c r="AF369" i="22" s="1"/>
  <c r="AG369" i="22"/>
  <c r="Q370" i="22"/>
  <c r="R370" i="22"/>
  <c r="V370" i="22"/>
  <c r="AE370" i="22"/>
  <c r="AF370" i="22" s="1"/>
  <c r="AG370" i="22"/>
  <c r="Q371" i="22"/>
  <c r="R371" i="22"/>
  <c r="V371" i="22"/>
  <c r="AE371" i="22"/>
  <c r="AF371" i="22" s="1"/>
  <c r="AG371" i="22"/>
  <c r="Q372" i="22"/>
  <c r="R372" i="22"/>
  <c r="V372" i="22"/>
  <c r="AE372" i="22"/>
  <c r="AF372" i="22" s="1"/>
  <c r="AG372" i="22"/>
  <c r="Q373" i="22"/>
  <c r="R373" i="22"/>
  <c r="V373" i="22"/>
  <c r="AE373" i="22"/>
  <c r="AF373" i="22" s="1"/>
  <c r="AG373" i="22"/>
  <c r="Q374" i="22"/>
  <c r="R374" i="22"/>
  <c r="V374" i="22"/>
  <c r="AE374" i="22"/>
  <c r="AF374" i="22" s="1"/>
  <c r="AG374" i="22"/>
  <c r="Q375" i="22"/>
  <c r="R375" i="22"/>
  <c r="V375" i="22"/>
  <c r="AE375" i="22"/>
  <c r="AF375" i="22" s="1"/>
  <c r="AG375" i="22"/>
  <c r="Q376" i="22"/>
  <c r="R376" i="22"/>
  <c r="V376" i="22"/>
  <c r="AE376" i="22"/>
  <c r="AF376" i="22" s="1"/>
  <c r="AG376" i="22"/>
  <c r="Q377" i="22"/>
  <c r="R377" i="22"/>
  <c r="V377" i="22"/>
  <c r="AE377" i="22"/>
  <c r="AF377" i="22" s="1"/>
  <c r="AG377" i="22"/>
  <c r="Q378" i="22"/>
  <c r="R378" i="22"/>
  <c r="V378" i="22"/>
  <c r="AE378" i="22"/>
  <c r="AF378" i="22" s="1"/>
  <c r="AG378" i="22"/>
  <c r="Q379" i="22"/>
  <c r="R379" i="22"/>
  <c r="V379" i="22"/>
  <c r="AE379" i="22"/>
  <c r="AF379" i="22" s="1"/>
  <c r="AG379" i="22"/>
  <c r="Q380" i="22"/>
  <c r="R380" i="22"/>
  <c r="V380" i="22"/>
  <c r="AE380" i="22"/>
  <c r="AF380" i="22" s="1"/>
  <c r="AG380" i="22"/>
  <c r="Q381" i="22"/>
  <c r="R381" i="22"/>
  <c r="V381" i="22"/>
  <c r="AE381" i="22"/>
  <c r="AF381" i="22" s="1"/>
  <c r="AG381" i="22"/>
  <c r="Q382" i="22"/>
  <c r="R382" i="22"/>
  <c r="V382" i="22"/>
  <c r="AE382" i="22"/>
  <c r="AF382" i="22" s="1"/>
  <c r="AG382" i="22"/>
  <c r="Q383" i="22"/>
  <c r="R383" i="22"/>
  <c r="V383" i="22"/>
  <c r="AE383" i="22"/>
  <c r="AF383" i="22" s="1"/>
  <c r="AG383" i="22"/>
  <c r="Q384" i="22"/>
  <c r="R384" i="22"/>
  <c r="V384" i="22"/>
  <c r="AE384" i="22"/>
  <c r="AF384" i="22" s="1"/>
  <c r="AG384" i="22"/>
  <c r="Q385" i="22"/>
  <c r="R385" i="22"/>
  <c r="V385" i="22"/>
  <c r="AE385" i="22"/>
  <c r="AF385" i="22" s="1"/>
  <c r="AG385" i="22"/>
  <c r="Q386" i="22"/>
  <c r="R386" i="22"/>
  <c r="V386" i="22"/>
  <c r="AE386" i="22"/>
  <c r="AF386" i="22" s="1"/>
  <c r="AG386" i="22"/>
  <c r="Q387" i="22"/>
  <c r="R387" i="22"/>
  <c r="V387" i="22"/>
  <c r="AE387" i="22"/>
  <c r="AF387" i="22" s="1"/>
  <c r="AG387" i="22"/>
  <c r="Q300" i="22"/>
  <c r="R300" i="22"/>
  <c r="V300" i="22"/>
  <c r="AE300" i="22"/>
  <c r="AF300" i="22" s="1"/>
  <c r="AG300" i="22"/>
  <c r="Q301" i="22"/>
  <c r="R301" i="22"/>
  <c r="V301" i="22"/>
  <c r="AE301" i="22"/>
  <c r="AF301" i="22" s="1"/>
  <c r="AG301" i="22"/>
  <c r="Q302" i="22"/>
  <c r="R302" i="22"/>
  <c r="V302" i="22"/>
  <c r="AE302" i="22"/>
  <c r="AF302" i="22" s="1"/>
  <c r="AG302" i="22"/>
  <c r="Q303" i="22"/>
  <c r="R303" i="22"/>
  <c r="V303" i="22"/>
  <c r="AE303" i="22"/>
  <c r="AF303" i="22" s="1"/>
  <c r="AG303" i="22"/>
  <c r="Q304" i="22"/>
  <c r="R304" i="22"/>
  <c r="V304" i="22"/>
  <c r="AE304" i="22"/>
  <c r="AF304" i="22" s="1"/>
  <c r="AG304" i="22"/>
  <c r="Q305" i="22"/>
  <c r="R305" i="22"/>
  <c r="V305" i="22"/>
  <c r="AE305" i="22"/>
  <c r="AF305" i="22" s="1"/>
  <c r="AG305" i="22"/>
  <c r="Q306" i="22"/>
  <c r="R306" i="22"/>
  <c r="V306" i="22"/>
  <c r="AE306" i="22"/>
  <c r="AF306" i="22" s="1"/>
  <c r="AG306" i="22"/>
  <c r="Q307" i="22"/>
  <c r="R307" i="22"/>
  <c r="V307" i="22"/>
  <c r="AE307" i="22"/>
  <c r="AF307" i="22" s="1"/>
  <c r="AG307" i="22"/>
  <c r="Q308" i="22"/>
  <c r="R308" i="22"/>
  <c r="V308" i="22"/>
  <c r="AE308" i="22"/>
  <c r="AF308" i="22" s="1"/>
  <c r="AG308" i="22"/>
  <c r="Q309" i="22"/>
  <c r="R309" i="22"/>
  <c r="V309" i="22"/>
  <c r="AE309" i="22"/>
  <c r="AF309" i="22" s="1"/>
  <c r="AG309" i="22"/>
  <c r="Q310" i="22"/>
  <c r="R310" i="22"/>
  <c r="V310" i="22"/>
  <c r="AE310" i="22"/>
  <c r="AF310" i="22" s="1"/>
  <c r="AG310" i="22"/>
  <c r="Q311" i="22"/>
  <c r="R311" i="22"/>
  <c r="V311" i="22"/>
  <c r="AE311" i="22"/>
  <c r="AF311" i="22" s="1"/>
  <c r="AG311" i="22"/>
  <c r="Q312" i="22"/>
  <c r="R312" i="22"/>
  <c r="V312" i="22"/>
  <c r="AE312" i="22"/>
  <c r="AF312" i="22" s="1"/>
  <c r="AG312" i="22"/>
  <c r="Q313" i="22"/>
  <c r="R313" i="22"/>
  <c r="V313" i="22"/>
  <c r="AE313" i="22"/>
  <c r="AF313" i="22" s="1"/>
  <c r="AG313" i="22"/>
  <c r="Q314" i="22"/>
  <c r="R314" i="22"/>
  <c r="V314" i="22"/>
  <c r="AE314" i="22"/>
  <c r="AF314" i="22" s="1"/>
  <c r="AG314" i="22"/>
  <c r="Q315" i="22"/>
  <c r="R315" i="22"/>
  <c r="V315" i="22"/>
  <c r="AE315" i="22"/>
  <c r="AF315" i="22" s="1"/>
  <c r="AG315" i="22"/>
  <c r="AE316" i="22"/>
  <c r="AF316" i="22" s="1"/>
  <c r="AG316" i="22"/>
  <c r="Q317" i="22"/>
  <c r="R317" i="22"/>
  <c r="AE317" i="22"/>
  <c r="AF317" i="22" s="1"/>
  <c r="AG317" i="22"/>
  <c r="AE318" i="22"/>
  <c r="AF318" i="22" s="1"/>
  <c r="Q319" i="22"/>
  <c r="R319" i="22"/>
  <c r="V319" i="22"/>
  <c r="AE319" i="22"/>
  <c r="AF319" i="22" s="1"/>
  <c r="AG319" i="22"/>
  <c r="AE320" i="22"/>
  <c r="AF320" i="22" s="1"/>
  <c r="AG320" i="22"/>
  <c r="Q321" i="22"/>
  <c r="R321" i="22"/>
  <c r="AE321" i="22"/>
  <c r="AF321" i="22" s="1"/>
  <c r="AG321" i="22"/>
  <c r="Q322" i="22"/>
  <c r="R322" i="22"/>
  <c r="AE322" i="22"/>
  <c r="AF322" i="22" s="1"/>
  <c r="AG322" i="22"/>
  <c r="Q323" i="22"/>
  <c r="R323" i="22"/>
  <c r="AE323" i="22"/>
  <c r="AF323" i="22" s="1"/>
  <c r="AG323" i="22"/>
  <c r="Q324" i="22"/>
  <c r="R324" i="22"/>
  <c r="AE324" i="22"/>
  <c r="AF324" i="22" s="1"/>
  <c r="AG324" i="22"/>
  <c r="Q325" i="22"/>
  <c r="R325" i="22"/>
  <c r="AE325" i="22"/>
  <c r="AF325" i="22" s="1"/>
  <c r="AG325" i="22"/>
  <c r="AE326" i="22"/>
  <c r="AF326" i="22" s="1"/>
  <c r="AG326" i="22"/>
  <c r="Q327" i="22"/>
  <c r="R327" i="22"/>
  <c r="AE327" i="22"/>
  <c r="AF327" i="22" s="1"/>
  <c r="AG327" i="22"/>
  <c r="AE328" i="22"/>
  <c r="AF328" i="22" s="1"/>
  <c r="AG328" i="22"/>
  <c r="AE329" i="22"/>
  <c r="AF329" i="22" s="1"/>
  <c r="AG329" i="22"/>
  <c r="AE330" i="22"/>
  <c r="AF330" i="22" s="1"/>
  <c r="AG330" i="22"/>
  <c r="Q331" i="22"/>
  <c r="R331" i="22"/>
  <c r="AE331" i="22"/>
  <c r="AF331" i="22" s="1"/>
  <c r="AG331" i="22"/>
  <c r="Q332" i="22"/>
  <c r="R332" i="22"/>
  <c r="AE332" i="22"/>
  <c r="AF332" i="22" s="1"/>
  <c r="AG332" i="22"/>
  <c r="Q333" i="22"/>
  <c r="R333" i="22"/>
  <c r="AE333" i="22"/>
  <c r="AF333" i="22" s="1"/>
  <c r="AG333" i="22"/>
  <c r="Q334" i="22"/>
  <c r="R334" i="22"/>
  <c r="AE334" i="22"/>
  <c r="AF334" i="22" s="1"/>
  <c r="AG334" i="22"/>
  <c r="Q335" i="22"/>
  <c r="R335" i="22"/>
  <c r="V335" i="22"/>
  <c r="AE335" i="22"/>
  <c r="AF335" i="22" s="1"/>
  <c r="AG335" i="22"/>
  <c r="AE336" i="22"/>
  <c r="AF336" i="22" s="1"/>
  <c r="AG336" i="22"/>
  <c r="Q337" i="22"/>
  <c r="R337" i="22"/>
  <c r="V337" i="22"/>
  <c r="AE337" i="22"/>
  <c r="AF337" i="22" s="1"/>
  <c r="AG337" i="22"/>
  <c r="Q338" i="22"/>
  <c r="R338" i="22"/>
  <c r="V338" i="22"/>
  <c r="AE338" i="22"/>
  <c r="AF338" i="22" s="1"/>
  <c r="AG338" i="22"/>
  <c r="Q339" i="22"/>
  <c r="R339" i="22"/>
  <c r="V339" i="22"/>
  <c r="AE339" i="22"/>
  <c r="AF339" i="22" s="1"/>
  <c r="AG339" i="22"/>
  <c r="AE340" i="22"/>
  <c r="AF340" i="22" s="1"/>
  <c r="AE341" i="22"/>
  <c r="AF341" i="22" s="1"/>
  <c r="AG341" i="22"/>
  <c r="Q342" i="22"/>
  <c r="R342" i="22"/>
  <c r="AE342" i="22"/>
  <c r="AF342" i="22" s="1"/>
  <c r="AG342" i="22"/>
  <c r="Q343" i="22"/>
  <c r="R343" i="22"/>
  <c r="AE343" i="22"/>
  <c r="AF343" i="22" s="1"/>
  <c r="AG343" i="22"/>
  <c r="AE283" i="22"/>
  <c r="AF283" i="22" s="1"/>
  <c r="AG283" i="22"/>
  <c r="AE284" i="22"/>
  <c r="AF284" i="22" s="1"/>
  <c r="AG284" i="22"/>
  <c r="Q285" i="22"/>
  <c r="R285" i="22"/>
  <c r="AE285" i="22"/>
  <c r="AF285" i="22" s="1"/>
  <c r="AG285" i="22"/>
  <c r="AE287" i="22"/>
  <c r="AF287" i="22" s="1"/>
  <c r="AG287" i="22"/>
  <c r="AE288" i="22"/>
  <c r="AF288" i="22" s="1"/>
  <c r="AG288" i="22"/>
  <c r="AE291" i="22"/>
  <c r="AF291" i="22" s="1"/>
  <c r="AG291" i="22"/>
  <c r="AE296" i="22"/>
  <c r="AF296" i="22" s="1"/>
  <c r="AG296" i="22"/>
  <c r="Q298" i="22"/>
  <c r="R298" i="22"/>
  <c r="AE298" i="22"/>
  <c r="AF298" i="22" s="1"/>
  <c r="AG298" i="22"/>
  <c r="AE299" i="22"/>
  <c r="AF299" i="22" s="1"/>
  <c r="AG299" i="22"/>
  <c r="Q149" i="22"/>
  <c r="R149" i="22"/>
  <c r="V149" i="22"/>
  <c r="AE149" i="22"/>
  <c r="AF149" i="22" s="1"/>
  <c r="AG149" i="22"/>
  <c r="Q150" i="22"/>
  <c r="R150" i="22"/>
  <c r="V150" i="22"/>
  <c r="AE150" i="22"/>
  <c r="AF150" i="22" s="1"/>
  <c r="AG150" i="22"/>
  <c r="Q151" i="22"/>
  <c r="R151" i="22"/>
  <c r="V151" i="22"/>
  <c r="AE151" i="22"/>
  <c r="AF151" i="22" s="1"/>
  <c r="AG151" i="22"/>
  <c r="Q152" i="22"/>
  <c r="R152" i="22"/>
  <c r="V152" i="22"/>
  <c r="AE152" i="22"/>
  <c r="AF152" i="22" s="1"/>
  <c r="AG152" i="22"/>
  <c r="Q153" i="22"/>
  <c r="R153" i="22"/>
  <c r="V153" i="22"/>
  <c r="AE153" i="22"/>
  <c r="AF153" i="22" s="1"/>
  <c r="AG153" i="22"/>
  <c r="Q154" i="22"/>
  <c r="R154" i="22"/>
  <c r="V154" i="22"/>
  <c r="AE154" i="22"/>
  <c r="AF154" i="22" s="1"/>
  <c r="AG154" i="22"/>
  <c r="Q155" i="22"/>
  <c r="R155" i="22"/>
  <c r="V155" i="22"/>
  <c r="AE155" i="22"/>
  <c r="AF155" i="22" s="1"/>
  <c r="AG155" i="22"/>
  <c r="Q156" i="22"/>
  <c r="R156" i="22"/>
  <c r="V156" i="22"/>
  <c r="AE156" i="22"/>
  <c r="AF156" i="22" s="1"/>
  <c r="AG156" i="22"/>
  <c r="Q157" i="22"/>
  <c r="R157" i="22"/>
  <c r="V157" i="22"/>
  <c r="AE157" i="22"/>
  <c r="AF157" i="22" s="1"/>
  <c r="AG157" i="22"/>
  <c r="Q158" i="22"/>
  <c r="R158" i="22"/>
  <c r="V158" i="22"/>
  <c r="AE158" i="22"/>
  <c r="AF158" i="22" s="1"/>
  <c r="AG158" i="22"/>
  <c r="Q159" i="22"/>
  <c r="R159" i="22"/>
  <c r="V159" i="22"/>
  <c r="AE159" i="22"/>
  <c r="AF159" i="22" s="1"/>
  <c r="AG159" i="22"/>
  <c r="Q160" i="22"/>
  <c r="R160" i="22"/>
  <c r="V160" i="22"/>
  <c r="AE160" i="22"/>
  <c r="AF160" i="22" s="1"/>
  <c r="AG160" i="22"/>
  <c r="Q161" i="22"/>
  <c r="R161" i="22"/>
  <c r="V161" i="22"/>
  <c r="AE161" i="22"/>
  <c r="AF161" i="22" s="1"/>
  <c r="AG161" i="22"/>
  <c r="Q162" i="22"/>
  <c r="R162" i="22"/>
  <c r="V162" i="22"/>
  <c r="AE162" i="22"/>
  <c r="AF162" i="22" s="1"/>
  <c r="AG162" i="22"/>
  <c r="Q163" i="22"/>
  <c r="R163" i="22"/>
  <c r="V163" i="22"/>
  <c r="AE163" i="22"/>
  <c r="AF163" i="22" s="1"/>
  <c r="AG163" i="22"/>
  <c r="Q164" i="22"/>
  <c r="R164" i="22"/>
  <c r="V164" i="22"/>
  <c r="AE164" i="22"/>
  <c r="AF164" i="22" s="1"/>
  <c r="AG164" i="22"/>
  <c r="Q165" i="22"/>
  <c r="R165" i="22"/>
  <c r="V165" i="22"/>
  <c r="AE165" i="22"/>
  <c r="AF165" i="22" s="1"/>
  <c r="AG165" i="22"/>
  <c r="Q166" i="22"/>
  <c r="R166" i="22"/>
  <c r="V166" i="22"/>
  <c r="AE166" i="22"/>
  <c r="AF166" i="22" s="1"/>
  <c r="AG166" i="22"/>
  <c r="Q167" i="22"/>
  <c r="R167" i="22"/>
  <c r="V167" i="22"/>
  <c r="AE167" i="22"/>
  <c r="AF167" i="22" s="1"/>
  <c r="AG167" i="22"/>
  <c r="Q168" i="22"/>
  <c r="R168" i="22"/>
  <c r="V168" i="22"/>
  <c r="AE168" i="22"/>
  <c r="AF168" i="22" s="1"/>
  <c r="AG168" i="22"/>
  <c r="Q169" i="22"/>
  <c r="R169" i="22"/>
  <c r="V169" i="22"/>
  <c r="AE169" i="22"/>
  <c r="AF169" i="22" s="1"/>
  <c r="AG169" i="22"/>
  <c r="Q170" i="22"/>
  <c r="R170" i="22"/>
  <c r="V170" i="22"/>
  <c r="AE170" i="22"/>
  <c r="AF170" i="22" s="1"/>
  <c r="AG170" i="22"/>
  <c r="Q171" i="22"/>
  <c r="R171" i="22"/>
  <c r="V171" i="22"/>
  <c r="AE171" i="22"/>
  <c r="AF171" i="22" s="1"/>
  <c r="AG171" i="22"/>
  <c r="Q172" i="22"/>
  <c r="R172" i="22"/>
  <c r="V172" i="22"/>
  <c r="AE172" i="22"/>
  <c r="AF172" i="22" s="1"/>
  <c r="AG172" i="22"/>
  <c r="Q173" i="22"/>
  <c r="R173" i="22"/>
  <c r="V173" i="22"/>
  <c r="AE173" i="22"/>
  <c r="AF173" i="22" s="1"/>
  <c r="AG173" i="22"/>
  <c r="Q174" i="22"/>
  <c r="R174" i="22"/>
  <c r="V174" i="22"/>
  <c r="AE174" i="22"/>
  <c r="AF174" i="22" s="1"/>
  <c r="AG174" i="22"/>
  <c r="Q175" i="22"/>
  <c r="R175" i="22"/>
  <c r="V175" i="22"/>
  <c r="AE175" i="22"/>
  <c r="AF175" i="22" s="1"/>
  <c r="AG175" i="22"/>
  <c r="Q176" i="22"/>
  <c r="R176" i="22"/>
  <c r="V176" i="22"/>
  <c r="AE176" i="22"/>
  <c r="AF176" i="22" s="1"/>
  <c r="AG176" i="22"/>
  <c r="Q177" i="22"/>
  <c r="R177" i="22"/>
  <c r="V177" i="22"/>
  <c r="AE177" i="22"/>
  <c r="AF177" i="22" s="1"/>
  <c r="AG177" i="22"/>
  <c r="Q178" i="22"/>
  <c r="R178" i="22"/>
  <c r="V178" i="22"/>
  <c r="AE178" i="22"/>
  <c r="AF178" i="22" s="1"/>
  <c r="AG178" i="22"/>
  <c r="Q179" i="22"/>
  <c r="R179" i="22"/>
  <c r="V179" i="22"/>
  <c r="AE179" i="22"/>
  <c r="AF179" i="22" s="1"/>
  <c r="AG179" i="22"/>
  <c r="Q180" i="22"/>
  <c r="R180" i="22"/>
  <c r="V180" i="22"/>
  <c r="AE180" i="22"/>
  <c r="AF180" i="22" s="1"/>
  <c r="AG180" i="22"/>
  <c r="Q181" i="22"/>
  <c r="R181" i="22"/>
  <c r="V181" i="22"/>
  <c r="AE181" i="22"/>
  <c r="AF181" i="22" s="1"/>
  <c r="AG181" i="22"/>
  <c r="Q182" i="22"/>
  <c r="R182" i="22"/>
  <c r="V182" i="22"/>
  <c r="AE182" i="22"/>
  <c r="AF182" i="22" s="1"/>
  <c r="AG182" i="22"/>
  <c r="Q183" i="22"/>
  <c r="R183" i="22"/>
  <c r="V183" i="22"/>
  <c r="AE183" i="22"/>
  <c r="AF183" i="22" s="1"/>
  <c r="AG183" i="22"/>
  <c r="Q184" i="22"/>
  <c r="R184" i="22"/>
  <c r="V184" i="22"/>
  <c r="AE184" i="22"/>
  <c r="AF184" i="22" s="1"/>
  <c r="AG184" i="22"/>
  <c r="Q185" i="22"/>
  <c r="R185" i="22"/>
  <c r="V185" i="22"/>
  <c r="AE185" i="22"/>
  <c r="AF185" i="22" s="1"/>
  <c r="AG185" i="22"/>
  <c r="Q186" i="22"/>
  <c r="R186" i="22"/>
  <c r="V186" i="22"/>
  <c r="AE186" i="22"/>
  <c r="AF186" i="22" s="1"/>
  <c r="AG186" i="22"/>
  <c r="Q187" i="22"/>
  <c r="R187" i="22"/>
  <c r="V187" i="22"/>
  <c r="AE187" i="22"/>
  <c r="AF187" i="22" s="1"/>
  <c r="AG187" i="22"/>
  <c r="Q188" i="22"/>
  <c r="R188" i="22"/>
  <c r="V188" i="22"/>
  <c r="AE188" i="22"/>
  <c r="AF188" i="22" s="1"/>
  <c r="AG188" i="22"/>
  <c r="Q189" i="22"/>
  <c r="R189" i="22"/>
  <c r="V189" i="22"/>
  <c r="AE189" i="22"/>
  <c r="AF189" i="22" s="1"/>
  <c r="AG189" i="22"/>
  <c r="Q190" i="22"/>
  <c r="R190" i="22"/>
  <c r="V190" i="22"/>
  <c r="AE190" i="22"/>
  <c r="AF190" i="22" s="1"/>
  <c r="AG190" i="22"/>
  <c r="Q191" i="22"/>
  <c r="R191" i="22"/>
  <c r="V191" i="22"/>
  <c r="AE191" i="22"/>
  <c r="AF191" i="22" s="1"/>
  <c r="AG191" i="22"/>
  <c r="Q192" i="22"/>
  <c r="R192" i="22"/>
  <c r="V192" i="22"/>
  <c r="AE192" i="22"/>
  <c r="AF192" i="22" s="1"/>
  <c r="AG192" i="22"/>
  <c r="Q193" i="22"/>
  <c r="R193" i="22"/>
  <c r="V193" i="22"/>
  <c r="AE193" i="22"/>
  <c r="AF193" i="22" s="1"/>
  <c r="AG193" i="22"/>
  <c r="Q194" i="22"/>
  <c r="R194" i="22"/>
  <c r="V194" i="22"/>
  <c r="AE194" i="22"/>
  <c r="AF194" i="22" s="1"/>
  <c r="AG194" i="22"/>
  <c r="Q195" i="22"/>
  <c r="R195" i="22"/>
  <c r="V195" i="22"/>
  <c r="AE195" i="22"/>
  <c r="AF195" i="22" s="1"/>
  <c r="AG195" i="22"/>
  <c r="Q196" i="22"/>
  <c r="R196" i="22"/>
  <c r="V196" i="22"/>
  <c r="AE196" i="22"/>
  <c r="AF196" i="22" s="1"/>
  <c r="AG196" i="22"/>
  <c r="Q197" i="22"/>
  <c r="R197" i="22"/>
  <c r="V197" i="22"/>
  <c r="AE197" i="22"/>
  <c r="AF197" i="22" s="1"/>
  <c r="AG197" i="22"/>
  <c r="Q198" i="22"/>
  <c r="R198" i="22"/>
  <c r="V198" i="22"/>
  <c r="AE198" i="22"/>
  <c r="AF198" i="22" s="1"/>
  <c r="AG198" i="22"/>
  <c r="Q199" i="22"/>
  <c r="R199" i="22"/>
  <c r="AE199" i="22"/>
  <c r="AF199" i="22" s="1"/>
  <c r="AG199" i="22"/>
  <c r="Q200" i="22"/>
  <c r="R200" i="22"/>
  <c r="V200" i="22"/>
  <c r="AE200" i="22"/>
  <c r="AF200" i="22" s="1"/>
  <c r="AG200" i="22"/>
  <c r="Q201" i="22"/>
  <c r="R201" i="22"/>
  <c r="V201" i="22"/>
  <c r="AE201" i="22"/>
  <c r="AF201" i="22" s="1"/>
  <c r="AG201" i="22"/>
  <c r="Q202" i="22"/>
  <c r="R202" i="22"/>
  <c r="V202" i="22"/>
  <c r="AE202" i="22"/>
  <c r="AF202" i="22" s="1"/>
  <c r="AG202" i="22"/>
  <c r="Q203" i="22"/>
  <c r="R203" i="22"/>
  <c r="V203" i="22"/>
  <c r="AE203" i="22"/>
  <c r="AF203" i="22" s="1"/>
  <c r="AG203" i="22"/>
  <c r="Q204" i="22"/>
  <c r="R204" i="22"/>
  <c r="V204" i="22"/>
  <c r="AE204" i="22"/>
  <c r="AF204" i="22" s="1"/>
  <c r="AG204" i="22"/>
  <c r="Q205" i="22"/>
  <c r="R205" i="22"/>
  <c r="V205" i="22"/>
  <c r="AE205" i="22"/>
  <c r="AF205" i="22" s="1"/>
  <c r="AG205" i="22"/>
  <c r="Q206" i="22"/>
  <c r="R206" i="22"/>
  <c r="V206" i="22"/>
  <c r="AE206" i="22"/>
  <c r="AF206" i="22" s="1"/>
  <c r="AG206" i="22"/>
  <c r="Q207" i="22"/>
  <c r="R207" i="22"/>
  <c r="V207" i="22"/>
  <c r="AE207" i="22"/>
  <c r="AF207" i="22" s="1"/>
  <c r="AG207" i="22"/>
  <c r="Q208" i="22"/>
  <c r="R208" i="22"/>
  <c r="V208" i="22"/>
  <c r="AE208" i="22"/>
  <c r="AF208" i="22" s="1"/>
  <c r="AG208" i="22"/>
  <c r="Q209" i="22"/>
  <c r="R209" i="22"/>
  <c r="V209" i="22"/>
  <c r="AE209" i="22"/>
  <c r="AF209" i="22" s="1"/>
  <c r="AG209" i="22"/>
  <c r="Q210" i="22"/>
  <c r="R210" i="22"/>
  <c r="V210" i="22"/>
  <c r="AE210" i="22"/>
  <c r="AF210" i="22" s="1"/>
  <c r="AG210" i="22"/>
  <c r="Q211" i="22"/>
  <c r="R211" i="22"/>
  <c r="V211" i="22"/>
  <c r="AE211" i="22"/>
  <c r="AF211" i="22" s="1"/>
  <c r="AG211" i="22"/>
  <c r="Q212" i="22"/>
  <c r="R212" i="22"/>
  <c r="V212" i="22"/>
  <c r="AE212" i="22"/>
  <c r="AF212" i="22" s="1"/>
  <c r="AG212" i="22"/>
  <c r="Q213" i="22"/>
  <c r="R213" i="22"/>
  <c r="V213" i="22"/>
  <c r="AE213" i="22"/>
  <c r="AF213" i="22" s="1"/>
  <c r="AG213" i="22"/>
  <c r="Q214" i="22"/>
  <c r="R214" i="22"/>
  <c r="V214" i="22"/>
  <c r="AE214" i="22"/>
  <c r="AF214" i="22" s="1"/>
  <c r="AG214" i="22"/>
  <c r="Q215" i="22"/>
  <c r="R215" i="22"/>
  <c r="V215" i="22"/>
  <c r="AE215" i="22"/>
  <c r="AF215" i="22" s="1"/>
  <c r="AG215" i="22"/>
  <c r="Q216" i="22"/>
  <c r="R216" i="22"/>
  <c r="V216" i="22"/>
  <c r="AE216" i="22"/>
  <c r="AF216" i="22" s="1"/>
  <c r="AG216" i="22"/>
  <c r="Q217" i="22"/>
  <c r="R217" i="22"/>
  <c r="V217" i="22"/>
  <c r="AE217" i="22"/>
  <c r="AF217" i="22" s="1"/>
  <c r="AG217" i="22"/>
  <c r="Q218" i="22"/>
  <c r="R218" i="22"/>
  <c r="V218" i="22"/>
  <c r="AE218" i="22"/>
  <c r="AF218" i="22" s="1"/>
  <c r="AG218" i="22"/>
  <c r="Q219" i="22"/>
  <c r="R219" i="22"/>
  <c r="V219" i="22"/>
  <c r="AE219" i="22"/>
  <c r="AF219" i="22" s="1"/>
  <c r="AG219" i="22"/>
  <c r="Q220" i="22"/>
  <c r="R220" i="22"/>
  <c r="V220" i="22"/>
  <c r="AE220" i="22"/>
  <c r="AF220" i="22" s="1"/>
  <c r="AG220" i="22"/>
  <c r="Q77" i="22"/>
  <c r="R77" i="22"/>
  <c r="V77" i="22"/>
  <c r="AE77" i="22"/>
  <c r="AF77" i="22" s="1"/>
  <c r="AG77" i="22"/>
  <c r="Q78" i="22"/>
  <c r="R78" i="22"/>
  <c r="V78" i="22"/>
  <c r="AE78" i="22"/>
  <c r="AF78" i="22" s="1"/>
  <c r="AG78" i="22"/>
  <c r="Q79" i="22"/>
  <c r="R79" i="22"/>
  <c r="V79" i="22"/>
  <c r="AE79" i="22"/>
  <c r="AF79" i="22" s="1"/>
  <c r="AG79" i="22"/>
  <c r="Q80" i="22"/>
  <c r="R80" i="22"/>
  <c r="V80" i="22"/>
  <c r="AE80" i="22"/>
  <c r="AF80" i="22" s="1"/>
  <c r="AG80" i="22"/>
  <c r="Q81" i="22"/>
  <c r="R81" i="22"/>
  <c r="V81" i="22"/>
  <c r="AE81" i="22"/>
  <c r="AF81" i="22" s="1"/>
  <c r="AG81" i="22"/>
  <c r="Q82" i="22"/>
  <c r="R82" i="22"/>
  <c r="V82" i="22"/>
  <c r="AE82" i="22"/>
  <c r="AF82" i="22" s="1"/>
  <c r="AG82" i="22"/>
  <c r="Q83" i="22"/>
  <c r="R83" i="22"/>
  <c r="V83" i="22"/>
  <c r="AE83" i="22"/>
  <c r="AF83" i="22" s="1"/>
  <c r="AG83" i="22"/>
  <c r="Q84" i="22"/>
  <c r="R84" i="22"/>
  <c r="V84" i="22"/>
  <c r="AE84" i="22"/>
  <c r="AF84" i="22" s="1"/>
  <c r="AG84" i="22"/>
  <c r="Q85" i="22"/>
  <c r="R85" i="22"/>
  <c r="V85" i="22"/>
  <c r="AE85" i="22"/>
  <c r="AF85" i="22" s="1"/>
  <c r="AG85" i="22"/>
  <c r="Q86" i="22"/>
  <c r="R86" i="22"/>
  <c r="V86" i="22"/>
  <c r="AE86" i="22"/>
  <c r="AF86" i="22" s="1"/>
  <c r="AG86" i="22"/>
  <c r="Q87" i="22"/>
  <c r="R87" i="22"/>
  <c r="V87" i="22"/>
  <c r="AE87" i="22"/>
  <c r="AF87" i="22" s="1"/>
  <c r="AG87" i="22"/>
  <c r="Q88" i="22"/>
  <c r="R88" i="22"/>
  <c r="V88" i="22"/>
  <c r="AE88" i="22"/>
  <c r="AF88" i="22" s="1"/>
  <c r="AG88" i="22"/>
  <c r="Q89" i="22"/>
  <c r="R89" i="22"/>
  <c r="V89" i="22"/>
  <c r="AE89" i="22"/>
  <c r="AF89" i="22" s="1"/>
  <c r="AG89" i="22"/>
  <c r="Q90" i="22"/>
  <c r="R90" i="22"/>
  <c r="V90" i="22"/>
  <c r="AE90" i="22"/>
  <c r="AF90" i="22" s="1"/>
  <c r="AG90" i="22"/>
  <c r="Q91" i="22"/>
  <c r="R91" i="22"/>
  <c r="V91" i="22"/>
  <c r="AE91" i="22"/>
  <c r="AF91" i="22" s="1"/>
  <c r="AG91" i="22"/>
  <c r="Q92" i="22"/>
  <c r="R92" i="22"/>
  <c r="V92" i="22"/>
  <c r="AE92" i="22"/>
  <c r="AF92" i="22" s="1"/>
  <c r="AG92" i="22"/>
  <c r="Q93" i="22"/>
  <c r="R93" i="22"/>
  <c r="V93" i="22"/>
  <c r="AE93" i="22"/>
  <c r="AF93" i="22" s="1"/>
  <c r="AG93" i="22"/>
  <c r="Q94" i="22"/>
  <c r="R94" i="22"/>
  <c r="V94" i="22"/>
  <c r="AE94" i="22"/>
  <c r="AF94" i="22" s="1"/>
  <c r="AG94" i="22"/>
  <c r="Q95" i="22"/>
  <c r="R95" i="22"/>
  <c r="V95" i="22"/>
  <c r="AE95" i="22"/>
  <c r="AF95" i="22" s="1"/>
  <c r="AG95" i="22"/>
  <c r="Q96" i="22"/>
  <c r="R96" i="22"/>
  <c r="V96" i="22"/>
  <c r="AE96" i="22"/>
  <c r="AF96" i="22" s="1"/>
  <c r="AG96" i="22"/>
  <c r="Q97" i="22"/>
  <c r="R97" i="22"/>
  <c r="V97" i="22"/>
  <c r="AE97" i="22"/>
  <c r="AF97" i="22" s="1"/>
  <c r="AG97" i="22"/>
  <c r="Q98" i="22"/>
  <c r="R98" i="22"/>
  <c r="V98" i="22"/>
  <c r="AE98" i="22"/>
  <c r="AF98" i="22" s="1"/>
  <c r="AG98" i="22"/>
  <c r="Q99" i="22"/>
  <c r="R99" i="22"/>
  <c r="V99" i="22"/>
  <c r="AE99" i="22"/>
  <c r="AF99" i="22" s="1"/>
  <c r="AG99" i="22"/>
  <c r="Q100" i="22"/>
  <c r="R100" i="22"/>
  <c r="V100" i="22"/>
  <c r="AE100" i="22"/>
  <c r="AF100" i="22" s="1"/>
  <c r="AG100" i="22"/>
  <c r="Q101" i="22"/>
  <c r="R101" i="22"/>
  <c r="V101" i="22"/>
  <c r="AE101" i="22"/>
  <c r="AF101" i="22" s="1"/>
  <c r="AG101" i="22"/>
  <c r="Q102" i="22"/>
  <c r="R102" i="22"/>
  <c r="V102" i="22"/>
  <c r="AE102" i="22"/>
  <c r="AF102" i="22" s="1"/>
  <c r="AG102" i="22"/>
  <c r="Q103" i="22"/>
  <c r="R103" i="22"/>
  <c r="V103" i="22"/>
  <c r="AE103" i="22"/>
  <c r="AF103" i="22" s="1"/>
  <c r="AG103" i="22"/>
  <c r="Q104" i="22"/>
  <c r="R104" i="22"/>
  <c r="V104" i="22"/>
  <c r="AE104" i="22"/>
  <c r="AF104" i="22" s="1"/>
  <c r="AG104" i="22"/>
  <c r="Q105" i="22"/>
  <c r="R105" i="22"/>
  <c r="V105" i="22"/>
  <c r="AE105" i="22"/>
  <c r="AF105" i="22" s="1"/>
  <c r="AG105" i="22"/>
  <c r="Q106" i="22"/>
  <c r="R106" i="22"/>
  <c r="V106" i="22"/>
  <c r="AE106" i="22"/>
  <c r="AF106" i="22" s="1"/>
  <c r="AG106" i="22"/>
  <c r="Q107" i="22"/>
  <c r="R107" i="22"/>
  <c r="V107" i="22"/>
  <c r="AE107" i="22"/>
  <c r="AF107" i="22" s="1"/>
  <c r="AG107" i="22"/>
  <c r="AE108" i="22"/>
  <c r="AF108" i="22" s="1"/>
  <c r="AG108" i="22"/>
  <c r="AE109" i="22"/>
  <c r="AF109" i="22" s="1"/>
  <c r="AG109" i="22"/>
  <c r="Q110" i="22"/>
  <c r="R110" i="22"/>
  <c r="V110" i="22"/>
  <c r="AE110" i="22"/>
  <c r="AF110" i="22" s="1"/>
  <c r="AG110" i="22"/>
  <c r="Q111" i="22"/>
  <c r="R111" i="22"/>
  <c r="AE111" i="22"/>
  <c r="AF111" i="22" s="1"/>
  <c r="AG111" i="22"/>
  <c r="Q112" i="22"/>
  <c r="R112" i="22"/>
  <c r="AE112" i="22"/>
  <c r="AF112" i="22" s="1"/>
  <c r="AG112" i="22"/>
  <c r="Q113" i="22"/>
  <c r="R113" i="22"/>
  <c r="V113" i="22"/>
  <c r="AE113" i="22"/>
  <c r="AF113" i="22" s="1"/>
  <c r="AG113" i="22"/>
  <c r="Q114" i="22"/>
  <c r="R114" i="22"/>
  <c r="AE114" i="22"/>
  <c r="AF114" i="22" s="1"/>
  <c r="AG114" i="22"/>
  <c r="Q115" i="22"/>
  <c r="R115" i="22"/>
  <c r="AE115" i="22"/>
  <c r="AF115" i="22" s="1"/>
  <c r="AG115" i="22"/>
  <c r="Q116" i="22"/>
  <c r="R116" i="22"/>
  <c r="AE116" i="22"/>
  <c r="AF116" i="22" s="1"/>
  <c r="AG116" i="22"/>
  <c r="Q117" i="22"/>
  <c r="R117" i="22"/>
  <c r="AE117" i="22"/>
  <c r="AF117" i="22" s="1"/>
  <c r="AG117" i="22"/>
  <c r="Q118" i="22"/>
  <c r="R118" i="22"/>
  <c r="V118" i="22"/>
  <c r="AE118" i="22"/>
  <c r="AF118" i="22" s="1"/>
  <c r="AG118" i="22"/>
  <c r="Q119" i="22"/>
  <c r="R119" i="22"/>
  <c r="V119" i="22"/>
  <c r="AE119" i="22"/>
  <c r="AF119" i="22" s="1"/>
  <c r="AG119" i="22"/>
  <c r="Q120" i="22"/>
  <c r="R120" i="22"/>
  <c r="V120" i="22"/>
  <c r="AE120" i="22"/>
  <c r="AF120" i="22" s="1"/>
  <c r="AG120" i="22"/>
  <c r="Q121" i="22"/>
  <c r="R121" i="22"/>
  <c r="V121" i="22"/>
  <c r="AE121" i="22"/>
  <c r="AF121" i="22" s="1"/>
  <c r="AG121" i="22"/>
  <c r="Q122" i="22"/>
  <c r="R122" i="22"/>
  <c r="V122" i="22"/>
  <c r="AE122" i="22"/>
  <c r="AF122" i="22" s="1"/>
  <c r="AG122" i="22"/>
  <c r="Q123" i="22"/>
  <c r="R123" i="22"/>
  <c r="V123" i="22"/>
  <c r="AE123" i="22"/>
  <c r="AF123" i="22" s="1"/>
  <c r="AG123" i="22"/>
  <c r="Q124" i="22"/>
  <c r="R124" i="22"/>
  <c r="V124" i="22"/>
  <c r="AE124" i="22"/>
  <c r="AF124" i="22" s="1"/>
  <c r="AG124" i="22"/>
  <c r="Q125" i="22"/>
  <c r="R125" i="22"/>
  <c r="V125" i="22"/>
  <c r="AE125" i="22"/>
  <c r="AF125" i="22" s="1"/>
  <c r="AG125" i="22"/>
  <c r="Q126" i="22"/>
  <c r="R126" i="22"/>
  <c r="V126" i="22"/>
  <c r="AE126" i="22"/>
  <c r="AF126" i="22" s="1"/>
  <c r="AG126" i="22"/>
  <c r="Q127" i="22"/>
  <c r="R127" i="22"/>
  <c r="AE127" i="22"/>
  <c r="AF127" i="22" s="1"/>
  <c r="AG127" i="22"/>
  <c r="Q128" i="22"/>
  <c r="R128" i="22"/>
  <c r="V128" i="22"/>
  <c r="AE128" i="22"/>
  <c r="AF128" i="22" s="1"/>
  <c r="AG128" i="22"/>
  <c r="Q129" i="22"/>
  <c r="R129" i="22"/>
  <c r="V129" i="22"/>
  <c r="AE129" i="22"/>
  <c r="AF129" i="22" s="1"/>
  <c r="AG129" i="22"/>
  <c r="Q130" i="22"/>
  <c r="R130" i="22"/>
  <c r="V130" i="22"/>
  <c r="AE130" i="22"/>
  <c r="AF130" i="22" s="1"/>
  <c r="AG130" i="22"/>
  <c r="Q131" i="22"/>
  <c r="R131" i="22"/>
  <c r="V131" i="22"/>
  <c r="AE131" i="22"/>
  <c r="AF131" i="22" s="1"/>
  <c r="AG131" i="22"/>
  <c r="Q132" i="22"/>
  <c r="R132" i="22"/>
  <c r="V132" i="22"/>
  <c r="AE132" i="22"/>
  <c r="AF132" i="22" s="1"/>
  <c r="AG132" i="22"/>
  <c r="Q133" i="22"/>
  <c r="R133" i="22"/>
  <c r="V133" i="22"/>
  <c r="AE133" i="22"/>
  <c r="AF133" i="22" s="1"/>
  <c r="AG133" i="22"/>
  <c r="Q134" i="22"/>
  <c r="R134" i="22"/>
  <c r="V134" i="22"/>
  <c r="AE134" i="22"/>
  <c r="AF134" i="22" s="1"/>
  <c r="AG134" i="22"/>
  <c r="Q135" i="22"/>
  <c r="R135" i="22"/>
  <c r="V135" i="22"/>
  <c r="AE135" i="22"/>
  <c r="AF135" i="22" s="1"/>
  <c r="AG135" i="22"/>
  <c r="Q136" i="22"/>
  <c r="R136" i="22"/>
  <c r="V136" i="22"/>
  <c r="AE136" i="22"/>
  <c r="AF136" i="22" s="1"/>
  <c r="AG136" i="22"/>
  <c r="Q137" i="22"/>
  <c r="R137" i="22"/>
  <c r="V137" i="22"/>
  <c r="AE137" i="22"/>
  <c r="AF137" i="22" s="1"/>
  <c r="AG137" i="22"/>
  <c r="Q138" i="22"/>
  <c r="R138" i="22"/>
  <c r="V138" i="22"/>
  <c r="AE138" i="22"/>
  <c r="AF138" i="22" s="1"/>
  <c r="AG138" i="22"/>
  <c r="Q139" i="22"/>
  <c r="R139" i="22"/>
  <c r="V139" i="22"/>
  <c r="AE139" i="22"/>
  <c r="AF139" i="22" s="1"/>
  <c r="AG139" i="22"/>
  <c r="AE140" i="22"/>
  <c r="AF140" i="22" s="1"/>
  <c r="AG140" i="22"/>
  <c r="Q141" i="22"/>
  <c r="R141" i="22"/>
  <c r="AE141" i="22"/>
  <c r="AF141" i="22" s="1"/>
  <c r="AG141" i="22"/>
  <c r="Q142" i="22"/>
  <c r="R142" i="22"/>
  <c r="AE142" i="22"/>
  <c r="AF142" i="22" s="1"/>
  <c r="AG142" i="22"/>
  <c r="Q143" i="22"/>
  <c r="R143" i="22"/>
  <c r="V143" i="22"/>
  <c r="AE143" i="22"/>
  <c r="AF143" i="22" s="1"/>
  <c r="AG143" i="22"/>
  <c r="Q144" i="22"/>
  <c r="R144" i="22"/>
  <c r="V144" i="22"/>
  <c r="AE144" i="22"/>
  <c r="AF144" i="22" s="1"/>
  <c r="AG144" i="22"/>
  <c r="Q145" i="22"/>
  <c r="R145" i="22"/>
  <c r="V145" i="22"/>
  <c r="AE145" i="22"/>
  <c r="AF145" i="22" s="1"/>
  <c r="AG145" i="22"/>
  <c r="Q146" i="22"/>
  <c r="R146" i="22"/>
  <c r="V146" i="22"/>
  <c r="AE146" i="22"/>
  <c r="AF146" i="22" s="1"/>
  <c r="AG146" i="22"/>
  <c r="Q147" i="22"/>
  <c r="R147" i="22"/>
  <c r="V147" i="22"/>
  <c r="AE147" i="22"/>
  <c r="AF147" i="22" s="1"/>
  <c r="AG147" i="22"/>
  <c r="Q148" i="22"/>
  <c r="R148" i="22"/>
  <c r="V148" i="22"/>
  <c r="AE148" i="22"/>
  <c r="AF148" i="22" s="1"/>
  <c r="AG148" i="22"/>
  <c r="Q5" i="22"/>
  <c r="R5" i="22"/>
  <c r="V5" i="22"/>
  <c r="AE5" i="22"/>
  <c r="AF5" i="22" s="1"/>
  <c r="AG5" i="22"/>
  <c r="Q6" i="22"/>
  <c r="R6" i="22"/>
  <c r="AE6" i="22"/>
  <c r="AF6" i="22" s="1"/>
  <c r="AG6" i="22"/>
  <c r="V6" i="22"/>
  <c r="Q7" i="22"/>
  <c r="R7" i="22"/>
  <c r="AE7" i="22"/>
  <c r="AF7" i="22" s="1"/>
  <c r="AG7" i="22"/>
  <c r="V7" i="22"/>
  <c r="Q8" i="22"/>
  <c r="R8" i="22"/>
  <c r="V8" i="22"/>
  <c r="AE8" i="22"/>
  <c r="AF8" i="22" s="1"/>
  <c r="AG8" i="22"/>
  <c r="Q9" i="22"/>
  <c r="R9" i="22"/>
  <c r="AE9" i="22"/>
  <c r="AF9" i="22" s="1"/>
  <c r="AG9" i="22"/>
  <c r="V9" i="22"/>
  <c r="Q10" i="22"/>
  <c r="R10" i="22"/>
  <c r="V10" i="22"/>
  <c r="AE10" i="22"/>
  <c r="AF10" i="22" s="1"/>
  <c r="AG10" i="22"/>
  <c r="Q11" i="22"/>
  <c r="R11" i="22"/>
  <c r="AE11" i="22"/>
  <c r="AF11" i="22" s="1"/>
  <c r="AG11" i="22"/>
  <c r="V11" i="22"/>
  <c r="Q12" i="22"/>
  <c r="R12" i="22"/>
  <c r="V12" i="22"/>
  <c r="AE12" i="22"/>
  <c r="AF12" i="22" s="1"/>
  <c r="AG12" i="22"/>
  <c r="Q13" i="22"/>
  <c r="R13" i="22"/>
  <c r="AE13" i="22"/>
  <c r="AF13" i="22" s="1"/>
  <c r="AG13" i="22"/>
  <c r="V13" i="22"/>
  <c r="Q14" i="22"/>
  <c r="R14" i="22"/>
  <c r="V14" i="22"/>
  <c r="AE14" i="22"/>
  <c r="AF14" i="22" s="1"/>
  <c r="AG14" i="22"/>
  <c r="Q15" i="22"/>
  <c r="R15" i="22"/>
  <c r="AE15" i="22"/>
  <c r="AF15" i="22" s="1"/>
  <c r="AG15" i="22"/>
  <c r="V15" i="22"/>
  <c r="Q16" i="22"/>
  <c r="R16" i="22"/>
  <c r="V16" i="22"/>
  <c r="AE16" i="22"/>
  <c r="AF16" i="22" s="1"/>
  <c r="AG16" i="22"/>
  <c r="Q17" i="22"/>
  <c r="R17" i="22"/>
  <c r="AE17" i="22"/>
  <c r="AF17" i="22" s="1"/>
  <c r="AG17" i="22"/>
  <c r="V17" i="22"/>
  <c r="Q18" i="22"/>
  <c r="R18" i="22"/>
  <c r="V18" i="22"/>
  <c r="AE18" i="22"/>
  <c r="AF18" i="22" s="1"/>
  <c r="AG18" i="22"/>
  <c r="Q19" i="22"/>
  <c r="R19" i="22"/>
  <c r="AE19" i="22"/>
  <c r="AF19" i="22" s="1"/>
  <c r="AG19" i="22"/>
  <c r="V19" i="22"/>
  <c r="Q20" i="22"/>
  <c r="R20" i="22"/>
  <c r="V20" i="22"/>
  <c r="AE20" i="22"/>
  <c r="AF20" i="22" s="1"/>
  <c r="AG20" i="22"/>
  <c r="Q21" i="22"/>
  <c r="R21" i="22"/>
  <c r="AE21" i="22"/>
  <c r="AF21" i="22" s="1"/>
  <c r="AG21" i="22"/>
  <c r="V21" i="22"/>
  <c r="Q22" i="22"/>
  <c r="R22" i="22"/>
  <c r="V22" i="22"/>
  <c r="AE22" i="22"/>
  <c r="AF22" i="22" s="1"/>
  <c r="AG22" i="22"/>
  <c r="Q23" i="22"/>
  <c r="R23" i="22"/>
  <c r="AE23" i="22"/>
  <c r="AF23" i="22" s="1"/>
  <c r="AG23" i="22"/>
  <c r="V23" i="22"/>
  <c r="Q24" i="22"/>
  <c r="R24" i="22"/>
  <c r="V24" i="22"/>
  <c r="AE24" i="22"/>
  <c r="AF24" i="22" s="1"/>
  <c r="AG24" i="22"/>
  <c r="Q25" i="22"/>
  <c r="R25" i="22"/>
  <c r="AE25" i="22"/>
  <c r="AF25" i="22" s="1"/>
  <c r="AG25" i="22"/>
  <c r="V25" i="22"/>
  <c r="Q26" i="22"/>
  <c r="R26" i="22"/>
  <c r="V26" i="22"/>
  <c r="AE26" i="22"/>
  <c r="AF26" i="22" s="1"/>
  <c r="AG26" i="22"/>
  <c r="Q27" i="22"/>
  <c r="R27" i="22"/>
  <c r="AE27" i="22"/>
  <c r="AF27" i="22" s="1"/>
  <c r="AG27" i="22"/>
  <c r="V27" i="22"/>
  <c r="Q28" i="22"/>
  <c r="R28" i="22"/>
  <c r="V28" i="22"/>
  <c r="AE28" i="22"/>
  <c r="AF28" i="22" s="1"/>
  <c r="AG28" i="22"/>
  <c r="Q29" i="22"/>
  <c r="R29" i="22"/>
  <c r="AE29" i="22"/>
  <c r="AF29" i="22" s="1"/>
  <c r="AG29" i="22"/>
  <c r="V29" i="22"/>
  <c r="Q30" i="22"/>
  <c r="R30" i="22"/>
  <c r="V30" i="22"/>
  <c r="AE30" i="22"/>
  <c r="AF30" i="22" s="1"/>
  <c r="AG30" i="22"/>
  <c r="Q31" i="22"/>
  <c r="R31" i="22"/>
  <c r="AE31" i="22"/>
  <c r="AF31" i="22" s="1"/>
  <c r="AG31" i="22"/>
  <c r="V31" i="22"/>
  <c r="Q32" i="22"/>
  <c r="R32" i="22"/>
  <c r="V32" i="22"/>
  <c r="AE32" i="22"/>
  <c r="AF32" i="22" s="1"/>
  <c r="AG32" i="22"/>
  <c r="Q33" i="22"/>
  <c r="R33" i="22"/>
  <c r="AE33" i="22"/>
  <c r="AF33" i="22" s="1"/>
  <c r="AG33" i="22"/>
  <c r="V33" i="22"/>
  <c r="Q34" i="22"/>
  <c r="R34" i="22"/>
  <c r="V34" i="22"/>
  <c r="AE34" i="22"/>
  <c r="AF34" i="22" s="1"/>
  <c r="AG34" i="22"/>
  <c r="Q35" i="22"/>
  <c r="R35" i="22"/>
  <c r="AE35" i="22"/>
  <c r="AF35" i="22" s="1"/>
  <c r="AG35" i="22"/>
  <c r="V35" i="22"/>
  <c r="AE37" i="22"/>
  <c r="AF37" i="22" s="1"/>
  <c r="AG37" i="22"/>
  <c r="AE38" i="22"/>
  <c r="AF38" i="22" s="1"/>
  <c r="AG38" i="22"/>
  <c r="Q39" i="22"/>
  <c r="R39" i="22"/>
  <c r="AE39" i="22"/>
  <c r="AF39" i="22" s="1"/>
  <c r="AG39" i="22"/>
  <c r="Q40" i="22"/>
  <c r="R40" i="22"/>
  <c r="AE40" i="22"/>
  <c r="AF40" i="22" s="1"/>
  <c r="AG40" i="22"/>
  <c r="Q41" i="22"/>
  <c r="R41" i="22"/>
  <c r="V41" i="22"/>
  <c r="AE41" i="22"/>
  <c r="AF41" i="22" s="1"/>
  <c r="AG41" i="22"/>
  <c r="Q42" i="22"/>
  <c r="R42" i="22"/>
  <c r="AE42" i="22"/>
  <c r="AF42" i="22" s="1"/>
  <c r="AG42" i="22"/>
  <c r="Q43" i="22"/>
  <c r="R43" i="22"/>
  <c r="AE43" i="22"/>
  <c r="AF43" i="22" s="1"/>
  <c r="AG43" i="22"/>
  <c r="Q44" i="22"/>
  <c r="R44" i="22"/>
  <c r="AE44" i="22"/>
  <c r="AF44" i="22" s="1"/>
  <c r="AG44" i="22"/>
  <c r="Q45" i="22"/>
  <c r="R45" i="22"/>
  <c r="AE45" i="22"/>
  <c r="AF45" i="22" s="1"/>
  <c r="AG45" i="22"/>
  <c r="Q46" i="22"/>
  <c r="R46" i="22"/>
  <c r="AE46" i="22"/>
  <c r="AF46" i="22" s="1"/>
  <c r="AG46" i="22"/>
  <c r="Q47" i="22"/>
  <c r="R47" i="22"/>
  <c r="V47" i="22"/>
  <c r="AE47" i="22"/>
  <c r="AF47" i="22" s="1"/>
  <c r="AG47" i="22"/>
  <c r="AE48" i="22"/>
  <c r="AF48" i="22" s="1"/>
  <c r="AG48" i="22"/>
  <c r="Q49" i="22"/>
  <c r="R49" i="22"/>
  <c r="AE49" i="22"/>
  <c r="AF49" i="22" s="1"/>
  <c r="AG49" i="22"/>
  <c r="Q50" i="22"/>
  <c r="R50" i="22"/>
  <c r="AE50" i="22"/>
  <c r="AF50" i="22" s="1"/>
  <c r="AG50" i="22"/>
  <c r="Q51" i="22"/>
  <c r="R51" i="22"/>
  <c r="AE51" i="22"/>
  <c r="AF51" i="22" s="1"/>
  <c r="AG51" i="22"/>
  <c r="Q52" i="22"/>
  <c r="R52" i="22"/>
  <c r="AE52" i="22"/>
  <c r="AF52" i="22" s="1"/>
  <c r="AG52" i="22"/>
  <c r="Q53" i="22"/>
  <c r="R53" i="22"/>
  <c r="AE53" i="22"/>
  <c r="AF53" i="22" s="1"/>
  <c r="AG53" i="22"/>
  <c r="AE54" i="22"/>
  <c r="AF54" i="22" s="1"/>
  <c r="AG54" i="22"/>
  <c r="Q55" i="22"/>
  <c r="R55" i="22"/>
  <c r="AE55" i="22"/>
  <c r="AF55" i="22" s="1"/>
  <c r="AG55" i="22"/>
  <c r="AE56" i="22"/>
  <c r="AF56" i="22" s="1"/>
  <c r="AG56" i="22"/>
  <c r="AE57" i="22"/>
  <c r="AF57" i="22" s="1"/>
  <c r="AG57" i="22"/>
  <c r="AE58" i="22"/>
  <c r="AF58" i="22" s="1"/>
  <c r="AG58" i="22"/>
  <c r="Q59" i="22"/>
  <c r="R59" i="22"/>
  <c r="AE59" i="22"/>
  <c r="AF59" i="22" s="1"/>
  <c r="AG59" i="22"/>
  <c r="Q60" i="22"/>
  <c r="R60" i="22"/>
  <c r="AE60" i="22"/>
  <c r="AF60" i="22" s="1"/>
  <c r="AG60" i="22"/>
  <c r="Q61" i="22"/>
  <c r="R61" i="22"/>
  <c r="AE61" i="22"/>
  <c r="AF61" i="22" s="1"/>
  <c r="AG61" i="22"/>
  <c r="Q62" i="22"/>
  <c r="R62" i="22"/>
  <c r="AE62" i="22"/>
  <c r="AF62" i="22" s="1"/>
  <c r="AG62" i="22"/>
  <c r="Q63" i="22"/>
  <c r="R63" i="22"/>
  <c r="AE63" i="22"/>
  <c r="AF63" i="22" s="1"/>
  <c r="AG63" i="22"/>
  <c r="Q64" i="22"/>
  <c r="R64" i="22"/>
  <c r="AE64" i="22"/>
  <c r="AF64" i="22" s="1"/>
  <c r="AG64" i="22"/>
  <c r="Q65" i="22"/>
  <c r="R65" i="22"/>
  <c r="V65" i="22"/>
  <c r="AE65" i="22"/>
  <c r="AF65" i="22" s="1"/>
  <c r="AG65" i="22"/>
  <c r="AE66" i="22"/>
  <c r="AF66" i="22" s="1"/>
  <c r="AG66" i="22"/>
  <c r="Q67" i="22"/>
  <c r="R67" i="22"/>
  <c r="V67" i="22"/>
  <c r="AE67" i="22"/>
  <c r="AF67" i="22" s="1"/>
  <c r="AG67" i="22"/>
  <c r="Q68" i="22"/>
  <c r="R68" i="22"/>
  <c r="V68" i="22"/>
  <c r="AE68" i="22"/>
  <c r="AF68" i="22" s="1"/>
  <c r="AG68" i="22"/>
  <c r="Q69" i="22"/>
  <c r="R69" i="22"/>
  <c r="V69" i="22"/>
  <c r="AE69" i="22"/>
  <c r="AF69" i="22" s="1"/>
  <c r="AG69" i="22"/>
  <c r="Q70" i="22"/>
  <c r="R70" i="22"/>
  <c r="V70" i="22"/>
  <c r="AE70" i="22"/>
  <c r="AF70" i="22" s="1"/>
  <c r="AG70" i="22"/>
  <c r="Q71" i="22"/>
  <c r="R71" i="22"/>
  <c r="AE71" i="22"/>
  <c r="AF71" i="22" s="1"/>
  <c r="AG71" i="22"/>
  <c r="Q72" i="22"/>
  <c r="R72" i="22"/>
  <c r="AE72" i="22"/>
  <c r="AF72" i="22" s="1"/>
  <c r="AG72" i="22"/>
  <c r="AE73" i="22"/>
  <c r="AF73" i="22" s="1"/>
  <c r="AG73" i="22"/>
  <c r="Q74" i="22"/>
  <c r="R74" i="22"/>
  <c r="AE74" i="22"/>
  <c r="AF74" i="22" s="1"/>
  <c r="AG74" i="22"/>
  <c r="Q75" i="22"/>
  <c r="R75" i="22"/>
  <c r="AE75" i="22"/>
  <c r="AF75" i="22" s="1"/>
  <c r="AG75" i="22"/>
  <c r="Q76" i="22"/>
  <c r="R76" i="22"/>
  <c r="V76" i="22"/>
  <c r="AE76" i="22"/>
  <c r="AF76" i="22" s="1"/>
  <c r="AG76" i="22"/>
  <c r="AA68" i="6"/>
  <c r="M451" i="22" s="1"/>
  <c r="X68" i="6"/>
  <c r="AA69" i="6"/>
  <c r="M452" i="22" s="1"/>
  <c r="X69" i="6"/>
  <c r="X70" i="6"/>
  <c r="AA70" i="6"/>
  <c r="M453" i="22" s="1"/>
  <c r="W453" i="22" s="1"/>
  <c r="X71" i="6"/>
  <c r="AA71" i="6"/>
  <c r="M454" i="22" s="1"/>
  <c r="W454" i="22" s="1"/>
  <c r="X72" i="6"/>
  <c r="AA72" i="6"/>
  <c r="M455" i="22" s="1"/>
  <c r="W455" i="22" s="1"/>
  <c r="AA73" i="6"/>
  <c r="M456" i="22" s="1"/>
  <c r="W456" i="22" s="1"/>
  <c r="X73" i="6"/>
  <c r="AA74" i="6"/>
  <c r="M457" i="22" s="1"/>
  <c r="W457" i="22" s="1"/>
  <c r="X74" i="6"/>
  <c r="AA75" i="6"/>
  <c r="M458" i="22" s="1"/>
  <c r="W458" i="22" s="1"/>
  <c r="X75" i="6"/>
  <c r="AA76" i="6"/>
  <c r="M459" i="22" s="1"/>
  <c r="W459" i="22" s="1"/>
  <c r="X76" i="6"/>
  <c r="AA46" i="6"/>
  <c r="M429" i="22" s="1"/>
  <c r="X46" i="6"/>
  <c r="X47" i="6"/>
  <c r="AA47" i="6"/>
  <c r="M430" i="22" s="1"/>
  <c r="X48" i="6"/>
  <c r="AA48" i="6"/>
  <c r="M431" i="22" s="1"/>
  <c r="AA49" i="6"/>
  <c r="M432" i="22" s="1"/>
  <c r="X49" i="6"/>
  <c r="AA50" i="6"/>
  <c r="M433" i="22" s="1"/>
  <c r="X50" i="6"/>
  <c r="X51" i="6"/>
  <c r="AA51" i="6"/>
  <c r="M434" i="22" s="1"/>
  <c r="W434" i="22" s="1"/>
  <c r="X52" i="6"/>
  <c r="AA52" i="6"/>
  <c r="M435" i="22" s="1"/>
  <c r="W435" i="22" s="1"/>
  <c r="AA53" i="6"/>
  <c r="M436" i="22" s="1"/>
  <c r="W436" i="22" s="1"/>
  <c r="X53" i="6"/>
  <c r="AA54" i="6"/>
  <c r="M437" i="22" s="1"/>
  <c r="W437" i="22" s="1"/>
  <c r="X54" i="6"/>
  <c r="X55" i="6"/>
  <c r="AA55" i="6"/>
  <c r="M438" i="22" s="1"/>
  <c r="AA56" i="6"/>
  <c r="M439" i="22" s="1"/>
  <c r="W439" i="22" s="1"/>
  <c r="X56" i="6"/>
  <c r="X57" i="6"/>
  <c r="AA57" i="6"/>
  <c r="M440" i="22" s="1"/>
  <c r="W440" i="22" s="1"/>
  <c r="X58" i="6"/>
  <c r="AA58" i="6"/>
  <c r="M441" i="22" s="1"/>
  <c r="W441" i="22" s="1"/>
  <c r="X59" i="6"/>
  <c r="AA59" i="6"/>
  <c r="M442" i="22" s="1"/>
  <c r="W442" i="22" s="1"/>
  <c r="AA60" i="6"/>
  <c r="M443" i="22" s="1"/>
  <c r="W443" i="22" s="1"/>
  <c r="X60" i="6"/>
  <c r="AA61" i="6"/>
  <c r="M444" i="22" s="1"/>
  <c r="W444" i="22" s="1"/>
  <c r="X61" i="6"/>
  <c r="X62" i="6"/>
  <c r="AA62" i="6"/>
  <c r="M445" i="22" s="1"/>
  <c r="W445" i="22" s="1"/>
  <c r="X63" i="6"/>
  <c r="AA63" i="6"/>
  <c r="M446" i="22" s="1"/>
  <c r="W446" i="22" s="1"/>
  <c r="X64" i="6"/>
  <c r="AA64" i="6"/>
  <c r="M447" i="22" s="1"/>
  <c r="W447" i="22" s="1"/>
  <c r="X65" i="6"/>
  <c r="AA65" i="6"/>
  <c r="M448" i="22" s="1"/>
  <c r="W448" i="22" s="1"/>
  <c r="X66" i="6"/>
  <c r="AA66" i="6"/>
  <c r="M449" i="22" s="1"/>
  <c r="W449" i="22" s="1"/>
  <c r="X5" i="6"/>
  <c r="AB5" i="6" s="1"/>
  <c r="AA5" i="6"/>
  <c r="X6" i="6"/>
  <c r="AB6" i="6" s="1"/>
  <c r="AA6" i="6"/>
  <c r="X7" i="6"/>
  <c r="AB7" i="6" s="1"/>
  <c r="AA7" i="6"/>
  <c r="X8" i="6"/>
  <c r="AB8" i="6" s="1"/>
  <c r="AA8" i="6"/>
  <c r="X9" i="6"/>
  <c r="AB9" i="6" s="1"/>
  <c r="AA9" i="6"/>
  <c r="AA10" i="6"/>
  <c r="X10" i="6"/>
  <c r="AB10" i="6" s="1"/>
  <c r="X11" i="6"/>
  <c r="AB11" i="6" s="1"/>
  <c r="AA11" i="6"/>
  <c r="AA12" i="6"/>
  <c r="X12" i="6"/>
  <c r="AB12" i="6" s="1"/>
  <c r="X13" i="6"/>
  <c r="AB13" i="6" s="1"/>
  <c r="AA13" i="6"/>
  <c r="X14" i="6"/>
  <c r="AB14" i="6" s="1"/>
  <c r="AA14" i="6"/>
  <c r="X15" i="6"/>
  <c r="AB15" i="6" s="1"/>
  <c r="AA15" i="6"/>
  <c r="AA16" i="6"/>
  <c r="X16" i="6"/>
  <c r="AB16" i="6" s="1"/>
  <c r="AA17" i="6"/>
  <c r="X17" i="6"/>
  <c r="AB17" i="6" s="1"/>
  <c r="X18" i="6"/>
  <c r="AB18" i="6" s="1"/>
  <c r="AA18" i="6"/>
  <c r="X19" i="6"/>
  <c r="AB19" i="6" s="1"/>
  <c r="AA19" i="6"/>
  <c r="X20" i="6"/>
  <c r="AB20" i="6" s="1"/>
  <c r="AA20" i="6"/>
  <c r="AA21" i="6"/>
  <c r="X21" i="6"/>
  <c r="AB21" i="6" s="1"/>
  <c r="X22" i="6"/>
  <c r="AB22" i="6" s="1"/>
  <c r="AA22" i="6"/>
  <c r="X23" i="6"/>
  <c r="AB23" i="6" s="1"/>
  <c r="AA23" i="6"/>
  <c r="X24" i="6"/>
  <c r="AB24" i="6" s="1"/>
  <c r="AA24" i="6"/>
  <c r="X25" i="6"/>
  <c r="AB25" i="6" s="1"/>
  <c r="AA25" i="6"/>
  <c r="AA26" i="6"/>
  <c r="X26" i="6"/>
  <c r="AB26" i="6" s="1"/>
  <c r="X27" i="6"/>
  <c r="AB27" i="6" s="1"/>
  <c r="AA27" i="6"/>
  <c r="X28" i="6"/>
  <c r="AB28" i="6" s="1"/>
  <c r="AA28" i="6"/>
  <c r="AA29" i="6"/>
  <c r="X29" i="6"/>
  <c r="AB29" i="6" s="1"/>
  <c r="X30" i="6"/>
  <c r="AB30" i="6" s="1"/>
  <c r="AA30" i="6"/>
  <c r="X31" i="6"/>
  <c r="AB31" i="6" s="1"/>
  <c r="AA31" i="6"/>
  <c r="X32" i="6"/>
  <c r="AB32" i="6" s="1"/>
  <c r="AA32" i="6"/>
  <c r="X33" i="6"/>
  <c r="AB33" i="6" s="1"/>
  <c r="AA33" i="6"/>
  <c r="AA34" i="6"/>
  <c r="X34" i="6"/>
  <c r="AB34" i="6" s="1"/>
  <c r="X35" i="6"/>
  <c r="AB35" i="6" s="1"/>
  <c r="AA35" i="6"/>
  <c r="X36" i="6"/>
  <c r="AB36" i="6" s="1"/>
  <c r="AA36" i="6"/>
  <c r="X37" i="6"/>
  <c r="AB37" i="6" s="1"/>
  <c r="AA37" i="6"/>
  <c r="X38" i="6"/>
  <c r="AB38" i="6" s="1"/>
  <c r="AA38" i="6"/>
  <c r="X39" i="6"/>
  <c r="AB39" i="6" s="1"/>
  <c r="AA39" i="6"/>
  <c r="X40" i="6"/>
  <c r="AB40" i="6" s="1"/>
  <c r="AA40" i="6"/>
  <c r="X41" i="6"/>
  <c r="AB41" i="6" s="1"/>
  <c r="AA41" i="6"/>
  <c r="AS25" i="5"/>
  <c r="AW25" i="5" s="1"/>
  <c r="AV25" i="5"/>
  <c r="AS26" i="5"/>
  <c r="AW26" i="5" s="1"/>
  <c r="AV26" i="5"/>
  <c r="AS27" i="5"/>
  <c r="AW27" i="5" s="1"/>
  <c r="AV27" i="5"/>
  <c r="AS28" i="5"/>
  <c r="AW28" i="5" s="1"/>
  <c r="AV28" i="5"/>
  <c r="AS29" i="5"/>
  <c r="AW29" i="5" s="1"/>
  <c r="AV29" i="5"/>
  <c r="AS30" i="5"/>
  <c r="AW30" i="5" s="1"/>
  <c r="AV30" i="5"/>
  <c r="AS31" i="5"/>
  <c r="AW31" i="5" s="1"/>
  <c r="AV31" i="5"/>
  <c r="AS32" i="5"/>
  <c r="AW32" i="5" s="1"/>
  <c r="AV32" i="5"/>
  <c r="AS33" i="5"/>
  <c r="AW33" i="5" s="1"/>
  <c r="AV33" i="5"/>
  <c r="AS34" i="5"/>
  <c r="AW34" i="5" s="1"/>
  <c r="AV34" i="5"/>
  <c r="AS35" i="5"/>
  <c r="AW35" i="5" s="1"/>
  <c r="AV35" i="5"/>
  <c r="AS36" i="5"/>
  <c r="AW36" i="5" s="1"/>
  <c r="AV36" i="5"/>
  <c r="AS37" i="5"/>
  <c r="AW37" i="5" s="1"/>
  <c r="AV37" i="5"/>
  <c r="AS38" i="5"/>
  <c r="AW38" i="5" s="1"/>
  <c r="AV38" i="5"/>
  <c r="AS39" i="5"/>
  <c r="AW39" i="5" s="1"/>
  <c r="AV39" i="5"/>
  <c r="AS40" i="5"/>
  <c r="AW40" i="5" s="1"/>
  <c r="AV40" i="5"/>
  <c r="AS41" i="5"/>
  <c r="AW41" i="5" s="1"/>
  <c r="AV41" i="5"/>
  <c r="AS42" i="5"/>
  <c r="AW42" i="5" s="1"/>
  <c r="AV42" i="5"/>
  <c r="AS43" i="5"/>
  <c r="AW43" i="5" s="1"/>
  <c r="AV43" i="5"/>
  <c r="AS44" i="5"/>
  <c r="AW44" i="5" s="1"/>
  <c r="AV44" i="5"/>
  <c r="AS45" i="5"/>
  <c r="AW45" i="5" s="1"/>
  <c r="AV45" i="5"/>
  <c r="AS46" i="5"/>
  <c r="AW46" i="5" s="1"/>
  <c r="AV46" i="5"/>
  <c r="AS47" i="5"/>
  <c r="AW47" i="5" s="1"/>
  <c r="AV47" i="5"/>
  <c r="AS48" i="5"/>
  <c r="AW48" i="5" s="1"/>
  <c r="AV48" i="5"/>
  <c r="AS21" i="5"/>
  <c r="AW21" i="5" s="1"/>
  <c r="AV21" i="5"/>
  <c r="AS22" i="5"/>
  <c r="AW22" i="5" s="1"/>
  <c r="AV22" i="5"/>
  <c r="AS23" i="5"/>
  <c r="AV23" i="5"/>
  <c r="M362" i="22" s="1"/>
  <c r="W362" i="22" s="1"/>
  <c r="AS5" i="5"/>
  <c r="AW5" i="5" s="1"/>
  <c r="AV5" i="5"/>
  <c r="AS6" i="5"/>
  <c r="AW6" i="5" s="1"/>
  <c r="AV6" i="5"/>
  <c r="AS7" i="5"/>
  <c r="AW7" i="5" s="1"/>
  <c r="AV7" i="5"/>
  <c r="AS8" i="5"/>
  <c r="AW8" i="5" s="1"/>
  <c r="AV8" i="5"/>
  <c r="AS9" i="5"/>
  <c r="AW9" i="5" s="1"/>
  <c r="AV9" i="5"/>
  <c r="AS10" i="5"/>
  <c r="AW10" i="5" s="1"/>
  <c r="AV10" i="5"/>
  <c r="AS11" i="5"/>
  <c r="AW11" i="5" s="1"/>
  <c r="AV11" i="5"/>
  <c r="AS12" i="5"/>
  <c r="AW12" i="5" s="1"/>
  <c r="AV12" i="5"/>
  <c r="AS13" i="5"/>
  <c r="AW13" i="5" s="1"/>
  <c r="AV13" i="5"/>
  <c r="AS14" i="5"/>
  <c r="AW14" i="5" s="1"/>
  <c r="AV14" i="5"/>
  <c r="AS15" i="5"/>
  <c r="AW15" i="5" s="1"/>
  <c r="AV15" i="5"/>
  <c r="AS16" i="5"/>
  <c r="AW16" i="5" s="1"/>
  <c r="AV16" i="5"/>
  <c r="AS17" i="5"/>
  <c r="AW17" i="5" s="1"/>
  <c r="AV17" i="5"/>
  <c r="AS18" i="5"/>
  <c r="AW18" i="5" s="1"/>
  <c r="AV18" i="5"/>
  <c r="AS19" i="5"/>
  <c r="AW19" i="5" s="1"/>
  <c r="AV19" i="5"/>
  <c r="W25" i="5"/>
  <c r="Z25" i="5"/>
  <c r="M320" i="22" s="1"/>
  <c r="W26" i="5"/>
  <c r="Z26" i="5"/>
  <c r="M321" i="22" s="1"/>
  <c r="W321" i="22" s="1"/>
  <c r="W27" i="5"/>
  <c r="Z27" i="5"/>
  <c r="M322" i="22" s="1"/>
  <c r="W322" i="22" s="1"/>
  <c r="W28" i="5"/>
  <c r="Z28" i="5"/>
  <c r="M323" i="22" s="1"/>
  <c r="W323" i="22" s="1"/>
  <c r="W29" i="5"/>
  <c r="Z29" i="5"/>
  <c r="M324" i="22" s="1"/>
  <c r="W324" i="22" s="1"/>
  <c r="W30" i="5"/>
  <c r="Z30" i="5"/>
  <c r="M325" i="22" s="1"/>
  <c r="W325" i="22" s="1"/>
  <c r="W31" i="5"/>
  <c r="Z31" i="5"/>
  <c r="M326" i="22" s="1"/>
  <c r="W32" i="5"/>
  <c r="Z32" i="5"/>
  <c r="M327" i="22" s="1"/>
  <c r="W327" i="22" s="1"/>
  <c r="W33" i="5"/>
  <c r="Z33" i="5"/>
  <c r="M328" i="22" s="1"/>
  <c r="W34" i="5"/>
  <c r="Z34" i="5"/>
  <c r="M329" i="22" s="1"/>
  <c r="W35" i="5"/>
  <c r="Z35" i="5"/>
  <c r="M330" i="22" s="1"/>
  <c r="W36" i="5"/>
  <c r="Z36" i="5"/>
  <c r="M331" i="22" s="1"/>
  <c r="W331" i="22" s="1"/>
  <c r="W37" i="5"/>
  <c r="Z37" i="5"/>
  <c r="M332" i="22" s="1"/>
  <c r="W332" i="22" s="1"/>
  <c r="W38" i="5"/>
  <c r="Z38" i="5"/>
  <c r="M333" i="22" s="1"/>
  <c r="W333" i="22" s="1"/>
  <c r="W39" i="5"/>
  <c r="Z39" i="5"/>
  <c r="M334" i="22" s="1"/>
  <c r="W334" i="22" s="1"/>
  <c r="W40" i="5"/>
  <c r="AA40" i="5" s="1"/>
  <c r="Z40" i="5"/>
  <c r="W41" i="5"/>
  <c r="Z41" i="5"/>
  <c r="M336" i="22" s="1"/>
  <c r="W42" i="5"/>
  <c r="AA42" i="5" s="1"/>
  <c r="Z42" i="5"/>
  <c r="W43" i="5"/>
  <c r="AA43" i="5" s="1"/>
  <c r="Z43" i="5"/>
  <c r="W44" i="5"/>
  <c r="AA44" i="5" s="1"/>
  <c r="Z44" i="5"/>
  <c r="W46" i="5"/>
  <c r="Z46" i="5"/>
  <c r="M341" i="22" s="1"/>
  <c r="W47" i="5"/>
  <c r="Z47" i="5"/>
  <c r="M342" i="22" s="1"/>
  <c r="W342" i="22" s="1"/>
  <c r="W48" i="5"/>
  <c r="Z48" i="5"/>
  <c r="M343" i="22" s="1"/>
  <c r="W343" i="22" s="1"/>
  <c r="W21" i="5"/>
  <c r="Z21" i="5"/>
  <c r="M316" i="22" s="1"/>
  <c r="W22" i="5"/>
  <c r="Z22" i="5"/>
  <c r="M317" i="22" s="1"/>
  <c r="W317" i="22" s="1"/>
  <c r="W5" i="5"/>
  <c r="AA5" i="5" s="1"/>
  <c r="Z5" i="5"/>
  <c r="W6" i="5"/>
  <c r="AA6" i="5" s="1"/>
  <c r="Z6" i="5"/>
  <c r="W7" i="5"/>
  <c r="AA7" i="5" s="1"/>
  <c r="Z7" i="5"/>
  <c r="W8" i="5"/>
  <c r="AA8" i="5" s="1"/>
  <c r="Z8" i="5"/>
  <c r="W9" i="5"/>
  <c r="AA9" i="5" s="1"/>
  <c r="Z9" i="5"/>
  <c r="W10" i="5"/>
  <c r="AA10" i="5" s="1"/>
  <c r="Z10" i="5"/>
  <c r="W11" i="5"/>
  <c r="AA11" i="5" s="1"/>
  <c r="Z11" i="5"/>
  <c r="W12" i="5"/>
  <c r="AA12" i="5" s="1"/>
  <c r="Z12" i="5"/>
  <c r="W13" i="5"/>
  <c r="AA13" i="5" s="1"/>
  <c r="Z13" i="5"/>
  <c r="W14" i="5"/>
  <c r="AA14" i="5" s="1"/>
  <c r="Z14" i="5"/>
  <c r="W15" i="5"/>
  <c r="AA15" i="5" s="1"/>
  <c r="Z15" i="5"/>
  <c r="W16" i="5"/>
  <c r="AA16" i="5" s="1"/>
  <c r="Z16" i="5"/>
  <c r="W17" i="5"/>
  <c r="AA17" i="5" s="1"/>
  <c r="Z17" i="5"/>
  <c r="W18" i="5"/>
  <c r="AA18" i="5" s="1"/>
  <c r="Z18" i="5"/>
  <c r="W19" i="5"/>
  <c r="AA19" i="5" s="1"/>
  <c r="Z19" i="5"/>
  <c r="BK71" i="4"/>
  <c r="BL71" i="4"/>
  <c r="BM71" i="4"/>
  <c r="BO71" i="4"/>
  <c r="AB71" i="4"/>
  <c r="Y71" i="4"/>
  <c r="BH71" i="4" s="1"/>
  <c r="Y72" i="4"/>
  <c r="BH72" i="4" s="1"/>
  <c r="AB72" i="4"/>
  <c r="BK72" i="4"/>
  <c r="BL72" i="4"/>
  <c r="BM72" i="4"/>
  <c r="BO72" i="4"/>
  <c r="AB73" i="4"/>
  <c r="Y73" i="4"/>
  <c r="BF73" i="4"/>
  <c r="AS73" i="4"/>
  <c r="BH73" i="4"/>
  <c r="BK73" i="4"/>
  <c r="BL73" i="4"/>
  <c r="BM73" i="4"/>
  <c r="BO73" i="4"/>
  <c r="BL74" i="4"/>
  <c r="Y74" i="4"/>
  <c r="BH74" i="4" s="1"/>
  <c r="AB74" i="4"/>
  <c r="BF74" i="4"/>
  <c r="AS74" i="4"/>
  <c r="Y75" i="4"/>
  <c r="AB75" i="4"/>
  <c r="BH75" i="4"/>
  <c r="BL75" i="4"/>
  <c r="BF76" i="4"/>
  <c r="AS76" i="4"/>
  <c r="AQ76" i="4"/>
  <c r="AB76" i="4"/>
  <c r="Y76" i="4"/>
  <c r="BH76" i="4" s="1"/>
  <c r="BK76" i="4"/>
  <c r="BL76" i="4"/>
  <c r="BM76" i="4" s="1"/>
  <c r="BO76" i="4"/>
  <c r="AQ77" i="4"/>
  <c r="AB77" i="4"/>
  <c r="Y77" i="4"/>
  <c r="BF77" i="4"/>
  <c r="AS77" i="4"/>
  <c r="BH77" i="4"/>
  <c r="BK77" i="4"/>
  <c r="BL77" i="4"/>
  <c r="BM77" i="4"/>
  <c r="BO77" i="4"/>
  <c r="BF78" i="4"/>
  <c r="AS78" i="4"/>
  <c r="BK78" i="4"/>
  <c r="BL78" i="4"/>
  <c r="BM78" i="4"/>
  <c r="BO78" i="4"/>
  <c r="AQ78" i="4"/>
  <c r="AB78" i="4"/>
  <c r="Y78" i="4"/>
  <c r="BH78" i="4" s="1"/>
  <c r="AB79" i="4"/>
  <c r="M295" i="22" s="1"/>
  <c r="W295" i="22" s="1"/>
  <c r="AQ79" i="4"/>
  <c r="Y79" i="4"/>
  <c r="BH79" i="4"/>
  <c r="BK79" i="4"/>
  <c r="BL79" i="4"/>
  <c r="BM79" i="4"/>
  <c r="BO79" i="4"/>
  <c r="BK80" i="4"/>
  <c r="BL80" i="4"/>
  <c r="BM80" i="4"/>
  <c r="BO80" i="4"/>
  <c r="AB80" i="4"/>
  <c r="M296" i="22" s="1"/>
  <c r="W296" i="22" s="1"/>
  <c r="AQ80" i="4"/>
  <c r="Y80" i="4"/>
  <c r="BH80" i="4" s="1"/>
  <c r="Y81" i="4"/>
  <c r="AB81" i="4"/>
  <c r="M297" i="22" s="1"/>
  <c r="W297" i="22" s="1"/>
  <c r="AQ81" i="4"/>
  <c r="BF81" i="4"/>
  <c r="AS81" i="4"/>
  <c r="BH81" i="4"/>
  <c r="BK81" i="4"/>
  <c r="BL81" i="4"/>
  <c r="BM81" i="4"/>
  <c r="BO81" i="4"/>
  <c r="Y82" i="4"/>
  <c r="AB82" i="4"/>
  <c r="M298" i="22" s="1"/>
  <c r="W298" i="22" s="1"/>
  <c r="AQ82" i="4"/>
  <c r="BH82" i="4"/>
  <c r="BK82" i="4"/>
  <c r="BL82" i="4"/>
  <c r="BM82" i="4"/>
  <c r="BO82" i="4"/>
  <c r="BF82" i="4"/>
  <c r="AS82" i="4"/>
  <c r="BK83" i="4"/>
  <c r="BL83" i="4"/>
  <c r="BM83" i="4"/>
  <c r="BO83" i="4"/>
  <c r="Y83" i="4"/>
  <c r="BH83" i="4" s="1"/>
  <c r="AQ83" i="4"/>
  <c r="AB83" i="4"/>
  <c r="M299" i="22" s="1"/>
  <c r="W299" i="22" s="1"/>
  <c r="BF66" i="4"/>
  <c r="AS66" i="4"/>
  <c r="Y66" i="4"/>
  <c r="AB66" i="4"/>
  <c r="Y67" i="4"/>
  <c r="AB67" i="4"/>
  <c r="BH67" i="4"/>
  <c r="BK67" i="4"/>
  <c r="BL67" i="4"/>
  <c r="BM67" i="4"/>
  <c r="BO67" i="4"/>
  <c r="BF67" i="4"/>
  <c r="AS67" i="4"/>
  <c r="Y68" i="4"/>
  <c r="AB68" i="4"/>
  <c r="M284" i="22" s="1"/>
  <c r="W284" i="22" s="1"/>
  <c r="AQ68" i="4"/>
  <c r="BH68" i="4"/>
  <c r="BK68" i="4"/>
  <c r="BL68" i="4"/>
  <c r="BM68" i="4"/>
  <c r="BO68" i="4"/>
  <c r="BF69" i="4"/>
  <c r="AS69" i="4"/>
  <c r="AQ69" i="4"/>
  <c r="AB69" i="4"/>
  <c r="M285" i="22" s="1"/>
  <c r="W285" i="22" s="1"/>
  <c r="Y69" i="4"/>
  <c r="BH69" i="4"/>
  <c r="BK69" i="4"/>
  <c r="BL69" i="4"/>
  <c r="BM69" i="4"/>
  <c r="BO69" i="4"/>
  <c r="BF5" i="4"/>
  <c r="AS5" i="4"/>
  <c r="Y5" i="4"/>
  <c r="AQ5" i="4"/>
  <c r="AB5" i="4"/>
  <c r="BH5" i="4"/>
  <c r="BK5" i="4"/>
  <c r="BL5" i="4"/>
  <c r="BM5" i="4"/>
  <c r="BO5" i="4"/>
  <c r="AQ6" i="4"/>
  <c r="Y6" i="4"/>
  <c r="AB6" i="4"/>
  <c r="BH6" i="4"/>
  <c r="BK6" i="4"/>
  <c r="BL6" i="4"/>
  <c r="BM6" i="4"/>
  <c r="BO6" i="4"/>
  <c r="BF6" i="4"/>
  <c r="AS6" i="4"/>
  <c r="BK7" i="4"/>
  <c r="BL7" i="4"/>
  <c r="BM7" i="4"/>
  <c r="BO7" i="4"/>
  <c r="BF7" i="4"/>
  <c r="AS7" i="4"/>
  <c r="AQ7" i="4"/>
  <c r="Y7" i="4"/>
  <c r="BH7" i="4" s="1"/>
  <c r="AB7" i="4"/>
  <c r="BF8" i="4"/>
  <c r="AS8" i="4"/>
  <c r="BK8" i="4"/>
  <c r="BL8" i="4"/>
  <c r="BM8" i="4"/>
  <c r="BO8" i="4"/>
  <c r="AQ8" i="4"/>
  <c r="Y8" i="4"/>
  <c r="BH8" i="4" s="1"/>
  <c r="AB8" i="4"/>
  <c r="BF9" i="4"/>
  <c r="AS9" i="4"/>
  <c r="Y9" i="4"/>
  <c r="AB9" i="4"/>
  <c r="AQ9" i="4"/>
  <c r="BH9" i="4"/>
  <c r="BK9" i="4"/>
  <c r="BL9" i="4"/>
  <c r="BM9" i="4"/>
  <c r="BO9" i="4"/>
  <c r="Y10" i="4"/>
  <c r="AB10" i="4"/>
  <c r="AQ10" i="4"/>
  <c r="BF10" i="4"/>
  <c r="AS10" i="4"/>
  <c r="BH10" i="4"/>
  <c r="BK10" i="4"/>
  <c r="BL10" i="4"/>
  <c r="BM10" i="4"/>
  <c r="BO10" i="4"/>
  <c r="BF11" i="4"/>
  <c r="AS11" i="4"/>
  <c r="BK11" i="4"/>
  <c r="BL11" i="4"/>
  <c r="BM11" i="4"/>
  <c r="BO11" i="4"/>
  <c r="Y11" i="4"/>
  <c r="BH11" i="4" s="1"/>
  <c r="AB11" i="4"/>
  <c r="AQ11" i="4"/>
  <c r="BF12" i="4"/>
  <c r="AS12" i="4"/>
  <c r="BK12" i="4"/>
  <c r="BL12" i="4"/>
  <c r="BM12" i="4"/>
  <c r="BO12" i="4"/>
  <c r="Y12" i="4"/>
  <c r="BH12" i="4" s="1"/>
  <c r="AB12" i="4"/>
  <c r="AQ12" i="4"/>
  <c r="BF13" i="4"/>
  <c r="AS13" i="4"/>
  <c r="BK13" i="4"/>
  <c r="BL13" i="4"/>
  <c r="BM13" i="4"/>
  <c r="BO13" i="4"/>
  <c r="Y13" i="4"/>
  <c r="BH13" i="4" s="1"/>
  <c r="AB13" i="4"/>
  <c r="AQ13" i="4"/>
  <c r="BK14" i="4"/>
  <c r="BL14" i="4"/>
  <c r="BM14" i="4"/>
  <c r="BO14" i="4"/>
  <c r="BF14" i="4"/>
  <c r="AS14" i="4"/>
  <c r="AQ14" i="4"/>
  <c r="Y14" i="4"/>
  <c r="BH14" i="4" s="1"/>
  <c r="AB14" i="4"/>
  <c r="Y15" i="4"/>
  <c r="AB15" i="4"/>
  <c r="AQ15" i="4"/>
  <c r="BF15" i="4"/>
  <c r="AS15" i="4"/>
  <c r="BH15" i="4"/>
  <c r="BK15" i="4"/>
  <c r="BL15" i="4"/>
  <c r="BM15" i="4"/>
  <c r="BO15" i="4"/>
  <c r="BF16" i="4"/>
  <c r="AS16" i="4"/>
  <c r="AQ16" i="4"/>
  <c r="Y16" i="4"/>
  <c r="AB16" i="4"/>
  <c r="BH16" i="4"/>
  <c r="BK16" i="4"/>
  <c r="BL16" i="4"/>
  <c r="BM16" i="4"/>
  <c r="BO16" i="4"/>
  <c r="BF17" i="4"/>
  <c r="AS17" i="4"/>
  <c r="AB17" i="4"/>
  <c r="AQ17" i="4"/>
  <c r="Y17" i="4"/>
  <c r="BH17" i="4"/>
  <c r="BK17" i="4"/>
  <c r="BL17" i="4"/>
  <c r="BM17" i="4"/>
  <c r="BO17" i="4"/>
  <c r="BF18" i="4"/>
  <c r="AS18" i="4"/>
  <c r="BK18" i="4"/>
  <c r="BL18" i="4"/>
  <c r="BM18" i="4"/>
  <c r="BO18" i="4"/>
  <c r="AB18" i="4"/>
  <c r="AQ18" i="4"/>
  <c r="Y18" i="4"/>
  <c r="BH18" i="4" s="1"/>
  <c r="Y19" i="4"/>
  <c r="AB19" i="4"/>
  <c r="AQ19" i="4"/>
  <c r="BF19" i="4"/>
  <c r="AS19" i="4"/>
  <c r="BH19" i="4"/>
  <c r="BK19" i="4"/>
  <c r="BL19" i="4"/>
  <c r="BM19" i="4"/>
  <c r="BO19" i="4"/>
  <c r="BF20" i="4"/>
  <c r="AS20" i="4"/>
  <c r="BK20" i="4"/>
  <c r="BL20" i="4"/>
  <c r="BM20" i="4"/>
  <c r="BO20" i="4"/>
  <c r="Y20" i="4"/>
  <c r="BH20" i="4" s="1"/>
  <c r="AQ20" i="4"/>
  <c r="AB20" i="4"/>
  <c r="AB21" i="4"/>
  <c r="AQ21" i="4"/>
  <c r="Y21" i="4"/>
  <c r="BF21" i="4"/>
  <c r="AS21" i="4"/>
  <c r="BH21" i="4"/>
  <c r="BK21" i="4"/>
  <c r="BL21" i="4"/>
  <c r="BM21" i="4"/>
  <c r="BO21" i="4"/>
  <c r="BF22" i="4"/>
  <c r="AS22" i="4"/>
  <c r="Y22" i="4"/>
  <c r="AQ22" i="4"/>
  <c r="AB22" i="4"/>
  <c r="BH22" i="4"/>
  <c r="BK22" i="4"/>
  <c r="BL22" i="4"/>
  <c r="BM22" i="4"/>
  <c r="BO22" i="4"/>
  <c r="BF23" i="4"/>
  <c r="AS23" i="4"/>
  <c r="BK23" i="4"/>
  <c r="BL23" i="4"/>
  <c r="BM23" i="4"/>
  <c r="BO23" i="4"/>
  <c r="Y23" i="4"/>
  <c r="BH23" i="4" s="1"/>
  <c r="AQ23" i="4"/>
  <c r="AB23" i="4"/>
  <c r="AB24" i="4"/>
  <c r="Y24" i="4"/>
  <c r="AQ24" i="4"/>
  <c r="BH24" i="4"/>
  <c r="BK24" i="4"/>
  <c r="BL24" i="4"/>
  <c r="BM24" i="4"/>
  <c r="BO24" i="4"/>
  <c r="BF24" i="4"/>
  <c r="AS24" i="4"/>
  <c r="BF25" i="4"/>
  <c r="AS25" i="4"/>
  <c r="BK25" i="4"/>
  <c r="BL25" i="4"/>
  <c r="BM25" i="4"/>
  <c r="BO25" i="4"/>
  <c r="AB25" i="4"/>
  <c r="Y25" i="4"/>
  <c r="BH25" i="4" s="1"/>
  <c r="AQ25" i="4"/>
  <c r="BF26" i="4"/>
  <c r="AS26" i="4"/>
  <c r="BK26" i="4"/>
  <c r="BL26" i="4"/>
  <c r="BM26" i="4"/>
  <c r="BO26" i="4"/>
  <c r="Y26" i="4"/>
  <c r="BH26" i="4" s="1"/>
  <c r="AQ26" i="4"/>
  <c r="AB26" i="4"/>
  <c r="BF27" i="4"/>
  <c r="AS27" i="4"/>
  <c r="BK27" i="4"/>
  <c r="BL27" i="4"/>
  <c r="BM27" i="4"/>
  <c r="BO27" i="4"/>
  <c r="Y27" i="4"/>
  <c r="BH27" i="4" s="1"/>
  <c r="AB27" i="4"/>
  <c r="AQ27" i="4"/>
  <c r="AQ28" i="4"/>
  <c r="Y28" i="4"/>
  <c r="AB28" i="4"/>
  <c r="BF28" i="4"/>
  <c r="AS28" i="4"/>
  <c r="BH28" i="4"/>
  <c r="BK28" i="4"/>
  <c r="BL28" i="4"/>
  <c r="BM28" i="4"/>
  <c r="BO28" i="4"/>
  <c r="BK29" i="4"/>
  <c r="BL29" i="4"/>
  <c r="BM29" i="4"/>
  <c r="BO29" i="4"/>
  <c r="AQ29" i="4"/>
  <c r="Y29" i="4"/>
  <c r="BH29" i="4" s="1"/>
  <c r="AB29" i="4"/>
  <c r="BF29" i="4"/>
  <c r="AS29" i="4"/>
  <c r="BK30" i="4"/>
  <c r="BL30" i="4"/>
  <c r="BM30" i="4"/>
  <c r="BO30" i="4"/>
  <c r="BF30" i="4"/>
  <c r="AS30" i="4"/>
  <c r="AB30" i="4"/>
  <c r="Y30" i="4"/>
  <c r="BH30" i="4" s="1"/>
  <c r="AQ30" i="4"/>
  <c r="BK31" i="4"/>
  <c r="BL31" i="4"/>
  <c r="BM31" i="4"/>
  <c r="BO31" i="4"/>
  <c r="AB31" i="4"/>
  <c r="Y31" i="4"/>
  <c r="BH31" i="4" s="1"/>
  <c r="AQ31" i="4"/>
  <c r="BF31" i="4"/>
  <c r="AS31" i="4"/>
  <c r="BK32" i="4"/>
  <c r="BL32" i="4"/>
  <c r="BM32" i="4"/>
  <c r="BO32" i="4"/>
  <c r="BF32" i="4"/>
  <c r="AS32" i="4"/>
  <c r="Y32" i="4"/>
  <c r="BH32" i="4" s="1"/>
  <c r="AQ32" i="4"/>
  <c r="AB32" i="4"/>
  <c r="BF33" i="4"/>
  <c r="AS33" i="4"/>
  <c r="AB33" i="4"/>
  <c r="AQ33" i="4"/>
  <c r="Y33" i="4"/>
  <c r="BH33" i="4"/>
  <c r="BK33" i="4"/>
  <c r="BL33" i="4"/>
  <c r="BM33" i="4"/>
  <c r="BO33" i="4"/>
  <c r="BK34" i="4"/>
  <c r="BL34" i="4"/>
  <c r="BM34" i="4"/>
  <c r="BO34" i="4"/>
  <c r="Y34" i="4"/>
  <c r="BH34" i="4" s="1"/>
  <c r="AB34" i="4"/>
  <c r="AQ34" i="4"/>
  <c r="BF34" i="4"/>
  <c r="AS34" i="4"/>
  <c r="AQ35" i="4"/>
  <c r="Y35" i="4"/>
  <c r="AB35" i="4"/>
  <c r="BH35" i="4"/>
  <c r="BK35" i="4"/>
  <c r="BL35" i="4"/>
  <c r="BM35" i="4"/>
  <c r="BO35" i="4"/>
  <c r="BF35" i="4"/>
  <c r="AS35" i="4"/>
  <c r="BK36" i="4"/>
  <c r="BL36" i="4"/>
  <c r="BM36" i="4"/>
  <c r="BO36" i="4"/>
  <c r="BF36" i="4"/>
  <c r="AS36" i="4"/>
  <c r="Y36" i="4"/>
  <c r="BH36" i="4" s="1"/>
  <c r="AQ36" i="4"/>
  <c r="AB36" i="4"/>
  <c r="BF37" i="4"/>
  <c r="AS37" i="4"/>
  <c r="AB37" i="4"/>
  <c r="Y37" i="4"/>
  <c r="AQ37" i="4"/>
  <c r="BH37" i="4"/>
  <c r="BK37" i="4"/>
  <c r="BL37" i="4"/>
  <c r="BM37" i="4"/>
  <c r="BO37" i="4"/>
  <c r="Y38" i="4"/>
  <c r="AB38" i="4"/>
  <c r="AQ38" i="4"/>
  <c r="BH38" i="4"/>
  <c r="BK38" i="4"/>
  <c r="BL38" i="4"/>
  <c r="BM38" i="4"/>
  <c r="BO38" i="4"/>
  <c r="BF38" i="4"/>
  <c r="AS38" i="4"/>
  <c r="BK39" i="4"/>
  <c r="BL39" i="4"/>
  <c r="BM39" i="4"/>
  <c r="BO39" i="4"/>
  <c r="BF39" i="4"/>
  <c r="AS39" i="4"/>
  <c r="Y39" i="4"/>
  <c r="BH39" i="4" s="1"/>
  <c r="AB39" i="4"/>
  <c r="AQ39" i="4"/>
  <c r="BK40" i="4"/>
  <c r="BL40" i="4"/>
  <c r="BM40" i="4"/>
  <c r="BO40" i="4"/>
  <c r="Y40" i="4"/>
  <c r="BH40" i="4" s="1"/>
  <c r="AB40" i="4"/>
  <c r="AQ40" i="4"/>
  <c r="BF40" i="4"/>
  <c r="AS40" i="4"/>
  <c r="BF41" i="4"/>
  <c r="AS41" i="4"/>
  <c r="BK41" i="4"/>
  <c r="BL41" i="4"/>
  <c r="BM41" i="4"/>
  <c r="BO41" i="4"/>
  <c r="AQ41" i="4"/>
  <c r="AB41" i="4"/>
  <c r="Y41" i="4"/>
  <c r="BH41" i="4" s="1"/>
  <c r="BF42" i="4"/>
  <c r="AS42" i="4"/>
  <c r="Y42" i="4"/>
  <c r="AQ42" i="4"/>
  <c r="AB42" i="4"/>
  <c r="BH42" i="4"/>
  <c r="BK42" i="4"/>
  <c r="BL42" i="4"/>
  <c r="BM42" i="4"/>
  <c r="BO42" i="4"/>
  <c r="AB43" i="4"/>
  <c r="AQ43" i="4"/>
  <c r="Y43" i="4"/>
  <c r="BF43" i="4"/>
  <c r="AS43" i="4"/>
  <c r="BH43" i="4"/>
  <c r="BK43" i="4"/>
  <c r="BL43" i="4"/>
  <c r="BM43" i="4"/>
  <c r="BO43" i="4"/>
  <c r="BK44" i="4"/>
  <c r="BL44" i="4"/>
  <c r="BM44" i="4"/>
  <c r="BO44" i="4"/>
  <c r="Y44" i="4"/>
  <c r="BH44" i="4" s="1"/>
  <c r="AB44" i="4"/>
  <c r="AQ44" i="4"/>
  <c r="BF44" i="4"/>
  <c r="AS44" i="4"/>
  <c r="BK45" i="4"/>
  <c r="BL45" i="4"/>
  <c r="BM45" i="4"/>
  <c r="BO45" i="4"/>
  <c r="BF45" i="4"/>
  <c r="AS45" i="4"/>
  <c r="AQ45" i="4"/>
  <c r="AB45" i="4"/>
  <c r="Y45" i="4"/>
  <c r="BH45" i="4" s="1"/>
  <c r="BF46" i="4"/>
  <c r="AS46" i="4"/>
  <c r="AB46" i="4"/>
  <c r="AQ46" i="4"/>
  <c r="Y46" i="4"/>
  <c r="BH46" i="4"/>
  <c r="BK46" i="4"/>
  <c r="BL46" i="4"/>
  <c r="BM46" i="4"/>
  <c r="BO46" i="4"/>
  <c r="BK47" i="4"/>
  <c r="BL47" i="4"/>
  <c r="BM47" i="4"/>
  <c r="BO47" i="4"/>
  <c r="AQ47" i="4"/>
  <c r="AB47" i="4"/>
  <c r="Y47" i="4"/>
  <c r="BH47" i="4" s="1"/>
  <c r="BF47" i="4"/>
  <c r="AS47" i="4"/>
  <c r="Y48" i="4"/>
  <c r="AQ48" i="4"/>
  <c r="AB48" i="4"/>
  <c r="BF48" i="4"/>
  <c r="AS48" i="4"/>
  <c r="BH48" i="4"/>
  <c r="BK48" i="4"/>
  <c r="BL48" i="4"/>
  <c r="BM48" i="4"/>
  <c r="BO48" i="4"/>
  <c r="BF49" i="4"/>
  <c r="AS49" i="4"/>
  <c r="BK49" i="4"/>
  <c r="BL49" i="4"/>
  <c r="BM49" i="4"/>
  <c r="BO49" i="4"/>
  <c r="Y49" i="4"/>
  <c r="BH49" i="4" s="1"/>
  <c r="AB49" i="4"/>
  <c r="AQ49" i="4"/>
  <c r="BF50" i="4"/>
  <c r="AS50" i="4"/>
  <c r="AB50" i="4"/>
  <c r="AQ50" i="4"/>
  <c r="Y50" i="4"/>
  <c r="BH50" i="4"/>
  <c r="BK50" i="4"/>
  <c r="BL50" i="4"/>
  <c r="BM50" i="4"/>
  <c r="BO50" i="4"/>
  <c r="AQ51" i="4"/>
  <c r="AB51" i="4"/>
  <c r="Y51" i="4"/>
  <c r="BF51" i="4"/>
  <c r="AS51" i="4"/>
  <c r="BH51" i="4"/>
  <c r="BK51" i="4"/>
  <c r="BL51" i="4"/>
  <c r="BM51" i="4"/>
  <c r="BO51" i="4"/>
  <c r="AQ52" i="4"/>
  <c r="Y52" i="4"/>
  <c r="AB52" i="4"/>
  <c r="BH52" i="4"/>
  <c r="BK52" i="4"/>
  <c r="BL52" i="4"/>
  <c r="BM52" i="4"/>
  <c r="BO52" i="4"/>
  <c r="BF52" i="4"/>
  <c r="AS52" i="4"/>
  <c r="BF53" i="4"/>
  <c r="AS53" i="4"/>
  <c r="BK53" i="4"/>
  <c r="BL53" i="4"/>
  <c r="BM53" i="4"/>
  <c r="BO53" i="4"/>
  <c r="AB53" i="4"/>
  <c r="AQ53" i="4"/>
  <c r="Y53" i="4"/>
  <c r="BH53" i="4" s="1"/>
  <c r="Y54" i="4"/>
  <c r="AQ54" i="4"/>
  <c r="AB54" i="4"/>
  <c r="BF54" i="4"/>
  <c r="AS54" i="4"/>
  <c r="BH54" i="4"/>
  <c r="BK54" i="4"/>
  <c r="BL54" i="4"/>
  <c r="BM54" i="4"/>
  <c r="BO54" i="4"/>
  <c r="BK55" i="4"/>
  <c r="BL55" i="4"/>
  <c r="BM55" i="4"/>
  <c r="BO55" i="4"/>
  <c r="BF55" i="4"/>
  <c r="AS55" i="4"/>
  <c r="AB55" i="4"/>
  <c r="AQ55" i="4"/>
  <c r="Y55" i="4"/>
  <c r="BH55" i="4" s="1"/>
  <c r="BF56" i="4"/>
  <c r="AS56" i="4"/>
  <c r="BK56" i="4"/>
  <c r="BL56" i="4"/>
  <c r="BM56" i="4"/>
  <c r="BO56" i="4"/>
  <c r="AQ56" i="4"/>
  <c r="AB56" i="4"/>
  <c r="Y56" i="4"/>
  <c r="BH56" i="4" s="1"/>
  <c r="Y57" i="4"/>
  <c r="AQ57" i="4"/>
  <c r="AB57" i="4"/>
  <c r="BF57" i="4"/>
  <c r="AS57" i="4"/>
  <c r="BH57" i="4"/>
  <c r="BK57" i="4"/>
  <c r="BL57" i="4"/>
  <c r="BM57" i="4"/>
  <c r="BO57" i="4"/>
  <c r="BF58" i="4"/>
  <c r="AS58" i="4"/>
  <c r="AB58" i="4"/>
  <c r="AQ58" i="4"/>
  <c r="Y58" i="4"/>
  <c r="BH58" i="4"/>
  <c r="BK58" i="4"/>
  <c r="BL58" i="4"/>
  <c r="BM58" i="4"/>
  <c r="BO58" i="4"/>
  <c r="BK59" i="4"/>
  <c r="BL59" i="4"/>
  <c r="BM59" i="4"/>
  <c r="BO59" i="4"/>
  <c r="AB59" i="4"/>
  <c r="AQ59" i="4"/>
  <c r="Y59" i="4"/>
  <c r="BH59" i="4" s="1"/>
  <c r="BF59" i="4"/>
  <c r="AS59" i="4"/>
  <c r="Y60" i="4"/>
  <c r="AB60" i="4"/>
  <c r="AQ60" i="4"/>
  <c r="BH60" i="4"/>
  <c r="BK60" i="4"/>
  <c r="BL60" i="4"/>
  <c r="BM60" i="4"/>
  <c r="BO60" i="4"/>
  <c r="BF60" i="4"/>
  <c r="AS60" i="4"/>
  <c r="BK61" i="4"/>
  <c r="BL61" i="4"/>
  <c r="BM61" i="4"/>
  <c r="BO61" i="4"/>
  <c r="AB61" i="4"/>
  <c r="AQ61" i="4"/>
  <c r="Y61" i="4"/>
  <c r="BH61" i="4" s="1"/>
  <c r="BF61" i="4"/>
  <c r="AS61" i="4"/>
  <c r="BF62" i="4"/>
  <c r="AS62" i="4"/>
  <c r="Y62" i="4"/>
  <c r="AB62" i="4"/>
  <c r="AQ62" i="4"/>
  <c r="BH62" i="4"/>
  <c r="BK62" i="4"/>
  <c r="BL62" i="4"/>
  <c r="BM62" i="4"/>
  <c r="BO62" i="4"/>
  <c r="Y63" i="4"/>
  <c r="AB63" i="4"/>
  <c r="AQ63" i="4"/>
  <c r="BH63" i="4"/>
  <c r="BK63" i="4"/>
  <c r="BL63" i="4"/>
  <c r="BM63" i="4"/>
  <c r="BO63" i="4"/>
  <c r="BF63" i="4"/>
  <c r="AS63" i="4"/>
  <c r="BF64" i="4"/>
  <c r="AS64" i="4"/>
  <c r="BK64" i="4"/>
  <c r="BL64" i="4"/>
  <c r="BM64" i="4"/>
  <c r="BO64" i="4"/>
  <c r="AB64" i="4"/>
  <c r="Y64" i="4"/>
  <c r="BH64" i="4" s="1"/>
  <c r="AQ64" i="4"/>
  <c r="BJ48" i="3"/>
  <c r="BG48" i="3"/>
  <c r="BK48" i="3" s="1"/>
  <c r="BJ49" i="3"/>
  <c r="BG49" i="3"/>
  <c r="BK49" i="3" s="1"/>
  <c r="BG50" i="3"/>
  <c r="BK50" i="3" s="1"/>
  <c r="BJ50" i="3"/>
  <c r="BG51" i="3"/>
  <c r="BK51" i="3" s="1"/>
  <c r="BJ51" i="3"/>
  <c r="BJ52" i="3"/>
  <c r="BG52" i="3"/>
  <c r="BK52" i="3" s="1"/>
  <c r="BG53" i="3"/>
  <c r="BK53" i="3" s="1"/>
  <c r="BJ53" i="3"/>
  <c r="BG54" i="3"/>
  <c r="BK54" i="3" s="1"/>
  <c r="BJ54" i="3"/>
  <c r="BG55" i="3"/>
  <c r="BJ55" i="3"/>
  <c r="M199" i="22" s="1"/>
  <c r="W199" i="22" s="1"/>
  <c r="BJ56" i="3"/>
  <c r="BG56" i="3"/>
  <c r="BK56" i="3" s="1"/>
  <c r="BJ57" i="3"/>
  <c r="BG57" i="3"/>
  <c r="BK57" i="3" s="1"/>
  <c r="BJ58" i="3"/>
  <c r="BG58" i="3"/>
  <c r="BK58" i="3" s="1"/>
  <c r="BG59" i="3"/>
  <c r="BK59" i="3" s="1"/>
  <c r="BJ59" i="3"/>
  <c r="BJ60" i="3"/>
  <c r="BG60" i="3"/>
  <c r="BK60" i="3" s="1"/>
  <c r="BG61" i="3"/>
  <c r="BK61" i="3" s="1"/>
  <c r="BJ61" i="3"/>
  <c r="BG62" i="3"/>
  <c r="BK62" i="3" s="1"/>
  <c r="BJ62" i="3"/>
  <c r="BG63" i="3"/>
  <c r="BK63" i="3" s="1"/>
  <c r="BJ63" i="3"/>
  <c r="BG64" i="3"/>
  <c r="BK64" i="3" s="1"/>
  <c r="BJ64" i="3"/>
  <c r="BG65" i="3"/>
  <c r="BK65" i="3" s="1"/>
  <c r="BJ65" i="3"/>
  <c r="BJ66" i="3"/>
  <c r="BG66" i="3"/>
  <c r="BK66" i="3" s="1"/>
  <c r="BJ67" i="3"/>
  <c r="BG67" i="3"/>
  <c r="BK67" i="3" s="1"/>
  <c r="BG68" i="3"/>
  <c r="BK68" i="3" s="1"/>
  <c r="BJ68" i="3"/>
  <c r="BJ69" i="3"/>
  <c r="BG69" i="3"/>
  <c r="BK69" i="3" s="1"/>
  <c r="BG70" i="3"/>
  <c r="BK70" i="3" s="1"/>
  <c r="BJ70" i="3"/>
  <c r="BJ71" i="3"/>
  <c r="BG71" i="3"/>
  <c r="BK71" i="3" s="1"/>
  <c r="BJ72" i="3"/>
  <c r="BG72" i="3"/>
  <c r="BK72" i="3" s="1"/>
  <c r="BG73" i="3"/>
  <c r="BK73" i="3" s="1"/>
  <c r="BJ73" i="3"/>
  <c r="BG74" i="3"/>
  <c r="BK74" i="3" s="1"/>
  <c r="BJ74" i="3"/>
  <c r="BJ75" i="3"/>
  <c r="BG75" i="3"/>
  <c r="BK75" i="3" s="1"/>
  <c r="BG76" i="3"/>
  <c r="BK76" i="3" s="1"/>
  <c r="BJ76" i="3"/>
  <c r="BG36" i="3"/>
  <c r="BK36" i="3" s="1"/>
  <c r="BJ36" i="3"/>
  <c r="BG37" i="3"/>
  <c r="BK37" i="3" s="1"/>
  <c r="BJ37" i="3"/>
  <c r="BJ38" i="3"/>
  <c r="BG38" i="3"/>
  <c r="BK38" i="3" s="1"/>
  <c r="BJ39" i="3"/>
  <c r="BG39" i="3"/>
  <c r="BK39" i="3" s="1"/>
  <c r="BG40" i="3"/>
  <c r="BK40" i="3" s="1"/>
  <c r="BJ40" i="3"/>
  <c r="BG41" i="3"/>
  <c r="BK41" i="3" s="1"/>
  <c r="BJ41" i="3"/>
  <c r="BG42" i="3"/>
  <c r="BK42" i="3" s="1"/>
  <c r="BJ42" i="3"/>
  <c r="BG43" i="3"/>
  <c r="BK43" i="3" s="1"/>
  <c r="BJ43" i="3"/>
  <c r="BG44" i="3"/>
  <c r="BK44" i="3" s="1"/>
  <c r="BJ44" i="3"/>
  <c r="BJ45" i="3"/>
  <c r="BG45" i="3"/>
  <c r="BK45" i="3" s="1"/>
  <c r="BG46" i="3"/>
  <c r="BK46" i="3" s="1"/>
  <c r="BJ46" i="3"/>
  <c r="BJ5" i="3"/>
  <c r="BG5" i="3"/>
  <c r="BK5" i="3" s="1"/>
  <c r="BJ6" i="3"/>
  <c r="BG6" i="3"/>
  <c r="BK6" i="3" s="1"/>
  <c r="BJ7" i="3"/>
  <c r="BG7" i="3"/>
  <c r="BK7" i="3" s="1"/>
  <c r="BJ8" i="3"/>
  <c r="BG8" i="3"/>
  <c r="BK8" i="3" s="1"/>
  <c r="BG9" i="3"/>
  <c r="BK9" i="3" s="1"/>
  <c r="BJ9" i="3"/>
  <c r="BJ10" i="3"/>
  <c r="BG10" i="3"/>
  <c r="BK10" i="3" s="1"/>
  <c r="BJ11" i="3"/>
  <c r="BG11" i="3"/>
  <c r="BK11" i="3" s="1"/>
  <c r="BG12" i="3"/>
  <c r="BK12" i="3" s="1"/>
  <c r="BJ12" i="3"/>
  <c r="BG13" i="3"/>
  <c r="BK13" i="3" s="1"/>
  <c r="BJ13" i="3"/>
  <c r="BG14" i="3"/>
  <c r="BK14" i="3" s="1"/>
  <c r="BJ14" i="3"/>
  <c r="BJ15" i="3"/>
  <c r="BG15" i="3"/>
  <c r="BK15" i="3" s="1"/>
  <c r="BG16" i="3"/>
  <c r="BK16" i="3" s="1"/>
  <c r="BJ16" i="3"/>
  <c r="BJ17" i="3"/>
  <c r="BG17" i="3"/>
  <c r="BK17" i="3" s="1"/>
  <c r="BJ18" i="3"/>
  <c r="BG18" i="3"/>
  <c r="BK18" i="3" s="1"/>
  <c r="BJ19" i="3"/>
  <c r="BG19" i="3"/>
  <c r="BK19" i="3" s="1"/>
  <c r="BJ20" i="3"/>
  <c r="BG20" i="3"/>
  <c r="BK20" i="3" s="1"/>
  <c r="BG21" i="3"/>
  <c r="BK21" i="3" s="1"/>
  <c r="BJ21" i="3"/>
  <c r="BG22" i="3"/>
  <c r="BK22" i="3" s="1"/>
  <c r="BJ22" i="3"/>
  <c r="BJ23" i="3"/>
  <c r="BG23" i="3"/>
  <c r="BK23" i="3" s="1"/>
  <c r="BG24" i="3"/>
  <c r="BK24" i="3" s="1"/>
  <c r="BJ24" i="3"/>
  <c r="BG25" i="3"/>
  <c r="BK25" i="3" s="1"/>
  <c r="BJ25" i="3"/>
  <c r="BG26" i="3"/>
  <c r="BK26" i="3" s="1"/>
  <c r="BJ26" i="3"/>
  <c r="BG27" i="3"/>
  <c r="BK27" i="3" s="1"/>
  <c r="BJ27" i="3"/>
  <c r="BJ28" i="3"/>
  <c r="BG28" i="3"/>
  <c r="BK28" i="3" s="1"/>
  <c r="BG29" i="3"/>
  <c r="BK29" i="3" s="1"/>
  <c r="BJ29" i="3"/>
  <c r="BG30" i="3"/>
  <c r="BK30" i="3" s="1"/>
  <c r="BJ30" i="3"/>
  <c r="BG31" i="3"/>
  <c r="BK31" i="3" s="1"/>
  <c r="BJ31" i="3"/>
  <c r="BJ32" i="3"/>
  <c r="BG32" i="3"/>
  <c r="BK32" i="3" s="1"/>
  <c r="BJ33" i="3"/>
  <c r="BG33" i="3"/>
  <c r="BK33" i="3" s="1"/>
  <c r="BG34" i="3"/>
  <c r="BK34" i="3" s="1"/>
  <c r="BJ34" i="3"/>
  <c r="AP48" i="3"/>
  <c r="AT48" i="3" s="1"/>
  <c r="AS48" i="3"/>
  <c r="AP49" i="3"/>
  <c r="AT49" i="3" s="1"/>
  <c r="AS49" i="3"/>
  <c r="AS50" i="3"/>
  <c r="AP50" i="3"/>
  <c r="AT50" i="3" s="1"/>
  <c r="AP51" i="3"/>
  <c r="AT51" i="3" s="1"/>
  <c r="AS51" i="3"/>
  <c r="AP52" i="3"/>
  <c r="AT52" i="3" s="1"/>
  <c r="AS52" i="3"/>
  <c r="AS53" i="3"/>
  <c r="AP53" i="3"/>
  <c r="AT53" i="3" s="1"/>
  <c r="AS54" i="3"/>
  <c r="AP54" i="3"/>
  <c r="AT54" i="3" s="1"/>
  <c r="AS55" i="3"/>
  <c r="M127" i="22" s="1"/>
  <c r="W127" i="22" s="1"/>
  <c r="AP55" i="3"/>
  <c r="AP56" i="3"/>
  <c r="AT56" i="3" s="1"/>
  <c r="AS56" i="3"/>
  <c r="AS57" i="3"/>
  <c r="AP57" i="3"/>
  <c r="AT57" i="3" s="1"/>
  <c r="AP58" i="3"/>
  <c r="AT58" i="3" s="1"/>
  <c r="AS58" i="3"/>
  <c r="AP59" i="3"/>
  <c r="AT59" i="3" s="1"/>
  <c r="AS59" i="3"/>
  <c r="AS60" i="3"/>
  <c r="AP60" i="3"/>
  <c r="AT60" i="3" s="1"/>
  <c r="AP61" i="3"/>
  <c r="AT61" i="3" s="1"/>
  <c r="AS61" i="3"/>
  <c r="AP62" i="3"/>
  <c r="AT62" i="3" s="1"/>
  <c r="AS62" i="3"/>
  <c r="AP63" i="3"/>
  <c r="AT63" i="3" s="1"/>
  <c r="AS63" i="3"/>
  <c r="AS64" i="3"/>
  <c r="AP64" i="3"/>
  <c r="AT64" i="3" s="1"/>
  <c r="AP65" i="3"/>
  <c r="AT65" i="3" s="1"/>
  <c r="AS65" i="3"/>
  <c r="AP66" i="3"/>
  <c r="AT66" i="3" s="1"/>
  <c r="AS66" i="3"/>
  <c r="AS67" i="3"/>
  <c r="AP67" i="3"/>
  <c r="AT67" i="3" s="1"/>
  <c r="AS68" i="3"/>
  <c r="M140" i="22" s="1"/>
  <c r="W140" i="22" s="1"/>
  <c r="AP68" i="3"/>
  <c r="AP69" i="3"/>
  <c r="AS69" i="3"/>
  <c r="M141" i="22" s="1"/>
  <c r="W141" i="22" s="1"/>
  <c r="AS70" i="3"/>
  <c r="M142" i="22" s="1"/>
  <c r="W142" i="22" s="1"/>
  <c r="AP70" i="3"/>
  <c r="AS71" i="3"/>
  <c r="AP71" i="3"/>
  <c r="AT71" i="3" s="1"/>
  <c r="AP72" i="3"/>
  <c r="AT72" i="3" s="1"/>
  <c r="AS72" i="3"/>
  <c r="AS73" i="3"/>
  <c r="AP73" i="3"/>
  <c r="AT73" i="3" s="1"/>
  <c r="AS74" i="3"/>
  <c r="AP74" i="3"/>
  <c r="AT74" i="3" s="1"/>
  <c r="AS75" i="3"/>
  <c r="AP75" i="3"/>
  <c r="AT75" i="3" s="1"/>
  <c r="AS76" i="3"/>
  <c r="AP76" i="3"/>
  <c r="AT76" i="3" s="1"/>
  <c r="AS36" i="3"/>
  <c r="M108" i="22" s="1"/>
  <c r="W108" i="22" s="1"/>
  <c r="AP36" i="3"/>
  <c r="AP37" i="3"/>
  <c r="AS37" i="3"/>
  <c r="M109" i="22" s="1"/>
  <c r="W109" i="22" s="1"/>
  <c r="AP38" i="3"/>
  <c r="AT38" i="3" s="1"/>
  <c r="AS38" i="3"/>
  <c r="AP39" i="3"/>
  <c r="AS39" i="3"/>
  <c r="M111" i="22" s="1"/>
  <c r="W111" i="22" s="1"/>
  <c r="AS40" i="3"/>
  <c r="M112" i="22" s="1"/>
  <c r="W112" i="22" s="1"/>
  <c r="AP40" i="3"/>
  <c r="AS41" i="3"/>
  <c r="AP41" i="3"/>
  <c r="AT41" i="3" s="1"/>
  <c r="AS42" i="3"/>
  <c r="M114" i="22" s="1"/>
  <c r="W114" i="22" s="1"/>
  <c r="AP42" i="3"/>
  <c r="AS43" i="3"/>
  <c r="M115" i="22" s="1"/>
  <c r="W115" i="22" s="1"/>
  <c r="AP43" i="3"/>
  <c r="AP44" i="3"/>
  <c r="AS44" i="3"/>
  <c r="M116" i="22" s="1"/>
  <c r="W116" i="22" s="1"/>
  <c r="AS45" i="3"/>
  <c r="M117" i="22" s="1"/>
  <c r="W117" i="22" s="1"/>
  <c r="AP45" i="3"/>
  <c r="AP46" i="3"/>
  <c r="AT46" i="3" s="1"/>
  <c r="AS46" i="3"/>
  <c r="AP5" i="3"/>
  <c r="AT5" i="3" s="1"/>
  <c r="AS5" i="3"/>
  <c r="AS6" i="3"/>
  <c r="AP6" i="3"/>
  <c r="AT6" i="3" s="1"/>
  <c r="AP7" i="3"/>
  <c r="AT7" i="3" s="1"/>
  <c r="AS7" i="3"/>
  <c r="AS8" i="3"/>
  <c r="AP8" i="3"/>
  <c r="AT8" i="3" s="1"/>
  <c r="AP9" i="3"/>
  <c r="AT9" i="3" s="1"/>
  <c r="AS9" i="3"/>
  <c r="AS10" i="3"/>
  <c r="AP10" i="3"/>
  <c r="AT10" i="3" s="1"/>
  <c r="AS11" i="3"/>
  <c r="AP11" i="3"/>
  <c r="AT11" i="3" s="1"/>
  <c r="AP12" i="3"/>
  <c r="AT12" i="3" s="1"/>
  <c r="AS12" i="3"/>
  <c r="AS13" i="3"/>
  <c r="AP13" i="3"/>
  <c r="AT13" i="3" s="1"/>
  <c r="AP14" i="3"/>
  <c r="AT14" i="3" s="1"/>
  <c r="AS14" i="3"/>
  <c r="AP15" i="3"/>
  <c r="AT15" i="3" s="1"/>
  <c r="AS15" i="3"/>
  <c r="AS16" i="3"/>
  <c r="AP16" i="3"/>
  <c r="AT16" i="3" s="1"/>
  <c r="AP17" i="3"/>
  <c r="AT17" i="3" s="1"/>
  <c r="AS17" i="3"/>
  <c r="AS18" i="3"/>
  <c r="AP18" i="3"/>
  <c r="AT18" i="3" s="1"/>
  <c r="AP19" i="3"/>
  <c r="AT19" i="3" s="1"/>
  <c r="AS19" i="3"/>
  <c r="AP20" i="3"/>
  <c r="AT20" i="3" s="1"/>
  <c r="AS20" i="3"/>
  <c r="AS21" i="3"/>
  <c r="AP21" i="3"/>
  <c r="AT21" i="3" s="1"/>
  <c r="AP22" i="3"/>
  <c r="AT22" i="3" s="1"/>
  <c r="AS22" i="3"/>
  <c r="AS23" i="3"/>
  <c r="AP23" i="3"/>
  <c r="AT23" i="3" s="1"/>
  <c r="AS24" i="3"/>
  <c r="AP24" i="3"/>
  <c r="AT24" i="3" s="1"/>
  <c r="AS25" i="3"/>
  <c r="AP25" i="3"/>
  <c r="AT25" i="3" s="1"/>
  <c r="AS26" i="3"/>
  <c r="AP26" i="3"/>
  <c r="AT26" i="3" s="1"/>
  <c r="AP27" i="3"/>
  <c r="AT27" i="3" s="1"/>
  <c r="AS27" i="3"/>
  <c r="AP28" i="3"/>
  <c r="AT28" i="3" s="1"/>
  <c r="AS28" i="3"/>
  <c r="AS29" i="3"/>
  <c r="AP29" i="3"/>
  <c r="AT29" i="3" s="1"/>
  <c r="AP30" i="3"/>
  <c r="AT30" i="3" s="1"/>
  <c r="AS30" i="3"/>
  <c r="AS31" i="3"/>
  <c r="AP31" i="3"/>
  <c r="AT31" i="3" s="1"/>
  <c r="AS32" i="3"/>
  <c r="AP32" i="3"/>
  <c r="AT32" i="3" s="1"/>
  <c r="AS33" i="3"/>
  <c r="AP33" i="3"/>
  <c r="AT33" i="3" s="1"/>
  <c r="AP34" i="3"/>
  <c r="AT34" i="3" s="1"/>
  <c r="AS34" i="3"/>
  <c r="AB48" i="3"/>
  <c r="M48" i="22" s="1"/>
  <c r="W48" i="22" s="1"/>
  <c r="Y48" i="3"/>
  <c r="Y49" i="3"/>
  <c r="AB49" i="3"/>
  <c r="M49" i="22" s="1"/>
  <c r="W49" i="22" s="1"/>
  <c r="Y50" i="3"/>
  <c r="AB50" i="3"/>
  <c r="M50" i="22" s="1"/>
  <c r="W50" i="22" s="1"/>
  <c r="Y51" i="3"/>
  <c r="AB51" i="3"/>
  <c r="M51" i="22" s="1"/>
  <c r="W51" i="22" s="1"/>
  <c r="Y52" i="3"/>
  <c r="AB52" i="3"/>
  <c r="M52" i="22" s="1"/>
  <c r="W52" i="22" s="1"/>
  <c r="Y53" i="3"/>
  <c r="AB53" i="3"/>
  <c r="M53" i="22" s="1"/>
  <c r="W53" i="22" s="1"/>
  <c r="AB54" i="3"/>
  <c r="M54" i="22" s="1"/>
  <c r="W54" i="22" s="1"/>
  <c r="Y54" i="3"/>
  <c r="AB55" i="3"/>
  <c r="M55" i="22" s="1"/>
  <c r="W55" i="22" s="1"/>
  <c r="Y55" i="3"/>
  <c r="Y56" i="3"/>
  <c r="AB56" i="3"/>
  <c r="M56" i="22" s="1"/>
  <c r="W56" i="22" s="1"/>
  <c r="Y57" i="3"/>
  <c r="AB57" i="3"/>
  <c r="M57" i="22" s="1"/>
  <c r="W57" i="22" s="1"/>
  <c r="Y58" i="3"/>
  <c r="AB58" i="3"/>
  <c r="M58" i="22" s="1"/>
  <c r="W58" i="22" s="1"/>
  <c r="Y59" i="3"/>
  <c r="AB59" i="3"/>
  <c r="M59" i="22" s="1"/>
  <c r="W59" i="22" s="1"/>
  <c r="AB60" i="3"/>
  <c r="M60" i="22" s="1"/>
  <c r="W60" i="22" s="1"/>
  <c r="Y60" i="3"/>
  <c r="Y61" i="3"/>
  <c r="AB61" i="3"/>
  <c r="M61" i="22" s="1"/>
  <c r="W61" i="22" s="1"/>
  <c r="Y62" i="3"/>
  <c r="AB62" i="3"/>
  <c r="M62" i="22" s="1"/>
  <c r="W62" i="22" s="1"/>
  <c r="AB63" i="3"/>
  <c r="M63" i="22" s="1"/>
  <c r="W63" i="22" s="1"/>
  <c r="Y63" i="3"/>
  <c r="Y64" i="3"/>
  <c r="AB64" i="3"/>
  <c r="M64" i="22" s="1"/>
  <c r="W64" i="22" s="1"/>
  <c r="Y65" i="3"/>
  <c r="AC65" i="3" s="1"/>
  <c r="AB65" i="3"/>
  <c r="AB66" i="3"/>
  <c r="M66" i="22" s="1"/>
  <c r="W66" i="22" s="1"/>
  <c r="Y66" i="3"/>
  <c r="Y67" i="3"/>
  <c r="AC67" i="3" s="1"/>
  <c r="AB67" i="3"/>
  <c r="AB68" i="3"/>
  <c r="Y68" i="3"/>
  <c r="AC68" i="3" s="1"/>
  <c r="Y69" i="3"/>
  <c r="AC69" i="3" s="1"/>
  <c r="AB69" i="3"/>
  <c r="AB70" i="3"/>
  <c r="Y70" i="3"/>
  <c r="AC70" i="3" s="1"/>
  <c r="AB71" i="3"/>
  <c r="M71" i="22" s="1"/>
  <c r="W71" i="22" s="1"/>
  <c r="Y71" i="3"/>
  <c r="Y72" i="3"/>
  <c r="AB72" i="3"/>
  <c r="M72" i="22" s="1"/>
  <c r="W72" i="22" s="1"/>
  <c r="Y73" i="3"/>
  <c r="AB73" i="3"/>
  <c r="M73" i="22" s="1"/>
  <c r="W73" i="22" s="1"/>
  <c r="Y74" i="3"/>
  <c r="AB74" i="3"/>
  <c r="M74" i="22" s="1"/>
  <c r="W74" i="22" s="1"/>
  <c r="AB75" i="3"/>
  <c r="M75" i="22" s="1"/>
  <c r="W75" i="22" s="1"/>
  <c r="Y75" i="3"/>
  <c r="Y76" i="3"/>
  <c r="AC76" i="3" s="1"/>
  <c r="AB76" i="3"/>
  <c r="AB36" i="3"/>
  <c r="M36" i="22" s="1"/>
  <c r="W36" i="22" s="1"/>
  <c r="Y36" i="3"/>
  <c r="Y37" i="3"/>
  <c r="AB37" i="3"/>
  <c r="M37" i="22" s="1"/>
  <c r="W37" i="22" s="1"/>
  <c r="Y38" i="3"/>
  <c r="AB38" i="3"/>
  <c r="M38" i="22" s="1"/>
  <c r="W38" i="22" s="1"/>
  <c r="AB39" i="3"/>
  <c r="M39" i="22" s="1"/>
  <c r="W39" i="22" s="1"/>
  <c r="Y39" i="3"/>
  <c r="Y40" i="3"/>
  <c r="AB40" i="3"/>
  <c r="M40" i="22" s="1"/>
  <c r="W40" i="22" s="1"/>
  <c r="AB41" i="3"/>
  <c r="Y41" i="3"/>
  <c r="AC41" i="3" s="1"/>
  <c r="Y42" i="3"/>
  <c r="AB42" i="3"/>
  <c r="M42" i="22" s="1"/>
  <c r="W42" i="22" s="1"/>
  <c r="Y43" i="3"/>
  <c r="AB43" i="3"/>
  <c r="M43" i="22" s="1"/>
  <c r="W43" i="22" s="1"/>
  <c r="AB44" i="3"/>
  <c r="M44" i="22" s="1"/>
  <c r="W44" i="22" s="1"/>
  <c r="Y44" i="3"/>
  <c r="Y45" i="3"/>
  <c r="AB45" i="3"/>
  <c r="M45" i="22" s="1"/>
  <c r="W45" i="22" s="1"/>
  <c r="Y46" i="3"/>
  <c r="AB46" i="3"/>
  <c r="M46" i="22" s="1"/>
  <c r="W46" i="22" s="1"/>
  <c r="Y5" i="3"/>
  <c r="AC5" i="3" s="1"/>
  <c r="AB5" i="3"/>
  <c r="Y6" i="3"/>
  <c r="AC6" i="3" s="1"/>
  <c r="AB6" i="3"/>
  <c r="AB7" i="3"/>
  <c r="Y7" i="3"/>
  <c r="AC7" i="3" s="1"/>
  <c r="Y8" i="3"/>
  <c r="AC8" i="3" s="1"/>
  <c r="AB8" i="3"/>
  <c r="Y9" i="3"/>
  <c r="AC9" i="3" s="1"/>
  <c r="AB9" i="3"/>
  <c r="Y10" i="3"/>
  <c r="AC10" i="3" s="1"/>
  <c r="AB10" i="3"/>
  <c r="Y11" i="3"/>
  <c r="AC11" i="3" s="1"/>
  <c r="AB11" i="3"/>
  <c r="AB12" i="3"/>
  <c r="Y12" i="3"/>
  <c r="AC12" i="3" s="1"/>
  <c r="Y13" i="3"/>
  <c r="AC13" i="3" s="1"/>
  <c r="AB13" i="3"/>
  <c r="Y14" i="3"/>
  <c r="AC14" i="3" s="1"/>
  <c r="AB14" i="3"/>
  <c r="Y15" i="3"/>
  <c r="AC15" i="3" s="1"/>
  <c r="AB15" i="3"/>
  <c r="Y16" i="3"/>
  <c r="AC16" i="3" s="1"/>
  <c r="AB16" i="3"/>
  <c r="Y17" i="3"/>
  <c r="AC17" i="3" s="1"/>
  <c r="AB17" i="3"/>
  <c r="Y18" i="3"/>
  <c r="AC18" i="3" s="1"/>
  <c r="AB18" i="3"/>
  <c r="Y19" i="3"/>
  <c r="AC19" i="3" s="1"/>
  <c r="AB19" i="3"/>
  <c r="Y20" i="3"/>
  <c r="AC20" i="3" s="1"/>
  <c r="AB20" i="3"/>
  <c r="Y21" i="3"/>
  <c r="AC21" i="3" s="1"/>
  <c r="AB21" i="3"/>
  <c r="Y22" i="3"/>
  <c r="AC22" i="3" s="1"/>
  <c r="AB22" i="3"/>
  <c r="AB23" i="3"/>
  <c r="Y23" i="3"/>
  <c r="AC23" i="3" s="1"/>
  <c r="Y24" i="3"/>
  <c r="AC24" i="3" s="1"/>
  <c r="AB24" i="3"/>
  <c r="AB25" i="3"/>
  <c r="Y25" i="3"/>
  <c r="AC25" i="3" s="1"/>
  <c r="AB26" i="3"/>
  <c r="Y26" i="3"/>
  <c r="AC26" i="3" s="1"/>
  <c r="Y27" i="3"/>
  <c r="AC27" i="3" s="1"/>
  <c r="AB27" i="3"/>
  <c r="AB28" i="3"/>
  <c r="Y28" i="3"/>
  <c r="AC28" i="3" s="1"/>
  <c r="AB29" i="3"/>
  <c r="Y29" i="3"/>
  <c r="AC29" i="3" s="1"/>
  <c r="AB30" i="3"/>
  <c r="Y30" i="3"/>
  <c r="AC30" i="3" s="1"/>
  <c r="Y31" i="3"/>
  <c r="AC31" i="3" s="1"/>
  <c r="AB31" i="3"/>
  <c r="AB32" i="3"/>
  <c r="Y32" i="3"/>
  <c r="AC32" i="3" s="1"/>
  <c r="Y33" i="3"/>
  <c r="AC33" i="3" s="1"/>
  <c r="AB33" i="3"/>
  <c r="Y34" i="3"/>
  <c r="AC34" i="3" s="1"/>
  <c r="AB34" i="3"/>
  <c r="CA87" i="8"/>
  <c r="CA88" i="8"/>
  <c r="CA64" i="8"/>
  <c r="CA65" i="8"/>
  <c r="CA68" i="8"/>
  <c r="CA69" i="8"/>
  <c r="CA70" i="8"/>
  <c r="CA71" i="8"/>
  <c r="CA72" i="8"/>
  <c r="CA73" i="8"/>
  <c r="CA75" i="8"/>
  <c r="CA76" i="8"/>
  <c r="CA5" i="8"/>
  <c r="CA6" i="8"/>
  <c r="CA7" i="8"/>
  <c r="CA8" i="8"/>
  <c r="CA9" i="8"/>
  <c r="CA10" i="8"/>
  <c r="CA11" i="8"/>
  <c r="CA12" i="8"/>
  <c r="CA13" i="8"/>
  <c r="CA14" i="8"/>
  <c r="CA15" i="8"/>
  <c r="CA16" i="8"/>
  <c r="CA17" i="8"/>
  <c r="CA18" i="8"/>
  <c r="CA19" i="8"/>
  <c r="CA20" i="8"/>
  <c r="CA21" i="8"/>
  <c r="CA22" i="8"/>
  <c r="CA23" i="8"/>
  <c r="CA24" i="8"/>
  <c r="CA25" i="8"/>
  <c r="CA26" i="8"/>
  <c r="CA27" i="8"/>
  <c r="CA28" i="8"/>
  <c r="CA29" i="8"/>
  <c r="CA30" i="8"/>
  <c r="CA31" i="8"/>
  <c r="CA32" i="8"/>
  <c r="CA33" i="8"/>
  <c r="CA34" i="8"/>
  <c r="CA35" i="8"/>
  <c r="CA36" i="8"/>
  <c r="CA37" i="8"/>
  <c r="CA38" i="8"/>
  <c r="CA39" i="8"/>
  <c r="CA40" i="8"/>
  <c r="CA41" i="8"/>
  <c r="CA42" i="8"/>
  <c r="CA43" i="8"/>
  <c r="CA44" i="8"/>
  <c r="AZ78" i="8"/>
  <c r="AZ79" i="8"/>
  <c r="AZ80" i="8"/>
  <c r="AZ81" i="8"/>
  <c r="AZ82" i="8"/>
  <c r="AZ83" i="8"/>
  <c r="AZ84" i="8"/>
  <c r="AZ85" i="8"/>
  <c r="AZ86" i="8"/>
  <c r="AZ87" i="8"/>
  <c r="AZ88" i="8"/>
  <c r="AZ89" i="8"/>
  <c r="AZ90" i="8"/>
  <c r="AZ91" i="8"/>
  <c r="AZ92" i="8"/>
  <c r="AZ93" i="8"/>
  <c r="AZ94" i="8"/>
  <c r="AZ95" i="8"/>
  <c r="AZ96" i="8"/>
  <c r="AZ97" i="8"/>
  <c r="AZ98" i="8"/>
  <c r="AZ99" i="8"/>
  <c r="AZ100" i="8"/>
  <c r="AZ101" i="8"/>
  <c r="AZ102" i="8"/>
  <c r="AZ103" i="8"/>
  <c r="AZ47" i="8"/>
  <c r="AZ48" i="8"/>
  <c r="AZ49" i="8"/>
  <c r="AZ50" i="8"/>
  <c r="AZ51" i="8"/>
  <c r="AZ52" i="8"/>
  <c r="AZ53" i="8"/>
  <c r="AZ54" i="8"/>
  <c r="AZ55" i="8"/>
  <c r="AZ56" i="8"/>
  <c r="AZ57" i="8"/>
  <c r="AZ58" i="8"/>
  <c r="AZ59" i="8"/>
  <c r="AZ60" i="8"/>
  <c r="AZ61" i="8"/>
  <c r="AZ62" i="8"/>
  <c r="AZ63" i="8"/>
  <c r="AZ64" i="8"/>
  <c r="AZ65" i="8"/>
  <c r="AZ66" i="8"/>
  <c r="AZ67" i="8"/>
  <c r="AZ68" i="8"/>
  <c r="AZ69" i="8"/>
  <c r="AZ70" i="8"/>
  <c r="AZ71" i="8"/>
  <c r="AZ72" i="8"/>
  <c r="AZ73" i="8"/>
  <c r="AZ74" i="8"/>
  <c r="AZ75" i="8"/>
  <c r="AG224" i="22"/>
  <c r="AG225" i="22"/>
  <c r="AG229" i="22"/>
  <c r="AG235" i="22"/>
  <c r="AG236" i="22"/>
  <c r="AG237" i="22"/>
  <c r="AG238" i="22"/>
  <c r="AG239" i="22"/>
  <c r="AG240" i="22"/>
  <c r="AG241" i="22"/>
  <c r="AG245" i="22"/>
  <c r="AG246" i="22"/>
  <c r="AG247" i="22"/>
  <c r="AG248" i="22"/>
  <c r="AG250" i="22"/>
  <c r="AG251" i="22"/>
  <c r="AG254" i="22"/>
  <c r="AG255" i="22"/>
  <c r="AG262" i="22"/>
  <c r="AG264" i="22"/>
  <c r="AG267" i="22"/>
  <c r="AG270" i="22"/>
  <c r="AG274" i="22"/>
  <c r="AG276" i="22"/>
  <c r="AG278" i="22"/>
  <c r="AG280" i="22"/>
  <c r="AG281" i="22"/>
  <c r="F282" i="22"/>
  <c r="F289" i="22"/>
  <c r="A289" i="22" s="1"/>
  <c r="F290" i="22"/>
  <c r="A290" i="22" s="1"/>
  <c r="AG292" i="22"/>
  <c r="AG293" i="22"/>
  <c r="AG294" i="22"/>
  <c r="F295" i="22"/>
  <c r="A295" i="22" s="1"/>
  <c r="F297" i="22"/>
  <c r="A297" i="22" s="1"/>
  <c r="CA82" i="8"/>
  <c r="CA85" i="8"/>
  <c r="AE23" i="5"/>
  <c r="AD45" i="5"/>
  <c r="AD23" i="5"/>
  <c r="AF23" i="5" s="1"/>
  <c r="U23" i="5" s="1"/>
  <c r="AE45" i="5"/>
  <c r="CA86" i="8"/>
  <c r="CA90" i="8"/>
  <c r="CA93" i="8"/>
  <c r="CA46" i="8"/>
  <c r="CB14" i="19"/>
  <c r="S15" i="18"/>
  <c r="CB19" i="19"/>
  <c r="S20" i="18"/>
  <c r="AL170" i="11"/>
  <c r="AL171" i="11"/>
  <c r="AL161" i="11"/>
  <c r="AT161" i="11"/>
  <c r="AT162" i="11"/>
  <c r="AL162" i="11"/>
  <c r="AL163" i="11"/>
  <c r="AT163" i="11"/>
  <c r="AT164" i="11"/>
  <c r="AL164" i="11"/>
  <c r="AT165" i="11"/>
  <c r="AL165" i="11"/>
  <c r="AL166" i="11"/>
  <c r="AT166" i="11"/>
  <c r="AL167" i="11"/>
  <c r="AL168" i="11"/>
  <c r="AT168" i="11"/>
  <c r="S19" i="18"/>
  <c r="CB18" i="19"/>
  <c r="S18" i="18"/>
  <c r="CB17" i="19"/>
  <c r="S17" i="18"/>
  <c r="CB16" i="19"/>
  <c r="AR112" i="11"/>
  <c r="Z112" i="11"/>
  <c r="G124" i="21" s="1"/>
  <c r="H124" i="21" s="1"/>
  <c r="AA112" i="11"/>
  <c r="AR109" i="11"/>
  <c r="Z109" i="11"/>
  <c r="J74" i="20" s="1"/>
  <c r="L74" i="20" s="1"/>
  <c r="AA109" i="11"/>
  <c r="AR110" i="11"/>
  <c r="Z110" i="11"/>
  <c r="AA110" i="11"/>
  <c r="CB15" i="19"/>
  <c r="S16" i="18"/>
  <c r="CB13" i="19"/>
  <c r="S14" i="18"/>
  <c r="CB12" i="19"/>
  <c r="S13" i="18"/>
  <c r="S12" i="18"/>
  <c r="CB11" i="19"/>
  <c r="CB10" i="19"/>
  <c r="S11" i="18"/>
  <c r="CB9" i="19"/>
  <c r="S10" i="18"/>
  <c r="AG221" i="22"/>
  <c r="Q221" i="22"/>
  <c r="AG222" i="22"/>
  <c r="Q222" i="22"/>
  <c r="AG223" i="22"/>
  <c r="Q223" i="22"/>
  <c r="AG249" i="22"/>
  <c r="Q249" i="22"/>
  <c r="AG252" i="22"/>
  <c r="Q252" i="22"/>
  <c r="AG253" i="22"/>
  <c r="Q253" i="22"/>
  <c r="AG256" i="22"/>
  <c r="Q256" i="22"/>
  <c r="AG257" i="22"/>
  <c r="Q257" i="22"/>
  <c r="AG258" i="22"/>
  <c r="Q258" i="22"/>
  <c r="AG259" i="22"/>
  <c r="Q259" i="22"/>
  <c r="AG260" i="22"/>
  <c r="Q260" i="22"/>
  <c r="AG261" i="22"/>
  <c r="Q261" i="22"/>
  <c r="AG263" i="22"/>
  <c r="Q263" i="22"/>
  <c r="AG265" i="22"/>
  <c r="Q265" i="22"/>
  <c r="AG266" i="22"/>
  <c r="Q266" i="22"/>
  <c r="AG268" i="22"/>
  <c r="Q268" i="22"/>
  <c r="AG269" i="22"/>
  <c r="Q269" i="22"/>
  <c r="AG271" i="22"/>
  <c r="Q271" i="22"/>
  <c r="AG272" i="22"/>
  <c r="Q272" i="22"/>
  <c r="AG273" i="22"/>
  <c r="Q273" i="22"/>
  <c r="AG275" i="22"/>
  <c r="Q275" i="22"/>
  <c r="AG277" i="22"/>
  <c r="Q277" i="22"/>
  <c r="AG279" i="22"/>
  <c r="Q279" i="22"/>
  <c r="AG286" i="22"/>
  <c r="Q286" i="22"/>
  <c r="J21" i="18"/>
  <c r="J30" i="18"/>
  <c r="J35" i="18"/>
  <c r="J28" i="18"/>
  <c r="J36" i="18"/>
  <c r="J44" i="18"/>
  <c r="J29" i="18"/>
  <c r="J37" i="18"/>
  <c r="J22" i="18"/>
  <c r="J27" i="18"/>
  <c r="J32" i="18"/>
  <c r="J39" i="18"/>
  <c r="J40" i="18"/>
  <c r="J41" i="18"/>
  <c r="J42" i="18"/>
  <c r="J25" i="18"/>
  <c r="J33" i="18"/>
  <c r="B45" i="18"/>
  <c r="J26" i="18"/>
  <c r="J34" i="18"/>
  <c r="J24" i="18"/>
  <c r="J23" i="18"/>
  <c r="J31" i="18"/>
  <c r="J38" i="18"/>
  <c r="A36" i="22"/>
  <c r="O287" i="22"/>
  <c r="Y287" i="22" s="1"/>
  <c r="AO71" i="4"/>
  <c r="O288" i="22"/>
  <c r="Y288" i="22" s="1"/>
  <c r="AO72" i="4"/>
  <c r="O291" i="22"/>
  <c r="Y291" i="22" s="1"/>
  <c r="AO75" i="4"/>
  <c r="O295" i="22"/>
  <c r="Y295" i="22" s="1"/>
  <c r="AO79" i="4"/>
  <c r="O296" i="22"/>
  <c r="AO80" i="4"/>
  <c r="O299" i="22"/>
  <c r="AO83" i="4"/>
  <c r="BG66" i="4"/>
  <c r="BQ66" i="4"/>
  <c r="O284" i="22"/>
  <c r="AO68" i="4"/>
  <c r="P37" i="12" l="1"/>
  <c r="Y136" i="11"/>
  <c r="U17" i="11"/>
  <c r="U23" i="11"/>
  <c r="Y72" i="11"/>
  <c r="Y296" i="22"/>
  <c r="R296" i="22"/>
  <c r="Q296" i="22"/>
  <c r="Y299" i="22"/>
  <c r="Q299" i="22"/>
  <c r="R299" i="22"/>
  <c r="Y284" i="22"/>
  <c r="R284" i="22"/>
  <c r="Q284" i="22"/>
  <c r="J39" i="20"/>
  <c r="L39" i="20" s="1"/>
  <c r="J40" i="20"/>
  <c r="L40" i="20" s="1"/>
  <c r="BI5" i="8"/>
  <c r="BH5" i="8"/>
  <c r="BI6" i="8"/>
  <c r="BH6" i="8"/>
  <c r="BI7" i="8"/>
  <c r="BH7" i="8"/>
  <c r="BI8" i="8"/>
  <c r="BH8" i="8"/>
  <c r="BI9" i="8"/>
  <c r="BH9" i="8"/>
  <c r="BI10" i="8"/>
  <c r="BH10" i="8"/>
  <c r="BI11" i="8"/>
  <c r="BH11" i="8"/>
  <c r="BI12" i="8"/>
  <c r="BH12" i="8"/>
  <c r="BI13" i="8"/>
  <c r="BH13" i="8"/>
  <c r="BI14" i="8"/>
  <c r="BH14" i="8"/>
  <c r="BI15" i="8"/>
  <c r="BH15" i="8"/>
  <c r="BI16" i="8"/>
  <c r="BH16" i="8"/>
  <c r="BI17" i="8"/>
  <c r="BH17" i="8"/>
  <c r="BI18" i="8"/>
  <c r="BH18" i="8"/>
  <c r="BI19" i="8"/>
  <c r="BH19" i="8"/>
  <c r="BI20" i="8"/>
  <c r="BH20" i="8"/>
  <c r="BI21" i="8"/>
  <c r="BH21" i="8"/>
  <c r="BI22" i="8"/>
  <c r="BH22" i="8"/>
  <c r="BI23" i="8"/>
  <c r="BH23" i="8"/>
  <c r="BI24" i="8"/>
  <c r="BH24" i="8"/>
  <c r="BI25" i="8"/>
  <c r="BH25" i="8"/>
  <c r="BI26" i="8"/>
  <c r="BH26" i="8"/>
  <c r="BI27" i="8"/>
  <c r="BH27" i="8"/>
  <c r="BI28" i="8"/>
  <c r="BH28" i="8"/>
  <c r="BI29" i="8"/>
  <c r="BH29" i="8"/>
  <c r="BI30" i="8"/>
  <c r="BH30" i="8"/>
  <c r="BI31" i="8"/>
  <c r="BH31" i="8"/>
  <c r="BI32" i="8"/>
  <c r="BH32" i="8"/>
  <c r="BH33" i="8"/>
  <c r="BI33" i="8"/>
  <c r="BH34" i="8"/>
  <c r="BI34" i="8"/>
  <c r="BH35" i="8"/>
  <c r="BI35" i="8"/>
  <c r="BH36" i="8"/>
  <c r="BI36" i="8"/>
  <c r="BH37" i="8"/>
  <c r="BI37" i="8"/>
  <c r="BH38" i="8"/>
  <c r="BI38" i="8"/>
  <c r="BH39" i="8"/>
  <c r="BI39" i="8"/>
  <c r="BH40" i="8"/>
  <c r="BI40" i="8"/>
  <c r="BH41" i="8"/>
  <c r="BI41" i="8"/>
  <c r="BH42" i="8"/>
  <c r="BI42" i="8"/>
  <c r="BH43" i="8"/>
  <c r="BI43" i="8"/>
  <c r="BH44" i="8"/>
  <c r="BI44" i="8"/>
  <c r="BX78" i="8"/>
  <c r="BD78" i="8"/>
  <c r="BX79" i="8"/>
  <c r="BD79" i="8"/>
  <c r="BX80" i="8"/>
  <c r="BD80" i="8"/>
  <c r="BX81" i="8"/>
  <c r="BD81" i="8"/>
  <c r="BX82" i="8"/>
  <c r="BD82" i="8"/>
  <c r="BX83" i="8"/>
  <c r="BD83" i="8"/>
  <c r="BX84" i="8"/>
  <c r="BD84" i="8"/>
  <c r="BX85" i="8"/>
  <c r="BD85" i="8"/>
  <c r="BX86" i="8"/>
  <c r="BD86" i="8"/>
  <c r="BX87" i="8"/>
  <c r="BD87" i="8"/>
  <c r="BX88" i="8"/>
  <c r="BD88" i="8"/>
  <c r="BX89" i="8"/>
  <c r="BD89" i="8"/>
  <c r="BX90" i="8"/>
  <c r="BD90" i="8"/>
  <c r="BX91" i="8"/>
  <c r="BD91" i="8"/>
  <c r="BX92" i="8"/>
  <c r="BD92" i="8"/>
  <c r="BX93" i="8"/>
  <c r="BD93" i="8"/>
  <c r="BX94" i="8"/>
  <c r="BD94" i="8"/>
  <c r="BX95" i="8"/>
  <c r="BD95" i="8"/>
  <c r="BX96" i="8"/>
  <c r="BD96" i="8"/>
  <c r="BX97" i="8"/>
  <c r="BD97" i="8"/>
  <c r="BX98" i="8"/>
  <c r="BD98" i="8"/>
  <c r="BX99" i="8"/>
  <c r="BD99" i="8"/>
  <c r="AJ100" i="8"/>
  <c r="CY100" i="8" s="1"/>
  <c r="BX100" i="8"/>
  <c r="BD100" i="8"/>
  <c r="BE100" i="8"/>
  <c r="AK100" i="8"/>
  <c r="BX101" i="8"/>
  <c r="BD101" i="8"/>
  <c r="BE101" i="8"/>
  <c r="AK101" i="8"/>
  <c r="BX102" i="8"/>
  <c r="BD102" i="8"/>
  <c r="BE102" i="8"/>
  <c r="AK102" i="8"/>
  <c r="BX103" i="8"/>
  <c r="BD103" i="8"/>
  <c r="BX46" i="8"/>
  <c r="BD46" i="8"/>
  <c r="BX47" i="8"/>
  <c r="BD47" i="8"/>
  <c r="BX48" i="8"/>
  <c r="BD48" i="8"/>
  <c r="BX49" i="8"/>
  <c r="BD49" i="8"/>
  <c r="BX50" i="8"/>
  <c r="BD50" i="8"/>
  <c r="BX51" i="8"/>
  <c r="BD51" i="8"/>
  <c r="BX52" i="8"/>
  <c r="BD52" i="8"/>
  <c r="BX53" i="8"/>
  <c r="BD53" i="8"/>
  <c r="BX54" i="8"/>
  <c r="BD54" i="8"/>
  <c r="BX55" i="8"/>
  <c r="BD55" i="8"/>
  <c r="BX56" i="8"/>
  <c r="BD56" i="8"/>
  <c r="BX57" i="8"/>
  <c r="BD57" i="8"/>
  <c r="BX58" i="8"/>
  <c r="BD58" i="8"/>
  <c r="BX59" i="8"/>
  <c r="BD59" i="8"/>
  <c r="BX60" i="8"/>
  <c r="BD60" i="8"/>
  <c r="BX61" i="8"/>
  <c r="BD61" i="8"/>
  <c r="BX62" i="8"/>
  <c r="BD62" i="8"/>
  <c r="BX63" i="8"/>
  <c r="BD63" i="8"/>
  <c r="BX64" i="8"/>
  <c r="BD64" i="8"/>
  <c r="BX65" i="8"/>
  <c r="BD65" i="8"/>
  <c r="BX66" i="8"/>
  <c r="BD66" i="8"/>
  <c r="BX67" i="8"/>
  <c r="BD67" i="8"/>
  <c r="BX68" i="8"/>
  <c r="BD68" i="8"/>
  <c r="BX69" i="8"/>
  <c r="BD69" i="8"/>
  <c r="BX70" i="8"/>
  <c r="BD70" i="8"/>
  <c r="BX71" i="8"/>
  <c r="BD71" i="8"/>
  <c r="BX72" i="8"/>
  <c r="BD72" i="8"/>
  <c r="BX73" i="8"/>
  <c r="BD73" i="8"/>
  <c r="BX74" i="8"/>
  <c r="BD74" i="8"/>
  <c r="BX75" i="8"/>
  <c r="BD75" i="8"/>
  <c r="BX76" i="8"/>
  <c r="BD76" i="8"/>
  <c r="L451" i="22"/>
  <c r="AB68" i="6"/>
  <c r="N451" i="22" s="1"/>
  <c r="X451" i="22" s="1"/>
  <c r="L452" i="22"/>
  <c r="AB69" i="6"/>
  <c r="N452" i="22" s="1"/>
  <c r="X452" i="22" s="1"/>
  <c r="L453" i="22"/>
  <c r="AB70" i="6"/>
  <c r="N453" i="22" s="1"/>
  <c r="X453" i="22" s="1"/>
  <c r="L454" i="22"/>
  <c r="AB71" i="6"/>
  <c r="N454" i="22" s="1"/>
  <c r="X454" i="22" s="1"/>
  <c r="L455" i="22"/>
  <c r="AB72" i="6"/>
  <c r="N455" i="22" s="1"/>
  <c r="X455" i="22" s="1"/>
  <c r="L456" i="22"/>
  <c r="AB73" i="6"/>
  <c r="N456" i="22" s="1"/>
  <c r="X456" i="22" s="1"/>
  <c r="L457" i="22"/>
  <c r="AB74" i="6"/>
  <c r="N457" i="22" s="1"/>
  <c r="X457" i="22" s="1"/>
  <c r="L458" i="22"/>
  <c r="AB75" i="6"/>
  <c r="N458" i="22" s="1"/>
  <c r="X458" i="22" s="1"/>
  <c r="L459" i="22"/>
  <c r="AB76" i="6"/>
  <c r="N459" i="22" s="1"/>
  <c r="X459" i="22" s="1"/>
  <c r="L429" i="22"/>
  <c r="AB46" i="6"/>
  <c r="N429" i="22" s="1"/>
  <c r="X429" i="22" s="1"/>
  <c r="L430" i="22"/>
  <c r="AB47" i="6"/>
  <c r="N430" i="22" s="1"/>
  <c r="X430" i="22" s="1"/>
  <c r="L431" i="22"/>
  <c r="AB48" i="6"/>
  <c r="N431" i="22" s="1"/>
  <c r="X431" i="22" s="1"/>
  <c r="L432" i="22"/>
  <c r="AB49" i="6"/>
  <c r="N432" i="22" s="1"/>
  <c r="X432" i="22" s="1"/>
  <c r="L433" i="22"/>
  <c r="AB50" i="6"/>
  <c r="N433" i="22" s="1"/>
  <c r="X433" i="22" s="1"/>
  <c r="L434" i="22"/>
  <c r="AB51" i="6"/>
  <c r="N434" i="22" s="1"/>
  <c r="X434" i="22" s="1"/>
  <c r="L435" i="22"/>
  <c r="AB52" i="6"/>
  <c r="N435" i="22" s="1"/>
  <c r="X435" i="22" s="1"/>
  <c r="L436" i="22"/>
  <c r="AB53" i="6"/>
  <c r="N436" i="22" s="1"/>
  <c r="X436" i="22" s="1"/>
  <c r="L437" i="22"/>
  <c r="AB54" i="6"/>
  <c r="N437" i="22" s="1"/>
  <c r="X437" i="22" s="1"/>
  <c r="L438" i="22"/>
  <c r="AB55" i="6"/>
  <c r="N438" i="22" s="1"/>
  <c r="X438" i="22" s="1"/>
  <c r="L439" i="22"/>
  <c r="AB56" i="6"/>
  <c r="N439" i="22" s="1"/>
  <c r="X439" i="22" s="1"/>
  <c r="L440" i="22"/>
  <c r="AB57" i="6"/>
  <c r="N440" i="22" s="1"/>
  <c r="X440" i="22" s="1"/>
  <c r="L441" i="22"/>
  <c r="AB58" i="6"/>
  <c r="N441" i="22" s="1"/>
  <c r="X441" i="22" s="1"/>
  <c r="L442" i="22"/>
  <c r="AB59" i="6"/>
  <c r="N442" i="22" s="1"/>
  <c r="X442" i="22" s="1"/>
  <c r="L443" i="22"/>
  <c r="AB60" i="6"/>
  <c r="N443" i="22" s="1"/>
  <c r="X443" i="22" s="1"/>
  <c r="L444" i="22"/>
  <c r="AB61" i="6"/>
  <c r="N444" i="22" s="1"/>
  <c r="X444" i="22" s="1"/>
  <c r="L445" i="22"/>
  <c r="AB62" i="6"/>
  <c r="N445" i="22" s="1"/>
  <c r="X445" i="22" s="1"/>
  <c r="L446" i="22"/>
  <c r="AB63" i="6"/>
  <c r="N446" i="22" s="1"/>
  <c r="X446" i="22" s="1"/>
  <c r="L447" i="22"/>
  <c r="AB64" i="6"/>
  <c r="N447" i="22" s="1"/>
  <c r="X447" i="22" s="1"/>
  <c r="L448" i="22"/>
  <c r="AB65" i="6"/>
  <c r="N448" i="22" s="1"/>
  <c r="X448" i="22" s="1"/>
  <c r="L449" i="22"/>
  <c r="AB66" i="6"/>
  <c r="N449" i="22" s="1"/>
  <c r="X449" i="22" s="1"/>
  <c r="L362" i="22"/>
  <c r="AW23" i="5"/>
  <c r="N362" i="22" s="1"/>
  <c r="X362" i="22" s="1"/>
  <c r="L320" i="22"/>
  <c r="AA25" i="5"/>
  <c r="N320" i="22" s="1"/>
  <c r="X320" i="22" s="1"/>
  <c r="L321" i="22"/>
  <c r="AA26" i="5"/>
  <c r="N321" i="22" s="1"/>
  <c r="X321" i="22" s="1"/>
  <c r="L322" i="22"/>
  <c r="AA27" i="5"/>
  <c r="N322" i="22" s="1"/>
  <c r="X322" i="22" s="1"/>
  <c r="L323" i="22"/>
  <c r="AA28" i="5"/>
  <c r="N323" i="22" s="1"/>
  <c r="X323" i="22" s="1"/>
  <c r="L324" i="22"/>
  <c r="AA29" i="5"/>
  <c r="N324" i="22" s="1"/>
  <c r="X324" i="22" s="1"/>
  <c r="L325" i="22"/>
  <c r="AA30" i="5"/>
  <c r="N325" i="22" s="1"/>
  <c r="X325" i="22" s="1"/>
  <c r="L326" i="22"/>
  <c r="AA31" i="5"/>
  <c r="N326" i="22" s="1"/>
  <c r="X326" i="22" s="1"/>
  <c r="L327" i="22"/>
  <c r="AA32" i="5"/>
  <c r="N327" i="22" s="1"/>
  <c r="X327" i="22" s="1"/>
  <c r="L328" i="22"/>
  <c r="AA33" i="5"/>
  <c r="N328" i="22" s="1"/>
  <c r="X328" i="22" s="1"/>
  <c r="L329" i="22"/>
  <c r="AA34" i="5"/>
  <c r="N329" i="22" s="1"/>
  <c r="X329" i="22" s="1"/>
  <c r="L330" i="22"/>
  <c r="AA35" i="5"/>
  <c r="N330" i="22" s="1"/>
  <c r="X330" i="22" s="1"/>
  <c r="L331" i="22"/>
  <c r="AA36" i="5"/>
  <c r="N331" i="22" s="1"/>
  <c r="X331" i="22" s="1"/>
  <c r="L332" i="22"/>
  <c r="AA37" i="5"/>
  <c r="N332" i="22" s="1"/>
  <c r="X332" i="22" s="1"/>
  <c r="L333" i="22"/>
  <c r="AA38" i="5"/>
  <c r="N333" i="22" s="1"/>
  <c r="X333" i="22" s="1"/>
  <c r="L334" i="22"/>
  <c r="AA39" i="5"/>
  <c r="N334" i="22" s="1"/>
  <c r="X334" i="22" s="1"/>
  <c r="L336" i="22"/>
  <c r="AA41" i="5"/>
  <c r="N336" i="22" s="1"/>
  <c r="X336" i="22" s="1"/>
  <c r="L341" i="22"/>
  <c r="AA46" i="5"/>
  <c r="N341" i="22" s="1"/>
  <c r="X341" i="22" s="1"/>
  <c r="L342" i="22"/>
  <c r="AA47" i="5"/>
  <c r="N342" i="22" s="1"/>
  <c r="X342" i="22" s="1"/>
  <c r="L343" i="22"/>
  <c r="AA48" i="5"/>
  <c r="N343" i="22" s="1"/>
  <c r="X343" i="22" s="1"/>
  <c r="L316" i="22"/>
  <c r="AA21" i="5"/>
  <c r="N316" i="22" s="1"/>
  <c r="X316" i="22" s="1"/>
  <c r="L317" i="22"/>
  <c r="AA22" i="5"/>
  <c r="N317" i="22" s="1"/>
  <c r="X317" i="22" s="1"/>
  <c r="BI71" i="4"/>
  <c r="BJ71" i="4"/>
  <c r="BN71" i="4"/>
  <c r="BP71" i="4"/>
  <c r="L287" i="22"/>
  <c r="AC71" i="4"/>
  <c r="L288" i="22"/>
  <c r="AC72" i="4"/>
  <c r="N288" i="22" s="1"/>
  <c r="X288" i="22" s="1"/>
  <c r="AR72" i="4"/>
  <c r="BI72" i="4"/>
  <c r="BJ72" i="4"/>
  <c r="BN72" i="4"/>
  <c r="BP72" i="4"/>
  <c r="L289" i="22"/>
  <c r="AC73" i="4"/>
  <c r="N289" i="22" s="1"/>
  <c r="X289" i="22" s="1"/>
  <c r="AR73" i="4"/>
  <c r="BI73" i="4"/>
  <c r="BJ73" i="4"/>
  <c r="BN73" i="4"/>
  <c r="BP73" i="4"/>
  <c r="BJ74" i="4"/>
  <c r="L290" i="22"/>
  <c r="AC74" i="4"/>
  <c r="L291" i="22"/>
  <c r="AC75" i="4"/>
  <c r="N291" i="22" s="1"/>
  <c r="X291" i="22" s="1"/>
  <c r="AR75" i="4"/>
  <c r="BI75" i="4"/>
  <c r="BJ75" i="4"/>
  <c r="BN75" i="4"/>
  <c r="AC76" i="4"/>
  <c r="AR76" i="4"/>
  <c r="BI76" i="4"/>
  <c r="BJ76" i="4"/>
  <c r="BN76" i="4"/>
  <c r="BP76" i="4"/>
  <c r="AC77" i="4"/>
  <c r="AR77" i="4"/>
  <c r="BI77" i="4"/>
  <c r="BJ77" i="4"/>
  <c r="BN77" i="4"/>
  <c r="BP77" i="4"/>
  <c r="BI78" i="4"/>
  <c r="BJ78" i="4"/>
  <c r="BN78" i="4"/>
  <c r="BP78" i="4"/>
  <c r="AR78" i="4"/>
  <c r="AC78" i="4"/>
  <c r="L295" i="22"/>
  <c r="AC79" i="4"/>
  <c r="N295" i="22" s="1"/>
  <c r="X295" i="22" s="1"/>
  <c r="AR79" i="4"/>
  <c r="BI79" i="4"/>
  <c r="BJ79" i="4"/>
  <c r="BN79" i="4"/>
  <c r="BP79" i="4"/>
  <c r="BI80" i="4"/>
  <c r="BJ80" i="4"/>
  <c r="BN80" i="4"/>
  <c r="BP80" i="4"/>
  <c r="L296" i="22"/>
  <c r="AR80" i="4"/>
  <c r="AC80" i="4"/>
  <c r="N296" i="22" s="1"/>
  <c r="X296" i="22" s="1"/>
  <c r="L297" i="22"/>
  <c r="AC81" i="4"/>
  <c r="N297" i="22" s="1"/>
  <c r="X297" i="22" s="1"/>
  <c r="AR81" i="4"/>
  <c r="BI81" i="4"/>
  <c r="BJ81" i="4"/>
  <c r="BN81" i="4"/>
  <c r="BP81" i="4"/>
  <c r="L298" i="22"/>
  <c r="AR82" i="4"/>
  <c r="AC82" i="4"/>
  <c r="N298" i="22" s="1"/>
  <c r="X298" i="22" s="1"/>
  <c r="BI82" i="4"/>
  <c r="BJ82" i="4"/>
  <c r="BN82" i="4"/>
  <c r="BP82" i="4"/>
  <c r="BI83" i="4"/>
  <c r="BJ83" i="4"/>
  <c r="BN83" i="4"/>
  <c r="BP83" i="4"/>
  <c r="L299" i="22"/>
  <c r="AC83" i="4"/>
  <c r="N299" i="22" s="1"/>
  <c r="X299" i="22" s="1"/>
  <c r="AR83" i="4"/>
  <c r="L282" i="22"/>
  <c r="AC66" i="4"/>
  <c r="N282" i="22" s="1"/>
  <c r="X282" i="22" s="1"/>
  <c r="AR66" i="4"/>
  <c r="L283" i="22"/>
  <c r="AR67" i="4"/>
  <c r="AC67" i="4"/>
  <c r="N283" i="22" s="1"/>
  <c r="X283" i="22" s="1"/>
  <c r="BI67" i="4"/>
  <c r="BJ67" i="4"/>
  <c r="BN67" i="4"/>
  <c r="BP67" i="4"/>
  <c r="L284" i="22"/>
  <c r="AR68" i="4"/>
  <c r="AC68" i="4"/>
  <c r="N284" i="22" s="1"/>
  <c r="X284" i="22" s="1"/>
  <c r="BI68" i="4"/>
  <c r="BJ68" i="4"/>
  <c r="BN68" i="4"/>
  <c r="BP68" i="4"/>
  <c r="L285" i="22"/>
  <c r="AR69" i="4"/>
  <c r="AC69" i="4"/>
  <c r="N285" i="22" s="1"/>
  <c r="X285" i="22" s="1"/>
  <c r="BI69" i="4"/>
  <c r="BJ69" i="4"/>
  <c r="BN69" i="4"/>
  <c r="BP69" i="4"/>
  <c r="AC5" i="4"/>
  <c r="AR5" i="4"/>
  <c r="BI5" i="4"/>
  <c r="BJ5" i="4"/>
  <c r="BN5" i="4"/>
  <c r="BP5" i="4"/>
  <c r="AC6" i="4"/>
  <c r="AR6" i="4"/>
  <c r="BI6" i="4"/>
  <c r="BJ6" i="4"/>
  <c r="BN6" i="4"/>
  <c r="BP6" i="4"/>
  <c r="BI7" i="4"/>
  <c r="BJ7" i="4"/>
  <c r="BN7" i="4"/>
  <c r="BP7" i="4"/>
  <c r="AR7" i="4"/>
  <c r="AC7" i="4"/>
  <c r="BI8" i="4"/>
  <c r="BJ8" i="4"/>
  <c r="BN8" i="4"/>
  <c r="BP8" i="4"/>
  <c r="AC8" i="4"/>
  <c r="AR8" i="4"/>
  <c r="AR9" i="4"/>
  <c r="AC9" i="4"/>
  <c r="BI9" i="4"/>
  <c r="BJ9" i="4"/>
  <c r="BN9" i="4"/>
  <c r="BP9" i="4"/>
  <c r="AR10" i="4"/>
  <c r="AC10" i="4"/>
  <c r="BI10" i="4"/>
  <c r="BJ10" i="4"/>
  <c r="BN10" i="4"/>
  <c r="BP10" i="4"/>
  <c r="BI11" i="4"/>
  <c r="BJ11" i="4"/>
  <c r="BN11" i="4"/>
  <c r="BP11" i="4"/>
  <c r="AR11" i="4"/>
  <c r="AC11" i="4"/>
  <c r="BI12" i="4"/>
  <c r="BJ12" i="4"/>
  <c r="BN12" i="4"/>
  <c r="BP12" i="4"/>
  <c r="AR12" i="4"/>
  <c r="AC12" i="4"/>
  <c r="BI13" i="4"/>
  <c r="BJ13" i="4"/>
  <c r="BN13" i="4"/>
  <c r="BP13" i="4"/>
  <c r="AR13" i="4"/>
  <c r="AC13" i="4"/>
  <c r="BI14" i="4"/>
  <c r="BJ14" i="4"/>
  <c r="BN14" i="4"/>
  <c r="BP14" i="4"/>
  <c r="AC14" i="4"/>
  <c r="AR14" i="4"/>
  <c r="AC15" i="4"/>
  <c r="AR15" i="4"/>
  <c r="BI15" i="4"/>
  <c r="BJ15" i="4"/>
  <c r="BN15" i="4"/>
  <c r="BP15" i="4"/>
  <c r="AC16" i="4"/>
  <c r="AR16" i="4"/>
  <c r="BI16" i="4"/>
  <c r="BJ16" i="4"/>
  <c r="BN16" i="4"/>
  <c r="BP16" i="4"/>
  <c r="AC17" i="4"/>
  <c r="AR17" i="4"/>
  <c r="BI17" i="4"/>
  <c r="BJ17" i="4"/>
  <c r="BN17" i="4"/>
  <c r="BP17" i="4"/>
  <c r="BI18" i="4"/>
  <c r="BJ18" i="4"/>
  <c r="BN18" i="4"/>
  <c r="BP18" i="4"/>
  <c r="AC18" i="4"/>
  <c r="AR18" i="4"/>
  <c r="AR19" i="4"/>
  <c r="AC19" i="4"/>
  <c r="BI19" i="4"/>
  <c r="BJ19" i="4"/>
  <c r="BN19" i="4"/>
  <c r="BP19" i="4"/>
  <c r="BI20" i="4"/>
  <c r="BJ20" i="4"/>
  <c r="BN20" i="4"/>
  <c r="BP20" i="4"/>
  <c r="AR20" i="4"/>
  <c r="AC20" i="4"/>
  <c r="AC21" i="4"/>
  <c r="AR21" i="4"/>
  <c r="BI21" i="4"/>
  <c r="BJ21" i="4"/>
  <c r="BN21" i="4"/>
  <c r="BP21" i="4"/>
  <c r="AR22" i="4"/>
  <c r="AC22" i="4"/>
  <c r="BI22" i="4"/>
  <c r="BJ22" i="4"/>
  <c r="BN22" i="4"/>
  <c r="BP22" i="4"/>
  <c r="BI23" i="4"/>
  <c r="BJ23" i="4"/>
  <c r="BN23" i="4"/>
  <c r="BP23" i="4"/>
  <c r="AC23" i="4"/>
  <c r="AR23" i="4"/>
  <c r="AC24" i="4"/>
  <c r="AR24" i="4"/>
  <c r="BI24" i="4"/>
  <c r="BJ24" i="4"/>
  <c r="BN24" i="4"/>
  <c r="BP24" i="4"/>
  <c r="BI25" i="4"/>
  <c r="BJ25" i="4"/>
  <c r="BN25" i="4"/>
  <c r="BP25" i="4"/>
  <c r="AR25" i="4"/>
  <c r="AC25" i="4"/>
  <c r="BI26" i="4"/>
  <c r="BJ26" i="4"/>
  <c r="BN26" i="4"/>
  <c r="BP26" i="4"/>
  <c r="AR26" i="4"/>
  <c r="AC26" i="4"/>
  <c r="BI27" i="4"/>
  <c r="BJ27" i="4"/>
  <c r="BN27" i="4"/>
  <c r="BP27" i="4"/>
  <c r="AR27" i="4"/>
  <c r="AC27" i="4"/>
  <c r="AC28" i="4"/>
  <c r="AR28" i="4"/>
  <c r="BI28" i="4"/>
  <c r="BJ28" i="4"/>
  <c r="BN28" i="4"/>
  <c r="BP28" i="4"/>
  <c r="BI29" i="4"/>
  <c r="BJ29" i="4"/>
  <c r="BN29" i="4"/>
  <c r="BP29" i="4"/>
  <c r="AC29" i="4"/>
  <c r="AR29" i="4"/>
  <c r="BI30" i="4"/>
  <c r="BJ30" i="4"/>
  <c r="BP30" i="4"/>
  <c r="AR30" i="4"/>
  <c r="AC30" i="4"/>
  <c r="BI31" i="4"/>
  <c r="BJ31" i="4"/>
  <c r="BN31" i="4"/>
  <c r="BP31" i="4"/>
  <c r="AC31" i="4"/>
  <c r="AR31" i="4"/>
  <c r="BI32" i="4"/>
  <c r="BJ32" i="4"/>
  <c r="BN32" i="4"/>
  <c r="BP32" i="4"/>
  <c r="AR32" i="4"/>
  <c r="AC32" i="4"/>
  <c r="AC33" i="4"/>
  <c r="AR33" i="4"/>
  <c r="BI33" i="4"/>
  <c r="BJ33" i="4"/>
  <c r="BN33" i="4"/>
  <c r="BP33" i="4"/>
  <c r="BI34" i="4"/>
  <c r="BJ34" i="4"/>
  <c r="BN34" i="4"/>
  <c r="BP34" i="4"/>
  <c r="AC34" i="4"/>
  <c r="AR34" i="4"/>
  <c r="AR35" i="4"/>
  <c r="AC35" i="4"/>
  <c r="BI35" i="4"/>
  <c r="BJ35" i="4"/>
  <c r="BN35" i="4"/>
  <c r="BP35" i="4"/>
  <c r="BI36" i="4"/>
  <c r="BJ36" i="4"/>
  <c r="BN36" i="4"/>
  <c r="BP36" i="4"/>
  <c r="AR36" i="4"/>
  <c r="AC36" i="4"/>
  <c r="AR37" i="4"/>
  <c r="AC37" i="4"/>
  <c r="BI37" i="4"/>
  <c r="BJ37" i="4"/>
  <c r="BN37" i="4"/>
  <c r="BP37" i="4"/>
  <c r="AR38" i="4"/>
  <c r="AC38" i="4"/>
  <c r="BI38" i="4"/>
  <c r="BJ38" i="4"/>
  <c r="BN38" i="4"/>
  <c r="BP38" i="4"/>
  <c r="BI39" i="4"/>
  <c r="BJ39" i="4"/>
  <c r="BN39" i="4"/>
  <c r="BP39" i="4"/>
  <c r="AC39" i="4"/>
  <c r="AR39" i="4"/>
  <c r="BI40" i="4"/>
  <c r="BJ40" i="4"/>
  <c r="BN40" i="4"/>
  <c r="BP40" i="4"/>
  <c r="AC40" i="4"/>
  <c r="AR40" i="4"/>
  <c r="BI41" i="4"/>
  <c r="BJ41" i="4"/>
  <c r="BN41" i="4"/>
  <c r="BP41" i="4"/>
  <c r="AC41" i="4"/>
  <c r="AR41" i="4"/>
  <c r="AR42" i="4"/>
  <c r="AC42" i="4"/>
  <c r="BI42" i="4"/>
  <c r="BJ42" i="4"/>
  <c r="BN42" i="4"/>
  <c r="BP42" i="4"/>
  <c r="AC43" i="4"/>
  <c r="AR43" i="4"/>
  <c r="BI43" i="4"/>
  <c r="BJ43" i="4"/>
  <c r="BN43" i="4"/>
  <c r="BP43" i="4"/>
  <c r="BI44" i="4"/>
  <c r="BJ44" i="4"/>
  <c r="BN44" i="4"/>
  <c r="BP44" i="4"/>
  <c r="AR44" i="4"/>
  <c r="AC44" i="4"/>
  <c r="BI45" i="4"/>
  <c r="BJ45" i="4"/>
  <c r="BN45" i="4"/>
  <c r="BP45" i="4"/>
  <c r="AR45" i="4"/>
  <c r="AC45" i="4"/>
  <c r="AR46" i="4"/>
  <c r="AC46" i="4"/>
  <c r="BI46" i="4"/>
  <c r="BJ46" i="4"/>
  <c r="BN46" i="4"/>
  <c r="BP46" i="4"/>
  <c r="BI47" i="4"/>
  <c r="BJ47" i="4"/>
  <c r="BN47" i="4"/>
  <c r="BP47" i="4"/>
  <c r="AC47" i="4"/>
  <c r="AR47" i="4"/>
  <c r="AR48" i="4"/>
  <c r="AC48" i="4"/>
  <c r="BI48" i="4"/>
  <c r="BJ48" i="4"/>
  <c r="BN48" i="4"/>
  <c r="BP48" i="4"/>
  <c r="BI49" i="4"/>
  <c r="BJ49" i="4"/>
  <c r="BN49" i="4"/>
  <c r="BP49" i="4"/>
  <c r="AC49" i="4"/>
  <c r="AR49" i="4"/>
  <c r="AC50" i="4"/>
  <c r="AR50" i="4"/>
  <c r="BI50" i="4"/>
  <c r="BJ50" i="4"/>
  <c r="BN50" i="4"/>
  <c r="BP50" i="4"/>
  <c r="AR51" i="4"/>
  <c r="AC51" i="4"/>
  <c r="BI51" i="4"/>
  <c r="BJ51" i="4"/>
  <c r="BN51" i="4"/>
  <c r="BP51" i="4"/>
  <c r="AR52" i="4"/>
  <c r="AC52" i="4"/>
  <c r="BI52" i="4"/>
  <c r="BJ52" i="4"/>
  <c r="BN52" i="4"/>
  <c r="BP52" i="4"/>
  <c r="BI53" i="4"/>
  <c r="BJ53" i="4"/>
  <c r="BN53" i="4"/>
  <c r="BP53" i="4"/>
  <c r="AR53" i="4"/>
  <c r="AC53" i="4"/>
  <c r="AC54" i="4"/>
  <c r="AR54" i="4"/>
  <c r="BI54" i="4"/>
  <c r="BJ54" i="4"/>
  <c r="BN54" i="4"/>
  <c r="BP54" i="4"/>
  <c r="BI55" i="4"/>
  <c r="BJ55" i="4"/>
  <c r="BN55" i="4"/>
  <c r="BP55" i="4"/>
  <c r="AR55" i="4"/>
  <c r="AC55" i="4"/>
  <c r="BI56" i="4"/>
  <c r="BJ56" i="4"/>
  <c r="BN56" i="4"/>
  <c r="BP56" i="4"/>
  <c r="AC56" i="4"/>
  <c r="AR56" i="4"/>
  <c r="AC57" i="4"/>
  <c r="AR57" i="4"/>
  <c r="BI57" i="4"/>
  <c r="BJ57" i="4"/>
  <c r="BN57" i="4"/>
  <c r="BP57" i="4"/>
  <c r="AR58" i="4"/>
  <c r="AC58" i="4"/>
  <c r="BI58" i="4"/>
  <c r="BJ58" i="4"/>
  <c r="BN58" i="4"/>
  <c r="BP58" i="4"/>
  <c r="BI59" i="4"/>
  <c r="BJ59" i="4"/>
  <c r="BN59" i="4"/>
  <c r="BP59" i="4"/>
  <c r="AC59" i="4"/>
  <c r="AR59" i="4"/>
  <c r="AR60" i="4"/>
  <c r="AC60" i="4"/>
  <c r="BI60" i="4"/>
  <c r="BJ60" i="4"/>
  <c r="BN60" i="4"/>
  <c r="BP60" i="4"/>
  <c r="BI61" i="4"/>
  <c r="BJ61" i="4"/>
  <c r="BN61" i="4"/>
  <c r="BP61" i="4"/>
  <c r="AC61" i="4"/>
  <c r="AR61" i="4"/>
  <c r="AR62" i="4"/>
  <c r="AC62" i="4"/>
  <c r="BI62" i="4"/>
  <c r="BJ62" i="4"/>
  <c r="BN62" i="4"/>
  <c r="BP62" i="4"/>
  <c r="AR63" i="4"/>
  <c r="AC63" i="4"/>
  <c r="BI63" i="4"/>
  <c r="BJ63" i="4"/>
  <c r="BN63" i="4"/>
  <c r="BP63" i="4"/>
  <c r="BI64" i="4"/>
  <c r="BJ64" i="4"/>
  <c r="BN64" i="4"/>
  <c r="BP64" i="4"/>
  <c r="AC64" i="4"/>
  <c r="AR64" i="4"/>
  <c r="L199" i="22"/>
  <c r="BK55" i="3"/>
  <c r="N199" i="22" s="1"/>
  <c r="X199" i="22" s="1"/>
  <c r="L127" i="22"/>
  <c r="AT55" i="3"/>
  <c r="N127" i="22" s="1"/>
  <c r="X127" i="22" s="1"/>
  <c r="L140" i="22"/>
  <c r="AT68" i="3"/>
  <c r="N140" i="22" s="1"/>
  <c r="X140" i="22" s="1"/>
  <c r="L141" i="22"/>
  <c r="AT69" i="3"/>
  <c r="N141" i="22" s="1"/>
  <c r="X141" i="22" s="1"/>
  <c r="L142" i="22"/>
  <c r="AT70" i="3"/>
  <c r="N142" i="22" s="1"/>
  <c r="X142" i="22" s="1"/>
  <c r="L108" i="22"/>
  <c r="AT36" i="3"/>
  <c r="N108" i="22" s="1"/>
  <c r="X108" i="22" s="1"/>
  <c r="L109" i="22"/>
  <c r="AT37" i="3"/>
  <c r="N109" i="22" s="1"/>
  <c r="X109" i="22" s="1"/>
  <c r="L111" i="22"/>
  <c r="AT39" i="3"/>
  <c r="N111" i="22" s="1"/>
  <c r="X111" i="22" s="1"/>
  <c r="L112" i="22"/>
  <c r="AT40" i="3"/>
  <c r="N112" i="22" s="1"/>
  <c r="X112" i="22" s="1"/>
  <c r="L114" i="22"/>
  <c r="AT42" i="3"/>
  <c r="N114" i="22" s="1"/>
  <c r="X114" i="22" s="1"/>
  <c r="L115" i="22"/>
  <c r="AT43" i="3"/>
  <c r="N115" i="22" s="1"/>
  <c r="X115" i="22" s="1"/>
  <c r="L116" i="22"/>
  <c r="AT44" i="3"/>
  <c r="N116" i="22" s="1"/>
  <c r="X116" i="22" s="1"/>
  <c r="L117" i="22"/>
  <c r="AT45" i="3"/>
  <c r="N117" i="22" s="1"/>
  <c r="X117" i="22" s="1"/>
  <c r="L48" i="22"/>
  <c r="AC48" i="3"/>
  <c r="N48" i="22" s="1"/>
  <c r="X48" i="22" s="1"/>
  <c r="L49" i="22"/>
  <c r="AC49" i="3"/>
  <c r="N49" i="22" s="1"/>
  <c r="X49" i="22" s="1"/>
  <c r="L50" i="22"/>
  <c r="AC50" i="3"/>
  <c r="N50" i="22" s="1"/>
  <c r="X50" i="22" s="1"/>
  <c r="L51" i="22"/>
  <c r="AC51" i="3"/>
  <c r="N51" i="22" s="1"/>
  <c r="X51" i="22" s="1"/>
  <c r="L52" i="22"/>
  <c r="AC52" i="3"/>
  <c r="N52" i="22" s="1"/>
  <c r="X52" i="22" s="1"/>
  <c r="L53" i="22"/>
  <c r="AC53" i="3"/>
  <c r="N53" i="22" s="1"/>
  <c r="X53" i="22" s="1"/>
  <c r="L54" i="22"/>
  <c r="AC54" i="3"/>
  <c r="N54" i="22" s="1"/>
  <c r="X54" i="22" s="1"/>
  <c r="L55" i="22"/>
  <c r="AC55" i="3"/>
  <c r="N55" i="22" s="1"/>
  <c r="X55" i="22" s="1"/>
  <c r="L56" i="22"/>
  <c r="AC56" i="3"/>
  <c r="N56" i="22" s="1"/>
  <c r="X56" i="22" s="1"/>
  <c r="L57" i="22"/>
  <c r="AC57" i="3"/>
  <c r="N57" i="22" s="1"/>
  <c r="X57" i="22" s="1"/>
  <c r="L58" i="22"/>
  <c r="AC58" i="3"/>
  <c r="N58" i="22" s="1"/>
  <c r="X58" i="22" s="1"/>
  <c r="L59" i="22"/>
  <c r="AC59" i="3"/>
  <c r="N59" i="22" s="1"/>
  <c r="X59" i="22" s="1"/>
  <c r="L60" i="22"/>
  <c r="AC60" i="3"/>
  <c r="N60" i="22" s="1"/>
  <c r="X60" i="22" s="1"/>
  <c r="L61" i="22"/>
  <c r="AC61" i="3"/>
  <c r="N61" i="22" s="1"/>
  <c r="X61" i="22" s="1"/>
  <c r="L62" i="22"/>
  <c r="AC62" i="3"/>
  <c r="N62" i="22" s="1"/>
  <c r="X62" i="22" s="1"/>
  <c r="L63" i="22"/>
  <c r="AC63" i="3"/>
  <c r="N63" i="22" s="1"/>
  <c r="X63" i="22" s="1"/>
  <c r="L64" i="22"/>
  <c r="AC64" i="3"/>
  <c r="N64" i="22" s="1"/>
  <c r="X64" i="22" s="1"/>
  <c r="L66" i="22"/>
  <c r="AC66" i="3"/>
  <c r="N66" i="22" s="1"/>
  <c r="X66" i="22" s="1"/>
  <c r="L71" i="22"/>
  <c r="AC71" i="3"/>
  <c r="N71" i="22" s="1"/>
  <c r="X71" i="22" s="1"/>
  <c r="L72" i="22"/>
  <c r="AC72" i="3"/>
  <c r="N72" i="22" s="1"/>
  <c r="X72" i="22" s="1"/>
  <c r="L73" i="22"/>
  <c r="AC73" i="3"/>
  <c r="N73" i="22" s="1"/>
  <c r="X73" i="22" s="1"/>
  <c r="L74" i="22"/>
  <c r="AC74" i="3"/>
  <c r="N74" i="22" s="1"/>
  <c r="X74" i="22" s="1"/>
  <c r="L75" i="22"/>
  <c r="AC75" i="3"/>
  <c r="N75" i="22" s="1"/>
  <c r="X75" i="22" s="1"/>
  <c r="L36" i="22"/>
  <c r="AC36" i="3"/>
  <c r="N36" i="22" s="1"/>
  <c r="X36" i="22" s="1"/>
  <c r="L37" i="22"/>
  <c r="AC37" i="3"/>
  <c r="N37" i="22" s="1"/>
  <c r="X37" i="22" s="1"/>
  <c r="L38" i="22"/>
  <c r="AC38" i="3"/>
  <c r="N38" i="22" s="1"/>
  <c r="X38" i="22" s="1"/>
  <c r="L39" i="22"/>
  <c r="AC39" i="3"/>
  <c r="N39" i="22" s="1"/>
  <c r="X39" i="22" s="1"/>
  <c r="L40" i="22"/>
  <c r="AC40" i="3"/>
  <c r="N40" i="22" s="1"/>
  <c r="X40" i="22" s="1"/>
  <c r="L42" i="22"/>
  <c r="AC42" i="3"/>
  <c r="N42" i="22" s="1"/>
  <c r="X42" i="22" s="1"/>
  <c r="L43" i="22"/>
  <c r="AC43" i="3"/>
  <c r="N43" i="22" s="1"/>
  <c r="X43" i="22" s="1"/>
  <c r="L44" i="22"/>
  <c r="AC44" i="3"/>
  <c r="N44" i="22" s="1"/>
  <c r="X44" i="22" s="1"/>
  <c r="L45" i="22"/>
  <c r="AC45" i="3"/>
  <c r="N45" i="22" s="1"/>
  <c r="X45" i="22" s="1"/>
  <c r="L46" i="22"/>
  <c r="AC46" i="3"/>
  <c r="N46" i="22" s="1"/>
  <c r="X46" i="22" s="1"/>
  <c r="J43" i="18"/>
  <c r="A282" i="22"/>
  <c r="AG289" i="22"/>
  <c r="AE289" i="22"/>
  <c r="AF289" i="22" s="1"/>
  <c r="V289" i="22"/>
  <c r="AG290" i="22"/>
  <c r="AE290" i="22"/>
  <c r="AF290" i="22" s="1"/>
  <c r="V290" i="22"/>
  <c r="AG295" i="22"/>
  <c r="AE295" i="22"/>
  <c r="AF295" i="22" s="1"/>
  <c r="V295" i="22"/>
  <c r="R295" i="22"/>
  <c r="Q295" i="22"/>
  <c r="AG297" i="22"/>
  <c r="AE297" i="22"/>
  <c r="AF297" i="22" s="1"/>
  <c r="V297" i="22"/>
  <c r="R297" i="22"/>
  <c r="Q297" i="22"/>
  <c r="Y23" i="5"/>
  <c r="P318" i="22" s="1"/>
  <c r="Z318" i="22" s="1"/>
  <c r="X23" i="5"/>
  <c r="O318" i="22" s="1"/>
  <c r="Y318" i="22" s="1"/>
  <c r="V23" i="5"/>
  <c r="AZ23" i="5"/>
  <c r="BA23" i="5" s="1"/>
  <c r="J318" i="22"/>
  <c r="AE112" i="11"/>
  <c r="Y112" i="11"/>
  <c r="W112" i="11"/>
  <c r="V112" i="11"/>
  <c r="AE109" i="11"/>
  <c r="Y109" i="11"/>
  <c r="W109" i="11"/>
  <c r="V109" i="11"/>
  <c r="AE110" i="11"/>
  <c r="Y110" i="11"/>
  <c r="W110" i="11"/>
  <c r="V110" i="11"/>
  <c r="B77" i="18"/>
  <c r="L76" i="18"/>
  <c r="L75" i="18"/>
  <c r="L74" i="18"/>
  <c r="L73" i="18"/>
  <c r="L72" i="18"/>
  <c r="L71" i="18"/>
  <c r="L70" i="18"/>
  <c r="L69" i="18"/>
  <c r="L68" i="18"/>
  <c r="T11" i="18"/>
  <c r="T12" i="18" s="1"/>
  <c r="T13" i="18" s="1"/>
  <c r="T14" i="18" s="1"/>
  <c r="T15" i="18" s="1"/>
  <c r="H21" i="18"/>
  <c r="F21" i="18"/>
  <c r="E21" i="18"/>
  <c r="C21" i="18"/>
  <c r="B21" i="18"/>
  <c r="H30" i="18"/>
  <c r="F30" i="18"/>
  <c r="E30" i="18"/>
  <c r="C30" i="18"/>
  <c r="B30" i="18"/>
  <c r="H35" i="18"/>
  <c r="F35" i="18"/>
  <c r="E35" i="18"/>
  <c r="D35" i="18"/>
  <c r="C35" i="18"/>
  <c r="B35" i="18"/>
  <c r="H28" i="18"/>
  <c r="F28" i="18"/>
  <c r="E28" i="18"/>
  <c r="C28" i="18"/>
  <c r="B28" i="18"/>
  <c r="H36" i="18"/>
  <c r="F36" i="18"/>
  <c r="E36" i="18"/>
  <c r="D36" i="18"/>
  <c r="C36" i="18"/>
  <c r="B36" i="18"/>
  <c r="H44" i="18"/>
  <c r="F44" i="18"/>
  <c r="E44" i="18"/>
  <c r="D44" i="18"/>
  <c r="C44" i="18"/>
  <c r="B44" i="18"/>
  <c r="H29" i="18"/>
  <c r="F29" i="18"/>
  <c r="E29" i="18"/>
  <c r="C29" i="18"/>
  <c r="B29" i="18"/>
  <c r="H37" i="18"/>
  <c r="F37" i="18"/>
  <c r="E37" i="18"/>
  <c r="D37" i="18"/>
  <c r="C37" i="18"/>
  <c r="B37" i="18"/>
  <c r="H22" i="18"/>
  <c r="F22" i="18"/>
  <c r="E22" i="18"/>
  <c r="C22" i="18"/>
  <c r="B22" i="18"/>
  <c r="H27" i="18"/>
  <c r="F27" i="18"/>
  <c r="E27" i="18"/>
  <c r="C27" i="18"/>
  <c r="B27" i="18"/>
  <c r="H32" i="18"/>
  <c r="F32" i="18"/>
  <c r="E32" i="18"/>
  <c r="C32" i="18"/>
  <c r="B32" i="18"/>
  <c r="H39" i="18"/>
  <c r="F39" i="18"/>
  <c r="E39" i="18"/>
  <c r="D39" i="18"/>
  <c r="C39" i="18"/>
  <c r="B39" i="18"/>
  <c r="H40" i="18"/>
  <c r="F40" i="18"/>
  <c r="E40" i="18"/>
  <c r="D40" i="18"/>
  <c r="C40" i="18"/>
  <c r="B40" i="18"/>
  <c r="H41" i="18"/>
  <c r="F41" i="18"/>
  <c r="E41" i="18"/>
  <c r="D41" i="18"/>
  <c r="C41" i="18"/>
  <c r="B41" i="18"/>
  <c r="H42" i="18"/>
  <c r="F42" i="18"/>
  <c r="E42" i="18"/>
  <c r="D42" i="18"/>
  <c r="C42" i="18"/>
  <c r="B42" i="18"/>
  <c r="H25" i="18"/>
  <c r="F25" i="18"/>
  <c r="E25" i="18"/>
  <c r="C25" i="18"/>
  <c r="B25" i="18"/>
  <c r="H33" i="18"/>
  <c r="F33" i="18"/>
  <c r="E33" i="18"/>
  <c r="D33" i="18"/>
  <c r="C33" i="18"/>
  <c r="B33" i="18"/>
  <c r="H26" i="18"/>
  <c r="F26" i="18"/>
  <c r="E26" i="18"/>
  <c r="C26" i="18"/>
  <c r="B26" i="18"/>
  <c r="H34" i="18"/>
  <c r="F34" i="18"/>
  <c r="E34" i="18"/>
  <c r="D34" i="18"/>
  <c r="C34" i="18"/>
  <c r="B34" i="18"/>
  <c r="H24" i="18"/>
  <c r="F24" i="18"/>
  <c r="E24" i="18"/>
  <c r="C24" i="18"/>
  <c r="B24" i="18"/>
  <c r="H23" i="18"/>
  <c r="F23" i="18"/>
  <c r="E23" i="18"/>
  <c r="C23" i="18"/>
  <c r="B23" i="18"/>
  <c r="H31" i="18"/>
  <c r="F31" i="18"/>
  <c r="E31" i="18"/>
  <c r="C31" i="18"/>
  <c r="B31" i="18"/>
  <c r="H38" i="18"/>
  <c r="F38" i="18"/>
  <c r="E38" i="18"/>
  <c r="D38" i="18"/>
  <c r="C38" i="18"/>
  <c r="B38" i="18"/>
  <c r="AG36" i="22"/>
  <c r="AE36" i="22"/>
  <c r="AF36" i="22" s="1"/>
  <c r="V36" i="22"/>
  <c r="R36" i="22"/>
  <c r="D21" i="18" s="1"/>
  <c r="Q36" i="22"/>
  <c r="CY62" i="8"/>
  <c r="CY59" i="8"/>
  <c r="CY56" i="8"/>
  <c r="CY54" i="8"/>
  <c r="CY51" i="8"/>
  <c r="CY49" i="8"/>
  <c r="CY46" i="8"/>
  <c r="CY98" i="8"/>
  <c r="CY96" i="8"/>
  <c r="CY94" i="8"/>
  <c r="CY92" i="8"/>
  <c r="CY90" i="8"/>
  <c r="CY88" i="8"/>
  <c r="CY86" i="8"/>
  <c r="CY82" i="8"/>
  <c r="CY81" i="8"/>
  <c r="CY78" i="8"/>
  <c r="CY61" i="8"/>
  <c r="CY58" i="8"/>
  <c r="CY55" i="8"/>
  <c r="CY52" i="8"/>
  <c r="CY50" i="8"/>
  <c r="CY47" i="8"/>
  <c r="CY99" i="8"/>
  <c r="CY97" i="8"/>
  <c r="CY95" i="8"/>
  <c r="CY93" i="8"/>
  <c r="CY91" i="8"/>
  <c r="CY89" i="8"/>
  <c r="CY87" i="8"/>
  <c r="CY85" i="8"/>
  <c r="CY83" i="8"/>
  <c r="CY80" i="8"/>
  <c r="CY79" i="8"/>
  <c r="CY60" i="8"/>
  <c r="CY57" i="8"/>
  <c r="CY53" i="8"/>
  <c r="CY103" i="8"/>
  <c r="BI76" i="8"/>
  <c r="CY76" i="8"/>
  <c r="BI75" i="8"/>
  <c r="CY75" i="8"/>
  <c r="BI74" i="8"/>
  <c r="CY73" i="8"/>
  <c r="BI73" i="8"/>
  <c r="CY72" i="8"/>
  <c r="BI72" i="8"/>
  <c r="BI71" i="8"/>
  <c r="CY71" i="8"/>
  <c r="BI70" i="8"/>
  <c r="CY70" i="8"/>
  <c r="CY69" i="8"/>
  <c r="BI69" i="8"/>
  <c r="BI68" i="8"/>
  <c r="CY68" i="8"/>
  <c r="BI67" i="8"/>
  <c r="BI66" i="8"/>
  <c r="CY65" i="8"/>
  <c r="BI65" i="8"/>
  <c r="BI64" i="8"/>
  <c r="CY64" i="8"/>
  <c r="BI63" i="8"/>
  <c r="BI62" i="8"/>
  <c r="BI61" i="8"/>
  <c r="BI60" i="8"/>
  <c r="BI59" i="8"/>
  <c r="BI58" i="8"/>
  <c r="BI57" i="8"/>
  <c r="BI56" i="8"/>
  <c r="BI55" i="8"/>
  <c r="BI54" i="8"/>
  <c r="BI53" i="8"/>
  <c r="BI52" i="8"/>
  <c r="BI51" i="8"/>
  <c r="BI50" i="8"/>
  <c r="BI49" i="8"/>
  <c r="BI48" i="8"/>
  <c r="BI47" i="8"/>
  <c r="BI46" i="8"/>
  <c r="BI103" i="8"/>
  <c r="BI99" i="8"/>
  <c r="BI98" i="8"/>
  <c r="BI97" i="8"/>
  <c r="BI96" i="8"/>
  <c r="BI95" i="8"/>
  <c r="BI94" i="8"/>
  <c r="BI93" i="8"/>
  <c r="BI92" i="8"/>
  <c r="BI91" i="8"/>
  <c r="BI90" i="8"/>
  <c r="BI89" i="8"/>
  <c r="BI88" i="8"/>
  <c r="BI87" i="8"/>
  <c r="BI86" i="8"/>
  <c r="BI85" i="8"/>
  <c r="BI84" i="8"/>
  <c r="BI83" i="8"/>
  <c r="BI82" i="8"/>
  <c r="BI81" i="8"/>
  <c r="BI80" i="8"/>
  <c r="BI79" i="8"/>
  <c r="BI78" i="8"/>
  <c r="AS71" i="4"/>
  <c r="BF71" i="4"/>
  <c r="AS72" i="4"/>
  <c r="BF72" i="4"/>
  <c r="AS75" i="4"/>
  <c r="BF75" i="4"/>
  <c r="AS79" i="4"/>
  <c r="BF79" i="4"/>
  <c r="AS80" i="4"/>
  <c r="BF80" i="4"/>
  <c r="AS83" i="4"/>
  <c r="BF83" i="4"/>
  <c r="BL66" i="4"/>
  <c r="BO66" i="4" s="1"/>
  <c r="BK66" i="4"/>
  <c r="BH66" i="4"/>
  <c r="AM145" i="11"/>
  <c r="AM152" i="11"/>
  <c r="AM149" i="11"/>
  <c r="AM144" i="11"/>
  <c r="AM147" i="11"/>
  <c r="AM143" i="11"/>
  <c r="AM150" i="11"/>
  <c r="AM148" i="11"/>
  <c r="AM146" i="11"/>
  <c r="AM154" i="11"/>
  <c r="BS66" i="4"/>
  <c r="BT66" i="4" s="1"/>
  <c r="AS68" i="4"/>
  <c r="BF68" i="4"/>
  <c r="CC10" i="19"/>
  <c r="CC11" i="19" s="1"/>
  <c r="CC12" i="19" s="1"/>
  <c r="CC13" i="19" s="1"/>
  <c r="G31" i="21"/>
  <c r="H31" i="21" s="1"/>
  <c r="AF45" i="5"/>
  <c r="U45" i="5" s="1"/>
  <c r="G121" i="21"/>
  <c r="H121" i="21" s="1"/>
  <c r="G28" i="21" s="1"/>
  <c r="H28" i="21" s="1"/>
  <c r="S37" i="12"/>
  <c r="O37" i="12" s="1"/>
  <c r="X37" i="12"/>
  <c r="G172" i="21"/>
  <c r="H172" i="21" s="1"/>
  <c r="S38" i="12"/>
  <c r="O38" i="12" s="1"/>
  <c r="G173" i="21"/>
  <c r="H173" i="21" s="1"/>
  <c r="G39" i="21" s="1"/>
  <c r="H39" i="21" s="1"/>
  <c r="X38" i="12"/>
  <c r="P38" i="12"/>
  <c r="R193" i="11"/>
  <c r="AB193" i="11"/>
  <c r="S193" i="11"/>
  <c r="G139" i="21"/>
  <c r="H139" i="21" s="1"/>
  <c r="G140" i="21"/>
  <c r="H140" i="21" s="1"/>
  <c r="S194" i="11"/>
  <c r="R194" i="11"/>
  <c r="R195" i="11"/>
  <c r="AB195" i="11"/>
  <c r="S195" i="11"/>
  <c r="G141" i="21"/>
  <c r="H141" i="21" s="1"/>
  <c r="G142" i="21"/>
  <c r="H142" i="21" s="1"/>
  <c r="S196" i="11"/>
  <c r="AB196" i="11"/>
  <c r="S189" i="11"/>
  <c r="AB189" i="11"/>
  <c r="R189" i="11"/>
  <c r="G125" i="21"/>
  <c r="H125" i="21" s="1"/>
  <c r="G30" i="21" s="1"/>
  <c r="H30" i="21" s="1"/>
  <c r="Z135" i="11"/>
  <c r="AI135" i="11"/>
  <c r="J43" i="20"/>
  <c r="L43" i="20" s="1"/>
  <c r="Y128" i="11"/>
  <c r="Z129" i="11"/>
  <c r="AC129" i="11"/>
  <c r="AC130" i="11"/>
  <c r="Z130" i="11"/>
  <c r="J90" i="20" s="1"/>
  <c r="L90" i="20" s="1"/>
  <c r="AI130" i="11"/>
  <c r="AC131" i="11"/>
  <c r="Y131" i="11" s="1"/>
  <c r="K77" i="20" s="1"/>
  <c r="Z131" i="11"/>
  <c r="AD131" i="11"/>
  <c r="J77" i="20" s="1"/>
  <c r="L77" i="20" s="1"/>
  <c r="AI131" i="11"/>
  <c r="AC132" i="11"/>
  <c r="AI132" i="11"/>
  <c r="Z132" i="11"/>
  <c r="J92" i="20" s="1"/>
  <c r="L92" i="20" s="1"/>
  <c r="AI133" i="11"/>
  <c r="Z133" i="11"/>
  <c r="Y133" i="11"/>
  <c r="J96" i="20"/>
  <c r="L96" i="20" s="1"/>
  <c r="G118" i="21"/>
  <c r="H118" i="21" s="1"/>
  <c r="G27" i="21" s="1"/>
  <c r="H27" i="21" s="1"/>
  <c r="Y93" i="11"/>
  <c r="G115" i="21"/>
  <c r="H115" i="21" s="1"/>
  <c r="G26" i="21" s="1"/>
  <c r="H26" i="21" s="1"/>
  <c r="Y77" i="11"/>
  <c r="X73" i="11"/>
  <c r="K49" i="20" s="1"/>
  <c r="Y73" i="11"/>
  <c r="X74" i="11"/>
  <c r="K50" i="20" s="1"/>
  <c r="Y74" i="11"/>
  <c r="Y75" i="11"/>
  <c r="X75" i="11"/>
  <c r="K51" i="20" s="1"/>
  <c r="G113" i="21"/>
  <c r="H113" i="21" s="1"/>
  <c r="G25" i="21" s="1"/>
  <c r="H25" i="21" s="1"/>
  <c r="V56" i="11"/>
  <c r="G110" i="21"/>
  <c r="H110" i="21" s="1"/>
  <c r="G24" i="21" s="1"/>
  <c r="H24" i="21" s="1"/>
  <c r="V40" i="11"/>
  <c r="G107" i="21"/>
  <c r="H107" i="21" s="1"/>
  <c r="G23" i="21" s="1"/>
  <c r="H23" i="21" s="1"/>
  <c r="V17" i="11"/>
  <c r="G187" i="21"/>
  <c r="H187" i="21" s="1"/>
  <c r="G43" i="21" s="1"/>
  <c r="H43" i="21" s="1"/>
  <c r="V23" i="11"/>
  <c r="W451" i="22"/>
  <c r="Q451" i="22"/>
  <c r="R451" i="22"/>
  <c r="W452" i="22"/>
  <c r="Q452" i="22"/>
  <c r="R452" i="22"/>
  <c r="W429" i="22"/>
  <c r="Q429" i="22"/>
  <c r="R429" i="22"/>
  <c r="D28" i="18" s="1"/>
  <c r="W430" i="22"/>
  <c r="Q430" i="22"/>
  <c r="R430" i="22"/>
  <c r="D29" i="18" s="1"/>
  <c r="W431" i="22"/>
  <c r="Q431" i="22"/>
  <c r="R431" i="22"/>
  <c r="D30" i="18" s="1"/>
  <c r="W432" i="22"/>
  <c r="Q432" i="22"/>
  <c r="R432" i="22"/>
  <c r="D31" i="18" s="1"/>
  <c r="W433" i="22"/>
  <c r="Q433" i="22"/>
  <c r="R433" i="22"/>
  <c r="D32" i="18" s="1"/>
  <c r="W438" i="22"/>
  <c r="R438" i="22"/>
  <c r="Q438" i="22"/>
  <c r="W320" i="22"/>
  <c r="Q320" i="22"/>
  <c r="R320" i="22"/>
  <c r="W326" i="22"/>
  <c r="Q326" i="22"/>
  <c r="R326" i="22"/>
  <c r="W328" i="22"/>
  <c r="Q328" i="22"/>
  <c r="R328" i="22"/>
  <c r="W329" i="22"/>
  <c r="Q329" i="22"/>
  <c r="R329" i="22"/>
  <c r="W330" i="22"/>
  <c r="Q330" i="22"/>
  <c r="R330" i="22"/>
  <c r="W336" i="22"/>
  <c r="Q336" i="22"/>
  <c r="R336" i="22"/>
  <c r="W341" i="22"/>
  <c r="Q341" i="22"/>
  <c r="R341" i="22"/>
  <c r="W316" i="22"/>
  <c r="Q316" i="22"/>
  <c r="R316" i="22"/>
  <c r="D27" i="18" s="1"/>
  <c r="M287" i="22"/>
  <c r="AQ71" i="4"/>
  <c r="M288" i="22"/>
  <c r="AQ72" i="4"/>
  <c r="M289" i="22"/>
  <c r="AQ73" i="4"/>
  <c r="M290" i="22"/>
  <c r="BK74" i="4"/>
  <c r="AQ74" i="4"/>
  <c r="M291" i="22"/>
  <c r="AQ75" i="4"/>
  <c r="BK75" i="4"/>
  <c r="M282" i="22"/>
  <c r="W282" i="22" s="1"/>
  <c r="AQ66" i="4"/>
  <c r="M283" i="22"/>
  <c r="W283" i="22" s="1"/>
  <c r="AQ67" i="4"/>
  <c r="AF99" i="19"/>
  <c r="AF100" i="19"/>
  <c r="AF101" i="19"/>
  <c r="AF102" i="19"/>
  <c r="AF103" i="19"/>
  <c r="AF104" i="19"/>
  <c r="AF105" i="19"/>
  <c r="AF106" i="19"/>
  <c r="AF107" i="19"/>
  <c r="AF108" i="19"/>
  <c r="AF109" i="19"/>
  <c r="AF110" i="19"/>
  <c r="AF111" i="19"/>
  <c r="AF112" i="19"/>
  <c r="AF113" i="19"/>
  <c r="AF114" i="19"/>
  <c r="AF115" i="19"/>
  <c r="AF116" i="19"/>
  <c r="AF117" i="19"/>
  <c r="AF118" i="19"/>
  <c r="AF119" i="19"/>
  <c r="AF120" i="19"/>
  <c r="AF121" i="19"/>
  <c r="AF122" i="19"/>
  <c r="AF123" i="19"/>
  <c r="AF124" i="19"/>
  <c r="AF125" i="19"/>
  <c r="AF126" i="19"/>
  <c r="AF127" i="19"/>
  <c r="AF128" i="19"/>
  <c r="AF129" i="19"/>
  <c r="AF130" i="19"/>
  <c r="AF131" i="19"/>
  <c r="AF132" i="19"/>
  <c r="AF133" i="19"/>
  <c r="AF134" i="19"/>
  <c r="AF135" i="19"/>
  <c r="AF136" i="19"/>
  <c r="AF137" i="19"/>
  <c r="AF138" i="19"/>
  <c r="AF139" i="19"/>
  <c r="AF140" i="19"/>
  <c r="AF141" i="19"/>
  <c r="AF142" i="19"/>
  <c r="AF143" i="19"/>
  <c r="AF144" i="19"/>
  <c r="AF145" i="19"/>
  <c r="AF146" i="19"/>
  <c r="AF147" i="19"/>
  <c r="AF148" i="19"/>
  <c r="AF149" i="19"/>
  <c r="AF150" i="19"/>
  <c r="AF151" i="19"/>
  <c r="AF152" i="19"/>
  <c r="AF153" i="19"/>
  <c r="AF154" i="19"/>
  <c r="AF155" i="19"/>
  <c r="AF156" i="19"/>
  <c r="AF157" i="19"/>
  <c r="AF61" i="19"/>
  <c r="AF23" i="19"/>
  <c r="AF24" i="19"/>
  <c r="AF25" i="19"/>
  <c r="AF26" i="19"/>
  <c r="AF27" i="19"/>
  <c r="AF28" i="19"/>
  <c r="AF29" i="19"/>
  <c r="AF30" i="19"/>
  <c r="AF31" i="19"/>
  <c r="AF32" i="19"/>
  <c r="AF33" i="19"/>
  <c r="AF34" i="19"/>
  <c r="AF35" i="19"/>
  <c r="AF36" i="19"/>
  <c r="AF37" i="19"/>
  <c r="AF38" i="19"/>
  <c r="AF39" i="19"/>
  <c r="AF40" i="19"/>
  <c r="AF41" i="19"/>
  <c r="AF42" i="19"/>
  <c r="AF43" i="19"/>
  <c r="AF44" i="19"/>
  <c r="AF45" i="19"/>
  <c r="AF46" i="19"/>
  <c r="AF47" i="19"/>
  <c r="AF48" i="19"/>
  <c r="AF49" i="19"/>
  <c r="AF50" i="19"/>
  <c r="AF51" i="19"/>
  <c r="AF52" i="19"/>
  <c r="AF53" i="19"/>
  <c r="AF54" i="19"/>
  <c r="AF55" i="19"/>
  <c r="AF56" i="19"/>
  <c r="AF57" i="19"/>
  <c r="AF58" i="19"/>
  <c r="AF59" i="19"/>
  <c r="AF60" i="19"/>
  <c r="AF62" i="19"/>
  <c r="AF63" i="19"/>
  <c r="AF64" i="19"/>
  <c r="AF65" i="19"/>
  <c r="AF66" i="19"/>
  <c r="AF67" i="19"/>
  <c r="AF68" i="19"/>
  <c r="AF69" i="19"/>
  <c r="AF70" i="19"/>
  <c r="AF71" i="19"/>
  <c r="AF72" i="19"/>
  <c r="AF73" i="19"/>
  <c r="AF74" i="19"/>
  <c r="AF75" i="19"/>
  <c r="AF76" i="19"/>
  <c r="AF77" i="19"/>
  <c r="AF78" i="19"/>
  <c r="AF79" i="19"/>
  <c r="AF80" i="19"/>
  <c r="AF81" i="19"/>
  <c r="AF82" i="19"/>
  <c r="AF83" i="19"/>
  <c r="AF84" i="19"/>
  <c r="AF85" i="19"/>
  <c r="AF86" i="19"/>
  <c r="AF87" i="19"/>
  <c r="AF88" i="19"/>
  <c r="AF89" i="19"/>
  <c r="AF90" i="19"/>
  <c r="AF91" i="19"/>
  <c r="AF92" i="19"/>
  <c r="AF93" i="19"/>
  <c r="AF94" i="19"/>
  <c r="AF95" i="19"/>
  <c r="AF96" i="19"/>
  <c r="AF97" i="19"/>
  <c r="AF98" i="19"/>
  <c r="V440" i="22"/>
  <c r="V441" i="22"/>
  <c r="V330" i="22"/>
  <c r="V331" i="22"/>
  <c r="V332" i="22"/>
  <c r="V333" i="22"/>
  <c r="V334" i="22"/>
  <c r="V442" i="22"/>
  <c r="V443" i="22"/>
  <c r="V336" i="22"/>
  <c r="V340" i="22"/>
  <c r="V444" i="22"/>
  <c r="V445" i="22"/>
  <c r="V341" i="22"/>
  <c r="V342" i="22"/>
  <c r="V343" i="22"/>
  <c r="V283" i="22"/>
  <c r="V284" i="22"/>
  <c r="V285" i="22"/>
  <c r="V446" i="22"/>
  <c r="V447" i="22"/>
  <c r="V287" i="22"/>
  <c r="V448" i="22"/>
  <c r="V449" i="22"/>
  <c r="V288" i="22"/>
  <c r="V140" i="22"/>
  <c r="V431" i="22"/>
  <c r="V291" i="22"/>
  <c r="V296" i="22"/>
  <c r="V298" i="22"/>
  <c r="V299" i="22"/>
  <c r="V114" i="22"/>
  <c r="V71" i="22"/>
  <c r="V73" i="22"/>
  <c r="V451" i="22"/>
  <c r="V66" i="22"/>
  <c r="V429" i="22"/>
  <c r="V452" i="22"/>
  <c r="V453" i="22"/>
  <c r="V454" i="22"/>
  <c r="AE154" i="11"/>
  <c r="J99" i="20"/>
  <c r="J100" i="20" s="1"/>
  <c r="AE152" i="11"/>
  <c r="V37" i="22"/>
  <c r="V38" i="22"/>
  <c r="V39" i="22"/>
  <c r="V40" i="22"/>
  <c r="V42" i="22"/>
  <c r="V43" i="22"/>
  <c r="V44" i="22"/>
  <c r="V45" i="22"/>
  <c r="V46" i="22"/>
  <c r="V48" i="22"/>
  <c r="V49" i="22"/>
  <c r="V50" i="22"/>
  <c r="V51" i="22"/>
  <c r="V52" i="22"/>
  <c r="V53" i="22"/>
  <c r="V54" i="22"/>
  <c r="V55" i="22"/>
  <c r="V56" i="22"/>
  <c r="V57" i="22"/>
  <c r="V58" i="22"/>
  <c r="V59" i="22"/>
  <c r="V60" i="22"/>
  <c r="V61" i="22"/>
  <c r="V62" i="22"/>
  <c r="V63" i="22"/>
  <c r="V64" i="22"/>
  <c r="V75" i="22"/>
  <c r="V455" i="22"/>
  <c r="V456" i="22"/>
  <c r="V457" i="22"/>
  <c r="V458" i="22"/>
  <c r="V459" i="22"/>
  <c r="V362" i="22"/>
  <c r="V432" i="22"/>
  <c r="V72" i="22"/>
  <c r="V316" i="22"/>
  <c r="V317" i="22"/>
  <c r="V318" i="22"/>
  <c r="V199" i="22"/>
  <c r="V108" i="22"/>
  <c r="V109" i="22"/>
  <c r="V111" i="22"/>
  <c r="V112" i="22"/>
  <c r="V115" i="22"/>
  <c r="V127" i="22"/>
  <c r="V141" i="22"/>
  <c r="V142" i="22"/>
  <c r="V74" i="22"/>
  <c r="V116" i="22"/>
  <c r="V433" i="22"/>
  <c r="V434" i="22"/>
  <c r="V435" i="22"/>
  <c r="V320" i="22"/>
  <c r="V321" i="22"/>
  <c r="V322" i="22"/>
  <c r="V323" i="22"/>
  <c r="V324" i="22"/>
  <c r="V325" i="22"/>
  <c r="V436" i="22"/>
  <c r="V437" i="22"/>
  <c r="V326" i="22"/>
  <c r="V327" i="22"/>
  <c r="V430" i="22"/>
  <c r="V117" i="22"/>
  <c r="V328" i="22"/>
  <c r="V438" i="22"/>
  <c r="V439" i="22"/>
  <c r="V329" i="22"/>
  <c r="AM170" i="11"/>
  <c r="AM171" i="11"/>
  <c r="AM172" i="11"/>
  <c r="AM173" i="11"/>
  <c r="AM161" i="11"/>
  <c r="AM162" i="11"/>
  <c r="AM163" i="11"/>
  <c r="AM164" i="11"/>
  <c r="AM165" i="11"/>
  <c r="AM166" i="11"/>
  <c r="AM167" i="11"/>
  <c r="AM168" i="11"/>
  <c r="BN30" i="4" l="1"/>
  <c r="BM66" i="4"/>
  <c r="W289" i="22"/>
  <c r="R289" i="22"/>
  <c r="Q289" i="22"/>
  <c r="W290" i="22"/>
  <c r="R290" i="22"/>
  <c r="Q290" i="22"/>
  <c r="AO5" i="8"/>
  <c r="AN5" i="8"/>
  <c r="BV5" i="8"/>
  <c r="BU5" i="8"/>
  <c r="BT5" i="8"/>
  <c r="BS5" i="8"/>
  <c r="BR5" i="8"/>
  <c r="BQ5" i="8"/>
  <c r="BP5" i="8"/>
  <c r="BO5" i="8"/>
  <c r="DY5" i="8" s="1"/>
  <c r="BN5" i="8"/>
  <c r="FG5" i="8" s="1"/>
  <c r="BM5" i="8"/>
  <c r="BW5" i="8" s="1"/>
  <c r="BL5" i="8"/>
  <c r="BK5" i="8"/>
  <c r="DT5" i="8" s="1"/>
  <c r="BJ5" i="8"/>
  <c r="AO6" i="8"/>
  <c r="AN6" i="8"/>
  <c r="BV6" i="8"/>
  <c r="BU6" i="8"/>
  <c r="BT6" i="8"/>
  <c r="BS6" i="8"/>
  <c r="BR6" i="8"/>
  <c r="BQ6" i="8"/>
  <c r="BP6" i="8"/>
  <c r="BO6" i="8"/>
  <c r="DY6" i="8" s="1"/>
  <c r="BN6" i="8"/>
  <c r="FG6" i="8" s="1"/>
  <c r="BM6" i="8"/>
  <c r="BW6" i="8" s="1"/>
  <c r="BL6" i="8"/>
  <c r="BK6" i="8"/>
  <c r="DT6" i="8" s="1"/>
  <c r="BJ6" i="8"/>
  <c r="AO7" i="8"/>
  <c r="AN7" i="8"/>
  <c r="BV7" i="8"/>
  <c r="BU7" i="8"/>
  <c r="BT7" i="8"/>
  <c r="BS7" i="8"/>
  <c r="BR7" i="8"/>
  <c r="BQ7" i="8"/>
  <c r="BP7" i="8"/>
  <c r="BO7" i="8"/>
  <c r="DY7" i="8" s="1"/>
  <c r="BN7" i="8"/>
  <c r="FG7" i="8" s="1"/>
  <c r="BM7" i="8"/>
  <c r="BW7" i="8" s="1"/>
  <c r="BL7" i="8"/>
  <c r="BK7" i="8"/>
  <c r="DT7" i="8" s="1"/>
  <c r="BJ7" i="8"/>
  <c r="AO8" i="8"/>
  <c r="AN8" i="8"/>
  <c r="BV8" i="8"/>
  <c r="BU8" i="8"/>
  <c r="BT8" i="8"/>
  <c r="BS8" i="8"/>
  <c r="BR8" i="8"/>
  <c r="BQ8" i="8"/>
  <c r="BP8" i="8"/>
  <c r="BO8" i="8"/>
  <c r="DY8" i="8" s="1"/>
  <c r="BN8" i="8"/>
  <c r="FG8" i="8" s="1"/>
  <c r="BM8" i="8"/>
  <c r="BW8" i="8" s="1"/>
  <c r="BL8" i="8"/>
  <c r="BK8" i="8"/>
  <c r="DT8" i="8" s="1"/>
  <c r="BJ8" i="8"/>
  <c r="AO9" i="8"/>
  <c r="AN9" i="8"/>
  <c r="BV9" i="8"/>
  <c r="BU9" i="8"/>
  <c r="BT9" i="8"/>
  <c r="BS9" i="8"/>
  <c r="BR9" i="8"/>
  <c r="BQ9" i="8"/>
  <c r="BP9" i="8"/>
  <c r="BO9" i="8"/>
  <c r="DY9" i="8" s="1"/>
  <c r="BN9" i="8"/>
  <c r="FG9" i="8" s="1"/>
  <c r="BM9" i="8"/>
  <c r="BW9" i="8" s="1"/>
  <c r="BL9" i="8"/>
  <c r="BK9" i="8"/>
  <c r="DT9" i="8" s="1"/>
  <c r="BJ9" i="8"/>
  <c r="AO10" i="8"/>
  <c r="AN10" i="8"/>
  <c r="BV10" i="8"/>
  <c r="BU10" i="8"/>
  <c r="BT10" i="8"/>
  <c r="BS10" i="8"/>
  <c r="BR10" i="8"/>
  <c r="BQ10" i="8"/>
  <c r="BP10" i="8"/>
  <c r="BO10" i="8"/>
  <c r="DY10" i="8" s="1"/>
  <c r="BN10" i="8"/>
  <c r="FG10" i="8" s="1"/>
  <c r="BM10" i="8"/>
  <c r="BW10" i="8" s="1"/>
  <c r="BL10" i="8"/>
  <c r="BK10" i="8"/>
  <c r="DT10" i="8" s="1"/>
  <c r="BJ10" i="8"/>
  <c r="AO11" i="8"/>
  <c r="AN11" i="8"/>
  <c r="BV11" i="8"/>
  <c r="BU11" i="8"/>
  <c r="BT11" i="8"/>
  <c r="BS11" i="8"/>
  <c r="BR11" i="8"/>
  <c r="BQ11" i="8"/>
  <c r="BP11" i="8"/>
  <c r="BO11" i="8"/>
  <c r="DY11" i="8" s="1"/>
  <c r="BN11" i="8"/>
  <c r="FG11" i="8" s="1"/>
  <c r="BM11" i="8"/>
  <c r="BW11" i="8" s="1"/>
  <c r="BL11" i="8"/>
  <c r="BK11" i="8"/>
  <c r="DT11" i="8" s="1"/>
  <c r="BJ11" i="8"/>
  <c r="AO12" i="8"/>
  <c r="AN12" i="8"/>
  <c r="BV12" i="8"/>
  <c r="BU12" i="8"/>
  <c r="BT12" i="8"/>
  <c r="BS12" i="8"/>
  <c r="BR12" i="8"/>
  <c r="BQ12" i="8"/>
  <c r="BP12" i="8"/>
  <c r="BO12" i="8"/>
  <c r="DY12" i="8" s="1"/>
  <c r="BN12" i="8"/>
  <c r="FG12" i="8" s="1"/>
  <c r="BM12" i="8"/>
  <c r="BW12" i="8" s="1"/>
  <c r="BL12" i="8"/>
  <c r="BK12" i="8"/>
  <c r="DT12" i="8" s="1"/>
  <c r="BJ12" i="8"/>
  <c r="AO13" i="8"/>
  <c r="AN13" i="8"/>
  <c r="BV13" i="8"/>
  <c r="BU13" i="8"/>
  <c r="BT13" i="8"/>
  <c r="BS13" i="8"/>
  <c r="BR13" i="8"/>
  <c r="BQ13" i="8"/>
  <c r="BP13" i="8"/>
  <c r="BO13" i="8"/>
  <c r="DY13" i="8" s="1"/>
  <c r="BN13" i="8"/>
  <c r="FG13" i="8" s="1"/>
  <c r="BM13" i="8"/>
  <c r="BW13" i="8" s="1"/>
  <c r="BL13" i="8"/>
  <c r="BK13" i="8"/>
  <c r="DT13" i="8" s="1"/>
  <c r="BJ13" i="8"/>
  <c r="AO14" i="8"/>
  <c r="AN14" i="8"/>
  <c r="BV14" i="8"/>
  <c r="BU14" i="8"/>
  <c r="BT14" i="8"/>
  <c r="BS14" i="8"/>
  <c r="BR14" i="8"/>
  <c r="BQ14" i="8"/>
  <c r="BP14" i="8"/>
  <c r="BO14" i="8"/>
  <c r="DY14" i="8" s="1"/>
  <c r="BN14" i="8"/>
  <c r="FG14" i="8" s="1"/>
  <c r="BM14" i="8"/>
  <c r="BW14" i="8" s="1"/>
  <c r="BL14" i="8"/>
  <c r="BK14" i="8"/>
  <c r="DT14" i="8" s="1"/>
  <c r="BJ14" i="8"/>
  <c r="AO15" i="8"/>
  <c r="AN15" i="8"/>
  <c r="BV15" i="8"/>
  <c r="BU15" i="8"/>
  <c r="BT15" i="8"/>
  <c r="BS15" i="8"/>
  <c r="BR15" i="8"/>
  <c r="BQ15" i="8"/>
  <c r="BP15" i="8"/>
  <c r="BO15" i="8"/>
  <c r="DY15" i="8" s="1"/>
  <c r="BN15" i="8"/>
  <c r="FG15" i="8" s="1"/>
  <c r="BM15" i="8"/>
  <c r="BW15" i="8" s="1"/>
  <c r="BL15" i="8"/>
  <c r="BK15" i="8"/>
  <c r="DT15" i="8" s="1"/>
  <c r="BJ15" i="8"/>
  <c r="AO16" i="8"/>
  <c r="AN16" i="8"/>
  <c r="BV16" i="8"/>
  <c r="BU16" i="8"/>
  <c r="BT16" i="8"/>
  <c r="BS16" i="8"/>
  <c r="BR16" i="8"/>
  <c r="BQ16" i="8"/>
  <c r="BP16" i="8"/>
  <c r="BO16" i="8"/>
  <c r="DY16" i="8" s="1"/>
  <c r="BN16" i="8"/>
  <c r="FG16" i="8" s="1"/>
  <c r="BM16" i="8"/>
  <c r="BW16" i="8" s="1"/>
  <c r="BL16" i="8"/>
  <c r="BK16" i="8"/>
  <c r="DT16" i="8" s="1"/>
  <c r="BJ16" i="8"/>
  <c r="AO17" i="8"/>
  <c r="AN17" i="8"/>
  <c r="BV17" i="8"/>
  <c r="BU17" i="8"/>
  <c r="BT17" i="8"/>
  <c r="BS17" i="8"/>
  <c r="BR17" i="8"/>
  <c r="BQ17" i="8"/>
  <c r="BP17" i="8"/>
  <c r="BO17" i="8"/>
  <c r="DY17" i="8" s="1"/>
  <c r="BN17" i="8"/>
  <c r="FG17" i="8" s="1"/>
  <c r="BM17" i="8"/>
  <c r="BW17" i="8" s="1"/>
  <c r="BL17" i="8"/>
  <c r="BK17" i="8"/>
  <c r="DT17" i="8" s="1"/>
  <c r="BJ17" i="8"/>
  <c r="AO18" i="8"/>
  <c r="AN18" i="8"/>
  <c r="BV18" i="8"/>
  <c r="BU18" i="8"/>
  <c r="BT18" i="8"/>
  <c r="BS18" i="8"/>
  <c r="BR18" i="8"/>
  <c r="BQ18" i="8"/>
  <c r="BP18" i="8"/>
  <c r="BO18" i="8"/>
  <c r="DY18" i="8" s="1"/>
  <c r="BN18" i="8"/>
  <c r="FG18" i="8" s="1"/>
  <c r="BM18" i="8"/>
  <c r="BW18" i="8" s="1"/>
  <c r="BL18" i="8"/>
  <c r="BK18" i="8"/>
  <c r="DT18" i="8" s="1"/>
  <c r="BJ18" i="8"/>
  <c r="AO19" i="8"/>
  <c r="AN19" i="8"/>
  <c r="BV19" i="8"/>
  <c r="BU19" i="8"/>
  <c r="BT19" i="8"/>
  <c r="BS19" i="8"/>
  <c r="BR19" i="8"/>
  <c r="BQ19" i="8"/>
  <c r="BP19" i="8"/>
  <c r="BO19" i="8"/>
  <c r="DY19" i="8" s="1"/>
  <c r="BN19" i="8"/>
  <c r="FG19" i="8" s="1"/>
  <c r="BM19" i="8"/>
  <c r="BW19" i="8" s="1"/>
  <c r="BL19" i="8"/>
  <c r="BK19" i="8"/>
  <c r="DT19" i="8" s="1"/>
  <c r="BJ19" i="8"/>
  <c r="AO20" i="8"/>
  <c r="AN20" i="8"/>
  <c r="BV20" i="8"/>
  <c r="BU20" i="8"/>
  <c r="BT20" i="8"/>
  <c r="BS20" i="8"/>
  <c r="BR20" i="8"/>
  <c r="BQ20" i="8"/>
  <c r="BP20" i="8"/>
  <c r="BO20" i="8"/>
  <c r="DY20" i="8" s="1"/>
  <c r="BN20" i="8"/>
  <c r="FG20" i="8" s="1"/>
  <c r="BM20" i="8"/>
  <c r="BW20" i="8" s="1"/>
  <c r="BL20" i="8"/>
  <c r="BK20" i="8"/>
  <c r="DT20" i="8" s="1"/>
  <c r="BJ20" i="8"/>
  <c r="AO21" i="8"/>
  <c r="AN21" i="8"/>
  <c r="BV21" i="8"/>
  <c r="BU21" i="8"/>
  <c r="BT21" i="8"/>
  <c r="BS21" i="8"/>
  <c r="BR21" i="8"/>
  <c r="BQ21" i="8"/>
  <c r="BP21" i="8"/>
  <c r="BO21" i="8"/>
  <c r="DY21" i="8" s="1"/>
  <c r="BN21" i="8"/>
  <c r="FG21" i="8" s="1"/>
  <c r="BM21" i="8"/>
  <c r="BW21" i="8" s="1"/>
  <c r="BL21" i="8"/>
  <c r="BK21" i="8"/>
  <c r="DT21" i="8" s="1"/>
  <c r="BJ21" i="8"/>
  <c r="AO22" i="8"/>
  <c r="AN22" i="8"/>
  <c r="BV22" i="8"/>
  <c r="BU22" i="8"/>
  <c r="BT22" i="8"/>
  <c r="BS22" i="8"/>
  <c r="BR22" i="8"/>
  <c r="BQ22" i="8"/>
  <c r="BP22" i="8"/>
  <c r="BO22" i="8"/>
  <c r="DY22" i="8" s="1"/>
  <c r="BN22" i="8"/>
  <c r="FG22" i="8" s="1"/>
  <c r="BM22" i="8"/>
  <c r="BW22" i="8" s="1"/>
  <c r="BL22" i="8"/>
  <c r="BK22" i="8"/>
  <c r="DT22" i="8" s="1"/>
  <c r="BJ22" i="8"/>
  <c r="AO23" i="8"/>
  <c r="AN23" i="8"/>
  <c r="BV23" i="8"/>
  <c r="BU23" i="8"/>
  <c r="BT23" i="8"/>
  <c r="BS23" i="8"/>
  <c r="BR23" i="8"/>
  <c r="BQ23" i="8"/>
  <c r="BP23" i="8"/>
  <c r="BO23" i="8"/>
  <c r="DY23" i="8" s="1"/>
  <c r="BN23" i="8"/>
  <c r="FG23" i="8" s="1"/>
  <c r="BM23" i="8"/>
  <c r="BW23" i="8" s="1"/>
  <c r="BL23" i="8"/>
  <c r="BK23" i="8"/>
  <c r="DT23" i="8" s="1"/>
  <c r="BJ23" i="8"/>
  <c r="AO24" i="8"/>
  <c r="AN24" i="8"/>
  <c r="BV24" i="8"/>
  <c r="BU24" i="8"/>
  <c r="BT24" i="8"/>
  <c r="BS24" i="8"/>
  <c r="BR24" i="8"/>
  <c r="BQ24" i="8"/>
  <c r="BP24" i="8"/>
  <c r="BO24" i="8"/>
  <c r="DY24" i="8" s="1"/>
  <c r="BN24" i="8"/>
  <c r="FG24" i="8" s="1"/>
  <c r="BM24" i="8"/>
  <c r="BW24" i="8" s="1"/>
  <c r="BL24" i="8"/>
  <c r="BK24" i="8"/>
  <c r="DT24" i="8" s="1"/>
  <c r="BJ24" i="8"/>
  <c r="AO25" i="8"/>
  <c r="AN25" i="8"/>
  <c r="BV25" i="8"/>
  <c r="BU25" i="8"/>
  <c r="BT25" i="8"/>
  <c r="BS25" i="8"/>
  <c r="BR25" i="8"/>
  <c r="BQ25" i="8"/>
  <c r="BP25" i="8"/>
  <c r="BO25" i="8"/>
  <c r="DY25" i="8" s="1"/>
  <c r="BN25" i="8"/>
  <c r="FG25" i="8" s="1"/>
  <c r="BM25" i="8"/>
  <c r="BW25" i="8" s="1"/>
  <c r="BL25" i="8"/>
  <c r="BK25" i="8"/>
  <c r="DT25" i="8" s="1"/>
  <c r="BJ25" i="8"/>
  <c r="AO26" i="8"/>
  <c r="AN26" i="8"/>
  <c r="BV26" i="8"/>
  <c r="BU26" i="8"/>
  <c r="BT26" i="8"/>
  <c r="BS26" i="8"/>
  <c r="BR26" i="8"/>
  <c r="BQ26" i="8"/>
  <c r="BP26" i="8"/>
  <c r="BO26" i="8"/>
  <c r="DY26" i="8" s="1"/>
  <c r="BN26" i="8"/>
  <c r="FG26" i="8" s="1"/>
  <c r="BM26" i="8"/>
  <c r="BW26" i="8" s="1"/>
  <c r="BL26" i="8"/>
  <c r="BK26" i="8"/>
  <c r="DT26" i="8" s="1"/>
  <c r="BJ26" i="8"/>
  <c r="AO27" i="8"/>
  <c r="AN27" i="8"/>
  <c r="BV27" i="8"/>
  <c r="BU27" i="8"/>
  <c r="BT27" i="8"/>
  <c r="BS27" i="8"/>
  <c r="BR27" i="8"/>
  <c r="BQ27" i="8"/>
  <c r="BP27" i="8"/>
  <c r="BO27" i="8"/>
  <c r="DY27" i="8" s="1"/>
  <c r="BN27" i="8"/>
  <c r="FG27" i="8" s="1"/>
  <c r="BM27" i="8"/>
  <c r="BW27" i="8" s="1"/>
  <c r="BL27" i="8"/>
  <c r="BK27" i="8"/>
  <c r="DT27" i="8" s="1"/>
  <c r="BJ27" i="8"/>
  <c r="AO28" i="8"/>
  <c r="AN28" i="8"/>
  <c r="BV28" i="8"/>
  <c r="BU28" i="8"/>
  <c r="BT28" i="8"/>
  <c r="BS28" i="8"/>
  <c r="BR28" i="8"/>
  <c r="BQ28" i="8"/>
  <c r="BP28" i="8"/>
  <c r="BO28" i="8"/>
  <c r="DY28" i="8" s="1"/>
  <c r="BN28" i="8"/>
  <c r="FG28" i="8" s="1"/>
  <c r="BM28" i="8"/>
  <c r="BW28" i="8" s="1"/>
  <c r="BL28" i="8"/>
  <c r="BK28" i="8"/>
  <c r="DT28" i="8" s="1"/>
  <c r="BJ28" i="8"/>
  <c r="AO29" i="8"/>
  <c r="AN29" i="8"/>
  <c r="BV29" i="8"/>
  <c r="BU29" i="8"/>
  <c r="BT29" i="8"/>
  <c r="BS29" i="8"/>
  <c r="BR29" i="8"/>
  <c r="BQ29" i="8"/>
  <c r="BP29" i="8"/>
  <c r="BO29" i="8"/>
  <c r="DY29" i="8" s="1"/>
  <c r="BN29" i="8"/>
  <c r="FG29" i="8" s="1"/>
  <c r="BM29" i="8"/>
  <c r="BW29" i="8" s="1"/>
  <c r="BL29" i="8"/>
  <c r="BK29" i="8"/>
  <c r="DT29" i="8" s="1"/>
  <c r="BJ29" i="8"/>
  <c r="AO30" i="8"/>
  <c r="AN30" i="8"/>
  <c r="BV30" i="8"/>
  <c r="BU30" i="8"/>
  <c r="BT30" i="8"/>
  <c r="BS30" i="8"/>
  <c r="BR30" i="8"/>
  <c r="BQ30" i="8"/>
  <c r="BP30" i="8"/>
  <c r="BO30" i="8"/>
  <c r="DY30" i="8" s="1"/>
  <c r="BN30" i="8"/>
  <c r="FG30" i="8" s="1"/>
  <c r="BM30" i="8"/>
  <c r="BW30" i="8" s="1"/>
  <c r="BL30" i="8"/>
  <c r="BK30" i="8"/>
  <c r="DT30" i="8" s="1"/>
  <c r="BJ30" i="8"/>
  <c r="AO31" i="8"/>
  <c r="AN31" i="8"/>
  <c r="BV31" i="8"/>
  <c r="BU31" i="8"/>
  <c r="BT31" i="8"/>
  <c r="BS31" i="8"/>
  <c r="BR31" i="8"/>
  <c r="BQ31" i="8"/>
  <c r="BP31" i="8"/>
  <c r="BO31" i="8"/>
  <c r="DY31" i="8" s="1"/>
  <c r="BN31" i="8"/>
  <c r="FG31" i="8" s="1"/>
  <c r="BM31" i="8"/>
  <c r="BW31" i="8" s="1"/>
  <c r="BL31" i="8"/>
  <c r="BK31" i="8"/>
  <c r="DT31" i="8" s="1"/>
  <c r="BJ31" i="8"/>
  <c r="AO32" i="8"/>
  <c r="AN32" i="8"/>
  <c r="BV32" i="8"/>
  <c r="BU32" i="8"/>
  <c r="BT32" i="8"/>
  <c r="BS32" i="8"/>
  <c r="BR32" i="8"/>
  <c r="BQ32" i="8"/>
  <c r="BP32" i="8"/>
  <c r="BO32" i="8"/>
  <c r="DY32" i="8" s="1"/>
  <c r="BN32" i="8"/>
  <c r="FG32" i="8" s="1"/>
  <c r="BM32" i="8"/>
  <c r="BW32" i="8" s="1"/>
  <c r="BL32" i="8"/>
  <c r="BK32" i="8"/>
  <c r="DT32" i="8" s="1"/>
  <c r="BJ32" i="8"/>
  <c r="BJ33" i="8"/>
  <c r="BK33" i="8"/>
  <c r="DT33" i="8" s="1"/>
  <c r="BL33" i="8"/>
  <c r="BM33" i="8"/>
  <c r="BN33" i="8"/>
  <c r="BO33" i="8"/>
  <c r="DY33" i="8" s="1"/>
  <c r="BP33" i="8"/>
  <c r="BQ33" i="8"/>
  <c r="BR33" i="8"/>
  <c r="BS33" i="8"/>
  <c r="BT33" i="8"/>
  <c r="BU33" i="8"/>
  <c r="BV33" i="8"/>
  <c r="BW33" i="8"/>
  <c r="AN33" i="8"/>
  <c r="AO33" i="8"/>
  <c r="BJ34" i="8"/>
  <c r="BK34" i="8"/>
  <c r="DT34" i="8" s="1"/>
  <c r="BL34" i="8"/>
  <c r="BM34" i="8"/>
  <c r="BN34" i="8"/>
  <c r="BO34" i="8"/>
  <c r="DY34" i="8" s="1"/>
  <c r="BP34" i="8"/>
  <c r="BQ34" i="8"/>
  <c r="BR34" i="8"/>
  <c r="BS34" i="8"/>
  <c r="BT34" i="8"/>
  <c r="BU34" i="8"/>
  <c r="BV34" i="8"/>
  <c r="BW34" i="8"/>
  <c r="AN34" i="8"/>
  <c r="AO34" i="8"/>
  <c r="BJ35" i="8"/>
  <c r="BK35" i="8"/>
  <c r="DT35" i="8" s="1"/>
  <c r="BL35" i="8"/>
  <c r="BM35" i="8"/>
  <c r="BN35" i="8"/>
  <c r="BO35" i="8"/>
  <c r="DY35" i="8" s="1"/>
  <c r="BP35" i="8"/>
  <c r="BQ35" i="8"/>
  <c r="BR35" i="8"/>
  <c r="BS35" i="8"/>
  <c r="BT35" i="8"/>
  <c r="BU35" i="8"/>
  <c r="BV35" i="8"/>
  <c r="BW35" i="8"/>
  <c r="AN35" i="8"/>
  <c r="AO35" i="8"/>
  <c r="BJ36" i="8"/>
  <c r="BK36" i="8"/>
  <c r="DT36" i="8" s="1"/>
  <c r="BL36" i="8"/>
  <c r="BM36" i="8"/>
  <c r="BN36" i="8"/>
  <c r="BO36" i="8"/>
  <c r="DY36" i="8" s="1"/>
  <c r="BP36" i="8"/>
  <c r="BQ36" i="8"/>
  <c r="BR36" i="8"/>
  <c r="BS36" i="8"/>
  <c r="BT36" i="8"/>
  <c r="BU36" i="8"/>
  <c r="BV36" i="8"/>
  <c r="BW36" i="8"/>
  <c r="AN36" i="8"/>
  <c r="AO36" i="8"/>
  <c r="BJ37" i="8"/>
  <c r="BK37" i="8"/>
  <c r="DT37" i="8" s="1"/>
  <c r="BL37" i="8"/>
  <c r="BM37" i="8"/>
  <c r="BN37" i="8"/>
  <c r="BO37" i="8"/>
  <c r="DY37" i="8" s="1"/>
  <c r="BP37" i="8"/>
  <c r="BQ37" i="8"/>
  <c r="BR37" i="8"/>
  <c r="BS37" i="8"/>
  <c r="BT37" i="8"/>
  <c r="BU37" i="8"/>
  <c r="BV37" i="8"/>
  <c r="BW37" i="8"/>
  <c r="AN37" i="8"/>
  <c r="AO37" i="8"/>
  <c r="BJ38" i="8"/>
  <c r="BK38" i="8"/>
  <c r="DT38" i="8" s="1"/>
  <c r="BL38" i="8"/>
  <c r="BM38" i="8"/>
  <c r="BN38" i="8"/>
  <c r="BO38" i="8"/>
  <c r="DY38" i="8" s="1"/>
  <c r="BP38" i="8"/>
  <c r="BQ38" i="8"/>
  <c r="BR38" i="8"/>
  <c r="BS38" i="8"/>
  <c r="BT38" i="8"/>
  <c r="BU38" i="8"/>
  <c r="BV38" i="8"/>
  <c r="BW38" i="8"/>
  <c r="AN38" i="8"/>
  <c r="AO38" i="8"/>
  <c r="BJ39" i="8"/>
  <c r="BK39" i="8"/>
  <c r="DT39" i="8" s="1"/>
  <c r="BL39" i="8"/>
  <c r="BM39" i="8"/>
  <c r="BN39" i="8"/>
  <c r="BO39" i="8"/>
  <c r="DY39" i="8" s="1"/>
  <c r="BP39" i="8"/>
  <c r="BQ39" i="8"/>
  <c r="BR39" i="8"/>
  <c r="BS39" i="8"/>
  <c r="BT39" i="8"/>
  <c r="BU39" i="8"/>
  <c r="BV39" i="8"/>
  <c r="BW39" i="8"/>
  <c r="AN39" i="8"/>
  <c r="AO39" i="8"/>
  <c r="BJ40" i="8"/>
  <c r="BK40" i="8"/>
  <c r="DT40" i="8" s="1"/>
  <c r="BL40" i="8"/>
  <c r="BM40" i="8"/>
  <c r="BN40" i="8"/>
  <c r="BO40" i="8"/>
  <c r="DY40" i="8" s="1"/>
  <c r="BP40" i="8"/>
  <c r="BQ40" i="8"/>
  <c r="BR40" i="8"/>
  <c r="BS40" i="8"/>
  <c r="BT40" i="8"/>
  <c r="BU40" i="8"/>
  <c r="BV40" i="8"/>
  <c r="BW40" i="8"/>
  <c r="AN40" i="8"/>
  <c r="AO40" i="8"/>
  <c r="BJ41" i="8"/>
  <c r="BK41" i="8"/>
  <c r="DT41" i="8" s="1"/>
  <c r="BL41" i="8"/>
  <c r="BM41" i="8"/>
  <c r="BN41" i="8"/>
  <c r="BO41" i="8"/>
  <c r="DY41" i="8" s="1"/>
  <c r="BP41" i="8"/>
  <c r="BQ41" i="8"/>
  <c r="BR41" i="8"/>
  <c r="BS41" i="8"/>
  <c r="BT41" i="8"/>
  <c r="BU41" i="8"/>
  <c r="BV41" i="8"/>
  <c r="BW41" i="8"/>
  <c r="AN41" i="8"/>
  <c r="AO41" i="8"/>
  <c r="BJ42" i="8"/>
  <c r="BK42" i="8"/>
  <c r="DT42" i="8" s="1"/>
  <c r="BL42" i="8"/>
  <c r="BM42" i="8"/>
  <c r="BN42" i="8"/>
  <c r="BO42" i="8"/>
  <c r="DY42" i="8" s="1"/>
  <c r="BP42" i="8"/>
  <c r="BQ42" i="8"/>
  <c r="BR42" i="8"/>
  <c r="BS42" i="8"/>
  <c r="BT42" i="8"/>
  <c r="BU42" i="8"/>
  <c r="BV42" i="8"/>
  <c r="BW42" i="8"/>
  <c r="AN42" i="8"/>
  <c r="AO42" i="8"/>
  <c r="BJ43" i="8"/>
  <c r="BK43" i="8"/>
  <c r="DT43" i="8" s="1"/>
  <c r="BL43" i="8"/>
  <c r="BM43" i="8"/>
  <c r="BN43" i="8"/>
  <c r="BO43" i="8"/>
  <c r="DY43" i="8" s="1"/>
  <c r="BP43" i="8"/>
  <c r="BQ43" i="8"/>
  <c r="BR43" i="8"/>
  <c r="BS43" i="8"/>
  <c r="BT43" i="8"/>
  <c r="BU43" i="8"/>
  <c r="BV43" i="8"/>
  <c r="BW43" i="8"/>
  <c r="AN43" i="8"/>
  <c r="AO43" i="8"/>
  <c r="BJ44" i="8"/>
  <c r="BK44" i="8"/>
  <c r="DT44" i="8" s="1"/>
  <c r="BL44" i="8"/>
  <c r="BM44" i="8"/>
  <c r="BN44" i="8"/>
  <c r="BO44" i="8"/>
  <c r="DY44" i="8" s="1"/>
  <c r="BP44" i="8"/>
  <c r="BQ44" i="8"/>
  <c r="BR44" i="8"/>
  <c r="BS44" i="8"/>
  <c r="BT44" i="8"/>
  <c r="BU44" i="8"/>
  <c r="BV44" i="8"/>
  <c r="BW44" i="8"/>
  <c r="AN44" i="8"/>
  <c r="AO44" i="8"/>
  <c r="AM100" i="8"/>
  <c r="AL100" i="8"/>
  <c r="DK100" i="8"/>
  <c r="DJ100" i="8"/>
  <c r="DI100" i="8"/>
  <c r="DH100" i="8"/>
  <c r="DG100" i="8"/>
  <c r="DF100" i="8"/>
  <c r="DE100" i="8"/>
  <c r="DD100" i="8"/>
  <c r="DC100" i="8"/>
  <c r="DL100" i="8" s="1"/>
  <c r="DB100" i="8"/>
  <c r="DA100" i="8"/>
  <c r="CZ100" i="8"/>
  <c r="DN100" i="8"/>
  <c r="DM100" i="8"/>
  <c r="BI100" i="8"/>
  <c r="BH100" i="8"/>
  <c r="BI101" i="8"/>
  <c r="BH101" i="8"/>
  <c r="BI102" i="8"/>
  <c r="BH102" i="8"/>
  <c r="R283" i="22"/>
  <c r="AM64" i="8" s="1"/>
  <c r="Q283" i="22"/>
  <c r="AL64" i="8" s="1"/>
  <c r="Q140" i="22"/>
  <c r="R140" i="22"/>
  <c r="R108" i="22"/>
  <c r="AO58" i="8" s="1"/>
  <c r="Q108" i="22"/>
  <c r="Q109" i="22"/>
  <c r="R109" i="22"/>
  <c r="D25" i="18" s="1"/>
  <c r="R48" i="22"/>
  <c r="Q48" i="22"/>
  <c r="R54" i="22"/>
  <c r="Q54" i="22"/>
  <c r="R56" i="22"/>
  <c r="AM87" i="8" s="1"/>
  <c r="Q56" i="22"/>
  <c r="AL87" i="8" s="1"/>
  <c r="R57" i="22"/>
  <c r="Q57" i="22"/>
  <c r="R58" i="22"/>
  <c r="AM89" i="8" s="1"/>
  <c r="Q58" i="22"/>
  <c r="AL89" i="8" s="1"/>
  <c r="R66" i="22"/>
  <c r="Q66" i="22"/>
  <c r="R73" i="22"/>
  <c r="Q73" i="22"/>
  <c r="R37" i="22"/>
  <c r="D22" i="18" s="1"/>
  <c r="Q37" i="22"/>
  <c r="R38" i="22"/>
  <c r="D23" i="18" s="1"/>
  <c r="Q38" i="22"/>
  <c r="H43" i="18"/>
  <c r="F43" i="18"/>
  <c r="E43" i="18"/>
  <c r="D43" i="18"/>
  <c r="C43" i="18"/>
  <c r="B43" i="18"/>
  <c r="AG282" i="22"/>
  <c r="AE282" i="22"/>
  <c r="AF282" i="22" s="1"/>
  <c r="V282" i="22"/>
  <c r="R282" i="22"/>
  <c r="D26" i="18" s="1"/>
  <c r="Q282" i="22"/>
  <c r="K318" i="22"/>
  <c r="W23" i="5"/>
  <c r="Z23" i="5"/>
  <c r="M318" i="22" s="1"/>
  <c r="AG318" i="22"/>
  <c r="R318" i="22"/>
  <c r="Q318" i="22"/>
  <c r="M76" i="18"/>
  <c r="N76" i="18"/>
  <c r="B76" i="18"/>
  <c r="C76" i="18"/>
  <c r="D76" i="18"/>
  <c r="E76" i="18"/>
  <c r="G76" i="18"/>
  <c r="H76" i="18"/>
  <c r="M75" i="18"/>
  <c r="N75" i="18"/>
  <c r="B75" i="18"/>
  <c r="C75" i="18"/>
  <c r="D75" i="18"/>
  <c r="E75" i="18"/>
  <c r="G75" i="18"/>
  <c r="H75" i="18"/>
  <c r="M74" i="18"/>
  <c r="N74" i="18"/>
  <c r="B74" i="18"/>
  <c r="C74" i="18"/>
  <c r="D74" i="18"/>
  <c r="E74" i="18"/>
  <c r="G74" i="18"/>
  <c r="H74" i="18"/>
  <c r="M73" i="18"/>
  <c r="N73" i="18"/>
  <c r="B73" i="18"/>
  <c r="C73" i="18"/>
  <c r="D73" i="18"/>
  <c r="E73" i="18"/>
  <c r="G73" i="18"/>
  <c r="H73" i="18"/>
  <c r="M72" i="18"/>
  <c r="N72" i="18"/>
  <c r="B72" i="18"/>
  <c r="C72" i="18"/>
  <c r="D72" i="18"/>
  <c r="E72" i="18"/>
  <c r="G72" i="18"/>
  <c r="H72" i="18"/>
  <c r="M71" i="18"/>
  <c r="N71" i="18"/>
  <c r="B71" i="18"/>
  <c r="C71" i="18"/>
  <c r="D71" i="18"/>
  <c r="E71" i="18"/>
  <c r="G71" i="18"/>
  <c r="H71" i="18"/>
  <c r="M70" i="18"/>
  <c r="N70" i="18"/>
  <c r="B70" i="18"/>
  <c r="C70" i="18"/>
  <c r="D70" i="18"/>
  <c r="E70" i="18"/>
  <c r="G70" i="18"/>
  <c r="H70" i="18"/>
  <c r="M69" i="18"/>
  <c r="N69" i="18"/>
  <c r="B69" i="18"/>
  <c r="C69" i="18"/>
  <c r="D69" i="18"/>
  <c r="E69" i="18"/>
  <c r="G69" i="18"/>
  <c r="H69" i="18"/>
  <c r="M68" i="18"/>
  <c r="N68" i="18"/>
  <c r="B68" i="18"/>
  <c r="C68" i="18"/>
  <c r="D68" i="18"/>
  <c r="E68" i="18"/>
  <c r="G68" i="18"/>
  <c r="H68" i="18"/>
  <c r="AM62" i="8"/>
  <c r="AL62" i="8"/>
  <c r="DK62" i="8"/>
  <c r="DJ62" i="8"/>
  <c r="DI62" i="8"/>
  <c r="DH62" i="8"/>
  <c r="DG62" i="8"/>
  <c r="DF62" i="8"/>
  <c r="DE62" i="8"/>
  <c r="DY62" i="8" s="1"/>
  <c r="DD62" i="8"/>
  <c r="DC62" i="8"/>
  <c r="DB62" i="8"/>
  <c r="DA62" i="8"/>
  <c r="CZ62" i="8"/>
  <c r="DM62" i="8" s="1"/>
  <c r="AM59" i="8"/>
  <c r="AL59" i="8"/>
  <c r="DK59" i="8"/>
  <c r="DJ59" i="8"/>
  <c r="DI59" i="8"/>
  <c r="DH59" i="8"/>
  <c r="DG59" i="8"/>
  <c r="DF59" i="8"/>
  <c r="DE59" i="8"/>
  <c r="DY59" i="8" s="1"/>
  <c r="DD59" i="8"/>
  <c r="DC59" i="8"/>
  <c r="DB59" i="8"/>
  <c r="DA59" i="8"/>
  <c r="CZ59" i="8"/>
  <c r="DM59" i="8" s="1"/>
  <c r="AM56" i="8"/>
  <c r="AL56" i="8"/>
  <c r="DK56" i="8"/>
  <c r="DJ56" i="8"/>
  <c r="DI56" i="8"/>
  <c r="DH56" i="8"/>
  <c r="DG56" i="8"/>
  <c r="DF56" i="8"/>
  <c r="DE56" i="8"/>
  <c r="DY56" i="8" s="1"/>
  <c r="DD56" i="8"/>
  <c r="DC56" i="8"/>
  <c r="DB56" i="8"/>
  <c r="DA56" i="8"/>
  <c r="CZ56" i="8"/>
  <c r="DM56" i="8" s="1"/>
  <c r="AM54" i="8"/>
  <c r="AL54" i="8"/>
  <c r="DK54" i="8"/>
  <c r="DJ54" i="8"/>
  <c r="DI54" i="8"/>
  <c r="DH54" i="8"/>
  <c r="DG54" i="8"/>
  <c r="DF54" i="8"/>
  <c r="DE54" i="8"/>
  <c r="DY54" i="8" s="1"/>
  <c r="DD54" i="8"/>
  <c r="DC54" i="8"/>
  <c r="DB54" i="8"/>
  <c r="DA54" i="8"/>
  <c r="CZ54" i="8"/>
  <c r="DM54" i="8" s="1"/>
  <c r="AM51" i="8"/>
  <c r="AL51" i="8"/>
  <c r="DK51" i="8"/>
  <c r="DJ51" i="8"/>
  <c r="DI51" i="8"/>
  <c r="DH51" i="8"/>
  <c r="DG51" i="8"/>
  <c r="DF51" i="8"/>
  <c r="DE51" i="8"/>
  <c r="DY51" i="8" s="1"/>
  <c r="DD51" i="8"/>
  <c r="DC51" i="8"/>
  <c r="DB51" i="8"/>
  <c r="DA51" i="8"/>
  <c r="CZ51" i="8"/>
  <c r="DM51" i="8" s="1"/>
  <c r="AM49" i="8"/>
  <c r="AL49" i="8"/>
  <c r="DK49" i="8"/>
  <c r="DJ49" i="8"/>
  <c r="DI49" i="8"/>
  <c r="DH49" i="8"/>
  <c r="DG49" i="8"/>
  <c r="DF49" i="8"/>
  <c r="DE49" i="8"/>
  <c r="DD49" i="8"/>
  <c r="DC49" i="8"/>
  <c r="DB49" i="8"/>
  <c r="DA49" i="8"/>
  <c r="CZ49" i="8"/>
  <c r="DM49" i="8" s="1"/>
  <c r="AM46" i="8"/>
  <c r="AL46" i="8"/>
  <c r="DK46" i="8"/>
  <c r="DJ46" i="8"/>
  <c r="DI46" i="8"/>
  <c r="DH46" i="8"/>
  <c r="DG46" i="8"/>
  <c r="DF46" i="8"/>
  <c r="DE46" i="8"/>
  <c r="DD46" i="8"/>
  <c r="DC46" i="8"/>
  <c r="DB46" i="8"/>
  <c r="DA46" i="8"/>
  <c r="CZ46" i="8"/>
  <c r="DM46" i="8" s="1"/>
  <c r="AM98" i="8"/>
  <c r="AL98" i="8"/>
  <c r="DK98" i="8"/>
  <c r="DJ98" i="8"/>
  <c r="DI98" i="8"/>
  <c r="DH98" i="8"/>
  <c r="DG98" i="8"/>
  <c r="DF98" i="8"/>
  <c r="DE98" i="8"/>
  <c r="DD98" i="8"/>
  <c r="DC98" i="8"/>
  <c r="DB98" i="8"/>
  <c r="DA98" i="8"/>
  <c r="CZ98" i="8"/>
  <c r="DM98" i="8" s="1"/>
  <c r="DN96" i="8"/>
  <c r="DM96" i="8"/>
  <c r="AM96" i="8"/>
  <c r="AL96" i="8"/>
  <c r="DK96" i="8"/>
  <c r="DJ96" i="8"/>
  <c r="DI96" i="8"/>
  <c r="DH96" i="8"/>
  <c r="DG96" i="8"/>
  <c r="DF96" i="8"/>
  <c r="DE96" i="8"/>
  <c r="DD96" i="8"/>
  <c r="DC96" i="8"/>
  <c r="DL96" i="8" s="1"/>
  <c r="DB96" i="8"/>
  <c r="DA96" i="8"/>
  <c r="CZ96" i="8"/>
  <c r="AM94" i="8"/>
  <c r="AL94" i="8"/>
  <c r="DK94" i="8"/>
  <c r="DJ94" i="8"/>
  <c r="DI94" i="8"/>
  <c r="DH94" i="8"/>
  <c r="DG94" i="8"/>
  <c r="DF94" i="8"/>
  <c r="DE94" i="8"/>
  <c r="DD94" i="8"/>
  <c r="DC94" i="8"/>
  <c r="DB94" i="8"/>
  <c r="DA94" i="8"/>
  <c r="CZ94" i="8"/>
  <c r="DM94" i="8" s="1"/>
  <c r="AM92" i="8"/>
  <c r="AL92" i="8"/>
  <c r="DK92" i="8"/>
  <c r="DJ92" i="8"/>
  <c r="DI92" i="8"/>
  <c r="DH92" i="8"/>
  <c r="DG92" i="8"/>
  <c r="DF92" i="8"/>
  <c r="DE92" i="8"/>
  <c r="DD92" i="8"/>
  <c r="DC92" i="8"/>
  <c r="DB92" i="8"/>
  <c r="DA92" i="8"/>
  <c r="CZ92" i="8"/>
  <c r="DM92" i="8" s="1"/>
  <c r="AM90" i="8"/>
  <c r="AL90" i="8"/>
  <c r="DK90" i="8"/>
  <c r="DJ90" i="8"/>
  <c r="DI90" i="8"/>
  <c r="DH90" i="8"/>
  <c r="DG90" i="8"/>
  <c r="DF90" i="8"/>
  <c r="DE90" i="8"/>
  <c r="DD90" i="8"/>
  <c r="DC90" i="8"/>
  <c r="DB90" i="8"/>
  <c r="DA90" i="8"/>
  <c r="CZ90" i="8"/>
  <c r="DM90" i="8" s="1"/>
  <c r="AM88" i="8"/>
  <c r="AL88" i="8"/>
  <c r="DK88" i="8"/>
  <c r="DJ88" i="8"/>
  <c r="DI88" i="8"/>
  <c r="DH88" i="8"/>
  <c r="DG88" i="8"/>
  <c r="DF88" i="8"/>
  <c r="DE88" i="8"/>
  <c r="DD88" i="8"/>
  <c r="DC88" i="8"/>
  <c r="DB88" i="8"/>
  <c r="DA88" i="8"/>
  <c r="CZ88" i="8"/>
  <c r="DM88" i="8" s="1"/>
  <c r="AM86" i="8"/>
  <c r="AL86" i="8"/>
  <c r="DK86" i="8"/>
  <c r="DJ86" i="8"/>
  <c r="DI86" i="8"/>
  <c r="DH86" i="8"/>
  <c r="DG86" i="8"/>
  <c r="DF86" i="8"/>
  <c r="DE86" i="8"/>
  <c r="DD86" i="8"/>
  <c r="DC86" i="8"/>
  <c r="DB86" i="8"/>
  <c r="DA86" i="8"/>
  <c r="CZ86" i="8"/>
  <c r="DM86" i="8" s="1"/>
  <c r="AM82" i="8"/>
  <c r="AL82" i="8"/>
  <c r="DK82" i="8"/>
  <c r="DJ82" i="8"/>
  <c r="DI82" i="8"/>
  <c r="DH82" i="8"/>
  <c r="DG82" i="8"/>
  <c r="DF82" i="8"/>
  <c r="DE82" i="8"/>
  <c r="DD82" i="8"/>
  <c r="DC82" i="8"/>
  <c r="DB82" i="8"/>
  <c r="DA82" i="8"/>
  <c r="CZ82" i="8"/>
  <c r="DM82" i="8" s="1"/>
  <c r="AM81" i="8"/>
  <c r="AL81" i="8"/>
  <c r="DK81" i="8"/>
  <c r="DJ81" i="8"/>
  <c r="DI81" i="8"/>
  <c r="DH81" i="8"/>
  <c r="DG81" i="8"/>
  <c r="DF81" i="8"/>
  <c r="DE81" i="8"/>
  <c r="DD81" i="8"/>
  <c r="DC81" i="8"/>
  <c r="DB81" i="8"/>
  <c r="DA81" i="8"/>
  <c r="CZ81" i="8"/>
  <c r="DM81" i="8" s="1"/>
  <c r="AM78" i="8"/>
  <c r="AL78" i="8"/>
  <c r="DK78" i="8"/>
  <c r="DJ78" i="8"/>
  <c r="DI78" i="8"/>
  <c r="DH78" i="8"/>
  <c r="DG78" i="8"/>
  <c r="DF78" i="8"/>
  <c r="DE78" i="8"/>
  <c r="DD78" i="8"/>
  <c r="DC78" i="8"/>
  <c r="DB78" i="8"/>
  <c r="DA78" i="8"/>
  <c r="CZ78" i="8"/>
  <c r="DM78" i="8" s="1"/>
  <c r="AM61" i="8"/>
  <c r="AL61" i="8"/>
  <c r="DK61" i="8"/>
  <c r="DJ61" i="8"/>
  <c r="DI61" i="8"/>
  <c r="DH61" i="8"/>
  <c r="DG61" i="8"/>
  <c r="DF61" i="8"/>
  <c r="DE61" i="8"/>
  <c r="DY61" i="8" s="1"/>
  <c r="DD61" i="8"/>
  <c r="DC61" i="8"/>
  <c r="DB61" i="8"/>
  <c r="DA61" i="8"/>
  <c r="CZ61" i="8"/>
  <c r="DM61" i="8" s="1"/>
  <c r="AM58" i="8"/>
  <c r="AL58" i="8"/>
  <c r="DK58" i="8"/>
  <c r="DJ58" i="8"/>
  <c r="DI58" i="8"/>
  <c r="DH58" i="8"/>
  <c r="DG58" i="8"/>
  <c r="DF58" i="8"/>
  <c r="DE58" i="8"/>
  <c r="DY58" i="8" s="1"/>
  <c r="DD58" i="8"/>
  <c r="DC58" i="8"/>
  <c r="DB58" i="8"/>
  <c r="DA58" i="8"/>
  <c r="CZ58" i="8"/>
  <c r="DM58" i="8" s="1"/>
  <c r="AM55" i="8"/>
  <c r="AL55" i="8"/>
  <c r="DK55" i="8"/>
  <c r="DJ55" i="8"/>
  <c r="DI55" i="8"/>
  <c r="DH55" i="8"/>
  <c r="DG55" i="8"/>
  <c r="DF55" i="8"/>
  <c r="DE55" i="8"/>
  <c r="DY55" i="8" s="1"/>
  <c r="DD55" i="8"/>
  <c r="DC55" i="8"/>
  <c r="DB55" i="8"/>
  <c r="DA55" i="8"/>
  <c r="CZ55" i="8"/>
  <c r="DM55" i="8" s="1"/>
  <c r="AM52" i="8"/>
  <c r="AL52" i="8"/>
  <c r="DK52" i="8"/>
  <c r="DJ52" i="8"/>
  <c r="DI52" i="8"/>
  <c r="DH52" i="8"/>
  <c r="DG52" i="8"/>
  <c r="DF52" i="8"/>
  <c r="DE52" i="8"/>
  <c r="DY52" i="8" s="1"/>
  <c r="DD52" i="8"/>
  <c r="DC52" i="8"/>
  <c r="DB52" i="8"/>
  <c r="DA52" i="8"/>
  <c r="CZ52" i="8"/>
  <c r="DM52" i="8" s="1"/>
  <c r="AM50" i="8"/>
  <c r="AL50" i="8"/>
  <c r="DK50" i="8"/>
  <c r="DJ50" i="8"/>
  <c r="DI50" i="8"/>
  <c r="DH50" i="8"/>
  <c r="DG50" i="8"/>
  <c r="DF50" i="8"/>
  <c r="DE50" i="8"/>
  <c r="DY50" i="8" s="1"/>
  <c r="DD50" i="8"/>
  <c r="DC50" i="8"/>
  <c r="DB50" i="8"/>
  <c r="DA50" i="8"/>
  <c r="CZ50" i="8"/>
  <c r="DM50" i="8" s="1"/>
  <c r="AM47" i="8"/>
  <c r="AL47" i="8"/>
  <c r="DK47" i="8"/>
  <c r="DJ47" i="8"/>
  <c r="DI47" i="8"/>
  <c r="DH47" i="8"/>
  <c r="DG47" i="8"/>
  <c r="DF47" i="8"/>
  <c r="DE47" i="8"/>
  <c r="DY47" i="8" s="1"/>
  <c r="DD47" i="8"/>
  <c r="DC47" i="8"/>
  <c r="DB47" i="8"/>
  <c r="DA47" i="8"/>
  <c r="CZ47" i="8"/>
  <c r="DM47" i="8" s="1"/>
  <c r="AM99" i="8"/>
  <c r="AL99" i="8"/>
  <c r="DK99" i="8"/>
  <c r="DJ99" i="8"/>
  <c r="DI99" i="8"/>
  <c r="DH99" i="8"/>
  <c r="DG99" i="8"/>
  <c r="DF99" i="8"/>
  <c r="DE99" i="8"/>
  <c r="DD99" i="8"/>
  <c r="DC99" i="8"/>
  <c r="DB99" i="8"/>
  <c r="DA99" i="8"/>
  <c r="CZ99" i="8"/>
  <c r="DM99" i="8" s="1"/>
  <c r="AM97" i="8"/>
  <c r="AL97" i="8"/>
  <c r="DK97" i="8"/>
  <c r="DJ97" i="8"/>
  <c r="DI97" i="8"/>
  <c r="DH97" i="8"/>
  <c r="DG97" i="8"/>
  <c r="DF97" i="8"/>
  <c r="DE97" i="8"/>
  <c r="DD97" i="8"/>
  <c r="DC97" i="8"/>
  <c r="DB97" i="8"/>
  <c r="DA97" i="8"/>
  <c r="CZ97" i="8"/>
  <c r="DM97" i="8" s="1"/>
  <c r="AM95" i="8"/>
  <c r="AL95" i="8"/>
  <c r="DK95" i="8"/>
  <c r="DJ95" i="8"/>
  <c r="DI95" i="8"/>
  <c r="DH95" i="8"/>
  <c r="DG95" i="8"/>
  <c r="DF95" i="8"/>
  <c r="DE95" i="8"/>
  <c r="DD95" i="8"/>
  <c r="DC95" i="8"/>
  <c r="DB95" i="8"/>
  <c r="DA95" i="8"/>
  <c r="CZ95" i="8"/>
  <c r="AM93" i="8"/>
  <c r="AL93" i="8"/>
  <c r="DK93" i="8"/>
  <c r="DJ93" i="8"/>
  <c r="DI93" i="8"/>
  <c r="DH93" i="8"/>
  <c r="DG93" i="8"/>
  <c r="DF93" i="8"/>
  <c r="DE93" i="8"/>
  <c r="DD93" i="8"/>
  <c r="DC93" i="8"/>
  <c r="DB93" i="8"/>
  <c r="DA93" i="8"/>
  <c r="CZ93" i="8"/>
  <c r="DM93" i="8" s="1"/>
  <c r="AM91" i="8"/>
  <c r="AL91" i="8"/>
  <c r="DK91" i="8"/>
  <c r="DJ91" i="8"/>
  <c r="DI91" i="8"/>
  <c r="DH91" i="8"/>
  <c r="DG91" i="8"/>
  <c r="DF91" i="8"/>
  <c r="DE91" i="8"/>
  <c r="DD91" i="8"/>
  <c r="DC91" i="8"/>
  <c r="DB91" i="8"/>
  <c r="DA91" i="8"/>
  <c r="CZ91" i="8"/>
  <c r="DM91" i="8" s="1"/>
  <c r="DK89" i="8"/>
  <c r="DJ89" i="8"/>
  <c r="DI89" i="8"/>
  <c r="DH89" i="8"/>
  <c r="DG89" i="8"/>
  <c r="DF89" i="8"/>
  <c r="DE89" i="8"/>
  <c r="DD89" i="8"/>
  <c r="DC89" i="8"/>
  <c r="DB89" i="8"/>
  <c r="DA89" i="8"/>
  <c r="CZ89" i="8"/>
  <c r="DM89" i="8" s="1"/>
  <c r="DK87" i="8"/>
  <c r="DJ87" i="8"/>
  <c r="DI87" i="8"/>
  <c r="DH87" i="8"/>
  <c r="DG87" i="8"/>
  <c r="DF87" i="8"/>
  <c r="DE87" i="8"/>
  <c r="DD87" i="8"/>
  <c r="DC87" i="8"/>
  <c r="DB87" i="8"/>
  <c r="DA87" i="8"/>
  <c r="CZ87" i="8"/>
  <c r="DM87" i="8" s="1"/>
  <c r="AM85" i="8"/>
  <c r="AL85" i="8"/>
  <c r="DK85" i="8"/>
  <c r="DJ85" i="8"/>
  <c r="DI85" i="8"/>
  <c r="DH85" i="8"/>
  <c r="DG85" i="8"/>
  <c r="DF85" i="8"/>
  <c r="DE85" i="8"/>
  <c r="DD85" i="8"/>
  <c r="DC85" i="8"/>
  <c r="DB85" i="8"/>
  <c r="DA85" i="8"/>
  <c r="CZ85" i="8"/>
  <c r="DM85" i="8" s="1"/>
  <c r="AM83" i="8"/>
  <c r="AL83" i="8"/>
  <c r="DK83" i="8"/>
  <c r="DJ83" i="8"/>
  <c r="DI83" i="8"/>
  <c r="DH83" i="8"/>
  <c r="DG83" i="8"/>
  <c r="DF83" i="8"/>
  <c r="DE83" i="8"/>
  <c r="DD83" i="8"/>
  <c r="DC83" i="8"/>
  <c r="DB83" i="8"/>
  <c r="DA83" i="8"/>
  <c r="CZ83" i="8"/>
  <c r="DM83" i="8" s="1"/>
  <c r="AM80" i="8"/>
  <c r="AL80" i="8"/>
  <c r="DK80" i="8"/>
  <c r="DJ80" i="8"/>
  <c r="DI80" i="8"/>
  <c r="DH80" i="8"/>
  <c r="DG80" i="8"/>
  <c r="DF80" i="8"/>
  <c r="DE80" i="8"/>
  <c r="DD80" i="8"/>
  <c r="DC80" i="8"/>
  <c r="DB80" i="8"/>
  <c r="DA80" i="8"/>
  <c r="CZ80" i="8"/>
  <c r="DM80" i="8" s="1"/>
  <c r="AM79" i="8"/>
  <c r="AL79" i="8"/>
  <c r="DK79" i="8"/>
  <c r="DJ79" i="8"/>
  <c r="DI79" i="8"/>
  <c r="DH79" i="8"/>
  <c r="DG79" i="8"/>
  <c r="DF79" i="8"/>
  <c r="DE79" i="8"/>
  <c r="DD79" i="8"/>
  <c r="DC79" i="8"/>
  <c r="DB79" i="8"/>
  <c r="DA79" i="8"/>
  <c r="CZ79" i="8"/>
  <c r="DM79" i="8" s="1"/>
  <c r="AM60" i="8"/>
  <c r="AL60" i="8"/>
  <c r="DK60" i="8"/>
  <c r="DJ60" i="8"/>
  <c r="DI60" i="8"/>
  <c r="DH60" i="8"/>
  <c r="DG60" i="8"/>
  <c r="DF60" i="8"/>
  <c r="DE60" i="8"/>
  <c r="DD60" i="8"/>
  <c r="DC60" i="8"/>
  <c r="DB60" i="8"/>
  <c r="DA60" i="8"/>
  <c r="CZ60" i="8"/>
  <c r="DM60" i="8" s="1"/>
  <c r="AM57" i="8"/>
  <c r="AL57" i="8"/>
  <c r="DK57" i="8"/>
  <c r="DJ57" i="8"/>
  <c r="DI57" i="8"/>
  <c r="DH57" i="8"/>
  <c r="DG57" i="8"/>
  <c r="DF57" i="8"/>
  <c r="DE57" i="8"/>
  <c r="DD57" i="8"/>
  <c r="DC57" i="8"/>
  <c r="DB57" i="8"/>
  <c r="DA57" i="8"/>
  <c r="CZ57" i="8"/>
  <c r="DM57" i="8" s="1"/>
  <c r="DK53" i="8"/>
  <c r="DJ53" i="8"/>
  <c r="DI53" i="8"/>
  <c r="DH53" i="8"/>
  <c r="DG53" i="8"/>
  <c r="DF53" i="8"/>
  <c r="DE53" i="8"/>
  <c r="DD53" i="8"/>
  <c r="DC53" i="8"/>
  <c r="DB53" i="8"/>
  <c r="DA53" i="8"/>
  <c r="CZ53" i="8"/>
  <c r="DM53" i="8" s="1"/>
  <c r="AM103" i="8"/>
  <c r="AL103" i="8"/>
  <c r="DK103" i="8"/>
  <c r="DJ103" i="8"/>
  <c r="DI103" i="8"/>
  <c r="DH103" i="8"/>
  <c r="DG103" i="8"/>
  <c r="DF103" i="8"/>
  <c r="DE103" i="8"/>
  <c r="DD103" i="8"/>
  <c r="DC103" i="8"/>
  <c r="DB103" i="8"/>
  <c r="DA103" i="8"/>
  <c r="CZ103" i="8"/>
  <c r="DM103" i="8" s="1"/>
  <c r="AO76" i="8"/>
  <c r="AN76" i="8"/>
  <c r="BV76" i="8"/>
  <c r="BU76" i="8"/>
  <c r="BT76" i="8"/>
  <c r="BS76" i="8"/>
  <c r="BR76" i="8"/>
  <c r="BQ76" i="8"/>
  <c r="BP76" i="8"/>
  <c r="BO76" i="8"/>
  <c r="BN76" i="8"/>
  <c r="BM76" i="8"/>
  <c r="BL76" i="8"/>
  <c r="BK76" i="8"/>
  <c r="DT76" i="8" s="1"/>
  <c r="BJ76" i="8"/>
  <c r="DO76" i="8" s="1"/>
  <c r="AM76" i="8"/>
  <c r="AL76" i="8"/>
  <c r="DK76" i="8"/>
  <c r="DJ76" i="8"/>
  <c r="DI76" i="8"/>
  <c r="DH76" i="8"/>
  <c r="DG76" i="8"/>
  <c r="DF76" i="8"/>
  <c r="DE76" i="8"/>
  <c r="DY76" i="8" s="1"/>
  <c r="DD76" i="8"/>
  <c r="DC76" i="8"/>
  <c r="DL76" i="8" s="1"/>
  <c r="DB76" i="8"/>
  <c r="DA76" i="8"/>
  <c r="CZ76" i="8"/>
  <c r="DN76" i="8"/>
  <c r="DM76" i="8"/>
  <c r="AO75" i="8"/>
  <c r="AN75" i="8"/>
  <c r="BV75" i="8"/>
  <c r="BU75" i="8"/>
  <c r="BT75" i="8"/>
  <c r="BS75" i="8"/>
  <c r="BR75" i="8"/>
  <c r="BQ75" i="8"/>
  <c r="BP75" i="8"/>
  <c r="BO75" i="8"/>
  <c r="BN75" i="8"/>
  <c r="BM75" i="8"/>
  <c r="BL75" i="8"/>
  <c r="BK75" i="8"/>
  <c r="DT75" i="8" s="1"/>
  <c r="BJ75" i="8"/>
  <c r="DO75" i="8" s="1"/>
  <c r="AM75" i="8"/>
  <c r="AL75" i="8"/>
  <c r="DK75" i="8"/>
  <c r="DJ75" i="8"/>
  <c r="DI75" i="8"/>
  <c r="DH75" i="8"/>
  <c r="DG75" i="8"/>
  <c r="DF75" i="8"/>
  <c r="DE75" i="8"/>
  <c r="DY75" i="8" s="1"/>
  <c r="DD75" i="8"/>
  <c r="DC75" i="8"/>
  <c r="DL75" i="8" s="1"/>
  <c r="DB75" i="8"/>
  <c r="DA75" i="8"/>
  <c r="CZ75" i="8"/>
  <c r="DN75" i="8"/>
  <c r="DM75" i="8"/>
  <c r="AO74" i="8"/>
  <c r="AN74" i="8"/>
  <c r="BV74" i="8"/>
  <c r="BU74" i="8"/>
  <c r="BT74" i="8"/>
  <c r="BS74" i="8"/>
  <c r="BR74" i="8"/>
  <c r="BQ74" i="8"/>
  <c r="BP74" i="8"/>
  <c r="BO74" i="8"/>
  <c r="BN74" i="8"/>
  <c r="BM74" i="8"/>
  <c r="BL74" i="8"/>
  <c r="BK74" i="8"/>
  <c r="DT74" i="8" s="1"/>
  <c r="BJ74" i="8"/>
  <c r="DO74" i="8" s="1"/>
  <c r="AM73" i="8"/>
  <c r="AL73" i="8"/>
  <c r="DK73" i="8"/>
  <c r="DJ73" i="8"/>
  <c r="DI73" i="8"/>
  <c r="DH73" i="8"/>
  <c r="DG73" i="8"/>
  <c r="DF73" i="8"/>
  <c r="DE73" i="8"/>
  <c r="DD73" i="8"/>
  <c r="DC73" i="8"/>
  <c r="DL73" i="8" s="1"/>
  <c r="DB73" i="8"/>
  <c r="DA73" i="8"/>
  <c r="CZ73" i="8"/>
  <c r="DN73" i="8"/>
  <c r="DM73" i="8"/>
  <c r="BV73" i="8"/>
  <c r="BU73" i="8"/>
  <c r="BT73" i="8"/>
  <c r="BS73" i="8"/>
  <c r="BR73" i="8"/>
  <c r="BM73" i="8"/>
  <c r="BL73" i="8"/>
  <c r="BK73" i="8"/>
  <c r="DT73" i="8" s="1"/>
  <c r="BJ73" i="8"/>
  <c r="DO73" i="8" s="1"/>
  <c r="AM72" i="8"/>
  <c r="AL72" i="8"/>
  <c r="DK72" i="8"/>
  <c r="DJ72" i="8"/>
  <c r="DI72" i="8"/>
  <c r="DH72" i="8"/>
  <c r="DG72" i="8"/>
  <c r="DF72" i="8"/>
  <c r="DE72" i="8"/>
  <c r="DD72" i="8"/>
  <c r="DC72" i="8"/>
  <c r="DL72" i="8" s="1"/>
  <c r="DB72" i="8"/>
  <c r="DA72" i="8"/>
  <c r="CZ72" i="8"/>
  <c r="DN72" i="8"/>
  <c r="DM72" i="8"/>
  <c r="AO72" i="8"/>
  <c r="AN72" i="8"/>
  <c r="BV72" i="8"/>
  <c r="BU72" i="8"/>
  <c r="BT72" i="8"/>
  <c r="BS72" i="8"/>
  <c r="BR72" i="8"/>
  <c r="BQ72" i="8"/>
  <c r="BP72" i="8"/>
  <c r="BO72" i="8"/>
  <c r="BN72" i="8"/>
  <c r="BM72" i="8"/>
  <c r="BL72" i="8"/>
  <c r="BK72" i="8"/>
  <c r="DT72" i="8" s="1"/>
  <c r="BJ72" i="8"/>
  <c r="DO72" i="8" s="1"/>
  <c r="BV71" i="8"/>
  <c r="BU71" i="8"/>
  <c r="BT71" i="8"/>
  <c r="BS71" i="8"/>
  <c r="BR71" i="8"/>
  <c r="BM71" i="8"/>
  <c r="BL71" i="8"/>
  <c r="BK71" i="8"/>
  <c r="DT71" i="8" s="1"/>
  <c r="BJ71" i="8"/>
  <c r="DO71" i="8" s="1"/>
  <c r="AM71" i="8"/>
  <c r="AL71" i="8"/>
  <c r="DK71" i="8"/>
  <c r="DJ71" i="8"/>
  <c r="DI71" i="8"/>
  <c r="DH71" i="8"/>
  <c r="DG71" i="8"/>
  <c r="DF71" i="8"/>
  <c r="DE71" i="8"/>
  <c r="DD71" i="8"/>
  <c r="DC71" i="8"/>
  <c r="DL71" i="8" s="1"/>
  <c r="DB71" i="8"/>
  <c r="DA71" i="8"/>
  <c r="CZ71" i="8"/>
  <c r="DN71" i="8"/>
  <c r="DM71" i="8"/>
  <c r="AO70" i="8"/>
  <c r="AN70" i="8"/>
  <c r="BV70" i="8"/>
  <c r="BU70" i="8"/>
  <c r="BT70" i="8"/>
  <c r="BS70" i="8"/>
  <c r="BR70" i="8"/>
  <c r="BQ70" i="8"/>
  <c r="BP70" i="8"/>
  <c r="BO70" i="8"/>
  <c r="BN70" i="8"/>
  <c r="BM70" i="8"/>
  <c r="BL70" i="8"/>
  <c r="BK70" i="8"/>
  <c r="DT70" i="8" s="1"/>
  <c r="BJ70" i="8"/>
  <c r="DO70" i="8" s="1"/>
  <c r="AM70" i="8"/>
  <c r="AL70" i="8"/>
  <c r="DK70" i="8"/>
  <c r="DJ70" i="8"/>
  <c r="DI70" i="8"/>
  <c r="DH70" i="8"/>
  <c r="DG70" i="8"/>
  <c r="DF70" i="8"/>
  <c r="DE70" i="8"/>
  <c r="DY70" i="8" s="1"/>
  <c r="DD70" i="8"/>
  <c r="DC70" i="8"/>
  <c r="DL70" i="8" s="1"/>
  <c r="DB70" i="8"/>
  <c r="DA70" i="8"/>
  <c r="CZ70" i="8"/>
  <c r="DN70" i="8"/>
  <c r="DM70" i="8"/>
  <c r="AM69" i="8"/>
  <c r="AL69" i="8"/>
  <c r="DK69" i="8"/>
  <c r="DJ69" i="8"/>
  <c r="DI69" i="8"/>
  <c r="DH69" i="8"/>
  <c r="DG69" i="8"/>
  <c r="DF69" i="8"/>
  <c r="DE69" i="8"/>
  <c r="DD69" i="8"/>
  <c r="DC69" i="8"/>
  <c r="DL69" i="8" s="1"/>
  <c r="DB69" i="8"/>
  <c r="DA69" i="8"/>
  <c r="CZ69" i="8"/>
  <c r="DN69" i="8"/>
  <c r="DM69" i="8"/>
  <c r="BV69" i="8"/>
  <c r="BU69" i="8"/>
  <c r="BT69" i="8"/>
  <c r="BS69" i="8"/>
  <c r="BR69" i="8"/>
  <c r="BM69" i="8"/>
  <c r="BL69" i="8"/>
  <c r="BK69" i="8"/>
  <c r="DT69" i="8" s="1"/>
  <c r="BJ69" i="8"/>
  <c r="DO69" i="8" s="1"/>
  <c r="AO68" i="8"/>
  <c r="AN68" i="8"/>
  <c r="BV68" i="8"/>
  <c r="BU68" i="8"/>
  <c r="BT68" i="8"/>
  <c r="BS68" i="8"/>
  <c r="BR68" i="8"/>
  <c r="BQ68" i="8"/>
  <c r="BP68" i="8"/>
  <c r="BO68" i="8"/>
  <c r="BN68" i="8"/>
  <c r="BM68" i="8"/>
  <c r="BL68" i="8"/>
  <c r="BK68" i="8"/>
  <c r="DT68" i="8" s="1"/>
  <c r="BJ68" i="8"/>
  <c r="DO68" i="8" s="1"/>
  <c r="AM68" i="8"/>
  <c r="AL68" i="8"/>
  <c r="DK68" i="8"/>
  <c r="DJ68" i="8"/>
  <c r="DI68" i="8"/>
  <c r="DH68" i="8"/>
  <c r="DG68" i="8"/>
  <c r="DF68" i="8"/>
  <c r="DE68" i="8"/>
  <c r="DY68" i="8" s="1"/>
  <c r="DD68" i="8"/>
  <c r="DC68" i="8"/>
  <c r="DL68" i="8" s="1"/>
  <c r="DB68" i="8"/>
  <c r="DA68" i="8"/>
  <c r="CZ68" i="8"/>
  <c r="DN68" i="8"/>
  <c r="DM68" i="8"/>
  <c r="BV67" i="8"/>
  <c r="BU67" i="8"/>
  <c r="BT67" i="8"/>
  <c r="BS67" i="8"/>
  <c r="BR67" i="8"/>
  <c r="BM67" i="8"/>
  <c r="BL67" i="8"/>
  <c r="BK67" i="8"/>
  <c r="DT67" i="8" s="1"/>
  <c r="BJ67" i="8"/>
  <c r="DO67" i="8" s="1"/>
  <c r="AO66" i="8"/>
  <c r="AN66" i="8"/>
  <c r="BV66" i="8"/>
  <c r="BU66" i="8"/>
  <c r="BT66" i="8"/>
  <c r="BS66" i="8"/>
  <c r="BR66" i="8"/>
  <c r="BQ66" i="8"/>
  <c r="BP66" i="8"/>
  <c r="BO66" i="8"/>
  <c r="BN66" i="8"/>
  <c r="BM66" i="8"/>
  <c r="BL66" i="8"/>
  <c r="BK66" i="8"/>
  <c r="DT66" i="8" s="1"/>
  <c r="BJ66" i="8"/>
  <c r="DO66" i="8" s="1"/>
  <c r="AM65" i="8"/>
  <c r="AL65" i="8"/>
  <c r="DK65" i="8"/>
  <c r="DJ65" i="8"/>
  <c r="DI65" i="8"/>
  <c r="DH65" i="8"/>
  <c r="DG65" i="8"/>
  <c r="DF65" i="8"/>
  <c r="DE65" i="8"/>
  <c r="DD65" i="8"/>
  <c r="DC65" i="8"/>
  <c r="DL65" i="8" s="1"/>
  <c r="DB65" i="8"/>
  <c r="DA65" i="8"/>
  <c r="CZ65" i="8"/>
  <c r="DN65" i="8"/>
  <c r="DM65" i="8"/>
  <c r="AO65" i="8"/>
  <c r="AN65" i="8"/>
  <c r="BV65" i="8"/>
  <c r="BU65" i="8"/>
  <c r="BT65" i="8"/>
  <c r="BS65" i="8"/>
  <c r="BR65" i="8"/>
  <c r="BQ65" i="8"/>
  <c r="BP65" i="8"/>
  <c r="BO65" i="8"/>
  <c r="BN65" i="8"/>
  <c r="BM65" i="8"/>
  <c r="BL65" i="8"/>
  <c r="BK65" i="8"/>
  <c r="DT65" i="8" s="1"/>
  <c r="BJ65" i="8"/>
  <c r="DO65" i="8" s="1"/>
  <c r="AO64" i="8"/>
  <c r="AN64" i="8"/>
  <c r="BV64" i="8"/>
  <c r="BU64" i="8"/>
  <c r="BT64" i="8"/>
  <c r="BS64" i="8"/>
  <c r="BR64" i="8"/>
  <c r="BQ64" i="8"/>
  <c r="BP64" i="8"/>
  <c r="BO64" i="8"/>
  <c r="BN64" i="8"/>
  <c r="BM64" i="8"/>
  <c r="BL64" i="8"/>
  <c r="BK64" i="8"/>
  <c r="DT64" i="8" s="1"/>
  <c r="BJ64" i="8"/>
  <c r="DO64" i="8" s="1"/>
  <c r="DK64" i="8"/>
  <c r="DJ64" i="8"/>
  <c r="DI64" i="8"/>
  <c r="DH64" i="8"/>
  <c r="DG64" i="8"/>
  <c r="DF64" i="8"/>
  <c r="DE64" i="8"/>
  <c r="DY64" i="8" s="1"/>
  <c r="DD64" i="8"/>
  <c r="DC64" i="8"/>
  <c r="DL64" i="8" s="1"/>
  <c r="DB64" i="8"/>
  <c r="DA64" i="8"/>
  <c r="CZ64" i="8"/>
  <c r="DN64" i="8"/>
  <c r="DM64" i="8"/>
  <c r="AO63" i="8"/>
  <c r="AN63" i="8"/>
  <c r="BV63" i="8"/>
  <c r="BU63" i="8"/>
  <c r="BT63" i="8"/>
  <c r="BS63" i="8"/>
  <c r="BR63" i="8"/>
  <c r="BQ63" i="8"/>
  <c r="BP63" i="8"/>
  <c r="BO63" i="8"/>
  <c r="BN63" i="8"/>
  <c r="BM63" i="8"/>
  <c r="BL63" i="8"/>
  <c r="BK63" i="8"/>
  <c r="DT63" i="8" s="1"/>
  <c r="BJ63" i="8"/>
  <c r="DO63" i="8" s="1"/>
  <c r="AO62" i="8"/>
  <c r="AN62" i="8"/>
  <c r="BV62" i="8"/>
  <c r="BU62" i="8"/>
  <c r="BT62" i="8"/>
  <c r="BS62" i="8"/>
  <c r="BR62" i="8"/>
  <c r="BQ62" i="8"/>
  <c r="BP62" i="8"/>
  <c r="BO62" i="8"/>
  <c r="BN62" i="8"/>
  <c r="BM62" i="8"/>
  <c r="BL62" i="8"/>
  <c r="BK62" i="8"/>
  <c r="DT62" i="8" s="1"/>
  <c r="BJ62" i="8"/>
  <c r="DO62" i="8" s="1"/>
  <c r="AO61" i="8"/>
  <c r="AN61" i="8"/>
  <c r="BV61" i="8"/>
  <c r="BU61" i="8"/>
  <c r="BT61" i="8"/>
  <c r="BS61" i="8"/>
  <c r="BR61" i="8"/>
  <c r="BQ61" i="8"/>
  <c r="BP61" i="8"/>
  <c r="BO61" i="8"/>
  <c r="BN61" i="8"/>
  <c r="BM61" i="8"/>
  <c r="BL61" i="8"/>
  <c r="BK61" i="8"/>
  <c r="DT61" i="8" s="1"/>
  <c r="BJ61" i="8"/>
  <c r="DO61" i="8" s="1"/>
  <c r="AO60" i="8"/>
  <c r="AN60" i="8"/>
  <c r="BV60" i="8"/>
  <c r="BU60" i="8"/>
  <c r="BT60" i="8"/>
  <c r="BS60" i="8"/>
  <c r="BR60" i="8"/>
  <c r="BQ60" i="8"/>
  <c r="BP60" i="8"/>
  <c r="BO60" i="8"/>
  <c r="BN60" i="8"/>
  <c r="BM60" i="8"/>
  <c r="BL60" i="8"/>
  <c r="BK60" i="8"/>
  <c r="DT60" i="8" s="1"/>
  <c r="BJ60" i="8"/>
  <c r="DO60" i="8" s="1"/>
  <c r="AO59" i="8"/>
  <c r="AN59" i="8"/>
  <c r="BV59" i="8"/>
  <c r="BU59" i="8"/>
  <c r="BT59" i="8"/>
  <c r="BS59" i="8"/>
  <c r="BR59" i="8"/>
  <c r="BQ59" i="8"/>
  <c r="BP59" i="8"/>
  <c r="BO59" i="8"/>
  <c r="BN59" i="8"/>
  <c r="BM59" i="8"/>
  <c r="BL59" i="8"/>
  <c r="BK59" i="8"/>
  <c r="DT59" i="8" s="1"/>
  <c r="BJ59" i="8"/>
  <c r="DO59" i="8" s="1"/>
  <c r="BV58" i="8"/>
  <c r="BU58" i="8"/>
  <c r="BT58" i="8"/>
  <c r="BS58" i="8"/>
  <c r="BR58" i="8"/>
  <c r="BQ58" i="8"/>
  <c r="BP58" i="8"/>
  <c r="BO58" i="8"/>
  <c r="BN58" i="8"/>
  <c r="BM58" i="8"/>
  <c r="BL58" i="8"/>
  <c r="BK58" i="8"/>
  <c r="DT58" i="8" s="1"/>
  <c r="BJ58" i="8"/>
  <c r="DO58" i="8" s="1"/>
  <c r="AO57" i="8"/>
  <c r="AN57" i="8"/>
  <c r="BV57" i="8"/>
  <c r="BU57" i="8"/>
  <c r="BT57" i="8"/>
  <c r="BS57" i="8"/>
  <c r="BR57" i="8"/>
  <c r="BQ57" i="8"/>
  <c r="BP57" i="8"/>
  <c r="BO57" i="8"/>
  <c r="BN57" i="8"/>
  <c r="BM57" i="8"/>
  <c r="BL57" i="8"/>
  <c r="BK57" i="8"/>
  <c r="DT57" i="8" s="1"/>
  <c r="BJ57" i="8"/>
  <c r="DO57" i="8" s="1"/>
  <c r="AO56" i="8"/>
  <c r="AN56" i="8"/>
  <c r="BV56" i="8"/>
  <c r="BU56" i="8"/>
  <c r="BT56" i="8"/>
  <c r="BS56" i="8"/>
  <c r="BR56" i="8"/>
  <c r="BQ56" i="8"/>
  <c r="BP56" i="8"/>
  <c r="BO56" i="8"/>
  <c r="BN56" i="8"/>
  <c r="BM56" i="8"/>
  <c r="BL56" i="8"/>
  <c r="BK56" i="8"/>
  <c r="DT56" i="8" s="1"/>
  <c r="BJ56" i="8"/>
  <c r="DO56" i="8" s="1"/>
  <c r="AO55" i="8"/>
  <c r="AN55" i="8"/>
  <c r="BV55" i="8"/>
  <c r="BU55" i="8"/>
  <c r="BT55" i="8"/>
  <c r="BS55" i="8"/>
  <c r="BR55" i="8"/>
  <c r="BQ55" i="8"/>
  <c r="BP55" i="8"/>
  <c r="BO55" i="8"/>
  <c r="BN55" i="8"/>
  <c r="BM55" i="8"/>
  <c r="BL55" i="8"/>
  <c r="BK55" i="8"/>
  <c r="DT55" i="8" s="1"/>
  <c r="BJ55" i="8"/>
  <c r="DO55" i="8" s="1"/>
  <c r="AO54" i="8"/>
  <c r="AN54" i="8"/>
  <c r="BV54" i="8"/>
  <c r="BU54" i="8"/>
  <c r="BT54" i="8"/>
  <c r="BS54" i="8"/>
  <c r="BR54" i="8"/>
  <c r="BQ54" i="8"/>
  <c r="BP54" i="8"/>
  <c r="BO54" i="8"/>
  <c r="BN54" i="8"/>
  <c r="BM54" i="8"/>
  <c r="BL54" i="8"/>
  <c r="BK54" i="8"/>
  <c r="DT54" i="8" s="1"/>
  <c r="BJ54" i="8"/>
  <c r="DO54" i="8" s="1"/>
  <c r="AO53" i="8"/>
  <c r="AN53" i="8"/>
  <c r="BV53" i="8"/>
  <c r="BU53" i="8"/>
  <c r="BT53" i="8"/>
  <c r="BS53" i="8"/>
  <c r="BR53" i="8"/>
  <c r="BQ53" i="8"/>
  <c r="BP53" i="8"/>
  <c r="BO53" i="8"/>
  <c r="BN53" i="8"/>
  <c r="BM53" i="8"/>
  <c r="BL53" i="8"/>
  <c r="BK53" i="8"/>
  <c r="DT53" i="8" s="1"/>
  <c r="BJ53" i="8"/>
  <c r="DO53" i="8" s="1"/>
  <c r="AO52" i="8"/>
  <c r="AN52" i="8"/>
  <c r="BV52" i="8"/>
  <c r="BU52" i="8"/>
  <c r="BT52" i="8"/>
  <c r="BS52" i="8"/>
  <c r="BR52" i="8"/>
  <c r="BQ52" i="8"/>
  <c r="BP52" i="8"/>
  <c r="BO52" i="8"/>
  <c r="BN52" i="8"/>
  <c r="BM52" i="8"/>
  <c r="BL52" i="8"/>
  <c r="BK52" i="8"/>
  <c r="DT52" i="8" s="1"/>
  <c r="BJ52" i="8"/>
  <c r="DO52" i="8" s="1"/>
  <c r="AO51" i="8"/>
  <c r="AN51" i="8"/>
  <c r="BV51" i="8"/>
  <c r="BU51" i="8"/>
  <c r="BT51" i="8"/>
  <c r="BS51" i="8"/>
  <c r="BR51" i="8"/>
  <c r="BQ51" i="8"/>
  <c r="BP51" i="8"/>
  <c r="BO51" i="8"/>
  <c r="BN51" i="8"/>
  <c r="BM51" i="8"/>
  <c r="BL51" i="8"/>
  <c r="BK51" i="8"/>
  <c r="DT51" i="8" s="1"/>
  <c r="BJ51" i="8"/>
  <c r="DO51" i="8" s="1"/>
  <c r="AO50" i="8"/>
  <c r="AN50" i="8"/>
  <c r="BV50" i="8"/>
  <c r="BU50" i="8"/>
  <c r="BT50" i="8"/>
  <c r="BS50" i="8"/>
  <c r="BR50" i="8"/>
  <c r="BQ50" i="8"/>
  <c r="BP50" i="8"/>
  <c r="BO50" i="8"/>
  <c r="BN50" i="8"/>
  <c r="BM50" i="8"/>
  <c r="BL50" i="8"/>
  <c r="BK50" i="8"/>
  <c r="DT50" i="8" s="1"/>
  <c r="BJ50" i="8"/>
  <c r="DO50" i="8" s="1"/>
  <c r="AO49" i="8"/>
  <c r="AN49" i="8"/>
  <c r="BV49" i="8"/>
  <c r="BU49" i="8"/>
  <c r="BT49" i="8"/>
  <c r="BS49" i="8"/>
  <c r="BR49" i="8"/>
  <c r="BQ49" i="8"/>
  <c r="BP49" i="8"/>
  <c r="BO49" i="8"/>
  <c r="BN49" i="8"/>
  <c r="BM49" i="8"/>
  <c r="BL49" i="8"/>
  <c r="BK49" i="8"/>
  <c r="DT49" i="8" s="1"/>
  <c r="BJ49" i="8"/>
  <c r="DO49" i="8" s="1"/>
  <c r="AO48" i="8"/>
  <c r="AN48" i="8"/>
  <c r="BV48" i="8"/>
  <c r="BU48" i="8"/>
  <c r="BT48" i="8"/>
  <c r="BS48" i="8"/>
  <c r="BR48" i="8"/>
  <c r="BQ48" i="8"/>
  <c r="BP48" i="8"/>
  <c r="BO48" i="8"/>
  <c r="BN48" i="8"/>
  <c r="BM48" i="8"/>
  <c r="BL48" i="8"/>
  <c r="BK48" i="8"/>
  <c r="DT48" i="8" s="1"/>
  <c r="BJ48" i="8"/>
  <c r="DO48" i="8" s="1"/>
  <c r="AO47" i="8"/>
  <c r="AN47" i="8"/>
  <c r="BV47" i="8"/>
  <c r="BU47" i="8"/>
  <c r="BT47" i="8"/>
  <c r="BS47" i="8"/>
  <c r="BR47" i="8"/>
  <c r="BQ47" i="8"/>
  <c r="BP47" i="8"/>
  <c r="BO47" i="8"/>
  <c r="BN47" i="8"/>
  <c r="BM47" i="8"/>
  <c r="BL47" i="8"/>
  <c r="BK47" i="8"/>
  <c r="DT47" i="8" s="1"/>
  <c r="BJ47" i="8"/>
  <c r="DO47" i="8" s="1"/>
  <c r="AO46" i="8"/>
  <c r="AN46" i="8"/>
  <c r="BV46" i="8"/>
  <c r="BU46" i="8"/>
  <c r="BT46" i="8"/>
  <c r="BS46" i="8"/>
  <c r="BR46" i="8"/>
  <c r="BQ46" i="8"/>
  <c r="BP46" i="8"/>
  <c r="BO46" i="8"/>
  <c r="BN46" i="8"/>
  <c r="BM46" i="8"/>
  <c r="BL46" i="8"/>
  <c r="BK46" i="8"/>
  <c r="DT46" i="8" s="1"/>
  <c r="BJ46" i="8"/>
  <c r="DO46" i="8" s="1"/>
  <c r="AO103" i="8"/>
  <c r="AN103" i="8"/>
  <c r="BV103" i="8"/>
  <c r="BU103" i="8"/>
  <c r="BT103" i="8"/>
  <c r="BS103" i="8"/>
  <c r="BR103" i="8"/>
  <c r="BQ103" i="8"/>
  <c r="BP103" i="8"/>
  <c r="BO103" i="8"/>
  <c r="BN103" i="8"/>
  <c r="BM103" i="8"/>
  <c r="BL103" i="8"/>
  <c r="BK103" i="8"/>
  <c r="DT103" i="8" s="1"/>
  <c r="BJ103" i="8"/>
  <c r="DO103" i="8" s="1"/>
  <c r="AO99" i="8"/>
  <c r="AN99" i="8"/>
  <c r="BV99" i="8"/>
  <c r="BU99" i="8"/>
  <c r="BT99" i="8"/>
  <c r="BS99" i="8"/>
  <c r="BR99" i="8"/>
  <c r="BQ99" i="8"/>
  <c r="BP99" i="8"/>
  <c r="BO99" i="8"/>
  <c r="BN99" i="8"/>
  <c r="BM99" i="8"/>
  <c r="BL99" i="8"/>
  <c r="BK99" i="8"/>
  <c r="DT99" i="8" s="1"/>
  <c r="BJ99" i="8"/>
  <c r="DO99" i="8" s="1"/>
  <c r="AO98" i="8"/>
  <c r="AN98" i="8"/>
  <c r="BV98" i="8"/>
  <c r="BU98" i="8"/>
  <c r="BT98" i="8"/>
  <c r="BS98" i="8"/>
  <c r="BR98" i="8"/>
  <c r="BQ98" i="8"/>
  <c r="BP98" i="8"/>
  <c r="BO98" i="8"/>
  <c r="BN98" i="8"/>
  <c r="BM98" i="8"/>
  <c r="BL98" i="8"/>
  <c r="BK98" i="8"/>
  <c r="DT98" i="8" s="1"/>
  <c r="BJ98" i="8"/>
  <c r="DO98" i="8" s="1"/>
  <c r="AO97" i="8"/>
  <c r="AN97" i="8"/>
  <c r="BV97" i="8"/>
  <c r="BU97" i="8"/>
  <c r="BT97" i="8"/>
  <c r="BS97" i="8"/>
  <c r="BR97" i="8"/>
  <c r="BQ97" i="8"/>
  <c r="BP97" i="8"/>
  <c r="BO97" i="8"/>
  <c r="BN97" i="8"/>
  <c r="BM97" i="8"/>
  <c r="BL97" i="8"/>
  <c r="BK97" i="8"/>
  <c r="DT97" i="8" s="1"/>
  <c r="BJ97" i="8"/>
  <c r="DO97" i="8" s="1"/>
  <c r="AO96" i="8"/>
  <c r="AN96" i="8"/>
  <c r="DP96" i="8"/>
  <c r="DO96" i="8"/>
  <c r="BV96" i="8"/>
  <c r="BU96" i="8"/>
  <c r="BT96" i="8"/>
  <c r="BS96" i="8"/>
  <c r="BR96" i="8"/>
  <c r="BQ96" i="8"/>
  <c r="BP96" i="8"/>
  <c r="BO96" i="8"/>
  <c r="BN96" i="8"/>
  <c r="BM96" i="8"/>
  <c r="BW96" i="8" s="1"/>
  <c r="CB96" i="8" s="1"/>
  <c r="BL96" i="8"/>
  <c r="BK96" i="8"/>
  <c r="DT96" i="8" s="1"/>
  <c r="BJ96" i="8"/>
  <c r="AO95" i="8"/>
  <c r="AN95" i="8"/>
  <c r="BV95" i="8"/>
  <c r="BU95" i="8"/>
  <c r="BT95" i="8"/>
  <c r="BS95" i="8"/>
  <c r="BR95" i="8"/>
  <c r="BQ95" i="8"/>
  <c r="BP95" i="8"/>
  <c r="BO95" i="8"/>
  <c r="BN95" i="8"/>
  <c r="BM95" i="8"/>
  <c r="BL95" i="8"/>
  <c r="BK95" i="8"/>
  <c r="DT95" i="8" s="1"/>
  <c r="BJ95" i="8"/>
  <c r="DO95" i="8" s="1"/>
  <c r="AO94" i="8"/>
  <c r="AN94" i="8"/>
  <c r="BV94" i="8"/>
  <c r="BU94" i="8"/>
  <c r="BT94" i="8"/>
  <c r="BS94" i="8"/>
  <c r="BR94" i="8"/>
  <c r="BQ94" i="8"/>
  <c r="BP94" i="8"/>
  <c r="BO94" i="8"/>
  <c r="BN94" i="8"/>
  <c r="BM94" i="8"/>
  <c r="BL94" i="8"/>
  <c r="BK94" i="8"/>
  <c r="DT94" i="8" s="1"/>
  <c r="BJ94" i="8"/>
  <c r="DO94" i="8" s="1"/>
  <c r="AO93" i="8"/>
  <c r="AN93" i="8"/>
  <c r="BV93" i="8"/>
  <c r="BU93" i="8"/>
  <c r="BT93" i="8"/>
  <c r="BS93" i="8"/>
  <c r="BR93" i="8"/>
  <c r="BQ93" i="8"/>
  <c r="BP93" i="8"/>
  <c r="BO93" i="8"/>
  <c r="BN93" i="8"/>
  <c r="BM93" i="8"/>
  <c r="BL93" i="8"/>
  <c r="BK93" i="8"/>
  <c r="DT93" i="8" s="1"/>
  <c r="BJ93" i="8"/>
  <c r="DO93" i="8" s="1"/>
  <c r="AO92" i="8"/>
  <c r="AN92" i="8"/>
  <c r="BV92" i="8"/>
  <c r="BU92" i="8"/>
  <c r="BT92" i="8"/>
  <c r="BS92" i="8"/>
  <c r="BR92" i="8"/>
  <c r="BQ92" i="8"/>
  <c r="BP92" i="8"/>
  <c r="BO92" i="8"/>
  <c r="BN92" i="8"/>
  <c r="BM92" i="8"/>
  <c r="BL92" i="8"/>
  <c r="BK92" i="8"/>
  <c r="DT92" i="8" s="1"/>
  <c r="BJ92" i="8"/>
  <c r="DO92" i="8" s="1"/>
  <c r="AO91" i="8"/>
  <c r="AN91" i="8"/>
  <c r="BV91" i="8"/>
  <c r="BU91" i="8"/>
  <c r="BT91" i="8"/>
  <c r="BS91" i="8"/>
  <c r="BR91" i="8"/>
  <c r="BQ91" i="8"/>
  <c r="BP91" i="8"/>
  <c r="BO91" i="8"/>
  <c r="BN91" i="8"/>
  <c r="BM91" i="8"/>
  <c r="BL91" i="8"/>
  <c r="BK91" i="8"/>
  <c r="DT91" i="8" s="1"/>
  <c r="BJ91" i="8"/>
  <c r="DO91" i="8" s="1"/>
  <c r="AO90" i="8"/>
  <c r="AN90" i="8"/>
  <c r="BV90" i="8"/>
  <c r="BU90" i="8"/>
  <c r="BT90" i="8"/>
  <c r="BS90" i="8"/>
  <c r="BR90" i="8"/>
  <c r="BQ90" i="8"/>
  <c r="BP90" i="8"/>
  <c r="BO90" i="8"/>
  <c r="BN90" i="8"/>
  <c r="BM90" i="8"/>
  <c r="BL90" i="8"/>
  <c r="BK90" i="8"/>
  <c r="DT90" i="8" s="1"/>
  <c r="BJ90" i="8"/>
  <c r="DO90" i="8" s="1"/>
  <c r="AO89" i="8"/>
  <c r="AN89" i="8"/>
  <c r="BV89" i="8"/>
  <c r="BU89" i="8"/>
  <c r="BT89" i="8"/>
  <c r="BS89" i="8"/>
  <c r="BR89" i="8"/>
  <c r="BQ89" i="8"/>
  <c r="BP89" i="8"/>
  <c r="BO89" i="8"/>
  <c r="BN89" i="8"/>
  <c r="BM89" i="8"/>
  <c r="BL89" i="8"/>
  <c r="BK89" i="8"/>
  <c r="DT89" i="8" s="1"/>
  <c r="BJ89" i="8"/>
  <c r="DO89" i="8" s="1"/>
  <c r="AO88" i="8"/>
  <c r="AN88" i="8"/>
  <c r="BV88" i="8"/>
  <c r="BU88" i="8"/>
  <c r="BT88" i="8"/>
  <c r="BS88" i="8"/>
  <c r="BR88" i="8"/>
  <c r="BQ88" i="8"/>
  <c r="BP88" i="8"/>
  <c r="BO88" i="8"/>
  <c r="BN88" i="8"/>
  <c r="BM88" i="8"/>
  <c r="BL88" i="8"/>
  <c r="BK88" i="8"/>
  <c r="DT88" i="8" s="1"/>
  <c r="BJ88" i="8"/>
  <c r="DO88" i="8" s="1"/>
  <c r="AO87" i="8"/>
  <c r="AN87" i="8"/>
  <c r="BV87" i="8"/>
  <c r="BU87" i="8"/>
  <c r="BT87" i="8"/>
  <c r="BS87" i="8"/>
  <c r="BR87" i="8"/>
  <c r="BQ87" i="8"/>
  <c r="BP87" i="8"/>
  <c r="BO87" i="8"/>
  <c r="BN87" i="8"/>
  <c r="BM87" i="8"/>
  <c r="BL87" i="8"/>
  <c r="BK87" i="8"/>
  <c r="DT87" i="8" s="1"/>
  <c r="BJ87" i="8"/>
  <c r="DO87" i="8" s="1"/>
  <c r="AO86" i="8"/>
  <c r="AN86" i="8"/>
  <c r="BV86" i="8"/>
  <c r="BU86" i="8"/>
  <c r="BT86" i="8"/>
  <c r="BS86" i="8"/>
  <c r="BR86" i="8"/>
  <c r="BQ86" i="8"/>
  <c r="BP86" i="8"/>
  <c r="BO86" i="8"/>
  <c r="BN86" i="8"/>
  <c r="BM86" i="8"/>
  <c r="BL86" i="8"/>
  <c r="BK86" i="8"/>
  <c r="DT86" i="8" s="1"/>
  <c r="BJ86" i="8"/>
  <c r="DO86" i="8" s="1"/>
  <c r="AO85" i="8"/>
  <c r="AN85" i="8"/>
  <c r="BV85" i="8"/>
  <c r="BU85" i="8"/>
  <c r="BT85" i="8"/>
  <c r="BS85" i="8"/>
  <c r="BR85" i="8"/>
  <c r="BQ85" i="8"/>
  <c r="BP85" i="8"/>
  <c r="BO85" i="8"/>
  <c r="BN85" i="8"/>
  <c r="BM85" i="8"/>
  <c r="BL85" i="8"/>
  <c r="BK85" i="8"/>
  <c r="DT85" i="8" s="1"/>
  <c r="BJ85" i="8"/>
  <c r="DO85" i="8" s="1"/>
  <c r="AO84" i="8"/>
  <c r="AN84" i="8"/>
  <c r="BV84" i="8"/>
  <c r="BU84" i="8"/>
  <c r="BT84" i="8"/>
  <c r="BS84" i="8"/>
  <c r="BR84" i="8"/>
  <c r="BQ84" i="8"/>
  <c r="BP84" i="8"/>
  <c r="BO84" i="8"/>
  <c r="BN84" i="8"/>
  <c r="BM84" i="8"/>
  <c r="BL84" i="8"/>
  <c r="BK84" i="8"/>
  <c r="DT84" i="8" s="1"/>
  <c r="BJ84" i="8"/>
  <c r="DO84" i="8" s="1"/>
  <c r="AO83" i="8"/>
  <c r="AN83" i="8"/>
  <c r="BV83" i="8"/>
  <c r="BU83" i="8"/>
  <c r="BT83" i="8"/>
  <c r="BS83" i="8"/>
  <c r="BR83" i="8"/>
  <c r="BQ83" i="8"/>
  <c r="BP83" i="8"/>
  <c r="BO83" i="8"/>
  <c r="BN83" i="8"/>
  <c r="BM83" i="8"/>
  <c r="BL83" i="8"/>
  <c r="BK83" i="8"/>
  <c r="DT83" i="8" s="1"/>
  <c r="BJ83" i="8"/>
  <c r="DO83" i="8" s="1"/>
  <c r="AO82" i="8"/>
  <c r="AN82" i="8"/>
  <c r="BV82" i="8"/>
  <c r="BU82" i="8"/>
  <c r="BT82" i="8"/>
  <c r="BS82" i="8"/>
  <c r="BR82" i="8"/>
  <c r="BQ82" i="8"/>
  <c r="BP82" i="8"/>
  <c r="BO82" i="8"/>
  <c r="BN82" i="8"/>
  <c r="BM82" i="8"/>
  <c r="BL82" i="8"/>
  <c r="BK82" i="8"/>
  <c r="DT82" i="8" s="1"/>
  <c r="BJ82" i="8"/>
  <c r="DO82" i="8" s="1"/>
  <c r="AO81" i="8"/>
  <c r="AN81" i="8"/>
  <c r="BV81" i="8"/>
  <c r="BU81" i="8"/>
  <c r="BT81" i="8"/>
  <c r="BS81" i="8"/>
  <c r="BR81" i="8"/>
  <c r="BQ81" i="8"/>
  <c r="BP81" i="8"/>
  <c r="BO81" i="8"/>
  <c r="BN81" i="8"/>
  <c r="BM81" i="8"/>
  <c r="BL81" i="8"/>
  <c r="BK81" i="8"/>
  <c r="DT81" i="8" s="1"/>
  <c r="BJ81" i="8"/>
  <c r="DO81" i="8" s="1"/>
  <c r="AO80" i="8"/>
  <c r="AN80" i="8"/>
  <c r="BV80" i="8"/>
  <c r="BU80" i="8"/>
  <c r="BT80" i="8"/>
  <c r="BS80" i="8"/>
  <c r="BR80" i="8"/>
  <c r="BQ80" i="8"/>
  <c r="BP80" i="8"/>
  <c r="BO80" i="8"/>
  <c r="BN80" i="8"/>
  <c r="BM80" i="8"/>
  <c r="BL80" i="8"/>
  <c r="BK80" i="8"/>
  <c r="DT80" i="8" s="1"/>
  <c r="BJ80" i="8"/>
  <c r="DO80" i="8" s="1"/>
  <c r="AO79" i="8"/>
  <c r="AN79" i="8"/>
  <c r="BV79" i="8"/>
  <c r="BU79" i="8"/>
  <c r="BT79" i="8"/>
  <c r="BS79" i="8"/>
  <c r="BR79" i="8"/>
  <c r="BQ79" i="8"/>
  <c r="BP79" i="8"/>
  <c r="BO79" i="8"/>
  <c r="BN79" i="8"/>
  <c r="BM79" i="8"/>
  <c r="BL79" i="8"/>
  <c r="BK79" i="8"/>
  <c r="DT79" i="8" s="1"/>
  <c r="BJ79" i="8"/>
  <c r="DO79" i="8" s="1"/>
  <c r="AO78" i="8"/>
  <c r="AN78" i="8"/>
  <c r="BV78" i="8"/>
  <c r="BU78" i="8"/>
  <c r="BT78" i="8"/>
  <c r="BS78" i="8"/>
  <c r="BR78" i="8"/>
  <c r="BQ78" i="8"/>
  <c r="BP78" i="8"/>
  <c r="BO78" i="8"/>
  <c r="BN78" i="8"/>
  <c r="BM78" i="8"/>
  <c r="BL78" i="8"/>
  <c r="BK78" i="8"/>
  <c r="DT78" i="8" s="1"/>
  <c r="BJ78" i="8"/>
  <c r="DO78" i="8" s="1"/>
  <c r="BI66" i="4"/>
  <c r="BJ66" i="4"/>
  <c r="BN66" i="4" s="1"/>
  <c r="BP66" i="4"/>
  <c r="AL173" i="11"/>
  <c r="AL172" i="11"/>
  <c r="J340" i="22"/>
  <c r="AZ45" i="5"/>
  <c r="BA45" i="5" s="1"/>
  <c r="V45" i="5"/>
  <c r="X45" i="5"/>
  <c r="O340" i="22" s="1"/>
  <c r="Y340" i="22" s="1"/>
  <c r="Y45" i="5"/>
  <c r="P340" i="22" s="1"/>
  <c r="Z340" i="22" s="1"/>
  <c r="K40" i="20"/>
  <c r="K39" i="20"/>
  <c r="K44" i="20"/>
  <c r="K47" i="20"/>
  <c r="K84" i="20"/>
  <c r="K43" i="20"/>
  <c r="Y129" i="11"/>
  <c r="J45" i="20"/>
  <c r="L45" i="20" s="1"/>
  <c r="Y130" i="11"/>
  <c r="J76" i="20"/>
  <c r="L76" i="20" s="1"/>
  <c r="Y132" i="11"/>
  <c r="J91" i="20"/>
  <c r="L91" i="20" s="1"/>
  <c r="K95" i="20"/>
  <c r="K96" i="20"/>
  <c r="R287" i="22"/>
  <c r="Q287" i="22"/>
  <c r="W287" i="22"/>
  <c r="R288" i="22"/>
  <c r="Q288" i="22"/>
  <c r="W288" i="22"/>
  <c r="BM74" i="4"/>
  <c r="BO74" i="4"/>
  <c r="R291" i="22"/>
  <c r="Q291" i="22"/>
  <c r="W291" i="22"/>
  <c r="BM75" i="4"/>
  <c r="BO75" i="4"/>
  <c r="AG99" i="19"/>
  <c r="AH99" i="19"/>
  <c r="AJ99" i="19"/>
  <c r="A99" i="19" s="1"/>
  <c r="AK99" i="19"/>
  <c r="B99" i="19" s="1"/>
  <c r="AL99" i="19"/>
  <c r="C99" i="19" s="1"/>
  <c r="AM99" i="19"/>
  <c r="D99" i="19" s="1"/>
  <c r="AN99" i="19"/>
  <c r="E99" i="19" s="1"/>
  <c r="AO99" i="19"/>
  <c r="F99" i="19" s="1"/>
  <c r="AP99" i="19"/>
  <c r="G99" i="19" s="1"/>
  <c r="AQ99" i="19"/>
  <c r="H99" i="19" s="1"/>
  <c r="AR99" i="19"/>
  <c r="I99" i="19" s="1"/>
  <c r="AS99" i="19"/>
  <c r="J99" i="19" s="1"/>
  <c r="AT99" i="19"/>
  <c r="K99" i="19" s="1"/>
  <c r="AU99" i="19"/>
  <c r="L99" i="19" s="1"/>
  <c r="AV99" i="19"/>
  <c r="M99" i="19" s="1"/>
  <c r="AW99" i="19"/>
  <c r="N99" i="19" s="1"/>
  <c r="AX99" i="19"/>
  <c r="O99" i="19" s="1"/>
  <c r="AY99" i="19"/>
  <c r="P99" i="19" s="1"/>
  <c r="AZ99" i="19"/>
  <c r="Q99" i="19" s="1"/>
  <c r="BA99" i="19"/>
  <c r="R99" i="19" s="1"/>
  <c r="BB99" i="19"/>
  <c r="S99" i="19" s="1"/>
  <c r="BC99" i="19"/>
  <c r="T99" i="19" s="1"/>
  <c r="BD99" i="19"/>
  <c r="U99" i="19" s="1"/>
  <c r="BE99" i="19"/>
  <c r="V99" i="19" s="1"/>
  <c r="BF99" i="19"/>
  <c r="W99" i="19" s="1"/>
  <c r="BG99" i="19"/>
  <c r="X99" i="19" s="1"/>
  <c r="BH99" i="19"/>
  <c r="Y99" i="19" s="1"/>
  <c r="BI99" i="19"/>
  <c r="Z99" i="19" s="1"/>
  <c r="BJ99" i="19"/>
  <c r="AA99" i="19" s="1"/>
  <c r="BK99" i="19"/>
  <c r="AB99" i="19" s="1"/>
  <c r="BL99" i="19"/>
  <c r="AC99" i="19" s="1"/>
  <c r="BM99" i="19"/>
  <c r="AD99" i="19" s="1"/>
  <c r="AG100" i="19"/>
  <c r="AH100" i="19"/>
  <c r="AJ100" i="19"/>
  <c r="A100" i="19" s="1"/>
  <c r="AK100" i="19"/>
  <c r="B100" i="19" s="1"/>
  <c r="AL100" i="19"/>
  <c r="C100" i="19" s="1"/>
  <c r="AM100" i="19"/>
  <c r="D100" i="19" s="1"/>
  <c r="AN100" i="19"/>
  <c r="E100" i="19" s="1"/>
  <c r="AO100" i="19"/>
  <c r="F100" i="19" s="1"/>
  <c r="AP100" i="19"/>
  <c r="G100" i="19" s="1"/>
  <c r="AQ100" i="19"/>
  <c r="H100" i="19" s="1"/>
  <c r="AR100" i="19"/>
  <c r="I100" i="19" s="1"/>
  <c r="AS100" i="19"/>
  <c r="J100" i="19" s="1"/>
  <c r="AT100" i="19"/>
  <c r="K100" i="19" s="1"/>
  <c r="AU100" i="19"/>
  <c r="L100" i="19" s="1"/>
  <c r="AV100" i="19"/>
  <c r="M100" i="19" s="1"/>
  <c r="AW100" i="19"/>
  <c r="N100" i="19" s="1"/>
  <c r="AX100" i="19"/>
  <c r="O100" i="19" s="1"/>
  <c r="AY100" i="19"/>
  <c r="P100" i="19" s="1"/>
  <c r="AZ100" i="19"/>
  <c r="Q100" i="19" s="1"/>
  <c r="BA100" i="19"/>
  <c r="R100" i="19" s="1"/>
  <c r="BB100" i="19"/>
  <c r="S100" i="19" s="1"/>
  <c r="BC100" i="19"/>
  <c r="T100" i="19" s="1"/>
  <c r="BD100" i="19"/>
  <c r="U100" i="19" s="1"/>
  <c r="BE100" i="19"/>
  <c r="V100" i="19" s="1"/>
  <c r="BF100" i="19"/>
  <c r="W100" i="19" s="1"/>
  <c r="BG100" i="19"/>
  <c r="X100" i="19" s="1"/>
  <c r="BH100" i="19"/>
  <c r="Y100" i="19" s="1"/>
  <c r="BI100" i="19"/>
  <c r="Z100" i="19" s="1"/>
  <c r="BJ100" i="19"/>
  <c r="AA100" i="19" s="1"/>
  <c r="BK100" i="19"/>
  <c r="AB100" i="19" s="1"/>
  <c r="BL100" i="19"/>
  <c r="AC100" i="19" s="1"/>
  <c r="BM100" i="19"/>
  <c r="AD100" i="19" s="1"/>
  <c r="AG101" i="19"/>
  <c r="AH101" i="19"/>
  <c r="AJ101" i="19"/>
  <c r="A101" i="19" s="1"/>
  <c r="AK101" i="19"/>
  <c r="B101" i="19" s="1"/>
  <c r="AL101" i="19"/>
  <c r="C101" i="19" s="1"/>
  <c r="AM101" i="19"/>
  <c r="D101" i="19" s="1"/>
  <c r="AN101" i="19"/>
  <c r="E101" i="19" s="1"/>
  <c r="AO101" i="19"/>
  <c r="F101" i="19" s="1"/>
  <c r="AP101" i="19"/>
  <c r="G101" i="19" s="1"/>
  <c r="AQ101" i="19"/>
  <c r="H101" i="19" s="1"/>
  <c r="AR101" i="19"/>
  <c r="I101" i="19" s="1"/>
  <c r="AS101" i="19"/>
  <c r="J101" i="19" s="1"/>
  <c r="AT101" i="19"/>
  <c r="K101" i="19" s="1"/>
  <c r="AU101" i="19"/>
  <c r="L101" i="19" s="1"/>
  <c r="AV101" i="19"/>
  <c r="M101" i="19" s="1"/>
  <c r="AW101" i="19"/>
  <c r="N101" i="19" s="1"/>
  <c r="AX101" i="19"/>
  <c r="O101" i="19" s="1"/>
  <c r="AY101" i="19"/>
  <c r="P101" i="19" s="1"/>
  <c r="AZ101" i="19"/>
  <c r="Q101" i="19" s="1"/>
  <c r="BA101" i="19"/>
  <c r="R101" i="19" s="1"/>
  <c r="BB101" i="19"/>
  <c r="S101" i="19" s="1"/>
  <c r="BC101" i="19"/>
  <c r="T101" i="19" s="1"/>
  <c r="BD101" i="19"/>
  <c r="U101" i="19" s="1"/>
  <c r="BE101" i="19"/>
  <c r="V101" i="19" s="1"/>
  <c r="BF101" i="19"/>
  <c r="W101" i="19" s="1"/>
  <c r="BG101" i="19"/>
  <c r="X101" i="19" s="1"/>
  <c r="BH101" i="19"/>
  <c r="Y101" i="19" s="1"/>
  <c r="BI101" i="19"/>
  <c r="Z101" i="19" s="1"/>
  <c r="BJ101" i="19"/>
  <c r="AA101" i="19" s="1"/>
  <c r="BK101" i="19"/>
  <c r="AB101" i="19" s="1"/>
  <c r="BL101" i="19"/>
  <c r="AC101" i="19" s="1"/>
  <c r="BM101" i="19"/>
  <c r="AD101" i="19" s="1"/>
  <c r="AG102" i="19"/>
  <c r="AH102" i="19"/>
  <c r="AJ102" i="19"/>
  <c r="A102" i="19" s="1"/>
  <c r="AK102" i="19"/>
  <c r="B102" i="19" s="1"/>
  <c r="AL102" i="19"/>
  <c r="C102" i="19" s="1"/>
  <c r="AM102" i="19"/>
  <c r="D102" i="19" s="1"/>
  <c r="AN102" i="19"/>
  <c r="E102" i="19" s="1"/>
  <c r="AO102" i="19"/>
  <c r="F102" i="19" s="1"/>
  <c r="AP102" i="19"/>
  <c r="G102" i="19" s="1"/>
  <c r="AQ102" i="19"/>
  <c r="H102" i="19" s="1"/>
  <c r="AR102" i="19"/>
  <c r="I102" i="19" s="1"/>
  <c r="AS102" i="19"/>
  <c r="J102" i="19" s="1"/>
  <c r="AT102" i="19"/>
  <c r="K102" i="19" s="1"/>
  <c r="AU102" i="19"/>
  <c r="L102" i="19" s="1"/>
  <c r="AV102" i="19"/>
  <c r="M102" i="19" s="1"/>
  <c r="AW102" i="19"/>
  <c r="N102" i="19" s="1"/>
  <c r="AX102" i="19"/>
  <c r="O102" i="19" s="1"/>
  <c r="AY102" i="19"/>
  <c r="P102" i="19" s="1"/>
  <c r="AZ102" i="19"/>
  <c r="Q102" i="19" s="1"/>
  <c r="BA102" i="19"/>
  <c r="R102" i="19" s="1"/>
  <c r="BB102" i="19"/>
  <c r="S102" i="19" s="1"/>
  <c r="BC102" i="19"/>
  <c r="T102" i="19" s="1"/>
  <c r="BD102" i="19"/>
  <c r="U102" i="19" s="1"/>
  <c r="BE102" i="19"/>
  <c r="V102" i="19" s="1"/>
  <c r="BF102" i="19"/>
  <c r="W102" i="19" s="1"/>
  <c r="BG102" i="19"/>
  <c r="X102" i="19" s="1"/>
  <c r="BH102" i="19"/>
  <c r="Y102" i="19" s="1"/>
  <c r="BI102" i="19"/>
  <c r="Z102" i="19" s="1"/>
  <c r="BJ102" i="19"/>
  <c r="AA102" i="19" s="1"/>
  <c r="BK102" i="19"/>
  <c r="AB102" i="19" s="1"/>
  <c r="BL102" i="19"/>
  <c r="AC102" i="19" s="1"/>
  <c r="BM102" i="19"/>
  <c r="AD102" i="19" s="1"/>
  <c r="AG103" i="19"/>
  <c r="AH103" i="19"/>
  <c r="AJ103" i="19"/>
  <c r="A103" i="19" s="1"/>
  <c r="AK103" i="19"/>
  <c r="B103" i="19" s="1"/>
  <c r="AL103" i="19"/>
  <c r="C103" i="19" s="1"/>
  <c r="AM103" i="19"/>
  <c r="D103" i="19" s="1"/>
  <c r="AN103" i="19"/>
  <c r="E103" i="19" s="1"/>
  <c r="AO103" i="19"/>
  <c r="F103" i="19" s="1"/>
  <c r="AP103" i="19"/>
  <c r="G103" i="19" s="1"/>
  <c r="AQ103" i="19"/>
  <c r="H103" i="19" s="1"/>
  <c r="AR103" i="19"/>
  <c r="I103" i="19" s="1"/>
  <c r="AS103" i="19"/>
  <c r="J103" i="19" s="1"/>
  <c r="AT103" i="19"/>
  <c r="K103" i="19" s="1"/>
  <c r="AU103" i="19"/>
  <c r="L103" i="19" s="1"/>
  <c r="AV103" i="19"/>
  <c r="M103" i="19" s="1"/>
  <c r="AW103" i="19"/>
  <c r="N103" i="19" s="1"/>
  <c r="AX103" i="19"/>
  <c r="O103" i="19" s="1"/>
  <c r="AY103" i="19"/>
  <c r="P103" i="19" s="1"/>
  <c r="AZ103" i="19"/>
  <c r="Q103" i="19" s="1"/>
  <c r="BA103" i="19"/>
  <c r="R103" i="19" s="1"/>
  <c r="BB103" i="19"/>
  <c r="S103" i="19" s="1"/>
  <c r="BC103" i="19"/>
  <c r="T103" i="19" s="1"/>
  <c r="BD103" i="19"/>
  <c r="U103" i="19" s="1"/>
  <c r="BE103" i="19"/>
  <c r="V103" i="19" s="1"/>
  <c r="BF103" i="19"/>
  <c r="W103" i="19" s="1"/>
  <c r="BG103" i="19"/>
  <c r="X103" i="19" s="1"/>
  <c r="BH103" i="19"/>
  <c r="Y103" i="19" s="1"/>
  <c r="BI103" i="19"/>
  <c r="Z103" i="19" s="1"/>
  <c r="BJ103" i="19"/>
  <c r="AA103" i="19" s="1"/>
  <c r="BK103" i="19"/>
  <c r="AB103" i="19" s="1"/>
  <c r="BL103" i="19"/>
  <c r="AC103" i="19" s="1"/>
  <c r="BM103" i="19"/>
  <c r="AD103" i="19" s="1"/>
  <c r="AG104" i="19"/>
  <c r="AH104" i="19"/>
  <c r="AJ104" i="19"/>
  <c r="A104" i="19" s="1"/>
  <c r="AK104" i="19"/>
  <c r="B104" i="19" s="1"/>
  <c r="AL104" i="19"/>
  <c r="C104" i="19" s="1"/>
  <c r="AM104" i="19"/>
  <c r="D104" i="19" s="1"/>
  <c r="AN104" i="19"/>
  <c r="E104" i="19" s="1"/>
  <c r="AO104" i="19"/>
  <c r="F104" i="19" s="1"/>
  <c r="AP104" i="19"/>
  <c r="G104" i="19" s="1"/>
  <c r="AQ104" i="19"/>
  <c r="H104" i="19" s="1"/>
  <c r="AR104" i="19"/>
  <c r="I104" i="19" s="1"/>
  <c r="AS104" i="19"/>
  <c r="J104" i="19" s="1"/>
  <c r="AT104" i="19"/>
  <c r="K104" i="19" s="1"/>
  <c r="AU104" i="19"/>
  <c r="L104" i="19" s="1"/>
  <c r="AV104" i="19"/>
  <c r="M104" i="19" s="1"/>
  <c r="AW104" i="19"/>
  <c r="N104" i="19" s="1"/>
  <c r="AX104" i="19"/>
  <c r="O104" i="19" s="1"/>
  <c r="AY104" i="19"/>
  <c r="P104" i="19" s="1"/>
  <c r="AZ104" i="19"/>
  <c r="Q104" i="19" s="1"/>
  <c r="BA104" i="19"/>
  <c r="R104" i="19" s="1"/>
  <c r="BB104" i="19"/>
  <c r="S104" i="19" s="1"/>
  <c r="BC104" i="19"/>
  <c r="T104" i="19" s="1"/>
  <c r="BD104" i="19"/>
  <c r="U104" i="19" s="1"/>
  <c r="BE104" i="19"/>
  <c r="V104" i="19" s="1"/>
  <c r="BF104" i="19"/>
  <c r="W104" i="19" s="1"/>
  <c r="BG104" i="19"/>
  <c r="X104" i="19" s="1"/>
  <c r="BH104" i="19"/>
  <c r="Y104" i="19" s="1"/>
  <c r="BI104" i="19"/>
  <c r="Z104" i="19" s="1"/>
  <c r="BJ104" i="19"/>
  <c r="AA104" i="19" s="1"/>
  <c r="BK104" i="19"/>
  <c r="AB104" i="19" s="1"/>
  <c r="BL104" i="19"/>
  <c r="AC104" i="19" s="1"/>
  <c r="BM104" i="19"/>
  <c r="AD104" i="19" s="1"/>
  <c r="AG105" i="19"/>
  <c r="AH105" i="19"/>
  <c r="AJ105" i="19"/>
  <c r="A105" i="19" s="1"/>
  <c r="AK105" i="19"/>
  <c r="B105" i="19" s="1"/>
  <c r="AL105" i="19"/>
  <c r="C105" i="19" s="1"/>
  <c r="AM105" i="19"/>
  <c r="D105" i="19" s="1"/>
  <c r="AN105" i="19"/>
  <c r="E105" i="19" s="1"/>
  <c r="AO105" i="19"/>
  <c r="F105" i="19" s="1"/>
  <c r="AP105" i="19"/>
  <c r="G105" i="19" s="1"/>
  <c r="AQ105" i="19"/>
  <c r="H105" i="19" s="1"/>
  <c r="AR105" i="19"/>
  <c r="I105" i="19" s="1"/>
  <c r="AS105" i="19"/>
  <c r="J105" i="19" s="1"/>
  <c r="AT105" i="19"/>
  <c r="K105" i="19" s="1"/>
  <c r="AU105" i="19"/>
  <c r="L105" i="19" s="1"/>
  <c r="AV105" i="19"/>
  <c r="M105" i="19" s="1"/>
  <c r="AW105" i="19"/>
  <c r="N105" i="19" s="1"/>
  <c r="AX105" i="19"/>
  <c r="O105" i="19" s="1"/>
  <c r="AY105" i="19"/>
  <c r="P105" i="19" s="1"/>
  <c r="AZ105" i="19"/>
  <c r="Q105" i="19" s="1"/>
  <c r="BA105" i="19"/>
  <c r="R105" i="19" s="1"/>
  <c r="BB105" i="19"/>
  <c r="S105" i="19" s="1"/>
  <c r="BC105" i="19"/>
  <c r="T105" i="19" s="1"/>
  <c r="BD105" i="19"/>
  <c r="U105" i="19" s="1"/>
  <c r="BE105" i="19"/>
  <c r="V105" i="19" s="1"/>
  <c r="BF105" i="19"/>
  <c r="W105" i="19" s="1"/>
  <c r="BG105" i="19"/>
  <c r="X105" i="19" s="1"/>
  <c r="BH105" i="19"/>
  <c r="Y105" i="19" s="1"/>
  <c r="BI105" i="19"/>
  <c r="Z105" i="19" s="1"/>
  <c r="BJ105" i="19"/>
  <c r="AA105" i="19" s="1"/>
  <c r="BK105" i="19"/>
  <c r="AB105" i="19" s="1"/>
  <c r="BL105" i="19"/>
  <c r="AC105" i="19" s="1"/>
  <c r="BM105" i="19"/>
  <c r="AD105" i="19" s="1"/>
  <c r="AG106" i="19"/>
  <c r="AH106" i="19"/>
  <c r="AJ106" i="19"/>
  <c r="A106" i="19" s="1"/>
  <c r="AK106" i="19"/>
  <c r="B106" i="19" s="1"/>
  <c r="AL106" i="19"/>
  <c r="C106" i="19" s="1"/>
  <c r="AM106" i="19"/>
  <c r="D106" i="19" s="1"/>
  <c r="AN106" i="19"/>
  <c r="E106" i="19" s="1"/>
  <c r="AO106" i="19"/>
  <c r="F106" i="19" s="1"/>
  <c r="AP106" i="19"/>
  <c r="G106" i="19" s="1"/>
  <c r="AQ106" i="19"/>
  <c r="H106" i="19" s="1"/>
  <c r="AR106" i="19"/>
  <c r="I106" i="19" s="1"/>
  <c r="AS106" i="19"/>
  <c r="J106" i="19" s="1"/>
  <c r="AT106" i="19"/>
  <c r="K106" i="19" s="1"/>
  <c r="AU106" i="19"/>
  <c r="L106" i="19" s="1"/>
  <c r="AV106" i="19"/>
  <c r="M106" i="19" s="1"/>
  <c r="AW106" i="19"/>
  <c r="N106" i="19" s="1"/>
  <c r="AX106" i="19"/>
  <c r="O106" i="19" s="1"/>
  <c r="AY106" i="19"/>
  <c r="P106" i="19" s="1"/>
  <c r="AZ106" i="19"/>
  <c r="Q106" i="19" s="1"/>
  <c r="BA106" i="19"/>
  <c r="R106" i="19" s="1"/>
  <c r="BB106" i="19"/>
  <c r="S106" i="19" s="1"/>
  <c r="BC106" i="19"/>
  <c r="T106" i="19" s="1"/>
  <c r="BD106" i="19"/>
  <c r="U106" i="19" s="1"/>
  <c r="BE106" i="19"/>
  <c r="V106" i="19" s="1"/>
  <c r="BF106" i="19"/>
  <c r="W106" i="19" s="1"/>
  <c r="BG106" i="19"/>
  <c r="X106" i="19" s="1"/>
  <c r="BH106" i="19"/>
  <c r="Y106" i="19" s="1"/>
  <c r="BI106" i="19"/>
  <c r="Z106" i="19" s="1"/>
  <c r="BJ106" i="19"/>
  <c r="AA106" i="19" s="1"/>
  <c r="BK106" i="19"/>
  <c r="AB106" i="19" s="1"/>
  <c r="BL106" i="19"/>
  <c r="AC106" i="19" s="1"/>
  <c r="BM106" i="19"/>
  <c r="AD106" i="19" s="1"/>
  <c r="AG107" i="19"/>
  <c r="AH107" i="19"/>
  <c r="AJ107" i="19"/>
  <c r="A107" i="19" s="1"/>
  <c r="AK107" i="19"/>
  <c r="B107" i="19" s="1"/>
  <c r="AL107" i="19"/>
  <c r="C107" i="19" s="1"/>
  <c r="AM107" i="19"/>
  <c r="D107" i="19" s="1"/>
  <c r="AN107" i="19"/>
  <c r="E107" i="19" s="1"/>
  <c r="AO107" i="19"/>
  <c r="F107" i="19" s="1"/>
  <c r="AP107" i="19"/>
  <c r="G107" i="19" s="1"/>
  <c r="AQ107" i="19"/>
  <c r="H107" i="19" s="1"/>
  <c r="AR107" i="19"/>
  <c r="I107" i="19" s="1"/>
  <c r="AS107" i="19"/>
  <c r="J107" i="19" s="1"/>
  <c r="AT107" i="19"/>
  <c r="K107" i="19" s="1"/>
  <c r="AU107" i="19"/>
  <c r="L107" i="19" s="1"/>
  <c r="AV107" i="19"/>
  <c r="M107" i="19" s="1"/>
  <c r="AW107" i="19"/>
  <c r="N107" i="19" s="1"/>
  <c r="AX107" i="19"/>
  <c r="O107" i="19" s="1"/>
  <c r="AY107" i="19"/>
  <c r="P107" i="19" s="1"/>
  <c r="AZ107" i="19"/>
  <c r="Q107" i="19" s="1"/>
  <c r="BA107" i="19"/>
  <c r="R107" i="19" s="1"/>
  <c r="BB107" i="19"/>
  <c r="S107" i="19" s="1"/>
  <c r="BC107" i="19"/>
  <c r="T107" i="19" s="1"/>
  <c r="BD107" i="19"/>
  <c r="U107" i="19" s="1"/>
  <c r="BE107" i="19"/>
  <c r="V107" i="19" s="1"/>
  <c r="BF107" i="19"/>
  <c r="W107" i="19" s="1"/>
  <c r="BG107" i="19"/>
  <c r="X107" i="19" s="1"/>
  <c r="BH107" i="19"/>
  <c r="Y107" i="19" s="1"/>
  <c r="BI107" i="19"/>
  <c r="Z107" i="19" s="1"/>
  <c r="BJ107" i="19"/>
  <c r="AA107" i="19" s="1"/>
  <c r="BK107" i="19"/>
  <c r="AB107" i="19" s="1"/>
  <c r="BL107" i="19"/>
  <c r="AC107" i="19" s="1"/>
  <c r="BM107" i="19"/>
  <c r="AD107" i="19" s="1"/>
  <c r="AG108" i="19"/>
  <c r="AH108" i="19"/>
  <c r="AJ108" i="19"/>
  <c r="A108" i="19" s="1"/>
  <c r="AK108" i="19"/>
  <c r="B108" i="19" s="1"/>
  <c r="AL108" i="19"/>
  <c r="C108" i="19" s="1"/>
  <c r="AM108" i="19"/>
  <c r="D108" i="19" s="1"/>
  <c r="AN108" i="19"/>
  <c r="E108" i="19" s="1"/>
  <c r="AO108" i="19"/>
  <c r="F108" i="19" s="1"/>
  <c r="AP108" i="19"/>
  <c r="G108" i="19" s="1"/>
  <c r="AQ108" i="19"/>
  <c r="H108" i="19" s="1"/>
  <c r="AR108" i="19"/>
  <c r="I108" i="19" s="1"/>
  <c r="AS108" i="19"/>
  <c r="J108" i="19" s="1"/>
  <c r="AT108" i="19"/>
  <c r="K108" i="19" s="1"/>
  <c r="AU108" i="19"/>
  <c r="L108" i="19" s="1"/>
  <c r="AV108" i="19"/>
  <c r="M108" i="19" s="1"/>
  <c r="AW108" i="19"/>
  <c r="N108" i="19" s="1"/>
  <c r="AX108" i="19"/>
  <c r="O108" i="19" s="1"/>
  <c r="AY108" i="19"/>
  <c r="P108" i="19" s="1"/>
  <c r="AZ108" i="19"/>
  <c r="Q108" i="19" s="1"/>
  <c r="BA108" i="19"/>
  <c r="R108" i="19" s="1"/>
  <c r="BB108" i="19"/>
  <c r="S108" i="19" s="1"/>
  <c r="BC108" i="19"/>
  <c r="T108" i="19" s="1"/>
  <c r="BD108" i="19"/>
  <c r="U108" i="19" s="1"/>
  <c r="BE108" i="19"/>
  <c r="V108" i="19" s="1"/>
  <c r="BF108" i="19"/>
  <c r="W108" i="19" s="1"/>
  <c r="BG108" i="19"/>
  <c r="X108" i="19" s="1"/>
  <c r="BH108" i="19"/>
  <c r="Y108" i="19" s="1"/>
  <c r="BI108" i="19"/>
  <c r="Z108" i="19" s="1"/>
  <c r="BJ108" i="19"/>
  <c r="AA108" i="19" s="1"/>
  <c r="BK108" i="19"/>
  <c r="AB108" i="19" s="1"/>
  <c r="BL108" i="19"/>
  <c r="AC108" i="19" s="1"/>
  <c r="BM108" i="19"/>
  <c r="AD108" i="19" s="1"/>
  <c r="AG109" i="19"/>
  <c r="AH109" i="19"/>
  <c r="AJ109" i="19"/>
  <c r="A109" i="19" s="1"/>
  <c r="AK109" i="19"/>
  <c r="B109" i="19" s="1"/>
  <c r="AL109" i="19"/>
  <c r="C109" i="19" s="1"/>
  <c r="AM109" i="19"/>
  <c r="D109" i="19" s="1"/>
  <c r="AN109" i="19"/>
  <c r="E109" i="19" s="1"/>
  <c r="AO109" i="19"/>
  <c r="F109" i="19" s="1"/>
  <c r="AP109" i="19"/>
  <c r="G109" i="19" s="1"/>
  <c r="AQ109" i="19"/>
  <c r="H109" i="19" s="1"/>
  <c r="AR109" i="19"/>
  <c r="I109" i="19" s="1"/>
  <c r="AS109" i="19"/>
  <c r="J109" i="19" s="1"/>
  <c r="AT109" i="19"/>
  <c r="K109" i="19" s="1"/>
  <c r="AU109" i="19"/>
  <c r="L109" i="19" s="1"/>
  <c r="AV109" i="19"/>
  <c r="M109" i="19" s="1"/>
  <c r="AW109" i="19"/>
  <c r="N109" i="19" s="1"/>
  <c r="AX109" i="19"/>
  <c r="O109" i="19" s="1"/>
  <c r="AY109" i="19"/>
  <c r="P109" i="19" s="1"/>
  <c r="AZ109" i="19"/>
  <c r="Q109" i="19" s="1"/>
  <c r="BA109" i="19"/>
  <c r="R109" i="19" s="1"/>
  <c r="BB109" i="19"/>
  <c r="S109" i="19" s="1"/>
  <c r="BC109" i="19"/>
  <c r="T109" i="19" s="1"/>
  <c r="BD109" i="19"/>
  <c r="U109" i="19" s="1"/>
  <c r="BE109" i="19"/>
  <c r="V109" i="19" s="1"/>
  <c r="BF109" i="19"/>
  <c r="W109" i="19" s="1"/>
  <c r="BG109" i="19"/>
  <c r="X109" i="19" s="1"/>
  <c r="BH109" i="19"/>
  <c r="Y109" i="19" s="1"/>
  <c r="BI109" i="19"/>
  <c r="Z109" i="19" s="1"/>
  <c r="BJ109" i="19"/>
  <c r="AA109" i="19" s="1"/>
  <c r="BK109" i="19"/>
  <c r="AB109" i="19" s="1"/>
  <c r="BL109" i="19"/>
  <c r="AC109" i="19" s="1"/>
  <c r="BM109" i="19"/>
  <c r="AD109" i="19" s="1"/>
  <c r="AG110" i="19"/>
  <c r="AH110" i="19"/>
  <c r="AJ110" i="19"/>
  <c r="A110" i="19" s="1"/>
  <c r="AK110" i="19"/>
  <c r="B110" i="19" s="1"/>
  <c r="AL110" i="19"/>
  <c r="C110" i="19" s="1"/>
  <c r="AM110" i="19"/>
  <c r="D110" i="19" s="1"/>
  <c r="AN110" i="19"/>
  <c r="E110" i="19" s="1"/>
  <c r="AO110" i="19"/>
  <c r="F110" i="19" s="1"/>
  <c r="AP110" i="19"/>
  <c r="G110" i="19" s="1"/>
  <c r="AQ110" i="19"/>
  <c r="H110" i="19" s="1"/>
  <c r="AR110" i="19"/>
  <c r="I110" i="19" s="1"/>
  <c r="AS110" i="19"/>
  <c r="J110" i="19" s="1"/>
  <c r="AT110" i="19"/>
  <c r="K110" i="19" s="1"/>
  <c r="AU110" i="19"/>
  <c r="L110" i="19" s="1"/>
  <c r="AV110" i="19"/>
  <c r="M110" i="19" s="1"/>
  <c r="AW110" i="19"/>
  <c r="N110" i="19" s="1"/>
  <c r="AX110" i="19"/>
  <c r="O110" i="19" s="1"/>
  <c r="AY110" i="19"/>
  <c r="P110" i="19" s="1"/>
  <c r="AZ110" i="19"/>
  <c r="Q110" i="19" s="1"/>
  <c r="BA110" i="19"/>
  <c r="R110" i="19" s="1"/>
  <c r="BB110" i="19"/>
  <c r="S110" i="19" s="1"/>
  <c r="BC110" i="19"/>
  <c r="T110" i="19" s="1"/>
  <c r="BD110" i="19"/>
  <c r="U110" i="19" s="1"/>
  <c r="BE110" i="19"/>
  <c r="V110" i="19" s="1"/>
  <c r="BF110" i="19"/>
  <c r="W110" i="19" s="1"/>
  <c r="BG110" i="19"/>
  <c r="X110" i="19" s="1"/>
  <c r="BH110" i="19"/>
  <c r="Y110" i="19" s="1"/>
  <c r="BI110" i="19"/>
  <c r="Z110" i="19" s="1"/>
  <c r="BJ110" i="19"/>
  <c r="AA110" i="19" s="1"/>
  <c r="BK110" i="19"/>
  <c r="AB110" i="19" s="1"/>
  <c r="BL110" i="19"/>
  <c r="AC110" i="19" s="1"/>
  <c r="BM110" i="19"/>
  <c r="AD110" i="19" s="1"/>
  <c r="AG111" i="19"/>
  <c r="AH111" i="19"/>
  <c r="AJ111" i="19"/>
  <c r="A111" i="19" s="1"/>
  <c r="AK111" i="19"/>
  <c r="B111" i="19" s="1"/>
  <c r="AL111" i="19"/>
  <c r="C111" i="19" s="1"/>
  <c r="AM111" i="19"/>
  <c r="D111" i="19" s="1"/>
  <c r="AN111" i="19"/>
  <c r="E111" i="19" s="1"/>
  <c r="AO111" i="19"/>
  <c r="F111" i="19" s="1"/>
  <c r="AP111" i="19"/>
  <c r="G111" i="19" s="1"/>
  <c r="AQ111" i="19"/>
  <c r="H111" i="19" s="1"/>
  <c r="AR111" i="19"/>
  <c r="I111" i="19" s="1"/>
  <c r="AS111" i="19"/>
  <c r="J111" i="19" s="1"/>
  <c r="AT111" i="19"/>
  <c r="K111" i="19" s="1"/>
  <c r="AU111" i="19"/>
  <c r="L111" i="19" s="1"/>
  <c r="AV111" i="19"/>
  <c r="M111" i="19" s="1"/>
  <c r="AW111" i="19"/>
  <c r="N111" i="19" s="1"/>
  <c r="AX111" i="19"/>
  <c r="O111" i="19" s="1"/>
  <c r="AY111" i="19"/>
  <c r="P111" i="19" s="1"/>
  <c r="AZ111" i="19"/>
  <c r="Q111" i="19" s="1"/>
  <c r="BA111" i="19"/>
  <c r="R111" i="19" s="1"/>
  <c r="BB111" i="19"/>
  <c r="S111" i="19" s="1"/>
  <c r="BC111" i="19"/>
  <c r="T111" i="19" s="1"/>
  <c r="BD111" i="19"/>
  <c r="U111" i="19" s="1"/>
  <c r="BE111" i="19"/>
  <c r="V111" i="19" s="1"/>
  <c r="BF111" i="19"/>
  <c r="W111" i="19" s="1"/>
  <c r="BG111" i="19"/>
  <c r="X111" i="19" s="1"/>
  <c r="BH111" i="19"/>
  <c r="Y111" i="19" s="1"/>
  <c r="BI111" i="19"/>
  <c r="Z111" i="19" s="1"/>
  <c r="BJ111" i="19"/>
  <c r="AA111" i="19" s="1"/>
  <c r="BK111" i="19"/>
  <c r="AB111" i="19" s="1"/>
  <c r="BL111" i="19"/>
  <c r="AC111" i="19" s="1"/>
  <c r="BM111" i="19"/>
  <c r="AD111" i="19" s="1"/>
  <c r="AG112" i="19"/>
  <c r="AH112" i="19"/>
  <c r="AJ112" i="19"/>
  <c r="A112" i="19" s="1"/>
  <c r="AK112" i="19"/>
  <c r="B112" i="19" s="1"/>
  <c r="AL112" i="19"/>
  <c r="C112" i="19" s="1"/>
  <c r="AM112" i="19"/>
  <c r="D112" i="19" s="1"/>
  <c r="AN112" i="19"/>
  <c r="E112" i="19" s="1"/>
  <c r="AO112" i="19"/>
  <c r="F112" i="19" s="1"/>
  <c r="AP112" i="19"/>
  <c r="G112" i="19" s="1"/>
  <c r="AS112" i="19"/>
  <c r="J112" i="19" s="1"/>
  <c r="AV112" i="19"/>
  <c r="M112" i="19" s="1"/>
  <c r="AW112" i="19"/>
  <c r="N112" i="19" s="1"/>
  <c r="AX112" i="19"/>
  <c r="O112" i="19" s="1"/>
  <c r="AZ112" i="19"/>
  <c r="Q112" i="19" s="1"/>
  <c r="BC112" i="19"/>
  <c r="T112" i="19" s="1"/>
  <c r="BD112" i="19"/>
  <c r="U112" i="19" s="1"/>
  <c r="BE112" i="19"/>
  <c r="V112" i="19" s="1"/>
  <c r="BF112" i="19"/>
  <c r="W112" i="19" s="1"/>
  <c r="BG112" i="19"/>
  <c r="X112" i="19" s="1"/>
  <c r="BH112" i="19"/>
  <c r="Y112" i="19" s="1"/>
  <c r="BI112" i="19"/>
  <c r="Z112" i="19" s="1"/>
  <c r="BJ112" i="19"/>
  <c r="AA112" i="19" s="1"/>
  <c r="BK112" i="19"/>
  <c r="AB112" i="19" s="1"/>
  <c r="BL112" i="19"/>
  <c r="AC112" i="19" s="1"/>
  <c r="BM112" i="19"/>
  <c r="AD112" i="19" s="1"/>
  <c r="AQ112" i="19"/>
  <c r="H112" i="19" s="1"/>
  <c r="AT112" i="19"/>
  <c r="K112" i="19" s="1"/>
  <c r="AY112" i="19"/>
  <c r="P112" i="19" s="1"/>
  <c r="BA112" i="19"/>
  <c r="R112" i="19" s="1"/>
  <c r="AR112" i="19"/>
  <c r="I112" i="19" s="1"/>
  <c r="AU112" i="19"/>
  <c r="L112" i="19" s="1"/>
  <c r="BB112" i="19"/>
  <c r="S112" i="19" s="1"/>
  <c r="AG113" i="19"/>
  <c r="AH113" i="19"/>
  <c r="AJ113" i="19"/>
  <c r="A113" i="19" s="1"/>
  <c r="AK113" i="19"/>
  <c r="B113" i="19" s="1"/>
  <c r="AL113" i="19"/>
  <c r="C113" i="19" s="1"/>
  <c r="AM113" i="19"/>
  <c r="D113" i="19" s="1"/>
  <c r="AN113" i="19"/>
  <c r="E113" i="19" s="1"/>
  <c r="AO113" i="19"/>
  <c r="F113" i="19" s="1"/>
  <c r="AP113" i="19"/>
  <c r="G113" i="19" s="1"/>
  <c r="AQ113" i="19"/>
  <c r="H113" i="19" s="1"/>
  <c r="AR113" i="19"/>
  <c r="I113" i="19" s="1"/>
  <c r="AS113" i="19"/>
  <c r="J113" i="19" s="1"/>
  <c r="AT113" i="19"/>
  <c r="K113" i="19" s="1"/>
  <c r="AU113" i="19"/>
  <c r="L113" i="19" s="1"/>
  <c r="AV113" i="19"/>
  <c r="M113" i="19" s="1"/>
  <c r="AW113" i="19"/>
  <c r="N113" i="19" s="1"/>
  <c r="AX113" i="19"/>
  <c r="O113" i="19" s="1"/>
  <c r="AY113" i="19"/>
  <c r="P113" i="19" s="1"/>
  <c r="AZ113" i="19"/>
  <c r="Q113" i="19" s="1"/>
  <c r="BA113" i="19"/>
  <c r="R113" i="19" s="1"/>
  <c r="BB113" i="19"/>
  <c r="S113" i="19" s="1"/>
  <c r="BC113" i="19"/>
  <c r="T113" i="19" s="1"/>
  <c r="BD113" i="19"/>
  <c r="U113" i="19" s="1"/>
  <c r="BE113" i="19"/>
  <c r="V113" i="19" s="1"/>
  <c r="BF113" i="19"/>
  <c r="W113" i="19" s="1"/>
  <c r="BG113" i="19"/>
  <c r="X113" i="19" s="1"/>
  <c r="BH113" i="19"/>
  <c r="Y113" i="19" s="1"/>
  <c r="BI113" i="19"/>
  <c r="Z113" i="19" s="1"/>
  <c r="BJ113" i="19"/>
  <c r="AA113" i="19" s="1"/>
  <c r="BK113" i="19"/>
  <c r="AB113" i="19" s="1"/>
  <c r="BL113" i="19"/>
  <c r="AC113" i="19" s="1"/>
  <c r="BM113" i="19"/>
  <c r="AD113" i="19" s="1"/>
  <c r="AG114" i="19"/>
  <c r="AH114" i="19"/>
  <c r="AJ114" i="19"/>
  <c r="A114" i="19" s="1"/>
  <c r="AK114" i="19"/>
  <c r="B114" i="19" s="1"/>
  <c r="AL114" i="19"/>
  <c r="C114" i="19" s="1"/>
  <c r="AM114" i="19"/>
  <c r="D114" i="19" s="1"/>
  <c r="AN114" i="19"/>
  <c r="E114" i="19" s="1"/>
  <c r="AO114" i="19"/>
  <c r="F114" i="19" s="1"/>
  <c r="AP114" i="19"/>
  <c r="G114" i="19" s="1"/>
  <c r="AQ114" i="19"/>
  <c r="H114" i="19" s="1"/>
  <c r="AR114" i="19"/>
  <c r="I114" i="19" s="1"/>
  <c r="AS114" i="19"/>
  <c r="J114" i="19" s="1"/>
  <c r="AT114" i="19"/>
  <c r="K114" i="19" s="1"/>
  <c r="AU114" i="19"/>
  <c r="L114" i="19" s="1"/>
  <c r="AV114" i="19"/>
  <c r="M114" i="19" s="1"/>
  <c r="AW114" i="19"/>
  <c r="N114" i="19" s="1"/>
  <c r="AX114" i="19"/>
  <c r="O114" i="19" s="1"/>
  <c r="AY114" i="19"/>
  <c r="P114" i="19" s="1"/>
  <c r="AZ114" i="19"/>
  <c r="Q114" i="19" s="1"/>
  <c r="BA114" i="19"/>
  <c r="R114" i="19" s="1"/>
  <c r="BB114" i="19"/>
  <c r="S114" i="19" s="1"/>
  <c r="BC114" i="19"/>
  <c r="T114" i="19" s="1"/>
  <c r="BD114" i="19"/>
  <c r="U114" i="19" s="1"/>
  <c r="BE114" i="19"/>
  <c r="V114" i="19" s="1"/>
  <c r="BF114" i="19"/>
  <c r="W114" i="19" s="1"/>
  <c r="BG114" i="19"/>
  <c r="X114" i="19" s="1"/>
  <c r="BH114" i="19"/>
  <c r="Y114" i="19" s="1"/>
  <c r="BI114" i="19"/>
  <c r="Z114" i="19" s="1"/>
  <c r="BJ114" i="19"/>
  <c r="AA114" i="19" s="1"/>
  <c r="BK114" i="19"/>
  <c r="AB114" i="19" s="1"/>
  <c r="BL114" i="19"/>
  <c r="AC114" i="19" s="1"/>
  <c r="BM114" i="19"/>
  <c r="AD114" i="19" s="1"/>
  <c r="AG115" i="19"/>
  <c r="AH115" i="19"/>
  <c r="AJ115" i="19"/>
  <c r="A115" i="19" s="1"/>
  <c r="AK115" i="19"/>
  <c r="B115" i="19" s="1"/>
  <c r="AL115" i="19"/>
  <c r="C115" i="19" s="1"/>
  <c r="AM115" i="19"/>
  <c r="D115" i="19" s="1"/>
  <c r="AN115" i="19"/>
  <c r="E115" i="19" s="1"/>
  <c r="AO115" i="19"/>
  <c r="F115" i="19" s="1"/>
  <c r="AP115" i="19"/>
  <c r="G115" i="19" s="1"/>
  <c r="AQ115" i="19"/>
  <c r="H115" i="19" s="1"/>
  <c r="AR115" i="19"/>
  <c r="I115" i="19" s="1"/>
  <c r="AS115" i="19"/>
  <c r="J115" i="19" s="1"/>
  <c r="AT115" i="19"/>
  <c r="K115" i="19" s="1"/>
  <c r="AU115" i="19"/>
  <c r="L115" i="19" s="1"/>
  <c r="AV115" i="19"/>
  <c r="M115" i="19" s="1"/>
  <c r="AW115" i="19"/>
  <c r="N115" i="19" s="1"/>
  <c r="AX115" i="19"/>
  <c r="O115" i="19" s="1"/>
  <c r="AY115" i="19"/>
  <c r="P115" i="19" s="1"/>
  <c r="AZ115" i="19"/>
  <c r="Q115" i="19" s="1"/>
  <c r="BA115" i="19"/>
  <c r="R115" i="19" s="1"/>
  <c r="BB115" i="19"/>
  <c r="S115" i="19" s="1"/>
  <c r="BC115" i="19"/>
  <c r="T115" i="19" s="1"/>
  <c r="BD115" i="19"/>
  <c r="U115" i="19" s="1"/>
  <c r="BE115" i="19"/>
  <c r="V115" i="19" s="1"/>
  <c r="BF115" i="19"/>
  <c r="W115" i="19" s="1"/>
  <c r="BG115" i="19"/>
  <c r="X115" i="19" s="1"/>
  <c r="BH115" i="19"/>
  <c r="Y115" i="19" s="1"/>
  <c r="BI115" i="19"/>
  <c r="Z115" i="19" s="1"/>
  <c r="BJ115" i="19"/>
  <c r="AA115" i="19" s="1"/>
  <c r="BK115" i="19"/>
  <c r="AB115" i="19" s="1"/>
  <c r="BL115" i="19"/>
  <c r="AC115" i="19" s="1"/>
  <c r="BM115" i="19"/>
  <c r="AD115" i="19" s="1"/>
  <c r="AG116" i="19"/>
  <c r="AH116" i="19"/>
  <c r="AJ116" i="19"/>
  <c r="A116" i="19" s="1"/>
  <c r="AK116" i="19"/>
  <c r="B116" i="19" s="1"/>
  <c r="AL116" i="19"/>
  <c r="C116" i="19" s="1"/>
  <c r="AM116" i="19"/>
  <c r="D116" i="19" s="1"/>
  <c r="AN116" i="19"/>
  <c r="E116" i="19" s="1"/>
  <c r="AO116" i="19"/>
  <c r="F116" i="19" s="1"/>
  <c r="AP116" i="19"/>
  <c r="G116" i="19" s="1"/>
  <c r="AQ116" i="19"/>
  <c r="H116" i="19" s="1"/>
  <c r="AR116" i="19"/>
  <c r="I116" i="19" s="1"/>
  <c r="AS116" i="19"/>
  <c r="J116" i="19" s="1"/>
  <c r="AT116" i="19"/>
  <c r="K116" i="19" s="1"/>
  <c r="AU116" i="19"/>
  <c r="L116" i="19" s="1"/>
  <c r="AV116" i="19"/>
  <c r="M116" i="19" s="1"/>
  <c r="AW116" i="19"/>
  <c r="N116" i="19" s="1"/>
  <c r="AX116" i="19"/>
  <c r="O116" i="19" s="1"/>
  <c r="AY116" i="19"/>
  <c r="P116" i="19" s="1"/>
  <c r="AZ116" i="19"/>
  <c r="Q116" i="19" s="1"/>
  <c r="BA116" i="19"/>
  <c r="R116" i="19" s="1"/>
  <c r="BB116" i="19"/>
  <c r="S116" i="19" s="1"/>
  <c r="BC116" i="19"/>
  <c r="T116" i="19" s="1"/>
  <c r="BD116" i="19"/>
  <c r="U116" i="19" s="1"/>
  <c r="BE116" i="19"/>
  <c r="V116" i="19" s="1"/>
  <c r="BF116" i="19"/>
  <c r="W116" i="19" s="1"/>
  <c r="BG116" i="19"/>
  <c r="X116" i="19" s="1"/>
  <c r="BH116" i="19"/>
  <c r="Y116" i="19" s="1"/>
  <c r="BI116" i="19"/>
  <c r="Z116" i="19" s="1"/>
  <c r="BJ116" i="19"/>
  <c r="AA116" i="19" s="1"/>
  <c r="BK116" i="19"/>
  <c r="AB116" i="19" s="1"/>
  <c r="BL116" i="19"/>
  <c r="AC116" i="19" s="1"/>
  <c r="BM116" i="19"/>
  <c r="AD116" i="19" s="1"/>
  <c r="AG117" i="19"/>
  <c r="AH117" i="19"/>
  <c r="AJ117" i="19"/>
  <c r="A117" i="19" s="1"/>
  <c r="AK117" i="19"/>
  <c r="B117" i="19" s="1"/>
  <c r="AL117" i="19"/>
  <c r="C117" i="19" s="1"/>
  <c r="AM117" i="19"/>
  <c r="D117" i="19" s="1"/>
  <c r="AN117" i="19"/>
  <c r="E117" i="19" s="1"/>
  <c r="AO117" i="19"/>
  <c r="F117" i="19" s="1"/>
  <c r="AP117" i="19"/>
  <c r="G117" i="19" s="1"/>
  <c r="AQ117" i="19"/>
  <c r="H117" i="19" s="1"/>
  <c r="AR117" i="19"/>
  <c r="I117" i="19" s="1"/>
  <c r="AS117" i="19"/>
  <c r="J117" i="19" s="1"/>
  <c r="AT117" i="19"/>
  <c r="K117" i="19" s="1"/>
  <c r="AU117" i="19"/>
  <c r="L117" i="19" s="1"/>
  <c r="AV117" i="19"/>
  <c r="M117" i="19" s="1"/>
  <c r="AW117" i="19"/>
  <c r="N117" i="19" s="1"/>
  <c r="AX117" i="19"/>
  <c r="O117" i="19" s="1"/>
  <c r="AY117" i="19"/>
  <c r="P117" i="19" s="1"/>
  <c r="AZ117" i="19"/>
  <c r="Q117" i="19" s="1"/>
  <c r="BA117" i="19"/>
  <c r="R117" i="19" s="1"/>
  <c r="BB117" i="19"/>
  <c r="S117" i="19" s="1"/>
  <c r="BC117" i="19"/>
  <c r="T117" i="19" s="1"/>
  <c r="BD117" i="19"/>
  <c r="U117" i="19" s="1"/>
  <c r="BE117" i="19"/>
  <c r="V117" i="19" s="1"/>
  <c r="BF117" i="19"/>
  <c r="W117" i="19" s="1"/>
  <c r="BG117" i="19"/>
  <c r="X117" i="19" s="1"/>
  <c r="BH117" i="19"/>
  <c r="Y117" i="19" s="1"/>
  <c r="BI117" i="19"/>
  <c r="Z117" i="19" s="1"/>
  <c r="BJ117" i="19"/>
  <c r="AA117" i="19" s="1"/>
  <c r="BK117" i="19"/>
  <c r="AB117" i="19" s="1"/>
  <c r="BL117" i="19"/>
  <c r="AC117" i="19" s="1"/>
  <c r="BM117" i="19"/>
  <c r="AD117" i="19" s="1"/>
  <c r="AG118" i="19"/>
  <c r="AH118" i="19"/>
  <c r="AJ118" i="19"/>
  <c r="A118" i="19" s="1"/>
  <c r="AK118" i="19"/>
  <c r="B118" i="19" s="1"/>
  <c r="AL118" i="19"/>
  <c r="C118" i="19" s="1"/>
  <c r="AM118" i="19"/>
  <c r="D118" i="19" s="1"/>
  <c r="AN118" i="19"/>
  <c r="E118" i="19" s="1"/>
  <c r="AO118" i="19"/>
  <c r="F118" i="19" s="1"/>
  <c r="AP118" i="19"/>
  <c r="G118" i="19" s="1"/>
  <c r="AQ118" i="19"/>
  <c r="H118" i="19" s="1"/>
  <c r="AR118" i="19"/>
  <c r="I118" i="19" s="1"/>
  <c r="AS118" i="19"/>
  <c r="J118" i="19" s="1"/>
  <c r="AT118" i="19"/>
  <c r="K118" i="19" s="1"/>
  <c r="AU118" i="19"/>
  <c r="L118" i="19" s="1"/>
  <c r="AV118" i="19"/>
  <c r="M118" i="19" s="1"/>
  <c r="AW118" i="19"/>
  <c r="N118" i="19" s="1"/>
  <c r="AX118" i="19"/>
  <c r="O118" i="19" s="1"/>
  <c r="AY118" i="19"/>
  <c r="P118" i="19" s="1"/>
  <c r="AZ118" i="19"/>
  <c r="Q118" i="19" s="1"/>
  <c r="BA118" i="19"/>
  <c r="R118" i="19" s="1"/>
  <c r="BB118" i="19"/>
  <c r="S118" i="19" s="1"/>
  <c r="BC118" i="19"/>
  <c r="T118" i="19" s="1"/>
  <c r="BD118" i="19"/>
  <c r="U118" i="19" s="1"/>
  <c r="BE118" i="19"/>
  <c r="V118" i="19" s="1"/>
  <c r="BF118" i="19"/>
  <c r="W118" i="19" s="1"/>
  <c r="BG118" i="19"/>
  <c r="X118" i="19" s="1"/>
  <c r="BH118" i="19"/>
  <c r="Y118" i="19" s="1"/>
  <c r="BI118" i="19"/>
  <c r="Z118" i="19" s="1"/>
  <c r="BJ118" i="19"/>
  <c r="AA118" i="19" s="1"/>
  <c r="BK118" i="19"/>
  <c r="AB118" i="19" s="1"/>
  <c r="BL118" i="19"/>
  <c r="AC118" i="19" s="1"/>
  <c r="BM118" i="19"/>
  <c r="AD118" i="19" s="1"/>
  <c r="AG119" i="19"/>
  <c r="AH119" i="19"/>
  <c r="AJ119" i="19"/>
  <c r="A119" i="19" s="1"/>
  <c r="AK119" i="19"/>
  <c r="B119" i="19" s="1"/>
  <c r="AL119" i="19"/>
  <c r="C119" i="19" s="1"/>
  <c r="AM119" i="19"/>
  <c r="D119" i="19" s="1"/>
  <c r="AN119" i="19"/>
  <c r="E119" i="19" s="1"/>
  <c r="AO119" i="19"/>
  <c r="F119" i="19" s="1"/>
  <c r="AP119" i="19"/>
  <c r="G119" i="19" s="1"/>
  <c r="AQ119" i="19"/>
  <c r="H119" i="19" s="1"/>
  <c r="AR119" i="19"/>
  <c r="I119" i="19" s="1"/>
  <c r="AS119" i="19"/>
  <c r="J119" i="19" s="1"/>
  <c r="AT119" i="19"/>
  <c r="K119" i="19" s="1"/>
  <c r="AU119" i="19"/>
  <c r="L119" i="19" s="1"/>
  <c r="AV119" i="19"/>
  <c r="M119" i="19" s="1"/>
  <c r="AW119" i="19"/>
  <c r="N119" i="19" s="1"/>
  <c r="AX119" i="19"/>
  <c r="O119" i="19" s="1"/>
  <c r="AY119" i="19"/>
  <c r="P119" i="19" s="1"/>
  <c r="AZ119" i="19"/>
  <c r="Q119" i="19" s="1"/>
  <c r="BA119" i="19"/>
  <c r="R119" i="19" s="1"/>
  <c r="BB119" i="19"/>
  <c r="S119" i="19" s="1"/>
  <c r="BC119" i="19"/>
  <c r="T119" i="19" s="1"/>
  <c r="BD119" i="19"/>
  <c r="U119" i="19" s="1"/>
  <c r="BE119" i="19"/>
  <c r="V119" i="19" s="1"/>
  <c r="BF119" i="19"/>
  <c r="W119" i="19" s="1"/>
  <c r="BG119" i="19"/>
  <c r="X119" i="19" s="1"/>
  <c r="BH119" i="19"/>
  <c r="Y119" i="19" s="1"/>
  <c r="BI119" i="19"/>
  <c r="Z119" i="19" s="1"/>
  <c r="BJ119" i="19"/>
  <c r="AA119" i="19" s="1"/>
  <c r="BK119" i="19"/>
  <c r="AB119" i="19" s="1"/>
  <c r="BL119" i="19"/>
  <c r="AC119" i="19" s="1"/>
  <c r="BM119" i="19"/>
  <c r="AD119" i="19" s="1"/>
  <c r="AG120" i="19"/>
  <c r="AH120" i="19"/>
  <c r="AJ120" i="19"/>
  <c r="A120" i="19" s="1"/>
  <c r="AK120" i="19"/>
  <c r="B120" i="19" s="1"/>
  <c r="AL120" i="19"/>
  <c r="C120" i="19" s="1"/>
  <c r="AM120" i="19"/>
  <c r="D120" i="19" s="1"/>
  <c r="AN120" i="19"/>
  <c r="E120" i="19" s="1"/>
  <c r="AO120" i="19"/>
  <c r="F120" i="19" s="1"/>
  <c r="AP120" i="19"/>
  <c r="G120" i="19" s="1"/>
  <c r="AQ120" i="19"/>
  <c r="H120" i="19" s="1"/>
  <c r="AR120" i="19"/>
  <c r="I120" i="19" s="1"/>
  <c r="AS120" i="19"/>
  <c r="J120" i="19" s="1"/>
  <c r="AT120" i="19"/>
  <c r="K120" i="19" s="1"/>
  <c r="AU120" i="19"/>
  <c r="L120" i="19" s="1"/>
  <c r="AV120" i="19"/>
  <c r="M120" i="19" s="1"/>
  <c r="AW120" i="19"/>
  <c r="N120" i="19" s="1"/>
  <c r="AX120" i="19"/>
  <c r="O120" i="19" s="1"/>
  <c r="AY120" i="19"/>
  <c r="P120" i="19" s="1"/>
  <c r="AZ120" i="19"/>
  <c r="Q120" i="19" s="1"/>
  <c r="BA120" i="19"/>
  <c r="R120" i="19" s="1"/>
  <c r="BB120" i="19"/>
  <c r="S120" i="19" s="1"/>
  <c r="BC120" i="19"/>
  <c r="T120" i="19" s="1"/>
  <c r="BD120" i="19"/>
  <c r="U120" i="19" s="1"/>
  <c r="BE120" i="19"/>
  <c r="V120" i="19" s="1"/>
  <c r="BF120" i="19"/>
  <c r="W120" i="19" s="1"/>
  <c r="BG120" i="19"/>
  <c r="X120" i="19" s="1"/>
  <c r="BH120" i="19"/>
  <c r="Y120" i="19" s="1"/>
  <c r="BI120" i="19"/>
  <c r="Z120" i="19" s="1"/>
  <c r="BJ120" i="19"/>
  <c r="AA120" i="19" s="1"/>
  <c r="BK120" i="19"/>
  <c r="AB120" i="19" s="1"/>
  <c r="BL120" i="19"/>
  <c r="AC120" i="19" s="1"/>
  <c r="BM120" i="19"/>
  <c r="AD120" i="19" s="1"/>
  <c r="AG121" i="19"/>
  <c r="AH121" i="19"/>
  <c r="AJ121" i="19"/>
  <c r="A121" i="19" s="1"/>
  <c r="AK121" i="19"/>
  <c r="B121" i="19" s="1"/>
  <c r="AL121" i="19"/>
  <c r="C121" i="19" s="1"/>
  <c r="AM121" i="19"/>
  <c r="D121" i="19" s="1"/>
  <c r="AN121" i="19"/>
  <c r="E121" i="19" s="1"/>
  <c r="AO121" i="19"/>
  <c r="F121" i="19" s="1"/>
  <c r="AP121" i="19"/>
  <c r="G121" i="19" s="1"/>
  <c r="AQ121" i="19"/>
  <c r="H121" i="19" s="1"/>
  <c r="AR121" i="19"/>
  <c r="I121" i="19" s="1"/>
  <c r="AS121" i="19"/>
  <c r="J121" i="19" s="1"/>
  <c r="AT121" i="19"/>
  <c r="K121" i="19" s="1"/>
  <c r="AU121" i="19"/>
  <c r="L121" i="19" s="1"/>
  <c r="AV121" i="19"/>
  <c r="M121" i="19" s="1"/>
  <c r="AW121" i="19"/>
  <c r="N121" i="19" s="1"/>
  <c r="AX121" i="19"/>
  <c r="O121" i="19" s="1"/>
  <c r="AY121" i="19"/>
  <c r="P121" i="19" s="1"/>
  <c r="AZ121" i="19"/>
  <c r="Q121" i="19" s="1"/>
  <c r="BA121" i="19"/>
  <c r="R121" i="19" s="1"/>
  <c r="BB121" i="19"/>
  <c r="S121" i="19" s="1"/>
  <c r="BC121" i="19"/>
  <c r="T121" i="19" s="1"/>
  <c r="BD121" i="19"/>
  <c r="U121" i="19" s="1"/>
  <c r="BE121" i="19"/>
  <c r="V121" i="19" s="1"/>
  <c r="BF121" i="19"/>
  <c r="W121" i="19" s="1"/>
  <c r="BG121" i="19"/>
  <c r="X121" i="19" s="1"/>
  <c r="BH121" i="19"/>
  <c r="Y121" i="19" s="1"/>
  <c r="BI121" i="19"/>
  <c r="Z121" i="19" s="1"/>
  <c r="BJ121" i="19"/>
  <c r="AA121" i="19" s="1"/>
  <c r="BK121" i="19"/>
  <c r="AB121" i="19" s="1"/>
  <c r="BL121" i="19"/>
  <c r="AC121" i="19" s="1"/>
  <c r="BM121" i="19"/>
  <c r="AD121" i="19" s="1"/>
  <c r="AG122" i="19"/>
  <c r="AH122" i="19"/>
  <c r="AJ122" i="19"/>
  <c r="A122" i="19" s="1"/>
  <c r="AK122" i="19"/>
  <c r="B122" i="19" s="1"/>
  <c r="AL122" i="19"/>
  <c r="C122" i="19" s="1"/>
  <c r="AM122" i="19"/>
  <c r="D122" i="19" s="1"/>
  <c r="AN122" i="19"/>
  <c r="E122" i="19" s="1"/>
  <c r="AO122" i="19"/>
  <c r="F122" i="19" s="1"/>
  <c r="AP122" i="19"/>
  <c r="G122" i="19" s="1"/>
  <c r="AQ122" i="19"/>
  <c r="H122" i="19" s="1"/>
  <c r="AR122" i="19"/>
  <c r="I122" i="19" s="1"/>
  <c r="AS122" i="19"/>
  <c r="J122" i="19" s="1"/>
  <c r="AT122" i="19"/>
  <c r="K122" i="19" s="1"/>
  <c r="AU122" i="19"/>
  <c r="L122" i="19" s="1"/>
  <c r="AV122" i="19"/>
  <c r="M122" i="19" s="1"/>
  <c r="AW122" i="19"/>
  <c r="N122" i="19" s="1"/>
  <c r="AX122" i="19"/>
  <c r="O122" i="19" s="1"/>
  <c r="AY122" i="19"/>
  <c r="P122" i="19" s="1"/>
  <c r="AZ122" i="19"/>
  <c r="Q122" i="19" s="1"/>
  <c r="BA122" i="19"/>
  <c r="R122" i="19" s="1"/>
  <c r="BB122" i="19"/>
  <c r="S122" i="19" s="1"/>
  <c r="BC122" i="19"/>
  <c r="T122" i="19" s="1"/>
  <c r="BD122" i="19"/>
  <c r="U122" i="19" s="1"/>
  <c r="BE122" i="19"/>
  <c r="V122" i="19" s="1"/>
  <c r="BF122" i="19"/>
  <c r="W122" i="19" s="1"/>
  <c r="BG122" i="19"/>
  <c r="X122" i="19" s="1"/>
  <c r="BH122" i="19"/>
  <c r="Y122" i="19" s="1"/>
  <c r="BI122" i="19"/>
  <c r="Z122" i="19" s="1"/>
  <c r="BJ122" i="19"/>
  <c r="AA122" i="19" s="1"/>
  <c r="BK122" i="19"/>
  <c r="AB122" i="19" s="1"/>
  <c r="BL122" i="19"/>
  <c r="AC122" i="19" s="1"/>
  <c r="BM122" i="19"/>
  <c r="AD122" i="19" s="1"/>
  <c r="AG123" i="19"/>
  <c r="AH123" i="19"/>
  <c r="AJ123" i="19"/>
  <c r="A123" i="19" s="1"/>
  <c r="AK123" i="19"/>
  <c r="B123" i="19" s="1"/>
  <c r="AL123" i="19"/>
  <c r="C123" i="19" s="1"/>
  <c r="AM123" i="19"/>
  <c r="D123" i="19" s="1"/>
  <c r="AN123" i="19"/>
  <c r="E123" i="19" s="1"/>
  <c r="AO123" i="19"/>
  <c r="F123" i="19" s="1"/>
  <c r="AP123" i="19"/>
  <c r="G123" i="19" s="1"/>
  <c r="AQ123" i="19"/>
  <c r="H123" i="19" s="1"/>
  <c r="AR123" i="19"/>
  <c r="I123" i="19" s="1"/>
  <c r="AS123" i="19"/>
  <c r="J123" i="19" s="1"/>
  <c r="AT123" i="19"/>
  <c r="K123" i="19" s="1"/>
  <c r="AU123" i="19"/>
  <c r="L123" i="19" s="1"/>
  <c r="AV123" i="19"/>
  <c r="M123" i="19" s="1"/>
  <c r="AW123" i="19"/>
  <c r="N123" i="19" s="1"/>
  <c r="AX123" i="19"/>
  <c r="O123" i="19" s="1"/>
  <c r="AY123" i="19"/>
  <c r="P123" i="19" s="1"/>
  <c r="AZ123" i="19"/>
  <c r="Q123" i="19" s="1"/>
  <c r="BA123" i="19"/>
  <c r="R123" i="19" s="1"/>
  <c r="BB123" i="19"/>
  <c r="S123" i="19" s="1"/>
  <c r="BC123" i="19"/>
  <c r="T123" i="19" s="1"/>
  <c r="BD123" i="19"/>
  <c r="U123" i="19" s="1"/>
  <c r="BE123" i="19"/>
  <c r="V123" i="19" s="1"/>
  <c r="BF123" i="19"/>
  <c r="W123" i="19" s="1"/>
  <c r="BG123" i="19"/>
  <c r="X123" i="19" s="1"/>
  <c r="BH123" i="19"/>
  <c r="Y123" i="19" s="1"/>
  <c r="BI123" i="19"/>
  <c r="Z123" i="19" s="1"/>
  <c r="BJ123" i="19"/>
  <c r="AA123" i="19" s="1"/>
  <c r="BK123" i="19"/>
  <c r="AB123" i="19" s="1"/>
  <c r="BL123" i="19"/>
  <c r="AC123" i="19" s="1"/>
  <c r="BM123" i="19"/>
  <c r="AD123" i="19" s="1"/>
  <c r="AG124" i="19"/>
  <c r="AH124" i="19"/>
  <c r="AJ124" i="19"/>
  <c r="A124" i="19" s="1"/>
  <c r="AK124" i="19"/>
  <c r="B124" i="19" s="1"/>
  <c r="AL124" i="19"/>
  <c r="C124" i="19" s="1"/>
  <c r="AM124" i="19"/>
  <c r="D124" i="19" s="1"/>
  <c r="AN124" i="19"/>
  <c r="E124" i="19" s="1"/>
  <c r="AO124" i="19"/>
  <c r="F124" i="19" s="1"/>
  <c r="AP124" i="19"/>
  <c r="G124" i="19" s="1"/>
  <c r="AQ124" i="19"/>
  <c r="H124" i="19" s="1"/>
  <c r="AR124" i="19"/>
  <c r="I124" i="19" s="1"/>
  <c r="AS124" i="19"/>
  <c r="J124" i="19" s="1"/>
  <c r="AT124" i="19"/>
  <c r="K124" i="19" s="1"/>
  <c r="AU124" i="19"/>
  <c r="L124" i="19" s="1"/>
  <c r="AV124" i="19"/>
  <c r="M124" i="19" s="1"/>
  <c r="AW124" i="19"/>
  <c r="N124" i="19" s="1"/>
  <c r="AX124" i="19"/>
  <c r="O124" i="19" s="1"/>
  <c r="AY124" i="19"/>
  <c r="P124" i="19" s="1"/>
  <c r="AZ124" i="19"/>
  <c r="Q124" i="19" s="1"/>
  <c r="BA124" i="19"/>
  <c r="R124" i="19" s="1"/>
  <c r="BB124" i="19"/>
  <c r="S124" i="19" s="1"/>
  <c r="BC124" i="19"/>
  <c r="T124" i="19" s="1"/>
  <c r="BD124" i="19"/>
  <c r="U124" i="19" s="1"/>
  <c r="BE124" i="19"/>
  <c r="V124" i="19" s="1"/>
  <c r="BF124" i="19"/>
  <c r="W124" i="19" s="1"/>
  <c r="BG124" i="19"/>
  <c r="X124" i="19" s="1"/>
  <c r="BH124" i="19"/>
  <c r="Y124" i="19" s="1"/>
  <c r="BI124" i="19"/>
  <c r="Z124" i="19" s="1"/>
  <c r="BJ124" i="19"/>
  <c r="AA124" i="19" s="1"/>
  <c r="BK124" i="19"/>
  <c r="AB124" i="19" s="1"/>
  <c r="BL124" i="19"/>
  <c r="AC124" i="19" s="1"/>
  <c r="BM124" i="19"/>
  <c r="AD124" i="19" s="1"/>
  <c r="AG125" i="19"/>
  <c r="AH125" i="19"/>
  <c r="AJ125" i="19"/>
  <c r="A125" i="19" s="1"/>
  <c r="AK125" i="19"/>
  <c r="B125" i="19" s="1"/>
  <c r="AL125" i="19"/>
  <c r="C125" i="19" s="1"/>
  <c r="AM125" i="19"/>
  <c r="D125" i="19" s="1"/>
  <c r="AN125" i="19"/>
  <c r="E125" i="19" s="1"/>
  <c r="AO125" i="19"/>
  <c r="F125" i="19" s="1"/>
  <c r="AP125" i="19"/>
  <c r="G125" i="19" s="1"/>
  <c r="AQ125" i="19"/>
  <c r="H125" i="19" s="1"/>
  <c r="AR125" i="19"/>
  <c r="I125" i="19" s="1"/>
  <c r="AS125" i="19"/>
  <c r="J125" i="19" s="1"/>
  <c r="AT125" i="19"/>
  <c r="K125" i="19" s="1"/>
  <c r="AU125" i="19"/>
  <c r="L125" i="19" s="1"/>
  <c r="AV125" i="19"/>
  <c r="M125" i="19" s="1"/>
  <c r="AW125" i="19"/>
  <c r="N125" i="19" s="1"/>
  <c r="AX125" i="19"/>
  <c r="O125" i="19" s="1"/>
  <c r="AY125" i="19"/>
  <c r="P125" i="19" s="1"/>
  <c r="AZ125" i="19"/>
  <c r="Q125" i="19" s="1"/>
  <c r="BA125" i="19"/>
  <c r="R125" i="19" s="1"/>
  <c r="BB125" i="19"/>
  <c r="S125" i="19" s="1"/>
  <c r="BC125" i="19"/>
  <c r="T125" i="19" s="1"/>
  <c r="BD125" i="19"/>
  <c r="U125" i="19" s="1"/>
  <c r="BE125" i="19"/>
  <c r="V125" i="19" s="1"/>
  <c r="BF125" i="19"/>
  <c r="W125" i="19" s="1"/>
  <c r="BG125" i="19"/>
  <c r="X125" i="19" s="1"/>
  <c r="BH125" i="19"/>
  <c r="Y125" i="19" s="1"/>
  <c r="BI125" i="19"/>
  <c r="Z125" i="19" s="1"/>
  <c r="BJ125" i="19"/>
  <c r="AA125" i="19" s="1"/>
  <c r="BK125" i="19"/>
  <c r="AB125" i="19" s="1"/>
  <c r="BL125" i="19"/>
  <c r="AC125" i="19" s="1"/>
  <c r="BM125" i="19"/>
  <c r="AD125" i="19" s="1"/>
  <c r="AG126" i="19"/>
  <c r="AH126" i="19"/>
  <c r="AJ126" i="19"/>
  <c r="A126" i="19" s="1"/>
  <c r="AK126" i="19"/>
  <c r="B126" i="19" s="1"/>
  <c r="AL126" i="19"/>
  <c r="C126" i="19" s="1"/>
  <c r="AM126" i="19"/>
  <c r="D126" i="19" s="1"/>
  <c r="AN126" i="19"/>
  <c r="E126" i="19" s="1"/>
  <c r="AO126" i="19"/>
  <c r="F126" i="19" s="1"/>
  <c r="AP126" i="19"/>
  <c r="G126" i="19" s="1"/>
  <c r="AQ126" i="19"/>
  <c r="H126" i="19" s="1"/>
  <c r="AR126" i="19"/>
  <c r="I126" i="19" s="1"/>
  <c r="AS126" i="19"/>
  <c r="J126" i="19" s="1"/>
  <c r="AT126" i="19"/>
  <c r="K126" i="19" s="1"/>
  <c r="AU126" i="19"/>
  <c r="L126" i="19" s="1"/>
  <c r="AV126" i="19"/>
  <c r="M126" i="19" s="1"/>
  <c r="AW126" i="19"/>
  <c r="N126" i="19" s="1"/>
  <c r="AX126" i="19"/>
  <c r="O126" i="19" s="1"/>
  <c r="AY126" i="19"/>
  <c r="P126" i="19" s="1"/>
  <c r="AZ126" i="19"/>
  <c r="Q126" i="19" s="1"/>
  <c r="BA126" i="19"/>
  <c r="R126" i="19" s="1"/>
  <c r="BB126" i="19"/>
  <c r="S126" i="19" s="1"/>
  <c r="BC126" i="19"/>
  <c r="T126" i="19" s="1"/>
  <c r="BD126" i="19"/>
  <c r="U126" i="19" s="1"/>
  <c r="BE126" i="19"/>
  <c r="V126" i="19" s="1"/>
  <c r="BF126" i="19"/>
  <c r="W126" i="19" s="1"/>
  <c r="BG126" i="19"/>
  <c r="X126" i="19" s="1"/>
  <c r="BH126" i="19"/>
  <c r="Y126" i="19" s="1"/>
  <c r="BI126" i="19"/>
  <c r="Z126" i="19" s="1"/>
  <c r="BJ126" i="19"/>
  <c r="AA126" i="19" s="1"/>
  <c r="BK126" i="19"/>
  <c r="AB126" i="19" s="1"/>
  <c r="BL126" i="19"/>
  <c r="AC126" i="19" s="1"/>
  <c r="BM126" i="19"/>
  <c r="AD126" i="19" s="1"/>
  <c r="AG127" i="19"/>
  <c r="AH127" i="19"/>
  <c r="AJ127" i="19"/>
  <c r="A127" i="19" s="1"/>
  <c r="AK127" i="19"/>
  <c r="B127" i="19" s="1"/>
  <c r="AL127" i="19"/>
  <c r="C127" i="19" s="1"/>
  <c r="AM127" i="19"/>
  <c r="D127" i="19" s="1"/>
  <c r="AN127" i="19"/>
  <c r="E127" i="19" s="1"/>
  <c r="AO127" i="19"/>
  <c r="F127" i="19" s="1"/>
  <c r="AP127" i="19"/>
  <c r="G127" i="19" s="1"/>
  <c r="AQ127" i="19"/>
  <c r="H127" i="19" s="1"/>
  <c r="AR127" i="19"/>
  <c r="I127" i="19" s="1"/>
  <c r="AS127" i="19"/>
  <c r="J127" i="19" s="1"/>
  <c r="AT127" i="19"/>
  <c r="K127" i="19" s="1"/>
  <c r="AU127" i="19"/>
  <c r="L127" i="19" s="1"/>
  <c r="AV127" i="19"/>
  <c r="M127" i="19" s="1"/>
  <c r="AW127" i="19"/>
  <c r="N127" i="19" s="1"/>
  <c r="AX127" i="19"/>
  <c r="O127" i="19" s="1"/>
  <c r="AY127" i="19"/>
  <c r="P127" i="19" s="1"/>
  <c r="AZ127" i="19"/>
  <c r="Q127" i="19" s="1"/>
  <c r="BA127" i="19"/>
  <c r="R127" i="19" s="1"/>
  <c r="BB127" i="19"/>
  <c r="S127" i="19" s="1"/>
  <c r="BC127" i="19"/>
  <c r="T127" i="19" s="1"/>
  <c r="BD127" i="19"/>
  <c r="U127" i="19" s="1"/>
  <c r="BE127" i="19"/>
  <c r="V127" i="19" s="1"/>
  <c r="BF127" i="19"/>
  <c r="W127" i="19" s="1"/>
  <c r="BG127" i="19"/>
  <c r="X127" i="19" s="1"/>
  <c r="BH127" i="19"/>
  <c r="Y127" i="19" s="1"/>
  <c r="BI127" i="19"/>
  <c r="Z127" i="19" s="1"/>
  <c r="BJ127" i="19"/>
  <c r="AA127" i="19" s="1"/>
  <c r="BK127" i="19"/>
  <c r="AB127" i="19" s="1"/>
  <c r="BL127" i="19"/>
  <c r="AC127" i="19" s="1"/>
  <c r="BM127" i="19"/>
  <c r="AD127" i="19" s="1"/>
  <c r="AG128" i="19"/>
  <c r="AH128" i="19"/>
  <c r="AJ128" i="19"/>
  <c r="A128" i="19" s="1"/>
  <c r="AK128" i="19"/>
  <c r="B128" i="19" s="1"/>
  <c r="AL128" i="19"/>
  <c r="C128" i="19" s="1"/>
  <c r="AM128" i="19"/>
  <c r="D128" i="19" s="1"/>
  <c r="AN128" i="19"/>
  <c r="E128" i="19" s="1"/>
  <c r="AO128" i="19"/>
  <c r="F128" i="19" s="1"/>
  <c r="AP128" i="19"/>
  <c r="G128" i="19" s="1"/>
  <c r="AQ128" i="19"/>
  <c r="H128" i="19" s="1"/>
  <c r="AR128" i="19"/>
  <c r="I128" i="19" s="1"/>
  <c r="AS128" i="19"/>
  <c r="J128" i="19" s="1"/>
  <c r="AT128" i="19"/>
  <c r="K128" i="19" s="1"/>
  <c r="AU128" i="19"/>
  <c r="L128" i="19" s="1"/>
  <c r="AV128" i="19"/>
  <c r="M128" i="19" s="1"/>
  <c r="AW128" i="19"/>
  <c r="N128" i="19" s="1"/>
  <c r="AX128" i="19"/>
  <c r="O128" i="19" s="1"/>
  <c r="AY128" i="19"/>
  <c r="P128" i="19" s="1"/>
  <c r="AZ128" i="19"/>
  <c r="Q128" i="19" s="1"/>
  <c r="BA128" i="19"/>
  <c r="R128" i="19" s="1"/>
  <c r="BB128" i="19"/>
  <c r="S128" i="19" s="1"/>
  <c r="BC128" i="19"/>
  <c r="T128" i="19" s="1"/>
  <c r="BD128" i="19"/>
  <c r="U128" i="19" s="1"/>
  <c r="BE128" i="19"/>
  <c r="V128" i="19" s="1"/>
  <c r="BF128" i="19"/>
  <c r="W128" i="19" s="1"/>
  <c r="BG128" i="19"/>
  <c r="X128" i="19" s="1"/>
  <c r="BH128" i="19"/>
  <c r="Y128" i="19" s="1"/>
  <c r="BI128" i="19"/>
  <c r="Z128" i="19" s="1"/>
  <c r="BJ128" i="19"/>
  <c r="AA128" i="19" s="1"/>
  <c r="BK128" i="19"/>
  <c r="AB128" i="19" s="1"/>
  <c r="BL128" i="19"/>
  <c r="AC128" i="19" s="1"/>
  <c r="BM128" i="19"/>
  <c r="AD128" i="19" s="1"/>
  <c r="AG129" i="19"/>
  <c r="AH129" i="19"/>
  <c r="AJ129" i="19"/>
  <c r="A129" i="19" s="1"/>
  <c r="AK129" i="19"/>
  <c r="B129" i="19" s="1"/>
  <c r="AL129" i="19"/>
  <c r="C129" i="19" s="1"/>
  <c r="AM129" i="19"/>
  <c r="D129" i="19" s="1"/>
  <c r="AN129" i="19"/>
  <c r="E129" i="19" s="1"/>
  <c r="AO129" i="19"/>
  <c r="F129" i="19" s="1"/>
  <c r="AP129" i="19"/>
  <c r="G129" i="19" s="1"/>
  <c r="AQ129" i="19"/>
  <c r="H129" i="19" s="1"/>
  <c r="AR129" i="19"/>
  <c r="I129" i="19" s="1"/>
  <c r="AS129" i="19"/>
  <c r="J129" i="19" s="1"/>
  <c r="AT129" i="19"/>
  <c r="K129" i="19" s="1"/>
  <c r="AU129" i="19"/>
  <c r="L129" i="19" s="1"/>
  <c r="AV129" i="19"/>
  <c r="M129" i="19" s="1"/>
  <c r="AW129" i="19"/>
  <c r="N129" i="19" s="1"/>
  <c r="AX129" i="19"/>
  <c r="O129" i="19" s="1"/>
  <c r="AY129" i="19"/>
  <c r="P129" i="19" s="1"/>
  <c r="AZ129" i="19"/>
  <c r="Q129" i="19" s="1"/>
  <c r="BA129" i="19"/>
  <c r="R129" i="19" s="1"/>
  <c r="BB129" i="19"/>
  <c r="S129" i="19" s="1"/>
  <c r="BC129" i="19"/>
  <c r="T129" i="19" s="1"/>
  <c r="BD129" i="19"/>
  <c r="U129" i="19" s="1"/>
  <c r="BE129" i="19"/>
  <c r="V129" i="19" s="1"/>
  <c r="BF129" i="19"/>
  <c r="W129" i="19" s="1"/>
  <c r="BG129" i="19"/>
  <c r="X129" i="19" s="1"/>
  <c r="BH129" i="19"/>
  <c r="Y129" i="19" s="1"/>
  <c r="BI129" i="19"/>
  <c r="Z129" i="19" s="1"/>
  <c r="BJ129" i="19"/>
  <c r="AA129" i="19" s="1"/>
  <c r="BK129" i="19"/>
  <c r="AB129" i="19" s="1"/>
  <c r="BL129" i="19"/>
  <c r="AC129" i="19" s="1"/>
  <c r="BM129" i="19"/>
  <c r="AD129" i="19" s="1"/>
  <c r="AG130" i="19"/>
  <c r="AH130" i="19"/>
  <c r="AJ130" i="19"/>
  <c r="A130" i="19" s="1"/>
  <c r="AK130" i="19"/>
  <c r="B130" i="19" s="1"/>
  <c r="AL130" i="19"/>
  <c r="C130" i="19" s="1"/>
  <c r="AM130" i="19"/>
  <c r="D130" i="19" s="1"/>
  <c r="AN130" i="19"/>
  <c r="E130" i="19" s="1"/>
  <c r="AO130" i="19"/>
  <c r="F130" i="19" s="1"/>
  <c r="AP130" i="19"/>
  <c r="G130" i="19" s="1"/>
  <c r="AQ130" i="19"/>
  <c r="H130" i="19" s="1"/>
  <c r="AR130" i="19"/>
  <c r="I130" i="19" s="1"/>
  <c r="AS130" i="19"/>
  <c r="J130" i="19" s="1"/>
  <c r="AT130" i="19"/>
  <c r="K130" i="19" s="1"/>
  <c r="AU130" i="19"/>
  <c r="L130" i="19" s="1"/>
  <c r="AV130" i="19"/>
  <c r="M130" i="19" s="1"/>
  <c r="AW130" i="19"/>
  <c r="N130" i="19" s="1"/>
  <c r="AX130" i="19"/>
  <c r="O130" i="19" s="1"/>
  <c r="AY130" i="19"/>
  <c r="P130" i="19" s="1"/>
  <c r="AZ130" i="19"/>
  <c r="Q130" i="19" s="1"/>
  <c r="BA130" i="19"/>
  <c r="R130" i="19" s="1"/>
  <c r="BB130" i="19"/>
  <c r="S130" i="19" s="1"/>
  <c r="BC130" i="19"/>
  <c r="T130" i="19" s="1"/>
  <c r="BD130" i="19"/>
  <c r="U130" i="19" s="1"/>
  <c r="BE130" i="19"/>
  <c r="V130" i="19" s="1"/>
  <c r="BF130" i="19"/>
  <c r="W130" i="19" s="1"/>
  <c r="BG130" i="19"/>
  <c r="X130" i="19" s="1"/>
  <c r="BH130" i="19"/>
  <c r="Y130" i="19" s="1"/>
  <c r="BI130" i="19"/>
  <c r="Z130" i="19" s="1"/>
  <c r="BJ130" i="19"/>
  <c r="AA130" i="19" s="1"/>
  <c r="BK130" i="19"/>
  <c r="AB130" i="19" s="1"/>
  <c r="BL130" i="19"/>
  <c r="AC130" i="19" s="1"/>
  <c r="BM130" i="19"/>
  <c r="AD130" i="19" s="1"/>
  <c r="AG131" i="19"/>
  <c r="AH131" i="19"/>
  <c r="AJ131" i="19"/>
  <c r="A131" i="19" s="1"/>
  <c r="AK131" i="19"/>
  <c r="B131" i="19" s="1"/>
  <c r="AL131" i="19"/>
  <c r="C131" i="19" s="1"/>
  <c r="AM131" i="19"/>
  <c r="D131" i="19" s="1"/>
  <c r="AN131" i="19"/>
  <c r="E131" i="19" s="1"/>
  <c r="AO131" i="19"/>
  <c r="F131" i="19" s="1"/>
  <c r="AP131" i="19"/>
  <c r="G131" i="19" s="1"/>
  <c r="AQ131" i="19"/>
  <c r="H131" i="19" s="1"/>
  <c r="AR131" i="19"/>
  <c r="I131" i="19" s="1"/>
  <c r="AS131" i="19"/>
  <c r="J131" i="19" s="1"/>
  <c r="AT131" i="19"/>
  <c r="K131" i="19" s="1"/>
  <c r="AU131" i="19"/>
  <c r="L131" i="19" s="1"/>
  <c r="AV131" i="19"/>
  <c r="M131" i="19" s="1"/>
  <c r="AW131" i="19"/>
  <c r="N131" i="19" s="1"/>
  <c r="AX131" i="19"/>
  <c r="O131" i="19" s="1"/>
  <c r="AY131" i="19"/>
  <c r="P131" i="19" s="1"/>
  <c r="AZ131" i="19"/>
  <c r="Q131" i="19" s="1"/>
  <c r="BA131" i="19"/>
  <c r="R131" i="19" s="1"/>
  <c r="BB131" i="19"/>
  <c r="S131" i="19" s="1"/>
  <c r="BC131" i="19"/>
  <c r="T131" i="19" s="1"/>
  <c r="BD131" i="19"/>
  <c r="U131" i="19" s="1"/>
  <c r="BE131" i="19"/>
  <c r="V131" i="19" s="1"/>
  <c r="BF131" i="19"/>
  <c r="W131" i="19" s="1"/>
  <c r="BG131" i="19"/>
  <c r="X131" i="19" s="1"/>
  <c r="BH131" i="19"/>
  <c r="Y131" i="19" s="1"/>
  <c r="BI131" i="19"/>
  <c r="Z131" i="19" s="1"/>
  <c r="BJ131" i="19"/>
  <c r="AA131" i="19" s="1"/>
  <c r="BK131" i="19"/>
  <c r="AB131" i="19" s="1"/>
  <c r="BL131" i="19"/>
  <c r="AC131" i="19" s="1"/>
  <c r="BM131" i="19"/>
  <c r="AD131" i="19" s="1"/>
  <c r="AG132" i="19"/>
  <c r="AH132" i="19"/>
  <c r="AJ132" i="19"/>
  <c r="A132" i="19" s="1"/>
  <c r="AK132" i="19"/>
  <c r="B132" i="19" s="1"/>
  <c r="AL132" i="19"/>
  <c r="C132" i="19" s="1"/>
  <c r="AM132" i="19"/>
  <c r="D132" i="19" s="1"/>
  <c r="AN132" i="19"/>
  <c r="E132" i="19" s="1"/>
  <c r="AO132" i="19"/>
  <c r="F132" i="19" s="1"/>
  <c r="AP132" i="19"/>
  <c r="G132" i="19" s="1"/>
  <c r="AQ132" i="19"/>
  <c r="H132" i="19" s="1"/>
  <c r="AR132" i="19"/>
  <c r="I132" i="19" s="1"/>
  <c r="AS132" i="19"/>
  <c r="J132" i="19" s="1"/>
  <c r="AT132" i="19"/>
  <c r="K132" i="19" s="1"/>
  <c r="AU132" i="19"/>
  <c r="L132" i="19" s="1"/>
  <c r="AV132" i="19"/>
  <c r="M132" i="19" s="1"/>
  <c r="AW132" i="19"/>
  <c r="N132" i="19" s="1"/>
  <c r="AX132" i="19"/>
  <c r="O132" i="19" s="1"/>
  <c r="AY132" i="19"/>
  <c r="P132" i="19" s="1"/>
  <c r="AZ132" i="19"/>
  <c r="Q132" i="19" s="1"/>
  <c r="BA132" i="19"/>
  <c r="R132" i="19" s="1"/>
  <c r="BB132" i="19"/>
  <c r="S132" i="19" s="1"/>
  <c r="BC132" i="19"/>
  <c r="T132" i="19" s="1"/>
  <c r="BD132" i="19"/>
  <c r="U132" i="19" s="1"/>
  <c r="BE132" i="19"/>
  <c r="V132" i="19" s="1"/>
  <c r="BF132" i="19"/>
  <c r="W132" i="19" s="1"/>
  <c r="BG132" i="19"/>
  <c r="X132" i="19" s="1"/>
  <c r="BH132" i="19"/>
  <c r="Y132" i="19" s="1"/>
  <c r="BI132" i="19"/>
  <c r="Z132" i="19" s="1"/>
  <c r="BJ132" i="19"/>
  <c r="AA132" i="19" s="1"/>
  <c r="BK132" i="19"/>
  <c r="AB132" i="19" s="1"/>
  <c r="BL132" i="19"/>
  <c r="AC132" i="19" s="1"/>
  <c r="BM132" i="19"/>
  <c r="AD132" i="19" s="1"/>
  <c r="AG133" i="19"/>
  <c r="AH133" i="19"/>
  <c r="AJ133" i="19"/>
  <c r="A133" i="19" s="1"/>
  <c r="AK133" i="19"/>
  <c r="B133" i="19" s="1"/>
  <c r="AL133" i="19"/>
  <c r="C133" i="19" s="1"/>
  <c r="AM133" i="19"/>
  <c r="D133" i="19" s="1"/>
  <c r="AN133" i="19"/>
  <c r="E133" i="19" s="1"/>
  <c r="AO133" i="19"/>
  <c r="F133" i="19" s="1"/>
  <c r="AP133" i="19"/>
  <c r="G133" i="19" s="1"/>
  <c r="AQ133" i="19"/>
  <c r="H133" i="19" s="1"/>
  <c r="AR133" i="19"/>
  <c r="I133" i="19" s="1"/>
  <c r="AS133" i="19"/>
  <c r="J133" i="19" s="1"/>
  <c r="AT133" i="19"/>
  <c r="K133" i="19" s="1"/>
  <c r="AU133" i="19"/>
  <c r="L133" i="19" s="1"/>
  <c r="AV133" i="19"/>
  <c r="M133" i="19" s="1"/>
  <c r="AW133" i="19"/>
  <c r="N133" i="19" s="1"/>
  <c r="AX133" i="19"/>
  <c r="O133" i="19" s="1"/>
  <c r="AY133" i="19"/>
  <c r="P133" i="19" s="1"/>
  <c r="AZ133" i="19"/>
  <c r="Q133" i="19" s="1"/>
  <c r="BA133" i="19"/>
  <c r="R133" i="19" s="1"/>
  <c r="BB133" i="19"/>
  <c r="S133" i="19" s="1"/>
  <c r="BC133" i="19"/>
  <c r="T133" i="19" s="1"/>
  <c r="BD133" i="19"/>
  <c r="U133" i="19" s="1"/>
  <c r="BE133" i="19"/>
  <c r="V133" i="19" s="1"/>
  <c r="BF133" i="19"/>
  <c r="W133" i="19" s="1"/>
  <c r="BG133" i="19"/>
  <c r="X133" i="19" s="1"/>
  <c r="BH133" i="19"/>
  <c r="Y133" i="19" s="1"/>
  <c r="BI133" i="19"/>
  <c r="Z133" i="19" s="1"/>
  <c r="BJ133" i="19"/>
  <c r="AA133" i="19" s="1"/>
  <c r="BK133" i="19"/>
  <c r="AB133" i="19" s="1"/>
  <c r="BL133" i="19"/>
  <c r="AC133" i="19" s="1"/>
  <c r="BM133" i="19"/>
  <c r="AD133" i="19" s="1"/>
  <c r="AG134" i="19"/>
  <c r="AH134" i="19"/>
  <c r="AJ134" i="19"/>
  <c r="A134" i="19" s="1"/>
  <c r="AK134" i="19"/>
  <c r="B134" i="19" s="1"/>
  <c r="AL134" i="19"/>
  <c r="C134" i="19" s="1"/>
  <c r="AM134" i="19"/>
  <c r="D134" i="19" s="1"/>
  <c r="AN134" i="19"/>
  <c r="E134" i="19" s="1"/>
  <c r="AO134" i="19"/>
  <c r="F134" i="19" s="1"/>
  <c r="AP134" i="19"/>
  <c r="G134" i="19" s="1"/>
  <c r="AQ134" i="19"/>
  <c r="H134" i="19" s="1"/>
  <c r="AR134" i="19"/>
  <c r="I134" i="19" s="1"/>
  <c r="AS134" i="19"/>
  <c r="J134" i="19" s="1"/>
  <c r="AT134" i="19"/>
  <c r="K134" i="19" s="1"/>
  <c r="AU134" i="19"/>
  <c r="L134" i="19" s="1"/>
  <c r="AV134" i="19"/>
  <c r="M134" i="19" s="1"/>
  <c r="AW134" i="19"/>
  <c r="N134" i="19" s="1"/>
  <c r="AX134" i="19"/>
  <c r="O134" i="19" s="1"/>
  <c r="AY134" i="19"/>
  <c r="P134" i="19" s="1"/>
  <c r="AZ134" i="19"/>
  <c r="Q134" i="19" s="1"/>
  <c r="BA134" i="19"/>
  <c r="R134" i="19" s="1"/>
  <c r="BB134" i="19"/>
  <c r="S134" i="19" s="1"/>
  <c r="BC134" i="19"/>
  <c r="T134" i="19" s="1"/>
  <c r="BD134" i="19"/>
  <c r="U134" i="19" s="1"/>
  <c r="BE134" i="19"/>
  <c r="V134" i="19" s="1"/>
  <c r="BF134" i="19"/>
  <c r="W134" i="19" s="1"/>
  <c r="BG134" i="19"/>
  <c r="X134" i="19" s="1"/>
  <c r="BH134" i="19"/>
  <c r="Y134" i="19" s="1"/>
  <c r="BI134" i="19"/>
  <c r="Z134" i="19" s="1"/>
  <c r="BJ134" i="19"/>
  <c r="AA134" i="19" s="1"/>
  <c r="BK134" i="19"/>
  <c r="AB134" i="19" s="1"/>
  <c r="BL134" i="19"/>
  <c r="AC134" i="19" s="1"/>
  <c r="BM134" i="19"/>
  <c r="AD134" i="19" s="1"/>
  <c r="AG135" i="19"/>
  <c r="AH135" i="19"/>
  <c r="AJ135" i="19"/>
  <c r="A135" i="19" s="1"/>
  <c r="AK135" i="19"/>
  <c r="B135" i="19" s="1"/>
  <c r="AL135" i="19"/>
  <c r="C135" i="19" s="1"/>
  <c r="AM135" i="19"/>
  <c r="D135" i="19" s="1"/>
  <c r="AN135" i="19"/>
  <c r="E135" i="19" s="1"/>
  <c r="AO135" i="19"/>
  <c r="F135" i="19" s="1"/>
  <c r="AP135" i="19"/>
  <c r="G135" i="19" s="1"/>
  <c r="AQ135" i="19"/>
  <c r="H135" i="19" s="1"/>
  <c r="AR135" i="19"/>
  <c r="I135" i="19" s="1"/>
  <c r="AS135" i="19"/>
  <c r="J135" i="19" s="1"/>
  <c r="AT135" i="19"/>
  <c r="K135" i="19" s="1"/>
  <c r="AU135" i="19"/>
  <c r="L135" i="19" s="1"/>
  <c r="AV135" i="19"/>
  <c r="M135" i="19" s="1"/>
  <c r="AW135" i="19"/>
  <c r="N135" i="19" s="1"/>
  <c r="AX135" i="19"/>
  <c r="O135" i="19" s="1"/>
  <c r="AY135" i="19"/>
  <c r="P135" i="19" s="1"/>
  <c r="AZ135" i="19"/>
  <c r="Q135" i="19" s="1"/>
  <c r="BA135" i="19"/>
  <c r="R135" i="19" s="1"/>
  <c r="BB135" i="19"/>
  <c r="S135" i="19" s="1"/>
  <c r="BC135" i="19"/>
  <c r="T135" i="19" s="1"/>
  <c r="BD135" i="19"/>
  <c r="U135" i="19" s="1"/>
  <c r="BE135" i="19"/>
  <c r="V135" i="19" s="1"/>
  <c r="BF135" i="19"/>
  <c r="W135" i="19" s="1"/>
  <c r="BG135" i="19"/>
  <c r="X135" i="19" s="1"/>
  <c r="BH135" i="19"/>
  <c r="Y135" i="19" s="1"/>
  <c r="BI135" i="19"/>
  <c r="Z135" i="19" s="1"/>
  <c r="BJ135" i="19"/>
  <c r="AA135" i="19" s="1"/>
  <c r="BK135" i="19"/>
  <c r="AB135" i="19" s="1"/>
  <c r="BL135" i="19"/>
  <c r="AC135" i="19" s="1"/>
  <c r="BM135" i="19"/>
  <c r="AD135" i="19" s="1"/>
  <c r="AG136" i="19"/>
  <c r="AH136" i="19"/>
  <c r="AJ136" i="19"/>
  <c r="A136" i="19" s="1"/>
  <c r="AK136" i="19"/>
  <c r="B136" i="19" s="1"/>
  <c r="AL136" i="19"/>
  <c r="C136" i="19" s="1"/>
  <c r="AM136" i="19"/>
  <c r="D136" i="19" s="1"/>
  <c r="AN136" i="19"/>
  <c r="E136" i="19" s="1"/>
  <c r="AO136" i="19"/>
  <c r="F136" i="19" s="1"/>
  <c r="AP136" i="19"/>
  <c r="G136" i="19" s="1"/>
  <c r="AQ136" i="19"/>
  <c r="H136" i="19" s="1"/>
  <c r="AR136" i="19"/>
  <c r="I136" i="19" s="1"/>
  <c r="AS136" i="19"/>
  <c r="J136" i="19" s="1"/>
  <c r="AT136" i="19"/>
  <c r="K136" i="19" s="1"/>
  <c r="AU136" i="19"/>
  <c r="L136" i="19" s="1"/>
  <c r="AV136" i="19"/>
  <c r="M136" i="19" s="1"/>
  <c r="AW136" i="19"/>
  <c r="N136" i="19" s="1"/>
  <c r="AX136" i="19"/>
  <c r="O136" i="19" s="1"/>
  <c r="AY136" i="19"/>
  <c r="P136" i="19" s="1"/>
  <c r="AZ136" i="19"/>
  <c r="Q136" i="19" s="1"/>
  <c r="BA136" i="19"/>
  <c r="R136" i="19" s="1"/>
  <c r="BB136" i="19"/>
  <c r="S136" i="19" s="1"/>
  <c r="BC136" i="19"/>
  <c r="T136" i="19" s="1"/>
  <c r="BD136" i="19"/>
  <c r="U136" i="19" s="1"/>
  <c r="BE136" i="19"/>
  <c r="V136" i="19" s="1"/>
  <c r="BF136" i="19"/>
  <c r="W136" i="19" s="1"/>
  <c r="BG136" i="19"/>
  <c r="X136" i="19" s="1"/>
  <c r="BH136" i="19"/>
  <c r="Y136" i="19" s="1"/>
  <c r="BI136" i="19"/>
  <c r="Z136" i="19" s="1"/>
  <c r="BJ136" i="19"/>
  <c r="AA136" i="19" s="1"/>
  <c r="BK136" i="19"/>
  <c r="AB136" i="19" s="1"/>
  <c r="BL136" i="19"/>
  <c r="AC136" i="19" s="1"/>
  <c r="BM136" i="19"/>
  <c r="AD136" i="19" s="1"/>
  <c r="AG137" i="19"/>
  <c r="AH137" i="19"/>
  <c r="AJ137" i="19"/>
  <c r="A137" i="19" s="1"/>
  <c r="AK137" i="19"/>
  <c r="B137" i="19" s="1"/>
  <c r="AL137" i="19"/>
  <c r="C137" i="19" s="1"/>
  <c r="AM137" i="19"/>
  <c r="D137" i="19" s="1"/>
  <c r="AN137" i="19"/>
  <c r="E137" i="19" s="1"/>
  <c r="AO137" i="19"/>
  <c r="F137" i="19" s="1"/>
  <c r="AP137" i="19"/>
  <c r="G137" i="19" s="1"/>
  <c r="AQ137" i="19"/>
  <c r="H137" i="19" s="1"/>
  <c r="AR137" i="19"/>
  <c r="I137" i="19" s="1"/>
  <c r="AS137" i="19"/>
  <c r="J137" i="19" s="1"/>
  <c r="AT137" i="19"/>
  <c r="K137" i="19" s="1"/>
  <c r="AU137" i="19"/>
  <c r="L137" i="19" s="1"/>
  <c r="AV137" i="19"/>
  <c r="M137" i="19" s="1"/>
  <c r="AW137" i="19"/>
  <c r="N137" i="19" s="1"/>
  <c r="AX137" i="19"/>
  <c r="O137" i="19" s="1"/>
  <c r="AY137" i="19"/>
  <c r="P137" i="19" s="1"/>
  <c r="AZ137" i="19"/>
  <c r="Q137" i="19" s="1"/>
  <c r="BA137" i="19"/>
  <c r="R137" i="19" s="1"/>
  <c r="BB137" i="19"/>
  <c r="S137" i="19" s="1"/>
  <c r="BC137" i="19"/>
  <c r="T137" i="19" s="1"/>
  <c r="BD137" i="19"/>
  <c r="U137" i="19" s="1"/>
  <c r="BE137" i="19"/>
  <c r="V137" i="19" s="1"/>
  <c r="BF137" i="19"/>
  <c r="W137" i="19" s="1"/>
  <c r="BG137" i="19"/>
  <c r="X137" i="19" s="1"/>
  <c r="BH137" i="19"/>
  <c r="Y137" i="19" s="1"/>
  <c r="BI137" i="19"/>
  <c r="Z137" i="19" s="1"/>
  <c r="BJ137" i="19"/>
  <c r="AA137" i="19" s="1"/>
  <c r="BK137" i="19"/>
  <c r="AB137" i="19" s="1"/>
  <c r="BL137" i="19"/>
  <c r="AC137" i="19" s="1"/>
  <c r="BM137" i="19"/>
  <c r="AD137" i="19" s="1"/>
  <c r="AG138" i="19"/>
  <c r="AH138" i="19"/>
  <c r="AJ138" i="19"/>
  <c r="A138" i="19" s="1"/>
  <c r="AK138" i="19"/>
  <c r="B138" i="19" s="1"/>
  <c r="AL138" i="19"/>
  <c r="C138" i="19" s="1"/>
  <c r="AM138" i="19"/>
  <c r="D138" i="19" s="1"/>
  <c r="AN138" i="19"/>
  <c r="E138" i="19" s="1"/>
  <c r="AO138" i="19"/>
  <c r="F138" i="19" s="1"/>
  <c r="AP138" i="19"/>
  <c r="G138" i="19" s="1"/>
  <c r="AQ138" i="19"/>
  <c r="H138" i="19" s="1"/>
  <c r="AR138" i="19"/>
  <c r="I138" i="19" s="1"/>
  <c r="AS138" i="19"/>
  <c r="J138" i="19" s="1"/>
  <c r="AT138" i="19"/>
  <c r="K138" i="19" s="1"/>
  <c r="AU138" i="19"/>
  <c r="L138" i="19" s="1"/>
  <c r="AV138" i="19"/>
  <c r="M138" i="19" s="1"/>
  <c r="AW138" i="19"/>
  <c r="N138" i="19" s="1"/>
  <c r="AX138" i="19"/>
  <c r="O138" i="19" s="1"/>
  <c r="AY138" i="19"/>
  <c r="P138" i="19" s="1"/>
  <c r="AZ138" i="19"/>
  <c r="Q138" i="19" s="1"/>
  <c r="BA138" i="19"/>
  <c r="R138" i="19" s="1"/>
  <c r="BB138" i="19"/>
  <c r="S138" i="19" s="1"/>
  <c r="BC138" i="19"/>
  <c r="T138" i="19" s="1"/>
  <c r="BD138" i="19"/>
  <c r="U138" i="19" s="1"/>
  <c r="BE138" i="19"/>
  <c r="V138" i="19" s="1"/>
  <c r="BF138" i="19"/>
  <c r="W138" i="19" s="1"/>
  <c r="BG138" i="19"/>
  <c r="X138" i="19" s="1"/>
  <c r="BH138" i="19"/>
  <c r="Y138" i="19" s="1"/>
  <c r="BI138" i="19"/>
  <c r="Z138" i="19" s="1"/>
  <c r="BJ138" i="19"/>
  <c r="AA138" i="19" s="1"/>
  <c r="BK138" i="19"/>
  <c r="AB138" i="19" s="1"/>
  <c r="BL138" i="19"/>
  <c r="AC138" i="19" s="1"/>
  <c r="BM138" i="19"/>
  <c r="AD138" i="19" s="1"/>
  <c r="AG139" i="19"/>
  <c r="AH139" i="19"/>
  <c r="AJ139" i="19"/>
  <c r="A139" i="19" s="1"/>
  <c r="AK139" i="19"/>
  <c r="B139" i="19" s="1"/>
  <c r="AL139" i="19"/>
  <c r="C139" i="19" s="1"/>
  <c r="AM139" i="19"/>
  <c r="D139" i="19" s="1"/>
  <c r="AN139" i="19"/>
  <c r="E139" i="19" s="1"/>
  <c r="AO139" i="19"/>
  <c r="F139" i="19" s="1"/>
  <c r="AP139" i="19"/>
  <c r="G139" i="19" s="1"/>
  <c r="AQ139" i="19"/>
  <c r="H139" i="19" s="1"/>
  <c r="AR139" i="19"/>
  <c r="I139" i="19" s="1"/>
  <c r="AS139" i="19"/>
  <c r="J139" i="19" s="1"/>
  <c r="AT139" i="19"/>
  <c r="K139" i="19" s="1"/>
  <c r="AU139" i="19"/>
  <c r="L139" i="19" s="1"/>
  <c r="AV139" i="19"/>
  <c r="M139" i="19" s="1"/>
  <c r="AW139" i="19"/>
  <c r="N139" i="19" s="1"/>
  <c r="AX139" i="19"/>
  <c r="O139" i="19" s="1"/>
  <c r="AY139" i="19"/>
  <c r="P139" i="19" s="1"/>
  <c r="AZ139" i="19"/>
  <c r="Q139" i="19" s="1"/>
  <c r="BA139" i="19"/>
  <c r="R139" i="19" s="1"/>
  <c r="BB139" i="19"/>
  <c r="S139" i="19" s="1"/>
  <c r="BC139" i="19"/>
  <c r="T139" i="19" s="1"/>
  <c r="BD139" i="19"/>
  <c r="U139" i="19" s="1"/>
  <c r="BE139" i="19"/>
  <c r="V139" i="19" s="1"/>
  <c r="BF139" i="19"/>
  <c r="W139" i="19" s="1"/>
  <c r="BG139" i="19"/>
  <c r="X139" i="19" s="1"/>
  <c r="BH139" i="19"/>
  <c r="Y139" i="19" s="1"/>
  <c r="BI139" i="19"/>
  <c r="Z139" i="19" s="1"/>
  <c r="BJ139" i="19"/>
  <c r="AA139" i="19" s="1"/>
  <c r="BK139" i="19"/>
  <c r="AB139" i="19" s="1"/>
  <c r="BL139" i="19"/>
  <c r="AC139" i="19" s="1"/>
  <c r="BM139" i="19"/>
  <c r="AD139" i="19" s="1"/>
  <c r="AG140" i="19"/>
  <c r="AH140" i="19"/>
  <c r="AJ140" i="19"/>
  <c r="A140" i="19" s="1"/>
  <c r="AK140" i="19"/>
  <c r="B140" i="19" s="1"/>
  <c r="AL140" i="19"/>
  <c r="C140" i="19" s="1"/>
  <c r="AM140" i="19"/>
  <c r="D140" i="19" s="1"/>
  <c r="AN140" i="19"/>
  <c r="E140" i="19" s="1"/>
  <c r="AO140" i="19"/>
  <c r="F140" i="19" s="1"/>
  <c r="AP140" i="19"/>
  <c r="G140" i="19" s="1"/>
  <c r="AQ140" i="19"/>
  <c r="H140" i="19" s="1"/>
  <c r="AR140" i="19"/>
  <c r="I140" i="19" s="1"/>
  <c r="AS140" i="19"/>
  <c r="J140" i="19" s="1"/>
  <c r="AT140" i="19"/>
  <c r="K140" i="19" s="1"/>
  <c r="AU140" i="19"/>
  <c r="L140" i="19" s="1"/>
  <c r="AV140" i="19"/>
  <c r="M140" i="19" s="1"/>
  <c r="AW140" i="19"/>
  <c r="N140" i="19" s="1"/>
  <c r="AX140" i="19"/>
  <c r="O140" i="19" s="1"/>
  <c r="AY140" i="19"/>
  <c r="P140" i="19" s="1"/>
  <c r="AZ140" i="19"/>
  <c r="Q140" i="19" s="1"/>
  <c r="BA140" i="19"/>
  <c r="R140" i="19" s="1"/>
  <c r="BB140" i="19"/>
  <c r="S140" i="19" s="1"/>
  <c r="BC140" i="19"/>
  <c r="T140" i="19" s="1"/>
  <c r="BD140" i="19"/>
  <c r="U140" i="19" s="1"/>
  <c r="BE140" i="19"/>
  <c r="V140" i="19" s="1"/>
  <c r="BF140" i="19"/>
  <c r="W140" i="19" s="1"/>
  <c r="BG140" i="19"/>
  <c r="X140" i="19" s="1"/>
  <c r="BH140" i="19"/>
  <c r="Y140" i="19" s="1"/>
  <c r="BI140" i="19"/>
  <c r="Z140" i="19" s="1"/>
  <c r="BJ140" i="19"/>
  <c r="AA140" i="19" s="1"/>
  <c r="BK140" i="19"/>
  <c r="AB140" i="19" s="1"/>
  <c r="BL140" i="19"/>
  <c r="AC140" i="19" s="1"/>
  <c r="BM140" i="19"/>
  <c r="AD140" i="19" s="1"/>
  <c r="AG141" i="19"/>
  <c r="AH141" i="19"/>
  <c r="AJ141" i="19"/>
  <c r="A141" i="19" s="1"/>
  <c r="AK141" i="19"/>
  <c r="B141" i="19" s="1"/>
  <c r="AL141" i="19"/>
  <c r="C141" i="19" s="1"/>
  <c r="AM141" i="19"/>
  <c r="D141" i="19" s="1"/>
  <c r="AN141" i="19"/>
  <c r="E141" i="19" s="1"/>
  <c r="AO141" i="19"/>
  <c r="F141" i="19" s="1"/>
  <c r="AP141" i="19"/>
  <c r="G141" i="19" s="1"/>
  <c r="AQ141" i="19"/>
  <c r="H141" i="19" s="1"/>
  <c r="AR141" i="19"/>
  <c r="I141" i="19" s="1"/>
  <c r="AS141" i="19"/>
  <c r="J141" i="19" s="1"/>
  <c r="AT141" i="19"/>
  <c r="K141" i="19" s="1"/>
  <c r="AU141" i="19"/>
  <c r="L141" i="19" s="1"/>
  <c r="AV141" i="19"/>
  <c r="M141" i="19" s="1"/>
  <c r="AW141" i="19"/>
  <c r="N141" i="19" s="1"/>
  <c r="AX141" i="19"/>
  <c r="O141" i="19" s="1"/>
  <c r="AY141" i="19"/>
  <c r="P141" i="19" s="1"/>
  <c r="AZ141" i="19"/>
  <c r="Q141" i="19" s="1"/>
  <c r="BA141" i="19"/>
  <c r="R141" i="19" s="1"/>
  <c r="BB141" i="19"/>
  <c r="S141" i="19" s="1"/>
  <c r="BC141" i="19"/>
  <c r="T141" i="19" s="1"/>
  <c r="BD141" i="19"/>
  <c r="U141" i="19" s="1"/>
  <c r="BE141" i="19"/>
  <c r="V141" i="19" s="1"/>
  <c r="BF141" i="19"/>
  <c r="W141" i="19" s="1"/>
  <c r="BG141" i="19"/>
  <c r="X141" i="19" s="1"/>
  <c r="BH141" i="19"/>
  <c r="Y141" i="19" s="1"/>
  <c r="BI141" i="19"/>
  <c r="Z141" i="19" s="1"/>
  <c r="BJ141" i="19"/>
  <c r="AA141" i="19" s="1"/>
  <c r="BK141" i="19"/>
  <c r="AB141" i="19" s="1"/>
  <c r="BL141" i="19"/>
  <c r="AC141" i="19" s="1"/>
  <c r="BM141" i="19"/>
  <c r="AD141" i="19" s="1"/>
  <c r="AG142" i="19"/>
  <c r="AH142" i="19"/>
  <c r="AJ142" i="19"/>
  <c r="A142" i="19" s="1"/>
  <c r="AK142" i="19"/>
  <c r="B142" i="19" s="1"/>
  <c r="AL142" i="19"/>
  <c r="C142" i="19" s="1"/>
  <c r="AM142" i="19"/>
  <c r="D142" i="19" s="1"/>
  <c r="AN142" i="19"/>
  <c r="E142" i="19" s="1"/>
  <c r="AO142" i="19"/>
  <c r="F142" i="19" s="1"/>
  <c r="AP142" i="19"/>
  <c r="G142" i="19" s="1"/>
  <c r="AQ142" i="19"/>
  <c r="H142" i="19" s="1"/>
  <c r="AR142" i="19"/>
  <c r="I142" i="19" s="1"/>
  <c r="AS142" i="19"/>
  <c r="J142" i="19" s="1"/>
  <c r="AT142" i="19"/>
  <c r="K142" i="19" s="1"/>
  <c r="AU142" i="19"/>
  <c r="L142" i="19" s="1"/>
  <c r="AV142" i="19"/>
  <c r="M142" i="19" s="1"/>
  <c r="AW142" i="19"/>
  <c r="N142" i="19" s="1"/>
  <c r="AX142" i="19"/>
  <c r="O142" i="19" s="1"/>
  <c r="AY142" i="19"/>
  <c r="P142" i="19" s="1"/>
  <c r="AZ142" i="19"/>
  <c r="Q142" i="19" s="1"/>
  <c r="BA142" i="19"/>
  <c r="R142" i="19" s="1"/>
  <c r="BB142" i="19"/>
  <c r="S142" i="19" s="1"/>
  <c r="BC142" i="19"/>
  <c r="T142" i="19" s="1"/>
  <c r="BD142" i="19"/>
  <c r="U142" i="19" s="1"/>
  <c r="BE142" i="19"/>
  <c r="V142" i="19" s="1"/>
  <c r="BF142" i="19"/>
  <c r="W142" i="19" s="1"/>
  <c r="BG142" i="19"/>
  <c r="X142" i="19" s="1"/>
  <c r="BH142" i="19"/>
  <c r="Y142" i="19" s="1"/>
  <c r="BI142" i="19"/>
  <c r="Z142" i="19" s="1"/>
  <c r="BJ142" i="19"/>
  <c r="AA142" i="19" s="1"/>
  <c r="BK142" i="19"/>
  <c r="AB142" i="19" s="1"/>
  <c r="BL142" i="19"/>
  <c r="AC142" i="19" s="1"/>
  <c r="BM142" i="19"/>
  <c r="AD142" i="19" s="1"/>
  <c r="AG143" i="19"/>
  <c r="AH143" i="19"/>
  <c r="AJ143" i="19"/>
  <c r="A143" i="19" s="1"/>
  <c r="AK143" i="19"/>
  <c r="B143" i="19" s="1"/>
  <c r="AL143" i="19"/>
  <c r="C143" i="19" s="1"/>
  <c r="AM143" i="19"/>
  <c r="D143" i="19" s="1"/>
  <c r="AN143" i="19"/>
  <c r="E143" i="19" s="1"/>
  <c r="AO143" i="19"/>
  <c r="F143" i="19" s="1"/>
  <c r="AP143" i="19"/>
  <c r="G143" i="19" s="1"/>
  <c r="AQ143" i="19"/>
  <c r="H143" i="19" s="1"/>
  <c r="AR143" i="19"/>
  <c r="I143" i="19" s="1"/>
  <c r="AS143" i="19"/>
  <c r="J143" i="19" s="1"/>
  <c r="AT143" i="19"/>
  <c r="K143" i="19" s="1"/>
  <c r="AU143" i="19"/>
  <c r="L143" i="19" s="1"/>
  <c r="AV143" i="19"/>
  <c r="M143" i="19" s="1"/>
  <c r="AW143" i="19"/>
  <c r="N143" i="19" s="1"/>
  <c r="AX143" i="19"/>
  <c r="O143" i="19" s="1"/>
  <c r="AY143" i="19"/>
  <c r="P143" i="19" s="1"/>
  <c r="AZ143" i="19"/>
  <c r="Q143" i="19" s="1"/>
  <c r="BA143" i="19"/>
  <c r="R143" i="19" s="1"/>
  <c r="BB143" i="19"/>
  <c r="S143" i="19" s="1"/>
  <c r="BC143" i="19"/>
  <c r="T143" i="19" s="1"/>
  <c r="BD143" i="19"/>
  <c r="U143" i="19" s="1"/>
  <c r="BE143" i="19"/>
  <c r="V143" i="19" s="1"/>
  <c r="BF143" i="19"/>
  <c r="W143" i="19" s="1"/>
  <c r="BG143" i="19"/>
  <c r="X143" i="19" s="1"/>
  <c r="BH143" i="19"/>
  <c r="Y143" i="19" s="1"/>
  <c r="BI143" i="19"/>
  <c r="Z143" i="19" s="1"/>
  <c r="BJ143" i="19"/>
  <c r="AA143" i="19" s="1"/>
  <c r="BK143" i="19"/>
  <c r="AB143" i="19" s="1"/>
  <c r="BL143" i="19"/>
  <c r="AC143" i="19" s="1"/>
  <c r="BM143" i="19"/>
  <c r="AD143" i="19" s="1"/>
  <c r="AG144" i="19"/>
  <c r="AH144" i="19"/>
  <c r="AJ144" i="19"/>
  <c r="A144" i="19" s="1"/>
  <c r="AK144" i="19"/>
  <c r="B144" i="19" s="1"/>
  <c r="AL144" i="19"/>
  <c r="C144" i="19" s="1"/>
  <c r="AM144" i="19"/>
  <c r="D144" i="19" s="1"/>
  <c r="AN144" i="19"/>
  <c r="E144" i="19" s="1"/>
  <c r="AO144" i="19"/>
  <c r="F144" i="19" s="1"/>
  <c r="AP144" i="19"/>
  <c r="G144" i="19" s="1"/>
  <c r="AQ144" i="19"/>
  <c r="H144" i="19" s="1"/>
  <c r="AR144" i="19"/>
  <c r="I144" i="19" s="1"/>
  <c r="AS144" i="19"/>
  <c r="J144" i="19" s="1"/>
  <c r="AT144" i="19"/>
  <c r="K144" i="19" s="1"/>
  <c r="AU144" i="19"/>
  <c r="L144" i="19" s="1"/>
  <c r="AV144" i="19"/>
  <c r="M144" i="19" s="1"/>
  <c r="AW144" i="19"/>
  <c r="N144" i="19" s="1"/>
  <c r="AX144" i="19"/>
  <c r="O144" i="19" s="1"/>
  <c r="AY144" i="19"/>
  <c r="P144" i="19" s="1"/>
  <c r="AZ144" i="19"/>
  <c r="Q144" i="19" s="1"/>
  <c r="BA144" i="19"/>
  <c r="R144" i="19" s="1"/>
  <c r="BB144" i="19"/>
  <c r="S144" i="19" s="1"/>
  <c r="BC144" i="19"/>
  <c r="T144" i="19" s="1"/>
  <c r="BD144" i="19"/>
  <c r="U144" i="19" s="1"/>
  <c r="BE144" i="19"/>
  <c r="V144" i="19" s="1"/>
  <c r="BF144" i="19"/>
  <c r="W144" i="19" s="1"/>
  <c r="BG144" i="19"/>
  <c r="X144" i="19" s="1"/>
  <c r="BH144" i="19"/>
  <c r="Y144" i="19" s="1"/>
  <c r="BI144" i="19"/>
  <c r="Z144" i="19" s="1"/>
  <c r="BJ144" i="19"/>
  <c r="AA144" i="19" s="1"/>
  <c r="BK144" i="19"/>
  <c r="AB144" i="19" s="1"/>
  <c r="BL144" i="19"/>
  <c r="AC144" i="19" s="1"/>
  <c r="BM144" i="19"/>
  <c r="AD144" i="19" s="1"/>
  <c r="AG145" i="19"/>
  <c r="AH145" i="19"/>
  <c r="AJ145" i="19"/>
  <c r="A145" i="19" s="1"/>
  <c r="AK145" i="19"/>
  <c r="B145" i="19" s="1"/>
  <c r="AL145" i="19"/>
  <c r="C145" i="19" s="1"/>
  <c r="AM145" i="19"/>
  <c r="D145" i="19" s="1"/>
  <c r="AN145" i="19"/>
  <c r="E145" i="19" s="1"/>
  <c r="AO145" i="19"/>
  <c r="F145" i="19" s="1"/>
  <c r="AP145" i="19"/>
  <c r="G145" i="19" s="1"/>
  <c r="AQ145" i="19"/>
  <c r="H145" i="19" s="1"/>
  <c r="AR145" i="19"/>
  <c r="I145" i="19" s="1"/>
  <c r="AS145" i="19"/>
  <c r="J145" i="19" s="1"/>
  <c r="AT145" i="19"/>
  <c r="K145" i="19" s="1"/>
  <c r="AU145" i="19"/>
  <c r="L145" i="19" s="1"/>
  <c r="AV145" i="19"/>
  <c r="M145" i="19" s="1"/>
  <c r="AW145" i="19"/>
  <c r="N145" i="19" s="1"/>
  <c r="AX145" i="19"/>
  <c r="O145" i="19" s="1"/>
  <c r="AY145" i="19"/>
  <c r="P145" i="19" s="1"/>
  <c r="AZ145" i="19"/>
  <c r="Q145" i="19" s="1"/>
  <c r="BA145" i="19"/>
  <c r="R145" i="19" s="1"/>
  <c r="BB145" i="19"/>
  <c r="S145" i="19" s="1"/>
  <c r="BC145" i="19"/>
  <c r="T145" i="19" s="1"/>
  <c r="BD145" i="19"/>
  <c r="U145" i="19" s="1"/>
  <c r="BE145" i="19"/>
  <c r="V145" i="19" s="1"/>
  <c r="BF145" i="19"/>
  <c r="W145" i="19" s="1"/>
  <c r="BG145" i="19"/>
  <c r="X145" i="19" s="1"/>
  <c r="BH145" i="19"/>
  <c r="Y145" i="19" s="1"/>
  <c r="BI145" i="19"/>
  <c r="Z145" i="19" s="1"/>
  <c r="BJ145" i="19"/>
  <c r="AA145" i="19" s="1"/>
  <c r="BK145" i="19"/>
  <c r="AB145" i="19" s="1"/>
  <c r="BL145" i="19"/>
  <c r="AC145" i="19" s="1"/>
  <c r="BM145" i="19"/>
  <c r="AD145" i="19" s="1"/>
  <c r="AG146" i="19"/>
  <c r="AH146" i="19"/>
  <c r="AJ146" i="19"/>
  <c r="A146" i="19" s="1"/>
  <c r="AK146" i="19"/>
  <c r="B146" i="19" s="1"/>
  <c r="AL146" i="19"/>
  <c r="C146" i="19" s="1"/>
  <c r="AM146" i="19"/>
  <c r="D146" i="19" s="1"/>
  <c r="AN146" i="19"/>
  <c r="E146" i="19" s="1"/>
  <c r="AO146" i="19"/>
  <c r="F146" i="19" s="1"/>
  <c r="AP146" i="19"/>
  <c r="G146" i="19" s="1"/>
  <c r="AQ146" i="19"/>
  <c r="H146" i="19" s="1"/>
  <c r="AR146" i="19"/>
  <c r="I146" i="19" s="1"/>
  <c r="AS146" i="19"/>
  <c r="J146" i="19" s="1"/>
  <c r="AT146" i="19"/>
  <c r="K146" i="19" s="1"/>
  <c r="AU146" i="19"/>
  <c r="L146" i="19" s="1"/>
  <c r="AV146" i="19"/>
  <c r="M146" i="19" s="1"/>
  <c r="AW146" i="19"/>
  <c r="N146" i="19" s="1"/>
  <c r="AX146" i="19"/>
  <c r="O146" i="19" s="1"/>
  <c r="AY146" i="19"/>
  <c r="P146" i="19" s="1"/>
  <c r="AZ146" i="19"/>
  <c r="Q146" i="19" s="1"/>
  <c r="BA146" i="19"/>
  <c r="R146" i="19" s="1"/>
  <c r="BB146" i="19"/>
  <c r="S146" i="19" s="1"/>
  <c r="BC146" i="19"/>
  <c r="T146" i="19" s="1"/>
  <c r="BD146" i="19"/>
  <c r="U146" i="19" s="1"/>
  <c r="BE146" i="19"/>
  <c r="V146" i="19" s="1"/>
  <c r="BF146" i="19"/>
  <c r="W146" i="19" s="1"/>
  <c r="BG146" i="19"/>
  <c r="X146" i="19" s="1"/>
  <c r="BH146" i="19"/>
  <c r="Y146" i="19" s="1"/>
  <c r="BI146" i="19"/>
  <c r="Z146" i="19" s="1"/>
  <c r="BJ146" i="19"/>
  <c r="AA146" i="19" s="1"/>
  <c r="BK146" i="19"/>
  <c r="AB146" i="19" s="1"/>
  <c r="BL146" i="19"/>
  <c r="AC146" i="19" s="1"/>
  <c r="BM146" i="19"/>
  <c r="AD146" i="19" s="1"/>
  <c r="AG147" i="19"/>
  <c r="AH147" i="19"/>
  <c r="AJ147" i="19"/>
  <c r="A147" i="19" s="1"/>
  <c r="AK147" i="19"/>
  <c r="B147" i="19" s="1"/>
  <c r="AL147" i="19"/>
  <c r="C147" i="19" s="1"/>
  <c r="AM147" i="19"/>
  <c r="D147" i="19" s="1"/>
  <c r="AN147" i="19"/>
  <c r="E147" i="19" s="1"/>
  <c r="AO147" i="19"/>
  <c r="F147" i="19" s="1"/>
  <c r="AP147" i="19"/>
  <c r="G147" i="19" s="1"/>
  <c r="AQ147" i="19"/>
  <c r="H147" i="19" s="1"/>
  <c r="AR147" i="19"/>
  <c r="I147" i="19" s="1"/>
  <c r="AS147" i="19"/>
  <c r="J147" i="19" s="1"/>
  <c r="AT147" i="19"/>
  <c r="K147" i="19" s="1"/>
  <c r="AU147" i="19"/>
  <c r="L147" i="19" s="1"/>
  <c r="AV147" i="19"/>
  <c r="M147" i="19" s="1"/>
  <c r="AW147" i="19"/>
  <c r="N147" i="19" s="1"/>
  <c r="AX147" i="19"/>
  <c r="O147" i="19" s="1"/>
  <c r="AY147" i="19"/>
  <c r="P147" i="19" s="1"/>
  <c r="AZ147" i="19"/>
  <c r="Q147" i="19" s="1"/>
  <c r="BA147" i="19"/>
  <c r="R147" i="19" s="1"/>
  <c r="BB147" i="19"/>
  <c r="S147" i="19" s="1"/>
  <c r="BC147" i="19"/>
  <c r="T147" i="19" s="1"/>
  <c r="BD147" i="19"/>
  <c r="U147" i="19" s="1"/>
  <c r="BE147" i="19"/>
  <c r="V147" i="19" s="1"/>
  <c r="BF147" i="19"/>
  <c r="W147" i="19" s="1"/>
  <c r="BG147" i="19"/>
  <c r="X147" i="19" s="1"/>
  <c r="BH147" i="19"/>
  <c r="Y147" i="19" s="1"/>
  <c r="BI147" i="19"/>
  <c r="Z147" i="19" s="1"/>
  <c r="BJ147" i="19"/>
  <c r="AA147" i="19" s="1"/>
  <c r="BK147" i="19"/>
  <c r="AB147" i="19" s="1"/>
  <c r="BL147" i="19"/>
  <c r="AC147" i="19" s="1"/>
  <c r="BM147" i="19"/>
  <c r="AD147" i="19" s="1"/>
  <c r="AG148" i="19"/>
  <c r="AH148" i="19"/>
  <c r="AJ148" i="19"/>
  <c r="A148" i="19" s="1"/>
  <c r="AK148" i="19"/>
  <c r="B148" i="19" s="1"/>
  <c r="AL148" i="19"/>
  <c r="C148" i="19" s="1"/>
  <c r="AM148" i="19"/>
  <c r="D148" i="19" s="1"/>
  <c r="AN148" i="19"/>
  <c r="E148" i="19" s="1"/>
  <c r="AO148" i="19"/>
  <c r="F148" i="19" s="1"/>
  <c r="AP148" i="19"/>
  <c r="G148" i="19" s="1"/>
  <c r="AQ148" i="19"/>
  <c r="H148" i="19" s="1"/>
  <c r="AR148" i="19"/>
  <c r="I148" i="19" s="1"/>
  <c r="AS148" i="19"/>
  <c r="J148" i="19" s="1"/>
  <c r="AT148" i="19"/>
  <c r="K148" i="19" s="1"/>
  <c r="AU148" i="19"/>
  <c r="L148" i="19" s="1"/>
  <c r="AV148" i="19"/>
  <c r="M148" i="19" s="1"/>
  <c r="AW148" i="19"/>
  <c r="N148" i="19" s="1"/>
  <c r="AX148" i="19"/>
  <c r="O148" i="19" s="1"/>
  <c r="AY148" i="19"/>
  <c r="P148" i="19" s="1"/>
  <c r="AZ148" i="19"/>
  <c r="Q148" i="19" s="1"/>
  <c r="BA148" i="19"/>
  <c r="R148" i="19" s="1"/>
  <c r="BB148" i="19"/>
  <c r="S148" i="19" s="1"/>
  <c r="BC148" i="19"/>
  <c r="T148" i="19" s="1"/>
  <c r="BD148" i="19"/>
  <c r="U148" i="19" s="1"/>
  <c r="BE148" i="19"/>
  <c r="V148" i="19" s="1"/>
  <c r="BF148" i="19"/>
  <c r="W148" i="19" s="1"/>
  <c r="BG148" i="19"/>
  <c r="X148" i="19" s="1"/>
  <c r="BH148" i="19"/>
  <c r="Y148" i="19" s="1"/>
  <c r="BI148" i="19"/>
  <c r="Z148" i="19" s="1"/>
  <c r="BJ148" i="19"/>
  <c r="AA148" i="19" s="1"/>
  <c r="BK148" i="19"/>
  <c r="AB148" i="19" s="1"/>
  <c r="BL148" i="19"/>
  <c r="AC148" i="19" s="1"/>
  <c r="BM148" i="19"/>
  <c r="AD148" i="19" s="1"/>
  <c r="AG149" i="19"/>
  <c r="AH149" i="19"/>
  <c r="AJ149" i="19"/>
  <c r="A149" i="19" s="1"/>
  <c r="AK149" i="19"/>
  <c r="B149" i="19" s="1"/>
  <c r="AL149" i="19"/>
  <c r="C149" i="19" s="1"/>
  <c r="AM149" i="19"/>
  <c r="D149" i="19" s="1"/>
  <c r="AN149" i="19"/>
  <c r="E149" i="19" s="1"/>
  <c r="AO149" i="19"/>
  <c r="F149" i="19" s="1"/>
  <c r="AP149" i="19"/>
  <c r="G149" i="19" s="1"/>
  <c r="AQ149" i="19"/>
  <c r="H149" i="19" s="1"/>
  <c r="AR149" i="19"/>
  <c r="I149" i="19" s="1"/>
  <c r="AS149" i="19"/>
  <c r="J149" i="19" s="1"/>
  <c r="AT149" i="19"/>
  <c r="K149" i="19" s="1"/>
  <c r="AU149" i="19"/>
  <c r="L149" i="19" s="1"/>
  <c r="AV149" i="19"/>
  <c r="M149" i="19" s="1"/>
  <c r="AW149" i="19"/>
  <c r="N149" i="19" s="1"/>
  <c r="AX149" i="19"/>
  <c r="O149" i="19" s="1"/>
  <c r="AY149" i="19"/>
  <c r="P149" i="19" s="1"/>
  <c r="AZ149" i="19"/>
  <c r="Q149" i="19" s="1"/>
  <c r="BA149" i="19"/>
  <c r="R149" i="19" s="1"/>
  <c r="BB149" i="19"/>
  <c r="S149" i="19" s="1"/>
  <c r="BC149" i="19"/>
  <c r="T149" i="19" s="1"/>
  <c r="BD149" i="19"/>
  <c r="U149" i="19" s="1"/>
  <c r="BE149" i="19"/>
  <c r="V149" i="19" s="1"/>
  <c r="BF149" i="19"/>
  <c r="W149" i="19" s="1"/>
  <c r="BG149" i="19"/>
  <c r="X149" i="19" s="1"/>
  <c r="BH149" i="19"/>
  <c r="Y149" i="19" s="1"/>
  <c r="BI149" i="19"/>
  <c r="Z149" i="19" s="1"/>
  <c r="BJ149" i="19"/>
  <c r="AA149" i="19" s="1"/>
  <c r="BK149" i="19"/>
  <c r="AB149" i="19" s="1"/>
  <c r="BL149" i="19"/>
  <c r="AC149" i="19" s="1"/>
  <c r="BM149" i="19"/>
  <c r="AD149" i="19" s="1"/>
  <c r="AG150" i="19"/>
  <c r="AH150" i="19"/>
  <c r="AJ150" i="19"/>
  <c r="A150" i="19" s="1"/>
  <c r="AK150" i="19"/>
  <c r="B150" i="19" s="1"/>
  <c r="AL150" i="19"/>
  <c r="C150" i="19" s="1"/>
  <c r="AM150" i="19"/>
  <c r="D150" i="19" s="1"/>
  <c r="AN150" i="19"/>
  <c r="E150" i="19" s="1"/>
  <c r="AO150" i="19"/>
  <c r="F150" i="19" s="1"/>
  <c r="AP150" i="19"/>
  <c r="G150" i="19" s="1"/>
  <c r="AQ150" i="19"/>
  <c r="H150" i="19" s="1"/>
  <c r="AR150" i="19"/>
  <c r="I150" i="19" s="1"/>
  <c r="AS150" i="19"/>
  <c r="J150" i="19" s="1"/>
  <c r="AT150" i="19"/>
  <c r="K150" i="19" s="1"/>
  <c r="AU150" i="19"/>
  <c r="L150" i="19" s="1"/>
  <c r="AV150" i="19"/>
  <c r="M150" i="19" s="1"/>
  <c r="AW150" i="19"/>
  <c r="N150" i="19" s="1"/>
  <c r="AX150" i="19"/>
  <c r="O150" i="19" s="1"/>
  <c r="AY150" i="19"/>
  <c r="P150" i="19" s="1"/>
  <c r="AZ150" i="19"/>
  <c r="Q150" i="19" s="1"/>
  <c r="BA150" i="19"/>
  <c r="R150" i="19" s="1"/>
  <c r="BB150" i="19"/>
  <c r="S150" i="19" s="1"/>
  <c r="BC150" i="19"/>
  <c r="T150" i="19" s="1"/>
  <c r="BD150" i="19"/>
  <c r="U150" i="19" s="1"/>
  <c r="BE150" i="19"/>
  <c r="V150" i="19" s="1"/>
  <c r="BF150" i="19"/>
  <c r="W150" i="19" s="1"/>
  <c r="BG150" i="19"/>
  <c r="X150" i="19" s="1"/>
  <c r="BH150" i="19"/>
  <c r="Y150" i="19" s="1"/>
  <c r="BI150" i="19"/>
  <c r="Z150" i="19" s="1"/>
  <c r="BJ150" i="19"/>
  <c r="AA150" i="19" s="1"/>
  <c r="BK150" i="19"/>
  <c r="AB150" i="19" s="1"/>
  <c r="BL150" i="19"/>
  <c r="AC150" i="19" s="1"/>
  <c r="BM150" i="19"/>
  <c r="AD150" i="19" s="1"/>
  <c r="AG151" i="19"/>
  <c r="AH151" i="19"/>
  <c r="AJ151" i="19"/>
  <c r="A151" i="19" s="1"/>
  <c r="AK151" i="19"/>
  <c r="B151" i="19" s="1"/>
  <c r="AL151" i="19"/>
  <c r="C151" i="19" s="1"/>
  <c r="AM151" i="19"/>
  <c r="D151" i="19" s="1"/>
  <c r="AN151" i="19"/>
  <c r="E151" i="19" s="1"/>
  <c r="AO151" i="19"/>
  <c r="F151" i="19" s="1"/>
  <c r="AP151" i="19"/>
  <c r="G151" i="19" s="1"/>
  <c r="AQ151" i="19"/>
  <c r="H151" i="19" s="1"/>
  <c r="AR151" i="19"/>
  <c r="I151" i="19" s="1"/>
  <c r="AS151" i="19"/>
  <c r="J151" i="19" s="1"/>
  <c r="AT151" i="19"/>
  <c r="K151" i="19" s="1"/>
  <c r="AU151" i="19"/>
  <c r="L151" i="19" s="1"/>
  <c r="AV151" i="19"/>
  <c r="M151" i="19" s="1"/>
  <c r="AW151" i="19"/>
  <c r="N151" i="19" s="1"/>
  <c r="AX151" i="19"/>
  <c r="O151" i="19" s="1"/>
  <c r="AY151" i="19"/>
  <c r="P151" i="19" s="1"/>
  <c r="AZ151" i="19"/>
  <c r="Q151" i="19" s="1"/>
  <c r="BA151" i="19"/>
  <c r="R151" i="19" s="1"/>
  <c r="BB151" i="19"/>
  <c r="S151" i="19" s="1"/>
  <c r="BC151" i="19"/>
  <c r="T151" i="19" s="1"/>
  <c r="BD151" i="19"/>
  <c r="U151" i="19" s="1"/>
  <c r="BE151" i="19"/>
  <c r="V151" i="19" s="1"/>
  <c r="BF151" i="19"/>
  <c r="W151" i="19" s="1"/>
  <c r="BG151" i="19"/>
  <c r="X151" i="19" s="1"/>
  <c r="BH151" i="19"/>
  <c r="Y151" i="19" s="1"/>
  <c r="BI151" i="19"/>
  <c r="Z151" i="19" s="1"/>
  <c r="BJ151" i="19"/>
  <c r="AA151" i="19" s="1"/>
  <c r="BK151" i="19"/>
  <c r="AB151" i="19" s="1"/>
  <c r="BL151" i="19"/>
  <c r="AC151" i="19" s="1"/>
  <c r="BM151" i="19"/>
  <c r="AD151" i="19" s="1"/>
  <c r="AG152" i="19"/>
  <c r="AH152" i="19"/>
  <c r="AJ152" i="19"/>
  <c r="A152" i="19" s="1"/>
  <c r="AK152" i="19"/>
  <c r="B152" i="19" s="1"/>
  <c r="AL152" i="19"/>
  <c r="C152" i="19" s="1"/>
  <c r="AM152" i="19"/>
  <c r="D152" i="19" s="1"/>
  <c r="AN152" i="19"/>
  <c r="E152" i="19" s="1"/>
  <c r="AO152" i="19"/>
  <c r="F152" i="19" s="1"/>
  <c r="AP152" i="19"/>
  <c r="G152" i="19" s="1"/>
  <c r="AQ152" i="19"/>
  <c r="H152" i="19" s="1"/>
  <c r="AR152" i="19"/>
  <c r="I152" i="19" s="1"/>
  <c r="AS152" i="19"/>
  <c r="J152" i="19" s="1"/>
  <c r="AT152" i="19"/>
  <c r="K152" i="19" s="1"/>
  <c r="AU152" i="19"/>
  <c r="L152" i="19" s="1"/>
  <c r="AV152" i="19"/>
  <c r="M152" i="19" s="1"/>
  <c r="AW152" i="19"/>
  <c r="N152" i="19" s="1"/>
  <c r="AX152" i="19"/>
  <c r="O152" i="19" s="1"/>
  <c r="AY152" i="19"/>
  <c r="P152" i="19" s="1"/>
  <c r="AZ152" i="19"/>
  <c r="Q152" i="19" s="1"/>
  <c r="BA152" i="19"/>
  <c r="R152" i="19" s="1"/>
  <c r="BB152" i="19"/>
  <c r="S152" i="19" s="1"/>
  <c r="BC152" i="19"/>
  <c r="T152" i="19" s="1"/>
  <c r="BD152" i="19"/>
  <c r="U152" i="19" s="1"/>
  <c r="BE152" i="19"/>
  <c r="V152" i="19" s="1"/>
  <c r="BF152" i="19"/>
  <c r="W152" i="19" s="1"/>
  <c r="BG152" i="19"/>
  <c r="X152" i="19" s="1"/>
  <c r="BH152" i="19"/>
  <c r="Y152" i="19" s="1"/>
  <c r="BI152" i="19"/>
  <c r="Z152" i="19" s="1"/>
  <c r="BJ152" i="19"/>
  <c r="AA152" i="19" s="1"/>
  <c r="BK152" i="19"/>
  <c r="AB152" i="19" s="1"/>
  <c r="BL152" i="19"/>
  <c r="AC152" i="19" s="1"/>
  <c r="BM152" i="19"/>
  <c r="AD152" i="19" s="1"/>
  <c r="AG153" i="19"/>
  <c r="AH153" i="19"/>
  <c r="AJ153" i="19"/>
  <c r="A153" i="19" s="1"/>
  <c r="AK153" i="19"/>
  <c r="B153" i="19" s="1"/>
  <c r="AL153" i="19"/>
  <c r="C153" i="19" s="1"/>
  <c r="AM153" i="19"/>
  <c r="D153" i="19" s="1"/>
  <c r="AN153" i="19"/>
  <c r="E153" i="19" s="1"/>
  <c r="AO153" i="19"/>
  <c r="F153" i="19" s="1"/>
  <c r="AP153" i="19"/>
  <c r="G153" i="19" s="1"/>
  <c r="AQ153" i="19"/>
  <c r="H153" i="19" s="1"/>
  <c r="AR153" i="19"/>
  <c r="I153" i="19" s="1"/>
  <c r="AS153" i="19"/>
  <c r="J153" i="19" s="1"/>
  <c r="AT153" i="19"/>
  <c r="K153" i="19" s="1"/>
  <c r="AU153" i="19"/>
  <c r="L153" i="19" s="1"/>
  <c r="AV153" i="19"/>
  <c r="M153" i="19" s="1"/>
  <c r="AW153" i="19"/>
  <c r="N153" i="19" s="1"/>
  <c r="AX153" i="19"/>
  <c r="O153" i="19" s="1"/>
  <c r="AY153" i="19"/>
  <c r="P153" i="19" s="1"/>
  <c r="AZ153" i="19"/>
  <c r="Q153" i="19" s="1"/>
  <c r="BA153" i="19"/>
  <c r="R153" i="19" s="1"/>
  <c r="BB153" i="19"/>
  <c r="S153" i="19" s="1"/>
  <c r="BC153" i="19"/>
  <c r="T153" i="19" s="1"/>
  <c r="BD153" i="19"/>
  <c r="U153" i="19" s="1"/>
  <c r="BE153" i="19"/>
  <c r="V153" i="19" s="1"/>
  <c r="BF153" i="19"/>
  <c r="W153" i="19" s="1"/>
  <c r="BG153" i="19"/>
  <c r="X153" i="19" s="1"/>
  <c r="BH153" i="19"/>
  <c r="Y153" i="19" s="1"/>
  <c r="BI153" i="19"/>
  <c r="Z153" i="19" s="1"/>
  <c r="BJ153" i="19"/>
  <c r="AA153" i="19" s="1"/>
  <c r="BK153" i="19"/>
  <c r="AB153" i="19" s="1"/>
  <c r="BL153" i="19"/>
  <c r="AC153" i="19" s="1"/>
  <c r="BM153" i="19"/>
  <c r="AD153" i="19" s="1"/>
  <c r="AG154" i="19"/>
  <c r="AH154" i="19"/>
  <c r="AJ154" i="19"/>
  <c r="A154" i="19" s="1"/>
  <c r="AK154" i="19"/>
  <c r="B154" i="19" s="1"/>
  <c r="AL154" i="19"/>
  <c r="C154" i="19" s="1"/>
  <c r="AM154" i="19"/>
  <c r="D154" i="19" s="1"/>
  <c r="AN154" i="19"/>
  <c r="E154" i="19" s="1"/>
  <c r="AO154" i="19"/>
  <c r="F154" i="19" s="1"/>
  <c r="AP154" i="19"/>
  <c r="G154" i="19" s="1"/>
  <c r="AQ154" i="19"/>
  <c r="H154" i="19" s="1"/>
  <c r="AR154" i="19"/>
  <c r="I154" i="19" s="1"/>
  <c r="AS154" i="19"/>
  <c r="J154" i="19" s="1"/>
  <c r="AT154" i="19"/>
  <c r="K154" i="19" s="1"/>
  <c r="AU154" i="19"/>
  <c r="L154" i="19" s="1"/>
  <c r="AV154" i="19"/>
  <c r="M154" i="19" s="1"/>
  <c r="AW154" i="19"/>
  <c r="N154" i="19" s="1"/>
  <c r="AX154" i="19"/>
  <c r="O154" i="19" s="1"/>
  <c r="AY154" i="19"/>
  <c r="P154" i="19" s="1"/>
  <c r="AZ154" i="19"/>
  <c r="Q154" i="19" s="1"/>
  <c r="BA154" i="19"/>
  <c r="R154" i="19" s="1"/>
  <c r="BB154" i="19"/>
  <c r="S154" i="19" s="1"/>
  <c r="BC154" i="19"/>
  <c r="T154" i="19" s="1"/>
  <c r="BD154" i="19"/>
  <c r="U154" i="19" s="1"/>
  <c r="BE154" i="19"/>
  <c r="V154" i="19" s="1"/>
  <c r="BF154" i="19"/>
  <c r="W154" i="19" s="1"/>
  <c r="BG154" i="19"/>
  <c r="X154" i="19" s="1"/>
  <c r="BH154" i="19"/>
  <c r="Y154" i="19" s="1"/>
  <c r="BI154" i="19"/>
  <c r="Z154" i="19" s="1"/>
  <c r="BJ154" i="19"/>
  <c r="AA154" i="19" s="1"/>
  <c r="BK154" i="19"/>
  <c r="AB154" i="19" s="1"/>
  <c r="BL154" i="19"/>
  <c r="AC154" i="19" s="1"/>
  <c r="BM154" i="19"/>
  <c r="AD154" i="19" s="1"/>
  <c r="AG155" i="19"/>
  <c r="AH155" i="19"/>
  <c r="AJ155" i="19"/>
  <c r="A155" i="19" s="1"/>
  <c r="AK155" i="19"/>
  <c r="B155" i="19" s="1"/>
  <c r="AL155" i="19"/>
  <c r="C155" i="19" s="1"/>
  <c r="AM155" i="19"/>
  <c r="D155" i="19" s="1"/>
  <c r="AN155" i="19"/>
  <c r="E155" i="19" s="1"/>
  <c r="AO155" i="19"/>
  <c r="F155" i="19" s="1"/>
  <c r="AP155" i="19"/>
  <c r="G155" i="19" s="1"/>
  <c r="AQ155" i="19"/>
  <c r="H155" i="19" s="1"/>
  <c r="AR155" i="19"/>
  <c r="I155" i="19" s="1"/>
  <c r="AS155" i="19"/>
  <c r="J155" i="19" s="1"/>
  <c r="AT155" i="19"/>
  <c r="K155" i="19" s="1"/>
  <c r="AU155" i="19"/>
  <c r="L155" i="19" s="1"/>
  <c r="AV155" i="19"/>
  <c r="M155" i="19" s="1"/>
  <c r="AW155" i="19"/>
  <c r="N155" i="19" s="1"/>
  <c r="AX155" i="19"/>
  <c r="O155" i="19" s="1"/>
  <c r="AY155" i="19"/>
  <c r="P155" i="19" s="1"/>
  <c r="AZ155" i="19"/>
  <c r="Q155" i="19" s="1"/>
  <c r="BA155" i="19"/>
  <c r="R155" i="19" s="1"/>
  <c r="BB155" i="19"/>
  <c r="S155" i="19" s="1"/>
  <c r="BC155" i="19"/>
  <c r="T155" i="19" s="1"/>
  <c r="BD155" i="19"/>
  <c r="U155" i="19" s="1"/>
  <c r="BE155" i="19"/>
  <c r="V155" i="19" s="1"/>
  <c r="BF155" i="19"/>
  <c r="W155" i="19" s="1"/>
  <c r="BG155" i="19"/>
  <c r="X155" i="19" s="1"/>
  <c r="BH155" i="19"/>
  <c r="Y155" i="19" s="1"/>
  <c r="BI155" i="19"/>
  <c r="Z155" i="19" s="1"/>
  <c r="BJ155" i="19"/>
  <c r="AA155" i="19" s="1"/>
  <c r="BK155" i="19"/>
  <c r="AB155" i="19" s="1"/>
  <c r="BL155" i="19"/>
  <c r="AC155" i="19" s="1"/>
  <c r="BM155" i="19"/>
  <c r="AD155" i="19" s="1"/>
  <c r="AG156" i="19"/>
  <c r="AH156" i="19"/>
  <c r="AJ156" i="19"/>
  <c r="A156" i="19" s="1"/>
  <c r="AK156" i="19"/>
  <c r="B156" i="19" s="1"/>
  <c r="AL156" i="19"/>
  <c r="C156" i="19" s="1"/>
  <c r="AM156" i="19"/>
  <c r="D156" i="19" s="1"/>
  <c r="AN156" i="19"/>
  <c r="E156" i="19" s="1"/>
  <c r="AO156" i="19"/>
  <c r="F156" i="19" s="1"/>
  <c r="AP156" i="19"/>
  <c r="G156" i="19" s="1"/>
  <c r="AQ156" i="19"/>
  <c r="H156" i="19" s="1"/>
  <c r="AR156" i="19"/>
  <c r="I156" i="19" s="1"/>
  <c r="AS156" i="19"/>
  <c r="J156" i="19" s="1"/>
  <c r="AT156" i="19"/>
  <c r="K156" i="19" s="1"/>
  <c r="AU156" i="19"/>
  <c r="L156" i="19" s="1"/>
  <c r="AV156" i="19"/>
  <c r="M156" i="19" s="1"/>
  <c r="AW156" i="19"/>
  <c r="N156" i="19" s="1"/>
  <c r="AX156" i="19"/>
  <c r="O156" i="19" s="1"/>
  <c r="AY156" i="19"/>
  <c r="P156" i="19" s="1"/>
  <c r="AZ156" i="19"/>
  <c r="Q156" i="19" s="1"/>
  <c r="BA156" i="19"/>
  <c r="R156" i="19" s="1"/>
  <c r="BB156" i="19"/>
  <c r="S156" i="19" s="1"/>
  <c r="BC156" i="19"/>
  <c r="T156" i="19" s="1"/>
  <c r="BD156" i="19"/>
  <c r="U156" i="19" s="1"/>
  <c r="BE156" i="19"/>
  <c r="V156" i="19" s="1"/>
  <c r="BF156" i="19"/>
  <c r="W156" i="19" s="1"/>
  <c r="BG156" i="19"/>
  <c r="X156" i="19" s="1"/>
  <c r="BH156" i="19"/>
  <c r="Y156" i="19" s="1"/>
  <c r="BI156" i="19"/>
  <c r="Z156" i="19" s="1"/>
  <c r="BJ156" i="19"/>
  <c r="AA156" i="19" s="1"/>
  <c r="BK156" i="19"/>
  <c r="AB156" i="19" s="1"/>
  <c r="BL156" i="19"/>
  <c r="AC156" i="19" s="1"/>
  <c r="BM156" i="19"/>
  <c r="AD156" i="19" s="1"/>
  <c r="AG157" i="19"/>
  <c r="AH157" i="19"/>
  <c r="AJ157" i="19"/>
  <c r="A157" i="19" s="1"/>
  <c r="AK157" i="19"/>
  <c r="B157" i="19" s="1"/>
  <c r="AL157" i="19"/>
  <c r="C157" i="19" s="1"/>
  <c r="AM157" i="19"/>
  <c r="D157" i="19" s="1"/>
  <c r="AN157" i="19"/>
  <c r="E157" i="19" s="1"/>
  <c r="AO157" i="19"/>
  <c r="F157" i="19" s="1"/>
  <c r="AP157" i="19"/>
  <c r="G157" i="19" s="1"/>
  <c r="AQ157" i="19"/>
  <c r="H157" i="19" s="1"/>
  <c r="AR157" i="19"/>
  <c r="I157" i="19" s="1"/>
  <c r="AS157" i="19"/>
  <c r="J157" i="19" s="1"/>
  <c r="AT157" i="19"/>
  <c r="K157" i="19" s="1"/>
  <c r="AU157" i="19"/>
  <c r="L157" i="19" s="1"/>
  <c r="AV157" i="19"/>
  <c r="M157" i="19" s="1"/>
  <c r="AW157" i="19"/>
  <c r="N157" i="19" s="1"/>
  <c r="AX157" i="19"/>
  <c r="O157" i="19" s="1"/>
  <c r="AY157" i="19"/>
  <c r="P157" i="19" s="1"/>
  <c r="AZ157" i="19"/>
  <c r="Q157" i="19" s="1"/>
  <c r="BA157" i="19"/>
  <c r="R157" i="19" s="1"/>
  <c r="BB157" i="19"/>
  <c r="S157" i="19" s="1"/>
  <c r="BC157" i="19"/>
  <c r="T157" i="19" s="1"/>
  <c r="BD157" i="19"/>
  <c r="U157" i="19" s="1"/>
  <c r="BE157" i="19"/>
  <c r="V157" i="19" s="1"/>
  <c r="BF157" i="19"/>
  <c r="W157" i="19" s="1"/>
  <c r="BG157" i="19"/>
  <c r="X157" i="19" s="1"/>
  <c r="BH157" i="19"/>
  <c r="Y157" i="19" s="1"/>
  <c r="BI157" i="19"/>
  <c r="Z157" i="19" s="1"/>
  <c r="BJ157" i="19"/>
  <c r="AA157" i="19" s="1"/>
  <c r="BK157" i="19"/>
  <c r="AB157" i="19" s="1"/>
  <c r="BL157" i="19"/>
  <c r="AC157" i="19" s="1"/>
  <c r="BM157" i="19"/>
  <c r="AD157" i="19" s="1"/>
  <c r="AG61" i="19"/>
  <c r="AH61" i="19"/>
  <c r="AJ61" i="19"/>
  <c r="A61" i="19" s="1"/>
  <c r="AK61" i="19"/>
  <c r="B61" i="19" s="1"/>
  <c r="AL61" i="19"/>
  <c r="C61" i="19" s="1"/>
  <c r="AM61" i="19"/>
  <c r="D61" i="19" s="1"/>
  <c r="AN61" i="19"/>
  <c r="E61" i="19" s="1"/>
  <c r="AO61" i="19"/>
  <c r="F61" i="19" s="1"/>
  <c r="AP61" i="19"/>
  <c r="G61" i="19" s="1"/>
  <c r="AQ61" i="19"/>
  <c r="H61" i="19" s="1"/>
  <c r="AR61" i="19"/>
  <c r="I61" i="19" s="1"/>
  <c r="AS61" i="19"/>
  <c r="J61" i="19" s="1"/>
  <c r="AT61" i="19"/>
  <c r="K61" i="19" s="1"/>
  <c r="AU61" i="19"/>
  <c r="L61" i="19" s="1"/>
  <c r="AV61" i="19"/>
  <c r="M61" i="19" s="1"/>
  <c r="AW61" i="19"/>
  <c r="N61" i="19" s="1"/>
  <c r="AX61" i="19"/>
  <c r="O61" i="19" s="1"/>
  <c r="AY61" i="19"/>
  <c r="P61" i="19" s="1"/>
  <c r="AZ61" i="19"/>
  <c r="Q61" i="19" s="1"/>
  <c r="BA61" i="19"/>
  <c r="R61" i="19" s="1"/>
  <c r="BB61" i="19"/>
  <c r="S61" i="19" s="1"/>
  <c r="BC61" i="19"/>
  <c r="T61" i="19" s="1"/>
  <c r="BD61" i="19"/>
  <c r="U61" i="19" s="1"/>
  <c r="BE61" i="19"/>
  <c r="V61" i="19" s="1"/>
  <c r="BF61" i="19"/>
  <c r="W61" i="19" s="1"/>
  <c r="BG61" i="19"/>
  <c r="X61" i="19" s="1"/>
  <c r="BH61" i="19"/>
  <c r="Y61" i="19" s="1"/>
  <c r="BI61" i="19"/>
  <c r="Z61" i="19" s="1"/>
  <c r="BJ61" i="19"/>
  <c r="AA61" i="19" s="1"/>
  <c r="BK61" i="19"/>
  <c r="AB61" i="19" s="1"/>
  <c r="BL61" i="19"/>
  <c r="AC61" i="19" s="1"/>
  <c r="BM61" i="19"/>
  <c r="AD61" i="19" s="1"/>
  <c r="AG23" i="19"/>
  <c r="AH23" i="19"/>
  <c r="AJ23" i="19"/>
  <c r="A23" i="19" s="1"/>
  <c r="AK23" i="19"/>
  <c r="B23" i="19" s="1"/>
  <c r="AL23" i="19"/>
  <c r="C23" i="19" s="1"/>
  <c r="AM23" i="19"/>
  <c r="D23" i="19" s="1"/>
  <c r="AN23" i="19"/>
  <c r="E23" i="19" s="1"/>
  <c r="AO23" i="19"/>
  <c r="F23" i="19" s="1"/>
  <c r="AP23" i="19"/>
  <c r="G23" i="19" s="1"/>
  <c r="AQ23" i="19"/>
  <c r="H23" i="19" s="1"/>
  <c r="AR23" i="19"/>
  <c r="I23" i="19" s="1"/>
  <c r="AS23" i="19"/>
  <c r="J23" i="19" s="1"/>
  <c r="AT23" i="19"/>
  <c r="K23" i="19" s="1"/>
  <c r="AU23" i="19"/>
  <c r="L23" i="19" s="1"/>
  <c r="AV23" i="19"/>
  <c r="M23" i="19" s="1"/>
  <c r="AW23" i="19"/>
  <c r="N23" i="19" s="1"/>
  <c r="AX23" i="19"/>
  <c r="O23" i="19" s="1"/>
  <c r="AY23" i="19"/>
  <c r="P23" i="19" s="1"/>
  <c r="AZ23" i="19"/>
  <c r="Q23" i="19" s="1"/>
  <c r="BA23" i="19"/>
  <c r="R23" i="19" s="1"/>
  <c r="BB23" i="19"/>
  <c r="S23" i="19" s="1"/>
  <c r="BC23" i="19"/>
  <c r="T23" i="19" s="1"/>
  <c r="BD23" i="19"/>
  <c r="U23" i="19" s="1"/>
  <c r="BE23" i="19"/>
  <c r="V23" i="19" s="1"/>
  <c r="BF23" i="19"/>
  <c r="W23" i="19" s="1"/>
  <c r="BG23" i="19"/>
  <c r="X23" i="19" s="1"/>
  <c r="BH23" i="19"/>
  <c r="Y23" i="19" s="1"/>
  <c r="BI23" i="19"/>
  <c r="Z23" i="19" s="1"/>
  <c r="BJ23" i="19"/>
  <c r="AA23" i="19" s="1"/>
  <c r="BK23" i="19"/>
  <c r="AB23" i="19" s="1"/>
  <c r="BL23" i="19"/>
  <c r="AC23" i="19" s="1"/>
  <c r="BM23" i="19"/>
  <c r="AD23" i="19" s="1"/>
  <c r="AG24" i="19"/>
  <c r="AH24" i="19"/>
  <c r="AJ24" i="19"/>
  <c r="A24" i="19" s="1"/>
  <c r="AK24" i="19"/>
  <c r="B24" i="19" s="1"/>
  <c r="AL24" i="19"/>
  <c r="C24" i="19" s="1"/>
  <c r="AM24" i="19"/>
  <c r="D24" i="19" s="1"/>
  <c r="AN24" i="19"/>
  <c r="E24" i="19" s="1"/>
  <c r="AO24" i="19"/>
  <c r="F24" i="19" s="1"/>
  <c r="AP24" i="19"/>
  <c r="G24" i="19" s="1"/>
  <c r="AQ24" i="19"/>
  <c r="H24" i="19" s="1"/>
  <c r="AR24" i="19"/>
  <c r="I24" i="19" s="1"/>
  <c r="AS24" i="19"/>
  <c r="J24" i="19" s="1"/>
  <c r="AT24" i="19"/>
  <c r="K24" i="19" s="1"/>
  <c r="AU24" i="19"/>
  <c r="L24" i="19" s="1"/>
  <c r="AV24" i="19"/>
  <c r="M24" i="19" s="1"/>
  <c r="AW24" i="19"/>
  <c r="N24" i="19" s="1"/>
  <c r="AX24" i="19"/>
  <c r="O24" i="19" s="1"/>
  <c r="AY24" i="19"/>
  <c r="P24" i="19" s="1"/>
  <c r="AZ24" i="19"/>
  <c r="Q24" i="19" s="1"/>
  <c r="BA24" i="19"/>
  <c r="R24" i="19" s="1"/>
  <c r="BB24" i="19"/>
  <c r="S24" i="19" s="1"/>
  <c r="BC24" i="19"/>
  <c r="T24" i="19" s="1"/>
  <c r="BD24" i="19"/>
  <c r="U24" i="19" s="1"/>
  <c r="BE24" i="19"/>
  <c r="V24" i="19" s="1"/>
  <c r="BF24" i="19"/>
  <c r="W24" i="19" s="1"/>
  <c r="BG24" i="19"/>
  <c r="X24" i="19" s="1"/>
  <c r="BH24" i="19"/>
  <c r="Y24" i="19" s="1"/>
  <c r="BI24" i="19"/>
  <c r="Z24" i="19" s="1"/>
  <c r="BJ24" i="19"/>
  <c r="AA24" i="19" s="1"/>
  <c r="BK24" i="19"/>
  <c r="AB24" i="19" s="1"/>
  <c r="BL24" i="19"/>
  <c r="AC24" i="19" s="1"/>
  <c r="BM24" i="19"/>
  <c r="AD24" i="19" s="1"/>
  <c r="AG25" i="19"/>
  <c r="AH25" i="19"/>
  <c r="AJ25" i="19"/>
  <c r="A25" i="19" s="1"/>
  <c r="AK25" i="19"/>
  <c r="B25" i="19" s="1"/>
  <c r="AL25" i="19"/>
  <c r="C25" i="19" s="1"/>
  <c r="AM25" i="19"/>
  <c r="D25" i="19" s="1"/>
  <c r="AN25" i="19"/>
  <c r="E25" i="19" s="1"/>
  <c r="AO25" i="19"/>
  <c r="F25" i="19" s="1"/>
  <c r="AP25" i="19"/>
  <c r="G25" i="19" s="1"/>
  <c r="AQ25" i="19"/>
  <c r="H25" i="19" s="1"/>
  <c r="AR25" i="19"/>
  <c r="I25" i="19" s="1"/>
  <c r="AS25" i="19"/>
  <c r="J25" i="19" s="1"/>
  <c r="AT25" i="19"/>
  <c r="K25" i="19" s="1"/>
  <c r="AU25" i="19"/>
  <c r="L25" i="19" s="1"/>
  <c r="AV25" i="19"/>
  <c r="M25" i="19" s="1"/>
  <c r="AW25" i="19"/>
  <c r="N25" i="19" s="1"/>
  <c r="AX25" i="19"/>
  <c r="O25" i="19" s="1"/>
  <c r="AY25" i="19"/>
  <c r="P25" i="19" s="1"/>
  <c r="AZ25" i="19"/>
  <c r="Q25" i="19" s="1"/>
  <c r="BA25" i="19"/>
  <c r="R25" i="19" s="1"/>
  <c r="BB25" i="19"/>
  <c r="S25" i="19" s="1"/>
  <c r="BC25" i="19"/>
  <c r="T25" i="19" s="1"/>
  <c r="BD25" i="19"/>
  <c r="U25" i="19" s="1"/>
  <c r="BE25" i="19"/>
  <c r="V25" i="19" s="1"/>
  <c r="BF25" i="19"/>
  <c r="W25" i="19" s="1"/>
  <c r="BG25" i="19"/>
  <c r="X25" i="19" s="1"/>
  <c r="BH25" i="19"/>
  <c r="Y25" i="19" s="1"/>
  <c r="BI25" i="19"/>
  <c r="Z25" i="19" s="1"/>
  <c r="BJ25" i="19"/>
  <c r="AA25" i="19" s="1"/>
  <c r="BK25" i="19"/>
  <c r="AB25" i="19" s="1"/>
  <c r="BL25" i="19"/>
  <c r="AC25" i="19" s="1"/>
  <c r="BM25" i="19"/>
  <c r="AD25" i="19" s="1"/>
  <c r="AG26" i="19"/>
  <c r="AH26" i="19"/>
  <c r="AJ26" i="19"/>
  <c r="A26" i="19" s="1"/>
  <c r="AK26" i="19"/>
  <c r="B26" i="19" s="1"/>
  <c r="AL26" i="19"/>
  <c r="C26" i="19" s="1"/>
  <c r="AM26" i="19"/>
  <c r="D26" i="19" s="1"/>
  <c r="AN26" i="19"/>
  <c r="E26" i="19" s="1"/>
  <c r="AO26" i="19"/>
  <c r="F26" i="19" s="1"/>
  <c r="AP26" i="19"/>
  <c r="G26" i="19" s="1"/>
  <c r="AQ26" i="19"/>
  <c r="H26" i="19" s="1"/>
  <c r="AR26" i="19"/>
  <c r="I26" i="19" s="1"/>
  <c r="AS26" i="19"/>
  <c r="J26" i="19" s="1"/>
  <c r="AT26" i="19"/>
  <c r="K26" i="19" s="1"/>
  <c r="AU26" i="19"/>
  <c r="L26" i="19" s="1"/>
  <c r="AV26" i="19"/>
  <c r="M26" i="19" s="1"/>
  <c r="AW26" i="19"/>
  <c r="N26" i="19" s="1"/>
  <c r="AX26" i="19"/>
  <c r="O26" i="19" s="1"/>
  <c r="AY26" i="19"/>
  <c r="P26" i="19" s="1"/>
  <c r="AZ26" i="19"/>
  <c r="Q26" i="19" s="1"/>
  <c r="BA26" i="19"/>
  <c r="R26" i="19" s="1"/>
  <c r="BB26" i="19"/>
  <c r="S26" i="19" s="1"/>
  <c r="BC26" i="19"/>
  <c r="T26" i="19" s="1"/>
  <c r="BD26" i="19"/>
  <c r="U26" i="19" s="1"/>
  <c r="BE26" i="19"/>
  <c r="V26" i="19" s="1"/>
  <c r="BF26" i="19"/>
  <c r="W26" i="19" s="1"/>
  <c r="BG26" i="19"/>
  <c r="X26" i="19" s="1"/>
  <c r="BH26" i="19"/>
  <c r="Y26" i="19" s="1"/>
  <c r="BI26" i="19"/>
  <c r="Z26" i="19" s="1"/>
  <c r="BJ26" i="19"/>
  <c r="AA26" i="19" s="1"/>
  <c r="BK26" i="19"/>
  <c r="AB26" i="19" s="1"/>
  <c r="BL26" i="19"/>
  <c r="AC26" i="19" s="1"/>
  <c r="BM26" i="19"/>
  <c r="AD26" i="19" s="1"/>
  <c r="AG27" i="19"/>
  <c r="AH27" i="19"/>
  <c r="AJ27" i="19"/>
  <c r="A27" i="19" s="1"/>
  <c r="AK27" i="19"/>
  <c r="B27" i="19" s="1"/>
  <c r="AL27" i="19"/>
  <c r="C27" i="19" s="1"/>
  <c r="AM27" i="19"/>
  <c r="D27" i="19" s="1"/>
  <c r="AN27" i="19"/>
  <c r="E27" i="19" s="1"/>
  <c r="AO27" i="19"/>
  <c r="F27" i="19" s="1"/>
  <c r="AP27" i="19"/>
  <c r="G27" i="19" s="1"/>
  <c r="AQ27" i="19"/>
  <c r="H27" i="19" s="1"/>
  <c r="AR27" i="19"/>
  <c r="I27" i="19" s="1"/>
  <c r="AS27" i="19"/>
  <c r="J27" i="19" s="1"/>
  <c r="AT27" i="19"/>
  <c r="K27" i="19" s="1"/>
  <c r="AU27" i="19"/>
  <c r="L27" i="19" s="1"/>
  <c r="AV27" i="19"/>
  <c r="M27" i="19" s="1"/>
  <c r="AW27" i="19"/>
  <c r="N27" i="19" s="1"/>
  <c r="AX27" i="19"/>
  <c r="O27" i="19" s="1"/>
  <c r="AY27" i="19"/>
  <c r="P27" i="19" s="1"/>
  <c r="AZ27" i="19"/>
  <c r="Q27" i="19" s="1"/>
  <c r="BA27" i="19"/>
  <c r="R27" i="19" s="1"/>
  <c r="BB27" i="19"/>
  <c r="S27" i="19" s="1"/>
  <c r="BC27" i="19"/>
  <c r="T27" i="19" s="1"/>
  <c r="BD27" i="19"/>
  <c r="U27" i="19" s="1"/>
  <c r="BE27" i="19"/>
  <c r="V27" i="19" s="1"/>
  <c r="BF27" i="19"/>
  <c r="W27" i="19" s="1"/>
  <c r="BG27" i="19"/>
  <c r="X27" i="19" s="1"/>
  <c r="BH27" i="19"/>
  <c r="Y27" i="19" s="1"/>
  <c r="BI27" i="19"/>
  <c r="Z27" i="19" s="1"/>
  <c r="BJ27" i="19"/>
  <c r="AA27" i="19" s="1"/>
  <c r="BK27" i="19"/>
  <c r="AB27" i="19" s="1"/>
  <c r="BL27" i="19"/>
  <c r="AC27" i="19" s="1"/>
  <c r="BM27" i="19"/>
  <c r="AD27" i="19" s="1"/>
  <c r="AG28" i="19"/>
  <c r="AH28" i="19"/>
  <c r="AJ28" i="19"/>
  <c r="A28" i="19" s="1"/>
  <c r="AK28" i="19"/>
  <c r="B28" i="19" s="1"/>
  <c r="AL28" i="19"/>
  <c r="C28" i="19" s="1"/>
  <c r="AM28" i="19"/>
  <c r="D28" i="19" s="1"/>
  <c r="AN28" i="19"/>
  <c r="E28" i="19" s="1"/>
  <c r="AO28" i="19"/>
  <c r="F28" i="19" s="1"/>
  <c r="AP28" i="19"/>
  <c r="G28" i="19" s="1"/>
  <c r="AQ28" i="19"/>
  <c r="H28" i="19" s="1"/>
  <c r="AR28" i="19"/>
  <c r="I28" i="19" s="1"/>
  <c r="AS28" i="19"/>
  <c r="J28" i="19" s="1"/>
  <c r="AT28" i="19"/>
  <c r="K28" i="19" s="1"/>
  <c r="AU28" i="19"/>
  <c r="L28" i="19" s="1"/>
  <c r="AV28" i="19"/>
  <c r="M28" i="19" s="1"/>
  <c r="AW28" i="19"/>
  <c r="N28" i="19" s="1"/>
  <c r="AX28" i="19"/>
  <c r="O28" i="19" s="1"/>
  <c r="AY28" i="19"/>
  <c r="P28" i="19" s="1"/>
  <c r="AZ28" i="19"/>
  <c r="Q28" i="19" s="1"/>
  <c r="BA28" i="19"/>
  <c r="R28" i="19" s="1"/>
  <c r="BB28" i="19"/>
  <c r="S28" i="19" s="1"/>
  <c r="BC28" i="19"/>
  <c r="T28" i="19" s="1"/>
  <c r="BD28" i="19"/>
  <c r="U28" i="19" s="1"/>
  <c r="BE28" i="19"/>
  <c r="V28" i="19" s="1"/>
  <c r="BF28" i="19"/>
  <c r="W28" i="19" s="1"/>
  <c r="BG28" i="19"/>
  <c r="X28" i="19" s="1"/>
  <c r="BH28" i="19"/>
  <c r="Y28" i="19" s="1"/>
  <c r="BI28" i="19"/>
  <c r="Z28" i="19" s="1"/>
  <c r="BJ28" i="19"/>
  <c r="AA28" i="19" s="1"/>
  <c r="BK28" i="19"/>
  <c r="AB28" i="19" s="1"/>
  <c r="BL28" i="19"/>
  <c r="AC28" i="19" s="1"/>
  <c r="BM28" i="19"/>
  <c r="AD28" i="19" s="1"/>
  <c r="AG29" i="19"/>
  <c r="AH29" i="19"/>
  <c r="AJ29" i="19"/>
  <c r="A29" i="19" s="1"/>
  <c r="AK29" i="19"/>
  <c r="B29" i="19" s="1"/>
  <c r="AL29" i="19"/>
  <c r="C29" i="19" s="1"/>
  <c r="AM29" i="19"/>
  <c r="D29" i="19" s="1"/>
  <c r="AN29" i="19"/>
  <c r="E29" i="19" s="1"/>
  <c r="AO29" i="19"/>
  <c r="F29" i="19" s="1"/>
  <c r="AP29" i="19"/>
  <c r="G29" i="19" s="1"/>
  <c r="AQ29" i="19"/>
  <c r="H29" i="19" s="1"/>
  <c r="AR29" i="19"/>
  <c r="I29" i="19" s="1"/>
  <c r="AS29" i="19"/>
  <c r="J29" i="19" s="1"/>
  <c r="AT29" i="19"/>
  <c r="K29" i="19" s="1"/>
  <c r="AU29" i="19"/>
  <c r="L29" i="19" s="1"/>
  <c r="AV29" i="19"/>
  <c r="M29" i="19" s="1"/>
  <c r="AW29" i="19"/>
  <c r="N29" i="19" s="1"/>
  <c r="AX29" i="19"/>
  <c r="O29" i="19" s="1"/>
  <c r="AY29" i="19"/>
  <c r="P29" i="19" s="1"/>
  <c r="AZ29" i="19"/>
  <c r="Q29" i="19" s="1"/>
  <c r="BA29" i="19"/>
  <c r="R29" i="19" s="1"/>
  <c r="BB29" i="19"/>
  <c r="S29" i="19" s="1"/>
  <c r="BC29" i="19"/>
  <c r="T29" i="19" s="1"/>
  <c r="BD29" i="19"/>
  <c r="U29" i="19" s="1"/>
  <c r="BE29" i="19"/>
  <c r="V29" i="19" s="1"/>
  <c r="BF29" i="19"/>
  <c r="W29" i="19" s="1"/>
  <c r="BG29" i="19"/>
  <c r="X29" i="19" s="1"/>
  <c r="BH29" i="19"/>
  <c r="Y29" i="19" s="1"/>
  <c r="BI29" i="19"/>
  <c r="Z29" i="19" s="1"/>
  <c r="BJ29" i="19"/>
  <c r="AA29" i="19" s="1"/>
  <c r="BK29" i="19"/>
  <c r="AB29" i="19" s="1"/>
  <c r="BL29" i="19"/>
  <c r="AC29" i="19" s="1"/>
  <c r="BM29" i="19"/>
  <c r="AD29" i="19" s="1"/>
  <c r="AG30" i="19"/>
  <c r="AH30" i="19"/>
  <c r="AJ30" i="19"/>
  <c r="A30" i="19" s="1"/>
  <c r="AK30" i="19"/>
  <c r="B30" i="19" s="1"/>
  <c r="AL30" i="19"/>
  <c r="C30" i="19" s="1"/>
  <c r="AM30" i="19"/>
  <c r="D30" i="19" s="1"/>
  <c r="AN30" i="19"/>
  <c r="E30" i="19" s="1"/>
  <c r="AO30" i="19"/>
  <c r="F30" i="19" s="1"/>
  <c r="AP30" i="19"/>
  <c r="G30" i="19" s="1"/>
  <c r="AQ30" i="19"/>
  <c r="H30" i="19" s="1"/>
  <c r="AR30" i="19"/>
  <c r="I30" i="19" s="1"/>
  <c r="AS30" i="19"/>
  <c r="J30" i="19" s="1"/>
  <c r="AT30" i="19"/>
  <c r="K30" i="19" s="1"/>
  <c r="AU30" i="19"/>
  <c r="L30" i="19" s="1"/>
  <c r="AV30" i="19"/>
  <c r="M30" i="19" s="1"/>
  <c r="AW30" i="19"/>
  <c r="N30" i="19" s="1"/>
  <c r="AX30" i="19"/>
  <c r="O30" i="19" s="1"/>
  <c r="AY30" i="19"/>
  <c r="P30" i="19" s="1"/>
  <c r="AZ30" i="19"/>
  <c r="Q30" i="19" s="1"/>
  <c r="BA30" i="19"/>
  <c r="R30" i="19" s="1"/>
  <c r="BB30" i="19"/>
  <c r="S30" i="19" s="1"/>
  <c r="BC30" i="19"/>
  <c r="T30" i="19" s="1"/>
  <c r="BD30" i="19"/>
  <c r="U30" i="19" s="1"/>
  <c r="BE30" i="19"/>
  <c r="V30" i="19" s="1"/>
  <c r="BF30" i="19"/>
  <c r="W30" i="19" s="1"/>
  <c r="BG30" i="19"/>
  <c r="X30" i="19" s="1"/>
  <c r="BH30" i="19"/>
  <c r="Y30" i="19" s="1"/>
  <c r="BI30" i="19"/>
  <c r="Z30" i="19" s="1"/>
  <c r="BJ30" i="19"/>
  <c r="AA30" i="19" s="1"/>
  <c r="BK30" i="19"/>
  <c r="AB30" i="19" s="1"/>
  <c r="BL30" i="19"/>
  <c r="AC30" i="19" s="1"/>
  <c r="BM30" i="19"/>
  <c r="AD30" i="19" s="1"/>
  <c r="AG31" i="19"/>
  <c r="AH31" i="19"/>
  <c r="AJ31" i="19"/>
  <c r="A31" i="19" s="1"/>
  <c r="AK31" i="19"/>
  <c r="B31" i="19" s="1"/>
  <c r="AL31" i="19"/>
  <c r="C31" i="19" s="1"/>
  <c r="AM31" i="19"/>
  <c r="D31" i="19" s="1"/>
  <c r="AN31" i="19"/>
  <c r="E31" i="19" s="1"/>
  <c r="AO31" i="19"/>
  <c r="F31" i="19" s="1"/>
  <c r="AP31" i="19"/>
  <c r="G31" i="19" s="1"/>
  <c r="AQ31" i="19"/>
  <c r="H31" i="19" s="1"/>
  <c r="AR31" i="19"/>
  <c r="I31" i="19" s="1"/>
  <c r="AS31" i="19"/>
  <c r="J31" i="19" s="1"/>
  <c r="AT31" i="19"/>
  <c r="K31" i="19" s="1"/>
  <c r="AU31" i="19"/>
  <c r="L31" i="19" s="1"/>
  <c r="AV31" i="19"/>
  <c r="M31" i="19" s="1"/>
  <c r="AW31" i="19"/>
  <c r="N31" i="19" s="1"/>
  <c r="AX31" i="19"/>
  <c r="O31" i="19" s="1"/>
  <c r="AY31" i="19"/>
  <c r="P31" i="19" s="1"/>
  <c r="AZ31" i="19"/>
  <c r="Q31" i="19" s="1"/>
  <c r="BA31" i="19"/>
  <c r="R31" i="19" s="1"/>
  <c r="BB31" i="19"/>
  <c r="S31" i="19" s="1"/>
  <c r="BC31" i="19"/>
  <c r="T31" i="19" s="1"/>
  <c r="BD31" i="19"/>
  <c r="U31" i="19" s="1"/>
  <c r="BE31" i="19"/>
  <c r="V31" i="19" s="1"/>
  <c r="BF31" i="19"/>
  <c r="W31" i="19" s="1"/>
  <c r="BG31" i="19"/>
  <c r="X31" i="19" s="1"/>
  <c r="BH31" i="19"/>
  <c r="Y31" i="19" s="1"/>
  <c r="BI31" i="19"/>
  <c r="Z31" i="19" s="1"/>
  <c r="BJ31" i="19"/>
  <c r="AA31" i="19" s="1"/>
  <c r="BK31" i="19"/>
  <c r="AB31" i="19" s="1"/>
  <c r="BL31" i="19"/>
  <c r="AC31" i="19" s="1"/>
  <c r="BM31" i="19"/>
  <c r="AD31" i="19" s="1"/>
  <c r="AG32" i="19"/>
  <c r="AH32" i="19"/>
  <c r="AJ32" i="19"/>
  <c r="A32" i="19" s="1"/>
  <c r="AK32" i="19"/>
  <c r="B32" i="19" s="1"/>
  <c r="AL32" i="19"/>
  <c r="C32" i="19" s="1"/>
  <c r="AM32" i="19"/>
  <c r="D32" i="19" s="1"/>
  <c r="AN32" i="19"/>
  <c r="E32" i="19" s="1"/>
  <c r="AO32" i="19"/>
  <c r="F32" i="19" s="1"/>
  <c r="AP32" i="19"/>
  <c r="G32" i="19" s="1"/>
  <c r="AQ32" i="19"/>
  <c r="H32" i="19" s="1"/>
  <c r="AR32" i="19"/>
  <c r="I32" i="19" s="1"/>
  <c r="AS32" i="19"/>
  <c r="J32" i="19" s="1"/>
  <c r="AT32" i="19"/>
  <c r="K32" i="19" s="1"/>
  <c r="AU32" i="19"/>
  <c r="L32" i="19" s="1"/>
  <c r="AV32" i="19"/>
  <c r="M32" i="19" s="1"/>
  <c r="AW32" i="19"/>
  <c r="N32" i="19" s="1"/>
  <c r="AX32" i="19"/>
  <c r="O32" i="19" s="1"/>
  <c r="AY32" i="19"/>
  <c r="P32" i="19" s="1"/>
  <c r="AZ32" i="19"/>
  <c r="Q32" i="19" s="1"/>
  <c r="BA32" i="19"/>
  <c r="R32" i="19" s="1"/>
  <c r="BB32" i="19"/>
  <c r="S32" i="19" s="1"/>
  <c r="BC32" i="19"/>
  <c r="T32" i="19" s="1"/>
  <c r="BD32" i="19"/>
  <c r="U32" i="19" s="1"/>
  <c r="BE32" i="19"/>
  <c r="V32" i="19" s="1"/>
  <c r="BF32" i="19"/>
  <c r="W32" i="19" s="1"/>
  <c r="BG32" i="19"/>
  <c r="X32" i="19" s="1"/>
  <c r="BH32" i="19"/>
  <c r="Y32" i="19" s="1"/>
  <c r="BI32" i="19"/>
  <c r="Z32" i="19" s="1"/>
  <c r="BJ32" i="19"/>
  <c r="AA32" i="19" s="1"/>
  <c r="BK32" i="19"/>
  <c r="AB32" i="19" s="1"/>
  <c r="BL32" i="19"/>
  <c r="AC32" i="19" s="1"/>
  <c r="BM32" i="19"/>
  <c r="AD32" i="19" s="1"/>
  <c r="AG33" i="19"/>
  <c r="AH33" i="19"/>
  <c r="AJ33" i="19"/>
  <c r="A33" i="19" s="1"/>
  <c r="AK33" i="19"/>
  <c r="B33" i="19" s="1"/>
  <c r="AL33" i="19"/>
  <c r="C33" i="19" s="1"/>
  <c r="AM33" i="19"/>
  <c r="D33" i="19" s="1"/>
  <c r="AN33" i="19"/>
  <c r="E33" i="19" s="1"/>
  <c r="AO33" i="19"/>
  <c r="F33" i="19" s="1"/>
  <c r="AP33" i="19"/>
  <c r="G33" i="19" s="1"/>
  <c r="AQ33" i="19"/>
  <c r="H33" i="19" s="1"/>
  <c r="AR33" i="19"/>
  <c r="I33" i="19" s="1"/>
  <c r="AS33" i="19"/>
  <c r="J33" i="19" s="1"/>
  <c r="AT33" i="19"/>
  <c r="K33" i="19" s="1"/>
  <c r="AU33" i="19"/>
  <c r="L33" i="19" s="1"/>
  <c r="AV33" i="19"/>
  <c r="M33" i="19" s="1"/>
  <c r="AW33" i="19"/>
  <c r="N33" i="19" s="1"/>
  <c r="AX33" i="19"/>
  <c r="O33" i="19" s="1"/>
  <c r="AY33" i="19"/>
  <c r="P33" i="19" s="1"/>
  <c r="AZ33" i="19"/>
  <c r="Q33" i="19" s="1"/>
  <c r="BA33" i="19"/>
  <c r="R33" i="19" s="1"/>
  <c r="BB33" i="19"/>
  <c r="S33" i="19" s="1"/>
  <c r="BC33" i="19"/>
  <c r="T33" i="19" s="1"/>
  <c r="BD33" i="19"/>
  <c r="U33" i="19" s="1"/>
  <c r="BE33" i="19"/>
  <c r="V33" i="19" s="1"/>
  <c r="BF33" i="19"/>
  <c r="W33" i="19" s="1"/>
  <c r="BG33" i="19"/>
  <c r="X33" i="19" s="1"/>
  <c r="BH33" i="19"/>
  <c r="Y33" i="19" s="1"/>
  <c r="BI33" i="19"/>
  <c r="Z33" i="19" s="1"/>
  <c r="BJ33" i="19"/>
  <c r="AA33" i="19" s="1"/>
  <c r="BK33" i="19"/>
  <c r="AB33" i="19" s="1"/>
  <c r="BL33" i="19"/>
  <c r="AC33" i="19" s="1"/>
  <c r="BM33" i="19"/>
  <c r="AD33" i="19" s="1"/>
  <c r="AG34" i="19"/>
  <c r="AH34" i="19"/>
  <c r="AJ34" i="19"/>
  <c r="A34" i="19" s="1"/>
  <c r="AK34" i="19"/>
  <c r="B34" i="19" s="1"/>
  <c r="AL34" i="19"/>
  <c r="C34" i="19" s="1"/>
  <c r="AM34" i="19"/>
  <c r="D34" i="19" s="1"/>
  <c r="AN34" i="19"/>
  <c r="E34" i="19" s="1"/>
  <c r="AO34" i="19"/>
  <c r="F34" i="19" s="1"/>
  <c r="AP34" i="19"/>
  <c r="G34" i="19" s="1"/>
  <c r="AQ34" i="19"/>
  <c r="H34" i="19" s="1"/>
  <c r="AR34" i="19"/>
  <c r="I34" i="19" s="1"/>
  <c r="AS34" i="19"/>
  <c r="J34" i="19" s="1"/>
  <c r="AT34" i="19"/>
  <c r="K34" i="19" s="1"/>
  <c r="AU34" i="19"/>
  <c r="L34" i="19" s="1"/>
  <c r="AV34" i="19"/>
  <c r="M34" i="19" s="1"/>
  <c r="AW34" i="19"/>
  <c r="N34" i="19" s="1"/>
  <c r="AX34" i="19"/>
  <c r="O34" i="19" s="1"/>
  <c r="AY34" i="19"/>
  <c r="P34" i="19" s="1"/>
  <c r="AZ34" i="19"/>
  <c r="Q34" i="19" s="1"/>
  <c r="BA34" i="19"/>
  <c r="R34" i="19" s="1"/>
  <c r="BB34" i="19"/>
  <c r="S34" i="19" s="1"/>
  <c r="BC34" i="19"/>
  <c r="T34" i="19" s="1"/>
  <c r="BD34" i="19"/>
  <c r="U34" i="19" s="1"/>
  <c r="BE34" i="19"/>
  <c r="V34" i="19" s="1"/>
  <c r="BF34" i="19"/>
  <c r="W34" i="19" s="1"/>
  <c r="BG34" i="19"/>
  <c r="X34" i="19" s="1"/>
  <c r="BH34" i="19"/>
  <c r="Y34" i="19" s="1"/>
  <c r="BI34" i="19"/>
  <c r="Z34" i="19" s="1"/>
  <c r="BJ34" i="19"/>
  <c r="AA34" i="19" s="1"/>
  <c r="BK34" i="19"/>
  <c r="AB34" i="19" s="1"/>
  <c r="BL34" i="19"/>
  <c r="AC34" i="19" s="1"/>
  <c r="BM34" i="19"/>
  <c r="AD34" i="19" s="1"/>
  <c r="AG35" i="19"/>
  <c r="AH35" i="19"/>
  <c r="AJ35" i="19"/>
  <c r="A35" i="19" s="1"/>
  <c r="AK35" i="19"/>
  <c r="B35" i="19" s="1"/>
  <c r="AL35" i="19"/>
  <c r="C35" i="19" s="1"/>
  <c r="AM35" i="19"/>
  <c r="D35" i="19" s="1"/>
  <c r="AN35" i="19"/>
  <c r="E35" i="19" s="1"/>
  <c r="AO35" i="19"/>
  <c r="F35" i="19" s="1"/>
  <c r="AP35" i="19"/>
  <c r="G35" i="19" s="1"/>
  <c r="AQ35" i="19"/>
  <c r="H35" i="19" s="1"/>
  <c r="AR35" i="19"/>
  <c r="I35" i="19" s="1"/>
  <c r="AS35" i="19"/>
  <c r="J35" i="19" s="1"/>
  <c r="AT35" i="19"/>
  <c r="K35" i="19" s="1"/>
  <c r="AU35" i="19"/>
  <c r="L35" i="19" s="1"/>
  <c r="AV35" i="19"/>
  <c r="M35" i="19" s="1"/>
  <c r="AW35" i="19"/>
  <c r="N35" i="19" s="1"/>
  <c r="AX35" i="19"/>
  <c r="O35" i="19" s="1"/>
  <c r="AY35" i="19"/>
  <c r="P35" i="19" s="1"/>
  <c r="AZ35" i="19"/>
  <c r="Q35" i="19" s="1"/>
  <c r="BA35" i="19"/>
  <c r="R35" i="19" s="1"/>
  <c r="BB35" i="19"/>
  <c r="S35" i="19" s="1"/>
  <c r="BC35" i="19"/>
  <c r="T35" i="19" s="1"/>
  <c r="BD35" i="19"/>
  <c r="U35" i="19" s="1"/>
  <c r="BE35" i="19"/>
  <c r="V35" i="19" s="1"/>
  <c r="BF35" i="19"/>
  <c r="W35" i="19" s="1"/>
  <c r="BG35" i="19"/>
  <c r="X35" i="19" s="1"/>
  <c r="BH35" i="19"/>
  <c r="Y35" i="19" s="1"/>
  <c r="BI35" i="19"/>
  <c r="Z35" i="19" s="1"/>
  <c r="BJ35" i="19"/>
  <c r="AA35" i="19" s="1"/>
  <c r="BK35" i="19"/>
  <c r="AB35" i="19" s="1"/>
  <c r="BL35" i="19"/>
  <c r="AC35" i="19" s="1"/>
  <c r="BM35" i="19"/>
  <c r="AD35" i="19" s="1"/>
  <c r="AG36" i="19"/>
  <c r="AH36" i="19"/>
  <c r="AJ36" i="19"/>
  <c r="A36" i="19" s="1"/>
  <c r="AK36" i="19"/>
  <c r="B36" i="19" s="1"/>
  <c r="AL36" i="19"/>
  <c r="C36" i="19" s="1"/>
  <c r="AM36" i="19"/>
  <c r="D36" i="19" s="1"/>
  <c r="AN36" i="19"/>
  <c r="E36" i="19" s="1"/>
  <c r="AO36" i="19"/>
  <c r="F36" i="19" s="1"/>
  <c r="AP36" i="19"/>
  <c r="G36" i="19" s="1"/>
  <c r="AQ36" i="19"/>
  <c r="H36" i="19" s="1"/>
  <c r="AR36" i="19"/>
  <c r="I36" i="19" s="1"/>
  <c r="AS36" i="19"/>
  <c r="J36" i="19" s="1"/>
  <c r="AT36" i="19"/>
  <c r="K36" i="19" s="1"/>
  <c r="AU36" i="19"/>
  <c r="L36" i="19" s="1"/>
  <c r="AV36" i="19"/>
  <c r="M36" i="19" s="1"/>
  <c r="AW36" i="19"/>
  <c r="N36" i="19" s="1"/>
  <c r="AX36" i="19"/>
  <c r="O36" i="19" s="1"/>
  <c r="AY36" i="19"/>
  <c r="P36" i="19" s="1"/>
  <c r="AZ36" i="19"/>
  <c r="Q36" i="19" s="1"/>
  <c r="BA36" i="19"/>
  <c r="R36" i="19" s="1"/>
  <c r="BB36" i="19"/>
  <c r="S36" i="19" s="1"/>
  <c r="BC36" i="19"/>
  <c r="T36" i="19" s="1"/>
  <c r="BD36" i="19"/>
  <c r="U36" i="19" s="1"/>
  <c r="BE36" i="19"/>
  <c r="V36" i="19" s="1"/>
  <c r="BF36" i="19"/>
  <c r="W36" i="19" s="1"/>
  <c r="BG36" i="19"/>
  <c r="X36" i="19" s="1"/>
  <c r="BH36" i="19"/>
  <c r="Y36" i="19" s="1"/>
  <c r="BI36" i="19"/>
  <c r="Z36" i="19" s="1"/>
  <c r="BJ36" i="19"/>
  <c r="AA36" i="19" s="1"/>
  <c r="BK36" i="19"/>
  <c r="AB36" i="19" s="1"/>
  <c r="BL36" i="19"/>
  <c r="AC36" i="19" s="1"/>
  <c r="BM36" i="19"/>
  <c r="AD36" i="19" s="1"/>
  <c r="AG37" i="19"/>
  <c r="AH37" i="19"/>
  <c r="AJ37" i="19"/>
  <c r="A37" i="19" s="1"/>
  <c r="AK37" i="19"/>
  <c r="B37" i="19" s="1"/>
  <c r="AL37" i="19"/>
  <c r="C37" i="19" s="1"/>
  <c r="AM37" i="19"/>
  <c r="D37" i="19" s="1"/>
  <c r="AN37" i="19"/>
  <c r="E37" i="19" s="1"/>
  <c r="AO37" i="19"/>
  <c r="F37" i="19" s="1"/>
  <c r="AP37" i="19"/>
  <c r="G37" i="19" s="1"/>
  <c r="AQ37" i="19"/>
  <c r="H37" i="19" s="1"/>
  <c r="AR37" i="19"/>
  <c r="I37" i="19" s="1"/>
  <c r="AS37" i="19"/>
  <c r="J37" i="19" s="1"/>
  <c r="AT37" i="19"/>
  <c r="K37" i="19" s="1"/>
  <c r="AU37" i="19"/>
  <c r="L37" i="19" s="1"/>
  <c r="AV37" i="19"/>
  <c r="M37" i="19" s="1"/>
  <c r="AW37" i="19"/>
  <c r="N37" i="19" s="1"/>
  <c r="AX37" i="19"/>
  <c r="O37" i="19" s="1"/>
  <c r="AY37" i="19"/>
  <c r="P37" i="19" s="1"/>
  <c r="AZ37" i="19"/>
  <c r="Q37" i="19" s="1"/>
  <c r="BA37" i="19"/>
  <c r="R37" i="19" s="1"/>
  <c r="BB37" i="19"/>
  <c r="S37" i="19" s="1"/>
  <c r="BC37" i="19"/>
  <c r="T37" i="19" s="1"/>
  <c r="BD37" i="19"/>
  <c r="U37" i="19" s="1"/>
  <c r="BE37" i="19"/>
  <c r="V37" i="19" s="1"/>
  <c r="BF37" i="19"/>
  <c r="W37" i="19" s="1"/>
  <c r="BG37" i="19"/>
  <c r="X37" i="19" s="1"/>
  <c r="BH37" i="19"/>
  <c r="Y37" i="19" s="1"/>
  <c r="BI37" i="19"/>
  <c r="Z37" i="19" s="1"/>
  <c r="BJ37" i="19"/>
  <c r="AA37" i="19" s="1"/>
  <c r="BK37" i="19"/>
  <c r="AB37" i="19" s="1"/>
  <c r="BL37" i="19"/>
  <c r="AC37" i="19" s="1"/>
  <c r="BM37" i="19"/>
  <c r="AD37" i="19" s="1"/>
  <c r="AG38" i="19"/>
  <c r="AH38" i="19"/>
  <c r="AJ38" i="19"/>
  <c r="A38" i="19" s="1"/>
  <c r="AK38" i="19"/>
  <c r="B38" i="19" s="1"/>
  <c r="AL38" i="19"/>
  <c r="C38" i="19" s="1"/>
  <c r="AM38" i="19"/>
  <c r="D38" i="19" s="1"/>
  <c r="AN38" i="19"/>
  <c r="E38" i="19" s="1"/>
  <c r="AO38" i="19"/>
  <c r="F38" i="19" s="1"/>
  <c r="AP38" i="19"/>
  <c r="G38" i="19" s="1"/>
  <c r="AQ38" i="19"/>
  <c r="H38" i="19" s="1"/>
  <c r="AR38" i="19"/>
  <c r="I38" i="19" s="1"/>
  <c r="AS38" i="19"/>
  <c r="J38" i="19" s="1"/>
  <c r="AT38" i="19"/>
  <c r="K38" i="19" s="1"/>
  <c r="AU38" i="19"/>
  <c r="L38" i="19" s="1"/>
  <c r="AV38" i="19"/>
  <c r="M38" i="19" s="1"/>
  <c r="AW38" i="19"/>
  <c r="N38" i="19" s="1"/>
  <c r="AX38" i="19"/>
  <c r="O38" i="19" s="1"/>
  <c r="AY38" i="19"/>
  <c r="P38" i="19" s="1"/>
  <c r="AZ38" i="19"/>
  <c r="Q38" i="19" s="1"/>
  <c r="BA38" i="19"/>
  <c r="R38" i="19" s="1"/>
  <c r="BB38" i="19"/>
  <c r="S38" i="19" s="1"/>
  <c r="BC38" i="19"/>
  <c r="T38" i="19" s="1"/>
  <c r="BD38" i="19"/>
  <c r="U38" i="19" s="1"/>
  <c r="BE38" i="19"/>
  <c r="V38" i="19" s="1"/>
  <c r="BF38" i="19"/>
  <c r="W38" i="19" s="1"/>
  <c r="BG38" i="19"/>
  <c r="X38" i="19" s="1"/>
  <c r="BH38" i="19"/>
  <c r="Y38" i="19" s="1"/>
  <c r="BI38" i="19"/>
  <c r="Z38" i="19" s="1"/>
  <c r="BJ38" i="19"/>
  <c r="AA38" i="19" s="1"/>
  <c r="BK38" i="19"/>
  <c r="AB38" i="19" s="1"/>
  <c r="BL38" i="19"/>
  <c r="AC38" i="19" s="1"/>
  <c r="BM38" i="19"/>
  <c r="AD38" i="19" s="1"/>
  <c r="AG39" i="19"/>
  <c r="AH39" i="19"/>
  <c r="AJ39" i="19"/>
  <c r="A39" i="19" s="1"/>
  <c r="AK39" i="19"/>
  <c r="B39" i="19" s="1"/>
  <c r="AL39" i="19"/>
  <c r="C39" i="19" s="1"/>
  <c r="AM39" i="19"/>
  <c r="D39" i="19" s="1"/>
  <c r="AN39" i="19"/>
  <c r="E39" i="19" s="1"/>
  <c r="AO39" i="19"/>
  <c r="F39" i="19" s="1"/>
  <c r="AP39" i="19"/>
  <c r="G39" i="19" s="1"/>
  <c r="AQ39" i="19"/>
  <c r="H39" i="19" s="1"/>
  <c r="AR39" i="19"/>
  <c r="I39" i="19" s="1"/>
  <c r="AS39" i="19"/>
  <c r="J39" i="19" s="1"/>
  <c r="AT39" i="19"/>
  <c r="K39" i="19" s="1"/>
  <c r="AU39" i="19"/>
  <c r="L39" i="19" s="1"/>
  <c r="AV39" i="19"/>
  <c r="M39" i="19" s="1"/>
  <c r="AW39" i="19"/>
  <c r="N39" i="19" s="1"/>
  <c r="AX39" i="19"/>
  <c r="O39" i="19" s="1"/>
  <c r="AY39" i="19"/>
  <c r="P39" i="19" s="1"/>
  <c r="AZ39" i="19"/>
  <c r="Q39" i="19" s="1"/>
  <c r="BA39" i="19"/>
  <c r="R39" i="19" s="1"/>
  <c r="BB39" i="19"/>
  <c r="S39" i="19" s="1"/>
  <c r="BC39" i="19"/>
  <c r="T39" i="19" s="1"/>
  <c r="BD39" i="19"/>
  <c r="U39" i="19" s="1"/>
  <c r="BE39" i="19"/>
  <c r="V39" i="19" s="1"/>
  <c r="BF39" i="19"/>
  <c r="W39" i="19" s="1"/>
  <c r="BG39" i="19"/>
  <c r="X39" i="19" s="1"/>
  <c r="BH39" i="19"/>
  <c r="Y39" i="19" s="1"/>
  <c r="BI39" i="19"/>
  <c r="Z39" i="19" s="1"/>
  <c r="BJ39" i="19"/>
  <c r="AA39" i="19" s="1"/>
  <c r="BK39" i="19"/>
  <c r="AB39" i="19" s="1"/>
  <c r="BL39" i="19"/>
  <c r="AC39" i="19" s="1"/>
  <c r="BM39" i="19"/>
  <c r="AD39" i="19" s="1"/>
  <c r="AG40" i="19"/>
  <c r="AH40" i="19"/>
  <c r="AJ40" i="19"/>
  <c r="A40" i="19" s="1"/>
  <c r="AK40" i="19"/>
  <c r="B40" i="19" s="1"/>
  <c r="AL40" i="19"/>
  <c r="C40" i="19" s="1"/>
  <c r="AM40" i="19"/>
  <c r="D40" i="19" s="1"/>
  <c r="AN40" i="19"/>
  <c r="E40" i="19" s="1"/>
  <c r="AO40" i="19"/>
  <c r="F40" i="19" s="1"/>
  <c r="AP40" i="19"/>
  <c r="G40" i="19" s="1"/>
  <c r="AQ40" i="19"/>
  <c r="H40" i="19" s="1"/>
  <c r="AR40" i="19"/>
  <c r="I40" i="19" s="1"/>
  <c r="AS40" i="19"/>
  <c r="J40" i="19" s="1"/>
  <c r="AT40" i="19"/>
  <c r="K40" i="19" s="1"/>
  <c r="AU40" i="19"/>
  <c r="L40" i="19" s="1"/>
  <c r="AV40" i="19"/>
  <c r="M40" i="19" s="1"/>
  <c r="AW40" i="19"/>
  <c r="N40" i="19" s="1"/>
  <c r="AX40" i="19"/>
  <c r="O40" i="19" s="1"/>
  <c r="AY40" i="19"/>
  <c r="P40" i="19" s="1"/>
  <c r="AZ40" i="19"/>
  <c r="Q40" i="19" s="1"/>
  <c r="BA40" i="19"/>
  <c r="R40" i="19" s="1"/>
  <c r="BB40" i="19"/>
  <c r="S40" i="19" s="1"/>
  <c r="BC40" i="19"/>
  <c r="T40" i="19" s="1"/>
  <c r="BD40" i="19"/>
  <c r="U40" i="19" s="1"/>
  <c r="BE40" i="19"/>
  <c r="V40" i="19" s="1"/>
  <c r="BF40" i="19"/>
  <c r="W40" i="19" s="1"/>
  <c r="BG40" i="19"/>
  <c r="X40" i="19" s="1"/>
  <c r="BH40" i="19"/>
  <c r="Y40" i="19" s="1"/>
  <c r="BI40" i="19"/>
  <c r="Z40" i="19" s="1"/>
  <c r="BJ40" i="19"/>
  <c r="AA40" i="19" s="1"/>
  <c r="BK40" i="19"/>
  <c r="AB40" i="19" s="1"/>
  <c r="BL40" i="19"/>
  <c r="AC40" i="19" s="1"/>
  <c r="BM40" i="19"/>
  <c r="AD40" i="19" s="1"/>
  <c r="AG41" i="19"/>
  <c r="AH41" i="19"/>
  <c r="AJ41" i="19"/>
  <c r="A41" i="19" s="1"/>
  <c r="AK41" i="19"/>
  <c r="B41" i="19" s="1"/>
  <c r="AL41" i="19"/>
  <c r="C41" i="19" s="1"/>
  <c r="AM41" i="19"/>
  <c r="D41" i="19" s="1"/>
  <c r="AN41" i="19"/>
  <c r="E41" i="19" s="1"/>
  <c r="AO41" i="19"/>
  <c r="F41" i="19" s="1"/>
  <c r="AP41" i="19"/>
  <c r="G41" i="19" s="1"/>
  <c r="AQ41" i="19"/>
  <c r="H41" i="19" s="1"/>
  <c r="AR41" i="19"/>
  <c r="I41" i="19" s="1"/>
  <c r="AS41" i="19"/>
  <c r="J41" i="19" s="1"/>
  <c r="AT41" i="19"/>
  <c r="K41" i="19" s="1"/>
  <c r="AU41" i="19"/>
  <c r="L41" i="19" s="1"/>
  <c r="AV41" i="19"/>
  <c r="M41" i="19" s="1"/>
  <c r="AW41" i="19"/>
  <c r="N41" i="19" s="1"/>
  <c r="AX41" i="19"/>
  <c r="O41" i="19" s="1"/>
  <c r="AY41" i="19"/>
  <c r="P41" i="19" s="1"/>
  <c r="AZ41" i="19"/>
  <c r="Q41" i="19" s="1"/>
  <c r="BA41" i="19"/>
  <c r="R41" i="19" s="1"/>
  <c r="BB41" i="19"/>
  <c r="S41" i="19" s="1"/>
  <c r="BC41" i="19"/>
  <c r="T41" i="19" s="1"/>
  <c r="BD41" i="19"/>
  <c r="U41" i="19" s="1"/>
  <c r="BE41" i="19"/>
  <c r="V41" i="19" s="1"/>
  <c r="BF41" i="19"/>
  <c r="W41" i="19" s="1"/>
  <c r="BG41" i="19"/>
  <c r="X41" i="19" s="1"/>
  <c r="BH41" i="19"/>
  <c r="Y41" i="19" s="1"/>
  <c r="BI41" i="19"/>
  <c r="Z41" i="19" s="1"/>
  <c r="BJ41" i="19"/>
  <c r="AA41" i="19" s="1"/>
  <c r="BK41" i="19"/>
  <c r="AB41" i="19" s="1"/>
  <c r="BL41" i="19"/>
  <c r="AC41" i="19" s="1"/>
  <c r="BM41" i="19"/>
  <c r="AD41" i="19" s="1"/>
  <c r="AG42" i="19"/>
  <c r="AH42" i="19"/>
  <c r="AJ42" i="19"/>
  <c r="A42" i="19" s="1"/>
  <c r="AK42" i="19"/>
  <c r="B42" i="19" s="1"/>
  <c r="AL42" i="19"/>
  <c r="C42" i="19" s="1"/>
  <c r="AM42" i="19"/>
  <c r="D42" i="19" s="1"/>
  <c r="AN42" i="19"/>
  <c r="E42" i="19" s="1"/>
  <c r="AO42" i="19"/>
  <c r="F42" i="19" s="1"/>
  <c r="AP42" i="19"/>
  <c r="G42" i="19" s="1"/>
  <c r="AQ42" i="19"/>
  <c r="H42" i="19" s="1"/>
  <c r="AR42" i="19"/>
  <c r="I42" i="19" s="1"/>
  <c r="AS42" i="19"/>
  <c r="J42" i="19" s="1"/>
  <c r="AT42" i="19"/>
  <c r="K42" i="19" s="1"/>
  <c r="AU42" i="19"/>
  <c r="L42" i="19" s="1"/>
  <c r="AV42" i="19"/>
  <c r="M42" i="19" s="1"/>
  <c r="AW42" i="19"/>
  <c r="N42" i="19" s="1"/>
  <c r="AX42" i="19"/>
  <c r="O42" i="19" s="1"/>
  <c r="AY42" i="19"/>
  <c r="P42" i="19" s="1"/>
  <c r="AZ42" i="19"/>
  <c r="Q42" i="19" s="1"/>
  <c r="BA42" i="19"/>
  <c r="R42" i="19" s="1"/>
  <c r="BB42" i="19"/>
  <c r="S42" i="19" s="1"/>
  <c r="BC42" i="19"/>
  <c r="T42" i="19" s="1"/>
  <c r="BD42" i="19"/>
  <c r="U42" i="19" s="1"/>
  <c r="BE42" i="19"/>
  <c r="V42" i="19" s="1"/>
  <c r="BF42" i="19"/>
  <c r="W42" i="19" s="1"/>
  <c r="BG42" i="19"/>
  <c r="X42" i="19" s="1"/>
  <c r="BH42" i="19"/>
  <c r="Y42" i="19" s="1"/>
  <c r="BI42" i="19"/>
  <c r="Z42" i="19" s="1"/>
  <c r="BJ42" i="19"/>
  <c r="AA42" i="19" s="1"/>
  <c r="BK42" i="19"/>
  <c r="AB42" i="19" s="1"/>
  <c r="BL42" i="19"/>
  <c r="AC42" i="19" s="1"/>
  <c r="BM42" i="19"/>
  <c r="AD42" i="19" s="1"/>
  <c r="AG43" i="19"/>
  <c r="AH43" i="19"/>
  <c r="AJ43" i="19"/>
  <c r="A43" i="19" s="1"/>
  <c r="AK43" i="19"/>
  <c r="B43" i="19" s="1"/>
  <c r="AL43" i="19"/>
  <c r="C43" i="19" s="1"/>
  <c r="AM43" i="19"/>
  <c r="D43" i="19" s="1"/>
  <c r="AN43" i="19"/>
  <c r="E43" i="19" s="1"/>
  <c r="AO43" i="19"/>
  <c r="F43" i="19" s="1"/>
  <c r="AP43" i="19"/>
  <c r="G43" i="19" s="1"/>
  <c r="AQ43" i="19"/>
  <c r="H43" i="19" s="1"/>
  <c r="AR43" i="19"/>
  <c r="I43" i="19" s="1"/>
  <c r="AS43" i="19"/>
  <c r="J43" i="19" s="1"/>
  <c r="AT43" i="19"/>
  <c r="K43" i="19" s="1"/>
  <c r="AU43" i="19"/>
  <c r="L43" i="19" s="1"/>
  <c r="AV43" i="19"/>
  <c r="M43" i="19" s="1"/>
  <c r="AW43" i="19"/>
  <c r="N43" i="19" s="1"/>
  <c r="AX43" i="19"/>
  <c r="O43" i="19" s="1"/>
  <c r="AY43" i="19"/>
  <c r="P43" i="19" s="1"/>
  <c r="AZ43" i="19"/>
  <c r="Q43" i="19" s="1"/>
  <c r="BA43" i="19"/>
  <c r="R43" i="19" s="1"/>
  <c r="BB43" i="19"/>
  <c r="S43" i="19" s="1"/>
  <c r="BC43" i="19"/>
  <c r="T43" i="19" s="1"/>
  <c r="BD43" i="19"/>
  <c r="U43" i="19" s="1"/>
  <c r="BE43" i="19"/>
  <c r="V43" i="19" s="1"/>
  <c r="BF43" i="19"/>
  <c r="W43" i="19" s="1"/>
  <c r="BG43" i="19"/>
  <c r="X43" i="19" s="1"/>
  <c r="BH43" i="19"/>
  <c r="Y43" i="19" s="1"/>
  <c r="BI43" i="19"/>
  <c r="Z43" i="19" s="1"/>
  <c r="BJ43" i="19"/>
  <c r="AA43" i="19" s="1"/>
  <c r="BK43" i="19"/>
  <c r="AB43" i="19" s="1"/>
  <c r="BL43" i="19"/>
  <c r="AC43" i="19" s="1"/>
  <c r="BM43" i="19"/>
  <c r="AD43" i="19" s="1"/>
  <c r="AG44" i="19"/>
  <c r="AH44" i="19"/>
  <c r="AJ44" i="19"/>
  <c r="A44" i="19" s="1"/>
  <c r="AK44" i="19"/>
  <c r="B44" i="19" s="1"/>
  <c r="AL44" i="19"/>
  <c r="C44" i="19" s="1"/>
  <c r="AM44" i="19"/>
  <c r="D44" i="19" s="1"/>
  <c r="AN44" i="19"/>
  <c r="E44" i="19" s="1"/>
  <c r="AO44" i="19"/>
  <c r="F44" i="19" s="1"/>
  <c r="AP44" i="19"/>
  <c r="G44" i="19" s="1"/>
  <c r="AQ44" i="19"/>
  <c r="H44" i="19" s="1"/>
  <c r="AR44" i="19"/>
  <c r="I44" i="19" s="1"/>
  <c r="AS44" i="19"/>
  <c r="J44" i="19" s="1"/>
  <c r="AT44" i="19"/>
  <c r="K44" i="19" s="1"/>
  <c r="AU44" i="19"/>
  <c r="L44" i="19" s="1"/>
  <c r="AV44" i="19"/>
  <c r="M44" i="19" s="1"/>
  <c r="AW44" i="19"/>
  <c r="N44" i="19" s="1"/>
  <c r="AX44" i="19"/>
  <c r="O44" i="19" s="1"/>
  <c r="AY44" i="19"/>
  <c r="P44" i="19" s="1"/>
  <c r="AZ44" i="19"/>
  <c r="Q44" i="19" s="1"/>
  <c r="BA44" i="19"/>
  <c r="R44" i="19" s="1"/>
  <c r="BB44" i="19"/>
  <c r="S44" i="19" s="1"/>
  <c r="BC44" i="19"/>
  <c r="T44" i="19" s="1"/>
  <c r="BD44" i="19"/>
  <c r="U44" i="19" s="1"/>
  <c r="BE44" i="19"/>
  <c r="V44" i="19" s="1"/>
  <c r="BF44" i="19"/>
  <c r="W44" i="19" s="1"/>
  <c r="BG44" i="19"/>
  <c r="X44" i="19" s="1"/>
  <c r="BH44" i="19"/>
  <c r="Y44" i="19" s="1"/>
  <c r="BI44" i="19"/>
  <c r="Z44" i="19" s="1"/>
  <c r="BJ44" i="19"/>
  <c r="AA44" i="19" s="1"/>
  <c r="BK44" i="19"/>
  <c r="AB44" i="19" s="1"/>
  <c r="BL44" i="19"/>
  <c r="AC44" i="19" s="1"/>
  <c r="BM44" i="19"/>
  <c r="AD44" i="19" s="1"/>
  <c r="AG45" i="19"/>
  <c r="AH45" i="19"/>
  <c r="AJ45" i="19"/>
  <c r="A45" i="19" s="1"/>
  <c r="AK45" i="19"/>
  <c r="B45" i="19" s="1"/>
  <c r="AL45" i="19"/>
  <c r="C45" i="19" s="1"/>
  <c r="AM45" i="19"/>
  <c r="D45" i="19" s="1"/>
  <c r="AN45" i="19"/>
  <c r="E45" i="19" s="1"/>
  <c r="AO45" i="19"/>
  <c r="F45" i="19" s="1"/>
  <c r="AP45" i="19"/>
  <c r="G45" i="19" s="1"/>
  <c r="AQ45" i="19"/>
  <c r="H45" i="19" s="1"/>
  <c r="AR45" i="19"/>
  <c r="I45" i="19" s="1"/>
  <c r="AS45" i="19"/>
  <c r="J45" i="19" s="1"/>
  <c r="AT45" i="19"/>
  <c r="K45" i="19" s="1"/>
  <c r="AU45" i="19"/>
  <c r="L45" i="19" s="1"/>
  <c r="AV45" i="19"/>
  <c r="M45" i="19" s="1"/>
  <c r="AW45" i="19"/>
  <c r="N45" i="19" s="1"/>
  <c r="AX45" i="19"/>
  <c r="O45" i="19" s="1"/>
  <c r="AY45" i="19"/>
  <c r="P45" i="19" s="1"/>
  <c r="AZ45" i="19"/>
  <c r="Q45" i="19" s="1"/>
  <c r="BA45" i="19"/>
  <c r="R45" i="19" s="1"/>
  <c r="BB45" i="19"/>
  <c r="S45" i="19" s="1"/>
  <c r="BC45" i="19"/>
  <c r="T45" i="19" s="1"/>
  <c r="BD45" i="19"/>
  <c r="U45" i="19" s="1"/>
  <c r="BE45" i="19"/>
  <c r="V45" i="19" s="1"/>
  <c r="BF45" i="19"/>
  <c r="W45" i="19" s="1"/>
  <c r="BG45" i="19"/>
  <c r="X45" i="19" s="1"/>
  <c r="BH45" i="19"/>
  <c r="Y45" i="19" s="1"/>
  <c r="BI45" i="19"/>
  <c r="Z45" i="19" s="1"/>
  <c r="BJ45" i="19"/>
  <c r="AA45" i="19" s="1"/>
  <c r="BK45" i="19"/>
  <c r="AB45" i="19" s="1"/>
  <c r="BL45" i="19"/>
  <c r="AC45" i="19" s="1"/>
  <c r="BM45" i="19"/>
  <c r="AD45" i="19" s="1"/>
  <c r="AG46" i="19"/>
  <c r="AH46" i="19"/>
  <c r="AJ46" i="19"/>
  <c r="A46" i="19" s="1"/>
  <c r="AK46" i="19"/>
  <c r="B46" i="19" s="1"/>
  <c r="AL46" i="19"/>
  <c r="C46" i="19" s="1"/>
  <c r="AM46" i="19"/>
  <c r="D46" i="19" s="1"/>
  <c r="AN46" i="19"/>
  <c r="E46" i="19" s="1"/>
  <c r="AO46" i="19"/>
  <c r="F46" i="19" s="1"/>
  <c r="AP46" i="19"/>
  <c r="G46" i="19" s="1"/>
  <c r="AQ46" i="19"/>
  <c r="H46" i="19" s="1"/>
  <c r="AR46" i="19"/>
  <c r="I46" i="19" s="1"/>
  <c r="AS46" i="19"/>
  <c r="J46" i="19" s="1"/>
  <c r="AT46" i="19"/>
  <c r="K46" i="19" s="1"/>
  <c r="AU46" i="19"/>
  <c r="L46" i="19" s="1"/>
  <c r="AV46" i="19"/>
  <c r="M46" i="19" s="1"/>
  <c r="AW46" i="19"/>
  <c r="N46" i="19" s="1"/>
  <c r="AX46" i="19"/>
  <c r="O46" i="19" s="1"/>
  <c r="AY46" i="19"/>
  <c r="P46" i="19" s="1"/>
  <c r="AZ46" i="19"/>
  <c r="Q46" i="19" s="1"/>
  <c r="BA46" i="19"/>
  <c r="R46" i="19" s="1"/>
  <c r="BB46" i="19"/>
  <c r="S46" i="19" s="1"/>
  <c r="BC46" i="19"/>
  <c r="T46" i="19" s="1"/>
  <c r="BD46" i="19"/>
  <c r="U46" i="19" s="1"/>
  <c r="BE46" i="19"/>
  <c r="V46" i="19" s="1"/>
  <c r="BF46" i="19"/>
  <c r="W46" i="19" s="1"/>
  <c r="BG46" i="19"/>
  <c r="X46" i="19" s="1"/>
  <c r="BH46" i="19"/>
  <c r="Y46" i="19" s="1"/>
  <c r="BI46" i="19"/>
  <c r="Z46" i="19" s="1"/>
  <c r="BJ46" i="19"/>
  <c r="AA46" i="19" s="1"/>
  <c r="BK46" i="19"/>
  <c r="AB46" i="19" s="1"/>
  <c r="BL46" i="19"/>
  <c r="AC46" i="19" s="1"/>
  <c r="BM46" i="19"/>
  <c r="AD46" i="19" s="1"/>
  <c r="AG47" i="19"/>
  <c r="AH47" i="19"/>
  <c r="AJ47" i="19"/>
  <c r="A47" i="19" s="1"/>
  <c r="AK47" i="19"/>
  <c r="B47" i="19" s="1"/>
  <c r="AL47" i="19"/>
  <c r="C47" i="19" s="1"/>
  <c r="AM47" i="19"/>
  <c r="D47" i="19" s="1"/>
  <c r="AN47" i="19"/>
  <c r="E47" i="19" s="1"/>
  <c r="AO47" i="19"/>
  <c r="F47" i="19" s="1"/>
  <c r="AP47" i="19"/>
  <c r="G47" i="19" s="1"/>
  <c r="AQ47" i="19"/>
  <c r="H47" i="19" s="1"/>
  <c r="AR47" i="19"/>
  <c r="I47" i="19" s="1"/>
  <c r="AS47" i="19"/>
  <c r="J47" i="19" s="1"/>
  <c r="AT47" i="19"/>
  <c r="K47" i="19" s="1"/>
  <c r="AU47" i="19"/>
  <c r="L47" i="19" s="1"/>
  <c r="AV47" i="19"/>
  <c r="M47" i="19" s="1"/>
  <c r="AW47" i="19"/>
  <c r="N47" i="19" s="1"/>
  <c r="AX47" i="19"/>
  <c r="O47" i="19" s="1"/>
  <c r="AY47" i="19"/>
  <c r="P47" i="19" s="1"/>
  <c r="AZ47" i="19"/>
  <c r="Q47" i="19" s="1"/>
  <c r="BA47" i="19"/>
  <c r="R47" i="19" s="1"/>
  <c r="BB47" i="19"/>
  <c r="S47" i="19" s="1"/>
  <c r="BC47" i="19"/>
  <c r="T47" i="19" s="1"/>
  <c r="BD47" i="19"/>
  <c r="U47" i="19" s="1"/>
  <c r="BE47" i="19"/>
  <c r="V47" i="19" s="1"/>
  <c r="BF47" i="19"/>
  <c r="W47" i="19" s="1"/>
  <c r="BG47" i="19"/>
  <c r="X47" i="19" s="1"/>
  <c r="BH47" i="19"/>
  <c r="Y47" i="19" s="1"/>
  <c r="BI47" i="19"/>
  <c r="Z47" i="19" s="1"/>
  <c r="BJ47" i="19"/>
  <c r="AA47" i="19" s="1"/>
  <c r="BK47" i="19"/>
  <c r="AB47" i="19" s="1"/>
  <c r="BL47" i="19"/>
  <c r="AC47" i="19" s="1"/>
  <c r="BM47" i="19"/>
  <c r="AD47" i="19" s="1"/>
  <c r="AG48" i="19"/>
  <c r="AH48" i="19"/>
  <c r="AJ48" i="19"/>
  <c r="A48" i="19" s="1"/>
  <c r="AK48" i="19"/>
  <c r="B48" i="19" s="1"/>
  <c r="AL48" i="19"/>
  <c r="C48" i="19" s="1"/>
  <c r="AM48" i="19"/>
  <c r="D48" i="19" s="1"/>
  <c r="AN48" i="19"/>
  <c r="E48" i="19" s="1"/>
  <c r="AO48" i="19"/>
  <c r="F48" i="19" s="1"/>
  <c r="AP48" i="19"/>
  <c r="G48" i="19" s="1"/>
  <c r="AQ48" i="19"/>
  <c r="H48" i="19" s="1"/>
  <c r="AR48" i="19"/>
  <c r="I48" i="19" s="1"/>
  <c r="AS48" i="19"/>
  <c r="J48" i="19" s="1"/>
  <c r="AT48" i="19"/>
  <c r="K48" i="19" s="1"/>
  <c r="AU48" i="19"/>
  <c r="L48" i="19" s="1"/>
  <c r="AV48" i="19"/>
  <c r="M48" i="19" s="1"/>
  <c r="AW48" i="19"/>
  <c r="N48" i="19" s="1"/>
  <c r="AX48" i="19"/>
  <c r="O48" i="19" s="1"/>
  <c r="AY48" i="19"/>
  <c r="P48" i="19" s="1"/>
  <c r="AZ48" i="19"/>
  <c r="Q48" i="19" s="1"/>
  <c r="BA48" i="19"/>
  <c r="R48" i="19" s="1"/>
  <c r="BB48" i="19"/>
  <c r="S48" i="19" s="1"/>
  <c r="BC48" i="19"/>
  <c r="T48" i="19" s="1"/>
  <c r="BD48" i="19"/>
  <c r="U48" i="19" s="1"/>
  <c r="BE48" i="19"/>
  <c r="V48" i="19" s="1"/>
  <c r="BF48" i="19"/>
  <c r="W48" i="19" s="1"/>
  <c r="BG48" i="19"/>
  <c r="X48" i="19" s="1"/>
  <c r="BH48" i="19"/>
  <c r="Y48" i="19" s="1"/>
  <c r="BI48" i="19"/>
  <c r="Z48" i="19" s="1"/>
  <c r="BJ48" i="19"/>
  <c r="AA48" i="19" s="1"/>
  <c r="BK48" i="19"/>
  <c r="AB48" i="19" s="1"/>
  <c r="BL48" i="19"/>
  <c r="AC48" i="19" s="1"/>
  <c r="BM48" i="19"/>
  <c r="AD48" i="19" s="1"/>
  <c r="AG49" i="19"/>
  <c r="AH49" i="19"/>
  <c r="AJ49" i="19"/>
  <c r="A49" i="19" s="1"/>
  <c r="AK49" i="19"/>
  <c r="B49" i="19" s="1"/>
  <c r="AL49" i="19"/>
  <c r="C49" i="19" s="1"/>
  <c r="AM49" i="19"/>
  <c r="D49" i="19" s="1"/>
  <c r="AN49" i="19"/>
  <c r="E49" i="19" s="1"/>
  <c r="AO49" i="19"/>
  <c r="F49" i="19" s="1"/>
  <c r="AP49" i="19"/>
  <c r="G49" i="19" s="1"/>
  <c r="AQ49" i="19"/>
  <c r="H49" i="19" s="1"/>
  <c r="AR49" i="19"/>
  <c r="I49" i="19" s="1"/>
  <c r="AS49" i="19"/>
  <c r="J49" i="19" s="1"/>
  <c r="AT49" i="19"/>
  <c r="K49" i="19" s="1"/>
  <c r="AU49" i="19"/>
  <c r="L49" i="19" s="1"/>
  <c r="AV49" i="19"/>
  <c r="M49" i="19" s="1"/>
  <c r="AW49" i="19"/>
  <c r="N49" i="19" s="1"/>
  <c r="AX49" i="19"/>
  <c r="O49" i="19" s="1"/>
  <c r="AY49" i="19"/>
  <c r="P49" i="19" s="1"/>
  <c r="AZ49" i="19"/>
  <c r="Q49" i="19" s="1"/>
  <c r="BA49" i="19"/>
  <c r="R49" i="19" s="1"/>
  <c r="BB49" i="19"/>
  <c r="S49" i="19" s="1"/>
  <c r="BC49" i="19"/>
  <c r="T49" i="19" s="1"/>
  <c r="BD49" i="19"/>
  <c r="U49" i="19" s="1"/>
  <c r="BE49" i="19"/>
  <c r="V49" i="19" s="1"/>
  <c r="BF49" i="19"/>
  <c r="W49" i="19" s="1"/>
  <c r="BG49" i="19"/>
  <c r="X49" i="19" s="1"/>
  <c r="BH49" i="19"/>
  <c r="Y49" i="19" s="1"/>
  <c r="BI49" i="19"/>
  <c r="Z49" i="19" s="1"/>
  <c r="BJ49" i="19"/>
  <c r="AA49" i="19" s="1"/>
  <c r="BK49" i="19"/>
  <c r="AB49" i="19" s="1"/>
  <c r="BL49" i="19"/>
  <c r="AC49" i="19" s="1"/>
  <c r="BM49" i="19"/>
  <c r="AD49" i="19" s="1"/>
  <c r="AG50" i="19"/>
  <c r="AH50" i="19"/>
  <c r="AJ50" i="19"/>
  <c r="A50" i="19" s="1"/>
  <c r="AK50" i="19"/>
  <c r="B50" i="19" s="1"/>
  <c r="AL50" i="19"/>
  <c r="C50" i="19" s="1"/>
  <c r="AM50" i="19"/>
  <c r="D50" i="19" s="1"/>
  <c r="AN50" i="19"/>
  <c r="E50" i="19" s="1"/>
  <c r="AO50" i="19"/>
  <c r="F50" i="19" s="1"/>
  <c r="AP50" i="19"/>
  <c r="G50" i="19" s="1"/>
  <c r="AQ50" i="19"/>
  <c r="H50" i="19" s="1"/>
  <c r="AR50" i="19"/>
  <c r="I50" i="19" s="1"/>
  <c r="AS50" i="19"/>
  <c r="J50" i="19" s="1"/>
  <c r="AT50" i="19"/>
  <c r="K50" i="19" s="1"/>
  <c r="AU50" i="19"/>
  <c r="L50" i="19" s="1"/>
  <c r="AV50" i="19"/>
  <c r="M50" i="19" s="1"/>
  <c r="AW50" i="19"/>
  <c r="N50" i="19" s="1"/>
  <c r="AX50" i="19"/>
  <c r="O50" i="19" s="1"/>
  <c r="AY50" i="19"/>
  <c r="P50" i="19" s="1"/>
  <c r="AZ50" i="19"/>
  <c r="Q50" i="19" s="1"/>
  <c r="BA50" i="19"/>
  <c r="R50" i="19" s="1"/>
  <c r="BB50" i="19"/>
  <c r="S50" i="19" s="1"/>
  <c r="BC50" i="19"/>
  <c r="T50" i="19" s="1"/>
  <c r="BD50" i="19"/>
  <c r="U50" i="19" s="1"/>
  <c r="BE50" i="19"/>
  <c r="V50" i="19" s="1"/>
  <c r="BF50" i="19"/>
  <c r="W50" i="19" s="1"/>
  <c r="BG50" i="19"/>
  <c r="X50" i="19" s="1"/>
  <c r="BH50" i="19"/>
  <c r="Y50" i="19" s="1"/>
  <c r="BI50" i="19"/>
  <c r="Z50" i="19" s="1"/>
  <c r="BJ50" i="19"/>
  <c r="AA50" i="19" s="1"/>
  <c r="BK50" i="19"/>
  <c r="AB50" i="19" s="1"/>
  <c r="BL50" i="19"/>
  <c r="AC50" i="19" s="1"/>
  <c r="BM50" i="19"/>
  <c r="AD50" i="19" s="1"/>
  <c r="AG51" i="19"/>
  <c r="AH51" i="19"/>
  <c r="AJ51" i="19"/>
  <c r="A51" i="19" s="1"/>
  <c r="AK51" i="19"/>
  <c r="B51" i="19" s="1"/>
  <c r="AL51" i="19"/>
  <c r="C51" i="19" s="1"/>
  <c r="AM51" i="19"/>
  <c r="D51" i="19" s="1"/>
  <c r="AN51" i="19"/>
  <c r="E51" i="19" s="1"/>
  <c r="AO51" i="19"/>
  <c r="F51" i="19" s="1"/>
  <c r="AP51" i="19"/>
  <c r="G51" i="19" s="1"/>
  <c r="AQ51" i="19"/>
  <c r="H51" i="19" s="1"/>
  <c r="AR51" i="19"/>
  <c r="I51" i="19" s="1"/>
  <c r="AS51" i="19"/>
  <c r="J51" i="19" s="1"/>
  <c r="AT51" i="19"/>
  <c r="K51" i="19" s="1"/>
  <c r="AU51" i="19"/>
  <c r="L51" i="19" s="1"/>
  <c r="AV51" i="19"/>
  <c r="M51" i="19" s="1"/>
  <c r="AW51" i="19"/>
  <c r="N51" i="19" s="1"/>
  <c r="AX51" i="19"/>
  <c r="O51" i="19" s="1"/>
  <c r="AY51" i="19"/>
  <c r="P51" i="19" s="1"/>
  <c r="AZ51" i="19"/>
  <c r="Q51" i="19" s="1"/>
  <c r="BA51" i="19"/>
  <c r="R51" i="19" s="1"/>
  <c r="BB51" i="19"/>
  <c r="S51" i="19" s="1"/>
  <c r="BC51" i="19"/>
  <c r="T51" i="19" s="1"/>
  <c r="BD51" i="19"/>
  <c r="U51" i="19" s="1"/>
  <c r="BE51" i="19"/>
  <c r="V51" i="19" s="1"/>
  <c r="BF51" i="19"/>
  <c r="W51" i="19" s="1"/>
  <c r="BG51" i="19"/>
  <c r="X51" i="19" s="1"/>
  <c r="BH51" i="19"/>
  <c r="Y51" i="19" s="1"/>
  <c r="BI51" i="19"/>
  <c r="Z51" i="19" s="1"/>
  <c r="BJ51" i="19"/>
  <c r="AA51" i="19" s="1"/>
  <c r="BK51" i="19"/>
  <c r="AB51" i="19" s="1"/>
  <c r="BL51" i="19"/>
  <c r="AC51" i="19" s="1"/>
  <c r="BM51" i="19"/>
  <c r="AD51" i="19" s="1"/>
  <c r="AG52" i="19"/>
  <c r="AH52" i="19"/>
  <c r="AJ52" i="19"/>
  <c r="A52" i="19" s="1"/>
  <c r="AK52" i="19"/>
  <c r="B52" i="19" s="1"/>
  <c r="AL52" i="19"/>
  <c r="C52" i="19" s="1"/>
  <c r="AM52" i="19"/>
  <c r="D52" i="19" s="1"/>
  <c r="AN52" i="19"/>
  <c r="E52" i="19" s="1"/>
  <c r="AO52" i="19"/>
  <c r="F52" i="19" s="1"/>
  <c r="AP52" i="19"/>
  <c r="G52" i="19" s="1"/>
  <c r="AQ52" i="19"/>
  <c r="H52" i="19" s="1"/>
  <c r="AR52" i="19"/>
  <c r="I52" i="19" s="1"/>
  <c r="AS52" i="19"/>
  <c r="J52" i="19" s="1"/>
  <c r="AT52" i="19"/>
  <c r="K52" i="19" s="1"/>
  <c r="AU52" i="19"/>
  <c r="L52" i="19" s="1"/>
  <c r="AV52" i="19"/>
  <c r="M52" i="19" s="1"/>
  <c r="AW52" i="19"/>
  <c r="N52" i="19" s="1"/>
  <c r="AX52" i="19"/>
  <c r="O52" i="19" s="1"/>
  <c r="AY52" i="19"/>
  <c r="P52" i="19" s="1"/>
  <c r="AZ52" i="19"/>
  <c r="Q52" i="19" s="1"/>
  <c r="BA52" i="19"/>
  <c r="R52" i="19" s="1"/>
  <c r="BB52" i="19"/>
  <c r="S52" i="19" s="1"/>
  <c r="BC52" i="19"/>
  <c r="T52" i="19" s="1"/>
  <c r="BD52" i="19"/>
  <c r="U52" i="19" s="1"/>
  <c r="BE52" i="19"/>
  <c r="V52" i="19" s="1"/>
  <c r="BF52" i="19"/>
  <c r="W52" i="19" s="1"/>
  <c r="BG52" i="19"/>
  <c r="X52" i="19" s="1"/>
  <c r="BH52" i="19"/>
  <c r="Y52" i="19" s="1"/>
  <c r="BI52" i="19"/>
  <c r="Z52" i="19" s="1"/>
  <c r="BJ52" i="19"/>
  <c r="AA52" i="19" s="1"/>
  <c r="BK52" i="19"/>
  <c r="AB52" i="19" s="1"/>
  <c r="BL52" i="19"/>
  <c r="AC52" i="19" s="1"/>
  <c r="BM52" i="19"/>
  <c r="AD52" i="19" s="1"/>
  <c r="AG53" i="19"/>
  <c r="AH53" i="19"/>
  <c r="AJ53" i="19"/>
  <c r="A53" i="19" s="1"/>
  <c r="AK53" i="19"/>
  <c r="B53" i="19" s="1"/>
  <c r="AL53" i="19"/>
  <c r="C53" i="19" s="1"/>
  <c r="AM53" i="19"/>
  <c r="D53" i="19" s="1"/>
  <c r="AN53" i="19"/>
  <c r="E53" i="19" s="1"/>
  <c r="AO53" i="19"/>
  <c r="F53" i="19" s="1"/>
  <c r="AP53" i="19"/>
  <c r="G53" i="19" s="1"/>
  <c r="AQ53" i="19"/>
  <c r="H53" i="19" s="1"/>
  <c r="AR53" i="19"/>
  <c r="I53" i="19" s="1"/>
  <c r="AS53" i="19"/>
  <c r="J53" i="19" s="1"/>
  <c r="AT53" i="19"/>
  <c r="K53" i="19" s="1"/>
  <c r="AU53" i="19"/>
  <c r="L53" i="19" s="1"/>
  <c r="AV53" i="19"/>
  <c r="M53" i="19" s="1"/>
  <c r="AW53" i="19"/>
  <c r="N53" i="19" s="1"/>
  <c r="AX53" i="19"/>
  <c r="O53" i="19" s="1"/>
  <c r="AY53" i="19"/>
  <c r="P53" i="19" s="1"/>
  <c r="AZ53" i="19"/>
  <c r="Q53" i="19" s="1"/>
  <c r="BA53" i="19"/>
  <c r="R53" i="19" s="1"/>
  <c r="BB53" i="19"/>
  <c r="S53" i="19" s="1"/>
  <c r="BC53" i="19"/>
  <c r="T53" i="19" s="1"/>
  <c r="BD53" i="19"/>
  <c r="U53" i="19" s="1"/>
  <c r="BE53" i="19"/>
  <c r="V53" i="19" s="1"/>
  <c r="BF53" i="19"/>
  <c r="W53" i="19" s="1"/>
  <c r="BG53" i="19"/>
  <c r="X53" i="19" s="1"/>
  <c r="BH53" i="19"/>
  <c r="Y53" i="19" s="1"/>
  <c r="BI53" i="19"/>
  <c r="Z53" i="19" s="1"/>
  <c r="BJ53" i="19"/>
  <c r="AA53" i="19" s="1"/>
  <c r="BK53" i="19"/>
  <c r="AB53" i="19" s="1"/>
  <c r="BL53" i="19"/>
  <c r="AC53" i="19" s="1"/>
  <c r="BM53" i="19"/>
  <c r="AD53" i="19" s="1"/>
  <c r="AG54" i="19"/>
  <c r="AH54" i="19"/>
  <c r="AJ54" i="19"/>
  <c r="A54" i="19" s="1"/>
  <c r="AK54" i="19"/>
  <c r="B54" i="19" s="1"/>
  <c r="AL54" i="19"/>
  <c r="C54" i="19" s="1"/>
  <c r="AM54" i="19"/>
  <c r="D54" i="19" s="1"/>
  <c r="AN54" i="19"/>
  <c r="E54" i="19" s="1"/>
  <c r="AO54" i="19"/>
  <c r="F54" i="19" s="1"/>
  <c r="AP54" i="19"/>
  <c r="G54" i="19" s="1"/>
  <c r="AQ54" i="19"/>
  <c r="H54" i="19" s="1"/>
  <c r="AR54" i="19"/>
  <c r="I54" i="19" s="1"/>
  <c r="AS54" i="19"/>
  <c r="J54" i="19" s="1"/>
  <c r="AT54" i="19"/>
  <c r="K54" i="19" s="1"/>
  <c r="AU54" i="19"/>
  <c r="L54" i="19" s="1"/>
  <c r="AV54" i="19"/>
  <c r="M54" i="19" s="1"/>
  <c r="AW54" i="19"/>
  <c r="N54" i="19" s="1"/>
  <c r="AX54" i="19"/>
  <c r="O54" i="19" s="1"/>
  <c r="AY54" i="19"/>
  <c r="P54" i="19" s="1"/>
  <c r="AZ54" i="19"/>
  <c r="Q54" i="19" s="1"/>
  <c r="BA54" i="19"/>
  <c r="R54" i="19" s="1"/>
  <c r="BB54" i="19"/>
  <c r="S54" i="19" s="1"/>
  <c r="BC54" i="19"/>
  <c r="T54" i="19" s="1"/>
  <c r="BD54" i="19"/>
  <c r="U54" i="19" s="1"/>
  <c r="BE54" i="19"/>
  <c r="V54" i="19" s="1"/>
  <c r="BF54" i="19"/>
  <c r="W54" i="19" s="1"/>
  <c r="BG54" i="19"/>
  <c r="X54" i="19" s="1"/>
  <c r="BH54" i="19"/>
  <c r="Y54" i="19" s="1"/>
  <c r="BI54" i="19"/>
  <c r="Z54" i="19" s="1"/>
  <c r="BJ54" i="19"/>
  <c r="AA54" i="19" s="1"/>
  <c r="BK54" i="19"/>
  <c r="AB54" i="19" s="1"/>
  <c r="BL54" i="19"/>
  <c r="AC54" i="19" s="1"/>
  <c r="BM54" i="19"/>
  <c r="AD54" i="19" s="1"/>
  <c r="AG55" i="19"/>
  <c r="AH55" i="19"/>
  <c r="AJ55" i="19"/>
  <c r="A55" i="19" s="1"/>
  <c r="AK55" i="19"/>
  <c r="B55" i="19" s="1"/>
  <c r="AL55" i="19"/>
  <c r="C55" i="19" s="1"/>
  <c r="AM55" i="19"/>
  <c r="D55" i="19" s="1"/>
  <c r="AN55" i="19"/>
  <c r="E55" i="19" s="1"/>
  <c r="AO55" i="19"/>
  <c r="F55" i="19" s="1"/>
  <c r="AP55" i="19"/>
  <c r="G55" i="19" s="1"/>
  <c r="AQ55" i="19"/>
  <c r="H55" i="19" s="1"/>
  <c r="AR55" i="19"/>
  <c r="I55" i="19" s="1"/>
  <c r="AS55" i="19"/>
  <c r="J55" i="19" s="1"/>
  <c r="AT55" i="19"/>
  <c r="K55" i="19" s="1"/>
  <c r="AU55" i="19"/>
  <c r="L55" i="19" s="1"/>
  <c r="AV55" i="19"/>
  <c r="M55" i="19" s="1"/>
  <c r="AW55" i="19"/>
  <c r="N55" i="19" s="1"/>
  <c r="AX55" i="19"/>
  <c r="O55" i="19" s="1"/>
  <c r="AY55" i="19"/>
  <c r="P55" i="19" s="1"/>
  <c r="AZ55" i="19"/>
  <c r="Q55" i="19" s="1"/>
  <c r="BA55" i="19"/>
  <c r="R55" i="19" s="1"/>
  <c r="BB55" i="19"/>
  <c r="S55" i="19" s="1"/>
  <c r="BC55" i="19"/>
  <c r="T55" i="19" s="1"/>
  <c r="BD55" i="19"/>
  <c r="U55" i="19" s="1"/>
  <c r="BE55" i="19"/>
  <c r="V55" i="19" s="1"/>
  <c r="BF55" i="19"/>
  <c r="W55" i="19" s="1"/>
  <c r="BG55" i="19"/>
  <c r="X55" i="19" s="1"/>
  <c r="BH55" i="19"/>
  <c r="Y55" i="19" s="1"/>
  <c r="BI55" i="19"/>
  <c r="Z55" i="19" s="1"/>
  <c r="BJ55" i="19"/>
  <c r="AA55" i="19" s="1"/>
  <c r="BK55" i="19"/>
  <c r="AB55" i="19" s="1"/>
  <c r="BL55" i="19"/>
  <c r="AC55" i="19" s="1"/>
  <c r="BM55" i="19"/>
  <c r="AD55" i="19" s="1"/>
  <c r="AG56" i="19"/>
  <c r="AH56" i="19"/>
  <c r="AJ56" i="19"/>
  <c r="A56" i="19" s="1"/>
  <c r="AK56" i="19"/>
  <c r="B56" i="19" s="1"/>
  <c r="AL56" i="19"/>
  <c r="C56" i="19" s="1"/>
  <c r="AM56" i="19"/>
  <c r="D56" i="19" s="1"/>
  <c r="AN56" i="19"/>
  <c r="E56" i="19" s="1"/>
  <c r="AO56" i="19"/>
  <c r="F56" i="19" s="1"/>
  <c r="AP56" i="19"/>
  <c r="G56" i="19" s="1"/>
  <c r="AQ56" i="19"/>
  <c r="H56" i="19" s="1"/>
  <c r="AR56" i="19"/>
  <c r="I56" i="19" s="1"/>
  <c r="AS56" i="19"/>
  <c r="J56" i="19" s="1"/>
  <c r="AT56" i="19"/>
  <c r="K56" i="19" s="1"/>
  <c r="AU56" i="19"/>
  <c r="L56" i="19" s="1"/>
  <c r="AV56" i="19"/>
  <c r="M56" i="19" s="1"/>
  <c r="AW56" i="19"/>
  <c r="N56" i="19" s="1"/>
  <c r="AX56" i="19"/>
  <c r="O56" i="19" s="1"/>
  <c r="AY56" i="19"/>
  <c r="P56" i="19" s="1"/>
  <c r="AZ56" i="19"/>
  <c r="Q56" i="19" s="1"/>
  <c r="BA56" i="19"/>
  <c r="R56" i="19" s="1"/>
  <c r="BB56" i="19"/>
  <c r="S56" i="19" s="1"/>
  <c r="BC56" i="19"/>
  <c r="T56" i="19" s="1"/>
  <c r="BD56" i="19"/>
  <c r="U56" i="19" s="1"/>
  <c r="BE56" i="19"/>
  <c r="V56" i="19" s="1"/>
  <c r="BF56" i="19"/>
  <c r="W56" i="19" s="1"/>
  <c r="BG56" i="19"/>
  <c r="X56" i="19" s="1"/>
  <c r="BH56" i="19"/>
  <c r="Y56" i="19" s="1"/>
  <c r="BI56" i="19"/>
  <c r="Z56" i="19" s="1"/>
  <c r="BJ56" i="19"/>
  <c r="AA56" i="19" s="1"/>
  <c r="BK56" i="19"/>
  <c r="AB56" i="19" s="1"/>
  <c r="BL56" i="19"/>
  <c r="AC56" i="19" s="1"/>
  <c r="BM56" i="19"/>
  <c r="AD56" i="19" s="1"/>
  <c r="AG57" i="19"/>
  <c r="AH57" i="19"/>
  <c r="AJ57" i="19"/>
  <c r="A57" i="19" s="1"/>
  <c r="AK57" i="19"/>
  <c r="B57" i="19" s="1"/>
  <c r="AL57" i="19"/>
  <c r="C57" i="19" s="1"/>
  <c r="AM57" i="19"/>
  <c r="D57" i="19" s="1"/>
  <c r="AN57" i="19"/>
  <c r="E57" i="19" s="1"/>
  <c r="AO57" i="19"/>
  <c r="F57" i="19" s="1"/>
  <c r="AP57" i="19"/>
  <c r="G57" i="19" s="1"/>
  <c r="AQ57" i="19"/>
  <c r="H57" i="19" s="1"/>
  <c r="AR57" i="19"/>
  <c r="I57" i="19" s="1"/>
  <c r="AS57" i="19"/>
  <c r="J57" i="19" s="1"/>
  <c r="AT57" i="19"/>
  <c r="K57" i="19" s="1"/>
  <c r="AU57" i="19"/>
  <c r="L57" i="19" s="1"/>
  <c r="AV57" i="19"/>
  <c r="M57" i="19" s="1"/>
  <c r="AW57" i="19"/>
  <c r="N57" i="19" s="1"/>
  <c r="AX57" i="19"/>
  <c r="O57" i="19" s="1"/>
  <c r="AY57" i="19"/>
  <c r="P57" i="19" s="1"/>
  <c r="AZ57" i="19"/>
  <c r="Q57" i="19" s="1"/>
  <c r="BA57" i="19"/>
  <c r="R57" i="19" s="1"/>
  <c r="BB57" i="19"/>
  <c r="S57" i="19" s="1"/>
  <c r="BC57" i="19"/>
  <c r="T57" i="19" s="1"/>
  <c r="BD57" i="19"/>
  <c r="U57" i="19" s="1"/>
  <c r="BE57" i="19"/>
  <c r="V57" i="19" s="1"/>
  <c r="BF57" i="19"/>
  <c r="W57" i="19" s="1"/>
  <c r="BG57" i="19"/>
  <c r="X57" i="19" s="1"/>
  <c r="BH57" i="19"/>
  <c r="Y57" i="19" s="1"/>
  <c r="BI57" i="19"/>
  <c r="Z57" i="19" s="1"/>
  <c r="BJ57" i="19"/>
  <c r="AA57" i="19" s="1"/>
  <c r="BK57" i="19"/>
  <c r="AB57" i="19" s="1"/>
  <c r="BL57" i="19"/>
  <c r="AC57" i="19" s="1"/>
  <c r="BM57" i="19"/>
  <c r="AD57" i="19" s="1"/>
  <c r="AG58" i="19"/>
  <c r="AH58" i="19"/>
  <c r="AJ58" i="19"/>
  <c r="A58" i="19" s="1"/>
  <c r="AK58" i="19"/>
  <c r="B58" i="19" s="1"/>
  <c r="AL58" i="19"/>
  <c r="C58" i="19" s="1"/>
  <c r="AM58" i="19"/>
  <c r="D58" i="19" s="1"/>
  <c r="AN58" i="19"/>
  <c r="E58" i="19" s="1"/>
  <c r="AO58" i="19"/>
  <c r="F58" i="19" s="1"/>
  <c r="AP58" i="19"/>
  <c r="G58" i="19" s="1"/>
  <c r="AQ58" i="19"/>
  <c r="H58" i="19" s="1"/>
  <c r="AR58" i="19"/>
  <c r="I58" i="19" s="1"/>
  <c r="AS58" i="19"/>
  <c r="J58" i="19" s="1"/>
  <c r="AT58" i="19"/>
  <c r="K58" i="19" s="1"/>
  <c r="AU58" i="19"/>
  <c r="L58" i="19" s="1"/>
  <c r="AV58" i="19"/>
  <c r="M58" i="19" s="1"/>
  <c r="AW58" i="19"/>
  <c r="N58" i="19" s="1"/>
  <c r="AX58" i="19"/>
  <c r="O58" i="19" s="1"/>
  <c r="AY58" i="19"/>
  <c r="P58" i="19" s="1"/>
  <c r="AZ58" i="19"/>
  <c r="Q58" i="19" s="1"/>
  <c r="BA58" i="19"/>
  <c r="R58" i="19" s="1"/>
  <c r="BB58" i="19"/>
  <c r="S58" i="19" s="1"/>
  <c r="BC58" i="19"/>
  <c r="T58" i="19" s="1"/>
  <c r="BD58" i="19"/>
  <c r="U58" i="19" s="1"/>
  <c r="BE58" i="19"/>
  <c r="V58" i="19" s="1"/>
  <c r="BF58" i="19"/>
  <c r="W58" i="19" s="1"/>
  <c r="BG58" i="19"/>
  <c r="X58" i="19" s="1"/>
  <c r="BH58" i="19"/>
  <c r="Y58" i="19" s="1"/>
  <c r="BI58" i="19"/>
  <c r="Z58" i="19" s="1"/>
  <c r="BJ58" i="19"/>
  <c r="AA58" i="19" s="1"/>
  <c r="BK58" i="19"/>
  <c r="AB58" i="19" s="1"/>
  <c r="BL58" i="19"/>
  <c r="AC58" i="19" s="1"/>
  <c r="BM58" i="19"/>
  <c r="AD58" i="19" s="1"/>
  <c r="AG59" i="19"/>
  <c r="AH59" i="19"/>
  <c r="AJ59" i="19"/>
  <c r="A59" i="19" s="1"/>
  <c r="AK59" i="19"/>
  <c r="B59" i="19" s="1"/>
  <c r="AL59" i="19"/>
  <c r="C59" i="19" s="1"/>
  <c r="AM59" i="19"/>
  <c r="D59" i="19" s="1"/>
  <c r="AN59" i="19"/>
  <c r="E59" i="19" s="1"/>
  <c r="AO59" i="19"/>
  <c r="F59" i="19" s="1"/>
  <c r="AP59" i="19"/>
  <c r="G59" i="19" s="1"/>
  <c r="AQ59" i="19"/>
  <c r="H59" i="19" s="1"/>
  <c r="AR59" i="19"/>
  <c r="I59" i="19" s="1"/>
  <c r="AS59" i="19"/>
  <c r="J59" i="19" s="1"/>
  <c r="AT59" i="19"/>
  <c r="K59" i="19" s="1"/>
  <c r="AU59" i="19"/>
  <c r="L59" i="19" s="1"/>
  <c r="AV59" i="19"/>
  <c r="M59" i="19" s="1"/>
  <c r="AW59" i="19"/>
  <c r="N59" i="19" s="1"/>
  <c r="AX59" i="19"/>
  <c r="O59" i="19" s="1"/>
  <c r="AY59" i="19"/>
  <c r="P59" i="19" s="1"/>
  <c r="AZ59" i="19"/>
  <c r="Q59" i="19" s="1"/>
  <c r="BA59" i="19"/>
  <c r="R59" i="19" s="1"/>
  <c r="BB59" i="19"/>
  <c r="S59" i="19" s="1"/>
  <c r="BC59" i="19"/>
  <c r="T59" i="19" s="1"/>
  <c r="BD59" i="19"/>
  <c r="U59" i="19" s="1"/>
  <c r="BE59" i="19"/>
  <c r="V59" i="19" s="1"/>
  <c r="BF59" i="19"/>
  <c r="W59" i="19" s="1"/>
  <c r="BG59" i="19"/>
  <c r="X59" i="19" s="1"/>
  <c r="BH59" i="19"/>
  <c r="Y59" i="19" s="1"/>
  <c r="BI59" i="19"/>
  <c r="Z59" i="19" s="1"/>
  <c r="BJ59" i="19"/>
  <c r="AA59" i="19" s="1"/>
  <c r="BK59" i="19"/>
  <c r="AB59" i="19" s="1"/>
  <c r="BL59" i="19"/>
  <c r="AC59" i="19" s="1"/>
  <c r="BM59" i="19"/>
  <c r="AD59" i="19" s="1"/>
  <c r="AG60" i="19"/>
  <c r="AH60" i="19"/>
  <c r="AJ60" i="19"/>
  <c r="A60" i="19" s="1"/>
  <c r="AK60" i="19"/>
  <c r="B60" i="19" s="1"/>
  <c r="AL60" i="19"/>
  <c r="C60" i="19" s="1"/>
  <c r="AM60" i="19"/>
  <c r="D60" i="19" s="1"/>
  <c r="AN60" i="19"/>
  <c r="E60" i="19" s="1"/>
  <c r="AO60" i="19"/>
  <c r="F60" i="19" s="1"/>
  <c r="AP60" i="19"/>
  <c r="G60" i="19" s="1"/>
  <c r="AQ60" i="19"/>
  <c r="H60" i="19" s="1"/>
  <c r="AR60" i="19"/>
  <c r="I60" i="19" s="1"/>
  <c r="AS60" i="19"/>
  <c r="J60" i="19" s="1"/>
  <c r="AT60" i="19"/>
  <c r="K60" i="19" s="1"/>
  <c r="AU60" i="19"/>
  <c r="L60" i="19" s="1"/>
  <c r="AV60" i="19"/>
  <c r="M60" i="19" s="1"/>
  <c r="AW60" i="19"/>
  <c r="N60" i="19" s="1"/>
  <c r="AX60" i="19"/>
  <c r="O60" i="19" s="1"/>
  <c r="AY60" i="19"/>
  <c r="P60" i="19" s="1"/>
  <c r="AZ60" i="19"/>
  <c r="Q60" i="19" s="1"/>
  <c r="BA60" i="19"/>
  <c r="R60" i="19" s="1"/>
  <c r="BB60" i="19"/>
  <c r="S60" i="19" s="1"/>
  <c r="BC60" i="19"/>
  <c r="T60" i="19" s="1"/>
  <c r="BD60" i="19"/>
  <c r="U60" i="19" s="1"/>
  <c r="BE60" i="19"/>
  <c r="V60" i="19" s="1"/>
  <c r="BF60" i="19"/>
  <c r="W60" i="19" s="1"/>
  <c r="BG60" i="19"/>
  <c r="X60" i="19" s="1"/>
  <c r="BH60" i="19"/>
  <c r="Y60" i="19" s="1"/>
  <c r="BI60" i="19"/>
  <c r="Z60" i="19" s="1"/>
  <c r="BJ60" i="19"/>
  <c r="AA60" i="19" s="1"/>
  <c r="BK60" i="19"/>
  <c r="AB60" i="19" s="1"/>
  <c r="BL60" i="19"/>
  <c r="AC60" i="19" s="1"/>
  <c r="BM60" i="19"/>
  <c r="AD60" i="19" s="1"/>
  <c r="AG62" i="19"/>
  <c r="AH62" i="19"/>
  <c r="AJ62" i="19"/>
  <c r="A62" i="19" s="1"/>
  <c r="AK62" i="19"/>
  <c r="B62" i="19" s="1"/>
  <c r="AL62" i="19"/>
  <c r="C62" i="19" s="1"/>
  <c r="AM62" i="19"/>
  <c r="D62" i="19" s="1"/>
  <c r="AN62" i="19"/>
  <c r="E62" i="19" s="1"/>
  <c r="AO62" i="19"/>
  <c r="F62" i="19" s="1"/>
  <c r="AP62" i="19"/>
  <c r="G62" i="19" s="1"/>
  <c r="AQ62" i="19"/>
  <c r="H62" i="19" s="1"/>
  <c r="AR62" i="19"/>
  <c r="I62" i="19" s="1"/>
  <c r="AS62" i="19"/>
  <c r="J62" i="19" s="1"/>
  <c r="AT62" i="19"/>
  <c r="K62" i="19" s="1"/>
  <c r="AU62" i="19"/>
  <c r="L62" i="19" s="1"/>
  <c r="AV62" i="19"/>
  <c r="M62" i="19" s="1"/>
  <c r="AW62" i="19"/>
  <c r="N62" i="19" s="1"/>
  <c r="AX62" i="19"/>
  <c r="O62" i="19" s="1"/>
  <c r="AY62" i="19"/>
  <c r="P62" i="19" s="1"/>
  <c r="AZ62" i="19"/>
  <c r="Q62" i="19" s="1"/>
  <c r="BA62" i="19"/>
  <c r="R62" i="19" s="1"/>
  <c r="BB62" i="19"/>
  <c r="S62" i="19" s="1"/>
  <c r="BC62" i="19"/>
  <c r="T62" i="19" s="1"/>
  <c r="BD62" i="19"/>
  <c r="U62" i="19" s="1"/>
  <c r="BE62" i="19"/>
  <c r="V62" i="19" s="1"/>
  <c r="BF62" i="19"/>
  <c r="W62" i="19" s="1"/>
  <c r="BG62" i="19"/>
  <c r="X62" i="19" s="1"/>
  <c r="BH62" i="19"/>
  <c r="Y62" i="19" s="1"/>
  <c r="BI62" i="19"/>
  <c r="Z62" i="19" s="1"/>
  <c r="BJ62" i="19"/>
  <c r="AA62" i="19" s="1"/>
  <c r="BK62" i="19"/>
  <c r="AB62" i="19" s="1"/>
  <c r="BL62" i="19"/>
  <c r="AC62" i="19" s="1"/>
  <c r="BM62" i="19"/>
  <c r="AD62" i="19" s="1"/>
  <c r="AG63" i="19"/>
  <c r="AH63" i="19"/>
  <c r="AJ63" i="19"/>
  <c r="A63" i="19" s="1"/>
  <c r="AK63" i="19"/>
  <c r="B63" i="19" s="1"/>
  <c r="AL63" i="19"/>
  <c r="C63" i="19" s="1"/>
  <c r="AM63" i="19"/>
  <c r="D63" i="19" s="1"/>
  <c r="AN63" i="19"/>
  <c r="E63" i="19" s="1"/>
  <c r="AO63" i="19"/>
  <c r="F63" i="19" s="1"/>
  <c r="AP63" i="19"/>
  <c r="G63" i="19" s="1"/>
  <c r="AQ63" i="19"/>
  <c r="H63" i="19" s="1"/>
  <c r="AR63" i="19"/>
  <c r="I63" i="19" s="1"/>
  <c r="AS63" i="19"/>
  <c r="J63" i="19" s="1"/>
  <c r="AT63" i="19"/>
  <c r="K63" i="19" s="1"/>
  <c r="AU63" i="19"/>
  <c r="L63" i="19" s="1"/>
  <c r="AV63" i="19"/>
  <c r="M63" i="19" s="1"/>
  <c r="AW63" i="19"/>
  <c r="N63" i="19" s="1"/>
  <c r="AX63" i="19"/>
  <c r="O63" i="19" s="1"/>
  <c r="AY63" i="19"/>
  <c r="P63" i="19" s="1"/>
  <c r="AZ63" i="19"/>
  <c r="Q63" i="19" s="1"/>
  <c r="BA63" i="19"/>
  <c r="R63" i="19" s="1"/>
  <c r="BB63" i="19"/>
  <c r="S63" i="19" s="1"/>
  <c r="BC63" i="19"/>
  <c r="T63" i="19" s="1"/>
  <c r="BD63" i="19"/>
  <c r="U63" i="19" s="1"/>
  <c r="BE63" i="19"/>
  <c r="V63" i="19" s="1"/>
  <c r="BF63" i="19"/>
  <c r="W63" i="19" s="1"/>
  <c r="BG63" i="19"/>
  <c r="X63" i="19" s="1"/>
  <c r="BH63" i="19"/>
  <c r="Y63" i="19" s="1"/>
  <c r="BI63" i="19"/>
  <c r="Z63" i="19" s="1"/>
  <c r="BJ63" i="19"/>
  <c r="AA63" i="19" s="1"/>
  <c r="BK63" i="19"/>
  <c r="AB63" i="19" s="1"/>
  <c r="BL63" i="19"/>
  <c r="AC63" i="19" s="1"/>
  <c r="BM63" i="19"/>
  <c r="AD63" i="19" s="1"/>
  <c r="AG64" i="19"/>
  <c r="AH64" i="19"/>
  <c r="AJ64" i="19"/>
  <c r="A64" i="19" s="1"/>
  <c r="AK64" i="19"/>
  <c r="B64" i="19" s="1"/>
  <c r="AL64" i="19"/>
  <c r="C64" i="19" s="1"/>
  <c r="AM64" i="19"/>
  <c r="D64" i="19" s="1"/>
  <c r="AN64" i="19"/>
  <c r="E64" i="19" s="1"/>
  <c r="AO64" i="19"/>
  <c r="F64" i="19" s="1"/>
  <c r="AP64" i="19"/>
  <c r="G64" i="19" s="1"/>
  <c r="AQ64" i="19"/>
  <c r="H64" i="19" s="1"/>
  <c r="AR64" i="19"/>
  <c r="I64" i="19" s="1"/>
  <c r="AS64" i="19"/>
  <c r="J64" i="19" s="1"/>
  <c r="AT64" i="19"/>
  <c r="K64" i="19" s="1"/>
  <c r="AU64" i="19"/>
  <c r="L64" i="19" s="1"/>
  <c r="AV64" i="19"/>
  <c r="M64" i="19" s="1"/>
  <c r="AW64" i="19"/>
  <c r="N64" i="19" s="1"/>
  <c r="AX64" i="19"/>
  <c r="O64" i="19" s="1"/>
  <c r="AY64" i="19"/>
  <c r="P64" i="19" s="1"/>
  <c r="AZ64" i="19"/>
  <c r="Q64" i="19" s="1"/>
  <c r="BA64" i="19"/>
  <c r="R64" i="19" s="1"/>
  <c r="BB64" i="19"/>
  <c r="S64" i="19" s="1"/>
  <c r="BC64" i="19"/>
  <c r="T64" i="19" s="1"/>
  <c r="BD64" i="19"/>
  <c r="U64" i="19" s="1"/>
  <c r="BE64" i="19"/>
  <c r="V64" i="19" s="1"/>
  <c r="BF64" i="19"/>
  <c r="W64" i="19" s="1"/>
  <c r="BG64" i="19"/>
  <c r="X64" i="19" s="1"/>
  <c r="BH64" i="19"/>
  <c r="Y64" i="19" s="1"/>
  <c r="BI64" i="19"/>
  <c r="Z64" i="19" s="1"/>
  <c r="BJ64" i="19"/>
  <c r="AA64" i="19" s="1"/>
  <c r="BK64" i="19"/>
  <c r="AB64" i="19" s="1"/>
  <c r="BL64" i="19"/>
  <c r="AC64" i="19" s="1"/>
  <c r="BM64" i="19"/>
  <c r="AD64" i="19" s="1"/>
  <c r="AG65" i="19"/>
  <c r="AH65" i="19"/>
  <c r="AJ65" i="19"/>
  <c r="A65" i="19" s="1"/>
  <c r="AK65" i="19"/>
  <c r="B65" i="19" s="1"/>
  <c r="AL65" i="19"/>
  <c r="C65" i="19" s="1"/>
  <c r="AM65" i="19"/>
  <c r="D65" i="19" s="1"/>
  <c r="AN65" i="19"/>
  <c r="E65" i="19" s="1"/>
  <c r="AO65" i="19"/>
  <c r="F65" i="19" s="1"/>
  <c r="AP65" i="19"/>
  <c r="G65" i="19" s="1"/>
  <c r="AQ65" i="19"/>
  <c r="H65" i="19" s="1"/>
  <c r="AR65" i="19"/>
  <c r="I65" i="19" s="1"/>
  <c r="AS65" i="19"/>
  <c r="J65" i="19" s="1"/>
  <c r="AT65" i="19"/>
  <c r="K65" i="19" s="1"/>
  <c r="AU65" i="19"/>
  <c r="L65" i="19" s="1"/>
  <c r="AV65" i="19"/>
  <c r="M65" i="19" s="1"/>
  <c r="AW65" i="19"/>
  <c r="N65" i="19" s="1"/>
  <c r="AX65" i="19"/>
  <c r="O65" i="19" s="1"/>
  <c r="AY65" i="19"/>
  <c r="P65" i="19" s="1"/>
  <c r="AZ65" i="19"/>
  <c r="Q65" i="19" s="1"/>
  <c r="BA65" i="19"/>
  <c r="R65" i="19" s="1"/>
  <c r="BB65" i="19"/>
  <c r="S65" i="19" s="1"/>
  <c r="BC65" i="19"/>
  <c r="T65" i="19" s="1"/>
  <c r="BD65" i="19"/>
  <c r="U65" i="19" s="1"/>
  <c r="BE65" i="19"/>
  <c r="V65" i="19" s="1"/>
  <c r="BF65" i="19"/>
  <c r="W65" i="19" s="1"/>
  <c r="BG65" i="19"/>
  <c r="X65" i="19" s="1"/>
  <c r="BH65" i="19"/>
  <c r="Y65" i="19" s="1"/>
  <c r="BI65" i="19"/>
  <c r="Z65" i="19" s="1"/>
  <c r="BJ65" i="19"/>
  <c r="AA65" i="19" s="1"/>
  <c r="BK65" i="19"/>
  <c r="AB65" i="19" s="1"/>
  <c r="BL65" i="19"/>
  <c r="AC65" i="19" s="1"/>
  <c r="BM65" i="19"/>
  <c r="AD65" i="19" s="1"/>
  <c r="AG66" i="19"/>
  <c r="AH66" i="19"/>
  <c r="AJ66" i="19"/>
  <c r="A66" i="19" s="1"/>
  <c r="AK66" i="19"/>
  <c r="B66" i="19" s="1"/>
  <c r="AL66" i="19"/>
  <c r="C66" i="19" s="1"/>
  <c r="AM66" i="19"/>
  <c r="D66" i="19" s="1"/>
  <c r="AN66" i="19"/>
  <c r="E66" i="19" s="1"/>
  <c r="AO66" i="19"/>
  <c r="F66" i="19" s="1"/>
  <c r="AP66" i="19"/>
  <c r="G66" i="19" s="1"/>
  <c r="AQ66" i="19"/>
  <c r="H66" i="19" s="1"/>
  <c r="AR66" i="19"/>
  <c r="I66" i="19" s="1"/>
  <c r="AS66" i="19"/>
  <c r="J66" i="19" s="1"/>
  <c r="AT66" i="19"/>
  <c r="K66" i="19" s="1"/>
  <c r="AU66" i="19"/>
  <c r="L66" i="19" s="1"/>
  <c r="AV66" i="19"/>
  <c r="M66" i="19" s="1"/>
  <c r="AW66" i="19"/>
  <c r="N66" i="19" s="1"/>
  <c r="AX66" i="19"/>
  <c r="O66" i="19" s="1"/>
  <c r="AY66" i="19"/>
  <c r="P66" i="19" s="1"/>
  <c r="AZ66" i="19"/>
  <c r="Q66" i="19" s="1"/>
  <c r="BA66" i="19"/>
  <c r="R66" i="19" s="1"/>
  <c r="BB66" i="19"/>
  <c r="S66" i="19" s="1"/>
  <c r="BC66" i="19"/>
  <c r="T66" i="19" s="1"/>
  <c r="BD66" i="19"/>
  <c r="U66" i="19" s="1"/>
  <c r="BE66" i="19"/>
  <c r="V66" i="19" s="1"/>
  <c r="BF66" i="19"/>
  <c r="W66" i="19" s="1"/>
  <c r="BG66" i="19"/>
  <c r="X66" i="19" s="1"/>
  <c r="BH66" i="19"/>
  <c r="Y66" i="19" s="1"/>
  <c r="BI66" i="19"/>
  <c r="Z66" i="19" s="1"/>
  <c r="BJ66" i="19"/>
  <c r="AA66" i="19" s="1"/>
  <c r="BK66" i="19"/>
  <c r="AB66" i="19" s="1"/>
  <c r="BL66" i="19"/>
  <c r="AC66" i="19" s="1"/>
  <c r="BM66" i="19"/>
  <c r="AD66" i="19" s="1"/>
  <c r="AG67" i="19"/>
  <c r="AH67" i="19"/>
  <c r="AJ67" i="19"/>
  <c r="A67" i="19" s="1"/>
  <c r="AK67" i="19"/>
  <c r="B67" i="19" s="1"/>
  <c r="AL67" i="19"/>
  <c r="C67" i="19" s="1"/>
  <c r="AM67" i="19"/>
  <c r="D67" i="19" s="1"/>
  <c r="AN67" i="19"/>
  <c r="E67" i="19" s="1"/>
  <c r="AO67" i="19"/>
  <c r="F67" i="19" s="1"/>
  <c r="AP67" i="19"/>
  <c r="G67" i="19" s="1"/>
  <c r="AQ67" i="19"/>
  <c r="H67" i="19" s="1"/>
  <c r="AR67" i="19"/>
  <c r="I67" i="19" s="1"/>
  <c r="AS67" i="19"/>
  <c r="J67" i="19" s="1"/>
  <c r="AT67" i="19"/>
  <c r="K67" i="19" s="1"/>
  <c r="AU67" i="19"/>
  <c r="L67" i="19" s="1"/>
  <c r="AV67" i="19"/>
  <c r="M67" i="19" s="1"/>
  <c r="AW67" i="19"/>
  <c r="N67" i="19" s="1"/>
  <c r="AX67" i="19"/>
  <c r="O67" i="19" s="1"/>
  <c r="AY67" i="19"/>
  <c r="P67" i="19" s="1"/>
  <c r="AZ67" i="19"/>
  <c r="Q67" i="19" s="1"/>
  <c r="BA67" i="19"/>
  <c r="R67" i="19" s="1"/>
  <c r="BB67" i="19"/>
  <c r="S67" i="19" s="1"/>
  <c r="BC67" i="19"/>
  <c r="T67" i="19" s="1"/>
  <c r="BD67" i="19"/>
  <c r="U67" i="19" s="1"/>
  <c r="BE67" i="19"/>
  <c r="V67" i="19" s="1"/>
  <c r="BF67" i="19"/>
  <c r="W67" i="19" s="1"/>
  <c r="BG67" i="19"/>
  <c r="X67" i="19" s="1"/>
  <c r="BH67" i="19"/>
  <c r="Y67" i="19" s="1"/>
  <c r="BI67" i="19"/>
  <c r="Z67" i="19" s="1"/>
  <c r="BJ67" i="19"/>
  <c r="AA67" i="19" s="1"/>
  <c r="BK67" i="19"/>
  <c r="AB67" i="19" s="1"/>
  <c r="BL67" i="19"/>
  <c r="AC67" i="19" s="1"/>
  <c r="BM67" i="19"/>
  <c r="AD67" i="19" s="1"/>
  <c r="AG68" i="19"/>
  <c r="AH68" i="19"/>
  <c r="AJ68" i="19"/>
  <c r="A68" i="19" s="1"/>
  <c r="AK68" i="19"/>
  <c r="B68" i="19" s="1"/>
  <c r="AL68" i="19"/>
  <c r="C68" i="19" s="1"/>
  <c r="AM68" i="19"/>
  <c r="D68" i="19" s="1"/>
  <c r="AN68" i="19"/>
  <c r="E68" i="19" s="1"/>
  <c r="AO68" i="19"/>
  <c r="F68" i="19" s="1"/>
  <c r="AP68" i="19"/>
  <c r="G68" i="19" s="1"/>
  <c r="AQ68" i="19"/>
  <c r="H68" i="19" s="1"/>
  <c r="AR68" i="19"/>
  <c r="I68" i="19" s="1"/>
  <c r="AS68" i="19"/>
  <c r="J68" i="19" s="1"/>
  <c r="AT68" i="19"/>
  <c r="K68" i="19" s="1"/>
  <c r="AU68" i="19"/>
  <c r="L68" i="19" s="1"/>
  <c r="AV68" i="19"/>
  <c r="M68" i="19" s="1"/>
  <c r="AW68" i="19"/>
  <c r="N68" i="19" s="1"/>
  <c r="AX68" i="19"/>
  <c r="O68" i="19" s="1"/>
  <c r="AY68" i="19"/>
  <c r="P68" i="19" s="1"/>
  <c r="AZ68" i="19"/>
  <c r="Q68" i="19" s="1"/>
  <c r="BA68" i="19"/>
  <c r="R68" i="19" s="1"/>
  <c r="BB68" i="19"/>
  <c r="S68" i="19" s="1"/>
  <c r="BC68" i="19"/>
  <c r="T68" i="19" s="1"/>
  <c r="BD68" i="19"/>
  <c r="U68" i="19" s="1"/>
  <c r="BE68" i="19"/>
  <c r="V68" i="19" s="1"/>
  <c r="BF68" i="19"/>
  <c r="W68" i="19" s="1"/>
  <c r="BG68" i="19"/>
  <c r="X68" i="19" s="1"/>
  <c r="BH68" i="19"/>
  <c r="Y68" i="19" s="1"/>
  <c r="BI68" i="19"/>
  <c r="Z68" i="19" s="1"/>
  <c r="BJ68" i="19"/>
  <c r="AA68" i="19" s="1"/>
  <c r="BK68" i="19"/>
  <c r="AB68" i="19" s="1"/>
  <c r="BL68" i="19"/>
  <c r="AC68" i="19" s="1"/>
  <c r="BM68" i="19"/>
  <c r="AD68" i="19" s="1"/>
  <c r="AG69" i="19"/>
  <c r="AH69" i="19"/>
  <c r="AJ69" i="19"/>
  <c r="A69" i="19" s="1"/>
  <c r="AK69" i="19"/>
  <c r="B69" i="19" s="1"/>
  <c r="AL69" i="19"/>
  <c r="C69" i="19" s="1"/>
  <c r="AM69" i="19"/>
  <c r="D69" i="19" s="1"/>
  <c r="AN69" i="19"/>
  <c r="E69" i="19" s="1"/>
  <c r="AO69" i="19"/>
  <c r="F69" i="19" s="1"/>
  <c r="AP69" i="19"/>
  <c r="G69" i="19" s="1"/>
  <c r="AQ69" i="19"/>
  <c r="H69" i="19" s="1"/>
  <c r="AR69" i="19"/>
  <c r="I69" i="19" s="1"/>
  <c r="AS69" i="19"/>
  <c r="J69" i="19" s="1"/>
  <c r="AT69" i="19"/>
  <c r="K69" i="19" s="1"/>
  <c r="AU69" i="19"/>
  <c r="L69" i="19" s="1"/>
  <c r="AV69" i="19"/>
  <c r="M69" i="19" s="1"/>
  <c r="AW69" i="19"/>
  <c r="N69" i="19" s="1"/>
  <c r="AX69" i="19"/>
  <c r="O69" i="19" s="1"/>
  <c r="AY69" i="19"/>
  <c r="P69" i="19" s="1"/>
  <c r="AZ69" i="19"/>
  <c r="Q69" i="19" s="1"/>
  <c r="BA69" i="19"/>
  <c r="R69" i="19" s="1"/>
  <c r="BB69" i="19"/>
  <c r="S69" i="19" s="1"/>
  <c r="BC69" i="19"/>
  <c r="T69" i="19" s="1"/>
  <c r="BD69" i="19"/>
  <c r="U69" i="19" s="1"/>
  <c r="BE69" i="19"/>
  <c r="V69" i="19" s="1"/>
  <c r="BF69" i="19"/>
  <c r="W69" i="19" s="1"/>
  <c r="BG69" i="19"/>
  <c r="X69" i="19" s="1"/>
  <c r="BH69" i="19"/>
  <c r="Y69" i="19" s="1"/>
  <c r="BI69" i="19"/>
  <c r="Z69" i="19" s="1"/>
  <c r="BJ69" i="19"/>
  <c r="AA69" i="19" s="1"/>
  <c r="BK69" i="19"/>
  <c r="AB69" i="19" s="1"/>
  <c r="BL69" i="19"/>
  <c r="AC69" i="19" s="1"/>
  <c r="BM69" i="19"/>
  <c r="AD69" i="19" s="1"/>
  <c r="AG70" i="19"/>
  <c r="AH70" i="19"/>
  <c r="AJ70" i="19"/>
  <c r="A70" i="19" s="1"/>
  <c r="AK70" i="19"/>
  <c r="B70" i="19" s="1"/>
  <c r="AL70" i="19"/>
  <c r="C70" i="19" s="1"/>
  <c r="AM70" i="19"/>
  <c r="D70" i="19" s="1"/>
  <c r="AN70" i="19"/>
  <c r="E70" i="19" s="1"/>
  <c r="AO70" i="19"/>
  <c r="F70" i="19" s="1"/>
  <c r="AP70" i="19"/>
  <c r="G70" i="19" s="1"/>
  <c r="AQ70" i="19"/>
  <c r="H70" i="19" s="1"/>
  <c r="AR70" i="19"/>
  <c r="I70" i="19" s="1"/>
  <c r="AS70" i="19"/>
  <c r="J70" i="19" s="1"/>
  <c r="AT70" i="19"/>
  <c r="K70" i="19" s="1"/>
  <c r="AU70" i="19"/>
  <c r="L70" i="19" s="1"/>
  <c r="AV70" i="19"/>
  <c r="M70" i="19" s="1"/>
  <c r="AW70" i="19"/>
  <c r="N70" i="19" s="1"/>
  <c r="AX70" i="19"/>
  <c r="O70" i="19" s="1"/>
  <c r="AY70" i="19"/>
  <c r="P70" i="19" s="1"/>
  <c r="AZ70" i="19"/>
  <c r="Q70" i="19" s="1"/>
  <c r="BA70" i="19"/>
  <c r="R70" i="19" s="1"/>
  <c r="BB70" i="19"/>
  <c r="S70" i="19" s="1"/>
  <c r="BC70" i="19"/>
  <c r="T70" i="19" s="1"/>
  <c r="BD70" i="19"/>
  <c r="U70" i="19" s="1"/>
  <c r="BE70" i="19"/>
  <c r="V70" i="19" s="1"/>
  <c r="BF70" i="19"/>
  <c r="W70" i="19" s="1"/>
  <c r="BG70" i="19"/>
  <c r="X70" i="19" s="1"/>
  <c r="BH70" i="19"/>
  <c r="Y70" i="19" s="1"/>
  <c r="BI70" i="19"/>
  <c r="Z70" i="19" s="1"/>
  <c r="BJ70" i="19"/>
  <c r="AA70" i="19" s="1"/>
  <c r="BK70" i="19"/>
  <c r="AB70" i="19" s="1"/>
  <c r="BL70" i="19"/>
  <c r="AC70" i="19" s="1"/>
  <c r="BM70" i="19"/>
  <c r="AD70" i="19" s="1"/>
  <c r="AG71" i="19"/>
  <c r="AH71" i="19"/>
  <c r="AJ71" i="19"/>
  <c r="A71" i="19" s="1"/>
  <c r="AK71" i="19"/>
  <c r="B71" i="19" s="1"/>
  <c r="AL71" i="19"/>
  <c r="C71" i="19" s="1"/>
  <c r="AM71" i="19"/>
  <c r="D71" i="19" s="1"/>
  <c r="AN71" i="19"/>
  <c r="E71" i="19" s="1"/>
  <c r="AO71" i="19"/>
  <c r="F71" i="19" s="1"/>
  <c r="AP71" i="19"/>
  <c r="G71" i="19" s="1"/>
  <c r="AQ71" i="19"/>
  <c r="H71" i="19" s="1"/>
  <c r="AR71" i="19"/>
  <c r="I71" i="19" s="1"/>
  <c r="AS71" i="19"/>
  <c r="J71" i="19" s="1"/>
  <c r="AT71" i="19"/>
  <c r="K71" i="19" s="1"/>
  <c r="AU71" i="19"/>
  <c r="L71" i="19" s="1"/>
  <c r="AV71" i="19"/>
  <c r="M71" i="19" s="1"/>
  <c r="AW71" i="19"/>
  <c r="N71" i="19" s="1"/>
  <c r="AX71" i="19"/>
  <c r="O71" i="19" s="1"/>
  <c r="AY71" i="19"/>
  <c r="P71" i="19" s="1"/>
  <c r="AZ71" i="19"/>
  <c r="Q71" i="19" s="1"/>
  <c r="BA71" i="19"/>
  <c r="R71" i="19" s="1"/>
  <c r="BB71" i="19"/>
  <c r="S71" i="19" s="1"/>
  <c r="BC71" i="19"/>
  <c r="T71" i="19" s="1"/>
  <c r="BD71" i="19"/>
  <c r="U71" i="19" s="1"/>
  <c r="BE71" i="19"/>
  <c r="V71" i="19" s="1"/>
  <c r="BF71" i="19"/>
  <c r="W71" i="19" s="1"/>
  <c r="BG71" i="19"/>
  <c r="X71" i="19" s="1"/>
  <c r="BH71" i="19"/>
  <c r="Y71" i="19" s="1"/>
  <c r="BI71" i="19"/>
  <c r="Z71" i="19" s="1"/>
  <c r="BJ71" i="19"/>
  <c r="AA71" i="19" s="1"/>
  <c r="BK71" i="19"/>
  <c r="AB71" i="19" s="1"/>
  <c r="BL71" i="19"/>
  <c r="AC71" i="19" s="1"/>
  <c r="BM71" i="19"/>
  <c r="AD71" i="19" s="1"/>
  <c r="AG72" i="19"/>
  <c r="AH72" i="19"/>
  <c r="AJ72" i="19"/>
  <c r="A72" i="19" s="1"/>
  <c r="AK72" i="19"/>
  <c r="B72" i="19" s="1"/>
  <c r="AL72" i="19"/>
  <c r="C72" i="19" s="1"/>
  <c r="AM72" i="19"/>
  <c r="D72" i="19" s="1"/>
  <c r="AN72" i="19"/>
  <c r="E72" i="19" s="1"/>
  <c r="AO72" i="19"/>
  <c r="F72" i="19" s="1"/>
  <c r="AP72" i="19"/>
  <c r="G72" i="19" s="1"/>
  <c r="AQ72" i="19"/>
  <c r="H72" i="19" s="1"/>
  <c r="AR72" i="19"/>
  <c r="I72" i="19" s="1"/>
  <c r="AS72" i="19"/>
  <c r="J72" i="19" s="1"/>
  <c r="AT72" i="19"/>
  <c r="K72" i="19" s="1"/>
  <c r="AU72" i="19"/>
  <c r="L72" i="19" s="1"/>
  <c r="AV72" i="19"/>
  <c r="M72" i="19" s="1"/>
  <c r="AW72" i="19"/>
  <c r="N72" i="19" s="1"/>
  <c r="AX72" i="19"/>
  <c r="O72" i="19" s="1"/>
  <c r="AY72" i="19"/>
  <c r="P72" i="19" s="1"/>
  <c r="AZ72" i="19"/>
  <c r="Q72" i="19" s="1"/>
  <c r="BA72" i="19"/>
  <c r="R72" i="19" s="1"/>
  <c r="BB72" i="19"/>
  <c r="S72" i="19" s="1"/>
  <c r="BC72" i="19"/>
  <c r="T72" i="19" s="1"/>
  <c r="BD72" i="19"/>
  <c r="U72" i="19" s="1"/>
  <c r="BE72" i="19"/>
  <c r="V72" i="19" s="1"/>
  <c r="BF72" i="19"/>
  <c r="W72" i="19" s="1"/>
  <c r="BG72" i="19"/>
  <c r="X72" i="19" s="1"/>
  <c r="BH72" i="19"/>
  <c r="Y72" i="19" s="1"/>
  <c r="BI72" i="19"/>
  <c r="Z72" i="19" s="1"/>
  <c r="BJ72" i="19"/>
  <c r="AA72" i="19" s="1"/>
  <c r="BK72" i="19"/>
  <c r="AB72" i="19" s="1"/>
  <c r="BL72" i="19"/>
  <c r="AC72" i="19" s="1"/>
  <c r="BM72" i="19"/>
  <c r="AD72" i="19" s="1"/>
  <c r="AG73" i="19"/>
  <c r="AH73" i="19"/>
  <c r="AJ73" i="19"/>
  <c r="A73" i="19" s="1"/>
  <c r="AK73" i="19"/>
  <c r="B73" i="19" s="1"/>
  <c r="AL73" i="19"/>
  <c r="C73" i="19" s="1"/>
  <c r="AM73" i="19"/>
  <c r="D73" i="19" s="1"/>
  <c r="AN73" i="19"/>
  <c r="E73" i="19" s="1"/>
  <c r="AO73" i="19"/>
  <c r="F73" i="19" s="1"/>
  <c r="AP73" i="19"/>
  <c r="G73" i="19" s="1"/>
  <c r="AQ73" i="19"/>
  <c r="H73" i="19" s="1"/>
  <c r="AR73" i="19"/>
  <c r="I73" i="19" s="1"/>
  <c r="AS73" i="19"/>
  <c r="J73" i="19" s="1"/>
  <c r="AT73" i="19"/>
  <c r="K73" i="19" s="1"/>
  <c r="AU73" i="19"/>
  <c r="L73" i="19" s="1"/>
  <c r="AV73" i="19"/>
  <c r="M73" i="19" s="1"/>
  <c r="AW73" i="19"/>
  <c r="N73" i="19" s="1"/>
  <c r="AX73" i="19"/>
  <c r="O73" i="19" s="1"/>
  <c r="AY73" i="19"/>
  <c r="P73" i="19" s="1"/>
  <c r="AZ73" i="19"/>
  <c r="Q73" i="19" s="1"/>
  <c r="BA73" i="19"/>
  <c r="R73" i="19" s="1"/>
  <c r="BB73" i="19"/>
  <c r="S73" i="19" s="1"/>
  <c r="BC73" i="19"/>
  <c r="T73" i="19" s="1"/>
  <c r="BD73" i="19"/>
  <c r="U73" i="19" s="1"/>
  <c r="BE73" i="19"/>
  <c r="V73" i="19" s="1"/>
  <c r="BF73" i="19"/>
  <c r="W73" i="19" s="1"/>
  <c r="BG73" i="19"/>
  <c r="X73" i="19" s="1"/>
  <c r="BH73" i="19"/>
  <c r="Y73" i="19" s="1"/>
  <c r="BI73" i="19"/>
  <c r="Z73" i="19" s="1"/>
  <c r="BJ73" i="19"/>
  <c r="AA73" i="19" s="1"/>
  <c r="BK73" i="19"/>
  <c r="AB73" i="19" s="1"/>
  <c r="BL73" i="19"/>
  <c r="AC73" i="19" s="1"/>
  <c r="BM73" i="19"/>
  <c r="AD73" i="19" s="1"/>
  <c r="AG74" i="19"/>
  <c r="AH74" i="19"/>
  <c r="AJ74" i="19"/>
  <c r="A74" i="19" s="1"/>
  <c r="AK74" i="19"/>
  <c r="B74" i="19" s="1"/>
  <c r="AL74" i="19"/>
  <c r="C74" i="19" s="1"/>
  <c r="AM74" i="19"/>
  <c r="D74" i="19" s="1"/>
  <c r="AN74" i="19"/>
  <c r="E74" i="19" s="1"/>
  <c r="AO74" i="19"/>
  <c r="F74" i="19" s="1"/>
  <c r="AP74" i="19"/>
  <c r="G74" i="19" s="1"/>
  <c r="AQ74" i="19"/>
  <c r="H74" i="19" s="1"/>
  <c r="AR74" i="19"/>
  <c r="I74" i="19" s="1"/>
  <c r="AS74" i="19"/>
  <c r="J74" i="19" s="1"/>
  <c r="AT74" i="19"/>
  <c r="K74" i="19" s="1"/>
  <c r="AU74" i="19"/>
  <c r="L74" i="19" s="1"/>
  <c r="AV74" i="19"/>
  <c r="M74" i="19" s="1"/>
  <c r="AW74" i="19"/>
  <c r="N74" i="19" s="1"/>
  <c r="AX74" i="19"/>
  <c r="O74" i="19" s="1"/>
  <c r="AY74" i="19"/>
  <c r="P74" i="19" s="1"/>
  <c r="AZ74" i="19"/>
  <c r="Q74" i="19" s="1"/>
  <c r="BA74" i="19"/>
  <c r="R74" i="19" s="1"/>
  <c r="BB74" i="19"/>
  <c r="S74" i="19" s="1"/>
  <c r="BC74" i="19"/>
  <c r="T74" i="19" s="1"/>
  <c r="BD74" i="19"/>
  <c r="U74" i="19" s="1"/>
  <c r="BE74" i="19"/>
  <c r="V74" i="19" s="1"/>
  <c r="BF74" i="19"/>
  <c r="W74" i="19" s="1"/>
  <c r="BG74" i="19"/>
  <c r="X74" i="19" s="1"/>
  <c r="BH74" i="19"/>
  <c r="Y74" i="19" s="1"/>
  <c r="BI74" i="19"/>
  <c r="Z74" i="19" s="1"/>
  <c r="BJ74" i="19"/>
  <c r="AA74" i="19" s="1"/>
  <c r="BK74" i="19"/>
  <c r="AB74" i="19" s="1"/>
  <c r="BL74" i="19"/>
  <c r="AC74" i="19" s="1"/>
  <c r="BM74" i="19"/>
  <c r="AD74" i="19" s="1"/>
  <c r="AG75" i="19"/>
  <c r="AH75" i="19"/>
  <c r="AJ75" i="19"/>
  <c r="A75" i="19" s="1"/>
  <c r="AK75" i="19"/>
  <c r="B75" i="19" s="1"/>
  <c r="AL75" i="19"/>
  <c r="C75" i="19" s="1"/>
  <c r="AM75" i="19"/>
  <c r="D75" i="19" s="1"/>
  <c r="AN75" i="19"/>
  <c r="E75" i="19" s="1"/>
  <c r="AO75" i="19"/>
  <c r="F75" i="19" s="1"/>
  <c r="AP75" i="19"/>
  <c r="G75" i="19" s="1"/>
  <c r="AQ75" i="19"/>
  <c r="H75" i="19" s="1"/>
  <c r="AR75" i="19"/>
  <c r="I75" i="19" s="1"/>
  <c r="AS75" i="19"/>
  <c r="J75" i="19" s="1"/>
  <c r="AT75" i="19"/>
  <c r="K75" i="19" s="1"/>
  <c r="AU75" i="19"/>
  <c r="L75" i="19" s="1"/>
  <c r="AV75" i="19"/>
  <c r="M75" i="19" s="1"/>
  <c r="AW75" i="19"/>
  <c r="N75" i="19" s="1"/>
  <c r="AX75" i="19"/>
  <c r="O75" i="19" s="1"/>
  <c r="AY75" i="19"/>
  <c r="P75" i="19" s="1"/>
  <c r="AZ75" i="19"/>
  <c r="Q75" i="19" s="1"/>
  <c r="BA75" i="19"/>
  <c r="R75" i="19" s="1"/>
  <c r="BB75" i="19"/>
  <c r="S75" i="19" s="1"/>
  <c r="BC75" i="19"/>
  <c r="T75" i="19" s="1"/>
  <c r="BD75" i="19"/>
  <c r="U75" i="19" s="1"/>
  <c r="BE75" i="19"/>
  <c r="V75" i="19" s="1"/>
  <c r="BF75" i="19"/>
  <c r="W75" i="19" s="1"/>
  <c r="BG75" i="19"/>
  <c r="X75" i="19" s="1"/>
  <c r="BH75" i="19"/>
  <c r="Y75" i="19" s="1"/>
  <c r="BI75" i="19"/>
  <c r="Z75" i="19" s="1"/>
  <c r="BJ75" i="19"/>
  <c r="AA75" i="19" s="1"/>
  <c r="BK75" i="19"/>
  <c r="AB75" i="19" s="1"/>
  <c r="BL75" i="19"/>
  <c r="AC75" i="19" s="1"/>
  <c r="BM75" i="19"/>
  <c r="AD75" i="19" s="1"/>
  <c r="AG76" i="19"/>
  <c r="AH76" i="19"/>
  <c r="AJ76" i="19"/>
  <c r="A76" i="19" s="1"/>
  <c r="AK76" i="19"/>
  <c r="B76" i="19" s="1"/>
  <c r="AL76" i="19"/>
  <c r="C76" i="19" s="1"/>
  <c r="AM76" i="19"/>
  <c r="D76" i="19" s="1"/>
  <c r="AN76" i="19"/>
  <c r="E76" i="19" s="1"/>
  <c r="AO76" i="19"/>
  <c r="F76" i="19" s="1"/>
  <c r="AP76" i="19"/>
  <c r="G76" i="19" s="1"/>
  <c r="AQ76" i="19"/>
  <c r="H76" i="19" s="1"/>
  <c r="AR76" i="19"/>
  <c r="I76" i="19" s="1"/>
  <c r="AS76" i="19"/>
  <c r="J76" i="19" s="1"/>
  <c r="AT76" i="19"/>
  <c r="K76" i="19" s="1"/>
  <c r="AU76" i="19"/>
  <c r="L76" i="19" s="1"/>
  <c r="AV76" i="19"/>
  <c r="M76" i="19" s="1"/>
  <c r="AW76" i="19"/>
  <c r="N76" i="19" s="1"/>
  <c r="AX76" i="19"/>
  <c r="O76" i="19" s="1"/>
  <c r="AY76" i="19"/>
  <c r="P76" i="19" s="1"/>
  <c r="AZ76" i="19"/>
  <c r="Q76" i="19" s="1"/>
  <c r="BA76" i="19"/>
  <c r="R76" i="19" s="1"/>
  <c r="BB76" i="19"/>
  <c r="S76" i="19" s="1"/>
  <c r="BC76" i="19"/>
  <c r="T76" i="19" s="1"/>
  <c r="BD76" i="19"/>
  <c r="U76" i="19" s="1"/>
  <c r="BE76" i="19"/>
  <c r="V76" i="19" s="1"/>
  <c r="BF76" i="19"/>
  <c r="W76" i="19" s="1"/>
  <c r="BG76" i="19"/>
  <c r="X76" i="19" s="1"/>
  <c r="BH76" i="19"/>
  <c r="Y76" i="19" s="1"/>
  <c r="BI76" i="19"/>
  <c r="Z76" i="19" s="1"/>
  <c r="BJ76" i="19"/>
  <c r="AA76" i="19" s="1"/>
  <c r="BK76" i="19"/>
  <c r="AB76" i="19" s="1"/>
  <c r="BL76" i="19"/>
  <c r="AC76" i="19" s="1"/>
  <c r="BM76" i="19"/>
  <c r="AD76" i="19" s="1"/>
  <c r="AG77" i="19"/>
  <c r="AH77" i="19"/>
  <c r="AJ77" i="19"/>
  <c r="A77" i="19" s="1"/>
  <c r="AK77" i="19"/>
  <c r="B77" i="19" s="1"/>
  <c r="AL77" i="19"/>
  <c r="C77" i="19" s="1"/>
  <c r="AM77" i="19"/>
  <c r="D77" i="19" s="1"/>
  <c r="AN77" i="19"/>
  <c r="E77" i="19" s="1"/>
  <c r="AO77" i="19"/>
  <c r="F77" i="19" s="1"/>
  <c r="AP77" i="19"/>
  <c r="G77" i="19" s="1"/>
  <c r="AQ77" i="19"/>
  <c r="H77" i="19" s="1"/>
  <c r="AR77" i="19"/>
  <c r="I77" i="19" s="1"/>
  <c r="AS77" i="19"/>
  <c r="J77" i="19" s="1"/>
  <c r="AT77" i="19"/>
  <c r="K77" i="19" s="1"/>
  <c r="AU77" i="19"/>
  <c r="L77" i="19" s="1"/>
  <c r="AV77" i="19"/>
  <c r="M77" i="19" s="1"/>
  <c r="AW77" i="19"/>
  <c r="N77" i="19" s="1"/>
  <c r="AX77" i="19"/>
  <c r="O77" i="19" s="1"/>
  <c r="AY77" i="19"/>
  <c r="P77" i="19" s="1"/>
  <c r="AZ77" i="19"/>
  <c r="Q77" i="19" s="1"/>
  <c r="BA77" i="19"/>
  <c r="R77" i="19" s="1"/>
  <c r="BB77" i="19"/>
  <c r="S77" i="19" s="1"/>
  <c r="BC77" i="19"/>
  <c r="T77" i="19" s="1"/>
  <c r="BD77" i="19"/>
  <c r="U77" i="19" s="1"/>
  <c r="BE77" i="19"/>
  <c r="V77" i="19" s="1"/>
  <c r="BF77" i="19"/>
  <c r="W77" i="19" s="1"/>
  <c r="BG77" i="19"/>
  <c r="X77" i="19" s="1"/>
  <c r="BH77" i="19"/>
  <c r="Y77" i="19" s="1"/>
  <c r="BI77" i="19"/>
  <c r="Z77" i="19" s="1"/>
  <c r="BJ77" i="19"/>
  <c r="AA77" i="19" s="1"/>
  <c r="BK77" i="19"/>
  <c r="AB77" i="19" s="1"/>
  <c r="BL77" i="19"/>
  <c r="AC77" i="19" s="1"/>
  <c r="BM77" i="19"/>
  <c r="AD77" i="19" s="1"/>
  <c r="AG78" i="19"/>
  <c r="AH78" i="19"/>
  <c r="AJ78" i="19"/>
  <c r="A78" i="19" s="1"/>
  <c r="AK78" i="19"/>
  <c r="B78" i="19" s="1"/>
  <c r="AL78" i="19"/>
  <c r="C78" i="19" s="1"/>
  <c r="AM78" i="19"/>
  <c r="D78" i="19" s="1"/>
  <c r="AN78" i="19"/>
  <c r="E78" i="19" s="1"/>
  <c r="AO78" i="19"/>
  <c r="F78" i="19" s="1"/>
  <c r="AP78" i="19"/>
  <c r="G78" i="19" s="1"/>
  <c r="AQ78" i="19"/>
  <c r="H78" i="19" s="1"/>
  <c r="AR78" i="19"/>
  <c r="I78" i="19" s="1"/>
  <c r="AS78" i="19"/>
  <c r="J78" i="19" s="1"/>
  <c r="AT78" i="19"/>
  <c r="K78" i="19" s="1"/>
  <c r="AU78" i="19"/>
  <c r="L78" i="19" s="1"/>
  <c r="AV78" i="19"/>
  <c r="M78" i="19" s="1"/>
  <c r="AW78" i="19"/>
  <c r="N78" i="19" s="1"/>
  <c r="AX78" i="19"/>
  <c r="O78" i="19" s="1"/>
  <c r="AY78" i="19"/>
  <c r="P78" i="19" s="1"/>
  <c r="AZ78" i="19"/>
  <c r="Q78" i="19" s="1"/>
  <c r="BA78" i="19"/>
  <c r="R78" i="19" s="1"/>
  <c r="BB78" i="19"/>
  <c r="S78" i="19" s="1"/>
  <c r="BC78" i="19"/>
  <c r="T78" i="19" s="1"/>
  <c r="BD78" i="19"/>
  <c r="U78" i="19" s="1"/>
  <c r="BE78" i="19"/>
  <c r="V78" i="19" s="1"/>
  <c r="BF78" i="19"/>
  <c r="W78" i="19" s="1"/>
  <c r="BG78" i="19"/>
  <c r="X78" i="19" s="1"/>
  <c r="BH78" i="19"/>
  <c r="Y78" i="19" s="1"/>
  <c r="BI78" i="19"/>
  <c r="Z78" i="19" s="1"/>
  <c r="BJ78" i="19"/>
  <c r="AA78" i="19" s="1"/>
  <c r="BK78" i="19"/>
  <c r="AB78" i="19" s="1"/>
  <c r="BL78" i="19"/>
  <c r="AC78" i="19" s="1"/>
  <c r="BM78" i="19"/>
  <c r="AD78" i="19" s="1"/>
  <c r="AG79" i="19"/>
  <c r="AH79" i="19"/>
  <c r="AJ79" i="19"/>
  <c r="A79" i="19" s="1"/>
  <c r="AK79" i="19"/>
  <c r="B79" i="19" s="1"/>
  <c r="AL79" i="19"/>
  <c r="C79" i="19" s="1"/>
  <c r="AM79" i="19"/>
  <c r="D79" i="19" s="1"/>
  <c r="AN79" i="19"/>
  <c r="E79" i="19" s="1"/>
  <c r="AO79" i="19"/>
  <c r="F79" i="19" s="1"/>
  <c r="AP79" i="19"/>
  <c r="G79" i="19" s="1"/>
  <c r="AQ79" i="19"/>
  <c r="H79" i="19" s="1"/>
  <c r="AR79" i="19"/>
  <c r="I79" i="19" s="1"/>
  <c r="AS79" i="19"/>
  <c r="J79" i="19" s="1"/>
  <c r="AT79" i="19"/>
  <c r="K79" i="19" s="1"/>
  <c r="AU79" i="19"/>
  <c r="L79" i="19" s="1"/>
  <c r="AV79" i="19"/>
  <c r="M79" i="19" s="1"/>
  <c r="AW79" i="19"/>
  <c r="N79" i="19" s="1"/>
  <c r="AX79" i="19"/>
  <c r="O79" i="19" s="1"/>
  <c r="AY79" i="19"/>
  <c r="P79" i="19" s="1"/>
  <c r="AZ79" i="19"/>
  <c r="Q79" i="19" s="1"/>
  <c r="BA79" i="19"/>
  <c r="R79" i="19" s="1"/>
  <c r="BB79" i="19"/>
  <c r="S79" i="19" s="1"/>
  <c r="BC79" i="19"/>
  <c r="T79" i="19" s="1"/>
  <c r="BD79" i="19"/>
  <c r="U79" i="19" s="1"/>
  <c r="BE79" i="19"/>
  <c r="V79" i="19" s="1"/>
  <c r="BF79" i="19"/>
  <c r="W79" i="19" s="1"/>
  <c r="BG79" i="19"/>
  <c r="X79" i="19" s="1"/>
  <c r="BH79" i="19"/>
  <c r="Y79" i="19" s="1"/>
  <c r="BI79" i="19"/>
  <c r="Z79" i="19" s="1"/>
  <c r="BJ79" i="19"/>
  <c r="AA79" i="19" s="1"/>
  <c r="BK79" i="19"/>
  <c r="AB79" i="19" s="1"/>
  <c r="BL79" i="19"/>
  <c r="AC79" i="19" s="1"/>
  <c r="BM79" i="19"/>
  <c r="AD79" i="19" s="1"/>
  <c r="AG80" i="19"/>
  <c r="AH80" i="19"/>
  <c r="AJ80" i="19"/>
  <c r="A80" i="19" s="1"/>
  <c r="AK80" i="19"/>
  <c r="B80" i="19" s="1"/>
  <c r="AL80" i="19"/>
  <c r="C80" i="19" s="1"/>
  <c r="AM80" i="19"/>
  <c r="D80" i="19" s="1"/>
  <c r="AN80" i="19"/>
  <c r="E80" i="19" s="1"/>
  <c r="AO80" i="19"/>
  <c r="F80" i="19" s="1"/>
  <c r="AP80" i="19"/>
  <c r="G80" i="19" s="1"/>
  <c r="AQ80" i="19"/>
  <c r="H80" i="19" s="1"/>
  <c r="AR80" i="19"/>
  <c r="I80" i="19" s="1"/>
  <c r="AS80" i="19"/>
  <c r="J80" i="19" s="1"/>
  <c r="AT80" i="19"/>
  <c r="K80" i="19" s="1"/>
  <c r="AU80" i="19"/>
  <c r="L80" i="19" s="1"/>
  <c r="AV80" i="19"/>
  <c r="M80" i="19" s="1"/>
  <c r="AW80" i="19"/>
  <c r="N80" i="19" s="1"/>
  <c r="AX80" i="19"/>
  <c r="O80" i="19" s="1"/>
  <c r="AY80" i="19"/>
  <c r="P80" i="19" s="1"/>
  <c r="AZ80" i="19"/>
  <c r="Q80" i="19" s="1"/>
  <c r="BA80" i="19"/>
  <c r="R80" i="19" s="1"/>
  <c r="BB80" i="19"/>
  <c r="S80" i="19" s="1"/>
  <c r="BC80" i="19"/>
  <c r="T80" i="19" s="1"/>
  <c r="BD80" i="19"/>
  <c r="U80" i="19" s="1"/>
  <c r="BE80" i="19"/>
  <c r="V80" i="19" s="1"/>
  <c r="BF80" i="19"/>
  <c r="W80" i="19" s="1"/>
  <c r="BG80" i="19"/>
  <c r="X80" i="19" s="1"/>
  <c r="BH80" i="19"/>
  <c r="Y80" i="19" s="1"/>
  <c r="BI80" i="19"/>
  <c r="Z80" i="19" s="1"/>
  <c r="BJ80" i="19"/>
  <c r="AA80" i="19" s="1"/>
  <c r="BK80" i="19"/>
  <c r="AB80" i="19" s="1"/>
  <c r="BL80" i="19"/>
  <c r="AC80" i="19" s="1"/>
  <c r="BM80" i="19"/>
  <c r="AD80" i="19" s="1"/>
  <c r="AG81" i="19"/>
  <c r="AH81" i="19"/>
  <c r="AJ81" i="19"/>
  <c r="A81" i="19" s="1"/>
  <c r="AK81" i="19"/>
  <c r="B81" i="19" s="1"/>
  <c r="AL81" i="19"/>
  <c r="C81" i="19" s="1"/>
  <c r="AM81" i="19"/>
  <c r="D81" i="19" s="1"/>
  <c r="AN81" i="19"/>
  <c r="E81" i="19" s="1"/>
  <c r="AO81" i="19"/>
  <c r="F81" i="19" s="1"/>
  <c r="AP81" i="19"/>
  <c r="G81" i="19" s="1"/>
  <c r="AQ81" i="19"/>
  <c r="H81" i="19" s="1"/>
  <c r="AR81" i="19"/>
  <c r="I81" i="19" s="1"/>
  <c r="AS81" i="19"/>
  <c r="J81" i="19" s="1"/>
  <c r="AT81" i="19"/>
  <c r="K81" i="19" s="1"/>
  <c r="AU81" i="19"/>
  <c r="L81" i="19" s="1"/>
  <c r="AV81" i="19"/>
  <c r="M81" i="19" s="1"/>
  <c r="AW81" i="19"/>
  <c r="N81" i="19" s="1"/>
  <c r="AX81" i="19"/>
  <c r="O81" i="19" s="1"/>
  <c r="AY81" i="19"/>
  <c r="P81" i="19" s="1"/>
  <c r="AZ81" i="19"/>
  <c r="Q81" i="19" s="1"/>
  <c r="BA81" i="19"/>
  <c r="R81" i="19" s="1"/>
  <c r="BB81" i="19"/>
  <c r="S81" i="19" s="1"/>
  <c r="BC81" i="19"/>
  <c r="T81" i="19" s="1"/>
  <c r="BD81" i="19"/>
  <c r="U81" i="19" s="1"/>
  <c r="BE81" i="19"/>
  <c r="V81" i="19" s="1"/>
  <c r="BF81" i="19"/>
  <c r="W81" i="19" s="1"/>
  <c r="BG81" i="19"/>
  <c r="X81" i="19" s="1"/>
  <c r="BH81" i="19"/>
  <c r="Y81" i="19" s="1"/>
  <c r="BI81" i="19"/>
  <c r="Z81" i="19" s="1"/>
  <c r="BJ81" i="19"/>
  <c r="AA81" i="19" s="1"/>
  <c r="BK81" i="19"/>
  <c r="AB81" i="19" s="1"/>
  <c r="BL81" i="19"/>
  <c r="AC81" i="19" s="1"/>
  <c r="BM81" i="19"/>
  <c r="AD81" i="19" s="1"/>
  <c r="AG82" i="19"/>
  <c r="AH82" i="19"/>
  <c r="AJ82" i="19"/>
  <c r="A82" i="19" s="1"/>
  <c r="AK82" i="19"/>
  <c r="B82" i="19" s="1"/>
  <c r="AL82" i="19"/>
  <c r="C82" i="19" s="1"/>
  <c r="AM82" i="19"/>
  <c r="D82" i="19" s="1"/>
  <c r="AN82" i="19"/>
  <c r="E82" i="19" s="1"/>
  <c r="AO82" i="19"/>
  <c r="F82" i="19" s="1"/>
  <c r="AP82" i="19"/>
  <c r="G82" i="19" s="1"/>
  <c r="AQ82" i="19"/>
  <c r="H82" i="19" s="1"/>
  <c r="AR82" i="19"/>
  <c r="I82" i="19" s="1"/>
  <c r="AS82" i="19"/>
  <c r="J82" i="19" s="1"/>
  <c r="AT82" i="19"/>
  <c r="K82" i="19" s="1"/>
  <c r="AU82" i="19"/>
  <c r="L82" i="19" s="1"/>
  <c r="AV82" i="19"/>
  <c r="M82" i="19" s="1"/>
  <c r="AW82" i="19"/>
  <c r="N82" i="19" s="1"/>
  <c r="AX82" i="19"/>
  <c r="O82" i="19" s="1"/>
  <c r="AY82" i="19"/>
  <c r="P82" i="19" s="1"/>
  <c r="AZ82" i="19"/>
  <c r="Q82" i="19" s="1"/>
  <c r="BA82" i="19"/>
  <c r="R82" i="19" s="1"/>
  <c r="BB82" i="19"/>
  <c r="S82" i="19" s="1"/>
  <c r="BC82" i="19"/>
  <c r="T82" i="19" s="1"/>
  <c r="BD82" i="19"/>
  <c r="U82" i="19" s="1"/>
  <c r="BE82" i="19"/>
  <c r="V82" i="19" s="1"/>
  <c r="BF82" i="19"/>
  <c r="W82" i="19" s="1"/>
  <c r="BG82" i="19"/>
  <c r="X82" i="19" s="1"/>
  <c r="BH82" i="19"/>
  <c r="Y82" i="19" s="1"/>
  <c r="BI82" i="19"/>
  <c r="Z82" i="19" s="1"/>
  <c r="BJ82" i="19"/>
  <c r="AA82" i="19" s="1"/>
  <c r="BK82" i="19"/>
  <c r="AB82" i="19" s="1"/>
  <c r="BL82" i="19"/>
  <c r="AC82" i="19" s="1"/>
  <c r="BM82" i="19"/>
  <c r="AD82" i="19" s="1"/>
  <c r="AG83" i="19"/>
  <c r="AH83" i="19"/>
  <c r="AJ83" i="19"/>
  <c r="A83" i="19" s="1"/>
  <c r="AK83" i="19"/>
  <c r="B83" i="19" s="1"/>
  <c r="AL83" i="19"/>
  <c r="C83" i="19" s="1"/>
  <c r="AM83" i="19"/>
  <c r="D83" i="19" s="1"/>
  <c r="AN83" i="19"/>
  <c r="E83" i="19" s="1"/>
  <c r="AO83" i="19"/>
  <c r="F83" i="19" s="1"/>
  <c r="AP83" i="19"/>
  <c r="G83" i="19" s="1"/>
  <c r="AQ83" i="19"/>
  <c r="H83" i="19" s="1"/>
  <c r="AR83" i="19"/>
  <c r="I83" i="19" s="1"/>
  <c r="AS83" i="19"/>
  <c r="J83" i="19" s="1"/>
  <c r="AT83" i="19"/>
  <c r="K83" i="19" s="1"/>
  <c r="AU83" i="19"/>
  <c r="L83" i="19" s="1"/>
  <c r="AV83" i="19"/>
  <c r="M83" i="19" s="1"/>
  <c r="AW83" i="19"/>
  <c r="N83" i="19" s="1"/>
  <c r="AX83" i="19"/>
  <c r="O83" i="19" s="1"/>
  <c r="AY83" i="19"/>
  <c r="P83" i="19" s="1"/>
  <c r="AZ83" i="19"/>
  <c r="Q83" i="19" s="1"/>
  <c r="BA83" i="19"/>
  <c r="R83" i="19" s="1"/>
  <c r="BB83" i="19"/>
  <c r="S83" i="19" s="1"/>
  <c r="BC83" i="19"/>
  <c r="T83" i="19" s="1"/>
  <c r="BD83" i="19"/>
  <c r="U83" i="19" s="1"/>
  <c r="BE83" i="19"/>
  <c r="V83" i="19" s="1"/>
  <c r="BF83" i="19"/>
  <c r="W83" i="19" s="1"/>
  <c r="BG83" i="19"/>
  <c r="X83" i="19" s="1"/>
  <c r="BH83" i="19"/>
  <c r="Y83" i="19" s="1"/>
  <c r="BI83" i="19"/>
  <c r="Z83" i="19" s="1"/>
  <c r="BJ83" i="19"/>
  <c r="AA83" i="19" s="1"/>
  <c r="BK83" i="19"/>
  <c r="AB83" i="19" s="1"/>
  <c r="BL83" i="19"/>
  <c r="AC83" i="19" s="1"/>
  <c r="BM83" i="19"/>
  <c r="AD83" i="19" s="1"/>
  <c r="AG84" i="19"/>
  <c r="AH84" i="19"/>
  <c r="AJ84" i="19"/>
  <c r="A84" i="19" s="1"/>
  <c r="AK84" i="19"/>
  <c r="B84" i="19" s="1"/>
  <c r="AL84" i="19"/>
  <c r="C84" i="19" s="1"/>
  <c r="AM84" i="19"/>
  <c r="D84" i="19" s="1"/>
  <c r="AN84" i="19"/>
  <c r="E84" i="19" s="1"/>
  <c r="AO84" i="19"/>
  <c r="F84" i="19" s="1"/>
  <c r="AP84" i="19"/>
  <c r="G84" i="19" s="1"/>
  <c r="AQ84" i="19"/>
  <c r="H84" i="19" s="1"/>
  <c r="AR84" i="19"/>
  <c r="I84" i="19" s="1"/>
  <c r="AS84" i="19"/>
  <c r="J84" i="19" s="1"/>
  <c r="AT84" i="19"/>
  <c r="K84" i="19" s="1"/>
  <c r="AU84" i="19"/>
  <c r="L84" i="19" s="1"/>
  <c r="AV84" i="19"/>
  <c r="M84" i="19" s="1"/>
  <c r="AW84" i="19"/>
  <c r="N84" i="19" s="1"/>
  <c r="AX84" i="19"/>
  <c r="O84" i="19" s="1"/>
  <c r="AY84" i="19"/>
  <c r="P84" i="19" s="1"/>
  <c r="AZ84" i="19"/>
  <c r="Q84" i="19" s="1"/>
  <c r="BA84" i="19"/>
  <c r="R84" i="19" s="1"/>
  <c r="BB84" i="19"/>
  <c r="S84" i="19" s="1"/>
  <c r="BC84" i="19"/>
  <c r="T84" i="19" s="1"/>
  <c r="BD84" i="19"/>
  <c r="U84" i="19" s="1"/>
  <c r="BE84" i="19"/>
  <c r="V84" i="19" s="1"/>
  <c r="BF84" i="19"/>
  <c r="W84" i="19" s="1"/>
  <c r="BG84" i="19"/>
  <c r="X84" i="19" s="1"/>
  <c r="BH84" i="19"/>
  <c r="Y84" i="19" s="1"/>
  <c r="BI84" i="19"/>
  <c r="Z84" i="19" s="1"/>
  <c r="BJ84" i="19"/>
  <c r="AA84" i="19" s="1"/>
  <c r="BK84" i="19"/>
  <c r="AB84" i="19" s="1"/>
  <c r="BL84" i="19"/>
  <c r="AC84" i="19" s="1"/>
  <c r="BM84" i="19"/>
  <c r="AD84" i="19" s="1"/>
  <c r="AG85" i="19"/>
  <c r="AH85" i="19"/>
  <c r="AJ85" i="19"/>
  <c r="A85" i="19" s="1"/>
  <c r="AK85" i="19"/>
  <c r="B85" i="19" s="1"/>
  <c r="AL85" i="19"/>
  <c r="C85" i="19" s="1"/>
  <c r="AM85" i="19"/>
  <c r="D85" i="19" s="1"/>
  <c r="AN85" i="19"/>
  <c r="E85" i="19" s="1"/>
  <c r="AO85" i="19"/>
  <c r="F85" i="19" s="1"/>
  <c r="AP85" i="19"/>
  <c r="G85" i="19" s="1"/>
  <c r="AQ85" i="19"/>
  <c r="H85" i="19" s="1"/>
  <c r="AR85" i="19"/>
  <c r="I85" i="19" s="1"/>
  <c r="AS85" i="19"/>
  <c r="J85" i="19" s="1"/>
  <c r="AT85" i="19"/>
  <c r="K85" i="19" s="1"/>
  <c r="AU85" i="19"/>
  <c r="L85" i="19" s="1"/>
  <c r="AV85" i="19"/>
  <c r="M85" i="19" s="1"/>
  <c r="AW85" i="19"/>
  <c r="N85" i="19" s="1"/>
  <c r="AX85" i="19"/>
  <c r="O85" i="19" s="1"/>
  <c r="AY85" i="19"/>
  <c r="P85" i="19" s="1"/>
  <c r="AZ85" i="19"/>
  <c r="Q85" i="19" s="1"/>
  <c r="BA85" i="19"/>
  <c r="R85" i="19" s="1"/>
  <c r="BB85" i="19"/>
  <c r="S85" i="19" s="1"/>
  <c r="BC85" i="19"/>
  <c r="T85" i="19" s="1"/>
  <c r="BD85" i="19"/>
  <c r="U85" i="19" s="1"/>
  <c r="BE85" i="19"/>
  <c r="V85" i="19" s="1"/>
  <c r="BF85" i="19"/>
  <c r="W85" i="19" s="1"/>
  <c r="BG85" i="19"/>
  <c r="X85" i="19" s="1"/>
  <c r="BH85" i="19"/>
  <c r="Y85" i="19" s="1"/>
  <c r="BI85" i="19"/>
  <c r="Z85" i="19" s="1"/>
  <c r="BJ85" i="19"/>
  <c r="AA85" i="19" s="1"/>
  <c r="BK85" i="19"/>
  <c r="AB85" i="19" s="1"/>
  <c r="BL85" i="19"/>
  <c r="AC85" i="19" s="1"/>
  <c r="BM85" i="19"/>
  <c r="AD85" i="19" s="1"/>
  <c r="AG86" i="19"/>
  <c r="AH86" i="19"/>
  <c r="AJ86" i="19"/>
  <c r="A86" i="19" s="1"/>
  <c r="AK86" i="19"/>
  <c r="B86" i="19" s="1"/>
  <c r="AL86" i="19"/>
  <c r="C86" i="19" s="1"/>
  <c r="AM86" i="19"/>
  <c r="D86" i="19" s="1"/>
  <c r="AN86" i="19"/>
  <c r="E86" i="19" s="1"/>
  <c r="AO86" i="19"/>
  <c r="F86" i="19" s="1"/>
  <c r="AP86" i="19"/>
  <c r="G86" i="19" s="1"/>
  <c r="AQ86" i="19"/>
  <c r="H86" i="19" s="1"/>
  <c r="AR86" i="19"/>
  <c r="I86" i="19" s="1"/>
  <c r="AS86" i="19"/>
  <c r="J86" i="19" s="1"/>
  <c r="AT86" i="19"/>
  <c r="K86" i="19" s="1"/>
  <c r="AU86" i="19"/>
  <c r="L86" i="19" s="1"/>
  <c r="AV86" i="19"/>
  <c r="M86" i="19" s="1"/>
  <c r="AW86" i="19"/>
  <c r="N86" i="19" s="1"/>
  <c r="AX86" i="19"/>
  <c r="O86" i="19" s="1"/>
  <c r="AY86" i="19"/>
  <c r="P86" i="19" s="1"/>
  <c r="AZ86" i="19"/>
  <c r="Q86" i="19" s="1"/>
  <c r="BA86" i="19"/>
  <c r="R86" i="19" s="1"/>
  <c r="BB86" i="19"/>
  <c r="S86" i="19" s="1"/>
  <c r="BC86" i="19"/>
  <c r="T86" i="19" s="1"/>
  <c r="BD86" i="19"/>
  <c r="U86" i="19" s="1"/>
  <c r="BE86" i="19"/>
  <c r="V86" i="19" s="1"/>
  <c r="BF86" i="19"/>
  <c r="W86" i="19" s="1"/>
  <c r="BG86" i="19"/>
  <c r="X86" i="19" s="1"/>
  <c r="BH86" i="19"/>
  <c r="Y86" i="19" s="1"/>
  <c r="BI86" i="19"/>
  <c r="Z86" i="19" s="1"/>
  <c r="BJ86" i="19"/>
  <c r="AA86" i="19" s="1"/>
  <c r="BK86" i="19"/>
  <c r="AB86" i="19" s="1"/>
  <c r="BL86" i="19"/>
  <c r="AC86" i="19" s="1"/>
  <c r="BM86" i="19"/>
  <c r="AD86" i="19" s="1"/>
  <c r="AG87" i="19"/>
  <c r="AH87" i="19"/>
  <c r="AJ87" i="19"/>
  <c r="A87" i="19" s="1"/>
  <c r="AK87" i="19"/>
  <c r="B87" i="19" s="1"/>
  <c r="AL87" i="19"/>
  <c r="C87" i="19" s="1"/>
  <c r="AM87" i="19"/>
  <c r="D87" i="19" s="1"/>
  <c r="AN87" i="19"/>
  <c r="E87" i="19" s="1"/>
  <c r="AO87" i="19"/>
  <c r="F87" i="19" s="1"/>
  <c r="AP87" i="19"/>
  <c r="G87" i="19" s="1"/>
  <c r="AQ87" i="19"/>
  <c r="H87" i="19" s="1"/>
  <c r="AR87" i="19"/>
  <c r="I87" i="19" s="1"/>
  <c r="AS87" i="19"/>
  <c r="J87" i="19" s="1"/>
  <c r="AT87" i="19"/>
  <c r="K87" i="19" s="1"/>
  <c r="AU87" i="19"/>
  <c r="L87" i="19" s="1"/>
  <c r="AV87" i="19"/>
  <c r="M87" i="19" s="1"/>
  <c r="AW87" i="19"/>
  <c r="N87" i="19" s="1"/>
  <c r="AX87" i="19"/>
  <c r="O87" i="19" s="1"/>
  <c r="AY87" i="19"/>
  <c r="P87" i="19" s="1"/>
  <c r="AZ87" i="19"/>
  <c r="Q87" i="19" s="1"/>
  <c r="BA87" i="19"/>
  <c r="R87" i="19" s="1"/>
  <c r="BB87" i="19"/>
  <c r="S87" i="19" s="1"/>
  <c r="BC87" i="19"/>
  <c r="T87" i="19" s="1"/>
  <c r="BD87" i="19"/>
  <c r="U87" i="19" s="1"/>
  <c r="BE87" i="19"/>
  <c r="V87" i="19" s="1"/>
  <c r="BF87" i="19"/>
  <c r="W87" i="19" s="1"/>
  <c r="BG87" i="19"/>
  <c r="X87" i="19" s="1"/>
  <c r="BH87" i="19"/>
  <c r="Y87" i="19" s="1"/>
  <c r="BI87" i="19"/>
  <c r="Z87" i="19" s="1"/>
  <c r="BJ87" i="19"/>
  <c r="AA87" i="19" s="1"/>
  <c r="BK87" i="19"/>
  <c r="AB87" i="19" s="1"/>
  <c r="BL87" i="19"/>
  <c r="AC87" i="19" s="1"/>
  <c r="BM87" i="19"/>
  <c r="AD87" i="19" s="1"/>
  <c r="AG88" i="19"/>
  <c r="AH88" i="19"/>
  <c r="AJ88" i="19"/>
  <c r="A88" i="19" s="1"/>
  <c r="AK88" i="19"/>
  <c r="B88" i="19" s="1"/>
  <c r="AL88" i="19"/>
  <c r="C88" i="19" s="1"/>
  <c r="AM88" i="19"/>
  <c r="D88" i="19" s="1"/>
  <c r="AN88" i="19"/>
  <c r="E88" i="19" s="1"/>
  <c r="AO88" i="19"/>
  <c r="F88" i="19" s="1"/>
  <c r="AP88" i="19"/>
  <c r="G88" i="19" s="1"/>
  <c r="AQ88" i="19"/>
  <c r="H88" i="19" s="1"/>
  <c r="AR88" i="19"/>
  <c r="I88" i="19" s="1"/>
  <c r="AS88" i="19"/>
  <c r="J88" i="19" s="1"/>
  <c r="AT88" i="19"/>
  <c r="K88" i="19" s="1"/>
  <c r="AU88" i="19"/>
  <c r="L88" i="19" s="1"/>
  <c r="AV88" i="19"/>
  <c r="M88" i="19" s="1"/>
  <c r="AW88" i="19"/>
  <c r="N88" i="19" s="1"/>
  <c r="AX88" i="19"/>
  <c r="O88" i="19" s="1"/>
  <c r="AY88" i="19"/>
  <c r="P88" i="19" s="1"/>
  <c r="AZ88" i="19"/>
  <c r="Q88" i="19" s="1"/>
  <c r="BA88" i="19"/>
  <c r="R88" i="19" s="1"/>
  <c r="BB88" i="19"/>
  <c r="S88" i="19" s="1"/>
  <c r="BC88" i="19"/>
  <c r="T88" i="19" s="1"/>
  <c r="BD88" i="19"/>
  <c r="U88" i="19" s="1"/>
  <c r="BE88" i="19"/>
  <c r="V88" i="19" s="1"/>
  <c r="BF88" i="19"/>
  <c r="W88" i="19" s="1"/>
  <c r="BG88" i="19"/>
  <c r="X88" i="19" s="1"/>
  <c r="BH88" i="19"/>
  <c r="Y88" i="19" s="1"/>
  <c r="BI88" i="19"/>
  <c r="Z88" i="19" s="1"/>
  <c r="BJ88" i="19"/>
  <c r="AA88" i="19" s="1"/>
  <c r="BK88" i="19"/>
  <c r="AB88" i="19" s="1"/>
  <c r="BL88" i="19"/>
  <c r="AC88" i="19" s="1"/>
  <c r="BM88" i="19"/>
  <c r="AD88" i="19" s="1"/>
  <c r="AG89" i="19"/>
  <c r="AH89" i="19"/>
  <c r="AJ89" i="19"/>
  <c r="A89" i="19" s="1"/>
  <c r="AK89" i="19"/>
  <c r="B89" i="19" s="1"/>
  <c r="AL89" i="19"/>
  <c r="C89" i="19" s="1"/>
  <c r="AM89" i="19"/>
  <c r="D89" i="19" s="1"/>
  <c r="AN89" i="19"/>
  <c r="E89" i="19" s="1"/>
  <c r="AO89" i="19"/>
  <c r="F89" i="19" s="1"/>
  <c r="AP89" i="19"/>
  <c r="G89" i="19" s="1"/>
  <c r="AQ89" i="19"/>
  <c r="H89" i="19" s="1"/>
  <c r="AR89" i="19"/>
  <c r="I89" i="19" s="1"/>
  <c r="AS89" i="19"/>
  <c r="J89" i="19" s="1"/>
  <c r="AT89" i="19"/>
  <c r="K89" i="19" s="1"/>
  <c r="AU89" i="19"/>
  <c r="L89" i="19" s="1"/>
  <c r="AV89" i="19"/>
  <c r="M89" i="19" s="1"/>
  <c r="AW89" i="19"/>
  <c r="N89" i="19" s="1"/>
  <c r="AX89" i="19"/>
  <c r="O89" i="19" s="1"/>
  <c r="AY89" i="19"/>
  <c r="P89" i="19" s="1"/>
  <c r="AZ89" i="19"/>
  <c r="Q89" i="19" s="1"/>
  <c r="BA89" i="19"/>
  <c r="R89" i="19" s="1"/>
  <c r="BB89" i="19"/>
  <c r="S89" i="19" s="1"/>
  <c r="BC89" i="19"/>
  <c r="T89" i="19" s="1"/>
  <c r="BD89" i="19"/>
  <c r="U89" i="19" s="1"/>
  <c r="BE89" i="19"/>
  <c r="V89" i="19" s="1"/>
  <c r="BF89" i="19"/>
  <c r="W89" i="19" s="1"/>
  <c r="BG89" i="19"/>
  <c r="X89" i="19" s="1"/>
  <c r="BH89" i="19"/>
  <c r="Y89" i="19" s="1"/>
  <c r="BI89" i="19"/>
  <c r="Z89" i="19" s="1"/>
  <c r="BJ89" i="19"/>
  <c r="AA89" i="19" s="1"/>
  <c r="BK89" i="19"/>
  <c r="AB89" i="19" s="1"/>
  <c r="BL89" i="19"/>
  <c r="AC89" i="19" s="1"/>
  <c r="BM89" i="19"/>
  <c r="AD89" i="19" s="1"/>
  <c r="AG90" i="19"/>
  <c r="AH90" i="19"/>
  <c r="AJ90" i="19"/>
  <c r="A90" i="19" s="1"/>
  <c r="AK90" i="19"/>
  <c r="B90" i="19" s="1"/>
  <c r="AL90" i="19"/>
  <c r="C90" i="19" s="1"/>
  <c r="AM90" i="19"/>
  <c r="D90" i="19" s="1"/>
  <c r="AN90" i="19"/>
  <c r="E90" i="19" s="1"/>
  <c r="AO90" i="19"/>
  <c r="F90" i="19" s="1"/>
  <c r="AP90" i="19"/>
  <c r="G90" i="19" s="1"/>
  <c r="AQ90" i="19"/>
  <c r="H90" i="19" s="1"/>
  <c r="AR90" i="19"/>
  <c r="I90" i="19" s="1"/>
  <c r="AS90" i="19"/>
  <c r="J90" i="19" s="1"/>
  <c r="AT90" i="19"/>
  <c r="K90" i="19" s="1"/>
  <c r="AU90" i="19"/>
  <c r="L90" i="19" s="1"/>
  <c r="AV90" i="19"/>
  <c r="M90" i="19" s="1"/>
  <c r="AW90" i="19"/>
  <c r="N90" i="19" s="1"/>
  <c r="AX90" i="19"/>
  <c r="O90" i="19" s="1"/>
  <c r="AY90" i="19"/>
  <c r="P90" i="19" s="1"/>
  <c r="AZ90" i="19"/>
  <c r="Q90" i="19" s="1"/>
  <c r="BA90" i="19"/>
  <c r="R90" i="19" s="1"/>
  <c r="BB90" i="19"/>
  <c r="S90" i="19" s="1"/>
  <c r="BC90" i="19"/>
  <c r="T90" i="19" s="1"/>
  <c r="BD90" i="19"/>
  <c r="U90" i="19" s="1"/>
  <c r="BE90" i="19"/>
  <c r="V90" i="19" s="1"/>
  <c r="BF90" i="19"/>
  <c r="W90" i="19" s="1"/>
  <c r="BG90" i="19"/>
  <c r="X90" i="19" s="1"/>
  <c r="BH90" i="19"/>
  <c r="Y90" i="19" s="1"/>
  <c r="BI90" i="19"/>
  <c r="Z90" i="19" s="1"/>
  <c r="BJ90" i="19"/>
  <c r="AA90" i="19" s="1"/>
  <c r="BK90" i="19"/>
  <c r="AB90" i="19" s="1"/>
  <c r="BL90" i="19"/>
  <c r="AC90" i="19" s="1"/>
  <c r="BM90" i="19"/>
  <c r="AD90" i="19" s="1"/>
  <c r="AG91" i="19"/>
  <c r="AH91" i="19"/>
  <c r="AJ91" i="19"/>
  <c r="A91" i="19" s="1"/>
  <c r="AK91" i="19"/>
  <c r="B91" i="19" s="1"/>
  <c r="AL91" i="19"/>
  <c r="C91" i="19" s="1"/>
  <c r="AM91" i="19"/>
  <c r="D91" i="19" s="1"/>
  <c r="AN91" i="19"/>
  <c r="E91" i="19" s="1"/>
  <c r="AO91" i="19"/>
  <c r="F91" i="19" s="1"/>
  <c r="AP91" i="19"/>
  <c r="G91" i="19" s="1"/>
  <c r="AQ91" i="19"/>
  <c r="H91" i="19" s="1"/>
  <c r="AR91" i="19"/>
  <c r="I91" i="19" s="1"/>
  <c r="AS91" i="19"/>
  <c r="J91" i="19" s="1"/>
  <c r="AT91" i="19"/>
  <c r="K91" i="19" s="1"/>
  <c r="AU91" i="19"/>
  <c r="L91" i="19" s="1"/>
  <c r="AV91" i="19"/>
  <c r="M91" i="19" s="1"/>
  <c r="AW91" i="19"/>
  <c r="N91" i="19" s="1"/>
  <c r="AX91" i="19"/>
  <c r="O91" i="19" s="1"/>
  <c r="AY91" i="19"/>
  <c r="P91" i="19" s="1"/>
  <c r="AZ91" i="19"/>
  <c r="Q91" i="19" s="1"/>
  <c r="BA91" i="19"/>
  <c r="R91" i="19" s="1"/>
  <c r="BB91" i="19"/>
  <c r="S91" i="19" s="1"/>
  <c r="BC91" i="19"/>
  <c r="T91" i="19" s="1"/>
  <c r="BD91" i="19"/>
  <c r="U91" i="19" s="1"/>
  <c r="BE91" i="19"/>
  <c r="V91" i="19" s="1"/>
  <c r="BF91" i="19"/>
  <c r="W91" i="19" s="1"/>
  <c r="BG91" i="19"/>
  <c r="X91" i="19" s="1"/>
  <c r="BH91" i="19"/>
  <c r="Y91" i="19" s="1"/>
  <c r="BI91" i="19"/>
  <c r="Z91" i="19" s="1"/>
  <c r="BJ91" i="19"/>
  <c r="AA91" i="19" s="1"/>
  <c r="BK91" i="19"/>
  <c r="AB91" i="19" s="1"/>
  <c r="BL91" i="19"/>
  <c r="AC91" i="19" s="1"/>
  <c r="BM91" i="19"/>
  <c r="AD91" i="19" s="1"/>
  <c r="AG92" i="19"/>
  <c r="AH92" i="19"/>
  <c r="AJ92" i="19"/>
  <c r="A92" i="19" s="1"/>
  <c r="AK92" i="19"/>
  <c r="B92" i="19" s="1"/>
  <c r="AL92" i="19"/>
  <c r="C92" i="19" s="1"/>
  <c r="AM92" i="19"/>
  <c r="D92" i="19" s="1"/>
  <c r="AN92" i="19"/>
  <c r="E92" i="19" s="1"/>
  <c r="AO92" i="19"/>
  <c r="F92" i="19" s="1"/>
  <c r="AP92" i="19"/>
  <c r="G92" i="19" s="1"/>
  <c r="AQ92" i="19"/>
  <c r="H92" i="19" s="1"/>
  <c r="AR92" i="19"/>
  <c r="I92" i="19" s="1"/>
  <c r="AS92" i="19"/>
  <c r="J92" i="19" s="1"/>
  <c r="AT92" i="19"/>
  <c r="K92" i="19" s="1"/>
  <c r="AU92" i="19"/>
  <c r="L92" i="19" s="1"/>
  <c r="AV92" i="19"/>
  <c r="M92" i="19" s="1"/>
  <c r="AW92" i="19"/>
  <c r="N92" i="19" s="1"/>
  <c r="AX92" i="19"/>
  <c r="O92" i="19" s="1"/>
  <c r="AY92" i="19"/>
  <c r="P92" i="19" s="1"/>
  <c r="AZ92" i="19"/>
  <c r="Q92" i="19" s="1"/>
  <c r="BA92" i="19"/>
  <c r="R92" i="19" s="1"/>
  <c r="BB92" i="19"/>
  <c r="S92" i="19" s="1"/>
  <c r="BC92" i="19"/>
  <c r="T92" i="19" s="1"/>
  <c r="BD92" i="19"/>
  <c r="U92" i="19" s="1"/>
  <c r="BE92" i="19"/>
  <c r="V92" i="19" s="1"/>
  <c r="BF92" i="19"/>
  <c r="W92" i="19" s="1"/>
  <c r="BG92" i="19"/>
  <c r="X92" i="19" s="1"/>
  <c r="BH92" i="19"/>
  <c r="Y92" i="19" s="1"/>
  <c r="BI92" i="19"/>
  <c r="Z92" i="19" s="1"/>
  <c r="BJ92" i="19"/>
  <c r="AA92" i="19" s="1"/>
  <c r="BK92" i="19"/>
  <c r="AB92" i="19" s="1"/>
  <c r="BL92" i="19"/>
  <c r="AC92" i="19" s="1"/>
  <c r="BM92" i="19"/>
  <c r="AD92" i="19" s="1"/>
  <c r="AG93" i="19"/>
  <c r="AH93" i="19"/>
  <c r="AJ93" i="19"/>
  <c r="A93" i="19" s="1"/>
  <c r="AK93" i="19"/>
  <c r="B93" i="19" s="1"/>
  <c r="AL93" i="19"/>
  <c r="C93" i="19" s="1"/>
  <c r="AM93" i="19"/>
  <c r="D93" i="19" s="1"/>
  <c r="AN93" i="19"/>
  <c r="E93" i="19" s="1"/>
  <c r="AO93" i="19"/>
  <c r="F93" i="19" s="1"/>
  <c r="AP93" i="19"/>
  <c r="G93" i="19" s="1"/>
  <c r="AQ93" i="19"/>
  <c r="H93" i="19" s="1"/>
  <c r="AR93" i="19"/>
  <c r="I93" i="19" s="1"/>
  <c r="AS93" i="19"/>
  <c r="J93" i="19" s="1"/>
  <c r="AT93" i="19"/>
  <c r="K93" i="19" s="1"/>
  <c r="AU93" i="19"/>
  <c r="L93" i="19" s="1"/>
  <c r="AV93" i="19"/>
  <c r="M93" i="19" s="1"/>
  <c r="AW93" i="19"/>
  <c r="N93" i="19" s="1"/>
  <c r="AX93" i="19"/>
  <c r="O93" i="19" s="1"/>
  <c r="AY93" i="19"/>
  <c r="P93" i="19" s="1"/>
  <c r="AZ93" i="19"/>
  <c r="Q93" i="19" s="1"/>
  <c r="BA93" i="19"/>
  <c r="R93" i="19" s="1"/>
  <c r="BB93" i="19"/>
  <c r="S93" i="19" s="1"/>
  <c r="BC93" i="19"/>
  <c r="T93" i="19" s="1"/>
  <c r="BD93" i="19"/>
  <c r="U93" i="19" s="1"/>
  <c r="BE93" i="19"/>
  <c r="V93" i="19" s="1"/>
  <c r="BF93" i="19"/>
  <c r="W93" i="19" s="1"/>
  <c r="BG93" i="19"/>
  <c r="X93" i="19" s="1"/>
  <c r="BH93" i="19"/>
  <c r="Y93" i="19" s="1"/>
  <c r="BI93" i="19"/>
  <c r="Z93" i="19" s="1"/>
  <c r="BJ93" i="19"/>
  <c r="AA93" i="19" s="1"/>
  <c r="BK93" i="19"/>
  <c r="AB93" i="19" s="1"/>
  <c r="BL93" i="19"/>
  <c r="AC93" i="19" s="1"/>
  <c r="BM93" i="19"/>
  <c r="AD93" i="19" s="1"/>
  <c r="AG94" i="19"/>
  <c r="AH94" i="19"/>
  <c r="AJ94" i="19"/>
  <c r="A94" i="19" s="1"/>
  <c r="AK94" i="19"/>
  <c r="B94" i="19" s="1"/>
  <c r="AL94" i="19"/>
  <c r="C94" i="19" s="1"/>
  <c r="AM94" i="19"/>
  <c r="D94" i="19" s="1"/>
  <c r="AN94" i="19"/>
  <c r="E94" i="19" s="1"/>
  <c r="AO94" i="19"/>
  <c r="F94" i="19" s="1"/>
  <c r="AP94" i="19"/>
  <c r="G94" i="19" s="1"/>
  <c r="AQ94" i="19"/>
  <c r="H94" i="19" s="1"/>
  <c r="AR94" i="19"/>
  <c r="I94" i="19" s="1"/>
  <c r="AS94" i="19"/>
  <c r="J94" i="19" s="1"/>
  <c r="AT94" i="19"/>
  <c r="K94" i="19" s="1"/>
  <c r="AU94" i="19"/>
  <c r="L94" i="19" s="1"/>
  <c r="AV94" i="19"/>
  <c r="M94" i="19" s="1"/>
  <c r="AW94" i="19"/>
  <c r="N94" i="19" s="1"/>
  <c r="AX94" i="19"/>
  <c r="O94" i="19" s="1"/>
  <c r="AY94" i="19"/>
  <c r="P94" i="19" s="1"/>
  <c r="AZ94" i="19"/>
  <c r="Q94" i="19" s="1"/>
  <c r="BA94" i="19"/>
  <c r="R94" i="19" s="1"/>
  <c r="BB94" i="19"/>
  <c r="S94" i="19" s="1"/>
  <c r="BC94" i="19"/>
  <c r="T94" i="19" s="1"/>
  <c r="BD94" i="19"/>
  <c r="U94" i="19" s="1"/>
  <c r="BE94" i="19"/>
  <c r="V94" i="19" s="1"/>
  <c r="BF94" i="19"/>
  <c r="W94" i="19" s="1"/>
  <c r="BG94" i="19"/>
  <c r="X94" i="19" s="1"/>
  <c r="BH94" i="19"/>
  <c r="Y94" i="19" s="1"/>
  <c r="BI94" i="19"/>
  <c r="Z94" i="19" s="1"/>
  <c r="BJ94" i="19"/>
  <c r="AA94" i="19" s="1"/>
  <c r="BK94" i="19"/>
  <c r="AB94" i="19" s="1"/>
  <c r="BL94" i="19"/>
  <c r="AC94" i="19" s="1"/>
  <c r="BM94" i="19"/>
  <c r="AD94" i="19" s="1"/>
  <c r="AG95" i="19"/>
  <c r="AH95" i="19"/>
  <c r="AJ95" i="19"/>
  <c r="A95" i="19" s="1"/>
  <c r="AK95" i="19"/>
  <c r="B95" i="19" s="1"/>
  <c r="AL95" i="19"/>
  <c r="C95" i="19" s="1"/>
  <c r="AM95" i="19"/>
  <c r="D95" i="19" s="1"/>
  <c r="AN95" i="19"/>
  <c r="E95" i="19" s="1"/>
  <c r="AO95" i="19"/>
  <c r="F95" i="19" s="1"/>
  <c r="AP95" i="19"/>
  <c r="G95" i="19" s="1"/>
  <c r="AQ95" i="19"/>
  <c r="H95" i="19" s="1"/>
  <c r="AR95" i="19"/>
  <c r="I95" i="19" s="1"/>
  <c r="AS95" i="19"/>
  <c r="J95" i="19" s="1"/>
  <c r="AT95" i="19"/>
  <c r="K95" i="19" s="1"/>
  <c r="AU95" i="19"/>
  <c r="L95" i="19" s="1"/>
  <c r="AV95" i="19"/>
  <c r="M95" i="19" s="1"/>
  <c r="AW95" i="19"/>
  <c r="N95" i="19" s="1"/>
  <c r="AX95" i="19"/>
  <c r="O95" i="19" s="1"/>
  <c r="AY95" i="19"/>
  <c r="P95" i="19" s="1"/>
  <c r="AZ95" i="19"/>
  <c r="Q95" i="19" s="1"/>
  <c r="BA95" i="19"/>
  <c r="R95" i="19" s="1"/>
  <c r="BB95" i="19"/>
  <c r="S95" i="19" s="1"/>
  <c r="BC95" i="19"/>
  <c r="T95" i="19" s="1"/>
  <c r="BD95" i="19"/>
  <c r="U95" i="19" s="1"/>
  <c r="BE95" i="19"/>
  <c r="V95" i="19" s="1"/>
  <c r="BF95" i="19"/>
  <c r="W95" i="19" s="1"/>
  <c r="BG95" i="19"/>
  <c r="X95" i="19" s="1"/>
  <c r="BH95" i="19"/>
  <c r="Y95" i="19" s="1"/>
  <c r="BI95" i="19"/>
  <c r="Z95" i="19" s="1"/>
  <c r="BJ95" i="19"/>
  <c r="AA95" i="19" s="1"/>
  <c r="BK95" i="19"/>
  <c r="AB95" i="19" s="1"/>
  <c r="BL95" i="19"/>
  <c r="AC95" i="19" s="1"/>
  <c r="BM95" i="19"/>
  <c r="AD95" i="19" s="1"/>
  <c r="AG96" i="19"/>
  <c r="AH96" i="19"/>
  <c r="AJ96" i="19"/>
  <c r="A96" i="19" s="1"/>
  <c r="AK96" i="19"/>
  <c r="B96" i="19" s="1"/>
  <c r="AL96" i="19"/>
  <c r="C96" i="19" s="1"/>
  <c r="AM96" i="19"/>
  <c r="D96" i="19" s="1"/>
  <c r="AN96" i="19"/>
  <c r="E96" i="19" s="1"/>
  <c r="AO96" i="19"/>
  <c r="F96" i="19" s="1"/>
  <c r="AP96" i="19"/>
  <c r="G96" i="19" s="1"/>
  <c r="AQ96" i="19"/>
  <c r="H96" i="19" s="1"/>
  <c r="AR96" i="19"/>
  <c r="I96" i="19" s="1"/>
  <c r="AS96" i="19"/>
  <c r="J96" i="19" s="1"/>
  <c r="AT96" i="19"/>
  <c r="K96" i="19" s="1"/>
  <c r="AU96" i="19"/>
  <c r="L96" i="19" s="1"/>
  <c r="AV96" i="19"/>
  <c r="M96" i="19" s="1"/>
  <c r="AW96" i="19"/>
  <c r="N96" i="19" s="1"/>
  <c r="AX96" i="19"/>
  <c r="O96" i="19" s="1"/>
  <c r="AY96" i="19"/>
  <c r="P96" i="19" s="1"/>
  <c r="AZ96" i="19"/>
  <c r="Q96" i="19" s="1"/>
  <c r="BA96" i="19"/>
  <c r="R96" i="19" s="1"/>
  <c r="BB96" i="19"/>
  <c r="S96" i="19" s="1"/>
  <c r="BC96" i="19"/>
  <c r="T96" i="19" s="1"/>
  <c r="BD96" i="19"/>
  <c r="U96" i="19" s="1"/>
  <c r="BE96" i="19"/>
  <c r="V96" i="19" s="1"/>
  <c r="BF96" i="19"/>
  <c r="W96" i="19" s="1"/>
  <c r="BG96" i="19"/>
  <c r="X96" i="19" s="1"/>
  <c r="BH96" i="19"/>
  <c r="Y96" i="19" s="1"/>
  <c r="BI96" i="19"/>
  <c r="Z96" i="19" s="1"/>
  <c r="BJ96" i="19"/>
  <c r="AA96" i="19" s="1"/>
  <c r="BK96" i="19"/>
  <c r="AB96" i="19" s="1"/>
  <c r="BL96" i="19"/>
  <c r="AC96" i="19" s="1"/>
  <c r="BM96" i="19"/>
  <c r="AD96" i="19" s="1"/>
  <c r="AG97" i="19"/>
  <c r="AH97" i="19"/>
  <c r="AJ97" i="19"/>
  <c r="A97" i="19" s="1"/>
  <c r="AK97" i="19"/>
  <c r="B97" i="19" s="1"/>
  <c r="AL97" i="19"/>
  <c r="C97" i="19" s="1"/>
  <c r="AM97" i="19"/>
  <c r="D97" i="19" s="1"/>
  <c r="AN97" i="19"/>
  <c r="E97" i="19" s="1"/>
  <c r="AO97" i="19"/>
  <c r="F97" i="19" s="1"/>
  <c r="AP97" i="19"/>
  <c r="G97" i="19" s="1"/>
  <c r="AQ97" i="19"/>
  <c r="H97" i="19" s="1"/>
  <c r="AR97" i="19"/>
  <c r="I97" i="19" s="1"/>
  <c r="AS97" i="19"/>
  <c r="J97" i="19" s="1"/>
  <c r="AT97" i="19"/>
  <c r="K97" i="19" s="1"/>
  <c r="AU97" i="19"/>
  <c r="L97" i="19" s="1"/>
  <c r="AV97" i="19"/>
  <c r="M97" i="19" s="1"/>
  <c r="AW97" i="19"/>
  <c r="N97" i="19" s="1"/>
  <c r="AX97" i="19"/>
  <c r="O97" i="19" s="1"/>
  <c r="AY97" i="19"/>
  <c r="P97" i="19" s="1"/>
  <c r="AZ97" i="19"/>
  <c r="Q97" i="19" s="1"/>
  <c r="BA97" i="19"/>
  <c r="R97" i="19" s="1"/>
  <c r="BB97" i="19"/>
  <c r="S97" i="19" s="1"/>
  <c r="BC97" i="19"/>
  <c r="T97" i="19" s="1"/>
  <c r="BD97" i="19"/>
  <c r="U97" i="19" s="1"/>
  <c r="BE97" i="19"/>
  <c r="V97" i="19" s="1"/>
  <c r="BF97" i="19"/>
  <c r="W97" i="19" s="1"/>
  <c r="BG97" i="19"/>
  <c r="X97" i="19" s="1"/>
  <c r="BH97" i="19"/>
  <c r="Y97" i="19" s="1"/>
  <c r="BI97" i="19"/>
  <c r="Z97" i="19" s="1"/>
  <c r="BJ97" i="19"/>
  <c r="AA97" i="19" s="1"/>
  <c r="BK97" i="19"/>
  <c r="AB97" i="19" s="1"/>
  <c r="BL97" i="19"/>
  <c r="AC97" i="19" s="1"/>
  <c r="BM97" i="19"/>
  <c r="AD97" i="19" s="1"/>
  <c r="AG98" i="19"/>
  <c r="AH98" i="19"/>
  <c r="AJ98" i="19"/>
  <c r="A98" i="19" s="1"/>
  <c r="AK98" i="19"/>
  <c r="B98" i="19" s="1"/>
  <c r="AL98" i="19"/>
  <c r="C98" i="19" s="1"/>
  <c r="AM98" i="19"/>
  <c r="D98" i="19" s="1"/>
  <c r="AN98" i="19"/>
  <c r="E98" i="19" s="1"/>
  <c r="AO98" i="19"/>
  <c r="F98" i="19" s="1"/>
  <c r="AP98" i="19"/>
  <c r="G98" i="19" s="1"/>
  <c r="AQ98" i="19"/>
  <c r="H98" i="19" s="1"/>
  <c r="AR98" i="19"/>
  <c r="I98" i="19" s="1"/>
  <c r="AS98" i="19"/>
  <c r="J98" i="19" s="1"/>
  <c r="AT98" i="19"/>
  <c r="K98" i="19" s="1"/>
  <c r="AU98" i="19"/>
  <c r="L98" i="19" s="1"/>
  <c r="AV98" i="19"/>
  <c r="M98" i="19" s="1"/>
  <c r="AW98" i="19"/>
  <c r="N98" i="19" s="1"/>
  <c r="AX98" i="19"/>
  <c r="O98" i="19" s="1"/>
  <c r="AY98" i="19"/>
  <c r="P98" i="19" s="1"/>
  <c r="AZ98" i="19"/>
  <c r="Q98" i="19" s="1"/>
  <c r="BA98" i="19"/>
  <c r="R98" i="19" s="1"/>
  <c r="BB98" i="19"/>
  <c r="S98" i="19" s="1"/>
  <c r="BC98" i="19"/>
  <c r="T98" i="19" s="1"/>
  <c r="BD98" i="19"/>
  <c r="U98" i="19" s="1"/>
  <c r="BE98" i="19"/>
  <c r="V98" i="19" s="1"/>
  <c r="BF98" i="19"/>
  <c r="W98" i="19" s="1"/>
  <c r="BG98" i="19"/>
  <c r="X98" i="19" s="1"/>
  <c r="BH98" i="19"/>
  <c r="Y98" i="19" s="1"/>
  <c r="BI98" i="19"/>
  <c r="Z98" i="19" s="1"/>
  <c r="BJ98" i="19"/>
  <c r="AA98" i="19" s="1"/>
  <c r="BK98" i="19"/>
  <c r="AB98" i="19" s="1"/>
  <c r="BL98" i="19"/>
  <c r="AC98" i="19" s="1"/>
  <c r="BM98" i="19"/>
  <c r="AD98" i="19" s="1"/>
  <c r="AI154" i="11"/>
  <c r="AQ154" i="11" s="1"/>
  <c r="AG154" i="11"/>
  <c r="AH154" i="11"/>
  <c r="AL154" i="11" s="1"/>
  <c r="AJ154" i="11"/>
  <c r="AF154" i="11"/>
  <c r="AS154" i="11" s="1"/>
  <c r="AU154" i="11" s="1"/>
  <c r="AH152" i="11"/>
  <c r="AL152" i="11" s="1"/>
  <c r="AJ152" i="11"/>
  <c r="AF152" i="11"/>
  <c r="AG152" i="11"/>
  <c r="AI152" i="11"/>
  <c r="AQ152" i="11" s="1"/>
  <c r="AS152" i="11"/>
  <c r="AU152" i="11" s="1"/>
  <c r="AN170" i="11"/>
  <c r="AO170" i="11"/>
  <c r="AQ170" i="11"/>
  <c r="AS170" i="11" s="1"/>
  <c r="AP170" i="11"/>
  <c r="AO171" i="11"/>
  <c r="AN171" i="11"/>
  <c r="AQ171" i="11"/>
  <c r="AP171" i="11"/>
  <c r="AR171" i="11" s="1"/>
  <c r="AN172" i="11"/>
  <c r="AO172" i="11"/>
  <c r="AQ172" i="11" s="1"/>
  <c r="AS172" i="11" s="1"/>
  <c r="AP172" i="11"/>
  <c r="AN173" i="11"/>
  <c r="AO173" i="11"/>
  <c r="AQ173" i="11" s="1"/>
  <c r="AP173" i="11"/>
  <c r="AR173" i="11" s="1"/>
  <c r="AN161" i="11"/>
  <c r="AO161" i="11"/>
  <c r="AS161" i="11"/>
  <c r="AR161" i="11"/>
  <c r="AR162" i="11"/>
  <c r="AN162" i="11"/>
  <c r="AO162" i="11"/>
  <c r="AS162" i="11"/>
  <c r="AN163" i="11"/>
  <c r="AR163" i="11"/>
  <c r="AS163" i="11"/>
  <c r="AO163" i="11"/>
  <c r="AO164" i="11"/>
  <c r="AN164" i="11"/>
  <c r="AR164" i="11"/>
  <c r="AS164" i="11"/>
  <c r="AS165" i="11"/>
  <c r="AN165" i="11"/>
  <c r="AR165" i="11"/>
  <c r="AO165" i="11"/>
  <c r="AN166" i="11"/>
  <c r="AO166" i="11"/>
  <c r="AR166" i="11"/>
  <c r="AS166" i="11"/>
  <c r="AN167" i="11"/>
  <c r="AO167" i="11"/>
  <c r="AR167" i="11"/>
  <c r="AS167" i="11"/>
  <c r="AR168" i="11"/>
  <c r="AS168" i="11"/>
  <c r="AN168" i="11"/>
  <c r="AO168" i="11"/>
  <c r="G34" i="21"/>
  <c r="H34" i="21" s="1"/>
  <c r="N287" i="22"/>
  <c r="X287" i="22" s="1"/>
  <c r="AR71" i="4"/>
  <c r="N290" i="22"/>
  <c r="X290" i="22" s="1"/>
  <c r="BI74" i="4"/>
  <c r="AR74" i="4"/>
  <c r="G123" i="21"/>
  <c r="H123" i="21" s="1"/>
  <c r="G29" i="21" s="1"/>
  <c r="H29" i="21" s="1"/>
  <c r="AD112" i="11"/>
  <c r="X112" i="11"/>
  <c r="U112" i="11" s="1"/>
  <c r="AD109" i="11"/>
  <c r="X109" i="11"/>
  <c r="AD110" i="11"/>
  <c r="X110" i="11"/>
  <c r="T16" i="18"/>
  <c r="T17" i="18" s="1"/>
  <c r="T18" i="18" s="1"/>
  <c r="T19" i="18" s="1"/>
  <c r="T20" i="18" s="1"/>
  <c r="L67" i="18"/>
  <c r="CC14" i="19"/>
  <c r="CC15" i="19" s="1"/>
  <c r="CC16" i="19" s="1"/>
  <c r="CC17" i="19" s="1"/>
  <c r="CC18" i="19" s="1"/>
  <c r="CC19" i="19" s="1"/>
  <c r="AF18" i="19"/>
  <c r="AF19" i="19"/>
  <c r="AF20" i="19"/>
  <c r="AF21" i="19"/>
  <c r="AF22" i="19"/>
  <c r="AF8" i="19"/>
  <c r="AF9" i="19"/>
  <c r="AF10" i="19"/>
  <c r="AF11" i="19"/>
  <c r="AF12" i="19"/>
  <c r="AF13" i="19"/>
  <c r="AF14" i="19"/>
  <c r="AF15" i="19"/>
  <c r="AF16" i="19"/>
  <c r="AF17" i="19"/>
  <c r="DY83" i="8" l="1"/>
  <c r="DY80" i="8"/>
  <c r="DY79" i="8"/>
  <c r="DY78" i="8"/>
  <c r="DY82" i="8"/>
  <c r="DY81" i="8"/>
  <c r="AP154" i="11"/>
  <c r="AP152" i="11"/>
  <c r="AL53" i="8"/>
  <c r="AN58" i="8"/>
  <c r="DQ5" i="8"/>
  <c r="DZ5" i="8"/>
  <c r="CB5" i="8"/>
  <c r="DU5" i="8"/>
  <c r="DV5" i="8"/>
  <c r="ED5" i="8"/>
  <c r="EO5" i="8"/>
  <c r="EP5" i="8"/>
  <c r="DQ6" i="8"/>
  <c r="DZ6" i="8"/>
  <c r="CB6" i="8"/>
  <c r="DU6" i="8"/>
  <c r="DV6" i="8"/>
  <c r="ED6" i="8"/>
  <c r="EO6" i="8"/>
  <c r="EP6" i="8"/>
  <c r="DQ7" i="8"/>
  <c r="DZ7" i="8"/>
  <c r="CB7" i="8"/>
  <c r="DU7" i="8"/>
  <c r="DV7" i="8"/>
  <c r="ED7" i="8"/>
  <c r="EO7" i="8"/>
  <c r="EP7" i="8"/>
  <c r="DQ8" i="8"/>
  <c r="DZ8" i="8"/>
  <c r="CB8" i="8"/>
  <c r="DU8" i="8"/>
  <c r="DV8" i="8"/>
  <c r="ED8" i="8"/>
  <c r="EO8" i="8"/>
  <c r="EP8" i="8"/>
  <c r="DQ9" i="8"/>
  <c r="DZ9" i="8"/>
  <c r="CB9" i="8"/>
  <c r="DU9" i="8"/>
  <c r="DV9" i="8"/>
  <c r="ED9" i="8"/>
  <c r="EO9" i="8"/>
  <c r="EP9" i="8"/>
  <c r="DQ10" i="8"/>
  <c r="DZ10" i="8"/>
  <c r="CB10" i="8"/>
  <c r="DU10" i="8"/>
  <c r="DV10" i="8"/>
  <c r="ED10" i="8"/>
  <c r="EO10" i="8"/>
  <c r="EP10" i="8"/>
  <c r="DQ11" i="8"/>
  <c r="DZ11" i="8"/>
  <c r="CB11" i="8"/>
  <c r="DU11" i="8"/>
  <c r="DV11" i="8"/>
  <c r="ED11" i="8"/>
  <c r="EO11" i="8"/>
  <c r="EP11" i="8"/>
  <c r="DQ12" i="8"/>
  <c r="DZ12" i="8"/>
  <c r="CB12" i="8"/>
  <c r="DU12" i="8"/>
  <c r="DV12" i="8"/>
  <c r="ED12" i="8"/>
  <c r="EO12" i="8"/>
  <c r="EP12" i="8"/>
  <c r="DQ13" i="8"/>
  <c r="DZ13" i="8"/>
  <c r="CB13" i="8"/>
  <c r="DU13" i="8"/>
  <c r="DV13" i="8"/>
  <c r="ED13" i="8"/>
  <c r="EO13" i="8"/>
  <c r="EP13" i="8"/>
  <c r="DQ14" i="8"/>
  <c r="DZ14" i="8"/>
  <c r="CB14" i="8"/>
  <c r="DU14" i="8"/>
  <c r="DV14" i="8"/>
  <c r="ED14" i="8"/>
  <c r="EO14" i="8"/>
  <c r="EP14" i="8"/>
  <c r="DQ15" i="8"/>
  <c r="DZ15" i="8"/>
  <c r="CB15" i="8"/>
  <c r="DU15" i="8"/>
  <c r="DV15" i="8"/>
  <c r="ED15" i="8"/>
  <c r="EO15" i="8"/>
  <c r="EP15" i="8"/>
  <c r="DQ16" i="8"/>
  <c r="DZ16" i="8"/>
  <c r="CB16" i="8"/>
  <c r="DU16" i="8"/>
  <c r="DV16" i="8"/>
  <c r="ED16" i="8"/>
  <c r="EO16" i="8"/>
  <c r="EP16" i="8"/>
  <c r="DQ17" i="8"/>
  <c r="DZ17" i="8"/>
  <c r="CB17" i="8"/>
  <c r="DU17" i="8"/>
  <c r="DV17" i="8"/>
  <c r="ED17" i="8"/>
  <c r="EO17" i="8"/>
  <c r="EP17" i="8"/>
  <c r="DQ18" i="8"/>
  <c r="DZ18" i="8"/>
  <c r="CB18" i="8"/>
  <c r="DU18" i="8"/>
  <c r="DV18" i="8"/>
  <c r="ED18" i="8"/>
  <c r="EO18" i="8"/>
  <c r="EP18" i="8"/>
  <c r="DQ19" i="8"/>
  <c r="DZ19" i="8"/>
  <c r="CB19" i="8"/>
  <c r="DU19" i="8"/>
  <c r="DV19" i="8"/>
  <c r="ED19" i="8"/>
  <c r="EO19" i="8"/>
  <c r="EP19" i="8"/>
  <c r="DQ20" i="8"/>
  <c r="DZ20" i="8"/>
  <c r="CB20" i="8"/>
  <c r="DU20" i="8"/>
  <c r="DV20" i="8"/>
  <c r="ED20" i="8"/>
  <c r="EO20" i="8"/>
  <c r="EP20" i="8"/>
  <c r="DQ21" i="8"/>
  <c r="DZ21" i="8"/>
  <c r="CB21" i="8"/>
  <c r="DU21" i="8"/>
  <c r="DV21" i="8"/>
  <c r="ED21" i="8"/>
  <c r="EO21" i="8"/>
  <c r="EP21" i="8"/>
  <c r="DQ22" i="8"/>
  <c r="DZ22" i="8"/>
  <c r="CB22" i="8"/>
  <c r="DU22" i="8"/>
  <c r="DV22" i="8"/>
  <c r="ED22" i="8"/>
  <c r="EO22" i="8"/>
  <c r="EP22" i="8"/>
  <c r="DQ23" i="8"/>
  <c r="DZ23" i="8"/>
  <c r="CB23" i="8"/>
  <c r="DU23" i="8"/>
  <c r="DV23" i="8"/>
  <c r="ED23" i="8"/>
  <c r="EO23" i="8"/>
  <c r="EP23" i="8"/>
  <c r="DQ24" i="8"/>
  <c r="DZ24" i="8"/>
  <c r="CB24" i="8"/>
  <c r="DU24" i="8"/>
  <c r="DV24" i="8"/>
  <c r="ED24" i="8"/>
  <c r="EO24" i="8"/>
  <c r="EP24" i="8"/>
  <c r="DQ25" i="8"/>
  <c r="DZ25" i="8"/>
  <c r="CB25" i="8"/>
  <c r="DU25" i="8"/>
  <c r="DV25" i="8"/>
  <c r="ED25" i="8"/>
  <c r="EO25" i="8"/>
  <c r="EP25" i="8"/>
  <c r="DQ26" i="8"/>
  <c r="DZ26" i="8"/>
  <c r="CB26" i="8"/>
  <c r="DU26" i="8"/>
  <c r="DV26" i="8"/>
  <c r="ED26" i="8"/>
  <c r="EO26" i="8"/>
  <c r="EP26" i="8"/>
  <c r="DQ27" i="8"/>
  <c r="DZ27" i="8"/>
  <c r="CB27" i="8"/>
  <c r="DU27" i="8"/>
  <c r="DV27" i="8"/>
  <c r="ED27" i="8"/>
  <c r="EO27" i="8"/>
  <c r="EP27" i="8"/>
  <c r="DQ28" i="8"/>
  <c r="DZ28" i="8"/>
  <c r="CB28" i="8"/>
  <c r="DU28" i="8"/>
  <c r="DV28" i="8"/>
  <c r="ED28" i="8"/>
  <c r="EO28" i="8"/>
  <c r="EP28" i="8"/>
  <c r="DQ29" i="8"/>
  <c r="DZ29" i="8"/>
  <c r="CB29" i="8"/>
  <c r="DU29" i="8"/>
  <c r="DV29" i="8"/>
  <c r="ED29" i="8"/>
  <c r="EO29" i="8"/>
  <c r="EP29" i="8"/>
  <c r="DQ30" i="8"/>
  <c r="DZ30" i="8"/>
  <c r="CB30" i="8"/>
  <c r="DU30" i="8"/>
  <c r="DV30" i="8"/>
  <c r="ED30" i="8"/>
  <c r="EO30" i="8"/>
  <c r="EP30" i="8"/>
  <c r="DQ31" i="8"/>
  <c r="DZ31" i="8"/>
  <c r="CB31" i="8"/>
  <c r="DU31" i="8"/>
  <c r="DV31" i="8"/>
  <c r="ED31" i="8"/>
  <c r="EO31" i="8"/>
  <c r="EP31" i="8"/>
  <c r="DQ32" i="8"/>
  <c r="DZ32" i="8"/>
  <c r="CB32" i="8"/>
  <c r="DU32" i="8"/>
  <c r="DV32" i="8"/>
  <c r="ED32" i="8"/>
  <c r="EO32" i="8"/>
  <c r="EP32" i="8"/>
  <c r="DU33" i="8"/>
  <c r="DV33" i="8"/>
  <c r="ED33" i="8"/>
  <c r="EO33" i="8"/>
  <c r="EP33" i="8"/>
  <c r="DQ33" i="8"/>
  <c r="DZ33" i="8"/>
  <c r="CB33" i="8"/>
  <c r="DU34" i="8"/>
  <c r="DV34" i="8"/>
  <c r="ED34" i="8"/>
  <c r="EO34" i="8"/>
  <c r="EP34" i="8"/>
  <c r="DQ34" i="8"/>
  <c r="DZ34" i="8"/>
  <c r="CB34" i="8"/>
  <c r="DU35" i="8"/>
  <c r="DV35" i="8"/>
  <c r="ED35" i="8"/>
  <c r="EO35" i="8"/>
  <c r="EP35" i="8"/>
  <c r="DQ35" i="8"/>
  <c r="DZ35" i="8"/>
  <c r="CB35" i="8"/>
  <c r="DU36" i="8"/>
  <c r="DV36" i="8"/>
  <c r="ED36" i="8"/>
  <c r="EO36" i="8"/>
  <c r="EP36" i="8"/>
  <c r="DQ36" i="8"/>
  <c r="DZ36" i="8"/>
  <c r="CB36" i="8"/>
  <c r="DU37" i="8"/>
  <c r="DV37" i="8"/>
  <c r="ED37" i="8"/>
  <c r="EO37" i="8"/>
  <c r="EP37" i="8"/>
  <c r="DQ37" i="8"/>
  <c r="DZ37" i="8"/>
  <c r="CB37" i="8"/>
  <c r="DU38" i="8"/>
  <c r="DV38" i="8"/>
  <c r="ED38" i="8"/>
  <c r="EO38" i="8"/>
  <c r="EP38" i="8"/>
  <c r="DQ38" i="8"/>
  <c r="DZ38" i="8"/>
  <c r="CB38" i="8"/>
  <c r="DU39" i="8"/>
  <c r="DV39" i="8"/>
  <c r="ED39" i="8"/>
  <c r="EO39" i="8"/>
  <c r="EP39" i="8"/>
  <c r="DQ39" i="8"/>
  <c r="DZ39" i="8"/>
  <c r="CB39" i="8"/>
  <c r="DU40" i="8"/>
  <c r="DV40" i="8"/>
  <c r="ED40" i="8"/>
  <c r="EO40" i="8"/>
  <c r="EP40" i="8"/>
  <c r="DQ40" i="8"/>
  <c r="DZ40" i="8"/>
  <c r="CB40" i="8"/>
  <c r="DU41" i="8"/>
  <c r="DV41" i="8"/>
  <c r="ED41" i="8"/>
  <c r="EO41" i="8"/>
  <c r="EP41" i="8"/>
  <c r="DQ41" i="8"/>
  <c r="DZ41" i="8"/>
  <c r="CB41" i="8"/>
  <c r="DU42" i="8"/>
  <c r="DV42" i="8"/>
  <c r="ED42" i="8"/>
  <c r="EO42" i="8"/>
  <c r="EP42" i="8"/>
  <c r="DQ42" i="8"/>
  <c r="DZ42" i="8"/>
  <c r="CB42" i="8"/>
  <c r="DU43" i="8"/>
  <c r="DV43" i="8"/>
  <c r="ED43" i="8"/>
  <c r="EO43" i="8"/>
  <c r="EP43" i="8"/>
  <c r="DQ43" i="8"/>
  <c r="DZ43" i="8"/>
  <c r="CB43" i="8"/>
  <c r="DU44" i="8"/>
  <c r="DV44" i="8"/>
  <c r="ED44" i="8"/>
  <c r="EO44" i="8"/>
  <c r="EP44" i="8"/>
  <c r="DQ44" i="8"/>
  <c r="DZ44" i="8"/>
  <c r="CB44" i="8"/>
  <c r="BV100" i="8"/>
  <c r="BU100" i="8"/>
  <c r="BT100" i="8"/>
  <c r="BS100" i="8"/>
  <c r="BR100" i="8"/>
  <c r="BM100" i="8"/>
  <c r="BL100" i="8"/>
  <c r="BK100" i="8"/>
  <c r="DT100" i="8" s="1"/>
  <c r="BJ100" i="8"/>
  <c r="DO100" i="8" s="1"/>
  <c r="AO101" i="8"/>
  <c r="AN101" i="8"/>
  <c r="BV101" i="8"/>
  <c r="BU101" i="8"/>
  <c r="BT101" i="8"/>
  <c r="BS101" i="8"/>
  <c r="BR101" i="8"/>
  <c r="BQ101" i="8"/>
  <c r="BP101" i="8"/>
  <c r="BO101" i="8"/>
  <c r="BN101" i="8"/>
  <c r="BM101" i="8"/>
  <c r="BL101" i="8"/>
  <c r="BK101" i="8"/>
  <c r="DT101" i="8" s="1"/>
  <c r="BJ101" i="8"/>
  <c r="DO101" i="8" s="1"/>
  <c r="AO102" i="8"/>
  <c r="AN102" i="8"/>
  <c r="BV102" i="8"/>
  <c r="BU102" i="8"/>
  <c r="BT102" i="8"/>
  <c r="BS102" i="8"/>
  <c r="BR102" i="8"/>
  <c r="BQ102" i="8"/>
  <c r="BP102" i="8"/>
  <c r="BO102" i="8"/>
  <c r="BN102" i="8"/>
  <c r="BM102" i="8"/>
  <c r="BL102" i="8"/>
  <c r="BK102" i="8"/>
  <c r="DT102" i="8" s="1"/>
  <c r="BJ102" i="8"/>
  <c r="DO102" i="8" s="1"/>
  <c r="L318" i="22"/>
  <c r="AA23" i="5"/>
  <c r="N318" i="22" s="1"/>
  <c r="DU76" i="8"/>
  <c r="DV76" i="8"/>
  <c r="ED76" i="8"/>
  <c r="DU75" i="8"/>
  <c r="DV75" i="8"/>
  <c r="ED75" i="8"/>
  <c r="DU74" i="8"/>
  <c r="DV74" i="8"/>
  <c r="ED74" i="8"/>
  <c r="DU73" i="8"/>
  <c r="DV73" i="8"/>
  <c r="ED73" i="8"/>
  <c r="DU72" i="8"/>
  <c r="DV72" i="8"/>
  <c r="ED72" i="8"/>
  <c r="DU71" i="8"/>
  <c r="DV71" i="8"/>
  <c r="ED71" i="8"/>
  <c r="DU70" i="8"/>
  <c r="DV70" i="8"/>
  <c r="ED70" i="8"/>
  <c r="DU69" i="8"/>
  <c r="DV69" i="8"/>
  <c r="ED69" i="8"/>
  <c r="DU68" i="8"/>
  <c r="DV68" i="8"/>
  <c r="ED68" i="8"/>
  <c r="DU67" i="8"/>
  <c r="DV67" i="8"/>
  <c r="ED67" i="8"/>
  <c r="DU66" i="8"/>
  <c r="DV66" i="8"/>
  <c r="ED66" i="8"/>
  <c r="DU65" i="8"/>
  <c r="DV65" i="8"/>
  <c r="ED65" i="8"/>
  <c r="DU64" i="8"/>
  <c r="DV64" i="8"/>
  <c r="ED64" i="8"/>
  <c r="DU63" i="8"/>
  <c r="DV63" i="8"/>
  <c r="ED63" i="8"/>
  <c r="DU62" i="8"/>
  <c r="DV62" i="8"/>
  <c r="ED62" i="8"/>
  <c r="DU61" i="8"/>
  <c r="DV61" i="8"/>
  <c r="ED61" i="8"/>
  <c r="DU60" i="8"/>
  <c r="DV60" i="8"/>
  <c r="ED60" i="8"/>
  <c r="DU59" i="8"/>
  <c r="DV59" i="8"/>
  <c r="ED59" i="8"/>
  <c r="DU58" i="8"/>
  <c r="DV58" i="8"/>
  <c r="ED58" i="8"/>
  <c r="DU57" i="8"/>
  <c r="DV57" i="8"/>
  <c r="ED57" i="8"/>
  <c r="DU56" i="8"/>
  <c r="DV56" i="8"/>
  <c r="ED56" i="8"/>
  <c r="DU55" i="8"/>
  <c r="DV55" i="8"/>
  <c r="ED55" i="8"/>
  <c r="DU54" i="8"/>
  <c r="DV54" i="8"/>
  <c r="ED54" i="8"/>
  <c r="DU53" i="8"/>
  <c r="DV53" i="8"/>
  <c r="ED53" i="8"/>
  <c r="DU52" i="8"/>
  <c r="DV52" i="8"/>
  <c r="ED52" i="8"/>
  <c r="DU51" i="8"/>
  <c r="DV51" i="8"/>
  <c r="ED51" i="8"/>
  <c r="DU50" i="8"/>
  <c r="DV50" i="8"/>
  <c r="ED50" i="8"/>
  <c r="DU49" i="8"/>
  <c r="DV49" i="8"/>
  <c r="ED49" i="8"/>
  <c r="DU48" i="8"/>
  <c r="DV48" i="8"/>
  <c r="ED48" i="8"/>
  <c r="DU47" i="8"/>
  <c r="DV47" i="8"/>
  <c r="ED47" i="8"/>
  <c r="DU46" i="8"/>
  <c r="DV46" i="8"/>
  <c r="ED46" i="8"/>
  <c r="DU103" i="8"/>
  <c r="DV103" i="8"/>
  <c r="ED103" i="8"/>
  <c r="DU99" i="8"/>
  <c r="DV99" i="8"/>
  <c r="ED99" i="8"/>
  <c r="DU98" i="8"/>
  <c r="DV98" i="8"/>
  <c r="ED98" i="8"/>
  <c r="DU97" i="8"/>
  <c r="DV97" i="8"/>
  <c r="ED97" i="8"/>
  <c r="CE96" i="8"/>
  <c r="CD96" i="8"/>
  <c r="CC96" i="8"/>
  <c r="DU96" i="8"/>
  <c r="DV96" i="8"/>
  <c r="ED96" i="8"/>
  <c r="DU95" i="8"/>
  <c r="DV95" i="8"/>
  <c r="ED95" i="8"/>
  <c r="DU94" i="8"/>
  <c r="DV94" i="8"/>
  <c r="ED94" i="8"/>
  <c r="DU93" i="8"/>
  <c r="DV93" i="8"/>
  <c r="ED93" i="8"/>
  <c r="DU92" i="8"/>
  <c r="DV92" i="8"/>
  <c r="ED92" i="8"/>
  <c r="DU91" i="8"/>
  <c r="DV91" i="8"/>
  <c r="ED91" i="8"/>
  <c r="DU90" i="8"/>
  <c r="DV90" i="8"/>
  <c r="ED90" i="8"/>
  <c r="DU89" i="8"/>
  <c r="DV89" i="8"/>
  <c r="ED89" i="8"/>
  <c r="DU88" i="8"/>
  <c r="DV88" i="8"/>
  <c r="ED88" i="8"/>
  <c r="DU87" i="8"/>
  <c r="DV87" i="8"/>
  <c r="ED87" i="8"/>
  <c r="DU86" i="8"/>
  <c r="DV86" i="8"/>
  <c r="ED86" i="8"/>
  <c r="DU85" i="8"/>
  <c r="DV85" i="8"/>
  <c r="ED85" i="8"/>
  <c r="DU84" i="8"/>
  <c r="DV84" i="8"/>
  <c r="ED84" i="8"/>
  <c r="DU83" i="8"/>
  <c r="DV83" i="8"/>
  <c r="ED83" i="8"/>
  <c r="DU82" i="8"/>
  <c r="DV82" i="8"/>
  <c r="ED82" i="8"/>
  <c r="DU81" i="8"/>
  <c r="DV81" i="8"/>
  <c r="ED81" i="8"/>
  <c r="DU80" i="8"/>
  <c r="DV80" i="8"/>
  <c r="ED80" i="8"/>
  <c r="DU79" i="8"/>
  <c r="DV79" i="8"/>
  <c r="ED79" i="8"/>
  <c r="DU78" i="8"/>
  <c r="DV78" i="8"/>
  <c r="ED78" i="8"/>
  <c r="AG340" i="22"/>
  <c r="R340" i="22"/>
  <c r="AO100" i="8" s="1"/>
  <c r="Q340" i="22"/>
  <c r="AN100" i="8" s="1"/>
  <c r="G166" i="21" s="1"/>
  <c r="H166" i="21" s="1"/>
  <c r="K340" i="22"/>
  <c r="BN100" i="8" s="1"/>
  <c r="W45" i="5"/>
  <c r="Z45" i="5"/>
  <c r="M340" i="22" s="1"/>
  <c r="K46" i="20"/>
  <c r="K45" i="20"/>
  <c r="K89" i="20"/>
  <c r="K90" i="20"/>
  <c r="K75" i="20"/>
  <c r="K76" i="20"/>
  <c r="K94" i="20"/>
  <c r="K92" i="20"/>
  <c r="K93" i="20"/>
  <c r="K91" i="20"/>
  <c r="AN152" i="11"/>
  <c r="AO152" i="11"/>
  <c r="BP75" i="4"/>
  <c r="BP74" i="4"/>
  <c r="AO154" i="11" s="1"/>
  <c r="BN74" i="4"/>
  <c r="AN154" i="11" s="1"/>
  <c r="J72" i="20"/>
  <c r="L72" i="20" s="1"/>
  <c r="U109" i="11"/>
  <c r="J73" i="20"/>
  <c r="L73" i="20" s="1"/>
  <c r="U110" i="11"/>
  <c r="K73" i="20" s="1"/>
  <c r="C67" i="18"/>
  <c r="M67" i="18"/>
  <c r="N67" i="18" s="1"/>
  <c r="BM18" i="19"/>
  <c r="AD18" i="19" s="1"/>
  <c r="BL18" i="19"/>
  <c r="AC18" i="19" s="1"/>
  <c r="BE18" i="19"/>
  <c r="V18" i="19" s="1"/>
  <c r="AG18" i="19"/>
  <c r="AH18" i="19" s="1"/>
  <c r="BM19" i="19"/>
  <c r="AD19" i="19" s="1"/>
  <c r="BL19" i="19"/>
  <c r="AC19" i="19" s="1"/>
  <c r="BE19" i="19"/>
  <c r="V19" i="19" s="1"/>
  <c r="AG19" i="19"/>
  <c r="AH19" i="19" s="1"/>
  <c r="BM20" i="19"/>
  <c r="AD20" i="19" s="1"/>
  <c r="BL20" i="19"/>
  <c r="AC20" i="19" s="1"/>
  <c r="BE20" i="19"/>
  <c r="V20" i="19" s="1"/>
  <c r="AG20" i="19"/>
  <c r="AH20" i="19" s="1"/>
  <c r="BM21" i="19"/>
  <c r="AD21" i="19" s="1"/>
  <c r="BL21" i="19"/>
  <c r="AC21" i="19" s="1"/>
  <c r="BE21" i="19"/>
  <c r="V21" i="19" s="1"/>
  <c r="AG21" i="19"/>
  <c r="AH21" i="19" s="1"/>
  <c r="BM22" i="19"/>
  <c r="AD22" i="19" s="1"/>
  <c r="BL22" i="19"/>
  <c r="AC22" i="19" s="1"/>
  <c r="BD22" i="19"/>
  <c r="U22" i="19" s="1"/>
  <c r="BC22" i="19"/>
  <c r="T22" i="19" s="1"/>
  <c r="BB22" i="19"/>
  <c r="S22" i="19" s="1"/>
  <c r="BA22" i="19"/>
  <c r="R22" i="19" s="1"/>
  <c r="AZ22" i="19"/>
  <c r="Q22" i="19" s="1"/>
  <c r="AY22" i="19"/>
  <c r="P22" i="19" s="1"/>
  <c r="AX22" i="19"/>
  <c r="O22" i="19" s="1"/>
  <c r="AW22" i="19"/>
  <c r="N22" i="19" s="1"/>
  <c r="AT22" i="19"/>
  <c r="K22" i="19" s="1"/>
  <c r="AS22" i="19"/>
  <c r="J22" i="19" s="1"/>
  <c r="AR22" i="19"/>
  <c r="I22" i="19" s="1"/>
  <c r="AQ22" i="19"/>
  <c r="H22" i="19" s="1"/>
  <c r="AP22" i="19"/>
  <c r="G22" i="19" s="1"/>
  <c r="AO22" i="19"/>
  <c r="F22" i="19" s="1"/>
  <c r="AN22" i="19"/>
  <c r="E22" i="19" s="1"/>
  <c r="AG22" i="19"/>
  <c r="AH22" i="19" s="1"/>
  <c r="BM8" i="19"/>
  <c r="AD8" i="19" s="1"/>
  <c r="BL8" i="19"/>
  <c r="AC8" i="19" s="1"/>
  <c r="BE8" i="19"/>
  <c r="V8" i="19" s="1"/>
  <c r="AG8" i="19"/>
  <c r="AH8" i="19" s="1"/>
  <c r="BM9" i="19"/>
  <c r="AD9" i="19" s="1"/>
  <c r="BL9" i="19"/>
  <c r="AC9" i="19" s="1"/>
  <c r="BE9" i="19"/>
  <c r="V9" i="19" s="1"/>
  <c r="AG9" i="19"/>
  <c r="AH9" i="19" s="1"/>
  <c r="BM10" i="19"/>
  <c r="AD10" i="19" s="1"/>
  <c r="BL10" i="19"/>
  <c r="AC10" i="19" s="1"/>
  <c r="BE10" i="19"/>
  <c r="V10" i="19" s="1"/>
  <c r="AG10" i="19"/>
  <c r="AH10" i="19" s="1"/>
  <c r="BM11" i="19"/>
  <c r="AD11" i="19" s="1"/>
  <c r="BL11" i="19"/>
  <c r="AC11" i="19" s="1"/>
  <c r="BE11" i="19"/>
  <c r="V11" i="19" s="1"/>
  <c r="AG11" i="19"/>
  <c r="AH11" i="19" s="1"/>
  <c r="BM12" i="19"/>
  <c r="AD12" i="19" s="1"/>
  <c r="BL12" i="19"/>
  <c r="AC12" i="19" s="1"/>
  <c r="BE12" i="19"/>
  <c r="V12" i="19" s="1"/>
  <c r="AG12" i="19"/>
  <c r="AH12" i="19" s="1"/>
  <c r="BM13" i="19"/>
  <c r="AD13" i="19" s="1"/>
  <c r="BL13" i="19"/>
  <c r="AC13" i="19" s="1"/>
  <c r="BE13" i="19"/>
  <c r="V13" i="19" s="1"/>
  <c r="AG13" i="19"/>
  <c r="AH13" i="19" s="1"/>
  <c r="BM14" i="19"/>
  <c r="AD14" i="19" s="1"/>
  <c r="BL14" i="19"/>
  <c r="AC14" i="19" s="1"/>
  <c r="BE14" i="19"/>
  <c r="V14" i="19" s="1"/>
  <c r="AG14" i="19"/>
  <c r="AH14" i="19" s="1"/>
  <c r="BM15" i="19"/>
  <c r="AD15" i="19" s="1"/>
  <c r="BL15" i="19"/>
  <c r="AC15" i="19" s="1"/>
  <c r="BE15" i="19"/>
  <c r="V15" i="19" s="1"/>
  <c r="AG15" i="19"/>
  <c r="AH15" i="19" s="1"/>
  <c r="BM16" i="19"/>
  <c r="AD16" i="19" s="1"/>
  <c r="BL16" i="19"/>
  <c r="AC16" i="19" s="1"/>
  <c r="BE16" i="19"/>
  <c r="V16" i="19" s="1"/>
  <c r="AG16" i="19"/>
  <c r="AH16" i="19" s="1"/>
  <c r="BM17" i="19"/>
  <c r="AD17" i="19" s="1"/>
  <c r="BL17" i="19"/>
  <c r="AC17" i="19" s="1"/>
  <c r="BE17" i="19"/>
  <c r="V17" i="19" s="1"/>
  <c r="AG17" i="19"/>
  <c r="AH17" i="19" s="1"/>
  <c r="FG33" i="8"/>
  <c r="FG34" i="8"/>
  <c r="FG35" i="8"/>
  <c r="FG36" i="8"/>
  <c r="FG37" i="8"/>
  <c r="FG38" i="8"/>
  <c r="FG39" i="8"/>
  <c r="FG40" i="8"/>
  <c r="FG41" i="8"/>
  <c r="FG42" i="8"/>
  <c r="FG43" i="8"/>
  <c r="FG44" i="8"/>
  <c r="DY96" i="8"/>
  <c r="DY94" i="8"/>
  <c r="DY90" i="8"/>
  <c r="DY99" i="8"/>
  <c r="DY97" i="8"/>
  <c r="DY93" i="8"/>
  <c r="DY91" i="8"/>
  <c r="DY89" i="8"/>
  <c r="DY87" i="8"/>
  <c r="DY85" i="8"/>
  <c r="DY60" i="8"/>
  <c r="DY57" i="8"/>
  <c r="DY53" i="8"/>
  <c r="DY103" i="8"/>
  <c r="DY72" i="8"/>
  <c r="DY65" i="8"/>
  <c r="AU173" i="11"/>
  <c r="AW173" i="11" s="1"/>
  <c r="DY46" i="8"/>
  <c r="DY98" i="8"/>
  <c r="DY86" i="8"/>
  <c r="DY92" i="8"/>
  <c r="DY88" i="8"/>
  <c r="DY49" i="8"/>
  <c r="DY95" i="8"/>
  <c r="D24" i="18"/>
  <c r="AM53" i="8"/>
  <c r="BY63" i="8"/>
  <c r="BZ63" i="8"/>
  <c r="BZ66" i="8"/>
  <c r="BY66" i="8"/>
  <c r="CA66" i="8" s="1"/>
  <c r="BZ67" i="8"/>
  <c r="BY67" i="8"/>
  <c r="BZ74" i="8"/>
  <c r="BY74" i="8"/>
  <c r="BY84" i="8"/>
  <c r="BZ84" i="8"/>
  <c r="BZ101" i="8"/>
  <c r="BY101" i="8"/>
  <c r="BZ102" i="8"/>
  <c r="BY102" i="8"/>
  <c r="BZ48" i="8"/>
  <c r="BY48" i="8"/>
  <c r="BN69" i="8"/>
  <c r="BN67" i="8"/>
  <c r="BN71" i="8"/>
  <c r="BN73" i="8"/>
  <c r="W318" i="22"/>
  <c r="BP69" i="8"/>
  <c r="BP67" i="8"/>
  <c r="BP71" i="8"/>
  <c r="BP73" i="8"/>
  <c r="AO71" i="8"/>
  <c r="AO73" i="8"/>
  <c r="AO67" i="8"/>
  <c r="AO69" i="8"/>
  <c r="AN73" i="8"/>
  <c r="AN69" i="8"/>
  <c r="AN67" i="8"/>
  <c r="J85" i="20" s="1"/>
  <c r="L85" i="20" s="1"/>
  <c r="AN71" i="8"/>
  <c r="DL62" i="8"/>
  <c r="DQ62" i="8" s="1"/>
  <c r="DN62" i="8"/>
  <c r="DL59" i="8"/>
  <c r="DQ59" i="8" s="1"/>
  <c r="DN59" i="8"/>
  <c r="DN56" i="8"/>
  <c r="DL56" i="8"/>
  <c r="DQ56" i="8" s="1"/>
  <c r="DL54" i="8"/>
  <c r="DQ54" i="8" s="1"/>
  <c r="DN54" i="8"/>
  <c r="DL51" i="8"/>
  <c r="DQ51" i="8" s="1"/>
  <c r="DN51" i="8"/>
  <c r="DN49" i="8"/>
  <c r="DL49" i="8"/>
  <c r="DQ49" i="8" s="1"/>
  <c r="DN46" i="8"/>
  <c r="DL46" i="8"/>
  <c r="DQ46" i="8" s="1"/>
  <c r="DN98" i="8"/>
  <c r="DL98" i="8"/>
  <c r="DQ98" i="8" s="1"/>
  <c r="DN94" i="8"/>
  <c r="DL94" i="8"/>
  <c r="DL92" i="8"/>
  <c r="DN92" i="8"/>
  <c r="DN90" i="8"/>
  <c r="DL90" i="8"/>
  <c r="DN88" i="8"/>
  <c r="DL88" i="8"/>
  <c r="DL86" i="8"/>
  <c r="DN86" i="8"/>
  <c r="DL82" i="8"/>
  <c r="DN82" i="8"/>
  <c r="DL81" i="8"/>
  <c r="DN81" i="8"/>
  <c r="DL78" i="8"/>
  <c r="DN78" i="8"/>
  <c r="DL61" i="8"/>
  <c r="DQ61" i="8" s="1"/>
  <c r="DN61" i="8"/>
  <c r="DL58" i="8"/>
  <c r="DQ58" i="8" s="1"/>
  <c r="DN58" i="8"/>
  <c r="DN55" i="8"/>
  <c r="DL55" i="8"/>
  <c r="DQ55" i="8" s="1"/>
  <c r="DL52" i="8"/>
  <c r="DQ52" i="8" s="1"/>
  <c r="DN52" i="8"/>
  <c r="DN50" i="8"/>
  <c r="DL50" i="8"/>
  <c r="DQ50" i="8" s="1"/>
  <c r="DN47" i="8"/>
  <c r="DL47" i="8"/>
  <c r="DQ47" i="8" s="1"/>
  <c r="DL99" i="8"/>
  <c r="DQ99" i="8" s="1"/>
  <c r="DN99" i="8"/>
  <c r="DN97" i="8"/>
  <c r="DL97" i="8"/>
  <c r="DQ97" i="8" s="1"/>
  <c r="DM95" i="8"/>
  <c r="DN95" i="8"/>
  <c r="DL95" i="8"/>
  <c r="DQ95" i="8" s="1"/>
  <c r="DL93" i="8"/>
  <c r="DQ93" i="8" s="1"/>
  <c r="DN93" i="8"/>
  <c r="DL91" i="8"/>
  <c r="DQ91" i="8" s="1"/>
  <c r="DN91" i="8"/>
  <c r="DN89" i="8"/>
  <c r="DL89" i="8"/>
  <c r="DQ89" i="8" s="1"/>
  <c r="DN87" i="8"/>
  <c r="DL87" i="8"/>
  <c r="DQ87" i="8" s="1"/>
  <c r="DN85" i="8"/>
  <c r="DL85" i="8"/>
  <c r="DQ85" i="8" s="1"/>
  <c r="DN83" i="8"/>
  <c r="DL83" i="8"/>
  <c r="DQ83" i="8" s="1"/>
  <c r="DL80" i="8"/>
  <c r="DQ80" i="8" s="1"/>
  <c r="DN80" i="8"/>
  <c r="DL79" i="8"/>
  <c r="DQ79" i="8" s="1"/>
  <c r="DN79" i="8"/>
  <c r="DN60" i="8"/>
  <c r="DL60" i="8"/>
  <c r="DQ60" i="8" s="1"/>
  <c r="DN57" i="8"/>
  <c r="DL57" i="8"/>
  <c r="DQ57" i="8" s="1"/>
  <c r="DN53" i="8"/>
  <c r="DL53" i="8"/>
  <c r="DQ53" i="8" s="1"/>
  <c r="DN103" i="8"/>
  <c r="DL103" i="8"/>
  <c r="DP76" i="8"/>
  <c r="BW76" i="8"/>
  <c r="BW75" i="8"/>
  <c r="DP75" i="8"/>
  <c r="BW74" i="8"/>
  <c r="DP74" i="8"/>
  <c r="BW73" i="8"/>
  <c r="DP73" i="8"/>
  <c r="BW72" i="8"/>
  <c r="DP72" i="8"/>
  <c r="BW71" i="8"/>
  <c r="DP71" i="8"/>
  <c r="BW70" i="8"/>
  <c r="DP70" i="8"/>
  <c r="BW69" i="8"/>
  <c r="DP69" i="8"/>
  <c r="BW68" i="8"/>
  <c r="DP68" i="8"/>
  <c r="BW67" i="8"/>
  <c r="DP67" i="8"/>
  <c r="BW66" i="8"/>
  <c r="DP66" i="8"/>
  <c r="DP65" i="8"/>
  <c r="BW65" i="8"/>
  <c r="DP64" i="8"/>
  <c r="BW64" i="8"/>
  <c r="BW63" i="8"/>
  <c r="DP63" i="8"/>
  <c r="BW62" i="8"/>
  <c r="CB62" i="8" s="1"/>
  <c r="DP62" i="8"/>
  <c r="BW61" i="8"/>
  <c r="CB61" i="8" s="1"/>
  <c r="DP61" i="8"/>
  <c r="DP60" i="8"/>
  <c r="BW60" i="8"/>
  <c r="CB60" i="8" s="1"/>
  <c r="DP59" i="8"/>
  <c r="BW59" i="8"/>
  <c r="CB59" i="8" s="1"/>
  <c r="BW58" i="8"/>
  <c r="CB58" i="8" s="1"/>
  <c r="DP58" i="8"/>
  <c r="BW57" i="8"/>
  <c r="CB57" i="8" s="1"/>
  <c r="DP57" i="8"/>
  <c r="BW56" i="8"/>
  <c r="CB56" i="8" s="1"/>
  <c r="DP56" i="8"/>
  <c r="BW55" i="8"/>
  <c r="CB55" i="8" s="1"/>
  <c r="DP55" i="8"/>
  <c r="BW54" i="8"/>
  <c r="CB54" i="8" s="1"/>
  <c r="DP54" i="8"/>
  <c r="DP53" i="8"/>
  <c r="BW53" i="8"/>
  <c r="CB53" i="8" s="1"/>
  <c r="DP52" i="8"/>
  <c r="BW52" i="8"/>
  <c r="CB52" i="8" s="1"/>
  <c r="DP51" i="8"/>
  <c r="BW51" i="8"/>
  <c r="CB51" i="8" s="1"/>
  <c r="BW50" i="8"/>
  <c r="CB50" i="8" s="1"/>
  <c r="DP50" i="8"/>
  <c r="BW49" i="8"/>
  <c r="CB49" i="8" s="1"/>
  <c r="DP49" i="8"/>
  <c r="BW48" i="8"/>
  <c r="DP48" i="8"/>
  <c r="DP47" i="8"/>
  <c r="BW47" i="8"/>
  <c r="CB47" i="8" s="1"/>
  <c r="DP46" i="8"/>
  <c r="BW46" i="8"/>
  <c r="CB46" i="8" s="1"/>
  <c r="DP103" i="8"/>
  <c r="BW103" i="8"/>
  <c r="CB103" i="8" s="1"/>
  <c r="DP99" i="8"/>
  <c r="BW99" i="8"/>
  <c r="CB99" i="8" s="1"/>
  <c r="DP98" i="8"/>
  <c r="BW98" i="8"/>
  <c r="CB98" i="8" s="1"/>
  <c r="DP97" i="8"/>
  <c r="BW97" i="8"/>
  <c r="CB97" i="8" s="1"/>
  <c r="DP95" i="8"/>
  <c r="BW95" i="8"/>
  <c r="CB95" i="8" s="1"/>
  <c r="DP94" i="8"/>
  <c r="BW94" i="8"/>
  <c r="CB94" i="8" s="1"/>
  <c r="BW93" i="8"/>
  <c r="CB93" i="8" s="1"/>
  <c r="DP93" i="8"/>
  <c r="DP92" i="8"/>
  <c r="BW92" i="8"/>
  <c r="CB92" i="8" s="1"/>
  <c r="DP91" i="8"/>
  <c r="BW91" i="8"/>
  <c r="CB91" i="8" s="1"/>
  <c r="BW90" i="8"/>
  <c r="CB90" i="8" s="1"/>
  <c r="DP90" i="8"/>
  <c r="DP89" i="8"/>
  <c r="BW89" i="8"/>
  <c r="CB89" i="8" s="1"/>
  <c r="DP88" i="8"/>
  <c r="BW88" i="8"/>
  <c r="CB88" i="8" s="1"/>
  <c r="BW87" i="8"/>
  <c r="CB87" i="8" s="1"/>
  <c r="DP87" i="8"/>
  <c r="BW86" i="8"/>
  <c r="CB86" i="8" s="1"/>
  <c r="DP86" i="8"/>
  <c r="BW85" i="8"/>
  <c r="CB85" i="8" s="1"/>
  <c r="DP85" i="8"/>
  <c r="DP84" i="8"/>
  <c r="BW84" i="8"/>
  <c r="DP83" i="8"/>
  <c r="BW83" i="8"/>
  <c r="CB83" i="8" s="1"/>
  <c r="BW82" i="8"/>
  <c r="CB82" i="8" s="1"/>
  <c r="DP82" i="8"/>
  <c r="BW81" i="8"/>
  <c r="CB81" i="8" s="1"/>
  <c r="DP81" i="8"/>
  <c r="DP80" i="8"/>
  <c r="BW80" i="8"/>
  <c r="CB80" i="8" s="1"/>
  <c r="DP79" i="8"/>
  <c r="BW79" i="8"/>
  <c r="CB79" i="8" s="1"/>
  <c r="DP78" i="8"/>
  <c r="BW78" i="8"/>
  <c r="CB78" i="8" s="1"/>
  <c r="AT170" i="11"/>
  <c r="AR170" i="11"/>
  <c r="AT171" i="11"/>
  <c r="AS171" i="11"/>
  <c r="AT172" i="11"/>
  <c r="AR172" i="11"/>
  <c r="AS173" i="11"/>
  <c r="AT173" i="11"/>
  <c r="DQ96" i="8"/>
  <c r="CA101" i="8" l="1"/>
  <c r="DQ94" i="8"/>
  <c r="DQ92" i="8"/>
  <c r="DQ90" i="8"/>
  <c r="DQ88" i="8"/>
  <c r="DQ86" i="8"/>
  <c r="DQ82" i="8"/>
  <c r="DQ81" i="8"/>
  <c r="DQ78" i="8"/>
  <c r="DR5" i="8"/>
  <c r="DS5" i="8" s="1"/>
  <c r="CE5" i="8"/>
  <c r="CD5" i="8"/>
  <c r="CC5" i="8"/>
  <c r="EF5" i="8"/>
  <c r="AH5" i="8"/>
  <c r="EQ5" i="8"/>
  <c r="ER5" i="8"/>
  <c r="ES5" i="8"/>
  <c r="EZ5" i="8"/>
  <c r="FA5" i="8"/>
  <c r="ET5" i="8"/>
  <c r="EU5" i="8"/>
  <c r="EV5" i="8"/>
  <c r="FB5" i="8"/>
  <c r="DR6" i="8"/>
  <c r="DS6" i="8" s="1"/>
  <c r="CE6" i="8"/>
  <c r="CD6" i="8"/>
  <c r="CC6" i="8"/>
  <c r="EF6" i="8"/>
  <c r="AH6" i="8"/>
  <c r="EQ6" i="8"/>
  <c r="ER6" i="8"/>
  <c r="ES6" i="8"/>
  <c r="EZ6" i="8"/>
  <c r="FA6" i="8"/>
  <c r="ET6" i="8"/>
  <c r="EU6" i="8"/>
  <c r="EV6" i="8"/>
  <c r="FB6" i="8"/>
  <c r="DR7" i="8"/>
  <c r="DS7" i="8" s="1"/>
  <c r="CE7" i="8"/>
  <c r="CD7" i="8"/>
  <c r="CC7" i="8"/>
  <c r="EF7" i="8"/>
  <c r="AH7" i="8"/>
  <c r="EQ7" i="8"/>
  <c r="ER7" i="8"/>
  <c r="ES7" i="8"/>
  <c r="EZ7" i="8"/>
  <c r="FA7" i="8"/>
  <c r="ET7" i="8"/>
  <c r="EU7" i="8"/>
  <c r="EV7" i="8"/>
  <c r="FB7" i="8"/>
  <c r="DR8" i="8"/>
  <c r="DS8" i="8" s="1"/>
  <c r="CE8" i="8"/>
  <c r="CD8" i="8"/>
  <c r="CC8" i="8"/>
  <c r="EF8" i="8"/>
  <c r="AH8" i="8"/>
  <c r="EQ8" i="8"/>
  <c r="ER8" i="8"/>
  <c r="ES8" i="8"/>
  <c r="EZ8" i="8"/>
  <c r="FA8" i="8"/>
  <c r="ET8" i="8"/>
  <c r="EU8" i="8"/>
  <c r="EV8" i="8"/>
  <c r="FB8" i="8"/>
  <c r="DR9" i="8"/>
  <c r="DS9" i="8" s="1"/>
  <c r="CE9" i="8"/>
  <c r="CD9" i="8"/>
  <c r="CC9" i="8"/>
  <c r="EF9" i="8"/>
  <c r="AH9" i="8"/>
  <c r="EQ9" i="8"/>
  <c r="ER9" i="8"/>
  <c r="ES9" i="8"/>
  <c r="EZ9" i="8"/>
  <c r="FA9" i="8"/>
  <c r="ET9" i="8"/>
  <c r="EU9" i="8"/>
  <c r="EV9" i="8"/>
  <c r="FB9" i="8"/>
  <c r="DR10" i="8"/>
  <c r="DS10" i="8" s="1"/>
  <c r="CE10" i="8"/>
  <c r="CD10" i="8"/>
  <c r="CC10" i="8"/>
  <c r="EF10" i="8"/>
  <c r="AH10" i="8"/>
  <c r="EQ10" i="8"/>
  <c r="ER10" i="8"/>
  <c r="ES10" i="8"/>
  <c r="EZ10" i="8"/>
  <c r="FA10" i="8"/>
  <c r="ET10" i="8"/>
  <c r="EU10" i="8"/>
  <c r="EV10" i="8"/>
  <c r="FB10" i="8"/>
  <c r="DR11" i="8"/>
  <c r="DS11" i="8" s="1"/>
  <c r="CE11" i="8"/>
  <c r="CD11" i="8"/>
  <c r="CC11" i="8"/>
  <c r="EF11" i="8"/>
  <c r="AH11" i="8"/>
  <c r="EQ11" i="8"/>
  <c r="ER11" i="8"/>
  <c r="ES11" i="8"/>
  <c r="EZ11" i="8"/>
  <c r="FA11" i="8"/>
  <c r="ET11" i="8"/>
  <c r="EU11" i="8"/>
  <c r="EV11" i="8"/>
  <c r="FB11" i="8"/>
  <c r="DR12" i="8"/>
  <c r="DS12" i="8" s="1"/>
  <c r="CE12" i="8"/>
  <c r="CD12" i="8"/>
  <c r="CC12" i="8"/>
  <c r="EF12" i="8"/>
  <c r="AH12" i="8"/>
  <c r="EQ12" i="8"/>
  <c r="ER12" i="8"/>
  <c r="ES12" i="8"/>
  <c r="EZ12" i="8"/>
  <c r="FA12" i="8"/>
  <c r="ET12" i="8"/>
  <c r="EU12" i="8"/>
  <c r="EV12" i="8"/>
  <c r="FB12" i="8"/>
  <c r="DR13" i="8"/>
  <c r="DS13" i="8" s="1"/>
  <c r="CE13" i="8"/>
  <c r="CD13" i="8"/>
  <c r="CC13" i="8"/>
  <c r="EF13" i="8"/>
  <c r="AH13" i="8"/>
  <c r="EQ13" i="8"/>
  <c r="ER13" i="8"/>
  <c r="ES13" i="8"/>
  <c r="EZ13" i="8"/>
  <c r="FA13" i="8"/>
  <c r="ET13" i="8"/>
  <c r="EU13" i="8"/>
  <c r="EV13" i="8"/>
  <c r="FB13" i="8"/>
  <c r="DR14" i="8"/>
  <c r="DS14" i="8" s="1"/>
  <c r="CE14" i="8"/>
  <c r="CD14" i="8"/>
  <c r="CC14" i="8"/>
  <c r="EF14" i="8"/>
  <c r="AH14" i="8"/>
  <c r="EQ14" i="8"/>
  <c r="ER14" i="8"/>
  <c r="ES14" i="8"/>
  <c r="EZ14" i="8"/>
  <c r="FA14" i="8"/>
  <c r="ET14" i="8"/>
  <c r="EU14" i="8"/>
  <c r="EV14" i="8"/>
  <c r="FB14" i="8"/>
  <c r="DR15" i="8"/>
  <c r="DS15" i="8" s="1"/>
  <c r="CE15" i="8"/>
  <c r="CD15" i="8"/>
  <c r="CC15" i="8"/>
  <c r="EF15" i="8"/>
  <c r="AH15" i="8"/>
  <c r="EQ15" i="8"/>
  <c r="ER15" i="8"/>
  <c r="ES15" i="8"/>
  <c r="EZ15" i="8"/>
  <c r="FA15" i="8"/>
  <c r="ET15" i="8"/>
  <c r="EU15" i="8"/>
  <c r="EV15" i="8"/>
  <c r="FB15" i="8"/>
  <c r="DR16" i="8"/>
  <c r="DS16" i="8" s="1"/>
  <c r="CE16" i="8"/>
  <c r="CD16" i="8"/>
  <c r="CC16" i="8"/>
  <c r="EF16" i="8"/>
  <c r="AH16" i="8"/>
  <c r="EQ16" i="8"/>
  <c r="ER16" i="8"/>
  <c r="ES16" i="8"/>
  <c r="EZ16" i="8"/>
  <c r="FA16" i="8"/>
  <c r="ET16" i="8"/>
  <c r="EU16" i="8"/>
  <c r="EV16" i="8"/>
  <c r="FB16" i="8"/>
  <c r="DR17" i="8"/>
  <c r="DS17" i="8" s="1"/>
  <c r="CE17" i="8"/>
  <c r="CD17" i="8"/>
  <c r="CC17" i="8"/>
  <c r="EF17" i="8"/>
  <c r="AH17" i="8"/>
  <c r="EQ17" i="8"/>
  <c r="ER17" i="8"/>
  <c r="ES17" i="8"/>
  <c r="EZ17" i="8"/>
  <c r="FA17" i="8"/>
  <c r="ET17" i="8"/>
  <c r="EU17" i="8"/>
  <c r="EV17" i="8"/>
  <c r="FB17" i="8"/>
  <c r="DR18" i="8"/>
  <c r="DS18" i="8" s="1"/>
  <c r="CE18" i="8"/>
  <c r="CD18" i="8"/>
  <c r="CC18" i="8"/>
  <c r="EF18" i="8"/>
  <c r="AH18" i="8"/>
  <c r="EQ18" i="8"/>
  <c r="ER18" i="8"/>
  <c r="ES18" i="8"/>
  <c r="EZ18" i="8"/>
  <c r="FA18" i="8"/>
  <c r="ET18" i="8"/>
  <c r="EU18" i="8"/>
  <c r="EV18" i="8"/>
  <c r="FB18" i="8"/>
  <c r="DR19" i="8"/>
  <c r="DS19" i="8" s="1"/>
  <c r="CE19" i="8"/>
  <c r="CD19" i="8"/>
  <c r="CC19" i="8"/>
  <c r="EF19" i="8"/>
  <c r="AH19" i="8"/>
  <c r="EQ19" i="8"/>
  <c r="ER19" i="8"/>
  <c r="ES19" i="8"/>
  <c r="EZ19" i="8"/>
  <c r="FA19" i="8"/>
  <c r="ET19" i="8"/>
  <c r="EU19" i="8"/>
  <c r="EV19" i="8"/>
  <c r="FB19" i="8"/>
  <c r="DR20" i="8"/>
  <c r="DS20" i="8" s="1"/>
  <c r="CE20" i="8"/>
  <c r="CD20" i="8"/>
  <c r="CC20" i="8"/>
  <c r="EF20" i="8"/>
  <c r="AH20" i="8"/>
  <c r="EQ20" i="8"/>
  <c r="ER20" i="8"/>
  <c r="ES20" i="8"/>
  <c r="EZ20" i="8"/>
  <c r="FA20" i="8"/>
  <c r="ET20" i="8"/>
  <c r="EU20" i="8"/>
  <c r="EV20" i="8"/>
  <c r="FB20" i="8"/>
  <c r="DR21" i="8"/>
  <c r="DS21" i="8" s="1"/>
  <c r="CE21" i="8"/>
  <c r="CD21" i="8"/>
  <c r="CC21" i="8"/>
  <c r="EF21" i="8"/>
  <c r="AH21" i="8"/>
  <c r="EQ21" i="8"/>
  <c r="ER21" i="8"/>
  <c r="ES21" i="8"/>
  <c r="EZ21" i="8"/>
  <c r="FA21" i="8"/>
  <c r="ET21" i="8"/>
  <c r="EU21" i="8"/>
  <c r="EV21" i="8"/>
  <c r="FB21" i="8"/>
  <c r="DR22" i="8"/>
  <c r="DS22" i="8" s="1"/>
  <c r="CE22" i="8"/>
  <c r="CD22" i="8"/>
  <c r="CC22" i="8"/>
  <c r="EF22" i="8"/>
  <c r="AH22" i="8"/>
  <c r="EQ22" i="8"/>
  <c r="ER22" i="8"/>
  <c r="ES22" i="8"/>
  <c r="EZ22" i="8"/>
  <c r="FA22" i="8"/>
  <c r="ET22" i="8"/>
  <c r="EU22" i="8"/>
  <c r="EV22" i="8"/>
  <c r="FB22" i="8"/>
  <c r="DR23" i="8"/>
  <c r="DS23" i="8" s="1"/>
  <c r="CE23" i="8"/>
  <c r="CD23" i="8"/>
  <c r="CC23" i="8"/>
  <c r="EF23" i="8"/>
  <c r="AH23" i="8"/>
  <c r="EQ23" i="8"/>
  <c r="ER23" i="8"/>
  <c r="ES23" i="8"/>
  <c r="EZ23" i="8"/>
  <c r="FA23" i="8"/>
  <c r="ET23" i="8"/>
  <c r="EU23" i="8"/>
  <c r="EV23" i="8"/>
  <c r="FB23" i="8"/>
  <c r="DR24" i="8"/>
  <c r="DS24" i="8" s="1"/>
  <c r="CE24" i="8"/>
  <c r="CD24" i="8"/>
  <c r="CC24" i="8"/>
  <c r="EF24" i="8"/>
  <c r="AH24" i="8"/>
  <c r="EQ24" i="8"/>
  <c r="ER24" i="8"/>
  <c r="ES24" i="8"/>
  <c r="EZ24" i="8"/>
  <c r="FA24" i="8"/>
  <c r="ET24" i="8"/>
  <c r="EU24" i="8"/>
  <c r="EV24" i="8"/>
  <c r="FB24" i="8"/>
  <c r="DR25" i="8"/>
  <c r="DS25" i="8" s="1"/>
  <c r="CE25" i="8"/>
  <c r="CD25" i="8"/>
  <c r="CC25" i="8"/>
  <c r="EF25" i="8"/>
  <c r="AH25" i="8"/>
  <c r="EQ25" i="8"/>
  <c r="ER25" i="8"/>
  <c r="ES25" i="8"/>
  <c r="EZ25" i="8"/>
  <c r="FA25" i="8"/>
  <c r="ET25" i="8"/>
  <c r="EU25" i="8"/>
  <c r="EV25" i="8"/>
  <c r="FB25" i="8"/>
  <c r="DR26" i="8"/>
  <c r="DS26" i="8" s="1"/>
  <c r="CE26" i="8"/>
  <c r="CD26" i="8"/>
  <c r="CC26" i="8"/>
  <c r="EF26" i="8"/>
  <c r="AH26" i="8"/>
  <c r="EQ26" i="8"/>
  <c r="ER26" i="8"/>
  <c r="ES26" i="8"/>
  <c r="EZ26" i="8"/>
  <c r="FA26" i="8"/>
  <c r="ET26" i="8"/>
  <c r="EU26" i="8"/>
  <c r="EV26" i="8"/>
  <c r="FB26" i="8"/>
  <c r="DR27" i="8"/>
  <c r="DS27" i="8" s="1"/>
  <c r="CE27" i="8"/>
  <c r="CD27" i="8"/>
  <c r="CC27" i="8"/>
  <c r="EF27" i="8"/>
  <c r="AH27" i="8"/>
  <c r="EQ27" i="8"/>
  <c r="ER27" i="8"/>
  <c r="ES27" i="8"/>
  <c r="EZ27" i="8"/>
  <c r="FA27" i="8"/>
  <c r="ET27" i="8"/>
  <c r="EU27" i="8"/>
  <c r="EV27" i="8"/>
  <c r="FB27" i="8"/>
  <c r="DR28" i="8"/>
  <c r="DS28" i="8" s="1"/>
  <c r="CE28" i="8"/>
  <c r="CD28" i="8"/>
  <c r="CC28" i="8"/>
  <c r="EF28" i="8"/>
  <c r="AH28" i="8"/>
  <c r="EQ28" i="8"/>
  <c r="ER28" i="8"/>
  <c r="ES28" i="8"/>
  <c r="EZ28" i="8"/>
  <c r="FA28" i="8"/>
  <c r="ET28" i="8"/>
  <c r="EU28" i="8"/>
  <c r="EV28" i="8"/>
  <c r="FB28" i="8"/>
  <c r="DR29" i="8"/>
  <c r="DS29" i="8" s="1"/>
  <c r="CE29" i="8"/>
  <c r="CD29" i="8"/>
  <c r="CC29" i="8"/>
  <c r="EF29" i="8"/>
  <c r="AH29" i="8"/>
  <c r="EQ29" i="8"/>
  <c r="ER29" i="8"/>
  <c r="ES29" i="8"/>
  <c r="EZ29" i="8"/>
  <c r="FA29" i="8"/>
  <c r="ET29" i="8"/>
  <c r="EU29" i="8"/>
  <c r="EV29" i="8"/>
  <c r="FB29" i="8"/>
  <c r="DR30" i="8"/>
  <c r="DS30" i="8" s="1"/>
  <c r="CE30" i="8"/>
  <c r="CD30" i="8"/>
  <c r="CC30" i="8"/>
  <c r="EF30" i="8"/>
  <c r="AH30" i="8"/>
  <c r="EQ30" i="8"/>
  <c r="ER30" i="8"/>
  <c r="ES30" i="8"/>
  <c r="EZ30" i="8"/>
  <c r="FA30" i="8"/>
  <c r="ET30" i="8"/>
  <c r="EU30" i="8"/>
  <c r="EV30" i="8"/>
  <c r="FB30" i="8"/>
  <c r="DR31" i="8"/>
  <c r="DS31" i="8" s="1"/>
  <c r="CE31" i="8"/>
  <c r="CD31" i="8"/>
  <c r="CC31" i="8"/>
  <c r="EF31" i="8"/>
  <c r="AH31" i="8"/>
  <c r="EQ31" i="8"/>
  <c r="ER31" i="8"/>
  <c r="ES31" i="8"/>
  <c r="EZ31" i="8"/>
  <c r="FA31" i="8"/>
  <c r="ET31" i="8"/>
  <c r="EU31" i="8"/>
  <c r="EV31" i="8"/>
  <c r="FB31" i="8"/>
  <c r="DR32" i="8"/>
  <c r="DS32" i="8" s="1"/>
  <c r="CE32" i="8"/>
  <c r="CD32" i="8"/>
  <c r="CC32" i="8"/>
  <c r="EF32" i="8"/>
  <c r="AH32" i="8"/>
  <c r="EQ32" i="8"/>
  <c r="ER32" i="8"/>
  <c r="ES32" i="8"/>
  <c r="EZ32" i="8"/>
  <c r="FA32" i="8"/>
  <c r="ET32" i="8"/>
  <c r="EU32" i="8"/>
  <c r="EV32" i="8"/>
  <c r="FB32" i="8"/>
  <c r="EF33" i="8"/>
  <c r="AH33" i="8"/>
  <c r="EQ33" i="8"/>
  <c r="ER33" i="8"/>
  <c r="ES33" i="8"/>
  <c r="EZ33" i="8"/>
  <c r="FA33" i="8"/>
  <c r="ET33" i="8"/>
  <c r="EU33" i="8"/>
  <c r="EV33" i="8"/>
  <c r="FB33" i="8"/>
  <c r="DR33" i="8"/>
  <c r="DS33" i="8" s="1"/>
  <c r="CE33" i="8"/>
  <c r="CD33" i="8"/>
  <c r="CC33" i="8"/>
  <c r="EF34" i="8"/>
  <c r="AH34" i="8"/>
  <c r="EQ34" i="8"/>
  <c r="ER34" i="8"/>
  <c r="ES34" i="8"/>
  <c r="EZ34" i="8"/>
  <c r="FA34" i="8"/>
  <c r="ET34" i="8"/>
  <c r="EU34" i="8"/>
  <c r="EV34" i="8"/>
  <c r="FB34" i="8"/>
  <c r="DR34" i="8"/>
  <c r="DS34" i="8" s="1"/>
  <c r="CE34" i="8"/>
  <c r="CD34" i="8"/>
  <c r="CC34" i="8"/>
  <c r="EF35" i="8"/>
  <c r="AH35" i="8"/>
  <c r="EQ35" i="8"/>
  <c r="ER35" i="8"/>
  <c r="ES35" i="8"/>
  <c r="EZ35" i="8"/>
  <c r="FA35" i="8"/>
  <c r="ET35" i="8"/>
  <c r="EU35" i="8"/>
  <c r="EV35" i="8"/>
  <c r="FB35" i="8"/>
  <c r="DR35" i="8"/>
  <c r="DS35" i="8" s="1"/>
  <c r="CE35" i="8"/>
  <c r="CD35" i="8"/>
  <c r="CC35" i="8"/>
  <c r="EF36" i="8"/>
  <c r="AH36" i="8"/>
  <c r="EQ36" i="8"/>
  <c r="ER36" i="8"/>
  <c r="ES36" i="8"/>
  <c r="EZ36" i="8"/>
  <c r="FA36" i="8"/>
  <c r="ET36" i="8"/>
  <c r="EU36" i="8"/>
  <c r="EV36" i="8"/>
  <c r="FB36" i="8"/>
  <c r="DR36" i="8"/>
  <c r="DS36" i="8" s="1"/>
  <c r="CE36" i="8"/>
  <c r="CD36" i="8"/>
  <c r="CC36" i="8"/>
  <c r="EF37" i="8"/>
  <c r="AH37" i="8"/>
  <c r="EQ37" i="8"/>
  <c r="ER37" i="8"/>
  <c r="ES37" i="8"/>
  <c r="EZ37" i="8"/>
  <c r="FA37" i="8"/>
  <c r="ET37" i="8"/>
  <c r="EU37" i="8"/>
  <c r="EV37" i="8"/>
  <c r="FB37" i="8"/>
  <c r="DR37" i="8"/>
  <c r="DS37" i="8" s="1"/>
  <c r="CE37" i="8"/>
  <c r="CD37" i="8"/>
  <c r="CC37" i="8"/>
  <c r="EF38" i="8"/>
  <c r="AH38" i="8"/>
  <c r="EQ38" i="8"/>
  <c r="ER38" i="8"/>
  <c r="ES38" i="8"/>
  <c r="EZ38" i="8"/>
  <c r="FA38" i="8"/>
  <c r="ET38" i="8"/>
  <c r="EU38" i="8"/>
  <c r="EV38" i="8"/>
  <c r="FB38" i="8"/>
  <c r="DR38" i="8"/>
  <c r="DS38" i="8" s="1"/>
  <c r="CE38" i="8"/>
  <c r="CD38" i="8"/>
  <c r="CC38" i="8"/>
  <c r="EF39" i="8"/>
  <c r="AH39" i="8"/>
  <c r="EQ39" i="8"/>
  <c r="ER39" i="8"/>
  <c r="ES39" i="8"/>
  <c r="EZ39" i="8"/>
  <c r="FA39" i="8"/>
  <c r="ET39" i="8"/>
  <c r="EU39" i="8"/>
  <c r="EV39" i="8"/>
  <c r="FB39" i="8"/>
  <c r="DR39" i="8"/>
  <c r="DS39" i="8" s="1"/>
  <c r="CE39" i="8"/>
  <c r="CD39" i="8"/>
  <c r="CC39" i="8"/>
  <c r="EF40" i="8"/>
  <c r="AH40" i="8"/>
  <c r="EQ40" i="8"/>
  <c r="ER40" i="8"/>
  <c r="ES40" i="8"/>
  <c r="EZ40" i="8"/>
  <c r="FA40" i="8"/>
  <c r="ET40" i="8"/>
  <c r="EU40" i="8"/>
  <c r="EV40" i="8"/>
  <c r="FB40" i="8"/>
  <c r="DR40" i="8"/>
  <c r="DS40" i="8" s="1"/>
  <c r="CE40" i="8"/>
  <c r="CD40" i="8"/>
  <c r="CC40" i="8"/>
  <c r="EF41" i="8"/>
  <c r="AH41" i="8"/>
  <c r="EQ41" i="8"/>
  <c r="ER41" i="8"/>
  <c r="ES41" i="8"/>
  <c r="EZ41" i="8"/>
  <c r="FA41" i="8"/>
  <c r="ET41" i="8"/>
  <c r="EU41" i="8"/>
  <c r="EV41" i="8"/>
  <c r="FB41" i="8"/>
  <c r="DR41" i="8"/>
  <c r="DS41" i="8" s="1"/>
  <c r="CE41" i="8"/>
  <c r="CD41" i="8"/>
  <c r="CC41" i="8"/>
  <c r="EF42" i="8"/>
  <c r="AH42" i="8"/>
  <c r="EQ42" i="8"/>
  <c r="ER42" i="8"/>
  <c r="ES42" i="8"/>
  <c r="EZ42" i="8"/>
  <c r="FA42" i="8"/>
  <c r="ET42" i="8"/>
  <c r="EU42" i="8"/>
  <c r="EV42" i="8"/>
  <c r="FB42" i="8"/>
  <c r="DR42" i="8"/>
  <c r="DS42" i="8" s="1"/>
  <c r="CE42" i="8"/>
  <c r="CD42" i="8"/>
  <c r="CC42" i="8"/>
  <c r="EF43" i="8"/>
  <c r="AH43" i="8"/>
  <c r="EQ43" i="8"/>
  <c r="ER43" i="8"/>
  <c r="ES43" i="8"/>
  <c r="EZ43" i="8"/>
  <c r="FA43" i="8"/>
  <c r="ET43" i="8"/>
  <c r="EU43" i="8"/>
  <c r="EV43" i="8"/>
  <c r="FB43" i="8"/>
  <c r="DR43" i="8"/>
  <c r="DS43" i="8" s="1"/>
  <c r="CE43" i="8"/>
  <c r="CD43" i="8"/>
  <c r="CC43" i="8"/>
  <c r="EF44" i="8"/>
  <c r="AH44" i="8"/>
  <c r="EQ44" i="8"/>
  <c r="ER44" i="8"/>
  <c r="ES44" i="8"/>
  <c r="EZ44" i="8"/>
  <c r="FA44" i="8"/>
  <c r="ET44" i="8"/>
  <c r="EU44" i="8"/>
  <c r="EV44" i="8"/>
  <c r="FB44" i="8"/>
  <c r="DR44" i="8"/>
  <c r="DS44" i="8" s="1"/>
  <c r="CE44" i="8"/>
  <c r="CD44" i="8"/>
  <c r="CC44" i="8"/>
  <c r="DU100" i="8"/>
  <c r="DV100" i="8"/>
  <c r="ED100" i="8"/>
  <c r="DU101" i="8"/>
  <c r="DV101" i="8"/>
  <c r="ED101" i="8"/>
  <c r="DU102" i="8"/>
  <c r="DV102" i="8"/>
  <c r="ED102" i="8"/>
  <c r="BO67" i="8"/>
  <c r="BO69" i="8"/>
  <c r="DY69" i="8" s="1"/>
  <c r="BO71" i="8"/>
  <c r="DY71" i="8" s="1"/>
  <c r="BO73" i="8"/>
  <c r="DY73" i="8" s="1"/>
  <c r="BQ67" i="8"/>
  <c r="BQ69" i="8"/>
  <c r="BQ71" i="8"/>
  <c r="BQ73" i="8"/>
  <c r="X318" i="22"/>
  <c r="EF76" i="8"/>
  <c r="AH76" i="8"/>
  <c r="EF75" i="8"/>
  <c r="AH75" i="8"/>
  <c r="EF74" i="8"/>
  <c r="AH74" i="8"/>
  <c r="EF73" i="8"/>
  <c r="AH73" i="8"/>
  <c r="EF72" i="8"/>
  <c r="AH72" i="8"/>
  <c r="EF71" i="8"/>
  <c r="AH71" i="8"/>
  <c r="EF70" i="8"/>
  <c r="AH70" i="8"/>
  <c r="EF69" i="8"/>
  <c r="AH69" i="8"/>
  <c r="EF68" i="8"/>
  <c r="AH68" i="8"/>
  <c r="EF67" i="8"/>
  <c r="AH67" i="8"/>
  <c r="EF66" i="8"/>
  <c r="AH66" i="8"/>
  <c r="EF65" i="8"/>
  <c r="AH65" i="8"/>
  <c r="EF64" i="8"/>
  <c r="AH64" i="8"/>
  <c r="EF63" i="8"/>
  <c r="AH63" i="8"/>
  <c r="EF62" i="8"/>
  <c r="AH62" i="8"/>
  <c r="EF61" i="8"/>
  <c r="AH61" i="8"/>
  <c r="EF60" i="8"/>
  <c r="AH60" i="8"/>
  <c r="EF59" i="8"/>
  <c r="AH59" i="8"/>
  <c r="EF58" i="8"/>
  <c r="AH58" i="8"/>
  <c r="EF57" i="8"/>
  <c r="AH57" i="8"/>
  <c r="EF56" i="8"/>
  <c r="AH56" i="8"/>
  <c r="BC18" i="19" s="1"/>
  <c r="T18" i="19" s="1"/>
  <c r="EF55" i="8"/>
  <c r="AH55" i="8"/>
  <c r="EF54" i="8"/>
  <c r="AH54" i="8"/>
  <c r="EF53" i="8"/>
  <c r="AH53" i="8"/>
  <c r="EF52" i="8"/>
  <c r="AH52" i="8"/>
  <c r="EF51" i="8"/>
  <c r="AH51" i="8"/>
  <c r="EF50" i="8"/>
  <c r="AH50" i="8"/>
  <c r="EF49" i="8"/>
  <c r="AH49" i="8"/>
  <c r="EF48" i="8"/>
  <c r="AH48" i="8"/>
  <c r="EF47" i="8"/>
  <c r="AH47" i="8"/>
  <c r="EF46" i="8"/>
  <c r="AH46" i="8"/>
  <c r="BC8" i="19" s="1"/>
  <c r="T8" i="19" s="1"/>
  <c r="EF103" i="8"/>
  <c r="AH103" i="8"/>
  <c r="EF99" i="8"/>
  <c r="AH99" i="8"/>
  <c r="EF98" i="8"/>
  <c r="AH98" i="8"/>
  <c r="EF97" i="8"/>
  <c r="AH97" i="8"/>
  <c r="EW96" i="8"/>
  <c r="EX96" i="8"/>
  <c r="EY96" i="8"/>
  <c r="FC96" i="8"/>
  <c r="CF96" i="8"/>
  <c r="CG96" i="8"/>
  <c r="CH96" i="8"/>
  <c r="CI96" i="8"/>
  <c r="CJ96" i="8"/>
  <c r="CK96" i="8" s="1"/>
  <c r="CN96" i="8"/>
  <c r="CO96" i="8" s="1"/>
  <c r="CP96" i="8" s="1"/>
  <c r="CQ96" i="8"/>
  <c r="CR96" i="8"/>
  <c r="CS96" i="8" s="1"/>
  <c r="EF96" i="8"/>
  <c r="EF95" i="8"/>
  <c r="AH95" i="8"/>
  <c r="EF94" i="8"/>
  <c r="AH94" i="8"/>
  <c r="EF93" i="8"/>
  <c r="AH93" i="8"/>
  <c r="EF92" i="8"/>
  <c r="AH92" i="8"/>
  <c r="EF91" i="8"/>
  <c r="AH91" i="8"/>
  <c r="EF90" i="8"/>
  <c r="AH90" i="8"/>
  <c r="EF88" i="8"/>
  <c r="AH88" i="8"/>
  <c r="EF87" i="8"/>
  <c r="AH87" i="8"/>
  <c r="EF86" i="8"/>
  <c r="AH86" i="8"/>
  <c r="EF85" i="8"/>
  <c r="AH85" i="8"/>
  <c r="EF84" i="8"/>
  <c r="AH84" i="8"/>
  <c r="EF83" i="8"/>
  <c r="AH83" i="8"/>
  <c r="EF82" i="8"/>
  <c r="AH82" i="8"/>
  <c r="EF81" i="8"/>
  <c r="AH81" i="8"/>
  <c r="EF80" i="8"/>
  <c r="AH80" i="8"/>
  <c r="EF79" i="8"/>
  <c r="AH79" i="8"/>
  <c r="EF78" i="8"/>
  <c r="AH78" i="8"/>
  <c r="L340" i="22"/>
  <c r="BO100" i="8" s="1"/>
  <c r="DY100" i="8" s="1"/>
  <c r="AA45" i="5"/>
  <c r="N340" i="22" s="1"/>
  <c r="K74" i="20"/>
  <c r="K72" i="20"/>
  <c r="R173" i="11"/>
  <c r="G198" i="21" s="1"/>
  <c r="H198" i="21" s="1"/>
  <c r="AY173" i="11"/>
  <c r="S173" i="11" s="1"/>
  <c r="CB63" i="8"/>
  <c r="CB66" i="8"/>
  <c r="CB67" i="8"/>
  <c r="CB74" i="8"/>
  <c r="CB84" i="8"/>
  <c r="CB101" i="8"/>
  <c r="CB102" i="8"/>
  <c r="CB48" i="8"/>
  <c r="DR62" i="8"/>
  <c r="DR59" i="8"/>
  <c r="DR56" i="8"/>
  <c r="DR54" i="8"/>
  <c r="DR51" i="8"/>
  <c r="DR49" i="8"/>
  <c r="DR46" i="8"/>
  <c r="DR98" i="8"/>
  <c r="DR94" i="8"/>
  <c r="DR92" i="8"/>
  <c r="DR90" i="8"/>
  <c r="DR88" i="8"/>
  <c r="DR86" i="8"/>
  <c r="DR82" i="8"/>
  <c r="DR81" i="8"/>
  <c r="DR78" i="8"/>
  <c r="DR61" i="8"/>
  <c r="DR58" i="8"/>
  <c r="DR55" i="8"/>
  <c r="DR52" i="8"/>
  <c r="DR50" i="8"/>
  <c r="DR47" i="8"/>
  <c r="DR99" i="8"/>
  <c r="DR97" i="8"/>
  <c r="DR95" i="8"/>
  <c r="DR93" i="8"/>
  <c r="DR91" i="8"/>
  <c r="DR89" i="8"/>
  <c r="DR87" i="8"/>
  <c r="DR85" i="8"/>
  <c r="DR83" i="8"/>
  <c r="DR80" i="8"/>
  <c r="DR79" i="8"/>
  <c r="DR60" i="8"/>
  <c r="DR57" i="8"/>
  <c r="DR53" i="8"/>
  <c r="DQ76" i="8"/>
  <c r="CB76" i="8"/>
  <c r="DQ75" i="8"/>
  <c r="CB75" i="8"/>
  <c r="DQ73" i="8"/>
  <c r="CB73" i="8"/>
  <c r="DQ72" i="8"/>
  <c r="CB72" i="8"/>
  <c r="DQ71" i="8"/>
  <c r="CB71" i="8"/>
  <c r="DQ70" i="8"/>
  <c r="CB70" i="8"/>
  <c r="DQ69" i="8"/>
  <c r="CB69" i="8"/>
  <c r="DQ68" i="8"/>
  <c r="CB68" i="8"/>
  <c r="DQ65" i="8"/>
  <c r="CB65" i="8"/>
  <c r="DQ64" i="8"/>
  <c r="CB64" i="8"/>
  <c r="CC62" i="8"/>
  <c r="CD62" i="8"/>
  <c r="CE62" i="8"/>
  <c r="CC61" i="8"/>
  <c r="CD61" i="8"/>
  <c r="CE61" i="8"/>
  <c r="CC60" i="8"/>
  <c r="CD60" i="8"/>
  <c r="CE60" i="8"/>
  <c r="CC59" i="8"/>
  <c r="CD59" i="8"/>
  <c r="CE59" i="8"/>
  <c r="CC58" i="8"/>
  <c r="CD58" i="8"/>
  <c r="CE58" i="8"/>
  <c r="CC57" i="8"/>
  <c r="CD57" i="8"/>
  <c r="CE57" i="8"/>
  <c r="CC56" i="8"/>
  <c r="CD56" i="8"/>
  <c r="CE56" i="8"/>
  <c r="CC55" i="8"/>
  <c r="CD55" i="8"/>
  <c r="CE55" i="8"/>
  <c r="CC54" i="8"/>
  <c r="CD54" i="8"/>
  <c r="CE54" i="8"/>
  <c r="CC53" i="8"/>
  <c r="CD53" i="8"/>
  <c r="CE53" i="8"/>
  <c r="CC52" i="8"/>
  <c r="CD52" i="8"/>
  <c r="CE52" i="8"/>
  <c r="CC51" i="8"/>
  <c r="CD51" i="8"/>
  <c r="CE51" i="8"/>
  <c r="CC50" i="8"/>
  <c r="CD50" i="8"/>
  <c r="CE50" i="8"/>
  <c r="CC49" i="8"/>
  <c r="CD49" i="8"/>
  <c r="CE49" i="8"/>
  <c r="CC47" i="8"/>
  <c r="CD47" i="8"/>
  <c r="CE47" i="8"/>
  <c r="CC46" i="8"/>
  <c r="CD46" i="8"/>
  <c r="CE46" i="8"/>
  <c r="CC103" i="8"/>
  <c r="CD103" i="8"/>
  <c r="CE103" i="8"/>
  <c r="CC99" i="8"/>
  <c r="CD99" i="8"/>
  <c r="CE99" i="8"/>
  <c r="CC98" i="8"/>
  <c r="CD98" i="8"/>
  <c r="CE98" i="8"/>
  <c r="CC97" i="8"/>
  <c r="CD97" i="8"/>
  <c r="CE97" i="8"/>
  <c r="CC95" i="8"/>
  <c r="CD95" i="8"/>
  <c r="CE95" i="8"/>
  <c r="CC94" i="8"/>
  <c r="CD94" i="8"/>
  <c r="CE94" i="8"/>
  <c r="CC93" i="8"/>
  <c r="CD93" i="8"/>
  <c r="CE93" i="8"/>
  <c r="CC92" i="8"/>
  <c r="CD92" i="8"/>
  <c r="CE92" i="8"/>
  <c r="CC91" i="8"/>
  <c r="CD91" i="8"/>
  <c r="CE91" i="8"/>
  <c r="CC90" i="8"/>
  <c r="CD90" i="8"/>
  <c r="CE90" i="8"/>
  <c r="CC89" i="8"/>
  <c r="CD89" i="8"/>
  <c r="CE89" i="8"/>
  <c r="CC88" i="8"/>
  <c r="CD88" i="8"/>
  <c r="CE88" i="8"/>
  <c r="CC87" i="8"/>
  <c r="CD87" i="8"/>
  <c r="CE87" i="8"/>
  <c r="CC86" i="8"/>
  <c r="CD86" i="8"/>
  <c r="CE86" i="8"/>
  <c r="CC85" i="8"/>
  <c r="CD85" i="8"/>
  <c r="CE85" i="8"/>
  <c r="CC83" i="8"/>
  <c r="CD83" i="8"/>
  <c r="CE83" i="8"/>
  <c r="CC82" i="8"/>
  <c r="CD82" i="8"/>
  <c r="CE82" i="8"/>
  <c r="CC81" i="8"/>
  <c r="CD81" i="8"/>
  <c r="CE81" i="8"/>
  <c r="CC80" i="8"/>
  <c r="CD80" i="8"/>
  <c r="CE80" i="8"/>
  <c r="CC79" i="8"/>
  <c r="CD79" i="8"/>
  <c r="CE79" i="8"/>
  <c r="CC78" i="8"/>
  <c r="CD78" i="8"/>
  <c r="CE78" i="8"/>
  <c r="AV170" i="11"/>
  <c r="AX170" i="11" s="1"/>
  <c r="AU170" i="11"/>
  <c r="AW170" i="11" s="1"/>
  <c r="AU172" i="11"/>
  <c r="AW172" i="11" s="1"/>
  <c r="AV172" i="11"/>
  <c r="AX172" i="11" s="1"/>
  <c r="DR96" i="8"/>
  <c r="AR154" i="11"/>
  <c r="AT154" i="11" s="1"/>
  <c r="AR152" i="11"/>
  <c r="AT152" i="11" s="1"/>
  <c r="CA67" i="8"/>
  <c r="CA74" i="8"/>
  <c r="CA63" i="8"/>
  <c r="CA102" i="8"/>
  <c r="CA84" i="8"/>
  <c r="CA48" i="8"/>
  <c r="DQ103" i="8"/>
  <c r="AV173" i="11"/>
  <c r="AX173" i="11" s="1"/>
  <c r="AU5" i="8"/>
  <c r="FI5" i="8"/>
  <c r="AU6" i="8"/>
  <c r="FI6" i="8"/>
  <c r="AU7" i="8"/>
  <c r="FI7" i="8"/>
  <c r="AU8" i="8"/>
  <c r="FI8" i="8"/>
  <c r="AU9" i="8"/>
  <c r="FI9" i="8"/>
  <c r="AU10" i="8"/>
  <c r="FI10" i="8"/>
  <c r="AU11" i="8"/>
  <c r="FI11" i="8"/>
  <c r="AU12" i="8"/>
  <c r="FI12" i="8"/>
  <c r="AU13" i="8"/>
  <c r="FI13" i="8"/>
  <c r="AU14" i="8"/>
  <c r="FI14" i="8"/>
  <c r="AU15" i="8"/>
  <c r="FI15" i="8"/>
  <c r="AU16" i="8"/>
  <c r="FI16" i="8"/>
  <c r="AU17" i="8"/>
  <c r="FI17" i="8"/>
  <c r="AU18" i="8"/>
  <c r="FI18" i="8"/>
  <c r="AU19" i="8"/>
  <c r="FI19" i="8"/>
  <c r="AU20" i="8"/>
  <c r="FI20" i="8"/>
  <c r="AU21" i="8"/>
  <c r="FI21" i="8"/>
  <c r="AU22" i="8"/>
  <c r="FI22" i="8"/>
  <c r="AU23" i="8"/>
  <c r="FI23" i="8"/>
  <c r="AU24" i="8"/>
  <c r="FI24" i="8"/>
  <c r="AU25" i="8"/>
  <c r="FI25" i="8"/>
  <c r="AU26" i="8"/>
  <c r="FI26" i="8"/>
  <c r="AU27" i="8"/>
  <c r="FI27" i="8"/>
  <c r="AU28" i="8"/>
  <c r="FI28" i="8"/>
  <c r="AU29" i="8"/>
  <c r="FI29" i="8"/>
  <c r="AU30" i="8"/>
  <c r="FI30" i="8"/>
  <c r="AU31" i="8"/>
  <c r="FI31" i="8"/>
  <c r="AU32" i="8"/>
  <c r="FI32" i="8"/>
  <c r="AU33" i="8"/>
  <c r="FI33" i="8"/>
  <c r="AU34" i="8"/>
  <c r="FI34" i="8"/>
  <c r="AU35" i="8"/>
  <c r="FI35" i="8"/>
  <c r="AU36" i="8"/>
  <c r="FI36" i="8"/>
  <c r="AU37" i="8"/>
  <c r="FI37" i="8"/>
  <c r="AU38" i="8"/>
  <c r="FI38" i="8"/>
  <c r="AU39" i="8"/>
  <c r="FI39" i="8"/>
  <c r="AU40" i="8"/>
  <c r="FI40" i="8"/>
  <c r="AU41" i="8"/>
  <c r="FI41" i="8"/>
  <c r="AU42" i="8"/>
  <c r="FI42" i="8"/>
  <c r="AU43" i="8"/>
  <c r="FI43" i="8"/>
  <c r="AU44" i="8"/>
  <c r="FI44" i="8"/>
  <c r="DP100" i="8"/>
  <c r="BW100" i="8"/>
  <c r="DP101" i="8"/>
  <c r="BW101" i="8"/>
  <c r="BW102" i="8"/>
  <c r="DP102" i="8"/>
  <c r="W340" i="22"/>
  <c r="BP100" i="8"/>
  <c r="B67" i="18"/>
  <c r="D67" i="18"/>
  <c r="AJ18" i="19"/>
  <c r="A18" i="19" s="1"/>
  <c r="AK18" i="19"/>
  <c r="B18" i="19" s="1"/>
  <c r="AL18" i="19"/>
  <c r="C18" i="19" s="1"/>
  <c r="AN18" i="19"/>
  <c r="E18" i="19" s="1"/>
  <c r="AO18" i="19"/>
  <c r="F18" i="19" s="1"/>
  <c r="AP18" i="19"/>
  <c r="G18" i="19" s="1"/>
  <c r="AQ18" i="19"/>
  <c r="H18" i="19" s="1"/>
  <c r="AX18" i="19"/>
  <c r="O18" i="19" s="1"/>
  <c r="AZ18" i="19"/>
  <c r="Q18" i="19" s="1"/>
  <c r="BH18" i="19"/>
  <c r="Y18" i="19" s="1"/>
  <c r="AJ19" i="19"/>
  <c r="A19" i="19" s="1"/>
  <c r="AK19" i="19"/>
  <c r="B19" i="19" s="1"/>
  <c r="AL19" i="19"/>
  <c r="C19" i="19" s="1"/>
  <c r="AN19" i="19"/>
  <c r="E19" i="19" s="1"/>
  <c r="AO19" i="19"/>
  <c r="F19" i="19" s="1"/>
  <c r="AP19" i="19"/>
  <c r="G19" i="19" s="1"/>
  <c r="AQ19" i="19"/>
  <c r="H19" i="19" s="1"/>
  <c r="AX19" i="19"/>
  <c r="O19" i="19" s="1"/>
  <c r="AZ19" i="19"/>
  <c r="Q19" i="19" s="1"/>
  <c r="BC19" i="19"/>
  <c r="T19" i="19" s="1"/>
  <c r="BH19" i="19"/>
  <c r="Y19" i="19" s="1"/>
  <c r="AJ20" i="19"/>
  <c r="A20" i="19" s="1"/>
  <c r="AK20" i="19"/>
  <c r="B20" i="19" s="1"/>
  <c r="AL20" i="19"/>
  <c r="C20" i="19" s="1"/>
  <c r="AN20" i="19"/>
  <c r="E20" i="19" s="1"/>
  <c r="AO20" i="19"/>
  <c r="F20" i="19" s="1"/>
  <c r="AP20" i="19"/>
  <c r="G20" i="19" s="1"/>
  <c r="AQ20" i="19"/>
  <c r="H20" i="19" s="1"/>
  <c r="AX20" i="19"/>
  <c r="O20" i="19" s="1"/>
  <c r="AZ20" i="19"/>
  <c r="Q20" i="19" s="1"/>
  <c r="BC20" i="19"/>
  <c r="T20" i="19" s="1"/>
  <c r="BH20" i="19"/>
  <c r="Y20" i="19" s="1"/>
  <c r="AJ21" i="19"/>
  <c r="A21" i="19" s="1"/>
  <c r="AK21" i="19"/>
  <c r="B21" i="19" s="1"/>
  <c r="AL21" i="19"/>
  <c r="C21" i="19" s="1"/>
  <c r="AN21" i="19"/>
  <c r="E21" i="19" s="1"/>
  <c r="AO21" i="19"/>
  <c r="F21" i="19" s="1"/>
  <c r="AP21" i="19"/>
  <c r="G21" i="19" s="1"/>
  <c r="AQ21" i="19"/>
  <c r="H21" i="19" s="1"/>
  <c r="AX21" i="19"/>
  <c r="O21" i="19" s="1"/>
  <c r="AZ21" i="19"/>
  <c r="Q21" i="19" s="1"/>
  <c r="BC21" i="19"/>
  <c r="T21" i="19" s="1"/>
  <c r="BH21" i="19"/>
  <c r="Y21" i="19" s="1"/>
  <c r="AJ22" i="19"/>
  <c r="A22" i="19" s="1"/>
  <c r="AK22" i="19"/>
  <c r="B22" i="19" s="1"/>
  <c r="AL22" i="19"/>
  <c r="C22" i="19" s="1"/>
  <c r="AM22" i="19"/>
  <c r="D22" i="19" s="1"/>
  <c r="BF22" i="19"/>
  <c r="W22" i="19" s="1"/>
  <c r="BG22" i="19"/>
  <c r="X22" i="19" s="1"/>
  <c r="BH22" i="19"/>
  <c r="Y22" i="19" s="1"/>
  <c r="BK22" i="19"/>
  <c r="AB22" i="19" s="1"/>
  <c r="AJ8" i="19"/>
  <c r="A8" i="19" s="1"/>
  <c r="AK8" i="19"/>
  <c r="B8" i="19" s="1"/>
  <c r="AL8" i="19"/>
  <c r="C8" i="19" s="1"/>
  <c r="AN8" i="19"/>
  <c r="E8" i="19" s="1"/>
  <c r="AO8" i="19"/>
  <c r="F8" i="19" s="1"/>
  <c r="AP8" i="19"/>
  <c r="G8" i="19" s="1"/>
  <c r="AQ8" i="19"/>
  <c r="H8" i="19" s="1"/>
  <c r="AX8" i="19"/>
  <c r="O8" i="19" s="1"/>
  <c r="AZ8" i="19"/>
  <c r="Q8" i="19" s="1"/>
  <c r="BH8" i="19"/>
  <c r="Y8" i="19" s="1"/>
  <c r="AJ9" i="19"/>
  <c r="A9" i="19" s="1"/>
  <c r="AK9" i="19"/>
  <c r="B9" i="19" s="1"/>
  <c r="AL9" i="19"/>
  <c r="C9" i="19" s="1"/>
  <c r="AN9" i="19"/>
  <c r="E9" i="19" s="1"/>
  <c r="AO9" i="19"/>
  <c r="F9" i="19" s="1"/>
  <c r="AP9" i="19"/>
  <c r="G9" i="19" s="1"/>
  <c r="AQ9" i="19"/>
  <c r="H9" i="19" s="1"/>
  <c r="AX9" i="19"/>
  <c r="O9" i="19" s="1"/>
  <c r="AZ9" i="19"/>
  <c r="Q9" i="19" s="1"/>
  <c r="BC9" i="19"/>
  <c r="T9" i="19" s="1"/>
  <c r="BH9" i="19"/>
  <c r="Y9" i="19" s="1"/>
  <c r="AJ10" i="19"/>
  <c r="A10" i="19" s="1"/>
  <c r="AK10" i="19"/>
  <c r="B10" i="19" s="1"/>
  <c r="AL10" i="19"/>
  <c r="C10" i="19" s="1"/>
  <c r="AN10" i="19"/>
  <c r="E10" i="19" s="1"/>
  <c r="AO10" i="19"/>
  <c r="F10" i="19" s="1"/>
  <c r="AP10" i="19"/>
  <c r="G10" i="19" s="1"/>
  <c r="AQ10" i="19"/>
  <c r="H10" i="19" s="1"/>
  <c r="AX10" i="19"/>
  <c r="O10" i="19" s="1"/>
  <c r="AZ10" i="19"/>
  <c r="Q10" i="19" s="1"/>
  <c r="BC10" i="19"/>
  <c r="T10" i="19" s="1"/>
  <c r="BH10" i="19"/>
  <c r="Y10" i="19" s="1"/>
  <c r="AJ11" i="19"/>
  <c r="A11" i="19" s="1"/>
  <c r="AK11" i="19"/>
  <c r="B11" i="19" s="1"/>
  <c r="AL11" i="19"/>
  <c r="C11" i="19" s="1"/>
  <c r="AN11" i="19"/>
  <c r="E11" i="19" s="1"/>
  <c r="AO11" i="19"/>
  <c r="F11" i="19" s="1"/>
  <c r="AP11" i="19"/>
  <c r="G11" i="19" s="1"/>
  <c r="AQ11" i="19"/>
  <c r="H11" i="19" s="1"/>
  <c r="AX11" i="19"/>
  <c r="O11" i="19" s="1"/>
  <c r="AZ11" i="19"/>
  <c r="Q11" i="19" s="1"/>
  <c r="BC11" i="19"/>
  <c r="T11" i="19" s="1"/>
  <c r="BH11" i="19"/>
  <c r="Y11" i="19" s="1"/>
  <c r="AJ12" i="19"/>
  <c r="A12" i="19" s="1"/>
  <c r="AK12" i="19"/>
  <c r="B12" i="19" s="1"/>
  <c r="AL12" i="19"/>
  <c r="C12" i="19" s="1"/>
  <c r="AN12" i="19"/>
  <c r="E12" i="19" s="1"/>
  <c r="AO12" i="19"/>
  <c r="F12" i="19" s="1"/>
  <c r="AP12" i="19"/>
  <c r="G12" i="19" s="1"/>
  <c r="AQ12" i="19"/>
  <c r="H12" i="19" s="1"/>
  <c r="AX12" i="19"/>
  <c r="O12" i="19" s="1"/>
  <c r="AZ12" i="19"/>
  <c r="Q12" i="19" s="1"/>
  <c r="BC12" i="19"/>
  <c r="T12" i="19" s="1"/>
  <c r="BH12" i="19"/>
  <c r="Y12" i="19" s="1"/>
  <c r="AJ13" i="19"/>
  <c r="A13" i="19" s="1"/>
  <c r="AK13" i="19"/>
  <c r="B13" i="19" s="1"/>
  <c r="AL13" i="19"/>
  <c r="C13" i="19" s="1"/>
  <c r="AN13" i="19"/>
  <c r="E13" i="19" s="1"/>
  <c r="AO13" i="19"/>
  <c r="F13" i="19" s="1"/>
  <c r="AP13" i="19"/>
  <c r="G13" i="19" s="1"/>
  <c r="AQ13" i="19"/>
  <c r="H13" i="19" s="1"/>
  <c r="AX13" i="19"/>
  <c r="O13" i="19" s="1"/>
  <c r="AZ13" i="19"/>
  <c r="Q13" i="19" s="1"/>
  <c r="BC13" i="19"/>
  <c r="T13" i="19" s="1"/>
  <c r="BH13" i="19"/>
  <c r="Y13" i="19" s="1"/>
  <c r="AJ14" i="19"/>
  <c r="A14" i="19" s="1"/>
  <c r="AK14" i="19"/>
  <c r="B14" i="19" s="1"/>
  <c r="AL14" i="19"/>
  <c r="C14" i="19" s="1"/>
  <c r="AN14" i="19"/>
  <c r="E14" i="19" s="1"/>
  <c r="AO14" i="19"/>
  <c r="F14" i="19" s="1"/>
  <c r="AP14" i="19"/>
  <c r="G14" i="19" s="1"/>
  <c r="AQ14" i="19"/>
  <c r="H14" i="19" s="1"/>
  <c r="AX14" i="19"/>
  <c r="O14" i="19" s="1"/>
  <c r="AZ14" i="19"/>
  <c r="Q14" i="19" s="1"/>
  <c r="BC14" i="19"/>
  <c r="T14" i="19" s="1"/>
  <c r="BH14" i="19"/>
  <c r="Y14" i="19" s="1"/>
  <c r="AJ15" i="19"/>
  <c r="A15" i="19" s="1"/>
  <c r="AK15" i="19"/>
  <c r="B15" i="19" s="1"/>
  <c r="AL15" i="19"/>
  <c r="C15" i="19" s="1"/>
  <c r="AN15" i="19"/>
  <c r="E15" i="19" s="1"/>
  <c r="AO15" i="19"/>
  <c r="F15" i="19" s="1"/>
  <c r="AP15" i="19"/>
  <c r="G15" i="19" s="1"/>
  <c r="AQ15" i="19"/>
  <c r="H15" i="19" s="1"/>
  <c r="AX15" i="19"/>
  <c r="O15" i="19" s="1"/>
  <c r="AZ15" i="19"/>
  <c r="Q15" i="19" s="1"/>
  <c r="BC15" i="19"/>
  <c r="T15" i="19" s="1"/>
  <c r="BH15" i="19"/>
  <c r="Y15" i="19" s="1"/>
  <c r="AK16" i="19"/>
  <c r="B16" i="19" s="1"/>
  <c r="BC16" i="19"/>
  <c r="T16" i="19" s="1"/>
  <c r="BH16" i="19"/>
  <c r="Y16" i="19" s="1"/>
  <c r="AQ16" i="19"/>
  <c r="H16" i="19" s="1"/>
  <c r="AO16" i="19"/>
  <c r="F16" i="19" s="1"/>
  <c r="AZ16" i="19"/>
  <c r="Q16" i="19" s="1"/>
  <c r="AX16" i="19"/>
  <c r="O16" i="19" s="1"/>
  <c r="AP16" i="19"/>
  <c r="G16" i="19" s="1"/>
  <c r="AN16" i="19"/>
  <c r="E16" i="19" s="1"/>
  <c r="AL16" i="19"/>
  <c r="C16" i="19" s="1"/>
  <c r="AJ16" i="19"/>
  <c r="A16" i="19" s="1"/>
  <c r="AQ17" i="19"/>
  <c r="H17" i="19" s="1"/>
  <c r="AO17" i="19"/>
  <c r="F17" i="19" s="1"/>
  <c r="AK17" i="19"/>
  <c r="B17" i="19" s="1"/>
  <c r="BH17" i="19"/>
  <c r="Y17" i="19" s="1"/>
  <c r="BC17" i="19"/>
  <c r="T17" i="19" s="1"/>
  <c r="AZ17" i="19"/>
  <c r="Q17" i="19" s="1"/>
  <c r="AX17" i="19"/>
  <c r="O17" i="19" s="1"/>
  <c r="AP17" i="19"/>
  <c r="G17" i="19" s="1"/>
  <c r="AN17" i="19"/>
  <c r="E17" i="19" s="1"/>
  <c r="AL17" i="19"/>
  <c r="C17" i="19" s="1"/>
  <c r="AJ17" i="19"/>
  <c r="A17" i="19" s="1"/>
  <c r="AV171" i="11"/>
  <c r="AX171" i="11" s="1"/>
  <c r="AU171" i="11"/>
  <c r="AW171" i="11" s="1"/>
  <c r="X5" i="8" l="1"/>
  <c r="W5" i="8"/>
  <c r="EK5" i="8"/>
  <c r="EJ5" i="8"/>
  <c r="EA5" i="8"/>
  <c r="EC5" i="8"/>
  <c r="EB5" i="8"/>
  <c r="EE5" i="8"/>
  <c r="EW5" i="8"/>
  <c r="EX5" i="8"/>
  <c r="EY5" i="8"/>
  <c r="FC5" i="8"/>
  <c r="CF5" i="8"/>
  <c r="CG5" i="8"/>
  <c r="CH5" i="8"/>
  <c r="CI5" i="8"/>
  <c r="CJ5" i="8"/>
  <c r="CK5" i="8" s="1"/>
  <c r="CN5" i="8"/>
  <c r="CO5" i="8" s="1"/>
  <c r="CP5" i="8" s="1"/>
  <c r="CQ5" i="8"/>
  <c r="CR5" i="8"/>
  <c r="CS5" i="8" s="1"/>
  <c r="FK5" i="8"/>
  <c r="FH5" i="8"/>
  <c r="X6" i="8"/>
  <c r="W6" i="8"/>
  <c r="EK6" i="8"/>
  <c r="EJ6" i="8"/>
  <c r="EA6" i="8"/>
  <c r="EB6" i="8"/>
  <c r="EC6" i="8"/>
  <c r="EE6" i="8"/>
  <c r="EW6" i="8"/>
  <c r="EX6" i="8"/>
  <c r="EY6" i="8"/>
  <c r="FC6" i="8"/>
  <c r="CF6" i="8"/>
  <c r="CG6" i="8"/>
  <c r="CH6" i="8"/>
  <c r="CI6" i="8"/>
  <c r="CJ6" i="8"/>
  <c r="CK6" i="8" s="1"/>
  <c r="CN6" i="8"/>
  <c r="CO6" i="8" s="1"/>
  <c r="CP6" i="8" s="1"/>
  <c r="CQ6" i="8"/>
  <c r="CR6" i="8"/>
  <c r="CS6" i="8" s="1"/>
  <c r="FK6" i="8"/>
  <c r="FH6" i="8"/>
  <c r="X7" i="8"/>
  <c r="W7" i="8"/>
  <c r="EK7" i="8"/>
  <c r="EJ7" i="8"/>
  <c r="EB7" i="8"/>
  <c r="EA7" i="8"/>
  <c r="EC7" i="8"/>
  <c r="EE7" i="8"/>
  <c r="EW7" i="8"/>
  <c r="EX7" i="8"/>
  <c r="EY7" i="8"/>
  <c r="FC7" i="8"/>
  <c r="CF7" i="8"/>
  <c r="CG7" i="8"/>
  <c r="CH7" i="8"/>
  <c r="CI7" i="8"/>
  <c r="CJ7" i="8"/>
  <c r="CK7" i="8" s="1"/>
  <c r="CN7" i="8"/>
  <c r="CO7" i="8" s="1"/>
  <c r="CP7" i="8" s="1"/>
  <c r="CQ7" i="8"/>
  <c r="CR7" i="8"/>
  <c r="CS7" i="8" s="1"/>
  <c r="FK7" i="8"/>
  <c r="FH7" i="8"/>
  <c r="X8" i="8"/>
  <c r="W8" i="8"/>
  <c r="EK8" i="8"/>
  <c r="EJ8" i="8"/>
  <c r="EB8" i="8"/>
  <c r="EA8" i="8"/>
  <c r="EC8" i="8"/>
  <c r="EE8" i="8"/>
  <c r="EW8" i="8"/>
  <c r="EX8" i="8"/>
  <c r="EY8" i="8"/>
  <c r="FC8" i="8"/>
  <c r="CF8" i="8"/>
  <c r="CG8" i="8"/>
  <c r="CH8" i="8"/>
  <c r="CI8" i="8"/>
  <c r="CJ8" i="8"/>
  <c r="CK8" i="8" s="1"/>
  <c r="CN8" i="8"/>
  <c r="CO8" i="8" s="1"/>
  <c r="CP8" i="8" s="1"/>
  <c r="CQ8" i="8"/>
  <c r="CR8" i="8"/>
  <c r="CS8" i="8" s="1"/>
  <c r="FK8" i="8"/>
  <c r="FH8" i="8"/>
  <c r="X9" i="8"/>
  <c r="W9" i="8"/>
  <c r="EK9" i="8"/>
  <c r="EJ9" i="8"/>
  <c r="EB9" i="8"/>
  <c r="EA9" i="8"/>
  <c r="EC9" i="8"/>
  <c r="EE9" i="8"/>
  <c r="EW9" i="8"/>
  <c r="EX9" i="8"/>
  <c r="EY9" i="8"/>
  <c r="FC9" i="8"/>
  <c r="CF9" i="8"/>
  <c r="CG9" i="8"/>
  <c r="CH9" i="8"/>
  <c r="CI9" i="8"/>
  <c r="CJ9" i="8"/>
  <c r="CK9" i="8" s="1"/>
  <c r="CN9" i="8"/>
  <c r="CO9" i="8" s="1"/>
  <c r="CP9" i="8" s="1"/>
  <c r="CQ9" i="8"/>
  <c r="CR9" i="8"/>
  <c r="CS9" i="8" s="1"/>
  <c r="FK9" i="8"/>
  <c r="FH9" i="8"/>
  <c r="X10" i="8"/>
  <c r="W10" i="8"/>
  <c r="EK10" i="8"/>
  <c r="EJ10" i="8"/>
  <c r="EB10" i="8"/>
  <c r="EA10" i="8"/>
  <c r="EC10" i="8"/>
  <c r="EE10" i="8"/>
  <c r="EW10" i="8"/>
  <c r="EX10" i="8"/>
  <c r="EY10" i="8"/>
  <c r="FC10" i="8"/>
  <c r="CF10" i="8"/>
  <c r="CG10" i="8"/>
  <c r="CH10" i="8"/>
  <c r="CI10" i="8"/>
  <c r="CJ10" i="8"/>
  <c r="CK10" i="8" s="1"/>
  <c r="CN10" i="8"/>
  <c r="CO10" i="8" s="1"/>
  <c r="CP10" i="8" s="1"/>
  <c r="CQ10" i="8"/>
  <c r="CR10" i="8"/>
  <c r="CS10" i="8" s="1"/>
  <c r="FK10" i="8"/>
  <c r="FH10" i="8"/>
  <c r="X11" i="8"/>
  <c r="W11" i="8"/>
  <c r="EK11" i="8"/>
  <c r="EJ11" i="8"/>
  <c r="EA11" i="8"/>
  <c r="EC11" i="8"/>
  <c r="EB11" i="8"/>
  <c r="EE11" i="8"/>
  <c r="EW11" i="8"/>
  <c r="EX11" i="8"/>
  <c r="EY11" i="8"/>
  <c r="FC11" i="8"/>
  <c r="CF11" i="8"/>
  <c r="CG11" i="8"/>
  <c r="CH11" i="8"/>
  <c r="CI11" i="8"/>
  <c r="CJ11" i="8"/>
  <c r="CK11" i="8" s="1"/>
  <c r="CN11" i="8"/>
  <c r="CO11" i="8" s="1"/>
  <c r="CP11" i="8" s="1"/>
  <c r="CQ11" i="8"/>
  <c r="CR11" i="8"/>
  <c r="CS11" i="8" s="1"/>
  <c r="FK11" i="8"/>
  <c r="FH11" i="8"/>
  <c r="X12" i="8"/>
  <c r="W12" i="8"/>
  <c r="EK12" i="8"/>
  <c r="EJ12" i="8"/>
  <c r="EB12" i="8"/>
  <c r="EA12" i="8"/>
  <c r="EC12" i="8"/>
  <c r="EE12" i="8"/>
  <c r="EW12" i="8"/>
  <c r="EX12" i="8"/>
  <c r="EY12" i="8"/>
  <c r="FC12" i="8"/>
  <c r="CF12" i="8"/>
  <c r="CG12" i="8"/>
  <c r="CH12" i="8"/>
  <c r="CI12" i="8"/>
  <c r="CJ12" i="8"/>
  <c r="CK12" i="8" s="1"/>
  <c r="CN12" i="8"/>
  <c r="CO12" i="8" s="1"/>
  <c r="CP12" i="8" s="1"/>
  <c r="CQ12" i="8"/>
  <c r="CR12" i="8"/>
  <c r="CS12" i="8" s="1"/>
  <c r="FK12" i="8"/>
  <c r="FH12" i="8"/>
  <c r="X13" i="8"/>
  <c r="W13" i="8"/>
  <c r="EK13" i="8"/>
  <c r="EJ13" i="8"/>
  <c r="EA13" i="8"/>
  <c r="EB13" i="8"/>
  <c r="EC13" i="8"/>
  <c r="EE13" i="8"/>
  <c r="EW13" i="8"/>
  <c r="EX13" i="8"/>
  <c r="EY13" i="8"/>
  <c r="FC13" i="8"/>
  <c r="CF13" i="8"/>
  <c r="CG13" i="8"/>
  <c r="CH13" i="8"/>
  <c r="CI13" i="8"/>
  <c r="CJ13" i="8"/>
  <c r="CK13" i="8" s="1"/>
  <c r="CN13" i="8"/>
  <c r="CO13" i="8" s="1"/>
  <c r="CP13" i="8" s="1"/>
  <c r="CQ13" i="8"/>
  <c r="CR13" i="8"/>
  <c r="CS13" i="8" s="1"/>
  <c r="FK13" i="8"/>
  <c r="FH13" i="8"/>
  <c r="FD14" i="8"/>
  <c r="X14" i="8"/>
  <c r="W14" i="8"/>
  <c r="EK14" i="8"/>
  <c r="EJ14" i="8"/>
  <c r="EA14" i="8"/>
  <c r="FE14" i="8" s="1"/>
  <c r="EC14" i="8"/>
  <c r="EB14" i="8"/>
  <c r="EE14" i="8"/>
  <c r="EW14" i="8"/>
  <c r="EX14" i="8"/>
  <c r="EY14" i="8"/>
  <c r="FC14" i="8"/>
  <c r="CF14" i="8"/>
  <c r="CG14" i="8"/>
  <c r="CH14" i="8"/>
  <c r="CI14" i="8"/>
  <c r="CJ14" i="8"/>
  <c r="CK14" i="8" s="1"/>
  <c r="CN14" i="8"/>
  <c r="CO14" i="8" s="1"/>
  <c r="CP14" i="8" s="1"/>
  <c r="CQ14" i="8"/>
  <c r="CR14" i="8"/>
  <c r="CS14" i="8" s="1"/>
  <c r="FK14" i="8"/>
  <c r="FH14" i="8"/>
  <c r="X15" i="8"/>
  <c r="W15" i="8"/>
  <c r="EK15" i="8"/>
  <c r="EJ15" i="8"/>
  <c r="EB15" i="8"/>
  <c r="EA15" i="8"/>
  <c r="EC15" i="8"/>
  <c r="EE15" i="8"/>
  <c r="EW15" i="8"/>
  <c r="EX15" i="8"/>
  <c r="EY15" i="8"/>
  <c r="FC15" i="8"/>
  <c r="CF15" i="8"/>
  <c r="CG15" i="8"/>
  <c r="CH15" i="8"/>
  <c r="CI15" i="8"/>
  <c r="CJ15" i="8"/>
  <c r="CK15" i="8" s="1"/>
  <c r="CN15" i="8"/>
  <c r="CO15" i="8" s="1"/>
  <c r="CP15" i="8" s="1"/>
  <c r="CQ15" i="8"/>
  <c r="CR15" i="8"/>
  <c r="CS15" i="8" s="1"/>
  <c r="FK15" i="8"/>
  <c r="FH15" i="8"/>
  <c r="X16" i="8"/>
  <c r="W16" i="8"/>
  <c r="EK16" i="8"/>
  <c r="EJ16" i="8"/>
  <c r="EB16" i="8"/>
  <c r="EC16" i="8"/>
  <c r="EA16" i="8"/>
  <c r="EE16" i="8"/>
  <c r="EW16" i="8"/>
  <c r="EX16" i="8"/>
  <c r="EY16" i="8"/>
  <c r="FC16" i="8"/>
  <c r="CF16" i="8"/>
  <c r="CG16" i="8"/>
  <c r="CH16" i="8"/>
  <c r="CI16" i="8"/>
  <c r="CJ16" i="8"/>
  <c r="CK16" i="8" s="1"/>
  <c r="CN16" i="8"/>
  <c r="CO16" i="8" s="1"/>
  <c r="CP16" i="8" s="1"/>
  <c r="CQ16" i="8"/>
  <c r="CR16" i="8"/>
  <c r="CS16" i="8" s="1"/>
  <c r="FK16" i="8"/>
  <c r="FH16" i="8"/>
  <c r="X17" i="8"/>
  <c r="W17" i="8"/>
  <c r="EK17" i="8"/>
  <c r="EJ17" i="8"/>
  <c r="EC17" i="8"/>
  <c r="EB17" i="8"/>
  <c r="EA17" i="8"/>
  <c r="EE17" i="8"/>
  <c r="EW17" i="8"/>
  <c r="EX17" i="8"/>
  <c r="EY17" i="8"/>
  <c r="FC17" i="8"/>
  <c r="CF17" i="8"/>
  <c r="CG17" i="8"/>
  <c r="CH17" i="8"/>
  <c r="CI17" i="8"/>
  <c r="CJ17" i="8"/>
  <c r="CK17" i="8" s="1"/>
  <c r="CN17" i="8"/>
  <c r="CO17" i="8" s="1"/>
  <c r="CP17" i="8" s="1"/>
  <c r="CQ17" i="8"/>
  <c r="CR17" i="8"/>
  <c r="CS17" i="8" s="1"/>
  <c r="FK17" i="8"/>
  <c r="FH17" i="8"/>
  <c r="X18" i="8"/>
  <c r="W18" i="8"/>
  <c r="EK18" i="8"/>
  <c r="EJ18" i="8"/>
  <c r="EB18" i="8"/>
  <c r="EC18" i="8"/>
  <c r="EA18" i="8"/>
  <c r="EE18" i="8"/>
  <c r="EW18" i="8"/>
  <c r="EX18" i="8"/>
  <c r="EY18" i="8"/>
  <c r="FC18" i="8"/>
  <c r="CF18" i="8"/>
  <c r="CG18" i="8"/>
  <c r="CH18" i="8"/>
  <c r="CI18" i="8"/>
  <c r="CJ18" i="8"/>
  <c r="CK18" i="8" s="1"/>
  <c r="CN18" i="8"/>
  <c r="CO18" i="8" s="1"/>
  <c r="CP18" i="8" s="1"/>
  <c r="CQ18" i="8"/>
  <c r="CR18" i="8"/>
  <c r="CS18" i="8" s="1"/>
  <c r="FK18" i="8"/>
  <c r="FH18" i="8"/>
  <c r="X19" i="8"/>
  <c r="W19" i="8"/>
  <c r="EK19" i="8"/>
  <c r="EJ19" i="8"/>
  <c r="EA19" i="8"/>
  <c r="EC19" i="8"/>
  <c r="EB19" i="8"/>
  <c r="EE19" i="8"/>
  <c r="EW19" i="8"/>
  <c r="EX19" i="8"/>
  <c r="EY19" i="8"/>
  <c r="FC19" i="8"/>
  <c r="CF19" i="8"/>
  <c r="CG19" i="8"/>
  <c r="CH19" i="8"/>
  <c r="CI19" i="8"/>
  <c r="CJ19" i="8"/>
  <c r="CK19" i="8" s="1"/>
  <c r="CN19" i="8"/>
  <c r="CO19" i="8" s="1"/>
  <c r="CP19" i="8" s="1"/>
  <c r="CQ19" i="8"/>
  <c r="CR19" i="8"/>
  <c r="CS19" i="8" s="1"/>
  <c r="FK19" i="8"/>
  <c r="FH19" i="8"/>
  <c r="X20" i="8"/>
  <c r="W20" i="8"/>
  <c r="EK20" i="8"/>
  <c r="EJ20" i="8"/>
  <c r="EC20" i="8"/>
  <c r="EB20" i="8"/>
  <c r="EA20" i="8"/>
  <c r="EE20" i="8"/>
  <c r="EW20" i="8"/>
  <c r="EX20" i="8"/>
  <c r="EY20" i="8"/>
  <c r="FC20" i="8"/>
  <c r="CF20" i="8"/>
  <c r="CG20" i="8"/>
  <c r="CH20" i="8"/>
  <c r="CI20" i="8"/>
  <c r="CJ20" i="8"/>
  <c r="CK20" i="8" s="1"/>
  <c r="CN20" i="8"/>
  <c r="CO20" i="8" s="1"/>
  <c r="CP20" i="8" s="1"/>
  <c r="CQ20" i="8"/>
  <c r="CR20" i="8"/>
  <c r="CS20" i="8" s="1"/>
  <c r="FK20" i="8"/>
  <c r="FH20" i="8"/>
  <c r="X21" i="8"/>
  <c r="W21" i="8"/>
  <c r="EK21" i="8"/>
  <c r="EJ21" i="8"/>
  <c r="EB21" i="8"/>
  <c r="EC21" i="8"/>
  <c r="EA21" i="8"/>
  <c r="EE21" i="8"/>
  <c r="EW21" i="8"/>
  <c r="EX21" i="8"/>
  <c r="EY21" i="8"/>
  <c r="FC21" i="8"/>
  <c r="CF21" i="8"/>
  <c r="CG21" i="8"/>
  <c r="CH21" i="8"/>
  <c r="CI21" i="8"/>
  <c r="CJ21" i="8"/>
  <c r="CK21" i="8" s="1"/>
  <c r="CN21" i="8"/>
  <c r="CO21" i="8" s="1"/>
  <c r="CP21" i="8" s="1"/>
  <c r="CQ21" i="8"/>
  <c r="CR21" i="8"/>
  <c r="CS21" i="8" s="1"/>
  <c r="FK21" i="8"/>
  <c r="FH21" i="8"/>
  <c r="X22" i="8"/>
  <c r="W22" i="8"/>
  <c r="EK22" i="8"/>
  <c r="EJ22" i="8"/>
  <c r="EA22" i="8"/>
  <c r="EC22" i="8"/>
  <c r="EB22" i="8"/>
  <c r="EE22" i="8"/>
  <c r="EW22" i="8"/>
  <c r="EX22" i="8"/>
  <c r="EY22" i="8"/>
  <c r="FC22" i="8"/>
  <c r="CF22" i="8"/>
  <c r="CG22" i="8"/>
  <c r="CH22" i="8"/>
  <c r="CI22" i="8"/>
  <c r="CJ22" i="8"/>
  <c r="CK22" i="8" s="1"/>
  <c r="CN22" i="8"/>
  <c r="CO22" i="8" s="1"/>
  <c r="CP22" i="8" s="1"/>
  <c r="CQ22" i="8"/>
  <c r="CR22" i="8"/>
  <c r="CS22" i="8" s="1"/>
  <c r="FK22" i="8"/>
  <c r="FH22" i="8"/>
  <c r="X23" i="8"/>
  <c r="W23" i="8"/>
  <c r="EK23" i="8"/>
  <c r="EJ23" i="8"/>
  <c r="EA23" i="8"/>
  <c r="EC23" i="8"/>
  <c r="EB23" i="8"/>
  <c r="EE23" i="8"/>
  <c r="EW23" i="8"/>
  <c r="EX23" i="8"/>
  <c r="EY23" i="8"/>
  <c r="FC23" i="8"/>
  <c r="CF23" i="8"/>
  <c r="CG23" i="8"/>
  <c r="CH23" i="8"/>
  <c r="CI23" i="8"/>
  <c r="CJ23" i="8"/>
  <c r="CK23" i="8" s="1"/>
  <c r="CN23" i="8"/>
  <c r="CO23" i="8" s="1"/>
  <c r="CP23" i="8" s="1"/>
  <c r="CQ23" i="8"/>
  <c r="CR23" i="8"/>
  <c r="CS23" i="8" s="1"/>
  <c r="FK23" i="8"/>
  <c r="FH23" i="8"/>
  <c r="X24" i="8"/>
  <c r="W24" i="8"/>
  <c r="EK24" i="8"/>
  <c r="EJ24" i="8"/>
  <c r="EB24" i="8"/>
  <c r="EA24" i="8"/>
  <c r="EC24" i="8"/>
  <c r="EE24" i="8"/>
  <c r="EW24" i="8"/>
  <c r="EX24" i="8"/>
  <c r="EY24" i="8"/>
  <c r="FC24" i="8"/>
  <c r="CF24" i="8"/>
  <c r="CG24" i="8"/>
  <c r="CH24" i="8"/>
  <c r="CI24" i="8"/>
  <c r="CJ24" i="8"/>
  <c r="CK24" i="8" s="1"/>
  <c r="CN24" i="8"/>
  <c r="CO24" i="8" s="1"/>
  <c r="CP24" i="8" s="1"/>
  <c r="CQ24" i="8"/>
  <c r="CR24" i="8"/>
  <c r="CS24" i="8" s="1"/>
  <c r="FK24" i="8"/>
  <c r="FH24" i="8"/>
  <c r="X25" i="8"/>
  <c r="W25" i="8"/>
  <c r="EK25" i="8"/>
  <c r="EJ25" i="8"/>
  <c r="EA25" i="8"/>
  <c r="EC25" i="8"/>
  <c r="EB25" i="8"/>
  <c r="EE25" i="8"/>
  <c r="EW25" i="8"/>
  <c r="EX25" i="8"/>
  <c r="EY25" i="8"/>
  <c r="FC25" i="8"/>
  <c r="CF25" i="8"/>
  <c r="CG25" i="8"/>
  <c r="CH25" i="8"/>
  <c r="CI25" i="8"/>
  <c r="CJ25" i="8"/>
  <c r="CK25" i="8" s="1"/>
  <c r="CN25" i="8"/>
  <c r="CO25" i="8" s="1"/>
  <c r="CP25" i="8" s="1"/>
  <c r="CQ25" i="8"/>
  <c r="CR25" i="8"/>
  <c r="CS25" i="8" s="1"/>
  <c r="FK25" i="8"/>
  <c r="FH25" i="8"/>
  <c r="X26" i="8"/>
  <c r="W26" i="8"/>
  <c r="EK26" i="8"/>
  <c r="EJ26" i="8"/>
  <c r="EC26" i="8"/>
  <c r="EB26" i="8"/>
  <c r="EA26" i="8"/>
  <c r="EE26" i="8"/>
  <c r="EW26" i="8"/>
  <c r="EX26" i="8"/>
  <c r="EY26" i="8"/>
  <c r="FC26" i="8"/>
  <c r="CF26" i="8"/>
  <c r="CG26" i="8"/>
  <c r="CH26" i="8"/>
  <c r="CI26" i="8"/>
  <c r="CJ26" i="8"/>
  <c r="CK26" i="8" s="1"/>
  <c r="CN26" i="8"/>
  <c r="CO26" i="8" s="1"/>
  <c r="CP26" i="8" s="1"/>
  <c r="CQ26" i="8"/>
  <c r="CR26" i="8"/>
  <c r="CS26" i="8" s="1"/>
  <c r="FK26" i="8"/>
  <c r="FH26" i="8"/>
  <c r="X27" i="8"/>
  <c r="W27" i="8"/>
  <c r="EK27" i="8"/>
  <c r="EJ27" i="8"/>
  <c r="EA27" i="8"/>
  <c r="EB27" i="8"/>
  <c r="EC27" i="8"/>
  <c r="EE27" i="8"/>
  <c r="EW27" i="8"/>
  <c r="EX27" i="8"/>
  <c r="EY27" i="8"/>
  <c r="FC27" i="8"/>
  <c r="CF27" i="8"/>
  <c r="CG27" i="8"/>
  <c r="CH27" i="8"/>
  <c r="CI27" i="8"/>
  <c r="CJ27" i="8"/>
  <c r="CK27" i="8" s="1"/>
  <c r="CN27" i="8"/>
  <c r="CO27" i="8" s="1"/>
  <c r="CP27" i="8" s="1"/>
  <c r="CQ27" i="8"/>
  <c r="CR27" i="8"/>
  <c r="CS27" i="8" s="1"/>
  <c r="FK27" i="8"/>
  <c r="FH27" i="8"/>
  <c r="X28" i="8"/>
  <c r="W28" i="8"/>
  <c r="EK28" i="8"/>
  <c r="EJ28" i="8"/>
  <c r="EC28" i="8"/>
  <c r="EB28" i="8"/>
  <c r="EA28" i="8"/>
  <c r="EE28" i="8"/>
  <c r="EW28" i="8"/>
  <c r="EX28" i="8"/>
  <c r="EY28" i="8"/>
  <c r="FC28" i="8"/>
  <c r="CF28" i="8"/>
  <c r="CG28" i="8"/>
  <c r="CH28" i="8"/>
  <c r="CI28" i="8"/>
  <c r="CJ28" i="8"/>
  <c r="CK28" i="8" s="1"/>
  <c r="CN28" i="8"/>
  <c r="CO28" i="8" s="1"/>
  <c r="CP28" i="8" s="1"/>
  <c r="CQ28" i="8"/>
  <c r="CR28" i="8"/>
  <c r="CS28" i="8" s="1"/>
  <c r="FK28" i="8"/>
  <c r="FH28" i="8"/>
  <c r="X29" i="8"/>
  <c r="W29" i="8"/>
  <c r="EK29" i="8"/>
  <c r="EJ29" i="8"/>
  <c r="EA29" i="8"/>
  <c r="EB29" i="8"/>
  <c r="EC29" i="8"/>
  <c r="EE29" i="8"/>
  <c r="EW29" i="8"/>
  <c r="EX29" i="8"/>
  <c r="EY29" i="8"/>
  <c r="FC29" i="8"/>
  <c r="CF29" i="8"/>
  <c r="CG29" i="8"/>
  <c r="CH29" i="8"/>
  <c r="CI29" i="8"/>
  <c r="CJ29" i="8"/>
  <c r="CK29" i="8" s="1"/>
  <c r="CN29" i="8"/>
  <c r="CO29" i="8" s="1"/>
  <c r="CP29" i="8" s="1"/>
  <c r="CQ29" i="8"/>
  <c r="CR29" i="8"/>
  <c r="CS29" i="8" s="1"/>
  <c r="FK29" i="8"/>
  <c r="FH29" i="8"/>
  <c r="X30" i="8"/>
  <c r="W30" i="8"/>
  <c r="EK30" i="8"/>
  <c r="EJ30" i="8"/>
  <c r="EC30" i="8"/>
  <c r="EA30" i="8"/>
  <c r="EB30" i="8"/>
  <c r="EE30" i="8"/>
  <c r="EW30" i="8"/>
  <c r="EX30" i="8"/>
  <c r="EY30" i="8"/>
  <c r="FC30" i="8"/>
  <c r="CF30" i="8"/>
  <c r="CG30" i="8"/>
  <c r="CH30" i="8"/>
  <c r="CI30" i="8"/>
  <c r="CJ30" i="8"/>
  <c r="CK30" i="8" s="1"/>
  <c r="CN30" i="8"/>
  <c r="CO30" i="8" s="1"/>
  <c r="CP30" i="8" s="1"/>
  <c r="CQ30" i="8"/>
  <c r="CR30" i="8"/>
  <c r="CS30" i="8" s="1"/>
  <c r="FK30" i="8"/>
  <c r="FH30" i="8"/>
  <c r="X31" i="8"/>
  <c r="W31" i="8"/>
  <c r="EK31" i="8"/>
  <c r="EJ31" i="8"/>
  <c r="EA31" i="8"/>
  <c r="EB31" i="8"/>
  <c r="EC31" i="8"/>
  <c r="EE31" i="8"/>
  <c r="EW31" i="8"/>
  <c r="EX31" i="8"/>
  <c r="EY31" i="8"/>
  <c r="FC31" i="8"/>
  <c r="CF31" i="8"/>
  <c r="CG31" i="8"/>
  <c r="CH31" i="8"/>
  <c r="CI31" i="8"/>
  <c r="CJ31" i="8"/>
  <c r="CK31" i="8" s="1"/>
  <c r="CN31" i="8"/>
  <c r="CO31" i="8" s="1"/>
  <c r="CP31" i="8" s="1"/>
  <c r="CQ31" i="8"/>
  <c r="CR31" i="8"/>
  <c r="CS31" i="8" s="1"/>
  <c r="FK31" i="8"/>
  <c r="FH31" i="8"/>
  <c r="X32" i="8"/>
  <c r="W32" i="8"/>
  <c r="EK32" i="8"/>
  <c r="EJ32" i="8"/>
  <c r="EB32" i="8"/>
  <c r="EA32" i="8"/>
  <c r="EC32" i="8"/>
  <c r="EE32" i="8"/>
  <c r="EW32" i="8"/>
  <c r="EX32" i="8"/>
  <c r="EY32" i="8"/>
  <c r="FC32" i="8"/>
  <c r="CF32" i="8"/>
  <c r="CG32" i="8"/>
  <c r="CH32" i="8"/>
  <c r="CI32" i="8"/>
  <c r="CJ32" i="8"/>
  <c r="CK32" i="8" s="1"/>
  <c r="CN32" i="8"/>
  <c r="CO32" i="8" s="1"/>
  <c r="CP32" i="8" s="1"/>
  <c r="CQ32" i="8"/>
  <c r="CR32" i="8"/>
  <c r="CS32" i="8" s="1"/>
  <c r="FK32" i="8"/>
  <c r="FH32" i="8"/>
  <c r="FK33" i="8"/>
  <c r="FH33" i="8"/>
  <c r="X33" i="8"/>
  <c r="W33" i="8"/>
  <c r="EK33" i="8"/>
  <c r="EJ33" i="8"/>
  <c r="EC33" i="8"/>
  <c r="EB33" i="8"/>
  <c r="EA33" i="8"/>
  <c r="EE33" i="8"/>
  <c r="EW33" i="8"/>
  <c r="EX33" i="8"/>
  <c r="EY33" i="8"/>
  <c r="FC33" i="8"/>
  <c r="CF33" i="8"/>
  <c r="CG33" i="8"/>
  <c r="CH33" i="8"/>
  <c r="CI33" i="8"/>
  <c r="CJ33" i="8"/>
  <c r="CK33" i="8" s="1"/>
  <c r="CN33" i="8"/>
  <c r="CO33" i="8" s="1"/>
  <c r="CP33" i="8" s="1"/>
  <c r="CQ33" i="8"/>
  <c r="CR33" i="8"/>
  <c r="CS33" i="8" s="1"/>
  <c r="FK34" i="8"/>
  <c r="FH34" i="8"/>
  <c r="X34" i="8"/>
  <c r="W34" i="8"/>
  <c r="EK34" i="8"/>
  <c r="EJ34" i="8"/>
  <c r="EA34" i="8"/>
  <c r="EB34" i="8"/>
  <c r="EC34" i="8"/>
  <c r="EE34" i="8"/>
  <c r="EW34" i="8"/>
  <c r="EX34" i="8"/>
  <c r="EY34" i="8"/>
  <c r="FC34" i="8"/>
  <c r="CF34" i="8"/>
  <c r="CG34" i="8"/>
  <c r="CH34" i="8"/>
  <c r="CI34" i="8"/>
  <c r="CJ34" i="8"/>
  <c r="CK34" i="8" s="1"/>
  <c r="CN34" i="8"/>
  <c r="CO34" i="8" s="1"/>
  <c r="CP34" i="8" s="1"/>
  <c r="CQ34" i="8"/>
  <c r="CR34" i="8"/>
  <c r="CS34" i="8" s="1"/>
  <c r="FK35" i="8"/>
  <c r="FH35" i="8"/>
  <c r="X35" i="8"/>
  <c r="W35" i="8"/>
  <c r="EK35" i="8"/>
  <c r="EJ35" i="8"/>
  <c r="EA35" i="8"/>
  <c r="EC35" i="8"/>
  <c r="EB35" i="8"/>
  <c r="EE35" i="8"/>
  <c r="EW35" i="8"/>
  <c r="EX35" i="8"/>
  <c r="EY35" i="8"/>
  <c r="FC35" i="8"/>
  <c r="CF35" i="8"/>
  <c r="CG35" i="8"/>
  <c r="CH35" i="8"/>
  <c r="CI35" i="8"/>
  <c r="CJ35" i="8"/>
  <c r="CK35" i="8" s="1"/>
  <c r="CN35" i="8"/>
  <c r="CO35" i="8" s="1"/>
  <c r="CP35" i="8" s="1"/>
  <c r="CQ35" i="8"/>
  <c r="CR35" i="8"/>
  <c r="CS35" i="8" s="1"/>
  <c r="FK36" i="8"/>
  <c r="FH36" i="8"/>
  <c r="X36" i="8"/>
  <c r="W36" i="8"/>
  <c r="EK36" i="8"/>
  <c r="EJ36" i="8"/>
  <c r="EA36" i="8"/>
  <c r="EC36" i="8"/>
  <c r="EB36" i="8"/>
  <c r="EE36" i="8"/>
  <c r="EW36" i="8"/>
  <c r="EX36" i="8"/>
  <c r="EY36" i="8"/>
  <c r="FC36" i="8"/>
  <c r="CF36" i="8"/>
  <c r="CG36" i="8"/>
  <c r="CH36" i="8"/>
  <c r="CI36" i="8"/>
  <c r="CJ36" i="8"/>
  <c r="CK36" i="8" s="1"/>
  <c r="CN36" i="8"/>
  <c r="CO36" i="8" s="1"/>
  <c r="CP36" i="8" s="1"/>
  <c r="CQ36" i="8"/>
  <c r="CR36" i="8"/>
  <c r="CS36" i="8" s="1"/>
  <c r="FK37" i="8"/>
  <c r="FH37" i="8"/>
  <c r="X37" i="8"/>
  <c r="W37" i="8"/>
  <c r="EK37" i="8"/>
  <c r="EJ37" i="8"/>
  <c r="EA37" i="8"/>
  <c r="EB37" i="8"/>
  <c r="EC37" i="8"/>
  <c r="EE37" i="8"/>
  <c r="EW37" i="8"/>
  <c r="EX37" i="8"/>
  <c r="EY37" i="8"/>
  <c r="FC37" i="8"/>
  <c r="CF37" i="8"/>
  <c r="CG37" i="8"/>
  <c r="CH37" i="8"/>
  <c r="CI37" i="8"/>
  <c r="CJ37" i="8"/>
  <c r="CK37" i="8" s="1"/>
  <c r="CN37" i="8"/>
  <c r="CO37" i="8" s="1"/>
  <c r="CP37" i="8" s="1"/>
  <c r="CQ37" i="8"/>
  <c r="CR37" i="8"/>
  <c r="CS37" i="8" s="1"/>
  <c r="FK38" i="8"/>
  <c r="FH38" i="8"/>
  <c r="X38" i="8"/>
  <c r="W38" i="8"/>
  <c r="EK38" i="8"/>
  <c r="EJ38" i="8"/>
  <c r="EB38" i="8"/>
  <c r="EC38" i="8"/>
  <c r="EA38" i="8"/>
  <c r="EE38" i="8"/>
  <c r="EW38" i="8"/>
  <c r="EX38" i="8"/>
  <c r="EY38" i="8"/>
  <c r="FC38" i="8"/>
  <c r="CF38" i="8"/>
  <c r="CG38" i="8"/>
  <c r="CH38" i="8"/>
  <c r="CI38" i="8"/>
  <c r="CJ38" i="8"/>
  <c r="CK38" i="8" s="1"/>
  <c r="CN38" i="8"/>
  <c r="CO38" i="8" s="1"/>
  <c r="CP38" i="8" s="1"/>
  <c r="CQ38" i="8"/>
  <c r="CR38" i="8"/>
  <c r="CS38" i="8" s="1"/>
  <c r="FK39" i="8"/>
  <c r="FH39" i="8"/>
  <c r="X39" i="8"/>
  <c r="W39" i="8"/>
  <c r="EK39" i="8"/>
  <c r="EJ39" i="8"/>
  <c r="EC39" i="8"/>
  <c r="EA39" i="8"/>
  <c r="EB39" i="8"/>
  <c r="EE39" i="8"/>
  <c r="EW39" i="8"/>
  <c r="EX39" i="8"/>
  <c r="EY39" i="8"/>
  <c r="FC39" i="8"/>
  <c r="CF39" i="8"/>
  <c r="CG39" i="8"/>
  <c r="CH39" i="8"/>
  <c r="CI39" i="8"/>
  <c r="CJ39" i="8"/>
  <c r="CK39" i="8" s="1"/>
  <c r="CN39" i="8"/>
  <c r="CO39" i="8" s="1"/>
  <c r="CP39" i="8" s="1"/>
  <c r="CQ39" i="8"/>
  <c r="CR39" i="8"/>
  <c r="CS39" i="8" s="1"/>
  <c r="FK40" i="8"/>
  <c r="FH40" i="8"/>
  <c r="X40" i="8"/>
  <c r="W40" i="8"/>
  <c r="EK40" i="8"/>
  <c r="EJ40" i="8"/>
  <c r="EB40" i="8"/>
  <c r="EA40" i="8"/>
  <c r="EC40" i="8"/>
  <c r="EE40" i="8"/>
  <c r="EW40" i="8"/>
  <c r="EX40" i="8"/>
  <c r="EY40" i="8"/>
  <c r="FC40" i="8"/>
  <c r="CF40" i="8"/>
  <c r="CG40" i="8"/>
  <c r="CH40" i="8"/>
  <c r="CI40" i="8"/>
  <c r="CJ40" i="8"/>
  <c r="CK40" i="8" s="1"/>
  <c r="CN40" i="8"/>
  <c r="CO40" i="8" s="1"/>
  <c r="CP40" i="8" s="1"/>
  <c r="CQ40" i="8"/>
  <c r="CR40" i="8"/>
  <c r="CS40" i="8" s="1"/>
  <c r="FK41" i="8"/>
  <c r="FH41" i="8"/>
  <c r="X41" i="8"/>
  <c r="W41" i="8"/>
  <c r="EK41" i="8"/>
  <c r="EJ41" i="8"/>
  <c r="EC41" i="8"/>
  <c r="EA41" i="8"/>
  <c r="EB41" i="8"/>
  <c r="EE41" i="8"/>
  <c r="EW41" i="8"/>
  <c r="EX41" i="8"/>
  <c r="EY41" i="8"/>
  <c r="FC41" i="8"/>
  <c r="CF41" i="8"/>
  <c r="CG41" i="8"/>
  <c r="CH41" i="8"/>
  <c r="CI41" i="8"/>
  <c r="CJ41" i="8"/>
  <c r="CK41" i="8" s="1"/>
  <c r="CN41" i="8"/>
  <c r="CO41" i="8" s="1"/>
  <c r="CP41" i="8" s="1"/>
  <c r="CQ41" i="8"/>
  <c r="CR41" i="8"/>
  <c r="CS41" i="8" s="1"/>
  <c r="FK42" i="8"/>
  <c r="FH42" i="8"/>
  <c r="X42" i="8"/>
  <c r="W42" i="8"/>
  <c r="EK42" i="8"/>
  <c r="EJ42" i="8"/>
  <c r="EC42" i="8"/>
  <c r="EB42" i="8"/>
  <c r="EA42" i="8"/>
  <c r="EE42" i="8"/>
  <c r="EW42" i="8"/>
  <c r="EX42" i="8"/>
  <c r="EY42" i="8"/>
  <c r="FC42" i="8"/>
  <c r="CF42" i="8"/>
  <c r="CG42" i="8"/>
  <c r="CH42" i="8"/>
  <c r="CI42" i="8"/>
  <c r="CJ42" i="8"/>
  <c r="CK42" i="8" s="1"/>
  <c r="CN42" i="8"/>
  <c r="CO42" i="8" s="1"/>
  <c r="CP42" i="8" s="1"/>
  <c r="CQ42" i="8"/>
  <c r="CR42" i="8"/>
  <c r="CS42" i="8" s="1"/>
  <c r="FK43" i="8"/>
  <c r="FH43" i="8"/>
  <c r="X43" i="8"/>
  <c r="W43" i="8"/>
  <c r="EK43" i="8"/>
  <c r="EJ43" i="8"/>
  <c r="EB43" i="8"/>
  <c r="EC43" i="8"/>
  <c r="EA43" i="8"/>
  <c r="EE43" i="8"/>
  <c r="EW43" i="8"/>
  <c r="EX43" i="8"/>
  <c r="EY43" i="8"/>
  <c r="FC43" i="8"/>
  <c r="CF43" i="8"/>
  <c r="CG43" i="8"/>
  <c r="CH43" i="8"/>
  <c r="CI43" i="8"/>
  <c r="CJ43" i="8"/>
  <c r="CK43" i="8" s="1"/>
  <c r="CN43" i="8"/>
  <c r="CO43" i="8" s="1"/>
  <c r="CP43" i="8" s="1"/>
  <c r="CQ43" i="8"/>
  <c r="CR43" i="8"/>
  <c r="CS43" i="8" s="1"/>
  <c r="FK44" i="8"/>
  <c r="FH44" i="8"/>
  <c r="X44" i="8"/>
  <c r="W44" i="8"/>
  <c r="EK44" i="8"/>
  <c r="EJ44" i="8"/>
  <c r="EC44" i="8"/>
  <c r="EA44" i="8"/>
  <c r="EB44" i="8"/>
  <c r="EE44" i="8"/>
  <c r="EW44" i="8"/>
  <c r="EX44" i="8"/>
  <c r="EY44" i="8"/>
  <c r="FC44" i="8"/>
  <c r="CF44" i="8"/>
  <c r="CG44" i="8"/>
  <c r="CH44" i="8"/>
  <c r="CI44" i="8"/>
  <c r="CJ44" i="8"/>
  <c r="CK44" i="8" s="1"/>
  <c r="CN44" i="8"/>
  <c r="CO44" i="8" s="1"/>
  <c r="CP44" i="8" s="1"/>
  <c r="CQ44" i="8"/>
  <c r="CR44" i="8"/>
  <c r="CS44" i="8" s="1"/>
  <c r="EF100" i="8"/>
  <c r="AH100" i="8"/>
  <c r="EF101" i="8"/>
  <c r="AH101" i="8"/>
  <c r="EF102" i="8"/>
  <c r="AH102" i="8"/>
  <c r="CL96" i="8"/>
  <c r="CM96" i="8"/>
  <c r="CW96" i="8"/>
  <c r="CT96" i="8"/>
  <c r="CU96" i="8"/>
  <c r="BQ100" i="8"/>
  <c r="X340" i="22"/>
  <c r="P173" i="11"/>
  <c r="W173" i="11"/>
  <c r="U173" i="11"/>
  <c r="M173" i="11"/>
  <c r="Q173" i="11" s="1"/>
  <c r="L173" i="11"/>
  <c r="V173" i="11" s="1"/>
  <c r="CE63" i="8"/>
  <c r="CD63" i="8"/>
  <c r="CC63" i="8"/>
  <c r="CE66" i="8"/>
  <c r="CD66" i="8"/>
  <c r="CC66" i="8"/>
  <c r="CE67" i="8"/>
  <c r="CD67" i="8"/>
  <c r="CC67" i="8"/>
  <c r="CE74" i="8"/>
  <c r="CD74" i="8"/>
  <c r="CC74" i="8"/>
  <c r="CE84" i="8"/>
  <c r="CD84" i="8"/>
  <c r="CC84" i="8"/>
  <c r="CE101" i="8"/>
  <c r="CD101" i="8"/>
  <c r="CC101" i="8"/>
  <c r="CE102" i="8"/>
  <c r="CD102" i="8"/>
  <c r="CC102" i="8"/>
  <c r="CE48" i="8"/>
  <c r="CD48" i="8"/>
  <c r="CC48" i="8"/>
  <c r="DR76" i="8"/>
  <c r="CC76" i="8"/>
  <c r="CD76" i="8"/>
  <c r="CE76" i="8"/>
  <c r="DR75" i="8"/>
  <c r="CC75" i="8"/>
  <c r="CD75" i="8"/>
  <c r="CE75" i="8"/>
  <c r="DR73" i="8"/>
  <c r="CC73" i="8"/>
  <c r="CD73" i="8"/>
  <c r="CE73" i="8"/>
  <c r="DR72" i="8"/>
  <c r="CC72" i="8"/>
  <c r="CD72" i="8"/>
  <c r="CE72" i="8"/>
  <c r="DR71" i="8"/>
  <c r="CC71" i="8"/>
  <c r="CD71" i="8"/>
  <c r="CE71" i="8"/>
  <c r="DR70" i="8"/>
  <c r="CC70" i="8"/>
  <c r="CD70" i="8"/>
  <c r="CE70" i="8"/>
  <c r="DR69" i="8"/>
  <c r="CC69" i="8"/>
  <c r="CD69" i="8"/>
  <c r="CE69" i="8"/>
  <c r="DR68" i="8"/>
  <c r="CC68" i="8"/>
  <c r="CD68" i="8"/>
  <c r="CE68" i="8"/>
  <c r="DR65" i="8"/>
  <c r="CC65" i="8"/>
  <c r="CD65" i="8"/>
  <c r="CE65" i="8"/>
  <c r="DR64" i="8"/>
  <c r="CC64" i="8"/>
  <c r="CD64" i="8"/>
  <c r="CE64" i="8"/>
  <c r="CF62" i="8"/>
  <c r="CG62" i="8"/>
  <c r="CH62" i="8"/>
  <c r="CI62" i="8"/>
  <c r="CJ62" i="8"/>
  <c r="CK62" i="8" s="1"/>
  <c r="CN62" i="8"/>
  <c r="CO62" i="8" s="1"/>
  <c r="CP62" i="8" s="1"/>
  <c r="CQ62" i="8"/>
  <c r="CR62" i="8"/>
  <c r="CS62" i="8" s="1"/>
  <c r="EW62" i="8"/>
  <c r="EX62" i="8"/>
  <c r="EY62" i="8"/>
  <c r="FC62" i="8"/>
  <c r="CF61" i="8"/>
  <c r="CG61" i="8"/>
  <c r="CH61" i="8"/>
  <c r="CI61" i="8"/>
  <c r="CJ61" i="8"/>
  <c r="CK61" i="8" s="1"/>
  <c r="CN61" i="8"/>
  <c r="CO61" i="8" s="1"/>
  <c r="CP61" i="8" s="1"/>
  <c r="CQ61" i="8"/>
  <c r="CR61" i="8"/>
  <c r="CS61" i="8" s="1"/>
  <c r="EW61" i="8"/>
  <c r="EX61" i="8"/>
  <c r="EY61" i="8"/>
  <c r="FC61" i="8"/>
  <c r="CF60" i="8"/>
  <c r="CG60" i="8"/>
  <c r="CH60" i="8"/>
  <c r="CI60" i="8"/>
  <c r="CJ60" i="8"/>
  <c r="CK60" i="8" s="1"/>
  <c r="CN60" i="8"/>
  <c r="CO60" i="8" s="1"/>
  <c r="CP60" i="8" s="1"/>
  <c r="CQ60" i="8"/>
  <c r="CR60" i="8"/>
  <c r="CS60" i="8" s="1"/>
  <c r="EW60" i="8"/>
  <c r="EX60" i="8"/>
  <c r="EY60" i="8"/>
  <c r="FC60" i="8"/>
  <c r="CF59" i="8"/>
  <c r="CG59" i="8"/>
  <c r="CH59" i="8"/>
  <c r="CI59" i="8"/>
  <c r="CJ59" i="8"/>
  <c r="CK59" i="8" s="1"/>
  <c r="CN59" i="8"/>
  <c r="CO59" i="8" s="1"/>
  <c r="CP59" i="8" s="1"/>
  <c r="CQ59" i="8"/>
  <c r="CR59" i="8"/>
  <c r="CS59" i="8" s="1"/>
  <c r="EW59" i="8"/>
  <c r="EX59" i="8"/>
  <c r="EY59" i="8"/>
  <c r="FC59" i="8"/>
  <c r="CF58" i="8"/>
  <c r="CG58" i="8"/>
  <c r="CH58" i="8"/>
  <c r="CI58" i="8"/>
  <c r="CJ58" i="8"/>
  <c r="CK58" i="8" s="1"/>
  <c r="CN58" i="8"/>
  <c r="CO58" i="8" s="1"/>
  <c r="CP58" i="8" s="1"/>
  <c r="CQ58" i="8"/>
  <c r="CR58" i="8"/>
  <c r="CS58" i="8" s="1"/>
  <c r="EW58" i="8"/>
  <c r="EX58" i="8"/>
  <c r="EY58" i="8"/>
  <c r="FC58" i="8"/>
  <c r="CF57" i="8"/>
  <c r="CG57" i="8"/>
  <c r="CH57" i="8"/>
  <c r="CI57" i="8"/>
  <c r="CJ57" i="8"/>
  <c r="CK57" i="8" s="1"/>
  <c r="CN57" i="8"/>
  <c r="CO57" i="8" s="1"/>
  <c r="CP57" i="8" s="1"/>
  <c r="CQ57" i="8"/>
  <c r="CR57" i="8"/>
  <c r="CS57" i="8" s="1"/>
  <c r="EW57" i="8"/>
  <c r="EX57" i="8"/>
  <c r="EY57" i="8"/>
  <c r="FC57" i="8"/>
  <c r="CF56" i="8"/>
  <c r="CG56" i="8"/>
  <c r="CH56" i="8"/>
  <c r="CI56" i="8"/>
  <c r="CJ56" i="8"/>
  <c r="CK56" i="8" s="1"/>
  <c r="CN56" i="8"/>
  <c r="CO56" i="8" s="1"/>
  <c r="CP56" i="8" s="1"/>
  <c r="CQ56" i="8"/>
  <c r="CR56" i="8"/>
  <c r="CS56" i="8" s="1"/>
  <c r="EW56" i="8"/>
  <c r="EX56" i="8"/>
  <c r="EY56" i="8"/>
  <c r="FC56" i="8"/>
  <c r="CF55" i="8"/>
  <c r="CG55" i="8"/>
  <c r="CH55" i="8"/>
  <c r="CI55" i="8"/>
  <c r="CJ55" i="8"/>
  <c r="CK55" i="8" s="1"/>
  <c r="CN55" i="8"/>
  <c r="CO55" i="8" s="1"/>
  <c r="CP55" i="8" s="1"/>
  <c r="CQ55" i="8"/>
  <c r="CR55" i="8"/>
  <c r="CS55" i="8" s="1"/>
  <c r="EW55" i="8"/>
  <c r="EX55" i="8"/>
  <c r="EY55" i="8"/>
  <c r="FC55" i="8"/>
  <c r="CF54" i="8"/>
  <c r="CG54" i="8"/>
  <c r="CH54" i="8"/>
  <c r="CI54" i="8"/>
  <c r="CJ54" i="8"/>
  <c r="CK54" i="8" s="1"/>
  <c r="CN54" i="8"/>
  <c r="CO54" i="8" s="1"/>
  <c r="CP54" i="8" s="1"/>
  <c r="CQ54" i="8"/>
  <c r="CR54" i="8"/>
  <c r="CS54" i="8" s="1"/>
  <c r="EW54" i="8"/>
  <c r="EX54" i="8"/>
  <c r="EY54" i="8"/>
  <c r="FC54" i="8"/>
  <c r="CF53" i="8"/>
  <c r="CG53" i="8"/>
  <c r="CH53" i="8"/>
  <c r="CI53" i="8"/>
  <c r="CJ53" i="8"/>
  <c r="CK53" i="8" s="1"/>
  <c r="CN53" i="8"/>
  <c r="CO53" i="8" s="1"/>
  <c r="CP53" i="8" s="1"/>
  <c r="CQ53" i="8"/>
  <c r="CR53" i="8"/>
  <c r="CS53" i="8" s="1"/>
  <c r="EW53" i="8"/>
  <c r="EX53" i="8"/>
  <c r="EY53" i="8"/>
  <c r="FC53" i="8"/>
  <c r="CF52" i="8"/>
  <c r="CG52" i="8"/>
  <c r="CH52" i="8"/>
  <c r="CI52" i="8"/>
  <c r="CJ52" i="8"/>
  <c r="CK52" i="8" s="1"/>
  <c r="CN52" i="8"/>
  <c r="CO52" i="8" s="1"/>
  <c r="CP52" i="8" s="1"/>
  <c r="CQ52" i="8"/>
  <c r="CR52" i="8"/>
  <c r="CS52" i="8" s="1"/>
  <c r="EW52" i="8"/>
  <c r="EX52" i="8"/>
  <c r="EY52" i="8"/>
  <c r="FC52" i="8"/>
  <c r="CF51" i="8"/>
  <c r="CG51" i="8"/>
  <c r="CH51" i="8"/>
  <c r="CI51" i="8"/>
  <c r="CJ51" i="8"/>
  <c r="CK51" i="8" s="1"/>
  <c r="CN51" i="8"/>
  <c r="CO51" i="8" s="1"/>
  <c r="CP51" i="8" s="1"/>
  <c r="CQ51" i="8"/>
  <c r="CR51" i="8"/>
  <c r="CS51" i="8" s="1"/>
  <c r="EW51" i="8"/>
  <c r="EX51" i="8"/>
  <c r="EY51" i="8"/>
  <c r="FC51" i="8"/>
  <c r="CF50" i="8"/>
  <c r="CG50" i="8"/>
  <c r="CH50" i="8"/>
  <c r="CI50" i="8"/>
  <c r="CJ50" i="8"/>
  <c r="CK50" i="8" s="1"/>
  <c r="CN50" i="8"/>
  <c r="CO50" i="8" s="1"/>
  <c r="CP50" i="8" s="1"/>
  <c r="CQ50" i="8"/>
  <c r="CR50" i="8"/>
  <c r="CS50" i="8" s="1"/>
  <c r="EW50" i="8"/>
  <c r="EX50" i="8"/>
  <c r="EY50" i="8"/>
  <c r="FC50" i="8"/>
  <c r="CF49" i="8"/>
  <c r="CG49" i="8"/>
  <c r="CH49" i="8"/>
  <c r="CI49" i="8"/>
  <c r="CJ49" i="8"/>
  <c r="CK49" i="8" s="1"/>
  <c r="CN49" i="8"/>
  <c r="CO49" i="8" s="1"/>
  <c r="CP49" i="8" s="1"/>
  <c r="CQ49" i="8"/>
  <c r="CR49" i="8"/>
  <c r="CS49" i="8" s="1"/>
  <c r="EW49" i="8"/>
  <c r="EX49" i="8"/>
  <c r="EY49" i="8"/>
  <c r="FC49" i="8"/>
  <c r="CF47" i="8"/>
  <c r="CG47" i="8"/>
  <c r="CH47" i="8"/>
  <c r="CI47" i="8"/>
  <c r="CJ47" i="8"/>
  <c r="CK47" i="8" s="1"/>
  <c r="CN47" i="8"/>
  <c r="CO47" i="8" s="1"/>
  <c r="CP47" i="8" s="1"/>
  <c r="CQ47" i="8"/>
  <c r="CR47" i="8"/>
  <c r="CS47" i="8" s="1"/>
  <c r="EW47" i="8"/>
  <c r="EX47" i="8"/>
  <c r="EY47" i="8"/>
  <c r="FC47" i="8"/>
  <c r="CF46" i="8"/>
  <c r="CG46" i="8"/>
  <c r="CH46" i="8"/>
  <c r="CI46" i="8"/>
  <c r="CJ46" i="8"/>
  <c r="CK46" i="8" s="1"/>
  <c r="CN46" i="8"/>
  <c r="CO46" i="8" s="1"/>
  <c r="CP46" i="8" s="1"/>
  <c r="CQ46" i="8"/>
  <c r="CR46" i="8"/>
  <c r="CS46" i="8" s="1"/>
  <c r="EW46" i="8"/>
  <c r="EX46" i="8"/>
  <c r="EY46" i="8"/>
  <c r="FC46" i="8"/>
  <c r="CF103" i="8"/>
  <c r="CG103" i="8"/>
  <c r="CH103" i="8"/>
  <c r="CI103" i="8"/>
  <c r="CJ103" i="8"/>
  <c r="CK103" i="8" s="1"/>
  <c r="CN103" i="8"/>
  <c r="CO103" i="8" s="1"/>
  <c r="CP103" i="8" s="1"/>
  <c r="CQ103" i="8"/>
  <c r="CR103" i="8"/>
  <c r="CS103" i="8" s="1"/>
  <c r="EW103" i="8"/>
  <c r="EX103" i="8"/>
  <c r="EY103" i="8"/>
  <c r="FC103" i="8"/>
  <c r="CF99" i="8"/>
  <c r="CG99" i="8"/>
  <c r="CH99" i="8"/>
  <c r="CI99" i="8"/>
  <c r="CJ99" i="8"/>
  <c r="CK99" i="8" s="1"/>
  <c r="CN99" i="8"/>
  <c r="CO99" i="8" s="1"/>
  <c r="CP99" i="8" s="1"/>
  <c r="CQ99" i="8"/>
  <c r="CR99" i="8"/>
  <c r="CS99" i="8" s="1"/>
  <c r="EW99" i="8"/>
  <c r="EX99" i="8"/>
  <c r="EY99" i="8"/>
  <c r="FC99" i="8"/>
  <c r="CF98" i="8"/>
  <c r="CG98" i="8"/>
  <c r="CH98" i="8"/>
  <c r="CI98" i="8"/>
  <c r="CJ98" i="8"/>
  <c r="CK98" i="8" s="1"/>
  <c r="CN98" i="8"/>
  <c r="CO98" i="8" s="1"/>
  <c r="CP98" i="8" s="1"/>
  <c r="CQ98" i="8"/>
  <c r="CR98" i="8"/>
  <c r="CS98" i="8" s="1"/>
  <c r="EW98" i="8"/>
  <c r="EX98" i="8"/>
  <c r="EY98" i="8"/>
  <c r="FC98" i="8"/>
  <c r="CF97" i="8"/>
  <c r="CG97" i="8"/>
  <c r="CH97" i="8"/>
  <c r="CI97" i="8"/>
  <c r="CJ97" i="8"/>
  <c r="CK97" i="8" s="1"/>
  <c r="CN97" i="8"/>
  <c r="CO97" i="8" s="1"/>
  <c r="CP97" i="8" s="1"/>
  <c r="CQ97" i="8"/>
  <c r="CR97" i="8"/>
  <c r="CS97" i="8" s="1"/>
  <c r="EW97" i="8"/>
  <c r="EX97" i="8"/>
  <c r="EY97" i="8"/>
  <c r="FC97" i="8"/>
  <c r="CF95" i="8"/>
  <c r="CG95" i="8"/>
  <c r="CH95" i="8"/>
  <c r="CI95" i="8"/>
  <c r="CJ95" i="8"/>
  <c r="CK95" i="8" s="1"/>
  <c r="CN95" i="8"/>
  <c r="CO95" i="8" s="1"/>
  <c r="CP95" i="8" s="1"/>
  <c r="CQ95" i="8"/>
  <c r="CR95" i="8"/>
  <c r="CS95" i="8" s="1"/>
  <c r="EW95" i="8"/>
  <c r="EX95" i="8"/>
  <c r="EY95" i="8"/>
  <c r="FC95" i="8"/>
  <c r="CF94" i="8"/>
  <c r="CG94" i="8"/>
  <c r="CH94" i="8"/>
  <c r="CI94" i="8"/>
  <c r="CJ94" i="8"/>
  <c r="CK94" i="8" s="1"/>
  <c r="CN94" i="8"/>
  <c r="CO94" i="8" s="1"/>
  <c r="CP94" i="8" s="1"/>
  <c r="CQ94" i="8"/>
  <c r="CR94" i="8"/>
  <c r="CS94" i="8" s="1"/>
  <c r="EW94" i="8"/>
  <c r="EX94" i="8"/>
  <c r="EY94" i="8"/>
  <c r="FC94" i="8"/>
  <c r="CF93" i="8"/>
  <c r="CG93" i="8"/>
  <c r="CH93" i="8"/>
  <c r="CI93" i="8"/>
  <c r="CJ93" i="8"/>
  <c r="CK93" i="8" s="1"/>
  <c r="CN93" i="8"/>
  <c r="CO93" i="8" s="1"/>
  <c r="CP93" i="8" s="1"/>
  <c r="CQ93" i="8"/>
  <c r="CR93" i="8"/>
  <c r="CS93" i="8" s="1"/>
  <c r="EW93" i="8"/>
  <c r="EX93" i="8"/>
  <c r="EY93" i="8"/>
  <c r="FC93" i="8"/>
  <c r="CF92" i="8"/>
  <c r="CG92" i="8"/>
  <c r="CH92" i="8"/>
  <c r="CI92" i="8"/>
  <c r="CJ92" i="8"/>
  <c r="CK92" i="8" s="1"/>
  <c r="CN92" i="8"/>
  <c r="CO92" i="8" s="1"/>
  <c r="CP92" i="8" s="1"/>
  <c r="CQ92" i="8"/>
  <c r="CR92" i="8"/>
  <c r="CS92" i="8" s="1"/>
  <c r="EW92" i="8"/>
  <c r="EX92" i="8"/>
  <c r="EY92" i="8"/>
  <c r="FC92" i="8"/>
  <c r="CF91" i="8"/>
  <c r="CG91" i="8"/>
  <c r="CH91" i="8"/>
  <c r="CI91" i="8"/>
  <c r="CJ91" i="8"/>
  <c r="CK91" i="8" s="1"/>
  <c r="CN91" i="8"/>
  <c r="CO91" i="8" s="1"/>
  <c r="CP91" i="8" s="1"/>
  <c r="CQ91" i="8"/>
  <c r="CR91" i="8"/>
  <c r="CS91" i="8" s="1"/>
  <c r="EW91" i="8"/>
  <c r="EX91" i="8"/>
  <c r="EY91" i="8"/>
  <c r="FC91" i="8"/>
  <c r="CF90" i="8"/>
  <c r="CG90" i="8"/>
  <c r="CH90" i="8"/>
  <c r="CI90" i="8"/>
  <c r="CJ90" i="8"/>
  <c r="CK90" i="8" s="1"/>
  <c r="CN90" i="8"/>
  <c r="CO90" i="8" s="1"/>
  <c r="CP90" i="8" s="1"/>
  <c r="CQ90" i="8"/>
  <c r="CR90" i="8"/>
  <c r="CS90" i="8" s="1"/>
  <c r="EW90" i="8"/>
  <c r="EX90" i="8"/>
  <c r="EY90" i="8"/>
  <c r="FC90" i="8"/>
  <c r="CF89" i="8"/>
  <c r="CG89" i="8"/>
  <c r="CH89" i="8"/>
  <c r="CI89" i="8"/>
  <c r="CJ89" i="8"/>
  <c r="CK89" i="8" s="1"/>
  <c r="CN89" i="8"/>
  <c r="CO89" i="8" s="1"/>
  <c r="CP89" i="8" s="1"/>
  <c r="CQ89" i="8"/>
  <c r="CR89" i="8"/>
  <c r="CS89" i="8" s="1"/>
  <c r="EW89" i="8"/>
  <c r="EX89" i="8"/>
  <c r="EY89" i="8"/>
  <c r="FC89" i="8"/>
  <c r="CF88" i="8"/>
  <c r="CG88" i="8"/>
  <c r="CH88" i="8"/>
  <c r="CI88" i="8"/>
  <c r="CJ88" i="8"/>
  <c r="CK88" i="8" s="1"/>
  <c r="CN88" i="8"/>
  <c r="CO88" i="8" s="1"/>
  <c r="CP88" i="8" s="1"/>
  <c r="CQ88" i="8"/>
  <c r="CR88" i="8"/>
  <c r="CS88" i="8" s="1"/>
  <c r="EW88" i="8"/>
  <c r="EX88" i="8"/>
  <c r="EY88" i="8"/>
  <c r="FC88" i="8"/>
  <c r="CF87" i="8"/>
  <c r="CG87" i="8"/>
  <c r="CH87" i="8"/>
  <c r="CI87" i="8"/>
  <c r="CJ87" i="8"/>
  <c r="CK87" i="8" s="1"/>
  <c r="CN87" i="8"/>
  <c r="CO87" i="8" s="1"/>
  <c r="CP87" i="8" s="1"/>
  <c r="CQ87" i="8"/>
  <c r="CR87" i="8"/>
  <c r="CS87" i="8" s="1"/>
  <c r="EW87" i="8"/>
  <c r="EX87" i="8"/>
  <c r="EY87" i="8"/>
  <c r="FC87" i="8"/>
  <c r="CF86" i="8"/>
  <c r="CG86" i="8"/>
  <c r="CH86" i="8"/>
  <c r="CI86" i="8"/>
  <c r="CJ86" i="8"/>
  <c r="CK86" i="8" s="1"/>
  <c r="CN86" i="8"/>
  <c r="CO86" i="8" s="1"/>
  <c r="CP86" i="8" s="1"/>
  <c r="CQ86" i="8"/>
  <c r="CR86" i="8"/>
  <c r="CS86" i="8" s="1"/>
  <c r="EW86" i="8"/>
  <c r="EX86" i="8"/>
  <c r="EY86" i="8"/>
  <c r="FC86" i="8"/>
  <c r="CF85" i="8"/>
  <c r="CG85" i="8"/>
  <c r="CH85" i="8"/>
  <c r="CI85" i="8"/>
  <c r="CJ85" i="8"/>
  <c r="CK85" i="8" s="1"/>
  <c r="CN85" i="8"/>
  <c r="CO85" i="8" s="1"/>
  <c r="CP85" i="8" s="1"/>
  <c r="CQ85" i="8"/>
  <c r="CR85" i="8"/>
  <c r="CS85" i="8" s="1"/>
  <c r="EW85" i="8"/>
  <c r="EX85" i="8"/>
  <c r="EY85" i="8"/>
  <c r="FC85" i="8"/>
  <c r="CF83" i="8"/>
  <c r="CG83" i="8"/>
  <c r="CH83" i="8"/>
  <c r="CI83" i="8"/>
  <c r="CJ83" i="8"/>
  <c r="CK83" i="8" s="1"/>
  <c r="CN83" i="8"/>
  <c r="CO83" i="8" s="1"/>
  <c r="CP83" i="8" s="1"/>
  <c r="CQ83" i="8"/>
  <c r="CR83" i="8"/>
  <c r="CS83" i="8" s="1"/>
  <c r="EW83" i="8"/>
  <c r="EX83" i="8"/>
  <c r="EY83" i="8"/>
  <c r="FC83" i="8"/>
  <c r="CF82" i="8"/>
  <c r="CG82" i="8"/>
  <c r="CH82" i="8"/>
  <c r="CI82" i="8"/>
  <c r="CJ82" i="8"/>
  <c r="CK82" i="8" s="1"/>
  <c r="CN82" i="8"/>
  <c r="CO82" i="8" s="1"/>
  <c r="CP82" i="8" s="1"/>
  <c r="CQ82" i="8"/>
  <c r="CR82" i="8"/>
  <c r="CS82" i="8" s="1"/>
  <c r="EW82" i="8"/>
  <c r="EX82" i="8"/>
  <c r="EY82" i="8"/>
  <c r="FC82" i="8"/>
  <c r="CF81" i="8"/>
  <c r="CG81" i="8"/>
  <c r="CH81" i="8"/>
  <c r="CI81" i="8"/>
  <c r="CJ81" i="8"/>
  <c r="CK81" i="8" s="1"/>
  <c r="CN81" i="8"/>
  <c r="CO81" i="8" s="1"/>
  <c r="CP81" i="8" s="1"/>
  <c r="CQ81" i="8"/>
  <c r="CR81" i="8"/>
  <c r="CS81" i="8" s="1"/>
  <c r="EW81" i="8"/>
  <c r="EX81" i="8"/>
  <c r="EY81" i="8"/>
  <c r="FC81" i="8"/>
  <c r="CF80" i="8"/>
  <c r="CG80" i="8"/>
  <c r="CH80" i="8"/>
  <c r="CI80" i="8"/>
  <c r="CJ80" i="8"/>
  <c r="CK80" i="8" s="1"/>
  <c r="CN80" i="8"/>
  <c r="CO80" i="8" s="1"/>
  <c r="CP80" i="8" s="1"/>
  <c r="CQ80" i="8"/>
  <c r="CR80" i="8"/>
  <c r="CS80" i="8" s="1"/>
  <c r="EW80" i="8"/>
  <c r="EX80" i="8"/>
  <c r="EY80" i="8"/>
  <c r="FC80" i="8"/>
  <c r="CF79" i="8"/>
  <c r="CG79" i="8"/>
  <c r="CH79" i="8"/>
  <c r="CI79" i="8"/>
  <c r="CJ79" i="8"/>
  <c r="CK79" i="8" s="1"/>
  <c r="CN79" i="8"/>
  <c r="CO79" i="8" s="1"/>
  <c r="CP79" i="8" s="1"/>
  <c r="CQ79" i="8"/>
  <c r="CR79" i="8"/>
  <c r="CS79" i="8" s="1"/>
  <c r="EW79" i="8"/>
  <c r="EX79" i="8"/>
  <c r="EY79" i="8"/>
  <c r="FC79" i="8"/>
  <c r="CF78" i="8"/>
  <c r="CG78" i="8"/>
  <c r="CH78" i="8"/>
  <c r="CI78" i="8"/>
  <c r="CJ78" i="8"/>
  <c r="CK78" i="8" s="1"/>
  <c r="CN78" i="8"/>
  <c r="CO78" i="8" s="1"/>
  <c r="CP78" i="8" s="1"/>
  <c r="CQ78" i="8"/>
  <c r="CR78" i="8"/>
  <c r="CS78" i="8" s="1"/>
  <c r="EW78" i="8"/>
  <c r="EX78" i="8"/>
  <c r="EY78" i="8"/>
  <c r="FC78" i="8"/>
  <c r="AY170" i="11"/>
  <c r="S170" i="11"/>
  <c r="R170" i="11"/>
  <c r="G138" i="21" s="1"/>
  <c r="H138" i="21" s="1"/>
  <c r="R172" i="11"/>
  <c r="G197" i="21" s="1"/>
  <c r="H197" i="21" s="1"/>
  <c r="AY172" i="11"/>
  <c r="S172" i="11" s="1"/>
  <c r="AV154" i="11"/>
  <c r="Q154" i="11"/>
  <c r="G134" i="21" s="1"/>
  <c r="H134" i="21" s="1"/>
  <c r="R154" i="11"/>
  <c r="AV152" i="11"/>
  <c r="R152" i="11"/>
  <c r="BJ22" i="19" s="1"/>
  <c r="AA22" i="19" s="1"/>
  <c r="K152" i="11"/>
  <c r="Q152" i="11"/>
  <c r="DR103" i="8"/>
  <c r="DW103" i="8" s="1"/>
  <c r="DX103" i="8" s="1"/>
  <c r="DS103" i="8"/>
  <c r="EE103" i="8" s="1"/>
  <c r="CB100" i="8"/>
  <c r="DQ100" i="8"/>
  <c r="R171" i="11"/>
  <c r="AY171" i="11"/>
  <c r="S171" i="11" s="1"/>
  <c r="I4" i="19"/>
  <c r="G106" i="21"/>
  <c r="H106" i="21" s="1"/>
  <c r="AH96" i="8"/>
  <c r="DW62" i="8"/>
  <c r="DX62" i="8" s="1"/>
  <c r="DS62" i="8"/>
  <c r="EE62" i="8" s="1"/>
  <c r="DW59" i="8"/>
  <c r="DX59" i="8" s="1"/>
  <c r="DS59" i="8"/>
  <c r="EE59" i="8" s="1"/>
  <c r="DW56" i="8"/>
  <c r="DX56" i="8" s="1"/>
  <c r="DS56" i="8"/>
  <c r="EE56" i="8" s="1"/>
  <c r="DW54" i="8"/>
  <c r="DX54" i="8" s="1"/>
  <c r="DS54" i="8"/>
  <c r="EE54" i="8" s="1"/>
  <c r="DW51" i="8"/>
  <c r="DX51" i="8" s="1"/>
  <c r="DS51" i="8"/>
  <c r="EE51" i="8" s="1"/>
  <c r="DW49" i="8"/>
  <c r="DX49" i="8" s="1"/>
  <c r="DS49" i="8"/>
  <c r="EE49" i="8" s="1"/>
  <c r="DW46" i="8"/>
  <c r="DX46" i="8" s="1"/>
  <c r="DS46" i="8"/>
  <c r="EE46" i="8" s="1"/>
  <c r="DW98" i="8"/>
  <c r="DX98" i="8" s="1"/>
  <c r="DS98" i="8"/>
  <c r="EE98" i="8" s="1"/>
  <c r="DW94" i="8"/>
  <c r="DX94" i="8" s="1"/>
  <c r="DS94" i="8"/>
  <c r="EE94" i="8" s="1"/>
  <c r="DW92" i="8"/>
  <c r="DX92" i="8" s="1"/>
  <c r="DS92" i="8"/>
  <c r="EE92" i="8" s="1"/>
  <c r="DW90" i="8"/>
  <c r="DX90" i="8" s="1"/>
  <c r="DS90" i="8"/>
  <c r="EE90" i="8" s="1"/>
  <c r="DW88" i="8"/>
  <c r="DX88" i="8" s="1"/>
  <c r="DS88" i="8"/>
  <c r="EE88" i="8" s="1"/>
  <c r="DW86" i="8"/>
  <c r="DX86" i="8" s="1"/>
  <c r="DS86" i="8"/>
  <c r="EE86" i="8" s="1"/>
  <c r="DW82" i="8"/>
  <c r="DX82" i="8" s="1"/>
  <c r="DS82" i="8"/>
  <c r="EE82" i="8" s="1"/>
  <c r="DW81" i="8"/>
  <c r="DX81" i="8" s="1"/>
  <c r="DS81" i="8"/>
  <c r="EE81" i="8" s="1"/>
  <c r="DW78" i="8"/>
  <c r="DX78" i="8" s="1"/>
  <c r="DS78" i="8"/>
  <c r="EE78" i="8" s="1"/>
  <c r="DW61" i="8"/>
  <c r="DX61" i="8" s="1"/>
  <c r="DS61" i="8"/>
  <c r="EE61" i="8" s="1"/>
  <c r="DW58" i="8"/>
  <c r="DX58" i="8" s="1"/>
  <c r="DS58" i="8"/>
  <c r="EE58" i="8" s="1"/>
  <c r="DW55" i="8"/>
  <c r="DX55" i="8" s="1"/>
  <c r="DS55" i="8"/>
  <c r="EE55" i="8" s="1"/>
  <c r="DW52" i="8"/>
  <c r="DX52" i="8" s="1"/>
  <c r="DS52" i="8"/>
  <c r="EE52" i="8" s="1"/>
  <c r="DW50" i="8"/>
  <c r="DX50" i="8" s="1"/>
  <c r="DS50" i="8"/>
  <c r="EE50" i="8" s="1"/>
  <c r="DW47" i="8"/>
  <c r="DX47" i="8" s="1"/>
  <c r="DS47" i="8"/>
  <c r="EE47" i="8" s="1"/>
  <c r="DW99" i="8"/>
  <c r="DX99" i="8" s="1"/>
  <c r="DS99" i="8"/>
  <c r="EE99" i="8" s="1"/>
  <c r="DW97" i="8"/>
  <c r="DX97" i="8" s="1"/>
  <c r="DS97" i="8"/>
  <c r="EE97" i="8" s="1"/>
  <c r="DW95" i="8"/>
  <c r="DX95" i="8" s="1"/>
  <c r="DS95" i="8"/>
  <c r="EE95" i="8" s="1"/>
  <c r="DW93" i="8"/>
  <c r="DX93" i="8" s="1"/>
  <c r="DS93" i="8"/>
  <c r="EE93" i="8" s="1"/>
  <c r="DW91" i="8"/>
  <c r="DX91" i="8" s="1"/>
  <c r="DS91" i="8"/>
  <c r="EE91" i="8" s="1"/>
  <c r="DW89" i="8"/>
  <c r="DX89" i="8" s="1"/>
  <c r="DS89" i="8"/>
  <c r="EE89" i="8" s="1"/>
  <c r="DW87" i="8"/>
  <c r="DX87" i="8" s="1"/>
  <c r="DS87" i="8"/>
  <c r="EE87" i="8" s="1"/>
  <c r="DW85" i="8"/>
  <c r="DX85" i="8" s="1"/>
  <c r="DS85" i="8"/>
  <c r="EE85" i="8" s="1"/>
  <c r="DW83" i="8"/>
  <c r="DX83" i="8" s="1"/>
  <c r="DS83" i="8"/>
  <c r="EE83" i="8" s="1"/>
  <c r="DW80" i="8"/>
  <c r="DX80" i="8" s="1"/>
  <c r="DS80" i="8"/>
  <c r="EE80" i="8" s="1"/>
  <c r="DW79" i="8"/>
  <c r="DX79" i="8" s="1"/>
  <c r="DS79" i="8"/>
  <c r="EE79" i="8" s="1"/>
  <c r="DW60" i="8"/>
  <c r="DX60" i="8" s="1"/>
  <c r="DS60" i="8"/>
  <c r="EE60" i="8" s="1"/>
  <c r="DW57" i="8"/>
  <c r="DX57" i="8" s="1"/>
  <c r="DS57" i="8"/>
  <c r="EE57" i="8" s="1"/>
  <c r="DW53" i="8"/>
  <c r="DX53" i="8" s="1"/>
  <c r="DS53" i="8"/>
  <c r="EE53" i="8" s="1"/>
  <c r="DW96" i="8"/>
  <c r="DX96" i="8" s="1"/>
  <c r="DS96" i="8"/>
  <c r="EE96" i="8" s="1"/>
  <c r="EM5" i="8" l="1"/>
  <c r="EL5" i="8"/>
  <c r="AB5" i="8"/>
  <c r="FJ5" i="8"/>
  <c r="CL5" i="8"/>
  <c r="CM5" i="8"/>
  <c r="CW5" i="8"/>
  <c r="CT5" i="8"/>
  <c r="CU5" i="8"/>
  <c r="EM6" i="8"/>
  <c r="EL6" i="8"/>
  <c r="AB6" i="8"/>
  <c r="FJ6" i="8"/>
  <c r="CL6" i="8"/>
  <c r="CM6" i="8"/>
  <c r="CW6" i="8"/>
  <c r="CT6" i="8"/>
  <c r="CU6" i="8"/>
  <c r="EM7" i="8"/>
  <c r="EL7" i="8"/>
  <c r="AB7" i="8"/>
  <c r="FJ7" i="8"/>
  <c r="CL7" i="8"/>
  <c r="CM7" i="8"/>
  <c r="CW7" i="8"/>
  <c r="CT7" i="8"/>
  <c r="CU7" i="8"/>
  <c r="EM8" i="8"/>
  <c r="EL8" i="8"/>
  <c r="AB8" i="8"/>
  <c r="FJ8" i="8"/>
  <c r="CL8" i="8"/>
  <c r="CM8" i="8"/>
  <c r="CW8" i="8"/>
  <c r="CT8" i="8"/>
  <c r="CU8" i="8"/>
  <c r="EM9" i="8"/>
  <c r="EL9" i="8"/>
  <c r="AB9" i="8"/>
  <c r="FJ9" i="8"/>
  <c r="CL9" i="8"/>
  <c r="CM9" i="8"/>
  <c r="CW9" i="8"/>
  <c r="CT9" i="8"/>
  <c r="CU9" i="8"/>
  <c r="EM10" i="8"/>
  <c r="EL10" i="8"/>
  <c r="AB10" i="8"/>
  <c r="FJ10" i="8"/>
  <c r="CL10" i="8"/>
  <c r="CM10" i="8"/>
  <c r="CW10" i="8"/>
  <c r="CT10" i="8"/>
  <c r="CU10" i="8"/>
  <c r="EM11" i="8"/>
  <c r="EL11" i="8"/>
  <c r="AB11" i="8"/>
  <c r="FJ11" i="8"/>
  <c r="CL11" i="8"/>
  <c r="CM11" i="8"/>
  <c r="CW11" i="8"/>
  <c r="CT11" i="8"/>
  <c r="CU11" i="8"/>
  <c r="EM12" i="8"/>
  <c r="EL12" i="8"/>
  <c r="AB12" i="8"/>
  <c r="FJ12" i="8"/>
  <c r="CL12" i="8"/>
  <c r="CM12" i="8"/>
  <c r="CW12" i="8"/>
  <c r="CT12" i="8"/>
  <c r="CU12" i="8"/>
  <c r="EM13" i="8"/>
  <c r="EL13" i="8"/>
  <c r="AB13" i="8"/>
  <c r="FJ13" i="8"/>
  <c r="CL13" i="8"/>
  <c r="CM13" i="8"/>
  <c r="CW13" i="8"/>
  <c r="CT13" i="8"/>
  <c r="CU13" i="8"/>
  <c r="EM14" i="8"/>
  <c r="EL14" i="8"/>
  <c r="AB14" i="8"/>
  <c r="FJ14" i="8"/>
  <c r="CL14" i="8"/>
  <c r="CM14" i="8"/>
  <c r="CW14" i="8"/>
  <c r="CT14" i="8"/>
  <c r="CU14" i="8"/>
  <c r="EM15" i="8"/>
  <c r="EL15" i="8"/>
  <c r="AB15" i="8"/>
  <c r="FJ15" i="8"/>
  <c r="CL15" i="8"/>
  <c r="CM15" i="8"/>
  <c r="CW15" i="8"/>
  <c r="CT15" i="8"/>
  <c r="CU15" i="8"/>
  <c r="EM16" i="8"/>
  <c r="EL16" i="8"/>
  <c r="AB16" i="8"/>
  <c r="FJ16" i="8"/>
  <c r="CL16" i="8"/>
  <c r="CM16" i="8"/>
  <c r="CW16" i="8"/>
  <c r="CT16" i="8"/>
  <c r="CU16" i="8"/>
  <c r="EM17" i="8"/>
  <c r="EL17" i="8"/>
  <c r="AB17" i="8"/>
  <c r="FJ17" i="8"/>
  <c r="CL17" i="8"/>
  <c r="CM17" i="8"/>
  <c r="CW17" i="8"/>
  <c r="CT17" i="8"/>
  <c r="CU17" i="8"/>
  <c r="EM18" i="8"/>
  <c r="EL18" i="8"/>
  <c r="AB18" i="8"/>
  <c r="FJ18" i="8"/>
  <c r="CL18" i="8"/>
  <c r="CM18" i="8"/>
  <c r="CW18" i="8"/>
  <c r="CT18" i="8"/>
  <c r="CU18" i="8"/>
  <c r="EM19" i="8"/>
  <c r="EL19" i="8"/>
  <c r="AB19" i="8"/>
  <c r="FJ19" i="8"/>
  <c r="CL19" i="8"/>
  <c r="CM19" i="8"/>
  <c r="CW19" i="8"/>
  <c r="CT19" i="8"/>
  <c r="CU19" i="8"/>
  <c r="EM20" i="8"/>
  <c r="EL20" i="8"/>
  <c r="AB20" i="8"/>
  <c r="FJ20" i="8"/>
  <c r="CL20" i="8"/>
  <c r="CM20" i="8"/>
  <c r="CW20" i="8"/>
  <c r="CT20" i="8"/>
  <c r="CU20" i="8"/>
  <c r="EM21" i="8"/>
  <c r="EL21" i="8"/>
  <c r="AB21" i="8"/>
  <c r="FJ21" i="8"/>
  <c r="CL21" i="8"/>
  <c r="CM21" i="8"/>
  <c r="CW21" i="8"/>
  <c r="CT21" i="8"/>
  <c r="CU21" i="8"/>
  <c r="EM22" i="8"/>
  <c r="EL22" i="8"/>
  <c r="AB22" i="8"/>
  <c r="FJ22" i="8"/>
  <c r="CL22" i="8"/>
  <c r="CM22" i="8"/>
  <c r="CW22" i="8"/>
  <c r="CT22" i="8"/>
  <c r="CU22" i="8"/>
  <c r="EM23" i="8"/>
  <c r="EL23" i="8"/>
  <c r="AB23" i="8"/>
  <c r="FJ23" i="8"/>
  <c r="CL23" i="8"/>
  <c r="CM23" i="8"/>
  <c r="CW23" i="8"/>
  <c r="CT23" i="8"/>
  <c r="CU23" i="8"/>
  <c r="EM24" i="8"/>
  <c r="EL24" i="8"/>
  <c r="AB24" i="8"/>
  <c r="FJ24" i="8"/>
  <c r="CL24" i="8"/>
  <c r="CM24" i="8"/>
  <c r="CW24" i="8"/>
  <c r="CT24" i="8"/>
  <c r="CU24" i="8"/>
  <c r="EM25" i="8"/>
  <c r="EL25" i="8"/>
  <c r="AB25" i="8"/>
  <c r="FJ25" i="8"/>
  <c r="CL25" i="8"/>
  <c r="CM25" i="8"/>
  <c r="CW25" i="8"/>
  <c r="CT25" i="8"/>
  <c r="CU25" i="8"/>
  <c r="EM26" i="8"/>
  <c r="EL26" i="8"/>
  <c r="AB26" i="8"/>
  <c r="FJ26" i="8"/>
  <c r="CL26" i="8"/>
  <c r="CM26" i="8"/>
  <c r="CW26" i="8"/>
  <c r="CT26" i="8"/>
  <c r="CU26" i="8"/>
  <c r="EM27" i="8"/>
  <c r="EL27" i="8"/>
  <c r="AB27" i="8"/>
  <c r="FJ27" i="8"/>
  <c r="CL27" i="8"/>
  <c r="CM27" i="8"/>
  <c r="CW27" i="8"/>
  <c r="CT27" i="8"/>
  <c r="CU27" i="8"/>
  <c r="EM28" i="8"/>
  <c r="EL28" i="8"/>
  <c r="AB28" i="8"/>
  <c r="FJ28" i="8"/>
  <c r="CL28" i="8"/>
  <c r="CM28" i="8"/>
  <c r="CW28" i="8"/>
  <c r="CT28" i="8"/>
  <c r="CU28" i="8"/>
  <c r="EM29" i="8"/>
  <c r="EL29" i="8"/>
  <c r="AB29" i="8"/>
  <c r="FJ29" i="8"/>
  <c r="CL29" i="8"/>
  <c r="CM29" i="8"/>
  <c r="CW29" i="8"/>
  <c r="CT29" i="8"/>
  <c r="CU29" i="8"/>
  <c r="EM30" i="8"/>
  <c r="EL30" i="8"/>
  <c r="AB30" i="8"/>
  <c r="FJ30" i="8"/>
  <c r="CL30" i="8"/>
  <c r="CM30" i="8"/>
  <c r="CW30" i="8"/>
  <c r="CT30" i="8"/>
  <c r="CU30" i="8"/>
  <c r="EM31" i="8"/>
  <c r="EL31" i="8"/>
  <c r="AB31" i="8"/>
  <c r="FJ31" i="8"/>
  <c r="CL31" i="8"/>
  <c r="CM31" i="8"/>
  <c r="CW31" i="8"/>
  <c r="CT31" i="8"/>
  <c r="CU31" i="8"/>
  <c r="EM32" i="8"/>
  <c r="EL32" i="8"/>
  <c r="AB32" i="8"/>
  <c r="FJ32" i="8"/>
  <c r="CL32" i="8"/>
  <c r="CM32" i="8"/>
  <c r="CW32" i="8"/>
  <c r="CT32" i="8"/>
  <c r="CU32" i="8"/>
  <c r="EM33" i="8"/>
  <c r="EL33" i="8"/>
  <c r="AB33" i="8"/>
  <c r="FJ33" i="8"/>
  <c r="CL33" i="8"/>
  <c r="CM33" i="8"/>
  <c r="CW33" i="8"/>
  <c r="CT33" i="8"/>
  <c r="CU33" i="8"/>
  <c r="EM34" i="8"/>
  <c r="EL34" i="8"/>
  <c r="AB34" i="8"/>
  <c r="FJ34" i="8"/>
  <c r="CL34" i="8"/>
  <c r="CM34" i="8"/>
  <c r="CW34" i="8"/>
  <c r="CT34" i="8"/>
  <c r="CU34" i="8"/>
  <c r="EM35" i="8"/>
  <c r="EL35" i="8"/>
  <c r="AB35" i="8"/>
  <c r="FJ35" i="8"/>
  <c r="CL35" i="8"/>
  <c r="CM35" i="8"/>
  <c r="CW35" i="8"/>
  <c r="CT35" i="8"/>
  <c r="CU35" i="8"/>
  <c r="EM36" i="8"/>
  <c r="EL36" i="8"/>
  <c r="AB36" i="8"/>
  <c r="FJ36" i="8"/>
  <c r="CL36" i="8"/>
  <c r="CM36" i="8"/>
  <c r="CW36" i="8"/>
  <c r="CT36" i="8"/>
  <c r="CU36" i="8"/>
  <c r="EM37" i="8"/>
  <c r="EL37" i="8"/>
  <c r="AB37" i="8"/>
  <c r="FJ37" i="8"/>
  <c r="CL37" i="8"/>
  <c r="CM37" i="8"/>
  <c r="CW37" i="8"/>
  <c r="CT37" i="8"/>
  <c r="CU37" i="8"/>
  <c r="EM38" i="8"/>
  <c r="EL38" i="8"/>
  <c r="AB38" i="8"/>
  <c r="FJ38" i="8"/>
  <c r="CL38" i="8"/>
  <c r="CM38" i="8"/>
  <c r="CW38" i="8"/>
  <c r="CT38" i="8"/>
  <c r="CU38" i="8"/>
  <c r="EM39" i="8"/>
  <c r="EL39" i="8"/>
  <c r="AB39" i="8"/>
  <c r="FJ39" i="8"/>
  <c r="CL39" i="8"/>
  <c r="CM39" i="8"/>
  <c r="CW39" i="8"/>
  <c r="CT39" i="8"/>
  <c r="CU39" i="8"/>
  <c r="EM40" i="8"/>
  <c r="EL40" i="8"/>
  <c r="AB40" i="8"/>
  <c r="FJ40" i="8"/>
  <c r="CL40" i="8"/>
  <c r="CM40" i="8"/>
  <c r="CW40" i="8"/>
  <c r="CT40" i="8"/>
  <c r="CU40" i="8"/>
  <c r="EM41" i="8"/>
  <c r="EL41" i="8"/>
  <c r="AB41" i="8"/>
  <c r="FJ41" i="8"/>
  <c r="CL41" i="8"/>
  <c r="CM41" i="8"/>
  <c r="CW41" i="8"/>
  <c r="CT41" i="8"/>
  <c r="CU41" i="8"/>
  <c r="EM42" i="8"/>
  <c r="EL42" i="8"/>
  <c r="AB42" i="8"/>
  <c r="FJ42" i="8"/>
  <c r="CL42" i="8"/>
  <c r="CM42" i="8"/>
  <c r="CW42" i="8"/>
  <c r="CT42" i="8"/>
  <c r="CU42" i="8"/>
  <c r="EM43" i="8"/>
  <c r="EL43" i="8"/>
  <c r="AB43" i="8"/>
  <c r="FJ43" i="8"/>
  <c r="CL43" i="8"/>
  <c r="CM43" i="8"/>
  <c r="CW43" i="8"/>
  <c r="CT43" i="8"/>
  <c r="CU43" i="8"/>
  <c r="EM44" i="8"/>
  <c r="EL44" i="8"/>
  <c r="AB44" i="8"/>
  <c r="FJ44" i="8"/>
  <c r="CL44" i="8"/>
  <c r="CM44" i="8"/>
  <c r="CW44" i="8"/>
  <c r="CT44" i="8"/>
  <c r="CU44" i="8"/>
  <c r="EW63" i="8"/>
  <c r="EX63" i="8"/>
  <c r="EY63" i="8"/>
  <c r="FC63" i="8"/>
  <c r="CF63" i="8"/>
  <c r="CI63" i="8"/>
  <c r="CJ63" i="8"/>
  <c r="CK63" i="8" s="1"/>
  <c r="CN63" i="8"/>
  <c r="CO63" i="8" s="1"/>
  <c r="CP63" i="8" s="1"/>
  <c r="CQ63" i="8"/>
  <c r="EW66" i="8"/>
  <c r="EX66" i="8"/>
  <c r="EY66" i="8"/>
  <c r="FC66" i="8"/>
  <c r="CF66" i="8"/>
  <c r="CI66" i="8"/>
  <c r="CJ66" i="8"/>
  <c r="CK66" i="8" s="1"/>
  <c r="CN66" i="8"/>
  <c r="CO66" i="8" s="1"/>
  <c r="CP66" i="8" s="1"/>
  <c r="CQ66" i="8"/>
  <c r="EW67" i="8"/>
  <c r="EX67" i="8"/>
  <c r="EY67" i="8"/>
  <c r="FC67" i="8"/>
  <c r="CF67" i="8"/>
  <c r="CI67" i="8"/>
  <c r="CJ67" i="8"/>
  <c r="CK67" i="8" s="1"/>
  <c r="CN67" i="8"/>
  <c r="CO67" i="8" s="1"/>
  <c r="CP67" i="8" s="1"/>
  <c r="CQ67" i="8"/>
  <c r="EW74" i="8"/>
  <c r="EX74" i="8"/>
  <c r="EY74" i="8"/>
  <c r="FC74" i="8"/>
  <c r="CF74" i="8"/>
  <c r="CG74" i="8"/>
  <c r="CH74" i="8"/>
  <c r="CR74" i="8" s="1"/>
  <c r="CI74" i="8"/>
  <c r="CJ74" i="8"/>
  <c r="CK74" i="8" s="1"/>
  <c r="CN74" i="8"/>
  <c r="CO74" i="8" s="1"/>
  <c r="CP74" i="8" s="1"/>
  <c r="CQ74" i="8"/>
  <c r="EW84" i="8"/>
  <c r="EX84" i="8"/>
  <c r="EY84" i="8"/>
  <c r="FC84" i="8"/>
  <c r="CF84" i="8"/>
  <c r="CH84" i="8" s="1"/>
  <c r="CG84" i="8"/>
  <c r="CI84" i="8"/>
  <c r="CJ84" i="8"/>
  <c r="CK84" i="8" s="1"/>
  <c r="CN84" i="8"/>
  <c r="CO84" i="8" s="1"/>
  <c r="CP84" i="8" s="1"/>
  <c r="CQ84" i="8"/>
  <c r="EW101" i="8"/>
  <c r="EX101" i="8"/>
  <c r="EY101" i="8"/>
  <c r="FC101" i="8"/>
  <c r="CF101" i="8"/>
  <c r="CI101" i="8"/>
  <c r="CJ101" i="8"/>
  <c r="CN101" i="8"/>
  <c r="CO101" i="8" s="1"/>
  <c r="CP101" i="8" s="1"/>
  <c r="CQ101" i="8"/>
  <c r="EW102" i="8"/>
  <c r="FC102" i="8" s="1"/>
  <c r="EX102" i="8"/>
  <c r="EY102" i="8"/>
  <c r="CF102" i="8"/>
  <c r="CI102" i="8"/>
  <c r="CJ102" i="8"/>
  <c r="CK102" i="8" s="1"/>
  <c r="CN102" i="8"/>
  <c r="CO102" i="8" s="1"/>
  <c r="CP102" i="8" s="1"/>
  <c r="CQ102" i="8"/>
  <c r="EW48" i="8"/>
  <c r="EX48" i="8"/>
  <c r="EY48" i="8"/>
  <c r="FC48" i="8"/>
  <c r="CF48" i="8"/>
  <c r="CI48" i="8"/>
  <c r="CJ48" i="8"/>
  <c r="CK48" i="8" s="1"/>
  <c r="CN48" i="8"/>
  <c r="CO48" i="8" s="1"/>
  <c r="CP48" i="8" s="1"/>
  <c r="CQ48" i="8"/>
  <c r="CF76" i="8"/>
  <c r="CG76" i="8"/>
  <c r="CH76" i="8"/>
  <c r="CI76" i="8"/>
  <c r="CJ76" i="8"/>
  <c r="CK76" i="8" s="1"/>
  <c r="CN76" i="8"/>
  <c r="CO76" i="8" s="1"/>
  <c r="CP76" i="8" s="1"/>
  <c r="CQ76" i="8"/>
  <c r="CR76" i="8"/>
  <c r="CS76" i="8" s="1"/>
  <c r="EW76" i="8"/>
  <c r="EX76" i="8"/>
  <c r="EY76" i="8"/>
  <c r="FC76" i="8"/>
  <c r="CF75" i="8"/>
  <c r="CG75" i="8"/>
  <c r="CH75" i="8"/>
  <c r="CI75" i="8"/>
  <c r="CJ75" i="8"/>
  <c r="CK75" i="8" s="1"/>
  <c r="CN75" i="8"/>
  <c r="CO75" i="8" s="1"/>
  <c r="CP75" i="8" s="1"/>
  <c r="CQ75" i="8"/>
  <c r="CR75" i="8"/>
  <c r="CS75" i="8" s="1"/>
  <c r="EW75" i="8"/>
  <c r="EX75" i="8"/>
  <c r="EY75" i="8"/>
  <c r="FC75" i="8"/>
  <c r="CF73" i="8"/>
  <c r="CG73" i="8"/>
  <c r="CH73" i="8"/>
  <c r="CI73" i="8"/>
  <c r="CJ73" i="8"/>
  <c r="CK73" i="8" s="1"/>
  <c r="CN73" i="8"/>
  <c r="CO73" i="8" s="1"/>
  <c r="CP73" i="8" s="1"/>
  <c r="CQ73" i="8"/>
  <c r="CR73" i="8"/>
  <c r="CS73" i="8" s="1"/>
  <c r="EW73" i="8"/>
  <c r="EX73" i="8"/>
  <c r="EY73" i="8"/>
  <c r="FC73" i="8"/>
  <c r="CF72" i="8"/>
  <c r="CG72" i="8"/>
  <c r="CH72" i="8"/>
  <c r="CI72" i="8"/>
  <c r="CJ72" i="8"/>
  <c r="CK72" i="8" s="1"/>
  <c r="CN72" i="8"/>
  <c r="CO72" i="8" s="1"/>
  <c r="CP72" i="8" s="1"/>
  <c r="CQ72" i="8"/>
  <c r="CR72" i="8"/>
  <c r="CS72" i="8" s="1"/>
  <c r="EW72" i="8"/>
  <c r="EX72" i="8"/>
  <c r="EY72" i="8"/>
  <c r="FC72" i="8"/>
  <c r="CF71" i="8"/>
  <c r="CG71" i="8"/>
  <c r="CH71" i="8"/>
  <c r="CI71" i="8"/>
  <c r="CJ71" i="8"/>
  <c r="CK71" i="8" s="1"/>
  <c r="CN71" i="8"/>
  <c r="CO71" i="8" s="1"/>
  <c r="CP71" i="8" s="1"/>
  <c r="CQ71" i="8"/>
  <c r="CR71" i="8"/>
  <c r="CS71" i="8" s="1"/>
  <c r="EW71" i="8"/>
  <c r="EX71" i="8"/>
  <c r="EY71" i="8"/>
  <c r="FC71" i="8"/>
  <c r="CF70" i="8"/>
  <c r="CG70" i="8"/>
  <c r="CH70" i="8"/>
  <c r="CI70" i="8"/>
  <c r="CJ70" i="8"/>
  <c r="CK70" i="8" s="1"/>
  <c r="CN70" i="8"/>
  <c r="CO70" i="8" s="1"/>
  <c r="CP70" i="8" s="1"/>
  <c r="CQ70" i="8"/>
  <c r="CR70" i="8"/>
  <c r="CS70" i="8" s="1"/>
  <c r="EW70" i="8"/>
  <c r="EX70" i="8"/>
  <c r="EY70" i="8"/>
  <c r="FC70" i="8"/>
  <c r="CF69" i="8"/>
  <c r="CG69" i="8"/>
  <c r="CH69" i="8"/>
  <c r="CI69" i="8"/>
  <c r="CJ69" i="8"/>
  <c r="CK69" i="8" s="1"/>
  <c r="CN69" i="8"/>
  <c r="CO69" i="8" s="1"/>
  <c r="CP69" i="8" s="1"/>
  <c r="CQ69" i="8"/>
  <c r="CR69" i="8"/>
  <c r="CS69" i="8" s="1"/>
  <c r="EW69" i="8"/>
  <c r="EX69" i="8"/>
  <c r="EY69" i="8"/>
  <c r="FC69" i="8"/>
  <c r="CF68" i="8"/>
  <c r="CG68" i="8"/>
  <c r="CH68" i="8"/>
  <c r="CI68" i="8"/>
  <c r="CJ68" i="8"/>
  <c r="CK68" i="8" s="1"/>
  <c r="CN68" i="8"/>
  <c r="CO68" i="8" s="1"/>
  <c r="CP68" i="8" s="1"/>
  <c r="CQ68" i="8"/>
  <c r="CR68" i="8"/>
  <c r="CS68" i="8" s="1"/>
  <c r="EW68" i="8"/>
  <c r="EX68" i="8"/>
  <c r="EY68" i="8"/>
  <c r="FC68" i="8"/>
  <c r="CF65" i="8"/>
  <c r="CG65" i="8"/>
  <c r="CH65" i="8"/>
  <c r="CI65" i="8"/>
  <c r="CJ65" i="8"/>
  <c r="CK65" i="8" s="1"/>
  <c r="CN65" i="8"/>
  <c r="CO65" i="8" s="1"/>
  <c r="CP65" i="8" s="1"/>
  <c r="CQ65" i="8"/>
  <c r="CR65" i="8"/>
  <c r="CS65" i="8" s="1"/>
  <c r="EW65" i="8"/>
  <c r="EX65" i="8"/>
  <c r="EY65" i="8"/>
  <c r="FC65" i="8"/>
  <c r="CF64" i="8"/>
  <c r="CG64" i="8"/>
  <c r="CH64" i="8"/>
  <c r="CI64" i="8"/>
  <c r="CJ64" i="8"/>
  <c r="CK64" i="8" s="1"/>
  <c r="CN64" i="8"/>
  <c r="CO64" i="8" s="1"/>
  <c r="CP64" i="8" s="1"/>
  <c r="CQ64" i="8"/>
  <c r="CR64" i="8"/>
  <c r="CS64" i="8" s="1"/>
  <c r="EW64" i="8"/>
  <c r="EX64" i="8"/>
  <c r="EY64" i="8"/>
  <c r="FC64" i="8"/>
  <c r="CL62" i="8"/>
  <c r="CM62" i="8"/>
  <c r="CW62" i="8"/>
  <c r="CT62" i="8"/>
  <c r="CU62" i="8"/>
  <c r="CL61" i="8"/>
  <c r="CM61" i="8"/>
  <c r="CW61" i="8"/>
  <c r="CT61" i="8"/>
  <c r="CU61" i="8"/>
  <c r="CL60" i="8"/>
  <c r="CM60" i="8"/>
  <c r="CW60" i="8"/>
  <c r="CT60" i="8"/>
  <c r="CU60" i="8"/>
  <c r="CL59" i="8"/>
  <c r="CM59" i="8"/>
  <c r="CW59" i="8"/>
  <c r="CT59" i="8"/>
  <c r="CU59" i="8"/>
  <c r="CL58" i="8"/>
  <c r="CM58" i="8"/>
  <c r="CW58" i="8"/>
  <c r="CT58" i="8"/>
  <c r="CU58" i="8"/>
  <c r="CL57" i="8"/>
  <c r="CM57" i="8"/>
  <c r="CW57" i="8"/>
  <c r="CT57" i="8"/>
  <c r="CU57" i="8"/>
  <c r="CL56" i="8"/>
  <c r="CM56" i="8"/>
  <c r="CW56" i="8"/>
  <c r="CT56" i="8"/>
  <c r="CU56" i="8"/>
  <c r="CL55" i="8"/>
  <c r="CM55" i="8"/>
  <c r="CW55" i="8"/>
  <c r="CT55" i="8"/>
  <c r="CU55" i="8"/>
  <c r="CL54" i="8"/>
  <c r="CM54" i="8"/>
  <c r="CW54" i="8"/>
  <c r="CT54" i="8"/>
  <c r="CU54" i="8"/>
  <c r="CL53" i="8"/>
  <c r="CM53" i="8"/>
  <c r="CW53" i="8"/>
  <c r="CT53" i="8"/>
  <c r="CU53" i="8"/>
  <c r="CL52" i="8"/>
  <c r="CM52" i="8"/>
  <c r="CW52" i="8"/>
  <c r="CT52" i="8"/>
  <c r="CU52" i="8"/>
  <c r="CL51" i="8"/>
  <c r="CM51" i="8"/>
  <c r="CW51" i="8"/>
  <c r="CT51" i="8"/>
  <c r="CU51" i="8"/>
  <c r="CL50" i="8"/>
  <c r="CM50" i="8"/>
  <c r="CW50" i="8"/>
  <c r="CT50" i="8"/>
  <c r="CU50" i="8"/>
  <c r="CL49" i="8"/>
  <c r="CM49" i="8"/>
  <c r="CW49" i="8"/>
  <c r="CT49" i="8"/>
  <c r="CU49" i="8"/>
  <c r="CL47" i="8"/>
  <c r="CM47" i="8"/>
  <c r="CW47" i="8"/>
  <c r="CT47" i="8"/>
  <c r="CU47" i="8"/>
  <c r="CL46" i="8"/>
  <c r="CM46" i="8"/>
  <c r="CW46" i="8"/>
  <c r="CT46" i="8"/>
  <c r="CU46" i="8"/>
  <c r="CL103" i="8"/>
  <c r="CM103" i="8"/>
  <c r="CW103" i="8"/>
  <c r="CT103" i="8"/>
  <c r="CU103" i="8"/>
  <c r="CL99" i="8"/>
  <c r="CM99" i="8"/>
  <c r="CW99" i="8"/>
  <c r="CT99" i="8"/>
  <c r="CU99" i="8"/>
  <c r="CL98" i="8"/>
  <c r="CM98" i="8"/>
  <c r="CW98" i="8"/>
  <c r="CT98" i="8"/>
  <c r="CU98" i="8"/>
  <c r="CL97" i="8"/>
  <c r="CM97" i="8"/>
  <c r="CW97" i="8"/>
  <c r="CT97" i="8"/>
  <c r="CU97" i="8"/>
  <c r="CL95" i="8"/>
  <c r="CM95" i="8"/>
  <c r="CW95" i="8"/>
  <c r="CT95" i="8"/>
  <c r="CU95" i="8"/>
  <c r="CL94" i="8"/>
  <c r="CM94" i="8"/>
  <c r="CW94" i="8"/>
  <c r="CT94" i="8"/>
  <c r="CU94" i="8"/>
  <c r="CL93" i="8"/>
  <c r="CM93" i="8"/>
  <c r="CW93" i="8"/>
  <c r="CT93" i="8"/>
  <c r="CU93" i="8"/>
  <c r="CL92" i="8"/>
  <c r="CM92" i="8"/>
  <c r="CW92" i="8"/>
  <c r="CT92" i="8"/>
  <c r="CU92" i="8"/>
  <c r="CL91" i="8"/>
  <c r="CM91" i="8"/>
  <c r="CW91" i="8"/>
  <c r="CT91" i="8"/>
  <c r="CU91" i="8"/>
  <c r="CL90" i="8"/>
  <c r="CM90" i="8"/>
  <c r="CW90" i="8"/>
  <c r="CT90" i="8"/>
  <c r="CU90" i="8"/>
  <c r="CL89" i="8"/>
  <c r="CM89" i="8"/>
  <c r="CW89" i="8"/>
  <c r="CT89" i="8"/>
  <c r="CU89" i="8"/>
  <c r="CL88" i="8"/>
  <c r="CM88" i="8"/>
  <c r="CW88" i="8"/>
  <c r="CT88" i="8"/>
  <c r="CU88" i="8"/>
  <c r="CL87" i="8"/>
  <c r="CM87" i="8"/>
  <c r="CW87" i="8"/>
  <c r="CT87" i="8"/>
  <c r="CU87" i="8"/>
  <c r="CL86" i="8"/>
  <c r="CM86" i="8"/>
  <c r="CW86" i="8"/>
  <c r="CT86" i="8"/>
  <c r="CU86" i="8"/>
  <c r="CL85" i="8"/>
  <c r="CM85" i="8"/>
  <c r="CW85" i="8"/>
  <c r="CT85" i="8"/>
  <c r="CU85" i="8"/>
  <c r="CL83" i="8"/>
  <c r="CM83" i="8"/>
  <c r="CW83" i="8"/>
  <c r="CT83" i="8"/>
  <c r="CU83" i="8"/>
  <c r="CL82" i="8"/>
  <c r="CM82" i="8"/>
  <c r="CW82" i="8"/>
  <c r="CT82" i="8"/>
  <c r="CU82" i="8"/>
  <c r="CL81" i="8"/>
  <c r="CM81" i="8"/>
  <c r="CW81" i="8"/>
  <c r="CT81" i="8"/>
  <c r="CU81" i="8"/>
  <c r="CL80" i="8"/>
  <c r="CM80" i="8"/>
  <c r="CW80" i="8"/>
  <c r="CT80" i="8"/>
  <c r="CU80" i="8"/>
  <c r="CL79" i="8"/>
  <c r="CM79" i="8"/>
  <c r="CW79" i="8"/>
  <c r="CT79" i="8"/>
  <c r="CU79" i="8"/>
  <c r="CL78" i="8"/>
  <c r="CM78" i="8"/>
  <c r="CW78" i="8"/>
  <c r="CT78" i="8"/>
  <c r="CU78" i="8"/>
  <c r="U170" i="11"/>
  <c r="P170" i="11"/>
  <c r="W170" i="11"/>
  <c r="M170" i="11"/>
  <c r="Q170" i="11" s="1"/>
  <c r="G136" i="21" s="1"/>
  <c r="H136" i="21" s="1"/>
  <c r="L170" i="11"/>
  <c r="W172" i="11"/>
  <c r="M172" i="11"/>
  <c r="Q172" i="11" s="1"/>
  <c r="G195" i="21" s="1"/>
  <c r="H195" i="21" s="1"/>
  <c r="L172" i="11"/>
  <c r="U172" i="11"/>
  <c r="P172" i="11"/>
  <c r="M154" i="11"/>
  <c r="P154" i="11"/>
  <c r="V154" i="11"/>
  <c r="N154" i="11"/>
  <c r="P152" i="11"/>
  <c r="L152" i="11"/>
  <c r="AV22" i="19" s="1"/>
  <c r="M22" i="19" s="1"/>
  <c r="M152" i="11"/>
  <c r="V152" i="11"/>
  <c r="N152" i="11"/>
  <c r="U152" i="11"/>
  <c r="BE22" i="19" s="1"/>
  <c r="V22" i="19" s="1"/>
  <c r="E67" i="18"/>
  <c r="K28" i="20"/>
  <c r="G67" i="18"/>
  <c r="BI22" i="19"/>
  <c r="Z22" i="19" s="1"/>
  <c r="J28" i="20"/>
  <c r="L28" i="20" s="1"/>
  <c r="EA103" i="8"/>
  <c r="EG103" i="8"/>
  <c r="DZ103" i="8"/>
  <c r="EB103" i="8"/>
  <c r="EC103" i="8"/>
  <c r="EP103" i="8"/>
  <c r="EO103" i="8"/>
  <c r="CE100" i="8"/>
  <c r="CD100" i="8"/>
  <c r="CC100" i="8"/>
  <c r="DR100" i="8"/>
  <c r="W171" i="11"/>
  <c r="U171" i="11"/>
  <c r="P171" i="11"/>
  <c r="M171" i="11"/>
  <c r="Q171" i="11" s="1"/>
  <c r="L171" i="11"/>
  <c r="EG62" i="8"/>
  <c r="EC62" i="8"/>
  <c r="EB62" i="8"/>
  <c r="EA62" i="8"/>
  <c r="DZ62" i="8"/>
  <c r="EO62" i="8"/>
  <c r="EP62" i="8"/>
  <c r="EG59" i="8"/>
  <c r="EC59" i="8"/>
  <c r="EB59" i="8"/>
  <c r="EA59" i="8"/>
  <c r="DZ59" i="8"/>
  <c r="EO59" i="8"/>
  <c r="EP59" i="8"/>
  <c r="EO56" i="8"/>
  <c r="EP56" i="8"/>
  <c r="EG56" i="8"/>
  <c r="EC56" i="8"/>
  <c r="EB56" i="8"/>
  <c r="EA56" i="8"/>
  <c r="DZ56" i="8"/>
  <c r="EO54" i="8"/>
  <c r="EP54" i="8"/>
  <c r="EG54" i="8"/>
  <c r="EC54" i="8"/>
  <c r="EB54" i="8"/>
  <c r="EA54" i="8"/>
  <c r="DZ54" i="8"/>
  <c r="EO51" i="8"/>
  <c r="EP51" i="8"/>
  <c r="EG51" i="8"/>
  <c r="EC51" i="8"/>
  <c r="EB51" i="8"/>
  <c r="EA51" i="8"/>
  <c r="DZ51" i="8"/>
  <c r="EO49" i="8"/>
  <c r="EP49" i="8"/>
  <c r="EG49" i="8"/>
  <c r="EC49" i="8"/>
  <c r="EB49" i="8"/>
  <c r="EA49" i="8"/>
  <c r="DZ49" i="8"/>
  <c r="EO46" i="8"/>
  <c r="EP46" i="8"/>
  <c r="DZ46" i="8"/>
  <c r="EA46" i="8"/>
  <c r="EB46" i="8"/>
  <c r="EC46" i="8"/>
  <c r="EG46" i="8"/>
  <c r="EO98" i="8"/>
  <c r="EP98" i="8"/>
  <c r="EC98" i="8"/>
  <c r="EB98" i="8"/>
  <c r="DZ98" i="8"/>
  <c r="EG98" i="8"/>
  <c r="EA98" i="8"/>
  <c r="EO94" i="8"/>
  <c r="EP94" i="8"/>
  <c r="EC94" i="8"/>
  <c r="EA94" i="8"/>
  <c r="EG94" i="8"/>
  <c r="EB94" i="8"/>
  <c r="DZ94" i="8"/>
  <c r="EO92" i="8"/>
  <c r="EP92" i="8"/>
  <c r="EC92" i="8"/>
  <c r="EB92" i="8"/>
  <c r="DZ92" i="8"/>
  <c r="EG92" i="8"/>
  <c r="EA92" i="8"/>
  <c r="EO90" i="8"/>
  <c r="EP90" i="8"/>
  <c r="EC90" i="8"/>
  <c r="EB90" i="8"/>
  <c r="DZ90" i="8"/>
  <c r="EG90" i="8"/>
  <c r="EA90" i="8"/>
  <c r="EO88" i="8"/>
  <c r="EP88" i="8"/>
  <c r="EC88" i="8"/>
  <c r="EB88" i="8"/>
  <c r="DZ88" i="8"/>
  <c r="EG88" i="8"/>
  <c r="EA88" i="8"/>
  <c r="EO86" i="8"/>
  <c r="EP86" i="8"/>
  <c r="EC86" i="8"/>
  <c r="EB86" i="8"/>
  <c r="DZ86" i="8"/>
  <c r="EG86" i="8"/>
  <c r="EA86" i="8"/>
  <c r="EO82" i="8"/>
  <c r="EP82" i="8"/>
  <c r="EG82" i="8"/>
  <c r="EA82" i="8"/>
  <c r="EC82" i="8"/>
  <c r="EB82" i="8"/>
  <c r="DZ82" i="8"/>
  <c r="EO81" i="8"/>
  <c r="EP81" i="8"/>
  <c r="EC81" i="8"/>
  <c r="EB81" i="8"/>
  <c r="DZ81" i="8"/>
  <c r="EG81" i="8"/>
  <c r="EA81" i="8"/>
  <c r="EP78" i="8"/>
  <c r="EO78" i="8"/>
  <c r="EC78" i="8"/>
  <c r="EB78" i="8"/>
  <c r="DZ78" i="8"/>
  <c r="EG78" i="8"/>
  <c r="EA78" i="8"/>
  <c r="EO61" i="8"/>
  <c r="EP61" i="8"/>
  <c r="EG61" i="8"/>
  <c r="EC61" i="8"/>
  <c r="EB61" i="8"/>
  <c r="EA61" i="8"/>
  <c r="DZ61" i="8"/>
  <c r="EO58" i="8"/>
  <c r="EP58" i="8"/>
  <c r="EG58" i="8"/>
  <c r="EC58" i="8"/>
  <c r="EB58" i="8"/>
  <c r="EA58" i="8"/>
  <c r="DZ58" i="8"/>
  <c r="EG55" i="8"/>
  <c r="EC55" i="8"/>
  <c r="EB55" i="8"/>
  <c r="EA55" i="8"/>
  <c r="DZ55" i="8"/>
  <c r="EO55" i="8"/>
  <c r="EP55" i="8"/>
  <c r="EO52" i="8"/>
  <c r="EP52" i="8"/>
  <c r="EG52" i="8"/>
  <c r="EC52" i="8"/>
  <c r="EB52" i="8"/>
  <c r="EA52" i="8"/>
  <c r="DZ52" i="8"/>
  <c r="EO50" i="8"/>
  <c r="EP50" i="8"/>
  <c r="EG50" i="8"/>
  <c r="EC50" i="8"/>
  <c r="EB50" i="8"/>
  <c r="EA50" i="8"/>
  <c r="DZ50" i="8"/>
  <c r="EO47" i="8"/>
  <c r="EP47" i="8"/>
  <c r="EG47" i="8"/>
  <c r="EC47" i="8"/>
  <c r="EB47" i="8"/>
  <c r="EA47" i="8"/>
  <c r="DZ47" i="8"/>
  <c r="EO99" i="8"/>
  <c r="EP99" i="8"/>
  <c r="EC99" i="8"/>
  <c r="EB99" i="8"/>
  <c r="DZ99" i="8"/>
  <c r="EG99" i="8"/>
  <c r="EA99" i="8"/>
  <c r="EO97" i="8"/>
  <c r="EP97" i="8"/>
  <c r="EG97" i="8"/>
  <c r="DZ97" i="8"/>
  <c r="EC97" i="8"/>
  <c r="EB97" i="8"/>
  <c r="EA97" i="8"/>
  <c r="EO95" i="8"/>
  <c r="EP95" i="8"/>
  <c r="EC95" i="8"/>
  <c r="EB95" i="8"/>
  <c r="DZ95" i="8"/>
  <c r="EG95" i="8"/>
  <c r="EA95" i="8"/>
  <c r="EO93" i="8"/>
  <c r="EP93" i="8"/>
  <c r="EC93" i="8"/>
  <c r="EB93" i="8"/>
  <c r="DZ93" i="8"/>
  <c r="EG93" i="8"/>
  <c r="EA93" i="8"/>
  <c r="EO91" i="8"/>
  <c r="EP91" i="8"/>
  <c r="EC91" i="8"/>
  <c r="EB91" i="8"/>
  <c r="DZ91" i="8"/>
  <c r="EG91" i="8"/>
  <c r="EA91" i="8"/>
  <c r="EO89" i="8"/>
  <c r="EP89" i="8"/>
  <c r="EC89" i="8"/>
  <c r="EB89" i="8"/>
  <c r="DZ89" i="8"/>
  <c r="EA89" i="8"/>
  <c r="EF89" i="8"/>
  <c r="EO87" i="8"/>
  <c r="EP87" i="8"/>
  <c r="EC87" i="8"/>
  <c r="EB87" i="8"/>
  <c r="DZ87" i="8"/>
  <c r="EG87" i="8"/>
  <c r="EA87" i="8"/>
  <c r="EO85" i="8"/>
  <c r="EP85" i="8"/>
  <c r="EG85" i="8"/>
  <c r="EB85" i="8"/>
  <c r="DZ85" i="8"/>
  <c r="EC85" i="8"/>
  <c r="EA85" i="8"/>
  <c r="EO83" i="8"/>
  <c r="EP83" i="8"/>
  <c r="EG83" i="8"/>
  <c r="EB83" i="8"/>
  <c r="DZ83" i="8"/>
  <c r="EC83" i="8"/>
  <c r="EA83" i="8"/>
  <c r="EO80" i="8"/>
  <c r="EP80" i="8"/>
  <c r="EG80" i="8"/>
  <c r="DZ80" i="8"/>
  <c r="EC80" i="8"/>
  <c r="EB80" i="8"/>
  <c r="EA80" i="8"/>
  <c r="EP79" i="8"/>
  <c r="EO79" i="8"/>
  <c r="EC79" i="8"/>
  <c r="EA79" i="8"/>
  <c r="EG79" i="8"/>
  <c r="EB79" i="8"/>
  <c r="DZ79" i="8"/>
  <c r="EO60" i="8"/>
  <c r="EP60" i="8"/>
  <c r="EG60" i="8"/>
  <c r="EC60" i="8"/>
  <c r="EB60" i="8"/>
  <c r="EA60" i="8"/>
  <c r="DZ60" i="8"/>
  <c r="EG57" i="8"/>
  <c r="EC57" i="8"/>
  <c r="EB57" i="8"/>
  <c r="EA57" i="8"/>
  <c r="DZ57" i="8"/>
  <c r="EO57" i="8"/>
  <c r="EP57" i="8"/>
  <c r="EO53" i="8"/>
  <c r="EP53" i="8"/>
  <c r="EG53" i="8"/>
  <c r="EC53" i="8"/>
  <c r="EB53" i="8"/>
  <c r="EA53" i="8"/>
  <c r="DZ53" i="8"/>
  <c r="EO96" i="8"/>
  <c r="EP96" i="8"/>
  <c r="EC96" i="8"/>
  <c r="EA96" i="8"/>
  <c r="EG96" i="8"/>
  <c r="EB96" i="8"/>
  <c r="DZ96" i="8"/>
  <c r="FD5" i="8"/>
  <c r="FE5" i="8"/>
  <c r="FD6" i="8"/>
  <c r="FE6" i="8"/>
  <c r="FD7" i="8"/>
  <c r="FE7" i="8"/>
  <c r="FD8" i="8"/>
  <c r="FE8" i="8"/>
  <c r="FD9" i="8"/>
  <c r="FE9" i="8"/>
  <c r="FD10" i="8"/>
  <c r="FE10" i="8"/>
  <c r="FD11" i="8"/>
  <c r="FE11" i="8"/>
  <c r="FD12" i="8"/>
  <c r="FE12" i="8"/>
  <c r="FD13" i="8"/>
  <c r="FE13" i="8"/>
  <c r="FE15" i="8"/>
  <c r="FD15" i="8"/>
  <c r="FE16" i="8"/>
  <c r="FD16" i="8"/>
  <c r="FE17" i="8"/>
  <c r="FD17" i="8"/>
  <c r="FD18" i="8"/>
  <c r="FE18" i="8"/>
  <c r="FD19" i="8"/>
  <c r="FE19" i="8"/>
  <c r="FD20" i="8"/>
  <c r="FE20" i="8"/>
  <c r="FD21" i="8"/>
  <c r="FE21" i="8"/>
  <c r="FE22" i="8"/>
  <c r="FD22" i="8"/>
  <c r="FD23" i="8"/>
  <c r="FE23" i="8"/>
  <c r="FD24" i="8"/>
  <c r="FE24" i="8"/>
  <c r="FD25" i="8"/>
  <c r="FE25" i="8"/>
  <c r="FD26" i="8"/>
  <c r="FE26" i="8"/>
  <c r="FE27" i="8"/>
  <c r="FD27" i="8"/>
  <c r="FD28" i="8"/>
  <c r="FE28" i="8"/>
  <c r="FD29" i="8"/>
  <c r="FE29" i="8"/>
  <c r="FD30" i="8"/>
  <c r="FE30" i="8"/>
  <c r="FD31" i="8"/>
  <c r="FE31" i="8"/>
  <c r="FD32" i="8"/>
  <c r="FE32" i="8"/>
  <c r="FE33" i="8"/>
  <c r="FD33" i="8"/>
  <c r="FD34" i="8"/>
  <c r="FE34" i="8"/>
  <c r="FD35" i="8"/>
  <c r="FE35" i="8"/>
  <c r="FE36" i="8"/>
  <c r="FD36" i="8"/>
  <c r="FD37" i="8"/>
  <c r="FE37" i="8"/>
  <c r="FE38" i="8"/>
  <c r="FD38" i="8"/>
  <c r="FD39" i="8"/>
  <c r="FE39" i="8"/>
  <c r="FD40" i="8"/>
  <c r="FE40" i="8"/>
  <c r="FE41" i="8"/>
  <c r="FD41" i="8"/>
  <c r="FD42" i="8"/>
  <c r="FE42" i="8"/>
  <c r="FE43" i="8"/>
  <c r="FD43" i="8"/>
  <c r="FD44" i="8"/>
  <c r="FE44" i="8"/>
  <c r="K173" i="11"/>
  <c r="J173" i="11"/>
  <c r="G196" i="21"/>
  <c r="H196" i="21" s="1"/>
  <c r="DW76" i="8"/>
  <c r="DX76" i="8" s="1"/>
  <c r="DS76" i="8"/>
  <c r="EE76" i="8" s="1"/>
  <c r="DW75" i="8"/>
  <c r="DX75" i="8" s="1"/>
  <c r="DS75" i="8"/>
  <c r="EE75" i="8" s="1"/>
  <c r="DW73" i="8"/>
  <c r="DX73" i="8" s="1"/>
  <c r="DS73" i="8"/>
  <c r="EE73" i="8" s="1"/>
  <c r="DW72" i="8"/>
  <c r="DX72" i="8" s="1"/>
  <c r="DS72" i="8"/>
  <c r="EE72" i="8" s="1"/>
  <c r="DW71" i="8"/>
  <c r="DX71" i="8" s="1"/>
  <c r="DS71" i="8"/>
  <c r="EE71" i="8" s="1"/>
  <c r="DW70" i="8"/>
  <c r="DX70" i="8" s="1"/>
  <c r="DS70" i="8"/>
  <c r="EE70" i="8" s="1"/>
  <c r="DW69" i="8"/>
  <c r="DX69" i="8" s="1"/>
  <c r="DS69" i="8"/>
  <c r="EE69" i="8" s="1"/>
  <c r="DW68" i="8"/>
  <c r="DX68" i="8" s="1"/>
  <c r="DS68" i="8"/>
  <c r="EE68" i="8" s="1"/>
  <c r="DW65" i="8"/>
  <c r="DX65" i="8" s="1"/>
  <c r="DS65" i="8"/>
  <c r="EE65" i="8" s="1"/>
  <c r="DW64" i="8"/>
  <c r="DX64" i="8" s="1"/>
  <c r="DS64" i="8"/>
  <c r="EE64" i="8" s="1"/>
  <c r="L154" i="11" l="1"/>
  <c r="CG101" i="8"/>
  <c r="CH101" i="8"/>
  <c r="CG102" i="8"/>
  <c r="CH102" i="8"/>
  <c r="CR102" i="8" s="1"/>
  <c r="G133" i="21"/>
  <c r="H133" i="21" s="1"/>
  <c r="U154" i="11"/>
  <c r="EN5" i="8"/>
  <c r="AG5" i="8" s="1"/>
  <c r="AE5" i="8"/>
  <c r="AF5" i="8"/>
  <c r="EN6" i="8"/>
  <c r="AG6" i="8" s="1"/>
  <c r="AE6" i="8"/>
  <c r="AF6" i="8"/>
  <c r="EN7" i="8"/>
  <c r="AG7" i="8" s="1"/>
  <c r="AE7" i="8"/>
  <c r="AF7" i="8"/>
  <c r="EN8" i="8"/>
  <c r="AG8" i="8" s="1"/>
  <c r="AE8" i="8"/>
  <c r="AF8" i="8"/>
  <c r="EN9" i="8"/>
  <c r="AG9" i="8" s="1"/>
  <c r="AE9" i="8"/>
  <c r="AF9" i="8"/>
  <c r="EN10" i="8"/>
  <c r="AG10" i="8" s="1"/>
  <c r="AE10" i="8"/>
  <c r="AF10" i="8"/>
  <c r="EN11" i="8"/>
  <c r="AG11" i="8" s="1"/>
  <c r="AE11" i="8"/>
  <c r="AF11" i="8"/>
  <c r="EN12" i="8"/>
  <c r="AG12" i="8" s="1"/>
  <c r="AE12" i="8"/>
  <c r="AF12" i="8"/>
  <c r="EN13" i="8"/>
  <c r="AG13" i="8" s="1"/>
  <c r="AE13" i="8"/>
  <c r="AF13" i="8"/>
  <c r="EN14" i="8"/>
  <c r="AG14" i="8" s="1"/>
  <c r="AE14" i="8"/>
  <c r="AF14" i="8"/>
  <c r="EN15" i="8"/>
  <c r="AG15" i="8" s="1"/>
  <c r="AE15" i="8"/>
  <c r="AF15" i="8"/>
  <c r="EN16" i="8"/>
  <c r="AG16" i="8" s="1"/>
  <c r="AE16" i="8"/>
  <c r="AF16" i="8"/>
  <c r="EN17" i="8"/>
  <c r="AG17" i="8" s="1"/>
  <c r="AE17" i="8"/>
  <c r="AF17" i="8"/>
  <c r="EN18" i="8"/>
  <c r="AG18" i="8" s="1"/>
  <c r="AE18" i="8"/>
  <c r="AF18" i="8"/>
  <c r="EN19" i="8"/>
  <c r="AG19" i="8" s="1"/>
  <c r="AE19" i="8"/>
  <c r="AF19" i="8"/>
  <c r="EN20" i="8"/>
  <c r="AG20" i="8" s="1"/>
  <c r="AE20" i="8"/>
  <c r="AF20" i="8"/>
  <c r="EN21" i="8"/>
  <c r="AG21" i="8" s="1"/>
  <c r="AE21" i="8"/>
  <c r="AF21" i="8"/>
  <c r="EN22" i="8"/>
  <c r="AG22" i="8" s="1"/>
  <c r="AE22" i="8"/>
  <c r="AF22" i="8"/>
  <c r="EN23" i="8"/>
  <c r="AG23" i="8" s="1"/>
  <c r="AE23" i="8"/>
  <c r="AF23" i="8"/>
  <c r="EN24" i="8"/>
  <c r="AG24" i="8" s="1"/>
  <c r="AE24" i="8"/>
  <c r="AF24" i="8"/>
  <c r="EN25" i="8"/>
  <c r="AG25" i="8" s="1"/>
  <c r="AE25" i="8"/>
  <c r="AF25" i="8"/>
  <c r="EN26" i="8"/>
  <c r="AG26" i="8" s="1"/>
  <c r="AE26" i="8"/>
  <c r="AF26" i="8"/>
  <c r="EN27" i="8"/>
  <c r="AE27" i="8"/>
  <c r="EN28" i="8"/>
  <c r="AG28" i="8" s="1"/>
  <c r="AE28" i="8"/>
  <c r="AF28" i="8"/>
  <c r="EN29" i="8"/>
  <c r="AG29" i="8" s="1"/>
  <c r="AE29" i="8"/>
  <c r="AF29" i="8"/>
  <c r="EN30" i="8"/>
  <c r="AG30" i="8" s="1"/>
  <c r="AE30" i="8"/>
  <c r="AF30" i="8"/>
  <c r="EN31" i="8"/>
  <c r="AG31" i="8" s="1"/>
  <c r="AE31" i="8"/>
  <c r="AF31" i="8"/>
  <c r="EN32" i="8"/>
  <c r="AG32" i="8" s="1"/>
  <c r="AE32" i="8"/>
  <c r="AF32" i="8"/>
  <c r="EN33" i="8"/>
  <c r="AE33" i="8"/>
  <c r="EN34" i="8"/>
  <c r="AG34" i="8" s="1"/>
  <c r="AE34" i="8"/>
  <c r="AF34" i="8"/>
  <c r="EN35" i="8"/>
  <c r="AG35" i="8" s="1"/>
  <c r="AE35" i="8"/>
  <c r="AF35" i="8"/>
  <c r="EN36" i="8"/>
  <c r="AG36" i="8" s="1"/>
  <c r="AE36" i="8"/>
  <c r="AF36" i="8"/>
  <c r="EN37" i="8"/>
  <c r="AG37" i="8" s="1"/>
  <c r="AE37" i="8"/>
  <c r="AF37" i="8"/>
  <c r="EN38" i="8"/>
  <c r="AG38" i="8" s="1"/>
  <c r="AE38" i="8"/>
  <c r="AF38" i="8"/>
  <c r="EN39" i="8"/>
  <c r="AG39" i="8" s="1"/>
  <c r="AE39" i="8"/>
  <c r="AF39" i="8"/>
  <c r="EN40" i="8"/>
  <c r="AG40" i="8" s="1"/>
  <c r="AE40" i="8"/>
  <c r="AF40" i="8"/>
  <c r="EN41" i="8"/>
  <c r="AG41" i="8" s="1"/>
  <c r="AE41" i="8"/>
  <c r="AF41" i="8"/>
  <c r="EN42" i="8"/>
  <c r="AG42" i="8" s="1"/>
  <c r="AE42" i="8"/>
  <c r="AF42" i="8"/>
  <c r="EN43" i="8"/>
  <c r="AG43" i="8" s="1"/>
  <c r="AE43" i="8"/>
  <c r="AF43" i="8"/>
  <c r="EN44" i="8"/>
  <c r="AG44" i="8" s="1"/>
  <c r="AE44" i="8"/>
  <c r="AF44" i="8"/>
  <c r="CL63" i="8"/>
  <c r="CM63" i="8"/>
  <c r="CL66" i="8"/>
  <c r="CM66" i="8"/>
  <c r="CL67" i="8"/>
  <c r="CM67" i="8"/>
  <c r="CL74" i="8"/>
  <c r="CM74" i="8"/>
  <c r="CS74" i="8"/>
  <c r="CL84" i="8"/>
  <c r="CM84" i="8"/>
  <c r="CL102" i="8"/>
  <c r="CM102" i="8"/>
  <c r="CL48" i="8"/>
  <c r="CM48" i="8"/>
  <c r="CL76" i="8"/>
  <c r="CM76" i="8"/>
  <c r="CW76" i="8"/>
  <c r="CT76" i="8"/>
  <c r="CU76" i="8"/>
  <c r="CL75" i="8"/>
  <c r="CM75" i="8"/>
  <c r="CW75" i="8"/>
  <c r="CT75" i="8"/>
  <c r="CU75" i="8"/>
  <c r="CL73" i="8"/>
  <c r="CM73" i="8"/>
  <c r="CW73" i="8"/>
  <c r="CT73" i="8"/>
  <c r="CU73" i="8"/>
  <c r="CL72" i="8"/>
  <c r="CM72" i="8"/>
  <c r="CW72" i="8"/>
  <c r="CT72" i="8"/>
  <c r="CU72" i="8"/>
  <c r="CL71" i="8"/>
  <c r="CM71" i="8"/>
  <c r="CW71" i="8"/>
  <c r="CT71" i="8"/>
  <c r="CU71" i="8"/>
  <c r="CL70" i="8"/>
  <c r="CM70" i="8"/>
  <c r="CW70" i="8"/>
  <c r="CT70" i="8"/>
  <c r="CU70" i="8"/>
  <c r="CL69" i="8"/>
  <c r="CM69" i="8"/>
  <c r="CW69" i="8"/>
  <c r="CT69" i="8"/>
  <c r="CU69" i="8"/>
  <c r="CL68" i="8"/>
  <c r="CM68" i="8"/>
  <c r="CW68" i="8"/>
  <c r="CT68" i="8"/>
  <c r="CU68" i="8"/>
  <c r="CL65" i="8"/>
  <c r="CM65" i="8"/>
  <c r="CW65" i="8"/>
  <c r="CT65" i="8"/>
  <c r="CU65" i="8"/>
  <c r="CL64" i="8"/>
  <c r="CM64" i="8"/>
  <c r="CW64" i="8"/>
  <c r="CT64" i="8"/>
  <c r="CU64" i="8"/>
  <c r="J170" i="11"/>
  <c r="G135" i="21"/>
  <c r="H135" i="21" s="1"/>
  <c r="J172" i="11"/>
  <c r="G194" i="21"/>
  <c r="H194" i="21" s="1"/>
  <c r="G45" i="21" s="1"/>
  <c r="H45" i="21" s="1"/>
  <c r="K154" i="11"/>
  <c r="G132" i="21"/>
  <c r="H132" i="21" s="1"/>
  <c r="G32" i="21" s="1"/>
  <c r="H32" i="21" s="1"/>
  <c r="H67" i="18"/>
  <c r="AU22" i="19"/>
  <c r="L22" i="19" s="1"/>
  <c r="EI103" i="8"/>
  <c r="EH103" i="8"/>
  <c r="AC103" i="8"/>
  <c r="G184" i="21" s="1"/>
  <c r="H184" i="21" s="1"/>
  <c r="G42" i="21" s="1"/>
  <c r="H42" i="21" s="1"/>
  <c r="FB103" i="8"/>
  <c r="EV103" i="8"/>
  <c r="EU103" i="8"/>
  <c r="ET103" i="8"/>
  <c r="FA103" i="8"/>
  <c r="EZ103" i="8"/>
  <c r="ES103" i="8"/>
  <c r="ER103" i="8"/>
  <c r="EQ103" i="8"/>
  <c r="EW100" i="8"/>
  <c r="EX100" i="8"/>
  <c r="EY100" i="8"/>
  <c r="FC100" i="8"/>
  <c r="CF100" i="8"/>
  <c r="CG100" i="8"/>
  <c r="CH100" i="8"/>
  <c r="CI100" i="8"/>
  <c r="CJ100" i="8"/>
  <c r="CK100" i="8" s="1"/>
  <c r="CN100" i="8"/>
  <c r="CO100" i="8" s="1"/>
  <c r="CP100" i="8" s="1"/>
  <c r="CQ100" i="8"/>
  <c r="CR100" i="8"/>
  <c r="CS100" i="8" s="1"/>
  <c r="EH62" i="8"/>
  <c r="EI62" i="8"/>
  <c r="FA62" i="8"/>
  <c r="EZ62" i="8"/>
  <c r="ES62" i="8"/>
  <c r="ER62" i="8"/>
  <c r="EQ62" i="8"/>
  <c r="FB62" i="8"/>
  <c r="EV62" i="8"/>
  <c r="EU62" i="8"/>
  <c r="ET62" i="8"/>
  <c r="EH59" i="8"/>
  <c r="EI59" i="8"/>
  <c r="FA59" i="8"/>
  <c r="EZ59" i="8"/>
  <c r="ES59" i="8"/>
  <c r="ER59" i="8"/>
  <c r="EQ59" i="8"/>
  <c r="FB59" i="8"/>
  <c r="EV59" i="8"/>
  <c r="EU59" i="8"/>
  <c r="ET59" i="8"/>
  <c r="FA56" i="8"/>
  <c r="EZ56" i="8"/>
  <c r="ES56" i="8"/>
  <c r="ER56" i="8"/>
  <c r="EQ56" i="8"/>
  <c r="FB56" i="8"/>
  <c r="EV56" i="8"/>
  <c r="EU56" i="8"/>
  <c r="ET56" i="8"/>
  <c r="EH56" i="8"/>
  <c r="EI56" i="8"/>
  <c r="FA54" i="8"/>
  <c r="EZ54" i="8"/>
  <c r="ES54" i="8"/>
  <c r="ER54" i="8"/>
  <c r="EQ54" i="8"/>
  <c r="FB54" i="8"/>
  <c r="EV54" i="8"/>
  <c r="EU54" i="8"/>
  <c r="ET54" i="8"/>
  <c r="EH54" i="8"/>
  <c r="EI54" i="8"/>
  <c r="FA51" i="8"/>
  <c r="EZ51" i="8"/>
  <c r="ES51" i="8"/>
  <c r="ER51" i="8"/>
  <c r="EQ51" i="8"/>
  <c r="FB51" i="8"/>
  <c r="EV51" i="8"/>
  <c r="EU51" i="8"/>
  <c r="ET51" i="8"/>
  <c r="EH51" i="8"/>
  <c r="EI51" i="8"/>
  <c r="FA49" i="8"/>
  <c r="EZ49" i="8"/>
  <c r="ES49" i="8"/>
  <c r="ER49" i="8"/>
  <c r="EQ49" i="8"/>
  <c r="FB49" i="8"/>
  <c r="EV49" i="8"/>
  <c r="EU49" i="8"/>
  <c r="ET49" i="8"/>
  <c r="EH49" i="8"/>
  <c r="EI49" i="8"/>
  <c r="FA46" i="8"/>
  <c r="EZ46" i="8"/>
  <c r="ES46" i="8"/>
  <c r="ER46" i="8"/>
  <c r="EQ46" i="8"/>
  <c r="FB46" i="8"/>
  <c r="EV46" i="8"/>
  <c r="EU46" i="8"/>
  <c r="ET46" i="8"/>
  <c r="EI46" i="8"/>
  <c r="EH46" i="8"/>
  <c r="ES98" i="8"/>
  <c r="ER98" i="8"/>
  <c r="EQ98" i="8"/>
  <c r="FB98" i="8"/>
  <c r="EV98" i="8"/>
  <c r="EU98" i="8"/>
  <c r="ET98" i="8"/>
  <c r="EI98" i="8"/>
  <c r="EH98" i="8"/>
  <c r="FA94" i="8"/>
  <c r="EZ94" i="8"/>
  <c r="ES94" i="8"/>
  <c r="ER94" i="8"/>
  <c r="EQ94" i="8"/>
  <c r="FB94" i="8"/>
  <c r="EV94" i="8"/>
  <c r="EU94" i="8"/>
  <c r="ET94" i="8"/>
  <c r="EI94" i="8"/>
  <c r="EH94" i="8"/>
  <c r="AC94" i="8"/>
  <c r="G103" i="21" s="1"/>
  <c r="H103" i="21" s="1"/>
  <c r="FA92" i="8"/>
  <c r="EZ92" i="8"/>
  <c r="ES92" i="8"/>
  <c r="ER92" i="8"/>
  <c r="EQ92" i="8"/>
  <c r="FB92" i="8"/>
  <c r="EV92" i="8"/>
  <c r="EU92" i="8"/>
  <c r="ET92" i="8"/>
  <c r="EI92" i="8"/>
  <c r="EH92" i="8"/>
  <c r="AC92" i="8"/>
  <c r="G101" i="21" s="1"/>
  <c r="H101" i="21" s="1"/>
  <c r="FA90" i="8"/>
  <c r="EZ90" i="8"/>
  <c r="ES90" i="8"/>
  <c r="ER90" i="8"/>
  <c r="EQ90" i="8"/>
  <c r="FB90" i="8"/>
  <c r="EV90" i="8"/>
  <c r="EU90" i="8"/>
  <c r="ET90" i="8"/>
  <c r="EI90" i="8"/>
  <c r="EH90" i="8"/>
  <c r="FA88" i="8"/>
  <c r="EZ88" i="8"/>
  <c r="ES88" i="8"/>
  <c r="ER88" i="8"/>
  <c r="EQ88" i="8"/>
  <c r="FB88" i="8"/>
  <c r="EV88" i="8"/>
  <c r="EU88" i="8"/>
  <c r="ET88" i="8"/>
  <c r="EI88" i="8"/>
  <c r="EH88" i="8"/>
  <c r="FA86" i="8"/>
  <c r="EZ86" i="8"/>
  <c r="ES86" i="8"/>
  <c r="ER86" i="8"/>
  <c r="EQ86" i="8"/>
  <c r="FB86" i="8"/>
  <c r="EV86" i="8"/>
  <c r="EU86" i="8"/>
  <c r="ET86" i="8"/>
  <c r="EI86" i="8"/>
  <c r="EH86" i="8"/>
  <c r="FA82" i="8"/>
  <c r="EZ82" i="8"/>
  <c r="ES82" i="8"/>
  <c r="ER82" i="8"/>
  <c r="EQ82" i="8"/>
  <c r="FB82" i="8"/>
  <c r="EV82" i="8"/>
  <c r="EU82" i="8"/>
  <c r="ET82" i="8"/>
  <c r="EI82" i="8"/>
  <c r="EH82" i="8"/>
  <c r="FA81" i="8"/>
  <c r="EZ81" i="8"/>
  <c r="ES81" i="8"/>
  <c r="ER81" i="8"/>
  <c r="EQ81" i="8"/>
  <c r="FB81" i="8"/>
  <c r="EV81" i="8"/>
  <c r="EU81" i="8"/>
  <c r="ET81" i="8"/>
  <c r="EI81" i="8"/>
  <c r="EH81" i="8"/>
  <c r="FB78" i="8"/>
  <c r="EV78" i="8"/>
  <c r="EU78" i="8"/>
  <c r="ET78" i="8"/>
  <c r="FA78" i="8"/>
  <c r="EZ78" i="8"/>
  <c r="ES78" i="8"/>
  <c r="ER78" i="8"/>
  <c r="EQ78" i="8"/>
  <c r="EI78" i="8"/>
  <c r="EH78" i="8"/>
  <c r="FA61" i="8"/>
  <c r="EZ61" i="8"/>
  <c r="ES61" i="8"/>
  <c r="ER61" i="8"/>
  <c r="EQ61" i="8"/>
  <c r="FB61" i="8"/>
  <c r="EV61" i="8"/>
  <c r="EU61" i="8"/>
  <c r="ET61" i="8"/>
  <c r="EH61" i="8"/>
  <c r="EI61" i="8"/>
  <c r="FA58" i="8"/>
  <c r="EZ58" i="8"/>
  <c r="ES58" i="8"/>
  <c r="ER58" i="8"/>
  <c r="EQ58" i="8"/>
  <c r="FB58" i="8"/>
  <c r="EV58" i="8"/>
  <c r="EU58" i="8"/>
  <c r="ET58" i="8"/>
  <c r="EH58" i="8"/>
  <c r="EI58" i="8"/>
  <c r="EH55" i="8"/>
  <c r="EI55" i="8"/>
  <c r="ES55" i="8"/>
  <c r="ER55" i="8"/>
  <c r="EQ55" i="8"/>
  <c r="FB55" i="8"/>
  <c r="EV55" i="8"/>
  <c r="EU55" i="8"/>
  <c r="ET55" i="8"/>
  <c r="FA52" i="8"/>
  <c r="EZ52" i="8"/>
  <c r="ES52" i="8"/>
  <c r="ER52" i="8"/>
  <c r="EQ52" i="8"/>
  <c r="FB52" i="8"/>
  <c r="EV52" i="8"/>
  <c r="EU52" i="8"/>
  <c r="ET52" i="8"/>
  <c r="EH52" i="8"/>
  <c r="EI52" i="8"/>
  <c r="FA50" i="8"/>
  <c r="EZ50" i="8"/>
  <c r="ES50" i="8"/>
  <c r="ER50" i="8"/>
  <c r="EQ50" i="8"/>
  <c r="FB50" i="8"/>
  <c r="EV50" i="8"/>
  <c r="EU50" i="8"/>
  <c r="ET50" i="8"/>
  <c r="EH50" i="8"/>
  <c r="EI50" i="8"/>
  <c r="FA47" i="8"/>
  <c r="EZ47" i="8"/>
  <c r="ES47" i="8"/>
  <c r="ER47" i="8"/>
  <c r="EQ47" i="8"/>
  <c r="FB47" i="8"/>
  <c r="EV47" i="8"/>
  <c r="EU47" i="8"/>
  <c r="ET47" i="8"/>
  <c r="EH47" i="8"/>
  <c r="EI47" i="8"/>
  <c r="FA99" i="8"/>
  <c r="EZ99" i="8"/>
  <c r="ES99" i="8"/>
  <c r="ER99" i="8"/>
  <c r="EQ99" i="8"/>
  <c r="EV99" i="8"/>
  <c r="EU99" i="8"/>
  <c r="ET99" i="8"/>
  <c r="FB99" i="8" s="1"/>
  <c r="EI99" i="8"/>
  <c r="EH99" i="8"/>
  <c r="ES97" i="8"/>
  <c r="ER97" i="8"/>
  <c r="EQ97" i="8"/>
  <c r="FB97" i="8"/>
  <c r="EV97" i="8"/>
  <c r="EU97" i="8"/>
  <c r="ET97" i="8"/>
  <c r="EI97" i="8"/>
  <c r="EH97" i="8"/>
  <c r="FA95" i="8"/>
  <c r="EZ95" i="8"/>
  <c r="ES95" i="8"/>
  <c r="ER95" i="8"/>
  <c r="EQ95" i="8"/>
  <c r="FB95" i="8"/>
  <c r="EV95" i="8"/>
  <c r="EU95" i="8"/>
  <c r="ET95" i="8"/>
  <c r="EI95" i="8"/>
  <c r="EH95" i="8"/>
  <c r="AC95" i="8"/>
  <c r="G104" i="21" s="1"/>
  <c r="H104" i="21" s="1"/>
  <c r="FA93" i="8"/>
  <c r="EZ93" i="8"/>
  <c r="ES93" i="8"/>
  <c r="ER93" i="8"/>
  <c r="EQ93" i="8"/>
  <c r="FB93" i="8"/>
  <c r="EV93" i="8"/>
  <c r="EU93" i="8"/>
  <c r="ET93" i="8"/>
  <c r="EI93" i="8"/>
  <c r="EH93" i="8"/>
  <c r="AC93" i="8"/>
  <c r="G102" i="21" s="1"/>
  <c r="H102" i="21" s="1"/>
  <c r="FA91" i="8"/>
  <c r="EZ91" i="8"/>
  <c r="ES91" i="8"/>
  <c r="ER91" i="8"/>
  <c r="EQ91" i="8"/>
  <c r="FB91" i="8"/>
  <c r="EV91" i="8"/>
  <c r="EU91" i="8"/>
  <c r="ET91" i="8"/>
  <c r="EI91" i="8"/>
  <c r="EH91" i="8"/>
  <c r="FA89" i="8"/>
  <c r="EZ89" i="8"/>
  <c r="ES89" i="8"/>
  <c r="ER89" i="8"/>
  <c r="EQ89" i="8"/>
  <c r="FB89" i="8"/>
  <c r="EV89" i="8"/>
  <c r="EU89" i="8"/>
  <c r="ET89" i="8"/>
  <c r="FA87" i="8"/>
  <c r="EZ87" i="8"/>
  <c r="ES87" i="8"/>
  <c r="ER87" i="8"/>
  <c r="EQ87" i="8"/>
  <c r="FB87" i="8"/>
  <c r="EV87" i="8"/>
  <c r="EU87" i="8"/>
  <c r="ET87" i="8"/>
  <c r="EI87" i="8"/>
  <c r="EH87" i="8"/>
  <c r="FA85" i="8"/>
  <c r="EZ85" i="8"/>
  <c r="ES85" i="8"/>
  <c r="ER85" i="8"/>
  <c r="EQ85" i="8"/>
  <c r="FB85" i="8"/>
  <c r="EV85" i="8"/>
  <c r="EU85" i="8"/>
  <c r="ET85" i="8"/>
  <c r="EI85" i="8"/>
  <c r="EH85" i="8"/>
  <c r="FA83" i="8"/>
  <c r="EZ83" i="8"/>
  <c r="ES83" i="8"/>
  <c r="ER83" i="8"/>
  <c r="EQ83" i="8"/>
  <c r="FB83" i="8"/>
  <c r="EV83" i="8"/>
  <c r="EU83" i="8"/>
  <c r="ET83" i="8"/>
  <c r="EI83" i="8"/>
  <c r="EH83" i="8"/>
  <c r="FA80" i="8"/>
  <c r="EZ80" i="8"/>
  <c r="ES80" i="8"/>
  <c r="ER80" i="8"/>
  <c r="EQ80" i="8"/>
  <c r="FB80" i="8"/>
  <c r="EV80" i="8"/>
  <c r="EU80" i="8"/>
  <c r="ET80" i="8"/>
  <c r="EI80" i="8"/>
  <c r="EH80" i="8"/>
  <c r="FB79" i="8"/>
  <c r="EV79" i="8"/>
  <c r="EU79" i="8"/>
  <c r="ET79" i="8"/>
  <c r="FA79" i="8"/>
  <c r="EZ79" i="8"/>
  <c r="ES79" i="8"/>
  <c r="ER79" i="8"/>
  <c r="EQ79" i="8"/>
  <c r="EI79" i="8"/>
  <c r="EH79" i="8"/>
  <c r="FA60" i="8"/>
  <c r="EZ60" i="8"/>
  <c r="ES60" i="8"/>
  <c r="ER60" i="8"/>
  <c r="EQ60" i="8"/>
  <c r="FB60" i="8"/>
  <c r="EV60" i="8"/>
  <c r="EU60" i="8"/>
  <c r="ET60" i="8"/>
  <c r="EH60" i="8"/>
  <c r="EI60" i="8"/>
  <c r="EH57" i="8"/>
  <c r="EI57" i="8"/>
  <c r="FA57" i="8"/>
  <c r="EZ57" i="8"/>
  <c r="ES57" i="8"/>
  <c r="ER57" i="8"/>
  <c r="EQ57" i="8"/>
  <c r="FB57" i="8"/>
  <c r="EV57" i="8"/>
  <c r="EU57" i="8"/>
  <c r="ET57" i="8"/>
  <c r="FA53" i="8"/>
  <c r="EZ53" i="8"/>
  <c r="ES53" i="8"/>
  <c r="ER53" i="8"/>
  <c r="EQ53" i="8"/>
  <c r="FB53" i="8"/>
  <c r="EV53" i="8"/>
  <c r="EU53" i="8"/>
  <c r="ET53" i="8"/>
  <c r="EH53" i="8"/>
  <c r="EI53" i="8"/>
  <c r="FA96" i="8"/>
  <c r="EZ96" i="8"/>
  <c r="ES96" i="8"/>
  <c r="ER96" i="8"/>
  <c r="EQ96" i="8"/>
  <c r="FB96" i="8"/>
  <c r="EV96" i="8"/>
  <c r="EU96" i="8"/>
  <c r="ET96" i="8"/>
  <c r="EI96" i="8"/>
  <c r="EH96" i="8"/>
  <c r="AC96" i="8"/>
  <c r="EO76" i="8"/>
  <c r="EP76" i="8"/>
  <c r="EC76" i="8"/>
  <c r="EB76" i="8"/>
  <c r="DZ76" i="8"/>
  <c r="EG76" i="8"/>
  <c r="EA76" i="8"/>
  <c r="EO75" i="8"/>
  <c r="EP75" i="8"/>
  <c r="EG75" i="8"/>
  <c r="EC75" i="8"/>
  <c r="EB75" i="8"/>
  <c r="EA75" i="8"/>
  <c r="DZ75" i="8"/>
  <c r="EO73" i="8"/>
  <c r="EP73" i="8"/>
  <c r="EG73" i="8"/>
  <c r="EC73" i="8"/>
  <c r="EB73" i="8"/>
  <c r="EA73" i="8"/>
  <c r="DZ73" i="8"/>
  <c r="EO72" i="8"/>
  <c r="EP72" i="8"/>
  <c r="EG72" i="8"/>
  <c r="EC72" i="8"/>
  <c r="EB72" i="8"/>
  <c r="EA72" i="8"/>
  <c r="DZ72" i="8"/>
  <c r="EO71" i="8"/>
  <c r="EP71" i="8"/>
  <c r="EG71" i="8"/>
  <c r="EC71" i="8"/>
  <c r="EB71" i="8"/>
  <c r="EA71" i="8"/>
  <c r="DZ71" i="8"/>
  <c r="EO70" i="8"/>
  <c r="EP70" i="8"/>
  <c r="EG70" i="8"/>
  <c r="EC70" i="8"/>
  <c r="EB70" i="8"/>
  <c r="EA70" i="8"/>
  <c r="DZ70" i="8"/>
  <c r="EG69" i="8"/>
  <c r="EC69" i="8"/>
  <c r="EB69" i="8"/>
  <c r="EA69" i="8"/>
  <c r="DZ69" i="8"/>
  <c r="EO69" i="8"/>
  <c r="EP69" i="8"/>
  <c r="EO68" i="8"/>
  <c r="EP68" i="8"/>
  <c r="EG68" i="8"/>
  <c r="EC68" i="8"/>
  <c r="EB68" i="8"/>
  <c r="EA68" i="8"/>
  <c r="DZ68" i="8"/>
  <c r="EG65" i="8"/>
  <c r="EC65" i="8"/>
  <c r="EB65" i="8"/>
  <c r="EA65" i="8"/>
  <c r="DZ65" i="8"/>
  <c r="EO65" i="8"/>
  <c r="EP65" i="8"/>
  <c r="EO64" i="8"/>
  <c r="EP64" i="8"/>
  <c r="EG64" i="8"/>
  <c r="EC64" i="8"/>
  <c r="EB64" i="8"/>
  <c r="EA64" i="8"/>
  <c r="DZ64" i="8"/>
  <c r="CG63" i="8"/>
  <c r="CH63" i="8"/>
  <c r="CR63" i="8" s="1"/>
  <c r="CH66" i="8"/>
  <c r="CG66" i="8"/>
  <c r="CG67" i="8"/>
  <c r="CH67" i="8"/>
  <c r="CR67" i="8" s="1"/>
  <c r="CK101" i="8"/>
  <c r="CH48" i="8"/>
  <c r="CG48" i="8"/>
  <c r="K170" i="11"/>
  <c r="V170" i="11"/>
  <c r="K172" i="11"/>
  <c r="V172" i="11"/>
  <c r="DW100" i="8"/>
  <c r="DX100" i="8" s="1"/>
  <c r="DS100" i="8"/>
  <c r="EE100" i="8" s="1"/>
  <c r="J171" i="11"/>
  <c r="G137" i="21"/>
  <c r="H137" i="21" s="1"/>
  <c r="V171" i="11"/>
  <c r="K171" i="11"/>
  <c r="AH89" i="8"/>
  <c r="G97" i="21" s="1"/>
  <c r="H97" i="21" s="1"/>
  <c r="EG89" i="8"/>
  <c r="G33" i="21" l="1"/>
  <c r="H33" i="21" s="1"/>
  <c r="AG27" i="8"/>
  <c r="AF27" i="8"/>
  <c r="CT74" i="8"/>
  <c r="CU74" i="8"/>
  <c r="CV74" i="8" s="1"/>
  <c r="U103" i="8"/>
  <c r="Z103" i="8"/>
  <c r="T103" i="8"/>
  <c r="AI103" i="8"/>
  <c r="EJ103" i="8"/>
  <c r="EK103" i="8"/>
  <c r="FD103" i="8"/>
  <c r="FE103" i="8"/>
  <c r="FG103" i="8"/>
  <c r="FH103" i="8"/>
  <c r="FI103" i="8"/>
  <c r="FK103" i="8"/>
  <c r="V103" i="8"/>
  <c r="W103" i="8"/>
  <c r="X103" i="8"/>
  <c r="Y103" i="8"/>
  <c r="AA103" i="8"/>
  <c r="FF103" i="8" s="1"/>
  <c r="AR103" i="8"/>
  <c r="AS103" i="8"/>
  <c r="AT103" i="8"/>
  <c r="AU103" i="8"/>
  <c r="CL100" i="8"/>
  <c r="CM100" i="8"/>
  <c r="CW100" i="8"/>
  <c r="CT100" i="8"/>
  <c r="CU100" i="8"/>
  <c r="U62" i="8"/>
  <c r="AI62" i="8"/>
  <c r="EJ62" i="8"/>
  <c r="Z62" i="8" s="1"/>
  <c r="EK62" i="8"/>
  <c r="FD62" i="8"/>
  <c r="FE62" i="8"/>
  <c r="FG62" i="8"/>
  <c r="FH62" i="8"/>
  <c r="FI62" i="8"/>
  <c r="FK62" i="8"/>
  <c r="V62" i="8"/>
  <c r="J31" i="20" s="1"/>
  <c r="L31" i="20" s="1"/>
  <c r="W62" i="8"/>
  <c r="X62" i="8"/>
  <c r="Y62" i="8"/>
  <c r="AA62" i="8"/>
  <c r="FF62" i="8" s="1"/>
  <c r="AR62" i="8"/>
  <c r="AS62" i="8"/>
  <c r="AT62" i="8"/>
  <c r="AU62" i="8"/>
  <c r="AY21" i="19"/>
  <c r="P21" i="19" s="1"/>
  <c r="AI59" i="8"/>
  <c r="EJ59" i="8"/>
  <c r="Z59" i="8" s="1"/>
  <c r="EK59" i="8"/>
  <c r="FD59" i="8"/>
  <c r="FE59" i="8"/>
  <c r="FG59" i="8"/>
  <c r="FH59" i="8"/>
  <c r="FI59" i="8"/>
  <c r="FK59" i="8"/>
  <c r="V59" i="8"/>
  <c r="W59" i="8"/>
  <c r="AS21" i="19" s="1"/>
  <c r="J21" i="19" s="1"/>
  <c r="X59" i="8"/>
  <c r="AT21" i="19" s="1"/>
  <c r="K21" i="19" s="1"/>
  <c r="Y59" i="8"/>
  <c r="AA59" i="8"/>
  <c r="AR59" i="8"/>
  <c r="BF21" i="19" s="1"/>
  <c r="W21" i="19" s="1"/>
  <c r="AS59" i="8"/>
  <c r="BG21" i="19" s="1"/>
  <c r="X21" i="19" s="1"/>
  <c r="AT59" i="8"/>
  <c r="BK21" i="19" s="1"/>
  <c r="AB21" i="19" s="1"/>
  <c r="AU59" i="8"/>
  <c r="AY18" i="19"/>
  <c r="P18" i="19" s="1"/>
  <c r="AI56" i="8"/>
  <c r="EJ56" i="8"/>
  <c r="Z56" i="8" s="1"/>
  <c r="EK56" i="8"/>
  <c r="FD56" i="8"/>
  <c r="FE56" i="8"/>
  <c r="FG56" i="8"/>
  <c r="FH56" i="8"/>
  <c r="FI56" i="8"/>
  <c r="FK56" i="8"/>
  <c r="V56" i="8"/>
  <c r="W56" i="8"/>
  <c r="AS18" i="19" s="1"/>
  <c r="J18" i="19" s="1"/>
  <c r="X56" i="8"/>
  <c r="AT18" i="19" s="1"/>
  <c r="K18" i="19" s="1"/>
  <c r="Y56" i="8"/>
  <c r="AA56" i="8"/>
  <c r="AR56" i="8"/>
  <c r="BF18" i="19" s="1"/>
  <c r="W18" i="19" s="1"/>
  <c r="AS56" i="8"/>
  <c r="BG18" i="19" s="1"/>
  <c r="X18" i="19" s="1"/>
  <c r="AT56" i="8"/>
  <c r="BK18" i="19" s="1"/>
  <c r="AB18" i="19" s="1"/>
  <c r="AU56" i="8"/>
  <c r="AY16" i="19"/>
  <c r="P16" i="19" s="1"/>
  <c r="AI54" i="8"/>
  <c r="EJ54" i="8"/>
  <c r="EK54" i="8"/>
  <c r="FD54" i="8"/>
  <c r="FE54" i="8"/>
  <c r="FG54" i="8"/>
  <c r="FH54" i="8"/>
  <c r="FI54" i="8"/>
  <c r="FK54" i="8"/>
  <c r="V54" i="8"/>
  <c r="W54" i="8"/>
  <c r="AS16" i="19" s="1"/>
  <c r="J16" i="19" s="1"/>
  <c r="X54" i="8"/>
  <c r="AT16" i="19" s="1"/>
  <c r="K16" i="19" s="1"/>
  <c r="Y54" i="8"/>
  <c r="AA54" i="8"/>
  <c r="AR54" i="8"/>
  <c r="BF16" i="19" s="1"/>
  <c r="W16" i="19" s="1"/>
  <c r="AT54" i="8"/>
  <c r="BK16" i="19" s="1"/>
  <c r="AB16" i="19" s="1"/>
  <c r="AU54" i="8"/>
  <c r="AY13" i="19"/>
  <c r="P13" i="19" s="1"/>
  <c r="AI51" i="8"/>
  <c r="EJ51" i="8"/>
  <c r="Z51" i="8" s="1"/>
  <c r="EK51" i="8"/>
  <c r="FD51" i="8"/>
  <c r="FE51" i="8"/>
  <c r="FG51" i="8"/>
  <c r="FH51" i="8"/>
  <c r="FI51" i="8"/>
  <c r="FK51" i="8"/>
  <c r="V51" i="8"/>
  <c r="W51" i="8"/>
  <c r="AS13" i="19" s="1"/>
  <c r="J13" i="19" s="1"/>
  <c r="X51" i="8"/>
  <c r="AT13" i="19" s="1"/>
  <c r="K13" i="19" s="1"/>
  <c r="Y51" i="8"/>
  <c r="AA51" i="8"/>
  <c r="AR51" i="8"/>
  <c r="BF13" i="19" s="1"/>
  <c r="W13" i="19" s="1"/>
  <c r="AS51" i="8"/>
  <c r="BG13" i="19" s="1"/>
  <c r="X13" i="19" s="1"/>
  <c r="AT51" i="8"/>
  <c r="BK13" i="19" s="1"/>
  <c r="AB13" i="19" s="1"/>
  <c r="AU51" i="8"/>
  <c r="AY11" i="19"/>
  <c r="P11" i="19" s="1"/>
  <c r="AI49" i="8"/>
  <c r="EJ49" i="8"/>
  <c r="Z49" i="8" s="1"/>
  <c r="EK49" i="8"/>
  <c r="FD49" i="8"/>
  <c r="FE49" i="8"/>
  <c r="FG49" i="8"/>
  <c r="FH49" i="8"/>
  <c r="FI49" i="8"/>
  <c r="FK49" i="8"/>
  <c r="V49" i="8"/>
  <c r="W49" i="8"/>
  <c r="AS11" i="19" s="1"/>
  <c r="J11" i="19" s="1"/>
  <c r="X49" i="8"/>
  <c r="AT11" i="19" s="1"/>
  <c r="K11" i="19" s="1"/>
  <c r="Y49" i="8"/>
  <c r="AA49" i="8"/>
  <c r="AR49" i="8"/>
  <c r="BF11" i="19" s="1"/>
  <c r="W11" i="19" s="1"/>
  <c r="AS49" i="8"/>
  <c r="BG11" i="19" s="1"/>
  <c r="X11" i="19" s="1"/>
  <c r="AT49" i="8"/>
  <c r="BK11" i="19" s="1"/>
  <c r="AB11" i="19" s="1"/>
  <c r="AU49" i="8"/>
  <c r="AY8" i="19"/>
  <c r="P8" i="19" s="1"/>
  <c r="AI46" i="8"/>
  <c r="EJ46" i="8"/>
  <c r="Z46" i="8" s="1"/>
  <c r="EK46" i="8"/>
  <c r="FD46" i="8"/>
  <c r="FE46" i="8"/>
  <c r="FG46" i="8"/>
  <c r="FH46" i="8"/>
  <c r="FI46" i="8"/>
  <c r="FK46" i="8"/>
  <c r="V46" i="8"/>
  <c r="W46" i="8"/>
  <c r="AS8" i="19" s="1"/>
  <c r="J8" i="19" s="1"/>
  <c r="X46" i="8"/>
  <c r="AT8" i="19" s="1"/>
  <c r="K8" i="19" s="1"/>
  <c r="Y46" i="8"/>
  <c r="AA46" i="8"/>
  <c r="AR46" i="8"/>
  <c r="BF8" i="19" s="1"/>
  <c r="W8" i="19" s="1"/>
  <c r="AS46" i="8"/>
  <c r="BG8" i="19" s="1"/>
  <c r="X8" i="19" s="1"/>
  <c r="AT46" i="8"/>
  <c r="BK8" i="19" s="1"/>
  <c r="AB8" i="19" s="1"/>
  <c r="AU46" i="8"/>
  <c r="AI98" i="8"/>
  <c r="Z98" i="8"/>
  <c r="U98" i="8"/>
  <c r="EJ98" i="8"/>
  <c r="EK98" i="8"/>
  <c r="FD98" i="8"/>
  <c r="FE98" i="8"/>
  <c r="FG98" i="8"/>
  <c r="FH98" i="8"/>
  <c r="FI98" i="8"/>
  <c r="FK98" i="8"/>
  <c r="V98" i="8"/>
  <c r="G156" i="21" s="1"/>
  <c r="H156" i="21" s="1"/>
  <c r="W98" i="8"/>
  <c r="X98" i="8"/>
  <c r="Y98" i="8"/>
  <c r="G157" i="21" s="1"/>
  <c r="H157" i="21" s="1"/>
  <c r="AA98" i="8"/>
  <c r="AR98" i="8"/>
  <c r="AT98" i="8"/>
  <c r="T94" i="8"/>
  <c r="AI94" i="8"/>
  <c r="U94" i="8"/>
  <c r="Z94" i="8"/>
  <c r="EJ94" i="8"/>
  <c r="EK94" i="8"/>
  <c r="FD94" i="8"/>
  <c r="FE94" i="8"/>
  <c r="FG94" i="8"/>
  <c r="FH94" i="8"/>
  <c r="FI94" i="8"/>
  <c r="FK94" i="8"/>
  <c r="V94" i="8"/>
  <c r="W94" i="8"/>
  <c r="X94" i="8"/>
  <c r="Y94" i="8"/>
  <c r="AA94" i="8"/>
  <c r="FF94" i="8" s="1"/>
  <c r="AR94" i="8"/>
  <c r="AS94" i="8"/>
  <c r="AT94" i="8"/>
  <c r="AU94" i="8"/>
  <c r="AI92" i="8"/>
  <c r="T92" i="8"/>
  <c r="U92" i="8"/>
  <c r="Z92" i="8"/>
  <c r="EJ92" i="8"/>
  <c r="EK92" i="8"/>
  <c r="FD92" i="8"/>
  <c r="FE92" i="8"/>
  <c r="FG92" i="8"/>
  <c r="FH92" i="8"/>
  <c r="FI92" i="8"/>
  <c r="FK92" i="8"/>
  <c r="V92" i="8"/>
  <c r="W92" i="8"/>
  <c r="X92" i="8"/>
  <c r="Y92" i="8"/>
  <c r="AA92" i="8"/>
  <c r="FF92" i="8" s="1"/>
  <c r="AR92" i="8"/>
  <c r="AS92" i="8"/>
  <c r="AT92" i="8"/>
  <c r="AU92" i="8"/>
  <c r="AI90" i="8"/>
  <c r="U90" i="8"/>
  <c r="EJ90" i="8"/>
  <c r="Z90" i="8" s="1"/>
  <c r="EK90" i="8"/>
  <c r="FD90" i="8"/>
  <c r="FE90" i="8"/>
  <c r="FG90" i="8"/>
  <c r="FH90" i="8"/>
  <c r="FI90" i="8"/>
  <c r="FK90" i="8"/>
  <c r="V90" i="8"/>
  <c r="G99" i="21" s="1"/>
  <c r="H99" i="21" s="1"/>
  <c r="G19" i="21" s="1"/>
  <c r="W90" i="8"/>
  <c r="X90" i="8"/>
  <c r="Y90" i="8"/>
  <c r="AA90" i="8"/>
  <c r="FF90" i="8" s="1"/>
  <c r="AR90" i="8"/>
  <c r="AS90" i="8"/>
  <c r="AT90" i="8"/>
  <c r="AU90" i="8"/>
  <c r="AI88" i="8"/>
  <c r="EJ88" i="8"/>
  <c r="Z88" i="8" s="1"/>
  <c r="EK88" i="8"/>
  <c r="FD88" i="8"/>
  <c r="FE88" i="8"/>
  <c r="FG88" i="8"/>
  <c r="FH88" i="8"/>
  <c r="FI88" i="8"/>
  <c r="FK88" i="8"/>
  <c r="V88" i="8"/>
  <c r="G91" i="21" s="1"/>
  <c r="H91" i="21" s="1"/>
  <c r="W88" i="8"/>
  <c r="X88" i="8"/>
  <c r="Y88" i="8"/>
  <c r="AA88" i="8"/>
  <c r="AR88" i="8"/>
  <c r="AS88" i="8"/>
  <c r="AT88" i="8"/>
  <c r="AU88" i="8"/>
  <c r="U86" i="8"/>
  <c r="AI86" i="8"/>
  <c r="EJ86" i="8"/>
  <c r="Z86" i="8" s="1"/>
  <c r="EK86" i="8"/>
  <c r="FD86" i="8"/>
  <c r="FE86" i="8"/>
  <c r="FG86" i="8"/>
  <c r="FH86" i="8"/>
  <c r="FI86" i="8"/>
  <c r="FK86" i="8"/>
  <c r="V86" i="8"/>
  <c r="G83" i="21" s="1"/>
  <c r="H83" i="21" s="1"/>
  <c r="W86" i="8"/>
  <c r="X86" i="8"/>
  <c r="Y86" i="8"/>
  <c r="AA86" i="8"/>
  <c r="FF86" i="8" s="1"/>
  <c r="AR86" i="8"/>
  <c r="AS86" i="8"/>
  <c r="AT86" i="8"/>
  <c r="AU86" i="8"/>
  <c r="U82" i="8"/>
  <c r="AI82" i="8"/>
  <c r="EJ82" i="8"/>
  <c r="Z82" i="8" s="1"/>
  <c r="EK82" i="8"/>
  <c r="FD82" i="8"/>
  <c r="FE82" i="8"/>
  <c r="FG82" i="8"/>
  <c r="FH82" i="8"/>
  <c r="FI82" i="8"/>
  <c r="FK82" i="8"/>
  <c r="V82" i="8"/>
  <c r="W82" i="8"/>
  <c r="G67" i="21" s="1"/>
  <c r="H67" i="21" s="1"/>
  <c r="X82" i="8"/>
  <c r="G68" i="21" s="1"/>
  <c r="H68" i="21" s="1"/>
  <c r="Y82" i="8"/>
  <c r="G69" i="21" s="1"/>
  <c r="H69" i="21" s="1"/>
  <c r="AA82" i="8"/>
  <c r="AR82" i="8"/>
  <c r="AS82" i="8"/>
  <c r="AT82" i="8"/>
  <c r="AU82" i="8"/>
  <c r="U81" i="8"/>
  <c r="AI81" i="8"/>
  <c r="EJ81" i="8"/>
  <c r="EK81" i="8"/>
  <c r="FD81" i="8"/>
  <c r="FE81" i="8"/>
  <c r="FG81" i="8"/>
  <c r="FH81" i="8"/>
  <c r="FI81" i="8"/>
  <c r="FK81" i="8"/>
  <c r="V81" i="8"/>
  <c r="G63" i="21" s="1"/>
  <c r="H63" i="21" s="1"/>
  <c r="W81" i="8"/>
  <c r="X81" i="8"/>
  <c r="Y81" i="8"/>
  <c r="G64" i="21" s="1"/>
  <c r="H64" i="21" s="1"/>
  <c r="AA81" i="8"/>
  <c r="AR81" i="8"/>
  <c r="AT81" i="8"/>
  <c r="AU81" i="8"/>
  <c r="AI78" i="8"/>
  <c r="EJ78" i="8"/>
  <c r="Z78" i="8" s="1"/>
  <c r="EK78" i="8"/>
  <c r="FD78" i="8"/>
  <c r="FE78" i="8"/>
  <c r="FG78" i="8"/>
  <c r="FH78" i="8"/>
  <c r="FI78" i="8"/>
  <c r="FK78" i="8"/>
  <c r="V78" i="8"/>
  <c r="G50" i="21" s="1"/>
  <c r="H50" i="21" s="1"/>
  <c r="W78" i="8"/>
  <c r="X78" i="8"/>
  <c r="Y78" i="8"/>
  <c r="AA78" i="8"/>
  <c r="AR78" i="8"/>
  <c r="AS78" i="8"/>
  <c r="AT78" i="8"/>
  <c r="AU78" i="8"/>
  <c r="U61" i="8"/>
  <c r="AI61" i="8"/>
  <c r="EJ61" i="8"/>
  <c r="Z61" i="8" s="1"/>
  <c r="EK61" i="8"/>
  <c r="FD61" i="8"/>
  <c r="FE61" i="8"/>
  <c r="FG61" i="8"/>
  <c r="FH61" i="8"/>
  <c r="FI61" i="8"/>
  <c r="FK61" i="8"/>
  <c r="V61" i="8"/>
  <c r="J30" i="20" s="1"/>
  <c r="L30" i="20" s="1"/>
  <c r="W61" i="8"/>
  <c r="X61" i="8"/>
  <c r="Y61" i="8"/>
  <c r="AA61" i="8"/>
  <c r="FF61" i="8" s="1"/>
  <c r="AR61" i="8"/>
  <c r="AS61" i="8"/>
  <c r="AT61" i="8"/>
  <c r="AU61" i="8"/>
  <c r="AY20" i="19"/>
  <c r="P20" i="19" s="1"/>
  <c r="AI58" i="8"/>
  <c r="EJ58" i="8"/>
  <c r="Z58" i="8" s="1"/>
  <c r="EK58" i="8"/>
  <c r="FD58" i="8"/>
  <c r="FE58" i="8"/>
  <c r="FG58" i="8"/>
  <c r="FH58" i="8"/>
  <c r="FI58" i="8"/>
  <c r="FK58" i="8"/>
  <c r="V58" i="8"/>
  <c r="W58" i="8"/>
  <c r="AS20" i="19" s="1"/>
  <c r="J20" i="19" s="1"/>
  <c r="X58" i="8"/>
  <c r="AT20" i="19" s="1"/>
  <c r="K20" i="19" s="1"/>
  <c r="Y58" i="8"/>
  <c r="AA58" i="8"/>
  <c r="AR58" i="8"/>
  <c r="BF20" i="19" s="1"/>
  <c r="W20" i="19" s="1"/>
  <c r="AS58" i="8"/>
  <c r="BG20" i="19" s="1"/>
  <c r="X20" i="19" s="1"/>
  <c r="AT58" i="8"/>
  <c r="BK20" i="19" s="1"/>
  <c r="AB20" i="19" s="1"/>
  <c r="AU58" i="8"/>
  <c r="AY17" i="19"/>
  <c r="P17" i="19" s="1"/>
  <c r="Z55" i="8"/>
  <c r="AI55" i="8"/>
  <c r="EJ55" i="8"/>
  <c r="EK55" i="8"/>
  <c r="FD55" i="8"/>
  <c r="FE55" i="8"/>
  <c r="FG55" i="8"/>
  <c r="FH55" i="8"/>
  <c r="FI55" i="8"/>
  <c r="FK55" i="8"/>
  <c r="V55" i="8"/>
  <c r="W55" i="8"/>
  <c r="AS17" i="19" s="1"/>
  <c r="J17" i="19" s="1"/>
  <c r="X55" i="8"/>
  <c r="AT17" i="19" s="1"/>
  <c r="K17" i="19" s="1"/>
  <c r="Y55" i="8"/>
  <c r="AA55" i="8"/>
  <c r="AR55" i="8"/>
  <c r="BF17" i="19" s="1"/>
  <c r="W17" i="19" s="1"/>
  <c r="AT55" i="8"/>
  <c r="BK17" i="19" s="1"/>
  <c r="AB17" i="19" s="1"/>
  <c r="AY14" i="19"/>
  <c r="P14" i="19" s="1"/>
  <c r="AI52" i="8"/>
  <c r="EJ52" i="8"/>
  <c r="EK52" i="8"/>
  <c r="FD52" i="8"/>
  <c r="FE52" i="8"/>
  <c r="FG52" i="8"/>
  <c r="FH52" i="8"/>
  <c r="FI52" i="8"/>
  <c r="FK52" i="8"/>
  <c r="V52" i="8"/>
  <c r="W52" i="8"/>
  <c r="AS14" i="19" s="1"/>
  <c r="J14" i="19" s="1"/>
  <c r="X52" i="8"/>
  <c r="AT14" i="19" s="1"/>
  <c r="K14" i="19" s="1"/>
  <c r="Y52" i="8"/>
  <c r="AA52" i="8"/>
  <c r="AR52" i="8"/>
  <c r="BF14" i="19" s="1"/>
  <c r="W14" i="19" s="1"/>
  <c r="AT52" i="8"/>
  <c r="BK14" i="19" s="1"/>
  <c r="AB14" i="19" s="1"/>
  <c r="AU52" i="8"/>
  <c r="AY12" i="19"/>
  <c r="P12" i="19" s="1"/>
  <c r="AI50" i="8"/>
  <c r="EJ50" i="8"/>
  <c r="EK50" i="8"/>
  <c r="FD50" i="8"/>
  <c r="FE50" i="8"/>
  <c r="FG50" i="8"/>
  <c r="FH50" i="8"/>
  <c r="FI50" i="8"/>
  <c r="FK50" i="8"/>
  <c r="V50" i="8"/>
  <c r="W50" i="8"/>
  <c r="AS12" i="19" s="1"/>
  <c r="J12" i="19" s="1"/>
  <c r="X50" i="8"/>
  <c r="AT12" i="19" s="1"/>
  <c r="K12" i="19" s="1"/>
  <c r="Y50" i="8"/>
  <c r="AA50" i="8"/>
  <c r="AR50" i="8"/>
  <c r="BF12" i="19" s="1"/>
  <c r="W12" i="19" s="1"/>
  <c r="AT50" i="8"/>
  <c r="BK12" i="19" s="1"/>
  <c r="AB12" i="19" s="1"/>
  <c r="AU50" i="8"/>
  <c r="AY9" i="19"/>
  <c r="P9" i="19" s="1"/>
  <c r="AI47" i="8"/>
  <c r="U47" i="8"/>
  <c r="AV9" i="19" s="1"/>
  <c r="M9" i="19" s="1"/>
  <c r="EJ47" i="8"/>
  <c r="Z47" i="8" s="1"/>
  <c r="EK47" i="8"/>
  <c r="FD47" i="8"/>
  <c r="FE47" i="8"/>
  <c r="FG47" i="8"/>
  <c r="FH47" i="8"/>
  <c r="FI47" i="8"/>
  <c r="FK47" i="8"/>
  <c r="V47" i="8"/>
  <c r="W47" i="8"/>
  <c r="AS9" i="19" s="1"/>
  <c r="J9" i="19" s="1"/>
  <c r="X47" i="8"/>
  <c r="AT9" i="19" s="1"/>
  <c r="K9" i="19" s="1"/>
  <c r="Y47" i="8"/>
  <c r="AU9" i="19" s="1"/>
  <c r="L9" i="19" s="1"/>
  <c r="AA47" i="8"/>
  <c r="AR47" i="8"/>
  <c r="BF9" i="19" s="1"/>
  <c r="W9" i="19" s="1"/>
  <c r="AS47" i="8"/>
  <c r="BG9" i="19" s="1"/>
  <c r="X9" i="19" s="1"/>
  <c r="AT47" i="8"/>
  <c r="BK9" i="19" s="1"/>
  <c r="AB9" i="19" s="1"/>
  <c r="AU47" i="8"/>
  <c r="Z99" i="8"/>
  <c r="U99" i="8"/>
  <c r="AI99" i="8"/>
  <c r="EJ99" i="8"/>
  <c r="EK99" i="8"/>
  <c r="FD99" i="8"/>
  <c r="FE99" i="8"/>
  <c r="FG99" i="8"/>
  <c r="FH99" i="8"/>
  <c r="FI99" i="8"/>
  <c r="FK99" i="8"/>
  <c r="V99" i="8"/>
  <c r="G161" i="21" s="1"/>
  <c r="H161" i="21" s="1"/>
  <c r="W99" i="8"/>
  <c r="X99" i="8"/>
  <c r="Y99" i="8"/>
  <c r="G162" i="21" s="1"/>
  <c r="H162" i="21" s="1"/>
  <c r="AA99" i="8"/>
  <c r="AR99" i="8"/>
  <c r="AS99" i="8"/>
  <c r="AT99" i="8"/>
  <c r="AU99" i="8"/>
  <c r="G164" i="21" s="1"/>
  <c r="H164" i="21" s="1"/>
  <c r="Z97" i="8"/>
  <c r="G155" i="21" s="1"/>
  <c r="H155" i="21" s="1"/>
  <c r="AI97" i="8"/>
  <c r="EJ97" i="8"/>
  <c r="EK97" i="8"/>
  <c r="FD97" i="8"/>
  <c r="FE97" i="8"/>
  <c r="FG97" i="8"/>
  <c r="FH97" i="8"/>
  <c r="FI97" i="8"/>
  <c r="FK97" i="8"/>
  <c r="V97" i="8"/>
  <c r="G150" i="21" s="1"/>
  <c r="H150" i="21" s="1"/>
  <c r="W97" i="8"/>
  <c r="X97" i="8"/>
  <c r="Y97" i="8"/>
  <c r="AA97" i="8"/>
  <c r="AR97" i="8"/>
  <c r="AT97" i="8"/>
  <c r="AI95" i="8"/>
  <c r="T95" i="8"/>
  <c r="U95" i="8"/>
  <c r="Z95" i="8"/>
  <c r="EJ95" i="8"/>
  <c r="EK95" i="8"/>
  <c r="FD95" i="8"/>
  <c r="FE95" i="8"/>
  <c r="FG95" i="8"/>
  <c r="FH95" i="8"/>
  <c r="FI95" i="8"/>
  <c r="FK95" i="8"/>
  <c r="V95" i="8"/>
  <c r="W95" i="8"/>
  <c r="X95" i="8"/>
  <c r="Y95" i="8"/>
  <c r="AA95" i="8"/>
  <c r="FF95" i="8" s="1"/>
  <c r="AR95" i="8"/>
  <c r="AS95" i="8"/>
  <c r="AT95" i="8"/>
  <c r="AU95" i="8"/>
  <c r="T93" i="8"/>
  <c r="AI93" i="8"/>
  <c r="U93" i="8"/>
  <c r="Z93" i="8"/>
  <c r="EJ93" i="8"/>
  <c r="EK93" i="8"/>
  <c r="FD93" i="8"/>
  <c r="FE93" i="8"/>
  <c r="FG93" i="8"/>
  <c r="FH93" i="8"/>
  <c r="FI93" i="8"/>
  <c r="FK93" i="8"/>
  <c r="V93" i="8"/>
  <c r="W93" i="8"/>
  <c r="X93" i="8"/>
  <c r="Y93" i="8"/>
  <c r="AA93" i="8"/>
  <c r="FF93" i="8" s="1"/>
  <c r="AR93" i="8"/>
  <c r="AS93" i="8"/>
  <c r="AT93" i="8"/>
  <c r="AU93" i="8"/>
  <c r="U91" i="8"/>
  <c r="AI91" i="8"/>
  <c r="EJ91" i="8"/>
  <c r="Z91" i="8" s="1"/>
  <c r="EK91" i="8"/>
  <c r="FD91" i="8"/>
  <c r="FE91" i="8"/>
  <c r="FG91" i="8"/>
  <c r="FH91" i="8"/>
  <c r="FI91" i="8"/>
  <c r="FK91" i="8"/>
  <c r="V91" i="8"/>
  <c r="G100" i="21" s="1"/>
  <c r="H100" i="21" s="1"/>
  <c r="W91" i="8"/>
  <c r="X91" i="8"/>
  <c r="Y91" i="8"/>
  <c r="AA91" i="8"/>
  <c r="FF91" i="8" s="1"/>
  <c r="AR91" i="8"/>
  <c r="AS91" i="8"/>
  <c r="AT91" i="8"/>
  <c r="AU91" i="8"/>
  <c r="AI87" i="8"/>
  <c r="EJ87" i="8"/>
  <c r="Z87" i="8" s="1"/>
  <c r="EK87" i="8"/>
  <c r="FD87" i="8"/>
  <c r="FE87" i="8"/>
  <c r="FG87" i="8"/>
  <c r="FH87" i="8"/>
  <c r="FI87" i="8"/>
  <c r="FK87" i="8"/>
  <c r="V87" i="8"/>
  <c r="G87" i="21" s="1"/>
  <c r="H87" i="21" s="1"/>
  <c r="W87" i="8"/>
  <c r="X87" i="8"/>
  <c r="Y87" i="8"/>
  <c r="AA87" i="8"/>
  <c r="AR87" i="8"/>
  <c r="AS87" i="8"/>
  <c r="AT87" i="8"/>
  <c r="AU87" i="8"/>
  <c r="U85" i="8"/>
  <c r="AI85" i="8"/>
  <c r="EJ85" i="8"/>
  <c r="Z85" i="8" s="1"/>
  <c r="EK85" i="8"/>
  <c r="FD85" i="8"/>
  <c r="FE85" i="8"/>
  <c r="FG85" i="8"/>
  <c r="FH85" i="8"/>
  <c r="FI85" i="8"/>
  <c r="FK85" i="8"/>
  <c r="V85" i="8"/>
  <c r="G82" i="21" s="1"/>
  <c r="H82" i="21" s="1"/>
  <c r="W85" i="8"/>
  <c r="X85" i="8"/>
  <c r="Y85" i="8"/>
  <c r="G84" i="21" s="1"/>
  <c r="H84" i="21" s="1"/>
  <c r="AA85" i="8"/>
  <c r="FF85" i="8" s="1"/>
  <c r="AR85" i="8"/>
  <c r="AS85" i="8"/>
  <c r="AT85" i="8"/>
  <c r="AU85" i="8"/>
  <c r="U83" i="8"/>
  <c r="AI83" i="8"/>
  <c r="EJ83" i="8"/>
  <c r="Z83" i="8" s="1"/>
  <c r="EK83" i="8"/>
  <c r="FD83" i="8"/>
  <c r="FE83" i="8"/>
  <c r="FG83" i="8"/>
  <c r="FH83" i="8"/>
  <c r="FI83" i="8"/>
  <c r="FK83" i="8"/>
  <c r="V83" i="8"/>
  <c r="W83" i="8"/>
  <c r="G72" i="21" s="1"/>
  <c r="H72" i="21" s="1"/>
  <c r="X83" i="8"/>
  <c r="G73" i="21" s="1"/>
  <c r="H73" i="21" s="1"/>
  <c r="Y83" i="8"/>
  <c r="G74" i="21" s="1"/>
  <c r="H74" i="21" s="1"/>
  <c r="AA83" i="8"/>
  <c r="AR83" i="8"/>
  <c r="AS83" i="8"/>
  <c r="AT83" i="8"/>
  <c r="AU83" i="8"/>
  <c r="U80" i="8"/>
  <c r="AI80" i="8"/>
  <c r="EJ80" i="8"/>
  <c r="Z80" i="8" s="1"/>
  <c r="EK80" i="8"/>
  <c r="FD80" i="8"/>
  <c r="FE80" i="8"/>
  <c r="FG80" i="8"/>
  <c r="FH80" i="8"/>
  <c r="FI80" i="8"/>
  <c r="FK80" i="8"/>
  <c r="V80" i="8"/>
  <c r="G59" i="21" s="1"/>
  <c r="H59" i="21" s="1"/>
  <c r="W80" i="8"/>
  <c r="X80" i="8"/>
  <c r="Y80" i="8"/>
  <c r="G60" i="21" s="1"/>
  <c r="H60" i="21" s="1"/>
  <c r="AA80" i="8"/>
  <c r="AR80" i="8"/>
  <c r="AS80" i="8"/>
  <c r="AT80" i="8"/>
  <c r="AU80" i="8"/>
  <c r="U79" i="8"/>
  <c r="AI79" i="8"/>
  <c r="EJ79" i="8"/>
  <c r="EK79" i="8"/>
  <c r="FD79" i="8"/>
  <c r="FE79" i="8"/>
  <c r="FG79" i="8"/>
  <c r="FH79" i="8"/>
  <c r="FI79" i="8"/>
  <c r="FK79" i="8"/>
  <c r="V79" i="8"/>
  <c r="G54" i="21" s="1"/>
  <c r="H54" i="21" s="1"/>
  <c r="W79" i="8"/>
  <c r="X79" i="8"/>
  <c r="Y79" i="8"/>
  <c r="G55" i="21" s="1"/>
  <c r="H55" i="21" s="1"/>
  <c r="AA79" i="8"/>
  <c r="AR79" i="8"/>
  <c r="AT79" i="8"/>
  <c r="AU79" i="8"/>
  <c r="U60" i="8"/>
  <c r="AI60" i="8"/>
  <c r="EJ60" i="8"/>
  <c r="Z60" i="8" s="1"/>
  <c r="EK60" i="8"/>
  <c r="FD60" i="8"/>
  <c r="FE60" i="8"/>
  <c r="FG60" i="8"/>
  <c r="FH60" i="8"/>
  <c r="FI60" i="8"/>
  <c r="FK60" i="8"/>
  <c r="V60" i="8"/>
  <c r="J29" i="20" s="1"/>
  <c r="L29" i="20" s="1"/>
  <c r="W60" i="8"/>
  <c r="X60" i="8"/>
  <c r="Y60" i="8"/>
  <c r="AA60" i="8"/>
  <c r="FF60" i="8" s="1"/>
  <c r="AR60" i="8"/>
  <c r="AS60" i="8"/>
  <c r="AT60" i="8"/>
  <c r="AU60" i="8"/>
  <c r="AY19" i="19"/>
  <c r="P19" i="19" s="1"/>
  <c r="AI57" i="8"/>
  <c r="EJ57" i="8"/>
  <c r="Z57" i="8" s="1"/>
  <c r="EK57" i="8"/>
  <c r="FD57" i="8"/>
  <c r="FE57" i="8"/>
  <c r="FG57" i="8"/>
  <c r="FH57" i="8"/>
  <c r="FI57" i="8"/>
  <c r="FK57" i="8"/>
  <c r="V57" i="8"/>
  <c r="W57" i="8"/>
  <c r="AS19" i="19" s="1"/>
  <c r="J19" i="19" s="1"/>
  <c r="X57" i="8"/>
  <c r="AT19" i="19" s="1"/>
  <c r="K19" i="19" s="1"/>
  <c r="Y57" i="8"/>
  <c r="AA57" i="8"/>
  <c r="AR57" i="8"/>
  <c r="BF19" i="19" s="1"/>
  <c r="W19" i="19" s="1"/>
  <c r="AS57" i="8"/>
  <c r="BG19" i="19" s="1"/>
  <c r="X19" i="19" s="1"/>
  <c r="AT57" i="8"/>
  <c r="BK19" i="19" s="1"/>
  <c r="AB19" i="19" s="1"/>
  <c r="AU57" i="8"/>
  <c r="AY15" i="19"/>
  <c r="P15" i="19" s="1"/>
  <c r="AI53" i="8"/>
  <c r="EJ53" i="8"/>
  <c r="Z53" i="8" s="1"/>
  <c r="EK53" i="8"/>
  <c r="FD53" i="8"/>
  <c r="FE53" i="8"/>
  <c r="FG53" i="8"/>
  <c r="FH53" i="8"/>
  <c r="FI53" i="8"/>
  <c r="FK53" i="8"/>
  <c r="V53" i="8"/>
  <c r="W53" i="8"/>
  <c r="AS15" i="19" s="1"/>
  <c r="J15" i="19" s="1"/>
  <c r="X53" i="8"/>
  <c r="AT15" i="19" s="1"/>
  <c r="K15" i="19" s="1"/>
  <c r="Y53" i="8"/>
  <c r="AA53" i="8"/>
  <c r="AR53" i="8"/>
  <c r="BF15" i="19" s="1"/>
  <c r="W15" i="19" s="1"/>
  <c r="AS53" i="8"/>
  <c r="BG15" i="19" s="1"/>
  <c r="X15" i="19" s="1"/>
  <c r="AT53" i="8"/>
  <c r="BK15" i="19" s="1"/>
  <c r="AB15" i="19" s="1"/>
  <c r="AU53" i="8"/>
  <c r="T96" i="8"/>
  <c r="U96" i="8"/>
  <c r="AI96" i="8"/>
  <c r="Z96" i="8"/>
  <c r="EJ96" i="8"/>
  <c r="EK96" i="8"/>
  <c r="FD96" i="8"/>
  <c r="FE96" i="8"/>
  <c r="FG96" i="8"/>
  <c r="FH96" i="8"/>
  <c r="FI96" i="8"/>
  <c r="FK96" i="8"/>
  <c r="V96" i="8"/>
  <c r="G105" i="21" s="1"/>
  <c r="H105" i="21" s="1"/>
  <c r="G22" i="21" s="1"/>
  <c r="H22" i="21" s="1"/>
  <c r="W96" i="8"/>
  <c r="X96" i="8"/>
  <c r="Y96" i="8"/>
  <c r="AA96" i="8"/>
  <c r="FF96" i="8" s="1"/>
  <c r="AR96" i="8"/>
  <c r="AS96" i="8"/>
  <c r="AT96" i="8"/>
  <c r="AU96" i="8"/>
  <c r="FA76" i="8"/>
  <c r="EZ76" i="8"/>
  <c r="ES76" i="8"/>
  <c r="ER76" i="8"/>
  <c r="EQ76" i="8"/>
  <c r="FB76" i="8"/>
  <c r="EV76" i="8"/>
  <c r="EU76" i="8"/>
  <c r="ET76" i="8"/>
  <c r="EI76" i="8"/>
  <c r="EH76" i="8"/>
  <c r="FA75" i="8"/>
  <c r="EZ75" i="8"/>
  <c r="ES75" i="8"/>
  <c r="ER75" i="8"/>
  <c r="EQ75" i="8"/>
  <c r="FB75" i="8"/>
  <c r="EV75" i="8"/>
  <c r="EU75" i="8"/>
  <c r="ET75" i="8"/>
  <c r="EH75" i="8"/>
  <c r="EI75" i="8"/>
  <c r="FA73" i="8"/>
  <c r="EZ73" i="8"/>
  <c r="ES73" i="8"/>
  <c r="ER73" i="8"/>
  <c r="EQ73" i="8"/>
  <c r="FB73" i="8"/>
  <c r="EV73" i="8"/>
  <c r="EU73" i="8"/>
  <c r="ET73" i="8"/>
  <c r="EH73" i="8"/>
  <c r="EI73" i="8"/>
  <c r="FA72" i="8"/>
  <c r="EZ72" i="8"/>
  <c r="ES72" i="8"/>
  <c r="ER72" i="8"/>
  <c r="EQ72" i="8"/>
  <c r="FB72" i="8"/>
  <c r="EV72" i="8"/>
  <c r="EU72" i="8"/>
  <c r="ET72" i="8"/>
  <c r="EH72" i="8"/>
  <c r="EI72" i="8"/>
  <c r="FA71" i="8"/>
  <c r="EZ71" i="8"/>
  <c r="ES71" i="8"/>
  <c r="ER71" i="8"/>
  <c r="EQ71" i="8"/>
  <c r="FB71" i="8"/>
  <c r="EV71" i="8"/>
  <c r="EU71" i="8"/>
  <c r="ET71" i="8"/>
  <c r="EH71" i="8"/>
  <c r="EI71" i="8"/>
  <c r="FA70" i="8"/>
  <c r="EZ70" i="8"/>
  <c r="ES70" i="8"/>
  <c r="ER70" i="8"/>
  <c r="EQ70" i="8"/>
  <c r="FB70" i="8"/>
  <c r="EV70" i="8"/>
  <c r="EU70" i="8"/>
  <c r="ET70" i="8"/>
  <c r="EH70" i="8"/>
  <c r="EI70" i="8"/>
  <c r="EH69" i="8"/>
  <c r="EI69" i="8"/>
  <c r="FA69" i="8"/>
  <c r="EZ69" i="8"/>
  <c r="ES69" i="8"/>
  <c r="ER69" i="8"/>
  <c r="EQ69" i="8"/>
  <c r="FB69" i="8"/>
  <c r="EV69" i="8"/>
  <c r="EU69" i="8"/>
  <c r="ET69" i="8"/>
  <c r="FA68" i="8"/>
  <c r="EZ68" i="8"/>
  <c r="ES68" i="8"/>
  <c r="ER68" i="8"/>
  <c r="EQ68" i="8"/>
  <c r="FB68" i="8"/>
  <c r="EV68" i="8"/>
  <c r="EU68" i="8"/>
  <c r="ET68" i="8"/>
  <c r="EH68" i="8"/>
  <c r="EI68" i="8"/>
  <c r="EH65" i="8"/>
  <c r="EI65" i="8"/>
  <c r="ES65" i="8"/>
  <c r="ER65" i="8"/>
  <c r="EQ65" i="8"/>
  <c r="FB65" i="8"/>
  <c r="EV65" i="8"/>
  <c r="EU65" i="8"/>
  <c r="ET65" i="8"/>
  <c r="FA64" i="8"/>
  <c r="EZ64" i="8"/>
  <c r="ES64" i="8"/>
  <c r="ER64" i="8"/>
  <c r="EQ64" i="8"/>
  <c r="FB64" i="8"/>
  <c r="EV64" i="8"/>
  <c r="EU64" i="8"/>
  <c r="ET64" i="8"/>
  <c r="EH64" i="8"/>
  <c r="EI64" i="8"/>
  <c r="CS63" i="8"/>
  <c r="CS67" i="8"/>
  <c r="CM101" i="8"/>
  <c r="CL101" i="8"/>
  <c r="CR101" i="8" s="1"/>
  <c r="EO100" i="8"/>
  <c r="EP100" i="8"/>
  <c r="EC100" i="8"/>
  <c r="EB100" i="8"/>
  <c r="DZ100" i="8"/>
  <c r="EG100" i="8"/>
  <c r="EA100" i="8"/>
  <c r="EH89" i="8"/>
  <c r="EI89" i="8"/>
  <c r="CS102" i="8"/>
  <c r="CR84" i="8"/>
  <c r="G20" i="21"/>
  <c r="H20" i="21" s="1"/>
  <c r="CR66" i="8"/>
  <c r="CR48" i="8"/>
  <c r="AG33" i="8"/>
  <c r="AF33" i="8"/>
  <c r="FA98" i="8"/>
  <c r="AU98" i="8" s="1"/>
  <c r="G159" i="21" s="1"/>
  <c r="H159" i="21" s="1"/>
  <c r="EZ98" i="8"/>
  <c r="AS98" i="8" s="1"/>
  <c r="FA55" i="8"/>
  <c r="AU55" i="8" s="1"/>
  <c r="J80" i="20" s="1"/>
  <c r="L80" i="20" s="1"/>
  <c r="EZ55" i="8"/>
  <c r="AS55" i="8" s="1"/>
  <c r="BG17" i="19" s="1"/>
  <c r="X17" i="19" s="1"/>
  <c r="FA97" i="8"/>
  <c r="AU97" i="8" s="1"/>
  <c r="G153" i="21" s="1"/>
  <c r="H153" i="21" s="1"/>
  <c r="EZ97" i="8"/>
  <c r="AS97" i="8" s="1"/>
  <c r="Z50" i="8" l="1"/>
  <c r="AS50" i="8"/>
  <c r="BG12" i="19" s="1"/>
  <c r="X12" i="19" s="1"/>
  <c r="Z79" i="8"/>
  <c r="AS79" i="8"/>
  <c r="CW74" i="8"/>
  <c r="AJ74" i="8" s="1"/>
  <c r="CY74" i="8" s="1"/>
  <c r="DM74" i="8"/>
  <c r="CX74" i="8"/>
  <c r="DN74" i="8" s="1"/>
  <c r="FJ103" i="8"/>
  <c r="AB103" i="8"/>
  <c r="EL103" i="8"/>
  <c r="EM103" i="8"/>
  <c r="FJ62" i="8"/>
  <c r="AB62" i="8"/>
  <c r="EL62" i="8"/>
  <c r="EM62" i="8"/>
  <c r="AC62" i="8"/>
  <c r="AD62" i="8"/>
  <c r="AW21" i="19"/>
  <c r="N21" i="19" s="1"/>
  <c r="E61" i="18"/>
  <c r="FJ59" i="8"/>
  <c r="AB59" i="8"/>
  <c r="BB21" i="19" s="1"/>
  <c r="S21" i="19" s="1"/>
  <c r="BD21" i="19"/>
  <c r="U21" i="19" s="1"/>
  <c r="EL59" i="8"/>
  <c r="EM59" i="8"/>
  <c r="AR21" i="19"/>
  <c r="I21" i="19" s="1"/>
  <c r="J27" i="20"/>
  <c r="L27" i="20" s="1"/>
  <c r="BA21" i="19"/>
  <c r="R21" i="19" s="1"/>
  <c r="H61" i="18"/>
  <c r="FF59" i="8"/>
  <c r="AW18" i="19"/>
  <c r="N18" i="19" s="1"/>
  <c r="E58" i="18"/>
  <c r="FJ56" i="8"/>
  <c r="AB56" i="8"/>
  <c r="BB18" i="19" s="1"/>
  <c r="S18" i="19" s="1"/>
  <c r="BD18" i="19"/>
  <c r="U18" i="19" s="1"/>
  <c r="EL56" i="8"/>
  <c r="EM56" i="8"/>
  <c r="AR18" i="19"/>
  <c r="I18" i="19" s="1"/>
  <c r="J24" i="20"/>
  <c r="L24" i="20" s="1"/>
  <c r="BA18" i="19"/>
  <c r="R18" i="19" s="1"/>
  <c r="H58" i="18"/>
  <c r="FF56" i="8"/>
  <c r="FJ54" i="8"/>
  <c r="AB54" i="8"/>
  <c r="BB16" i="19" s="1"/>
  <c r="S16" i="19" s="1"/>
  <c r="BD16" i="19"/>
  <c r="U16" i="19" s="1"/>
  <c r="EL54" i="8"/>
  <c r="EM54" i="8"/>
  <c r="AR16" i="19"/>
  <c r="I16" i="19" s="1"/>
  <c r="J20" i="20"/>
  <c r="L20" i="20" s="1"/>
  <c r="BA16" i="19"/>
  <c r="R16" i="19" s="1"/>
  <c r="H56" i="18"/>
  <c r="FF54" i="8"/>
  <c r="AW13" i="19"/>
  <c r="N13" i="19" s="1"/>
  <c r="E53" i="18"/>
  <c r="FJ51" i="8"/>
  <c r="AB51" i="8"/>
  <c r="BB13" i="19" s="1"/>
  <c r="S13" i="19" s="1"/>
  <c r="BD13" i="19"/>
  <c r="U13" i="19" s="1"/>
  <c r="EL51" i="8"/>
  <c r="EM51" i="8"/>
  <c r="AR13" i="19"/>
  <c r="I13" i="19" s="1"/>
  <c r="J16" i="20"/>
  <c r="L16" i="20" s="1"/>
  <c r="BA13" i="19"/>
  <c r="R13" i="19" s="1"/>
  <c r="H53" i="18"/>
  <c r="FF51" i="8"/>
  <c r="AW11" i="19"/>
  <c r="N11" i="19" s="1"/>
  <c r="E51" i="18"/>
  <c r="FJ49" i="8"/>
  <c r="AB49" i="8"/>
  <c r="BB11" i="19" s="1"/>
  <c r="S11" i="19" s="1"/>
  <c r="BD11" i="19"/>
  <c r="U11" i="19" s="1"/>
  <c r="EL49" i="8"/>
  <c r="EM49" i="8"/>
  <c r="AR11" i="19"/>
  <c r="I11" i="19" s="1"/>
  <c r="J14" i="20"/>
  <c r="L14" i="20" s="1"/>
  <c r="BA11" i="19"/>
  <c r="R11" i="19" s="1"/>
  <c r="H51" i="18"/>
  <c r="FF49" i="8"/>
  <c r="AW8" i="19"/>
  <c r="N8" i="19" s="1"/>
  <c r="E48" i="18"/>
  <c r="FJ46" i="8"/>
  <c r="AB46" i="8"/>
  <c r="BB8" i="19" s="1"/>
  <c r="S8" i="19" s="1"/>
  <c r="BD8" i="19"/>
  <c r="U8" i="19" s="1"/>
  <c r="EL46" i="8"/>
  <c r="EM46" i="8"/>
  <c r="AR8" i="19"/>
  <c r="I8" i="19" s="1"/>
  <c r="J7" i="20"/>
  <c r="L7" i="20" s="1"/>
  <c r="BA8" i="19"/>
  <c r="R8" i="19" s="1"/>
  <c r="J8" i="20"/>
  <c r="L8" i="20" s="1"/>
  <c r="H48" i="18"/>
  <c r="FF46" i="8"/>
  <c r="FJ98" i="8"/>
  <c r="AB98" i="8"/>
  <c r="EL98" i="8"/>
  <c r="EM98" i="8"/>
  <c r="G158" i="21"/>
  <c r="H158" i="21" s="1"/>
  <c r="FF98" i="8"/>
  <c r="FJ94" i="8"/>
  <c r="AD94" i="8" s="1"/>
  <c r="AB94" i="8"/>
  <c r="EL94" i="8"/>
  <c r="EM94" i="8"/>
  <c r="FJ92" i="8"/>
  <c r="AD92" i="8" s="1"/>
  <c r="AB92" i="8"/>
  <c r="EL92" i="8"/>
  <c r="EM92" i="8"/>
  <c r="FJ90" i="8"/>
  <c r="AB90" i="8"/>
  <c r="EL90" i="8"/>
  <c r="EM90" i="8"/>
  <c r="AC90" i="8"/>
  <c r="AD90" i="8"/>
  <c r="FJ88" i="8"/>
  <c r="AB88" i="8"/>
  <c r="EL88" i="8"/>
  <c r="EM88" i="8"/>
  <c r="G93" i="21"/>
  <c r="H93" i="21" s="1"/>
  <c r="FF88" i="8"/>
  <c r="FJ86" i="8"/>
  <c r="AB86" i="8"/>
  <c r="EL86" i="8"/>
  <c r="EM86" i="8"/>
  <c r="AC86" i="8"/>
  <c r="G86" i="21" s="1"/>
  <c r="H86" i="21" s="1"/>
  <c r="AD86" i="8"/>
  <c r="FJ82" i="8"/>
  <c r="AB82" i="8"/>
  <c r="EL82" i="8"/>
  <c r="EM82" i="8"/>
  <c r="G70" i="21"/>
  <c r="H70" i="21" s="1"/>
  <c r="FF82" i="8"/>
  <c r="FJ81" i="8"/>
  <c r="AB81" i="8"/>
  <c r="EL81" i="8"/>
  <c r="EM81" i="8"/>
  <c r="G65" i="21"/>
  <c r="H65" i="21" s="1"/>
  <c r="FF81" i="8"/>
  <c r="FJ78" i="8"/>
  <c r="AB78" i="8"/>
  <c r="EL78" i="8"/>
  <c r="EM78" i="8"/>
  <c r="G52" i="21"/>
  <c r="H52" i="21" s="1"/>
  <c r="FF78" i="8"/>
  <c r="FJ61" i="8"/>
  <c r="AB61" i="8"/>
  <c r="EL61" i="8"/>
  <c r="EM61" i="8"/>
  <c r="AC61" i="8"/>
  <c r="AD61" i="8"/>
  <c r="AW20" i="19"/>
  <c r="N20" i="19" s="1"/>
  <c r="E60" i="18"/>
  <c r="FJ58" i="8"/>
  <c r="AB58" i="8"/>
  <c r="BB20" i="19" s="1"/>
  <c r="S20" i="19" s="1"/>
  <c r="BD20" i="19"/>
  <c r="U20" i="19" s="1"/>
  <c r="EL58" i="8"/>
  <c r="EM58" i="8"/>
  <c r="AR20" i="19"/>
  <c r="I20" i="19" s="1"/>
  <c r="J26" i="20"/>
  <c r="L26" i="20" s="1"/>
  <c r="BA20" i="19"/>
  <c r="R20" i="19" s="1"/>
  <c r="H60" i="18"/>
  <c r="FF58" i="8"/>
  <c r="AW17" i="19"/>
  <c r="N17" i="19" s="1"/>
  <c r="J23" i="20"/>
  <c r="L23" i="20" s="1"/>
  <c r="E57" i="18"/>
  <c r="FJ55" i="8"/>
  <c r="AB55" i="8"/>
  <c r="BB17" i="19" s="1"/>
  <c r="S17" i="19" s="1"/>
  <c r="BD17" i="19"/>
  <c r="U17" i="19" s="1"/>
  <c r="EL55" i="8"/>
  <c r="EM55" i="8"/>
  <c r="AR17" i="19"/>
  <c r="I17" i="19" s="1"/>
  <c r="J21" i="20"/>
  <c r="L21" i="20" s="1"/>
  <c r="BA17" i="19"/>
  <c r="R17" i="19" s="1"/>
  <c r="H57" i="18"/>
  <c r="FF55" i="8"/>
  <c r="FJ52" i="8"/>
  <c r="AB52" i="8"/>
  <c r="BB14" i="19" s="1"/>
  <c r="S14" i="19" s="1"/>
  <c r="BD14" i="19"/>
  <c r="U14" i="19" s="1"/>
  <c r="EL52" i="8"/>
  <c r="EM52" i="8"/>
  <c r="AR14" i="19"/>
  <c r="I14" i="19" s="1"/>
  <c r="J17" i="20"/>
  <c r="L17" i="20" s="1"/>
  <c r="BA14" i="19"/>
  <c r="R14" i="19" s="1"/>
  <c r="H54" i="18"/>
  <c r="FF52" i="8"/>
  <c r="AW12" i="19"/>
  <c r="N12" i="19" s="1"/>
  <c r="E52" i="18"/>
  <c r="FJ50" i="8"/>
  <c r="AB50" i="8"/>
  <c r="BB12" i="19" s="1"/>
  <c r="S12" i="19" s="1"/>
  <c r="BD12" i="19"/>
  <c r="U12" i="19" s="1"/>
  <c r="EL50" i="8"/>
  <c r="EM50" i="8"/>
  <c r="AR12" i="19"/>
  <c r="I12" i="19" s="1"/>
  <c r="J15" i="20"/>
  <c r="L15" i="20" s="1"/>
  <c r="BA12" i="19"/>
  <c r="R12" i="19" s="1"/>
  <c r="H52" i="18"/>
  <c r="FF50" i="8"/>
  <c r="AW9" i="19"/>
  <c r="N9" i="19" s="1"/>
  <c r="E49" i="18"/>
  <c r="FJ47" i="8"/>
  <c r="AB47" i="8"/>
  <c r="BD9" i="19"/>
  <c r="U9" i="19" s="1"/>
  <c r="EL47" i="8"/>
  <c r="EM47" i="8"/>
  <c r="AR9" i="19"/>
  <c r="I9" i="19" s="1"/>
  <c r="J9" i="20"/>
  <c r="L9" i="20" s="1"/>
  <c r="BA9" i="19"/>
  <c r="R9" i="19" s="1"/>
  <c r="J10" i="20"/>
  <c r="L10" i="20" s="1"/>
  <c r="H49" i="18"/>
  <c r="FF47" i="8"/>
  <c r="FJ99" i="8"/>
  <c r="AB99" i="8"/>
  <c r="EL99" i="8"/>
  <c r="EM99" i="8"/>
  <c r="G163" i="21"/>
  <c r="H163" i="21" s="1"/>
  <c r="FF99" i="8"/>
  <c r="FJ97" i="8"/>
  <c r="AB97" i="8"/>
  <c r="EL97" i="8"/>
  <c r="EM97" i="8"/>
  <c r="G152" i="21"/>
  <c r="H152" i="21" s="1"/>
  <c r="FF97" i="8"/>
  <c r="FJ95" i="8"/>
  <c r="AD95" i="8" s="1"/>
  <c r="AB95" i="8"/>
  <c r="EL95" i="8"/>
  <c r="EM95" i="8"/>
  <c r="FJ93" i="8"/>
  <c r="AD93" i="8" s="1"/>
  <c r="AB93" i="8"/>
  <c r="EL93" i="8"/>
  <c r="EM93" i="8"/>
  <c r="FJ91" i="8"/>
  <c r="AB91" i="8"/>
  <c r="EL91" i="8"/>
  <c r="EM91" i="8"/>
  <c r="AC91" i="8"/>
  <c r="AD91" i="8"/>
  <c r="FJ87" i="8"/>
  <c r="AB87" i="8"/>
  <c r="EL87" i="8"/>
  <c r="EM87" i="8"/>
  <c r="G89" i="21"/>
  <c r="H89" i="21" s="1"/>
  <c r="FF87" i="8"/>
  <c r="FJ85" i="8"/>
  <c r="AB85" i="8"/>
  <c r="EL85" i="8"/>
  <c r="EM85" i="8"/>
  <c r="AC85" i="8"/>
  <c r="G85" i="21" s="1"/>
  <c r="H85" i="21" s="1"/>
  <c r="AD85" i="8"/>
  <c r="FJ83" i="8"/>
  <c r="AB83" i="8"/>
  <c r="EL83" i="8"/>
  <c r="EM83" i="8"/>
  <c r="G75" i="21"/>
  <c r="H75" i="21" s="1"/>
  <c r="FF83" i="8"/>
  <c r="FJ80" i="8"/>
  <c r="AB80" i="8"/>
  <c r="EL80" i="8"/>
  <c r="EM80" i="8"/>
  <c r="G61" i="21"/>
  <c r="H61" i="21" s="1"/>
  <c r="FF80" i="8"/>
  <c r="FJ79" i="8"/>
  <c r="AB79" i="8"/>
  <c r="EL79" i="8"/>
  <c r="EM79" i="8"/>
  <c r="G57" i="21"/>
  <c r="H57" i="21" s="1"/>
  <c r="FF79" i="8"/>
  <c r="FJ60" i="8"/>
  <c r="AB60" i="8"/>
  <c r="EL60" i="8"/>
  <c r="EM60" i="8"/>
  <c r="AD60" i="8"/>
  <c r="AC60" i="8"/>
  <c r="AW19" i="19"/>
  <c r="N19" i="19" s="1"/>
  <c r="E59" i="18"/>
  <c r="FJ57" i="8"/>
  <c r="AB57" i="8"/>
  <c r="BB19" i="19" s="1"/>
  <c r="S19" i="19" s="1"/>
  <c r="BD19" i="19"/>
  <c r="U19" i="19" s="1"/>
  <c r="EL57" i="8"/>
  <c r="EM57" i="8"/>
  <c r="AR19" i="19"/>
  <c r="I19" i="19" s="1"/>
  <c r="J25" i="20"/>
  <c r="L25" i="20" s="1"/>
  <c r="BA19" i="19"/>
  <c r="R19" i="19" s="1"/>
  <c r="H59" i="18"/>
  <c r="FF57" i="8"/>
  <c r="AW15" i="19"/>
  <c r="N15" i="19" s="1"/>
  <c r="E55" i="18"/>
  <c r="FJ53" i="8"/>
  <c r="AB53" i="8"/>
  <c r="BB15" i="19" s="1"/>
  <c r="S15" i="19" s="1"/>
  <c r="BD15" i="19"/>
  <c r="U15" i="19" s="1"/>
  <c r="EL53" i="8"/>
  <c r="EM53" i="8"/>
  <c r="AR15" i="19"/>
  <c r="I15" i="19" s="1"/>
  <c r="J18" i="20"/>
  <c r="L18" i="20" s="1"/>
  <c r="BA15" i="19"/>
  <c r="R15" i="19" s="1"/>
  <c r="J19" i="20"/>
  <c r="L19" i="20" s="1"/>
  <c r="H55" i="18"/>
  <c r="FF53" i="8"/>
  <c r="FJ96" i="8"/>
  <c r="AD96" i="8" s="1"/>
  <c r="AB96" i="8"/>
  <c r="EL96" i="8"/>
  <c r="EM96" i="8"/>
  <c r="U76" i="8"/>
  <c r="AI76" i="8"/>
  <c r="EJ76" i="8"/>
  <c r="Z76" i="8" s="1"/>
  <c r="EK76" i="8"/>
  <c r="FD76" i="8"/>
  <c r="FE76" i="8"/>
  <c r="FG76" i="8"/>
  <c r="FH76" i="8"/>
  <c r="FI76" i="8"/>
  <c r="FK76" i="8"/>
  <c r="V76" i="8"/>
  <c r="J71" i="20" s="1"/>
  <c r="L71" i="20" s="1"/>
  <c r="W76" i="8"/>
  <c r="X76" i="8"/>
  <c r="Y76" i="8"/>
  <c r="AA76" i="8"/>
  <c r="FF76" i="8" s="1"/>
  <c r="AR76" i="8"/>
  <c r="AS76" i="8"/>
  <c r="AT76" i="8"/>
  <c r="AU76" i="8"/>
  <c r="U75" i="8"/>
  <c r="AI75" i="8"/>
  <c r="EJ75" i="8"/>
  <c r="Z75" i="8" s="1"/>
  <c r="EK75" i="8"/>
  <c r="FD75" i="8"/>
  <c r="FE75" i="8"/>
  <c r="FG75" i="8"/>
  <c r="FH75" i="8"/>
  <c r="FI75" i="8"/>
  <c r="FK75" i="8"/>
  <c r="V75" i="8"/>
  <c r="J70" i="20" s="1"/>
  <c r="L70" i="20" s="1"/>
  <c r="W75" i="8"/>
  <c r="X75" i="8"/>
  <c r="Y75" i="8"/>
  <c r="AA75" i="8"/>
  <c r="FF75" i="8" s="1"/>
  <c r="AR75" i="8"/>
  <c r="AS75" i="8"/>
  <c r="AT75" i="8"/>
  <c r="AU75" i="8"/>
  <c r="AI73" i="8"/>
  <c r="U73" i="8"/>
  <c r="EJ73" i="8"/>
  <c r="Z73" i="8" s="1"/>
  <c r="EK73" i="8"/>
  <c r="FD73" i="8"/>
  <c r="FE73" i="8"/>
  <c r="FG73" i="8"/>
  <c r="FH73" i="8"/>
  <c r="FI73" i="8"/>
  <c r="FK73" i="8"/>
  <c r="V73" i="8"/>
  <c r="W73" i="8"/>
  <c r="J65" i="20" s="1"/>
  <c r="L65" i="20" s="1"/>
  <c r="X73" i="8"/>
  <c r="J66" i="20" s="1"/>
  <c r="L66" i="20" s="1"/>
  <c r="Y73" i="8"/>
  <c r="AA73" i="8"/>
  <c r="AR73" i="8"/>
  <c r="AS73" i="8"/>
  <c r="AT73" i="8"/>
  <c r="AU73" i="8"/>
  <c r="U72" i="8"/>
  <c r="AI72" i="8"/>
  <c r="EJ72" i="8"/>
  <c r="EK72" i="8"/>
  <c r="FD72" i="8"/>
  <c r="FE72" i="8"/>
  <c r="FG72" i="8"/>
  <c r="FH72" i="8"/>
  <c r="FI72" i="8"/>
  <c r="FK72" i="8"/>
  <c r="V72" i="8"/>
  <c r="J64" i="20" s="1"/>
  <c r="L64" i="20" s="1"/>
  <c r="W72" i="8"/>
  <c r="X72" i="8"/>
  <c r="Y72" i="8"/>
  <c r="AA72" i="8"/>
  <c r="FF72" i="8" s="1"/>
  <c r="AR72" i="8"/>
  <c r="AT72" i="8"/>
  <c r="AU72" i="8"/>
  <c r="AI71" i="8"/>
  <c r="U71" i="8"/>
  <c r="EJ71" i="8"/>
  <c r="Z71" i="8" s="1"/>
  <c r="EK71" i="8"/>
  <c r="FD71" i="8"/>
  <c r="FE71" i="8"/>
  <c r="FG71" i="8"/>
  <c r="FH71" i="8"/>
  <c r="FI71" i="8"/>
  <c r="FK71" i="8"/>
  <c r="V71" i="8"/>
  <c r="W71" i="8"/>
  <c r="J62" i="20" s="1"/>
  <c r="L62" i="20" s="1"/>
  <c r="X71" i="8"/>
  <c r="J63" i="20" s="1"/>
  <c r="L63" i="20" s="1"/>
  <c r="Y71" i="8"/>
  <c r="AA71" i="8"/>
  <c r="FF71" i="8" s="1"/>
  <c r="AR71" i="8"/>
  <c r="AS71" i="8"/>
  <c r="AT71" i="8"/>
  <c r="AU71" i="8"/>
  <c r="AI70" i="8"/>
  <c r="U70" i="8"/>
  <c r="EJ70" i="8"/>
  <c r="Z70" i="8" s="1"/>
  <c r="EK70" i="8"/>
  <c r="FD70" i="8"/>
  <c r="FE70" i="8"/>
  <c r="FG70" i="8"/>
  <c r="FH70" i="8"/>
  <c r="FI70" i="8"/>
  <c r="FK70" i="8"/>
  <c r="V70" i="8"/>
  <c r="J61" i="20" s="1"/>
  <c r="L61" i="20" s="1"/>
  <c r="W70" i="8"/>
  <c r="X70" i="8"/>
  <c r="Y70" i="8"/>
  <c r="AA70" i="8"/>
  <c r="FF70" i="8" s="1"/>
  <c r="AR70" i="8"/>
  <c r="AS70" i="8"/>
  <c r="AT70" i="8"/>
  <c r="AU70" i="8"/>
  <c r="AI69" i="8"/>
  <c r="U69" i="8"/>
  <c r="EJ69" i="8"/>
  <c r="Z69" i="8" s="1"/>
  <c r="EK69" i="8"/>
  <c r="FD69" i="8"/>
  <c r="FE69" i="8"/>
  <c r="FG69" i="8"/>
  <c r="FH69" i="8"/>
  <c r="FI69" i="8"/>
  <c r="FK69" i="8"/>
  <c r="V69" i="8"/>
  <c r="W69" i="8"/>
  <c r="J59" i="20" s="1"/>
  <c r="L59" i="20" s="1"/>
  <c r="X69" i="8"/>
  <c r="J60" i="20" s="1"/>
  <c r="L60" i="20" s="1"/>
  <c r="Y69" i="8"/>
  <c r="AA69" i="8"/>
  <c r="FF69" i="8" s="1"/>
  <c r="AR69" i="8"/>
  <c r="AS69" i="8"/>
  <c r="AT69" i="8"/>
  <c r="AU69" i="8"/>
  <c r="U68" i="8"/>
  <c r="AI68" i="8"/>
  <c r="EJ68" i="8"/>
  <c r="Z68" i="8" s="1"/>
  <c r="EK68" i="8"/>
  <c r="FD68" i="8"/>
  <c r="FE68" i="8"/>
  <c r="FG68" i="8"/>
  <c r="FH68" i="8"/>
  <c r="FI68" i="8"/>
  <c r="FK68" i="8"/>
  <c r="V68" i="8"/>
  <c r="J58" i="20" s="1"/>
  <c r="L58" i="20" s="1"/>
  <c r="W68" i="8"/>
  <c r="X68" i="8"/>
  <c r="Y68" i="8"/>
  <c r="AA68" i="8"/>
  <c r="FF68" i="8" s="1"/>
  <c r="AR68" i="8"/>
  <c r="AS68" i="8"/>
  <c r="AT68" i="8"/>
  <c r="AU68" i="8"/>
  <c r="U65" i="8"/>
  <c r="AI65" i="8"/>
  <c r="Z65" i="8"/>
  <c r="J83" i="20" s="1"/>
  <c r="L83" i="20" s="1"/>
  <c r="EJ65" i="8"/>
  <c r="EK65" i="8"/>
  <c r="FD65" i="8"/>
  <c r="FE65" i="8"/>
  <c r="FG65" i="8"/>
  <c r="FH65" i="8"/>
  <c r="FI65" i="8"/>
  <c r="FK65" i="8"/>
  <c r="V65" i="8"/>
  <c r="J37" i="20" s="1"/>
  <c r="L37" i="20" s="1"/>
  <c r="W65" i="8"/>
  <c r="X65" i="8"/>
  <c r="Y65" i="8"/>
  <c r="AA65" i="8"/>
  <c r="FF65" i="8" s="1"/>
  <c r="AR65" i="8"/>
  <c r="AT65" i="8"/>
  <c r="AI64" i="8"/>
  <c r="EJ64" i="8"/>
  <c r="Z64" i="8" s="1"/>
  <c r="EK64" i="8"/>
  <c r="FD64" i="8"/>
  <c r="FE64" i="8"/>
  <c r="FG64" i="8"/>
  <c r="FH64" i="8"/>
  <c r="FI64" i="8"/>
  <c r="FK64" i="8"/>
  <c r="V64" i="8"/>
  <c r="J34" i="20" s="1"/>
  <c r="L34" i="20" s="1"/>
  <c r="W64" i="8"/>
  <c r="X64" i="8"/>
  <c r="Y64" i="8"/>
  <c r="AA64" i="8"/>
  <c r="FF64" i="8" s="1"/>
  <c r="AR64" i="8"/>
  <c r="AS64" i="8"/>
  <c r="AT64" i="8"/>
  <c r="AU64" i="8"/>
  <c r="CU63" i="8"/>
  <c r="CV63" i="8" s="1"/>
  <c r="CT63" i="8"/>
  <c r="CT67" i="8"/>
  <c r="CU67" i="8"/>
  <c r="CV67" i="8" s="1"/>
  <c r="FA100" i="8"/>
  <c r="EZ100" i="8"/>
  <c r="ES100" i="8"/>
  <c r="ER100" i="8"/>
  <c r="EQ100" i="8"/>
  <c r="FB100" i="8"/>
  <c r="EV100" i="8"/>
  <c r="EU100" i="8"/>
  <c r="ET100" i="8"/>
  <c r="EI100" i="8"/>
  <c r="EH100" i="8"/>
  <c r="AI89" i="8"/>
  <c r="EJ89" i="8"/>
  <c r="Z89" i="8" s="1"/>
  <c r="EK89" i="8"/>
  <c r="FD89" i="8"/>
  <c r="FE89" i="8"/>
  <c r="FG89" i="8"/>
  <c r="FH89" i="8"/>
  <c r="FI89" i="8"/>
  <c r="FK89" i="8"/>
  <c r="V89" i="8"/>
  <c r="G95" i="21" s="1"/>
  <c r="H95" i="21" s="1"/>
  <c r="W89" i="8"/>
  <c r="X89" i="8"/>
  <c r="Y89" i="8"/>
  <c r="AA89" i="8"/>
  <c r="FF89" i="8" s="1"/>
  <c r="AR89" i="8"/>
  <c r="AS89" i="8"/>
  <c r="AT89" i="8"/>
  <c r="AU89" i="8"/>
  <c r="CT102" i="8"/>
  <c r="CU102" i="8"/>
  <c r="CV102" i="8" s="1"/>
  <c r="CS84" i="8"/>
  <c r="CS66" i="8"/>
  <c r="CS48" i="8"/>
  <c r="AD103" i="8"/>
  <c r="AM21" i="19"/>
  <c r="D21" i="19" s="1"/>
  <c r="D61" i="18"/>
  <c r="AU21" i="19"/>
  <c r="L21" i="19" s="1"/>
  <c r="U59" i="8"/>
  <c r="AM18" i="19"/>
  <c r="D18" i="19" s="1"/>
  <c r="D58" i="18"/>
  <c r="AU18" i="19"/>
  <c r="L18" i="19" s="1"/>
  <c r="U56" i="8"/>
  <c r="AM16" i="19"/>
  <c r="D16" i="19" s="1"/>
  <c r="D56" i="18"/>
  <c r="AS54" i="8"/>
  <c r="BG16" i="19" s="1"/>
  <c r="X16" i="19" s="1"/>
  <c r="Z54" i="8"/>
  <c r="AU16" i="19"/>
  <c r="L16" i="19" s="1"/>
  <c r="U54" i="8"/>
  <c r="AM13" i="19"/>
  <c r="D13" i="19" s="1"/>
  <c r="D53" i="18"/>
  <c r="AU13" i="19"/>
  <c r="L13" i="19" s="1"/>
  <c r="U51" i="8"/>
  <c r="AM11" i="19"/>
  <c r="D11" i="19" s="1"/>
  <c r="D51" i="18"/>
  <c r="AU11" i="19"/>
  <c r="L11" i="19" s="1"/>
  <c r="U49" i="8"/>
  <c r="AM8" i="19"/>
  <c r="D8" i="19" s="1"/>
  <c r="D48" i="18"/>
  <c r="AU8" i="19"/>
  <c r="L8" i="19" s="1"/>
  <c r="U46" i="8"/>
  <c r="G92" i="21"/>
  <c r="H92" i="21" s="1"/>
  <c r="U88" i="8"/>
  <c r="Z81" i="8"/>
  <c r="AS81" i="8"/>
  <c r="G51" i="21"/>
  <c r="H51" i="21" s="1"/>
  <c r="U78" i="8"/>
  <c r="AM20" i="19"/>
  <c r="D20" i="19" s="1"/>
  <c r="D60" i="18"/>
  <c r="AU20" i="19"/>
  <c r="L20" i="19" s="1"/>
  <c r="U58" i="8"/>
  <c r="AM17" i="19"/>
  <c r="D17" i="19" s="1"/>
  <c r="D57" i="18"/>
  <c r="AU17" i="19"/>
  <c r="L17" i="19" s="1"/>
  <c r="U55" i="8"/>
  <c r="AM14" i="19"/>
  <c r="D14" i="19" s="1"/>
  <c r="D54" i="18"/>
  <c r="AS52" i="8"/>
  <c r="BG14" i="19" s="1"/>
  <c r="X14" i="19" s="1"/>
  <c r="Z52" i="8"/>
  <c r="AU14" i="19"/>
  <c r="L14" i="19" s="1"/>
  <c r="U52" i="8"/>
  <c r="AM12" i="19"/>
  <c r="D12" i="19" s="1"/>
  <c r="D52" i="18"/>
  <c r="AU12" i="19"/>
  <c r="L12" i="19" s="1"/>
  <c r="U50" i="8"/>
  <c r="AM9" i="19"/>
  <c r="D9" i="19" s="1"/>
  <c r="D49" i="18"/>
  <c r="G151" i="21"/>
  <c r="H151" i="21" s="1"/>
  <c r="U97" i="8"/>
  <c r="G88" i="21"/>
  <c r="H88" i="21" s="1"/>
  <c r="U87" i="8"/>
  <c r="AM19" i="19"/>
  <c r="D19" i="19" s="1"/>
  <c r="D59" i="18"/>
  <c r="AU19" i="19"/>
  <c r="L19" i="19" s="1"/>
  <c r="U57" i="8"/>
  <c r="AM15" i="19"/>
  <c r="D15" i="19" s="1"/>
  <c r="D55" i="18"/>
  <c r="AU15" i="19"/>
  <c r="L15" i="19" s="1"/>
  <c r="U53" i="8"/>
  <c r="FA65" i="8"/>
  <c r="AU65" i="8" s="1"/>
  <c r="J82" i="20" s="1"/>
  <c r="L82" i="20" s="1"/>
  <c r="EZ65" i="8"/>
  <c r="CS101" i="8"/>
  <c r="G15" i="21" l="1"/>
  <c r="H15" i="21" s="1"/>
  <c r="AS65" i="8"/>
  <c r="AC80" i="8"/>
  <c r="G62" i="21" s="1"/>
  <c r="H62" i="21" s="1"/>
  <c r="AD80" i="8"/>
  <c r="AC57" i="8"/>
  <c r="AD57" i="8"/>
  <c r="BJ19" i="19" s="1"/>
  <c r="AA19" i="19" s="1"/>
  <c r="CZ74" i="8"/>
  <c r="DA74" i="8"/>
  <c r="DB74" i="8"/>
  <c r="DC74" i="8"/>
  <c r="DD74" i="8"/>
  <c r="DE74" i="8"/>
  <c r="DY74" i="8" s="1"/>
  <c r="DF74" i="8"/>
  <c r="DG74" i="8"/>
  <c r="DH74" i="8"/>
  <c r="DI74" i="8"/>
  <c r="DJ74" i="8"/>
  <c r="DK74" i="8"/>
  <c r="DL74" i="8"/>
  <c r="DQ74" i="8" s="1"/>
  <c r="AL74" i="8"/>
  <c r="AM74" i="8"/>
  <c r="EN103" i="8"/>
  <c r="AG103" i="8" s="1"/>
  <c r="AE103" i="8"/>
  <c r="AF103" i="8"/>
  <c r="EN62" i="8"/>
  <c r="AG62" i="8" s="1"/>
  <c r="AE62" i="8"/>
  <c r="T62" i="8" s="1"/>
  <c r="K31" i="20" s="1"/>
  <c r="AF62" i="8"/>
  <c r="EN59" i="8"/>
  <c r="AG59" i="8" s="1"/>
  <c r="AE59" i="8"/>
  <c r="T59" i="8" s="1"/>
  <c r="AF59" i="8"/>
  <c r="EN56" i="8"/>
  <c r="AG56" i="8" s="1"/>
  <c r="AE56" i="8"/>
  <c r="T56" i="8" s="1"/>
  <c r="AF56" i="8"/>
  <c r="EN54" i="8"/>
  <c r="AG54" i="8" s="1"/>
  <c r="AE54" i="8"/>
  <c r="AF54" i="8"/>
  <c r="EN51" i="8"/>
  <c r="AG51" i="8" s="1"/>
  <c r="AE51" i="8"/>
  <c r="AF51" i="8"/>
  <c r="EN49" i="8"/>
  <c r="AG49" i="8" s="1"/>
  <c r="AE49" i="8"/>
  <c r="AF49" i="8"/>
  <c r="EN46" i="8"/>
  <c r="EN98" i="8"/>
  <c r="AG98" i="8" s="1"/>
  <c r="AE98" i="8"/>
  <c r="T98" i="8" s="1"/>
  <c r="AF98" i="8"/>
  <c r="EN94" i="8"/>
  <c r="AG94" i="8" s="1"/>
  <c r="AE94" i="8"/>
  <c r="AF94" i="8"/>
  <c r="EN92" i="8"/>
  <c r="AG92" i="8" s="1"/>
  <c r="AE92" i="8"/>
  <c r="AF92" i="8"/>
  <c r="EN90" i="8"/>
  <c r="AE90" i="8"/>
  <c r="T90" i="8" s="1"/>
  <c r="EN88" i="8"/>
  <c r="AG88" i="8" s="1"/>
  <c r="AE88" i="8"/>
  <c r="AF88" i="8"/>
  <c r="EN86" i="8"/>
  <c r="AG86" i="8" s="1"/>
  <c r="AE86" i="8"/>
  <c r="T86" i="8" s="1"/>
  <c r="AF86" i="8"/>
  <c r="EN82" i="8"/>
  <c r="AG82" i="8" s="1"/>
  <c r="AE82" i="8"/>
  <c r="T82" i="8" s="1"/>
  <c r="AF82" i="8"/>
  <c r="EN81" i="8"/>
  <c r="AG81" i="8" s="1"/>
  <c r="AE81" i="8"/>
  <c r="T81" i="8" s="1"/>
  <c r="AF81" i="8"/>
  <c r="EN78" i="8"/>
  <c r="AG78" i="8" s="1"/>
  <c r="AE78" i="8"/>
  <c r="AF78" i="8"/>
  <c r="EN61" i="8"/>
  <c r="AG61" i="8" s="1"/>
  <c r="AE61" i="8"/>
  <c r="T61" i="8" s="1"/>
  <c r="K30" i="20" s="1"/>
  <c r="AF61" i="8"/>
  <c r="EN58" i="8"/>
  <c r="AG58" i="8" s="1"/>
  <c r="AE58" i="8"/>
  <c r="AF58" i="8"/>
  <c r="EN55" i="8"/>
  <c r="AG55" i="8" s="1"/>
  <c r="AE55" i="8"/>
  <c r="AF55" i="8"/>
  <c r="EN52" i="8"/>
  <c r="AG52" i="8" s="1"/>
  <c r="AE52" i="8"/>
  <c r="AF52" i="8"/>
  <c r="EN50" i="8"/>
  <c r="BB9" i="19"/>
  <c r="S9" i="19" s="1"/>
  <c r="J11" i="20"/>
  <c r="L11" i="20" s="1"/>
  <c r="EN47" i="8"/>
  <c r="AG47" i="8" s="1"/>
  <c r="AE47" i="8"/>
  <c r="T47" i="8" s="1"/>
  <c r="AF47" i="8"/>
  <c r="EN99" i="8"/>
  <c r="AG99" i="8" s="1"/>
  <c r="AE99" i="8"/>
  <c r="T99" i="8" s="1"/>
  <c r="AF99" i="8"/>
  <c r="EN97" i="8"/>
  <c r="AF97" i="8"/>
  <c r="EN95" i="8"/>
  <c r="AG95" i="8" s="1"/>
  <c r="AE95" i="8"/>
  <c r="AF95" i="8"/>
  <c r="EN93" i="8"/>
  <c r="AF93" i="8"/>
  <c r="EN91" i="8"/>
  <c r="AG91" i="8" s="1"/>
  <c r="AE91" i="8"/>
  <c r="T91" i="8" s="1"/>
  <c r="AF91" i="8"/>
  <c r="EN87" i="8"/>
  <c r="AG87" i="8" s="1"/>
  <c r="AE87" i="8"/>
  <c r="T87" i="8" s="1"/>
  <c r="AF87" i="8"/>
  <c r="EN85" i="8"/>
  <c r="AF85" i="8"/>
  <c r="EN83" i="8"/>
  <c r="AG83" i="8" s="1"/>
  <c r="AE83" i="8"/>
  <c r="T83" i="8" s="1"/>
  <c r="AF83" i="8"/>
  <c r="EN80" i="8"/>
  <c r="AG80" i="8" s="1"/>
  <c r="AE80" i="8"/>
  <c r="T80" i="8" s="1"/>
  <c r="AF80" i="8"/>
  <c r="G56" i="21"/>
  <c r="H56" i="21" s="1"/>
  <c r="EN79" i="8"/>
  <c r="AG79" i="8" s="1"/>
  <c r="AE79" i="8"/>
  <c r="T79" i="8" s="1"/>
  <c r="AF79" i="8"/>
  <c r="EN60" i="8"/>
  <c r="AF60" i="8"/>
  <c r="EN57" i="8"/>
  <c r="EN53" i="8"/>
  <c r="AG53" i="8" s="1"/>
  <c r="AE53" i="8"/>
  <c r="AF53" i="8"/>
  <c r="EN96" i="8"/>
  <c r="AG96" i="8" s="1"/>
  <c r="AE96" i="8"/>
  <c r="AF96" i="8"/>
  <c r="FJ76" i="8"/>
  <c r="AB76" i="8"/>
  <c r="EL76" i="8"/>
  <c r="EM76" i="8"/>
  <c r="FJ75" i="8"/>
  <c r="AB75" i="8"/>
  <c r="EL75" i="8"/>
  <c r="EM75" i="8"/>
  <c r="AD75" i="8"/>
  <c r="AC75" i="8"/>
  <c r="FJ73" i="8"/>
  <c r="AB73" i="8"/>
  <c r="EL73" i="8"/>
  <c r="EM73" i="8"/>
  <c r="J67" i="20"/>
  <c r="L67" i="20" s="1"/>
  <c r="FF73" i="8"/>
  <c r="FJ72" i="8"/>
  <c r="AB72" i="8"/>
  <c r="EL72" i="8"/>
  <c r="EM72" i="8"/>
  <c r="AC72" i="8"/>
  <c r="AD72" i="8"/>
  <c r="FJ71" i="8"/>
  <c r="AB71" i="8"/>
  <c r="EL71" i="8"/>
  <c r="EM71" i="8"/>
  <c r="AD71" i="8"/>
  <c r="AC71" i="8"/>
  <c r="FJ70" i="8"/>
  <c r="AB70" i="8"/>
  <c r="EL70" i="8"/>
  <c r="EM70" i="8"/>
  <c r="AC70" i="8"/>
  <c r="AD70" i="8"/>
  <c r="FJ69" i="8"/>
  <c r="AB69" i="8"/>
  <c r="EL69" i="8"/>
  <c r="EM69" i="8"/>
  <c r="AD69" i="8"/>
  <c r="AC69" i="8"/>
  <c r="FJ68" i="8"/>
  <c r="AB68" i="8"/>
  <c r="EL68" i="8"/>
  <c r="EM68" i="8"/>
  <c r="AD68" i="8"/>
  <c r="AC68" i="8"/>
  <c r="FJ65" i="8"/>
  <c r="AB65" i="8"/>
  <c r="EL65" i="8"/>
  <c r="EM65" i="8"/>
  <c r="FJ64" i="8"/>
  <c r="AB64" i="8"/>
  <c r="EL64" i="8"/>
  <c r="EM64" i="8"/>
  <c r="AD64" i="8"/>
  <c r="AC64" i="8"/>
  <c r="J36" i="20" s="1"/>
  <c r="L36" i="20" s="1"/>
  <c r="CX63" i="8"/>
  <c r="DN63" i="8" s="1"/>
  <c r="DM63" i="8"/>
  <c r="CW63" i="8"/>
  <c r="AJ63" i="8" s="1"/>
  <c r="U100" i="8"/>
  <c r="AI100" i="8"/>
  <c r="EJ100" i="8"/>
  <c r="Z100" i="8" s="1"/>
  <c r="EK100" i="8"/>
  <c r="FD100" i="8"/>
  <c r="FE100" i="8"/>
  <c r="FG100" i="8"/>
  <c r="FH100" i="8"/>
  <c r="FI100" i="8"/>
  <c r="FK100" i="8"/>
  <c r="V100" i="8"/>
  <c r="W100" i="8"/>
  <c r="G167" i="21" s="1"/>
  <c r="H167" i="21" s="1"/>
  <c r="X100" i="8"/>
  <c r="G168" i="21" s="1"/>
  <c r="H168" i="21" s="1"/>
  <c r="Y100" i="8"/>
  <c r="G169" i="21" s="1"/>
  <c r="H169" i="21" s="1"/>
  <c r="AA100" i="8"/>
  <c r="AR100" i="8"/>
  <c r="AS100" i="8"/>
  <c r="AT100" i="8"/>
  <c r="AU100" i="8"/>
  <c r="FJ89" i="8"/>
  <c r="AB89" i="8"/>
  <c r="EL89" i="8"/>
  <c r="EM89" i="8"/>
  <c r="AC89" i="8"/>
  <c r="G98" i="21" s="1"/>
  <c r="H98" i="21" s="1"/>
  <c r="AD89" i="8"/>
  <c r="CT84" i="8"/>
  <c r="CU84" i="8"/>
  <c r="CV84" i="8" s="1"/>
  <c r="CU66" i="8"/>
  <c r="CV66" i="8" s="1"/>
  <c r="CT66" i="8"/>
  <c r="CT48" i="8"/>
  <c r="CU48" i="8"/>
  <c r="CV48" i="8" s="1"/>
  <c r="AV21" i="19"/>
  <c r="M21" i="19" s="1"/>
  <c r="AV18" i="19"/>
  <c r="M18" i="19" s="1"/>
  <c r="E56" i="18"/>
  <c r="AW16" i="19"/>
  <c r="N16" i="19" s="1"/>
  <c r="T54" i="8"/>
  <c r="AV16" i="19"/>
  <c r="M16" i="19" s="1"/>
  <c r="T51" i="8"/>
  <c r="AV13" i="19"/>
  <c r="M13" i="19" s="1"/>
  <c r="T49" i="8"/>
  <c r="AV11" i="19"/>
  <c r="M11" i="19" s="1"/>
  <c r="J78" i="20"/>
  <c r="L78" i="20" s="1"/>
  <c r="AV8" i="19"/>
  <c r="M8" i="19" s="1"/>
  <c r="T58" i="8"/>
  <c r="AV20" i="19"/>
  <c r="M20" i="19" s="1"/>
  <c r="T55" i="8"/>
  <c r="AV17" i="19"/>
  <c r="M17" i="19" s="1"/>
  <c r="E54" i="18"/>
  <c r="AW14" i="19"/>
  <c r="N14" i="19" s="1"/>
  <c r="T52" i="8"/>
  <c r="AV14" i="19"/>
  <c r="M14" i="19" s="1"/>
  <c r="AV12" i="19"/>
  <c r="M12" i="19" s="1"/>
  <c r="AV19" i="19"/>
  <c r="M19" i="19" s="1"/>
  <c r="J79" i="20"/>
  <c r="L79" i="20" s="1"/>
  <c r="AV15" i="19"/>
  <c r="M15" i="19" s="1"/>
  <c r="T53" i="8"/>
  <c r="CU101" i="8"/>
  <c r="CV101" i="8" s="1"/>
  <c r="CT101" i="8"/>
  <c r="T88" i="8"/>
  <c r="T78" i="8"/>
  <c r="AD59" i="8"/>
  <c r="BJ21" i="19" s="1"/>
  <c r="AA21" i="19" s="1"/>
  <c r="AC59" i="8"/>
  <c r="AD56" i="8"/>
  <c r="BJ18" i="19" s="1"/>
  <c r="AA18" i="19" s="1"/>
  <c r="AC56" i="8"/>
  <c r="AC54" i="8"/>
  <c r="AD54" i="8"/>
  <c r="BJ16" i="19" s="1"/>
  <c r="AA16" i="19" s="1"/>
  <c r="AD51" i="8"/>
  <c r="BJ13" i="19" s="1"/>
  <c r="AA13" i="19" s="1"/>
  <c r="AC51" i="8"/>
  <c r="AC49" i="8"/>
  <c r="AD49" i="8"/>
  <c r="BJ11" i="19" s="1"/>
  <c r="AA11" i="19" s="1"/>
  <c r="AD46" i="8"/>
  <c r="BJ8" i="19" s="1"/>
  <c r="AA8" i="19" s="1"/>
  <c r="AC46" i="8"/>
  <c r="AC98" i="8"/>
  <c r="G160" i="21" s="1"/>
  <c r="H160" i="21" s="1"/>
  <c r="G36" i="21" s="1"/>
  <c r="H36" i="21" s="1"/>
  <c r="AD98" i="8"/>
  <c r="AC88" i="8"/>
  <c r="G94" i="21" s="1"/>
  <c r="H94" i="21" s="1"/>
  <c r="G17" i="21" s="1"/>
  <c r="H17" i="21" s="1"/>
  <c r="AD88" i="8"/>
  <c r="AC82" i="8"/>
  <c r="G71" i="21" s="1"/>
  <c r="H71" i="21" s="1"/>
  <c r="G12" i="21" s="1"/>
  <c r="H12" i="21" s="1"/>
  <c r="AD82" i="8"/>
  <c r="AD81" i="8"/>
  <c r="AC81" i="8"/>
  <c r="G66" i="21" s="1"/>
  <c r="H66" i="21" s="1"/>
  <c r="G11" i="21" s="1"/>
  <c r="H11" i="21" s="1"/>
  <c r="AD78" i="8"/>
  <c r="AC78" i="8"/>
  <c r="G53" i="21" s="1"/>
  <c r="H53" i="21" s="1"/>
  <c r="G8" i="21" s="1"/>
  <c r="H8" i="21" s="1"/>
  <c r="AD58" i="8"/>
  <c r="BJ20" i="19" s="1"/>
  <c r="AA20" i="19" s="1"/>
  <c r="AC58" i="8"/>
  <c r="AD55" i="8"/>
  <c r="BJ17" i="19" s="1"/>
  <c r="AA17" i="19" s="1"/>
  <c r="AC55" i="8"/>
  <c r="AD52" i="8"/>
  <c r="BJ14" i="19" s="1"/>
  <c r="AA14" i="19" s="1"/>
  <c r="AC52" i="8"/>
  <c r="AC50" i="8"/>
  <c r="AD50" i="8"/>
  <c r="BJ12" i="19" s="1"/>
  <c r="AA12" i="19" s="1"/>
  <c r="AC47" i="8"/>
  <c r="AD47" i="8"/>
  <c r="BJ9" i="19" s="1"/>
  <c r="AA9" i="19" s="1"/>
  <c r="AC99" i="8"/>
  <c r="G165" i="21" s="1"/>
  <c r="H165" i="21" s="1"/>
  <c r="G37" i="21" s="1"/>
  <c r="H37" i="21" s="1"/>
  <c r="AD99" i="8"/>
  <c r="AC97" i="8"/>
  <c r="G154" i="21" s="1"/>
  <c r="H154" i="21" s="1"/>
  <c r="G35" i="21" s="1"/>
  <c r="H35" i="21" s="1"/>
  <c r="AD97" i="8"/>
  <c r="AD87" i="8"/>
  <c r="AC87" i="8"/>
  <c r="G90" i="21" s="1"/>
  <c r="H90" i="21" s="1"/>
  <c r="G16" i="21" s="1"/>
  <c r="H16" i="21" s="1"/>
  <c r="AC83" i="8"/>
  <c r="G76" i="21" s="1"/>
  <c r="H76" i="21" s="1"/>
  <c r="G13" i="21" s="1"/>
  <c r="H13" i="21" s="1"/>
  <c r="AD83" i="8"/>
  <c r="AC79" i="8"/>
  <c r="G58" i="21" s="1"/>
  <c r="H58" i="21" s="1"/>
  <c r="AD79" i="8"/>
  <c r="AD53" i="8"/>
  <c r="BJ15" i="19" s="1"/>
  <c r="AA15" i="19" s="1"/>
  <c r="AC53" i="8"/>
  <c r="J88" i="20"/>
  <c r="L88" i="20" s="1"/>
  <c r="Z72" i="8"/>
  <c r="AS72" i="8"/>
  <c r="J35" i="20"/>
  <c r="L35" i="20" s="1"/>
  <c r="U64" i="8"/>
  <c r="CX67" i="8"/>
  <c r="DN67" i="8" s="1"/>
  <c r="CW67" i="8"/>
  <c r="AJ67" i="8" s="1"/>
  <c r="DM67" i="8"/>
  <c r="G96" i="21"/>
  <c r="H96" i="21" s="1"/>
  <c r="G18" i="21" s="1"/>
  <c r="H18" i="21" s="1"/>
  <c r="U89" i="8"/>
  <c r="CX102" i="8"/>
  <c r="DN102" i="8" s="1"/>
  <c r="DM102" i="8"/>
  <c r="CW102" i="8"/>
  <c r="AJ102" i="8" s="1"/>
  <c r="G10" i="21"/>
  <c r="H10" i="21" s="1"/>
  <c r="G59" i="18" l="1"/>
  <c r="BI19" i="19"/>
  <c r="Z19" i="19" s="1"/>
  <c r="AG46" i="8"/>
  <c r="AE46" i="8"/>
  <c r="T46" i="8" s="1"/>
  <c r="AF46" i="8"/>
  <c r="AG50" i="8"/>
  <c r="AE50" i="8"/>
  <c r="T50" i="8" s="1"/>
  <c r="AF50" i="8"/>
  <c r="AG60" i="8"/>
  <c r="AE60" i="8"/>
  <c r="T60" i="8" s="1"/>
  <c r="K29" i="20" s="1"/>
  <c r="AG57" i="8"/>
  <c r="AE57" i="8"/>
  <c r="T57" i="8" s="1"/>
  <c r="AF57" i="8"/>
  <c r="AD65" i="8"/>
  <c r="AC65" i="8"/>
  <c r="J38" i="20" s="1"/>
  <c r="L38" i="20" s="1"/>
  <c r="DR74" i="8"/>
  <c r="F49" i="18"/>
  <c r="K9" i="20"/>
  <c r="K11" i="20"/>
  <c r="K10" i="20"/>
  <c r="EN76" i="8"/>
  <c r="AG76" i="8" s="1"/>
  <c r="AE76" i="8"/>
  <c r="T76" i="8" s="1"/>
  <c r="K71" i="20" s="1"/>
  <c r="AF76" i="8"/>
  <c r="EN75" i="8"/>
  <c r="AG75" i="8" s="1"/>
  <c r="AE75" i="8"/>
  <c r="T75" i="8" s="1"/>
  <c r="K70" i="20" s="1"/>
  <c r="AF75" i="8"/>
  <c r="EN73" i="8"/>
  <c r="AG73" i="8" s="1"/>
  <c r="AE73" i="8"/>
  <c r="T73" i="8" s="1"/>
  <c r="AF73" i="8"/>
  <c r="EN72" i="8"/>
  <c r="EN71" i="8"/>
  <c r="EN70" i="8"/>
  <c r="AG70" i="8" s="1"/>
  <c r="AE70" i="8"/>
  <c r="T70" i="8" s="1"/>
  <c r="K61" i="20" s="1"/>
  <c r="AF70" i="8"/>
  <c r="EN69" i="8"/>
  <c r="AG69" i="8" s="1"/>
  <c r="AE69" i="8"/>
  <c r="T69" i="8" s="1"/>
  <c r="AF69" i="8"/>
  <c r="EN68" i="8"/>
  <c r="AG68" i="8" s="1"/>
  <c r="AE68" i="8"/>
  <c r="T68" i="8" s="1"/>
  <c r="K58" i="20" s="1"/>
  <c r="AF68" i="8"/>
  <c r="EN65" i="8"/>
  <c r="EN64" i="8"/>
  <c r="AG64" i="8" s="1"/>
  <c r="AE64" i="8"/>
  <c r="T64" i="8" s="1"/>
  <c r="AF64" i="8"/>
  <c r="CY63" i="8"/>
  <c r="J32" i="20"/>
  <c r="L32" i="20" s="1"/>
  <c r="FJ100" i="8"/>
  <c r="AB100" i="8"/>
  <c r="EL100" i="8"/>
  <c r="EM100" i="8"/>
  <c r="G170" i="21"/>
  <c r="H170" i="21" s="1"/>
  <c r="FF100" i="8"/>
  <c r="EN89" i="8"/>
  <c r="AE89" i="8"/>
  <c r="T89" i="8" s="1"/>
  <c r="CW48" i="8"/>
  <c r="AJ48" i="8" s="1"/>
  <c r="DM48" i="8"/>
  <c r="CX48" i="8"/>
  <c r="DN48" i="8" s="1"/>
  <c r="F61" i="18"/>
  <c r="K27" i="20"/>
  <c r="F58" i="18"/>
  <c r="K24" i="20"/>
  <c r="F56" i="18"/>
  <c r="K20" i="20"/>
  <c r="F53" i="18"/>
  <c r="K16" i="20"/>
  <c r="F51" i="18"/>
  <c r="K14" i="20"/>
  <c r="F60" i="18"/>
  <c r="K26" i="20"/>
  <c r="F57" i="18"/>
  <c r="K80" i="20"/>
  <c r="K22" i="20"/>
  <c r="K21" i="20"/>
  <c r="K23" i="20"/>
  <c r="F54" i="18"/>
  <c r="K17" i="20"/>
  <c r="F52" i="18"/>
  <c r="K15" i="20"/>
  <c r="F59" i="18"/>
  <c r="K25" i="20"/>
  <c r="F55" i="18"/>
  <c r="K79" i="20"/>
  <c r="K18" i="20"/>
  <c r="K19" i="20"/>
  <c r="DM101" i="8"/>
  <c r="CX101" i="8"/>
  <c r="DN101" i="8" s="1"/>
  <c r="CW101" i="8"/>
  <c r="AJ101" i="8" s="1"/>
  <c r="CY101" i="8" s="1"/>
  <c r="BI21" i="19"/>
  <c r="Z21" i="19" s="1"/>
  <c r="G61" i="18"/>
  <c r="BI18" i="19"/>
  <c r="Z18" i="19" s="1"/>
  <c r="G58" i="18"/>
  <c r="BI16" i="19"/>
  <c r="Z16" i="19" s="1"/>
  <c r="G56" i="18"/>
  <c r="BI13" i="19"/>
  <c r="Z13" i="19" s="1"/>
  <c r="G53" i="18"/>
  <c r="BI11" i="19"/>
  <c r="Z11" i="19" s="1"/>
  <c r="G51" i="18"/>
  <c r="BI8" i="19"/>
  <c r="Z8" i="19" s="1"/>
  <c r="G48" i="18"/>
  <c r="BI20" i="19"/>
  <c r="Z20" i="19" s="1"/>
  <c r="G60" i="18"/>
  <c r="BI17" i="19"/>
  <c r="Z17" i="19" s="1"/>
  <c r="J22" i="20"/>
  <c r="L22" i="20" s="1"/>
  <c r="G57" i="18"/>
  <c r="BI14" i="19"/>
  <c r="Z14" i="19" s="1"/>
  <c r="G54" i="18"/>
  <c r="BI12" i="19"/>
  <c r="Z12" i="19" s="1"/>
  <c r="G52" i="18"/>
  <c r="BI9" i="19"/>
  <c r="Z9" i="19" s="1"/>
  <c r="G49" i="18"/>
  <c r="BI15" i="19"/>
  <c r="Z15" i="19" s="1"/>
  <c r="G55" i="18"/>
  <c r="J81" i="20"/>
  <c r="L81" i="20" s="1"/>
  <c r="J54" i="20"/>
  <c r="L54" i="20" s="1"/>
  <c r="CY67" i="8"/>
  <c r="G180" i="21"/>
  <c r="H180" i="21" s="1"/>
  <c r="CY102" i="8"/>
  <c r="G9" i="21"/>
  <c r="H9" i="21" s="1"/>
  <c r="AG90" i="8"/>
  <c r="AF90" i="8"/>
  <c r="AG97" i="8"/>
  <c r="AE97" i="8"/>
  <c r="T97" i="8" s="1"/>
  <c r="AG93" i="8"/>
  <c r="AE93" i="8"/>
  <c r="AG85" i="8"/>
  <c r="AE85" i="8"/>
  <c r="T85" i="8" s="1"/>
  <c r="AC76" i="8"/>
  <c r="AD76" i="8"/>
  <c r="AC73" i="8"/>
  <c r="J68" i="20" s="1"/>
  <c r="L68" i="20" s="1"/>
  <c r="AD73" i="8"/>
  <c r="CX84" i="8"/>
  <c r="DN84" i="8" s="1"/>
  <c r="DM84" i="8"/>
  <c r="CW84" i="8"/>
  <c r="AJ84" i="8" s="1"/>
  <c r="CY84" i="8" s="1"/>
  <c r="CW66" i="8"/>
  <c r="AJ66" i="8" s="1"/>
  <c r="CY66" i="8" s="1"/>
  <c r="DM66" i="8"/>
  <c r="CX66" i="8"/>
  <c r="DN66" i="8" s="1"/>
  <c r="F48" i="18" l="1"/>
  <c r="K78" i="20"/>
  <c r="K8" i="20"/>
  <c r="K7" i="20"/>
  <c r="DW74" i="8"/>
  <c r="DX74" i="8" s="1"/>
  <c r="DS74" i="8"/>
  <c r="EE74" i="8" s="1"/>
  <c r="AG71" i="8"/>
  <c r="AE71" i="8"/>
  <c r="T71" i="8" s="1"/>
  <c r="K62" i="20" s="1"/>
  <c r="AF71" i="8"/>
  <c r="EP74" i="8"/>
  <c r="EO74" i="8"/>
  <c r="DZ74" i="8"/>
  <c r="EA74" i="8"/>
  <c r="EB74" i="8"/>
  <c r="EC74" i="8"/>
  <c r="EG74" i="8"/>
  <c r="K63" i="20"/>
  <c r="K60" i="20"/>
  <c r="K59" i="20"/>
  <c r="AM63" i="8"/>
  <c r="AL63" i="8"/>
  <c r="DK63" i="8"/>
  <c r="DJ63" i="8"/>
  <c r="DI63" i="8"/>
  <c r="DH63" i="8"/>
  <c r="DG63" i="8"/>
  <c r="DF63" i="8"/>
  <c r="DE63" i="8"/>
  <c r="DY63" i="8" s="1"/>
  <c r="DD63" i="8"/>
  <c r="DC63" i="8"/>
  <c r="DL63" i="8" s="1"/>
  <c r="DQ63" i="8" s="1"/>
  <c r="DB63" i="8"/>
  <c r="DA63" i="8"/>
  <c r="CZ63" i="8"/>
  <c r="EN100" i="8"/>
  <c r="AG100" i="8" s="1"/>
  <c r="AE100" i="8"/>
  <c r="T100" i="8" s="1"/>
  <c r="AF100" i="8"/>
  <c r="CY48" i="8"/>
  <c r="J12" i="20"/>
  <c r="L12" i="20" s="1"/>
  <c r="CZ101" i="8"/>
  <c r="DA101" i="8"/>
  <c r="DB101" i="8"/>
  <c r="DC101" i="8"/>
  <c r="DL101" i="8" s="1"/>
  <c r="DQ101" i="8" s="1"/>
  <c r="DD101" i="8"/>
  <c r="DE101" i="8"/>
  <c r="DY101" i="8" s="1"/>
  <c r="DF101" i="8"/>
  <c r="DG101" i="8"/>
  <c r="DH101" i="8"/>
  <c r="DI101" i="8"/>
  <c r="DJ101" i="8"/>
  <c r="DK101" i="8"/>
  <c r="AL101" i="8"/>
  <c r="G175" i="21" s="1"/>
  <c r="H175" i="21" s="1"/>
  <c r="AM101" i="8"/>
  <c r="K81" i="20"/>
  <c r="K36" i="20"/>
  <c r="K34" i="20"/>
  <c r="K35" i="20"/>
  <c r="AM67" i="8"/>
  <c r="AL67" i="8"/>
  <c r="DK67" i="8"/>
  <c r="DJ67" i="8"/>
  <c r="DI67" i="8"/>
  <c r="DH67" i="8"/>
  <c r="DG67" i="8"/>
  <c r="DF67" i="8"/>
  <c r="DE67" i="8"/>
  <c r="DY67" i="8" s="1"/>
  <c r="DD67" i="8"/>
  <c r="DC67" i="8"/>
  <c r="DL67" i="8" s="1"/>
  <c r="DB67" i="8"/>
  <c r="DA67" i="8"/>
  <c r="CZ67" i="8"/>
  <c r="AM102" i="8"/>
  <c r="AL102" i="8"/>
  <c r="DK102" i="8"/>
  <c r="DJ102" i="8"/>
  <c r="DI102" i="8"/>
  <c r="DH102" i="8"/>
  <c r="DG102" i="8"/>
  <c r="DF102" i="8"/>
  <c r="DE102" i="8"/>
  <c r="DY102" i="8" s="1"/>
  <c r="DD102" i="8"/>
  <c r="DC102" i="8"/>
  <c r="DL102" i="8" s="1"/>
  <c r="DQ102" i="8" s="1"/>
  <c r="DB102" i="8"/>
  <c r="DA102" i="8"/>
  <c r="CZ102" i="8"/>
  <c r="AM84" i="8"/>
  <c r="AL84" i="8"/>
  <c r="G77" i="21" s="1"/>
  <c r="H77" i="21" s="1"/>
  <c r="DK84" i="8"/>
  <c r="DJ84" i="8"/>
  <c r="DI84" i="8"/>
  <c r="DH84" i="8"/>
  <c r="DG84" i="8"/>
  <c r="DF84" i="8"/>
  <c r="DE84" i="8"/>
  <c r="DY84" i="8" s="1"/>
  <c r="DD84" i="8"/>
  <c r="DC84" i="8"/>
  <c r="DL84" i="8" s="1"/>
  <c r="DQ84" i="8" s="1"/>
  <c r="DB84" i="8"/>
  <c r="DA84" i="8"/>
  <c r="CZ84" i="8"/>
  <c r="AM66" i="8"/>
  <c r="AL66" i="8"/>
  <c r="DK66" i="8"/>
  <c r="DJ66" i="8"/>
  <c r="DI66" i="8"/>
  <c r="DH66" i="8"/>
  <c r="DG66" i="8"/>
  <c r="DF66" i="8"/>
  <c r="DE66" i="8"/>
  <c r="DY66" i="8" s="1"/>
  <c r="DD66" i="8"/>
  <c r="DC66" i="8"/>
  <c r="DL66" i="8" s="1"/>
  <c r="DB66" i="8"/>
  <c r="DA66" i="8"/>
  <c r="CZ66" i="8"/>
  <c r="K67" i="20"/>
  <c r="K68" i="20"/>
  <c r="K88" i="20"/>
  <c r="K65" i="20"/>
  <c r="K66" i="20"/>
  <c r="AG72" i="8"/>
  <c r="AE72" i="8"/>
  <c r="T72" i="8" s="1"/>
  <c r="K64" i="20" s="1"/>
  <c r="AF72" i="8"/>
  <c r="AG65" i="8"/>
  <c r="AE65" i="8"/>
  <c r="T65" i="8" s="1"/>
  <c r="AF65" i="8"/>
  <c r="AC100" i="8"/>
  <c r="G171" i="21" s="1"/>
  <c r="H171" i="21" s="1"/>
  <c r="G38" i="21" s="1"/>
  <c r="H38" i="21" s="1"/>
  <c r="AD100" i="8"/>
  <c r="AG89" i="8"/>
  <c r="AF89" i="8"/>
  <c r="DQ67" i="8" l="1"/>
  <c r="DQ66" i="8"/>
  <c r="DR66" i="8" s="1"/>
  <c r="FB74" i="8"/>
  <c r="EV74" i="8"/>
  <c r="EU74" i="8"/>
  <c r="ET74" i="8"/>
  <c r="FA74" i="8"/>
  <c r="EZ74" i="8"/>
  <c r="ES74" i="8"/>
  <c r="ER74" i="8"/>
  <c r="EQ74" i="8"/>
  <c r="EH74" i="8"/>
  <c r="EI74" i="8"/>
  <c r="DR63" i="8"/>
  <c r="AM48" i="8"/>
  <c r="AL48" i="8"/>
  <c r="DL48" i="8"/>
  <c r="DQ48" i="8" s="1"/>
  <c r="DK48" i="8"/>
  <c r="DJ48" i="8"/>
  <c r="DI48" i="8"/>
  <c r="DH48" i="8"/>
  <c r="DG48" i="8"/>
  <c r="DF48" i="8"/>
  <c r="DE48" i="8"/>
  <c r="DY48" i="8" s="1"/>
  <c r="DD48" i="8"/>
  <c r="DC48" i="8"/>
  <c r="DB48" i="8"/>
  <c r="DA48" i="8"/>
  <c r="CZ48" i="8"/>
  <c r="DR101" i="8"/>
  <c r="DW101" i="8" s="1"/>
  <c r="DX101" i="8" s="1"/>
  <c r="DS101" i="8"/>
  <c r="EE101" i="8" s="1"/>
  <c r="DR67" i="8"/>
  <c r="DR102" i="8"/>
  <c r="DR84" i="8"/>
  <c r="K82" i="20"/>
  <c r="K83" i="20"/>
  <c r="K38" i="20"/>
  <c r="K37" i="20"/>
  <c r="DW84" i="8" l="1"/>
  <c r="DX84" i="8" s="1"/>
  <c r="DS84" i="8"/>
  <c r="U74" i="8"/>
  <c r="AI74" i="8"/>
  <c r="EJ74" i="8"/>
  <c r="EK74" i="8"/>
  <c r="FD74" i="8"/>
  <c r="FE74" i="8"/>
  <c r="FG74" i="8"/>
  <c r="FH74" i="8"/>
  <c r="FI74" i="8"/>
  <c r="FK74" i="8"/>
  <c r="V74" i="8"/>
  <c r="J69" i="20" s="1"/>
  <c r="L69" i="20" s="1"/>
  <c r="W74" i="8"/>
  <c r="X74" i="8"/>
  <c r="Y74" i="8"/>
  <c r="AA74" i="8"/>
  <c r="FF74" i="8" s="1"/>
  <c r="AR74" i="8"/>
  <c r="AT74" i="8"/>
  <c r="AU74" i="8"/>
  <c r="DR48" i="8"/>
  <c r="EC101" i="8"/>
  <c r="EA101" i="8"/>
  <c r="DZ101" i="8"/>
  <c r="EG101" i="8"/>
  <c r="EB101" i="8"/>
  <c r="EO101" i="8"/>
  <c r="EP101" i="8"/>
  <c r="EO84" i="8"/>
  <c r="EP84" i="8"/>
  <c r="EG84" i="8"/>
  <c r="EA84" i="8"/>
  <c r="DZ84" i="8"/>
  <c r="DW63" i="8"/>
  <c r="DX63" i="8" s="1"/>
  <c r="DS63" i="8"/>
  <c r="EE63" i="8" s="1"/>
  <c r="DW67" i="8"/>
  <c r="DX67" i="8" s="1"/>
  <c r="DS67" i="8"/>
  <c r="EE67" i="8" s="1"/>
  <c r="DW102" i="8"/>
  <c r="DX102" i="8" s="1"/>
  <c r="DS102" i="8"/>
  <c r="EE102" i="8" s="1"/>
  <c r="DW66" i="8"/>
  <c r="DX66" i="8" s="1"/>
  <c r="DS66" i="8"/>
  <c r="EE66" i="8" s="1"/>
  <c r="EE84" i="8" l="1"/>
  <c r="EC84" i="8"/>
  <c r="EB84" i="8"/>
  <c r="FJ74" i="8"/>
  <c r="AC74" i="8" s="1"/>
  <c r="AB74" i="8"/>
  <c r="EL74" i="8"/>
  <c r="EM74" i="8"/>
  <c r="AD74" i="8"/>
  <c r="EH101" i="8"/>
  <c r="EI101" i="8"/>
  <c r="FA101" i="8"/>
  <c r="EZ101" i="8"/>
  <c r="ES101" i="8"/>
  <c r="ER101" i="8"/>
  <c r="EQ101" i="8"/>
  <c r="FB101" i="8"/>
  <c r="EV101" i="8"/>
  <c r="EU101" i="8"/>
  <c r="ET101" i="8"/>
  <c r="FA84" i="8"/>
  <c r="EZ84" i="8"/>
  <c r="ES84" i="8"/>
  <c r="ER84" i="8"/>
  <c r="EQ84" i="8"/>
  <c r="FB84" i="8"/>
  <c r="EV84" i="8"/>
  <c r="EU84" i="8"/>
  <c r="ET84" i="8"/>
  <c r="EI84" i="8"/>
  <c r="EH84" i="8"/>
  <c r="EG63" i="8"/>
  <c r="EC63" i="8"/>
  <c r="EB63" i="8"/>
  <c r="EA63" i="8"/>
  <c r="DZ63" i="8"/>
  <c r="EO63" i="8"/>
  <c r="EP63" i="8"/>
  <c r="EP67" i="8"/>
  <c r="EO67" i="8"/>
  <c r="DZ67" i="8"/>
  <c r="EA67" i="8"/>
  <c r="EB67" i="8"/>
  <c r="EC67" i="8"/>
  <c r="EG67" i="8"/>
  <c r="EC102" i="8"/>
  <c r="EB102" i="8"/>
  <c r="DZ102" i="8"/>
  <c r="EG102" i="8"/>
  <c r="EA102" i="8"/>
  <c r="EO102" i="8"/>
  <c r="EP102" i="8"/>
  <c r="EP66" i="8"/>
  <c r="EO66" i="8"/>
  <c r="DZ66" i="8"/>
  <c r="EA66" i="8"/>
  <c r="EB66" i="8"/>
  <c r="EC66" i="8"/>
  <c r="EG66" i="8"/>
  <c r="AS74" i="8"/>
  <c r="Z74" i="8"/>
  <c r="DW48" i="8"/>
  <c r="DX48" i="8" s="1"/>
  <c r="DS48" i="8"/>
  <c r="EE48" i="8" s="1"/>
  <c r="EN74" i="8" l="1"/>
  <c r="AG74" i="8" s="1"/>
  <c r="AE74" i="8"/>
  <c r="T74" i="8" s="1"/>
  <c r="K69" i="20" s="1"/>
  <c r="AF74" i="8"/>
  <c r="AI101" i="8"/>
  <c r="EJ101" i="8"/>
  <c r="EK101" i="8"/>
  <c r="FD101" i="8"/>
  <c r="FE101" i="8"/>
  <c r="FG101" i="8"/>
  <c r="FH101" i="8"/>
  <c r="FI101" i="8"/>
  <c r="FK101" i="8"/>
  <c r="V101" i="8"/>
  <c r="G176" i="21" s="1"/>
  <c r="H176" i="21" s="1"/>
  <c r="W101" i="8"/>
  <c r="X101" i="8"/>
  <c r="Y101" i="8"/>
  <c r="AA101" i="8"/>
  <c r="AR101" i="8"/>
  <c r="AT101" i="8"/>
  <c r="AU101" i="8"/>
  <c r="AI84" i="8"/>
  <c r="EJ84" i="8"/>
  <c r="Z84" i="8" s="1"/>
  <c r="EK84" i="8"/>
  <c r="FD84" i="8"/>
  <c r="FE84" i="8"/>
  <c r="FG84" i="8"/>
  <c r="FH84" i="8"/>
  <c r="FI84" i="8"/>
  <c r="FK84" i="8"/>
  <c r="V84" i="8"/>
  <c r="G78" i="21" s="1"/>
  <c r="H78" i="21" s="1"/>
  <c r="W84" i="8"/>
  <c r="X84" i="8"/>
  <c r="Y84" i="8"/>
  <c r="AA84" i="8"/>
  <c r="AR84" i="8"/>
  <c r="AS84" i="8"/>
  <c r="AT84" i="8"/>
  <c r="AU84" i="8"/>
  <c r="K22" i="17"/>
  <c r="EH63" i="8"/>
  <c r="EI63" i="8"/>
  <c r="FA63" i="8"/>
  <c r="EZ63" i="8"/>
  <c r="ES63" i="8"/>
  <c r="ER63" i="8"/>
  <c r="EQ63" i="8"/>
  <c r="FB63" i="8"/>
  <c r="EV63" i="8"/>
  <c r="EU63" i="8"/>
  <c r="ET63" i="8"/>
  <c r="FB67" i="8"/>
  <c r="EV67" i="8"/>
  <c r="EU67" i="8"/>
  <c r="ET67" i="8"/>
  <c r="FA67" i="8"/>
  <c r="EZ67" i="8"/>
  <c r="ES67" i="8"/>
  <c r="ER67" i="8"/>
  <c r="EQ67" i="8"/>
  <c r="EH67" i="8"/>
  <c r="EI67" i="8"/>
  <c r="EI102" i="8"/>
  <c r="EH102" i="8"/>
  <c r="AC102" i="8"/>
  <c r="G182" i="21" s="1"/>
  <c r="H182" i="21" s="1"/>
  <c r="FA102" i="8"/>
  <c r="EZ102" i="8"/>
  <c r="ES102" i="8"/>
  <c r="ER102" i="8"/>
  <c r="EQ102" i="8"/>
  <c r="FB102" i="8"/>
  <c r="EV102" i="8"/>
  <c r="EU102" i="8"/>
  <c r="ET102" i="8"/>
  <c r="FB66" i="8"/>
  <c r="EV66" i="8"/>
  <c r="EU66" i="8"/>
  <c r="ET66" i="8"/>
  <c r="FA66" i="8"/>
  <c r="EZ66" i="8"/>
  <c r="ES66" i="8"/>
  <c r="ER66" i="8"/>
  <c r="EQ66" i="8"/>
  <c r="EH66" i="8"/>
  <c r="EI66" i="8"/>
  <c r="K23" i="17"/>
  <c r="EG48" i="8"/>
  <c r="EC48" i="8"/>
  <c r="EB48" i="8"/>
  <c r="EA48" i="8"/>
  <c r="DZ48" i="8"/>
  <c r="EO48" i="8"/>
  <c r="EP48" i="8"/>
  <c r="Z101" i="8" l="1"/>
  <c r="AS101" i="8"/>
  <c r="FJ101" i="8"/>
  <c r="AB101" i="8"/>
  <c r="EL101" i="8"/>
  <c r="EM101" i="8"/>
  <c r="G178" i="21"/>
  <c r="H178" i="21" s="1"/>
  <c r="FF101" i="8"/>
  <c r="FJ84" i="8"/>
  <c r="AB84" i="8"/>
  <c r="EL84" i="8"/>
  <c r="EM84" i="8"/>
  <c r="AD84" i="8"/>
  <c r="AC84" i="8"/>
  <c r="G81" i="21" s="1"/>
  <c r="H81" i="21" s="1"/>
  <c r="G80" i="21"/>
  <c r="H80" i="21" s="1"/>
  <c r="FF84" i="8"/>
  <c r="AI63" i="8"/>
  <c r="U63" i="8"/>
  <c r="EJ63" i="8"/>
  <c r="EK63" i="8"/>
  <c r="FD63" i="8"/>
  <c r="FE63" i="8"/>
  <c r="FG63" i="8"/>
  <c r="FH63" i="8"/>
  <c r="FI63" i="8"/>
  <c r="FK63" i="8"/>
  <c r="V63" i="8"/>
  <c r="J33" i="20" s="1"/>
  <c r="L33" i="20" s="1"/>
  <c r="W63" i="8"/>
  <c r="X63" i="8"/>
  <c r="Y63" i="8"/>
  <c r="AA63" i="8"/>
  <c r="FF63" i="8" s="1"/>
  <c r="AR63" i="8"/>
  <c r="AT63" i="8"/>
  <c r="AU63" i="8"/>
  <c r="AI67" i="8"/>
  <c r="U67" i="8"/>
  <c r="EJ67" i="8"/>
  <c r="Z67" i="8" s="1"/>
  <c r="EK67" i="8"/>
  <c r="FD67" i="8"/>
  <c r="FE67" i="8"/>
  <c r="FG67" i="8"/>
  <c r="FH67" i="8"/>
  <c r="FI67" i="8"/>
  <c r="FK67" i="8"/>
  <c r="V67" i="8"/>
  <c r="W67" i="8"/>
  <c r="J55" i="20" s="1"/>
  <c r="L55" i="20" s="1"/>
  <c r="X67" i="8"/>
  <c r="J56" i="20" s="1"/>
  <c r="L56" i="20" s="1"/>
  <c r="Y67" i="8"/>
  <c r="AA67" i="8"/>
  <c r="AR67" i="8"/>
  <c r="AS67" i="8"/>
  <c r="J86" i="20" s="1"/>
  <c r="L86" i="20" s="1"/>
  <c r="AT67" i="8"/>
  <c r="AU67" i="8"/>
  <c r="Z102" i="8"/>
  <c r="T102" i="8"/>
  <c r="AI102" i="8"/>
  <c r="U102" i="8"/>
  <c r="EJ102" i="8"/>
  <c r="EK102" i="8"/>
  <c r="FD102" i="8"/>
  <c r="FE102" i="8"/>
  <c r="FG102" i="8"/>
  <c r="FH102" i="8"/>
  <c r="FI102" i="8"/>
  <c r="FK102" i="8"/>
  <c r="V102" i="8"/>
  <c r="G181" i="21" s="1"/>
  <c r="H181" i="21" s="1"/>
  <c r="G41" i="21" s="1"/>
  <c r="H41" i="21" s="1"/>
  <c r="W102" i="8"/>
  <c r="X102" i="8"/>
  <c r="Y102" i="8"/>
  <c r="AA102" i="8"/>
  <c r="FF102" i="8" s="1"/>
  <c r="AR102" i="8"/>
  <c r="AS102" i="8"/>
  <c r="AT102" i="8"/>
  <c r="AU102" i="8"/>
  <c r="U66" i="8"/>
  <c r="AI66" i="8"/>
  <c r="EJ66" i="8"/>
  <c r="Z66" i="8" s="1"/>
  <c r="EK66" i="8"/>
  <c r="FD66" i="8"/>
  <c r="FE66" i="8"/>
  <c r="FG66" i="8"/>
  <c r="FH66" i="8"/>
  <c r="FI66" i="8"/>
  <c r="FK66" i="8"/>
  <c r="V66" i="8"/>
  <c r="J52" i="20" s="1"/>
  <c r="L52" i="20" s="1"/>
  <c r="W66" i="8"/>
  <c r="X66" i="8"/>
  <c r="Y66" i="8"/>
  <c r="AA66" i="8"/>
  <c r="FF66" i="8" s="1"/>
  <c r="AR66" i="8"/>
  <c r="AS66" i="8"/>
  <c r="AT66" i="8"/>
  <c r="AU66" i="8"/>
  <c r="K21" i="17"/>
  <c r="EH48" i="8"/>
  <c r="EI48" i="8"/>
  <c r="FA48" i="8"/>
  <c r="EZ48" i="8"/>
  <c r="ES48" i="8"/>
  <c r="ER48" i="8"/>
  <c r="EQ48" i="8"/>
  <c r="FB48" i="8"/>
  <c r="EV48" i="8"/>
  <c r="EU48" i="8"/>
  <c r="ET48" i="8"/>
  <c r="G177" i="21"/>
  <c r="H177" i="21" s="1"/>
  <c r="U101" i="8"/>
  <c r="G79" i="21"/>
  <c r="H79" i="21" s="1"/>
  <c r="G14" i="21" s="1"/>
  <c r="H14" i="21" s="1"/>
  <c r="U84" i="8"/>
  <c r="EN101" i="8" l="1"/>
  <c r="AG101" i="8" s="1"/>
  <c r="AE101" i="8"/>
  <c r="T101" i="8" s="1"/>
  <c r="AF101" i="8"/>
  <c r="EN84" i="8"/>
  <c r="AE84" i="8"/>
  <c r="T84" i="8" s="1"/>
  <c r="FJ63" i="8"/>
  <c r="AB63" i="8"/>
  <c r="EL63" i="8"/>
  <c r="EM63" i="8"/>
  <c r="FJ67" i="8"/>
  <c r="AB67" i="8"/>
  <c r="EL67" i="8"/>
  <c r="EM67" i="8"/>
  <c r="J57" i="20"/>
  <c r="L57" i="20" s="1"/>
  <c r="FF67" i="8"/>
  <c r="FJ102" i="8"/>
  <c r="AB102" i="8"/>
  <c r="EL102" i="8"/>
  <c r="EM102" i="8"/>
  <c r="FJ66" i="8"/>
  <c r="AB66" i="8"/>
  <c r="EL66" i="8"/>
  <c r="EM66" i="8"/>
  <c r="AY10" i="19"/>
  <c r="P10" i="19" s="1"/>
  <c r="AI48" i="8"/>
  <c r="U48" i="8"/>
  <c r="EJ48" i="8"/>
  <c r="EK48" i="8"/>
  <c r="FD48" i="8"/>
  <c r="FE48" i="8"/>
  <c r="FG48" i="8"/>
  <c r="FH48" i="8"/>
  <c r="FI48" i="8"/>
  <c r="FK48" i="8"/>
  <c r="V48" i="8"/>
  <c r="W48" i="8"/>
  <c r="AS10" i="19" s="1"/>
  <c r="J10" i="19" s="1"/>
  <c r="X48" i="8"/>
  <c r="AT10" i="19" s="1"/>
  <c r="K10" i="19" s="1"/>
  <c r="Y48" i="8"/>
  <c r="AU10" i="19" s="1"/>
  <c r="L10" i="19" s="1"/>
  <c r="AA48" i="8"/>
  <c r="AR48" i="8"/>
  <c r="BF10" i="19" s="1"/>
  <c r="W10" i="19" s="1"/>
  <c r="AT48" i="8"/>
  <c r="BK10" i="19" s="1"/>
  <c r="AB10" i="19" s="1"/>
  <c r="AU48" i="8"/>
  <c r="AD102" i="8"/>
  <c r="AD101" i="8"/>
  <c r="AC101" i="8"/>
  <c r="G179" i="21" s="1"/>
  <c r="H179" i="21" s="1"/>
  <c r="G40" i="21" s="1"/>
  <c r="H40" i="21" s="1"/>
  <c r="C4" i="21" s="1"/>
  <c r="Z63" i="8"/>
  <c r="AS63" i="8"/>
  <c r="J87" i="20"/>
  <c r="L87" i="20" s="1"/>
  <c r="AG84" i="8" l="1"/>
  <c r="AF84" i="8"/>
  <c r="Z48" i="8"/>
  <c r="AS48" i="8"/>
  <c r="BG10" i="19" s="1"/>
  <c r="X10" i="19" s="1"/>
  <c r="EN63" i="8"/>
  <c r="EN67" i="8"/>
  <c r="AE67" i="8"/>
  <c r="T67" i="8" s="1"/>
  <c r="K85" i="20" s="1"/>
  <c r="EN102" i="8"/>
  <c r="AG102" i="8" s="1"/>
  <c r="AE102" i="8"/>
  <c r="AF102" i="8"/>
  <c r="EN66" i="8"/>
  <c r="AW10" i="19"/>
  <c r="N10" i="19" s="1"/>
  <c r="E50" i="18"/>
  <c r="FJ48" i="8"/>
  <c r="AB48" i="8"/>
  <c r="BB10" i="19" s="1"/>
  <c r="S10" i="19" s="1"/>
  <c r="BD10" i="19"/>
  <c r="U10" i="19" s="1"/>
  <c r="EL48" i="8"/>
  <c r="EM48" i="8"/>
  <c r="AR10" i="19"/>
  <c r="I10" i="19" s="1"/>
  <c r="J13" i="20"/>
  <c r="L13" i="20" s="1"/>
  <c r="BA10" i="19"/>
  <c r="R10" i="19" s="1"/>
  <c r="H50" i="18"/>
  <c r="FF48" i="8"/>
  <c r="C12" i="1"/>
  <c r="K86" i="20"/>
  <c r="K87" i="20"/>
  <c r="K54" i="20"/>
  <c r="K55" i="20"/>
  <c r="K56" i="20"/>
  <c r="K57" i="20"/>
  <c r="AD63" i="8"/>
  <c r="AC63" i="8"/>
  <c r="L22" i="17" s="1"/>
  <c r="AC67" i="8"/>
  <c r="AD67" i="8"/>
  <c r="AD66" i="8"/>
  <c r="AC66" i="8"/>
  <c r="AM10" i="19"/>
  <c r="D10" i="19" s="1"/>
  <c r="D50" i="18"/>
  <c r="AV10" i="19"/>
  <c r="M10" i="19" s="1"/>
  <c r="AG63" i="8" l="1"/>
  <c r="AE63" i="8"/>
  <c r="T63" i="8" s="1"/>
  <c r="AF63" i="8"/>
  <c r="K33" i="20"/>
  <c r="K32" i="20"/>
  <c r="EN48" i="8"/>
  <c r="J53" i="20"/>
  <c r="L53" i="20" s="1"/>
  <c r="C4" i="20" s="1"/>
  <c r="L23" i="17"/>
  <c r="AG67" i="8"/>
  <c r="AF67" i="8"/>
  <c r="AG66" i="8"/>
  <c r="AE66" i="8"/>
  <c r="T66" i="8" s="1"/>
  <c r="AF66" i="8"/>
  <c r="AC48" i="8"/>
  <c r="AD48" i="8"/>
  <c r="BJ10" i="19" s="1"/>
  <c r="AA10" i="19" s="1"/>
  <c r="F85" i="18" l="1"/>
  <c r="C13" i="1"/>
  <c r="K52" i="20"/>
  <c r="K53" i="20"/>
  <c r="L21" i="17"/>
  <c r="BI10" i="19"/>
  <c r="Z10" i="19" s="1"/>
  <c r="G50" i="18"/>
  <c r="AG48" i="8"/>
  <c r="AE48" i="8"/>
  <c r="T48" i="8" s="1"/>
  <c r="AF48" i="8"/>
  <c r="K12" i="20" l="1"/>
  <c r="F50" i="18"/>
  <c r="K13" i="20"/>
</calcChain>
</file>

<file path=xl/sharedStrings.xml><?xml version="1.0" encoding="utf-8"?>
<sst xmlns="http://schemas.openxmlformats.org/spreadsheetml/2006/main" count="5877" uniqueCount="2595">
  <si>
    <t>Lists used by data validation (locked)</t>
  </si>
  <si>
    <t>Missing-data reason codes are the example codes proposed in Chapter 23 (not part of CALC-SPEC 1.1). Timing-statement kinds follow change register B14-13. OnsetPrecision adds LAB, the laboratory-defined onset of CALC-SPEC 1.1 C4.</t>
  </si>
  <si>
    <t>Precision</t>
  </si>
  <si>
    <t>TIMESTAMP</t>
  </si>
  <si>
    <t>DATE</t>
  </si>
  <si>
    <t>MONTH</t>
  </si>
  <si>
    <t>YEAR</t>
  </si>
  <si>
    <t>RANGE</t>
  </si>
  <si>
    <t>OnsetPrecision</t>
  </si>
  <si>
    <t>LAB</t>
  </si>
  <si>
    <t>Offset</t>
  </si>
  <si>
    <t>unknown</t>
  </si>
  <si>
    <t>-12:00</t>
  </si>
  <si>
    <t>-11:00</t>
  </si>
  <si>
    <t>-10:00</t>
  </si>
  <si>
    <t>-09:30</t>
  </si>
  <si>
    <t>-09:00</t>
  </si>
  <si>
    <t>-08:00</t>
  </si>
  <si>
    <t>-07:00</t>
  </si>
  <si>
    <t>-06:00</t>
  </si>
  <si>
    <t>-05:00</t>
  </si>
  <si>
    <t>-04:00</t>
  </si>
  <si>
    <t>-03:30</t>
  </si>
  <si>
    <t>-03:00</t>
  </si>
  <si>
    <t>-02:00</t>
  </si>
  <si>
    <t>-01:00</t>
  </si>
  <si>
    <t>+00:00</t>
  </si>
  <si>
    <t>+01:00</t>
  </si>
  <si>
    <t>+02:00</t>
  </si>
  <si>
    <t>+03:00</t>
  </si>
  <si>
    <t>+03:30</t>
  </si>
  <si>
    <t>+04:00</t>
  </si>
  <si>
    <t>+04:30</t>
  </si>
  <si>
    <t>+05:00</t>
  </si>
  <si>
    <t>+05:30</t>
  </si>
  <si>
    <t>+05:45</t>
  </si>
  <si>
    <t>+06:00</t>
  </si>
  <si>
    <t>+06:30</t>
  </si>
  <si>
    <t>+07:00</t>
  </si>
  <si>
    <t>+08:00</t>
  </si>
  <si>
    <t>+08:45</t>
  </si>
  <si>
    <t>+09:00</t>
  </si>
  <si>
    <t>+09:30</t>
  </si>
  <si>
    <t>+10:00</t>
  </si>
  <si>
    <t>+10:30</t>
  </si>
  <si>
    <t>+11:00</t>
  </si>
  <si>
    <t>+12:00</t>
  </si>
  <si>
    <t>+12:45</t>
  </si>
  <si>
    <t>+13:00</t>
  </si>
  <si>
    <t>+14:00</t>
  </si>
  <si>
    <t>AnchorType</t>
  </si>
  <si>
    <t>FIRST_ADMIN</t>
  </si>
  <si>
    <t>LAST_DOSE_BEFORE_ONSET</t>
  </si>
  <si>
    <t>DOSE_CHANGE</t>
  </si>
  <si>
    <t>RESTART</t>
  </si>
  <si>
    <t>CONCOMITANT_CHANGE</t>
  </si>
  <si>
    <t>CESSATION</t>
  </si>
  <si>
    <t>OTHER</t>
  </si>
  <si>
    <t>Mode</t>
  </si>
  <si>
    <t>C1</t>
  </si>
  <si>
    <t>C2</t>
  </si>
  <si>
    <t>C4</t>
  </si>
  <si>
    <t>TD</t>
  </si>
  <si>
    <t>inclusive</t>
  </si>
  <si>
    <t>not requested</t>
  </si>
  <si>
    <t>ReportedUnit</t>
  </si>
  <si>
    <t>minutes</t>
  </si>
  <si>
    <t>hours</t>
  </si>
  <si>
    <t>days</t>
  </si>
  <si>
    <t>calendar days</t>
  </si>
  <si>
    <t>weeks</t>
  </si>
  <si>
    <t>months</t>
  </si>
  <si>
    <t>years</t>
  </si>
  <si>
    <t>TimeUnit</t>
  </si>
  <si>
    <t>DaysOnly</t>
  </si>
  <si>
    <t>CLUnit</t>
  </si>
  <si>
    <t>L/hour</t>
  </si>
  <si>
    <t>mL/minute</t>
  </si>
  <si>
    <t>Status</t>
  </si>
  <si>
    <t>label fact</t>
  </si>
  <si>
    <t>study observation</t>
  </si>
  <si>
    <t>case measurement</t>
  </si>
  <si>
    <t>model assumption</t>
  </si>
  <si>
    <t>hypothetical example</t>
  </si>
  <si>
    <t>YesNo</t>
  </si>
  <si>
    <t>Yes</t>
  </si>
  <si>
    <t>No</t>
  </si>
  <si>
    <t>Sex</t>
  </si>
  <si>
    <t>male</t>
  </si>
  <si>
    <t>female</t>
  </si>
  <si>
    <t>not recorded</t>
  </si>
  <si>
    <t>WeightType</t>
  </si>
  <si>
    <t>actual</t>
  </si>
  <si>
    <t>ideal</t>
  </si>
  <si>
    <t>adjusted</t>
  </si>
  <si>
    <t>SCrUnit</t>
  </si>
  <si>
    <t>mg/dL</t>
  </si>
  <si>
    <t>µmol/L</t>
  </si>
  <si>
    <t>umol/L</t>
  </si>
  <si>
    <t>AdminKind</t>
  </si>
  <si>
    <t>DOSE</t>
  </si>
  <si>
    <t>INFUSION_SEGMENT</t>
  </si>
  <si>
    <t>RateUnit</t>
  </si>
  <si>
    <t>mg/hour</t>
  </si>
  <si>
    <t>mL/hour</t>
  </si>
  <si>
    <t>DoseUnit</t>
  </si>
  <si>
    <t>mg</t>
  </si>
  <si>
    <t>micrograms</t>
  </si>
  <si>
    <t>g</t>
  </si>
  <si>
    <t>mL</t>
  </si>
  <si>
    <t>IU</t>
  </si>
  <si>
    <t>units</t>
  </si>
  <si>
    <t>other (see regimen text)</t>
  </si>
  <si>
    <t>Role</t>
  </si>
  <si>
    <t>suspect</t>
  </si>
  <si>
    <t>concomitant</t>
  </si>
  <si>
    <t>interacting</t>
  </si>
  <si>
    <t>prophylaxis</t>
  </si>
  <si>
    <t>treatment of the event</t>
  </si>
  <si>
    <t>other</t>
  </si>
  <si>
    <t>MilestoneType</t>
  </si>
  <si>
    <t>BASELINE</t>
  </si>
  <si>
    <t>TEST</t>
  </si>
  <si>
    <t>ORGAN_FUNCTION</t>
  </si>
  <si>
    <t>CONCENTRATION</t>
  </si>
  <si>
    <t>INTERVENTION</t>
  </si>
  <si>
    <t>RECOVERY</t>
  </si>
  <si>
    <t>DIAGNOSIS</t>
  </si>
  <si>
    <t>EXPOSURE_CHANGE</t>
  </si>
  <si>
    <t>MethodB</t>
  </si>
  <si>
    <t>FIRST</t>
  </si>
  <si>
    <t>LAST</t>
  </si>
  <si>
    <t>STATED</t>
  </si>
  <si>
    <t>Q6Use</t>
  </si>
  <si>
    <t>replacement or recovery</t>
  </si>
  <si>
    <t>approach to a new level</t>
  </si>
  <si>
    <t>Fit</t>
  </si>
  <si>
    <t>compatible</t>
  </si>
  <si>
    <t>atypical but plausible</t>
  </si>
  <si>
    <t>inconsistent with the stated hypothesis</t>
  </si>
  <si>
    <t>indeterminate</t>
  </si>
  <si>
    <t>TimingType</t>
  </si>
  <si>
    <t>typical onset or latency</t>
  </si>
  <si>
    <t>risk window</t>
  </si>
  <si>
    <t>maximum or distribution reported</t>
  </si>
  <si>
    <t>monitoring or precaution window</t>
  </si>
  <si>
    <t>definitional threshold</t>
  </si>
  <si>
    <t>not a timing statement</t>
  </si>
  <si>
    <t>DocType</t>
  </si>
  <si>
    <t>USPI</t>
  </si>
  <si>
    <t>SmPC</t>
  </si>
  <si>
    <t>primary study</t>
  </si>
  <si>
    <t>MissingReason</t>
  </si>
  <si>
    <t>NOT_REPORTED</t>
  </si>
  <si>
    <t>REQUESTED</t>
  </si>
  <si>
    <t>NOT_APPLICABLE</t>
  </si>
  <si>
    <t>UNKNOWN</t>
  </si>
  <si>
    <t>HalfLifeType</t>
  </si>
  <si>
    <t>terminal elimination</t>
  </si>
  <si>
    <t>effective</t>
  </si>
  <si>
    <t>distribution</t>
  </si>
  <si>
    <t>not applicable</t>
  </si>
  <si>
    <t>MechStatus</t>
  </si>
  <si>
    <t>established</t>
  </si>
  <si>
    <t>hypothetical</t>
  </si>
  <si>
    <t>Action</t>
  </si>
  <si>
    <t>withdrawal</t>
  </si>
  <si>
    <t>dose reduction</t>
  </si>
  <si>
    <t>re-exposure</t>
  </si>
  <si>
    <t>completed before onset</t>
  </si>
  <si>
    <t>none</t>
  </si>
  <si>
    <t>Priority</t>
  </si>
  <si>
    <t>high</t>
  </si>
  <si>
    <t>medium</t>
  </si>
  <si>
    <t>low</t>
  </si>
  <si>
    <t>QueryStatus</t>
  </si>
  <si>
    <t>open</t>
  </si>
  <si>
    <t>requested</t>
  </si>
  <si>
    <t>answered</t>
  </si>
  <si>
    <t>closed</t>
  </si>
  <si>
    <t>ItemType</t>
  </si>
  <si>
    <t>alternative cause</t>
  </si>
  <si>
    <t>follow-up query</t>
  </si>
  <si>
    <t>Months</t>
  </si>
  <si>
    <t>January</t>
  </si>
  <si>
    <t>February</t>
  </si>
  <si>
    <t>March</t>
  </si>
  <si>
    <t>April</t>
  </si>
  <si>
    <t>May</t>
  </si>
  <si>
    <t>June</t>
  </si>
  <si>
    <t>July</t>
  </si>
  <si>
    <t>August</t>
  </si>
  <si>
    <t>September</t>
  </si>
  <si>
    <t>October</t>
  </si>
  <si>
    <t>November</t>
  </si>
  <si>
    <t>December</t>
  </si>
  <si>
    <t>Flags and user messages (CALC-SPEC 1.1, Section 5; shown verbatim, [input] filled in; QC_Flags list every code in this order, rule G9)</t>
  </si>
  <si>
    <t>E-codes block a result (no number is shown). W-codes accompany a result and must be displayed with it. I-codes annotate it.</t>
  </si>
  <si>
    <t>Code</t>
  </si>
  <si>
    <t>Type</t>
  </si>
  <si>
    <t>Raised when</t>
  </si>
  <si>
    <t>Message shown</t>
  </si>
  <si>
    <t>E_INVALID_DATE</t>
  </si>
  <si>
    <t>Error</t>
  </si>
  <si>
    <t>A date does not exist or cannot be read</t>
  </si>
  <si>
    <t>This date does not exist. Check the source, or record it as a partial date.</t>
  </si>
  <si>
    <t>E_REVERSED_BOUNDS</t>
  </si>
  <si>
    <t>A lower bound is after or above its upper bound</t>
  </si>
  <si>
    <t>The earliest value is after the latest value. Check the order of the bounds.</t>
  </si>
  <si>
    <t>E_DUPLICATE_ID</t>
  </si>
  <si>
    <t>Two records share an identifier that must be unique</t>
  </si>
  <si>
    <t>This identifier is already used in this case. Each episode needs its own ID.</t>
  </si>
  <si>
    <t>E_MISSING_LINK</t>
  </si>
  <si>
    <t>An interval is requested without a Drug_Event_Link</t>
  </si>
  <si>
    <t>Link this drug episode to this event before calculating an interval.</t>
  </si>
  <si>
    <t>E_MISSING_INPUT</t>
  </si>
  <si>
    <t>A required input is blank, including a unit, a gate detail or a Parameter_Status, or the recorded facts do not settle a selection (G10)</t>
  </si>
  <si>
    <t>This result needs [input]. It is left blank rather than estimated.</t>
  </si>
  <si>
    <t>E_INVALID_UNIT</t>
  </si>
  <si>
    <t>A unit not listed in Section 6</t>
  </si>
  <si>
    <t>This unit is not supported here. Use one of the listed units.</t>
  </si>
  <si>
    <t>E_NONPOSITIVE_PARAMETER</t>
  </si>
  <si>
    <t>A half-life, clearance, volume, interval, rate, dose or BSA is zero or negative</t>
  </si>
  <si>
    <t>This value must be greater than zero.</t>
  </si>
  <si>
    <t>E_OUT_OF_RANGE</t>
  </si>
  <si>
    <t>Target fraction outside 0–1, negative time, or age outside 18–120</t>
  </si>
  <si>
    <t>This value is outside the range the equation accepts.</t>
  </si>
  <si>
    <t>E_APPLICABILITY_UNCONFIRMED</t>
  </si>
  <si>
    <t>The common gate is not confirmed with all its details, or the Q6 switch is off</t>
  </si>
  <si>
    <t>Confirm the model, the half-life used, the reference time and each input’s status before a result is shown.</t>
  </si>
  <si>
    <t>E_CREATININE_STABILITY_UNCONFIRMED</t>
  </si>
  <si>
    <t>Q11 without stability confirmation</t>
  </si>
  <si>
    <t>Cockcroft–Gault assumes stable creatinine. Confirm stability before an estimate is shown.</t>
  </si>
  <si>
    <t>E_OVERLAPPING_SEGMENTS</t>
  </si>
  <si>
    <t>Infusion segments overlap</t>
  </si>
  <si>
    <t>Two infusion segments overlap. Check the recorded start and stop times.</t>
  </si>
  <si>
    <t>W_TZ_UNKNOWN</t>
  </si>
  <si>
    <t>Warning</t>
  </si>
  <si>
    <t>A UTC offset is unknown</t>
  </si>
  <si>
    <t>Offset unknown: this interval uses local clock times and could be wrong across a clock change or time zone.</t>
  </si>
  <si>
    <t>W_SAME_DATE_ORDER_UNKNOWN</t>
  </si>
  <si>
    <t>Same date and no times</t>
  </si>
  <si>
    <t>Same calendar date: the order within the day is unknown.</t>
  </si>
  <si>
    <t>W_SEQUENCE_UNCERTAIN</t>
  </si>
  <si>
    <t>Bounds contain zero</t>
  </si>
  <si>
    <t>The available dates allow onset before or after this anchor. Sequence is not established.</t>
  </si>
  <si>
    <t>W_ADMIN_SAME_DATE_AS_ONSET</t>
  </si>
  <si>
    <t>The selected last dose shares the onset date without times</t>
  </si>
  <si>
    <t>This dose was on the onset date; whether it came before onset is unknown.</t>
  </si>
  <si>
    <t>W_REPORTED_TIMING_CONFLICT</t>
  </si>
  <si>
    <t>Reported timing does not overlap the computed interval</t>
  </si>
  <si>
    <t>The reported timing conflicts with the recorded dates. Both are kept; query the source.</t>
  </si>
  <si>
    <t>W_INTERVENTION_BEFORE_RECOVERY</t>
  </si>
  <si>
    <t>A recorded intervention can lie between cessation and recovery, ends included</t>
  </si>
  <si>
    <t>Treatment was given before recovery, so recovery cannot be attributed to withdrawal alone.</t>
  </si>
  <si>
    <t>W_BIOLOGIC_MODEL_CAUTION</t>
  </si>
  <si>
    <t>Every Q7 result, and Q8 for a recorded monoclonal antibody</t>
  </si>
  <si>
    <t>Antibody disposition can be nonlinear or time-varying; this simple model may not apply.</t>
  </si>
  <si>
    <t>W_SEX_NOT_RECORDED</t>
  </si>
  <si>
    <t>Q11 without recorded sex</t>
  </si>
  <si>
    <t>Sex not recorded: both estimates are shown.</t>
  </si>
  <si>
    <t>W_PARTIAL_BSA</t>
  </si>
  <si>
    <t>Q10 with a missing BSA</t>
  </si>
  <si>
    <t>BSA missing for some administrations: the value shown is a lower bound.</t>
  </si>
  <si>
    <t>I_TREATMENT_DAY_UNDEFINED</t>
  </si>
  <si>
    <t>Info</t>
  </si>
  <si>
    <t>C2 is negative</t>
  </si>
  <si>
    <t>No treatment-day number exists before the first dose.</t>
  </si>
  <si>
    <t>I_APPROXIMATE_NOT_COMPARED</t>
  </si>
  <si>
    <t>Reported timing has no bounds, or units that C6 does not compare</t>
  </si>
  <si>
    <t>Approximate timing is kept as reported and not converted.</t>
  </si>
  <si>
    <t>I_SCENARIO_NOT_CI</t>
  </si>
  <si>
    <t>Every Q8 result</t>
  </si>
  <si>
    <t>Scenario range from assumed parameters, not a confidence interval.</t>
  </si>
  <si>
    <t>I_TEACHING_DEMONSTRATION</t>
  </si>
  <si>
    <t>Every Q6 result</t>
  </si>
  <si>
    <t>Teaching demonstration with hypothetical values.</t>
  </si>
  <si>
    <t>Cases: one row per case version</t>
  </si>
  <si>
    <t>Yellow cells are inputs; grey cells are locked formulas. Enter what the source says: original text, precision and bounds. Nothing is imputed (CALC-SPEC G2).</t>
  </si>
  <si>
    <t>INPUTS: one row per case version (follow-up adds a version; earlier rows stay)</t>
  </si>
  <si>
    <t>Case_ID</t>
  </si>
  <si>
    <t>Case_Version</t>
  </si>
  <si>
    <t>Received date</t>
  </si>
  <si>
    <t>Setting</t>
  </si>
  <si>
    <t>Reviewer</t>
  </si>
  <si>
    <t>Review date</t>
  </si>
  <si>
    <t>Fictional or de-identified teaching case?</t>
  </si>
  <si>
    <t>Summary</t>
  </si>
  <si>
    <t>What this version adds</t>
  </si>
  <si>
    <t>CHECKS</t>
  </si>
  <si>
    <t>Case key</t>
  </si>
  <si>
    <t>Key count</t>
  </si>
  <si>
    <t>Record check</t>
  </si>
  <si>
    <t>Check message</t>
  </si>
  <si>
    <t>Reserved, locked rows: fictional teaching cases EX-C01 (case version 2), EX-C04 (version 2) and EX-C28 (version 2), read by the Examples sheet. Copy rows to the yellow area with a new Case_ID to experiment.</t>
  </si>
  <si>
    <t>Reserved, locked rows: CALC-SPEC 1.1 verification vectors (VEC-V01 ... VEC-V38), read by the Verification sheet. They use the same column formulas as your own rows.</t>
  </si>
  <si>
    <t>Version 2 (follow-up 14 January 2026) adds Drug B, the antiseptic, pump rate, first exposure, diagnosis and tryptase sample; version 1 facts unchanged.</t>
  </si>
  <si>
    <t>EX-C01</t>
  </si>
  <si>
    <t>Hospital infusion (fictional)</t>
  </si>
  <si>
    <t>Urticaria, wheeze and hypotension 15 minutes after the start of a first Drug A infusion (Chapter 3, Section 3.7).</t>
  </si>
  <si>
    <t>Version 2 (GP letter received 20 July 2026) adds dose, last dose time, ibuprofen, creatinine series, digoxin level with sample time and IV fluids.</t>
  </si>
  <si>
    <t>EX-C04</t>
  </si>
  <si>
    <t>Primary care and emergency department (fictional)</t>
  </si>
  <si>
    <t>Nausea and symptomatic bradycardia on digoxin after renal deterioration (Chapter 11, Section 11.8; Chapter 23, Section 23.11).</t>
  </si>
  <si>
    <t>Version 2 (received 15 June 2026) adds cycle dates, serology, prophylaxis, HBV DNA monitoring, prednisolone course and B-cell/IgG results.</t>
  </si>
  <si>
    <t>EX-C28</t>
  </si>
  <si>
    <t>Hematology and hepatology (fictional)</t>
  </si>
  <si>
    <t>HBV reactivation months after completing rituximab (Chapter 20, Section 20.4; Chapter 23, Section 23.12).</t>
  </si>
  <si>
    <t>VEC-V01</t>
  </si>
  <si>
    <t>CALC-SPEC 1.1 verification vector V01 (tto_calc_test_vectors_v1.1.json)</t>
  </si>
  <si>
    <t>Vector inputs as in the JSON file</t>
  </si>
  <si>
    <t>VEC-V02</t>
  </si>
  <si>
    <t>CALC-SPEC 1.1 verification vector V02 (tto_calc_test_vectors_v1.1.json)</t>
  </si>
  <si>
    <t>VEC-V03</t>
  </si>
  <si>
    <t>CALC-SPEC 1.1 verification vector V03 (tto_calc_test_vectors_v1.1.json)</t>
  </si>
  <si>
    <t>VEC-V04</t>
  </si>
  <si>
    <t>CALC-SPEC 1.1 verification vector V04 (tto_calc_test_vectors_v1.1.json)</t>
  </si>
  <si>
    <t>VEC-V05</t>
  </si>
  <si>
    <t>CALC-SPEC 1.1 verification vector V05 (tto_calc_test_vectors_v1.1.json)</t>
  </si>
  <si>
    <t>VEC-V06</t>
  </si>
  <si>
    <t>CALC-SPEC 1.1 verification vector V06 (tto_calc_test_vectors_v1.1.json)</t>
  </si>
  <si>
    <t>VEC-V07</t>
  </si>
  <si>
    <t>CALC-SPEC 1.1 verification vector V07 (tto_calc_test_vectors_v1.1.json)</t>
  </si>
  <si>
    <t>VEC-V08</t>
  </si>
  <si>
    <t>CALC-SPEC 1.1 verification vector V08 (tto_calc_test_vectors_v1.1.json)</t>
  </si>
  <si>
    <t>VEC-V09</t>
  </si>
  <si>
    <t>CALC-SPEC 1.1 verification vector V09 (tto_calc_test_vectors_v1.1.json)</t>
  </si>
  <si>
    <t>VEC-V10</t>
  </si>
  <si>
    <t>CALC-SPEC 1.1 verification vector V10 (tto_calc_test_vectors_v1.1.json)</t>
  </si>
  <si>
    <t>VEC-V11</t>
  </si>
  <si>
    <t>CALC-SPEC 1.1 verification vector V11 (tto_calc_test_vectors_v1.1.json)</t>
  </si>
  <si>
    <t>VEC-V12</t>
  </si>
  <si>
    <t>CALC-SPEC 1.1 verification vector V12 (tto_calc_test_vectors_v1.1.json)</t>
  </si>
  <si>
    <t>V12 follow-up: onset moves from 10 to 8 May 2026</t>
  </si>
  <si>
    <t>Version 1 row is kept; version 2 is added (V12)</t>
  </si>
  <si>
    <t>VEC-V13</t>
  </si>
  <si>
    <t>CALC-SPEC 1.1 verification vector V13 (tto_calc_test_vectors_v1.1.json)</t>
  </si>
  <si>
    <t>VEC-V15</t>
  </si>
  <si>
    <t>CALC-SPEC 1.1 verification vector V15 (tto_calc_test_vectors_v1.1.json)</t>
  </si>
  <si>
    <t>VEC-V16</t>
  </si>
  <si>
    <t>CALC-SPEC 1.1 verification vector V16 (tto_calc_test_vectors_v1.1.json)</t>
  </si>
  <si>
    <t>VEC-V17</t>
  </si>
  <si>
    <t>CALC-SPEC 1.1 verification vector V17 (tto_calc_test_vectors_v1.1.json)</t>
  </si>
  <si>
    <t>VEC-V18</t>
  </si>
  <si>
    <t>CALC-SPEC 1.1 verification vector V18 (tto_calc_test_vectors_v1.1.json)</t>
  </si>
  <si>
    <t>VEC-V19</t>
  </si>
  <si>
    <t>CALC-SPEC 1.1 verification vector V19 (tto_calc_test_vectors_v1.1.json)</t>
  </si>
  <si>
    <t>VEC-V20</t>
  </si>
  <si>
    <t>CALC-SPEC 1.1 verification vector V20 (tto_calc_test_vectors_v1.1.json)</t>
  </si>
  <si>
    <t>VEC-V21</t>
  </si>
  <si>
    <t>CALC-SPEC 1.1 verification vector V21 (tto_calc_test_vectors_v1.1.json)</t>
  </si>
  <si>
    <t>VEC-V22</t>
  </si>
  <si>
    <t>CALC-SPEC 1.1 verification vector V22 (tto_calc_test_vectors_v1.1.json)</t>
  </si>
  <si>
    <t>VEC-V23</t>
  </si>
  <si>
    <t>CALC-SPEC 1.1 verification vector V23 (tto_calc_test_vectors_v1.1.json)</t>
  </si>
  <si>
    <t>VEC-V24</t>
  </si>
  <si>
    <t>CALC-SPEC 1.1 verification vector V24 (tto_calc_test_vectors_v1.1.json)</t>
  </si>
  <si>
    <t>VEC-V25</t>
  </si>
  <si>
    <t>CALC-SPEC 1.1 verification vector V25 (tto_calc_test_vectors_v1.1.json)</t>
  </si>
  <si>
    <t>VEC-V26</t>
  </si>
  <si>
    <t>CALC-SPEC 1.1 verification vector V26 (tto_calc_test_vectors_v1.1.json)</t>
  </si>
  <si>
    <t>VEC-V27</t>
  </si>
  <si>
    <t>CALC-SPEC 1.1 verification vector V27 (tto_calc_test_vectors_v1.1.json)</t>
  </si>
  <si>
    <t>VEC-V28</t>
  </si>
  <si>
    <t>CALC-SPEC 1.1 verification vector V28 (tto_calc_test_vectors_v1.1.json)</t>
  </si>
  <si>
    <t>VEC-V29</t>
  </si>
  <si>
    <t>CALC-SPEC 1.1 verification vector V29 (tto_calc_test_vectors_v1.1.json)</t>
  </si>
  <si>
    <t>VEC-V30</t>
  </si>
  <si>
    <t>CALC-SPEC 1.1 verification vector V30 (tto_calc_test_vectors_v1.1.json)</t>
  </si>
  <si>
    <t>VEC-V31</t>
  </si>
  <si>
    <t>CALC-SPEC 1.1 verification vector V31 (tto_calc_test_vectors_v1.1.json)</t>
  </si>
  <si>
    <t>VEC-V32</t>
  </si>
  <si>
    <t>CALC-SPEC 1.1 verification vector V32 (tto_calc_test_vectors_v1.1.json)</t>
  </si>
  <si>
    <t>VEC-V33</t>
  </si>
  <si>
    <t>CALC-SPEC 1.1 verification vector V33 (tto_calc_test_vectors_v1.1.json)</t>
  </si>
  <si>
    <t>VEC-V34</t>
  </si>
  <si>
    <t>CALC-SPEC 1.1 verification vector V34 (tto_calc_test_vectors_v1.1.json)</t>
  </si>
  <si>
    <t>VEC-V35</t>
  </si>
  <si>
    <t>CALC-SPEC 1.1 verification vector V35 (tto_calc_test_vectors_v1.1.json)</t>
  </si>
  <si>
    <t>VEC-V36</t>
  </si>
  <si>
    <t>CALC-SPEC 1.1 verification vector V36 (tto_calc_test_vectors_v1.1.json)</t>
  </si>
  <si>
    <t>VEC-V37</t>
  </si>
  <si>
    <t>CALC-SPEC 1.1 verification vector V37 (tto_calc_test_vectors_v1.1.json)</t>
  </si>
  <si>
    <t>VEC-V38</t>
  </si>
  <si>
    <t>CALC-SPEC 1.1 verification vector V38 (tto_calc_test_vectors_v1.1.json)</t>
  </si>
  <si>
    <t>Exposures: one row per exposure episode (Start, Stop and Restart are timepoints)</t>
  </si>
  <si>
    <t>INPUTS: one row per exposure episode</t>
  </si>
  <si>
    <t>Drug_ID</t>
  </si>
  <si>
    <t>Exposure_Episode_ID (timepoints: ID/START, ID/STOP, ID/RESTART)</t>
  </si>
  <si>
    <t>Product</t>
  </si>
  <si>
    <t>Route</t>
  </si>
  <si>
    <t>Dose (as reported)</t>
  </si>
  <si>
    <t>Dose unit</t>
  </si>
  <si>
    <t>Regimen (as reported)</t>
  </si>
  <si>
    <t>Missing-data reason (example codes)</t>
  </si>
  <si>
    <t>Notes</t>
  </si>
  <si>
    <t>Start (timepoint)</t>
  </si>
  <si>
    <t>Start: original text (as reported)</t>
  </si>
  <si>
    <t>Start: precision</t>
  </si>
  <si>
    <t>Start: date (TIMESTAMP, DATE)</t>
  </si>
  <si>
    <t>Start: local time hh:mm (TIMESTAMP only)</t>
  </si>
  <si>
    <t>Start: UTC offset or unknown (TIMESTAMP)</t>
  </si>
  <si>
    <t>Start: year (MONTH, YEAR)</t>
  </si>
  <si>
    <t>Start: month 1-12 (MONTH)</t>
  </si>
  <si>
    <t>Start: earliest date (RANGE)</t>
  </si>
  <si>
    <t>Start: latest date (RANGE)</t>
  </si>
  <si>
    <t>Start: source (document, record)</t>
  </si>
  <si>
    <t>Start: check (E-code)</t>
  </si>
  <si>
    <t>Start: has time (1/0)</t>
  </si>
  <si>
    <t>Start: offset known (1/0)</t>
  </si>
  <si>
    <t>Start: lower bound (date)</t>
  </si>
  <si>
    <t>Start: upper bound (date)</t>
  </si>
  <si>
    <t>Start: local clock (minutes since 1900)</t>
  </si>
  <si>
    <t>Start: UTC (minutes since 1900)</t>
  </si>
  <si>
    <t>Stop (timepoint)</t>
  </si>
  <si>
    <t>Stop: original text (as reported)</t>
  </si>
  <si>
    <t>Stop: precision</t>
  </si>
  <si>
    <t>Stop: date (TIMESTAMP, DATE)</t>
  </si>
  <si>
    <t>Stop: local time hh:mm (TIMESTAMP only)</t>
  </si>
  <si>
    <t>Stop: UTC offset or unknown (TIMESTAMP)</t>
  </si>
  <si>
    <t>Stop: year (MONTH, YEAR)</t>
  </si>
  <si>
    <t>Stop: month 1-12 (MONTH)</t>
  </si>
  <si>
    <t>Stop: earliest date (RANGE)</t>
  </si>
  <si>
    <t>Stop: latest date (RANGE)</t>
  </si>
  <si>
    <t>Stop: source (document, record)</t>
  </si>
  <si>
    <t>Stop: check (E-code)</t>
  </si>
  <si>
    <t>Stop: has time (1/0)</t>
  </si>
  <si>
    <t>Stop: offset known (1/0)</t>
  </si>
  <si>
    <t>Stop: lower bound (date)</t>
  </si>
  <si>
    <t>Stop: upper bound (date)</t>
  </si>
  <si>
    <t>Stop: local clock (minutes since 1900)</t>
  </si>
  <si>
    <t>Stop: UTC (minutes since 1900)</t>
  </si>
  <si>
    <t>Restart (timepoint)</t>
  </si>
  <si>
    <t>Restart: original text (as reported)</t>
  </si>
  <si>
    <t>Restart: precision</t>
  </si>
  <si>
    <t>Restart: date (TIMESTAMP, DATE)</t>
  </si>
  <si>
    <t>Restart: local time hh:mm (TIMESTAMP only)</t>
  </si>
  <si>
    <t>Restart: UTC offset or unknown (TIMESTAMP)</t>
  </si>
  <si>
    <t>Restart: year (MONTH, YEAR)</t>
  </si>
  <si>
    <t>Restart: month 1-12 (MONTH)</t>
  </si>
  <si>
    <t>Restart: earliest date (RANGE)</t>
  </si>
  <si>
    <t>Restart: latest date (RANGE)</t>
  </si>
  <si>
    <t>Restart: source (document, record)</t>
  </si>
  <si>
    <t>Restart: check (E-code)</t>
  </si>
  <si>
    <t>Restart: has time (1/0)</t>
  </si>
  <si>
    <t>Restart: offset known (1/0)</t>
  </si>
  <si>
    <t>Restart: lower bound (date)</t>
  </si>
  <si>
    <t>Restart: upper bound (date)</t>
  </si>
  <si>
    <t>Restart: local clock (minutes since 1900)</t>
  </si>
  <si>
    <t>Restart: UTC (minutes since 1900)</t>
  </si>
  <si>
    <t>Exposure key</t>
  </si>
  <si>
    <t>Record check (E-code)</t>
  </si>
  <si>
    <t>intravenous infusion</t>
  </si>
  <si>
    <t>EX-A</t>
  </si>
  <si>
    <t>DRUG-A</t>
  </si>
  <si>
    <t>First exposure to Drug A (version 2)</t>
  </si>
  <si>
    <t>Drug A (placeholder)</t>
  </si>
  <si>
    <t>09:00 Drug A infusion commenced</t>
  </si>
  <si>
    <t>Nursing chart; medication administration record</t>
  </si>
  <si>
    <t>Nursing chart</t>
  </si>
  <si>
    <t>09:16 infusion stopped, doctor called</t>
  </si>
  <si>
    <t>intravenous infusion, same cannula</t>
  </si>
  <si>
    <t>EX-B</t>
  </si>
  <si>
    <t>DRUG-B</t>
  </si>
  <si>
    <t>Previous courses, dates unknown (version 2)</t>
  </si>
  <si>
    <t>Drug B (placeholder)</t>
  </si>
  <si>
    <t>Drug B IV given earlier this morning via same cannula</t>
  </si>
  <si>
    <t>Follow-up, version 2</t>
  </si>
  <si>
    <t>Drug B infusion ended 08:50</t>
  </si>
  <si>
    <t>ANTISEPTIC</t>
  </si>
  <si>
    <t>EX-AS</t>
  </si>
  <si>
    <t>topical, at cannulation</t>
  </si>
  <si>
    <t>Skin antiseptic (concomitant material)</t>
  </si>
  <si>
    <t>Antiseptic applied at cannulation</t>
  </si>
  <si>
    <t>EX-DIG</t>
  </si>
  <si>
    <t>DIGOXIN</t>
  </si>
  <si>
    <t>125 micrograms each morning since 1 January 2026, dose never changed</t>
  </si>
  <si>
    <t>Digoxin tablets</t>
  </si>
  <si>
    <t>oral</t>
  </si>
  <si>
    <t>digoxin 125 micrograms each morning since 1 January 2026</t>
  </si>
  <si>
    <t>GP letter (version 2)</t>
  </si>
  <si>
    <t>Digoxin and ibuprofen withheld (5 July)</t>
  </si>
  <si>
    <t>Emergency department note</t>
  </si>
  <si>
    <t>EX-IBU</t>
  </si>
  <si>
    <t>IBUPROFEN</t>
  </si>
  <si>
    <t>400 mg three times a day for back pain</t>
  </si>
  <si>
    <t>Ibuprofen</t>
  </si>
  <si>
    <t>Bought ibuprofen ... on 26 June</t>
  </si>
  <si>
    <t>last taken 4 July</t>
  </si>
  <si>
    <t>Long term; dose unchanged since 2024</t>
  </si>
  <si>
    <t>EX-BB</t>
  </si>
  <si>
    <t>BETA-BLOCKER</t>
  </si>
  <si>
    <t>Beta-blocker (product not named)</t>
  </si>
  <si>
    <t>Start date not reported; additive AV-conduction effect (pharmacodynamic)</t>
  </si>
  <si>
    <t>intravenous</t>
  </si>
  <si>
    <t>EX-RTX</t>
  </si>
  <si>
    <t>RITUXIMAB</t>
  </si>
  <si>
    <t>R-Regimen X x 6 cycles every 21 days; doses as recorded in the source</t>
  </si>
  <si>
    <t>Rituximab (NHL)</t>
  </si>
  <si>
    <t>R-Regimen X x 6, 18/11/2024 to 03/03/2025</t>
  </si>
  <si>
    <t>Hematology summary</t>
  </si>
  <si>
    <t>last infusion 03/03/2025</t>
  </si>
  <si>
    <t>REGIMEN-X</t>
  </si>
  <si>
    <t>EX-RX</t>
  </si>
  <si>
    <t>combination chemotherapy</t>
  </si>
  <si>
    <t>Regimen X (placeholder; includes a glucocorticoid)</t>
  </si>
  <si>
    <t>same cycles as rituximab</t>
  </si>
  <si>
    <t>ANTIVIRAL-A</t>
  </si>
  <si>
    <t>EX-AVA</t>
  </si>
  <si>
    <t>Antiviral A (placeholder), prophylaxis</t>
  </si>
  <si>
    <t>Antiviral A prophylaxis 11/11/2024 to 03/09/2025</t>
  </si>
  <si>
    <t>prophylaxis to 03/09/2025</t>
  </si>
  <si>
    <t>EX-PRED</t>
  </si>
  <si>
    <t>PREDNISOLONE</t>
  </si>
  <si>
    <t>Prednisolone, 10-day oral course</t>
  </si>
  <si>
    <t>Dose not reported</t>
  </si>
  <si>
    <t>10-day oral prednisolone course 02-11/03/2026</t>
  </si>
  <si>
    <t>Hepatology letter</t>
  </si>
  <si>
    <t>EX-AVA2</t>
  </si>
  <si>
    <t>Antiviral A, treatment of the event</t>
  </si>
  <si>
    <t>Antiviral A restarted 27/05/2026</t>
  </si>
  <si>
    <t>D1</t>
  </si>
  <si>
    <t>EX1</t>
  </si>
  <si>
    <t>Vector drug</t>
  </si>
  <si>
    <t>2026-01-10T09:00-05:00</t>
  </si>
  <si>
    <t>tto_calc_test_vectors_v1.1.json V01</t>
  </si>
  <si>
    <t>2026-01-01</t>
  </si>
  <si>
    <t>tto_calc_test_vectors_v1.1.json V02</t>
  </si>
  <si>
    <t>2026-01-05</t>
  </si>
  <si>
    <t>tto_calc_test_vectors_v1.1.json V03</t>
  </si>
  <si>
    <t>2024-02-28</t>
  </si>
  <si>
    <t>tto_calc_test_vectors_v1.1.json V04</t>
  </si>
  <si>
    <t>start 1-10 January 2026</t>
  </si>
  <si>
    <t>tto_calc_test_vectors_v1.1.json V05</t>
  </si>
  <si>
    <t>tto_calc_test_vectors_v1.1.json V06</t>
  </si>
  <si>
    <t>first dose</t>
  </si>
  <si>
    <t>tto_calc_test_vectors_v1.1.json V07</t>
  </si>
  <si>
    <t>first administration</t>
  </si>
  <si>
    <t>tto_calc_test_vectors_v1.1.json V08</t>
  </si>
  <si>
    <t>stop</t>
  </si>
  <si>
    <t>restart</t>
  </si>
  <si>
    <t>2026-11-01T01:30-04:00</t>
  </si>
  <si>
    <t>tto_calc_test_vectors_v1.1.json V09</t>
  </si>
  <si>
    <t>2026-03-08T01:30 (offset unknown)</t>
  </si>
  <si>
    <t>tto_calc_test_vectors_v1.1.json V10</t>
  </si>
  <si>
    <t>dose 08:00</t>
  </si>
  <si>
    <t>tto_calc_test_vectors_v1.1.json V11</t>
  </si>
  <si>
    <t>2026-05-01</t>
  </si>
  <si>
    <t>tto_calc_test_vectors_v1.1.json V12</t>
  </si>
  <si>
    <t>first of two episodes both called EX1</t>
  </si>
  <si>
    <t>tto_calc_test_vectors_v1.1.json V13</t>
  </si>
  <si>
    <t>second episode reusing the ID EX1</t>
  </si>
  <si>
    <t>EX2</t>
  </si>
  <si>
    <t>bounds entered in reverse order</t>
  </si>
  <si>
    <t>EX3</t>
  </si>
  <si>
    <t>2026-01-15</t>
  </si>
  <si>
    <t>No start date: V15 tests reported timing only</t>
  </si>
  <si>
    <t>infusion start</t>
  </si>
  <si>
    <t>tto_calc_test_vectors_v1.1.json V25</t>
  </si>
  <si>
    <t>Administration dates not part of vector V26</t>
  </si>
  <si>
    <t>tto_calc_test_vectors_v1.1.json V28</t>
  </si>
  <si>
    <t>cessation 2026-01-10T09:16-05:00</t>
  </si>
  <si>
    <t>cessation 2026-07-05</t>
  </si>
  <si>
    <t>tto_calc_test_vectors_v1.1.json V29</t>
  </si>
  <si>
    <t>tto_calc_test_vectors_v1.1.json V30</t>
  </si>
  <si>
    <t>D2</t>
  </si>
  <si>
    <t>TX-START in the vector: a treatment exposure, not recorded as an intervention</t>
  </si>
  <si>
    <t>EXO1</t>
  </si>
  <si>
    <t>Other drug 1</t>
  </si>
  <si>
    <t>treatment started 2026-07-06</t>
  </si>
  <si>
    <t>2026-03-01</t>
  </si>
  <si>
    <t>tto_calc_test_vectors_v1.1.json V31</t>
  </si>
  <si>
    <t>2026-03-02T08:00-05:00</t>
  </si>
  <si>
    <t>tto_calc_test_vectors_v1.1.json V33 (first administration)</t>
  </si>
  <si>
    <t>tto_calc_test_vectors_v1.1.json V34 (first administration)</t>
  </si>
  <si>
    <t>tto_calc_test_vectors_v1.1.json V35</t>
  </si>
  <si>
    <t>Administrations listed out of date order (V38)</t>
  </si>
  <si>
    <t>Administrations: one row per dose, administration or infusion rate segment</t>
  </si>
  <si>
    <t>INPUTS: one row per dose, administration or infusion rate segment</t>
  </si>
  <si>
    <t>Admin_ID (record ID)</t>
  </si>
  <si>
    <t>Exposure_Episode_ID</t>
  </si>
  <si>
    <t>Kind (DOSE, DOSE_CHANGE, INFUSION_SEGMENT, OTHER); INFUSION_SEGMENT rows are Q9 rate segments, not C5 candidates</t>
  </si>
  <si>
    <t>Dose (Q10 needs mg)</t>
  </si>
  <si>
    <t>Infusion rate (Q9 needs mg/hour)</t>
  </si>
  <si>
    <t>Rate unit</t>
  </si>
  <si>
    <t>BSA at this administration (m²)</t>
  </si>
  <si>
    <t>Administration or segment start (timepoint)</t>
  </si>
  <si>
    <t>Administration or segment start: original text (as reported)</t>
  </si>
  <si>
    <t>Administration or segment start: precision</t>
  </si>
  <si>
    <t>Administration or segment start: date (TIMESTAMP, DATE)</t>
  </si>
  <si>
    <t>Administration or segment start: local time hh:mm (TIMESTAMP only)</t>
  </si>
  <si>
    <t>Administration or segment start: UTC offset or unknown (TIMESTAMP)</t>
  </si>
  <si>
    <t>Administration or segment start: year (MONTH, YEAR)</t>
  </si>
  <si>
    <t>Administration or segment start: month 1-12 (MONTH)</t>
  </si>
  <si>
    <t>Administration or segment start: earliest date (RANGE)</t>
  </si>
  <si>
    <t>Administration or segment start: latest date (RANGE)</t>
  </si>
  <si>
    <t>Administration or segment start: source (document, record)</t>
  </si>
  <si>
    <t>Administration or segment start: check (E-code)</t>
  </si>
  <si>
    <t>Administration or segment start: has time (1/0)</t>
  </si>
  <si>
    <t>Administration or segment start: offset known (1/0)</t>
  </si>
  <si>
    <t>Administration or segment start: lower bound (date)</t>
  </si>
  <si>
    <t>Administration or segment start: upper bound (date)</t>
  </si>
  <si>
    <t>Administration or segment start: local clock (minutes since 1900)</t>
  </si>
  <si>
    <t>Administration or segment start: UTC (minutes since 1900)</t>
  </si>
  <si>
    <t>Infusion segment end (INFUSION_SEGMENT only)</t>
  </si>
  <si>
    <t>Segment end: date</t>
  </si>
  <si>
    <t>Segment end: local time hh:mm</t>
  </si>
  <si>
    <t>Segment end: UTC offset or unknown</t>
  </si>
  <si>
    <t>Segment end: source</t>
  </si>
  <si>
    <t>Segment end: check</t>
  </si>
  <si>
    <t>Segment end: local (minutes)</t>
  </si>
  <si>
    <t>Segment end: offset known</t>
  </si>
  <si>
    <t>Segment end: UTC (minutes)</t>
  </si>
  <si>
    <t>WORKING AND CHECK COLUMNS</t>
  </si>
  <si>
    <t>Administration key</t>
  </si>
  <si>
    <t>Episode key</t>
  </si>
  <si>
    <t>Exact date or timestamp, no error</t>
  </si>
  <si>
    <t>Date recorded (any precision)</t>
  </si>
  <si>
    <t>Local minutes (0 if none)</t>
  </si>
  <si>
    <t>UTC minutes (0 if none)</t>
  </si>
  <si>
    <t>Date (0 if none)</t>
  </si>
  <si>
    <t>Row order (as entered)</t>
  </si>
  <si>
    <t>Rate (0 if none)</t>
  </si>
  <si>
    <t>Dose (0 if none)</t>
  </si>
  <si>
    <t>Positive dose (0 otherwise)</t>
  </si>
  <si>
    <t>Has dose</t>
  </si>
  <si>
    <t>BSA (0 if none)</t>
  </si>
  <si>
    <t>BSA key (-1 blank, -2 not a number)</t>
  </si>
  <si>
    <t>Has BSA</t>
  </si>
  <si>
    <t>BSA blank (W_PARTIAL_BSA)</t>
  </si>
  <si>
    <t>Dose and positive BSA recorded (Method A)</t>
  </si>
  <si>
    <t>Dose / BSA, mg/m2 (0 unless Known)</t>
  </si>
  <si>
    <t>Q10 checks of this administration (E-codes)</t>
  </si>
  <si>
    <t>Q10 Method B date check (E-code)</t>
  </si>
  <si>
    <t>Segment: start and end timestamps valid</t>
  </si>
  <si>
    <t>Segment: both offsets known</t>
  </si>
  <si>
    <t>Segment start UTC</t>
  </si>
  <si>
    <t>Segment end UTC</t>
  </si>
  <si>
    <t>Segment start local</t>
  </si>
  <si>
    <t>Segment end local</t>
  </si>
  <si>
    <t>Segment reversed (local clock)</t>
  </si>
  <si>
    <t>Segment reversed (UTC)</t>
  </si>
  <si>
    <t>Overlapping segments, local clock (count)</t>
  </si>
  <si>
    <t>Overlapping segments, UTC (count)</t>
  </si>
  <si>
    <t>Segment checks (Q9 E-codes)</t>
  </si>
  <si>
    <t>Exposure episode exists</t>
  </si>
  <si>
    <t>Record check (first E-code)</t>
  </si>
  <si>
    <t>ADM-A1</t>
  </si>
  <si>
    <t>Pump rate 50 mL/hour from 09:00, unchanged until the stop; drug concentration in the bag not reported</t>
  </si>
  <si>
    <t>Drug A IV, started 09:00</t>
  </si>
  <si>
    <t>Medication administration record</t>
  </si>
  <si>
    <t>stopped 09:16 (reaction)</t>
  </si>
  <si>
    <t>ADM-DIG-LAST</t>
  </si>
  <si>
    <t>Took last digoxin yesterday morning, about 08:00</t>
  </si>
  <si>
    <t>Emergency department note, 5 July 2026</t>
  </si>
  <si>
    <t>Dose as recorded in the source (not itemized)</t>
  </si>
  <si>
    <t>ADM-RTX-1</t>
  </si>
  <si>
    <t>first infusion 18/11/2024</t>
  </si>
  <si>
    <t>Intermediate cycle dates not itemized in the source</t>
  </si>
  <si>
    <t>ADM-RTX-6</t>
  </si>
  <si>
    <t>A1</t>
  </si>
  <si>
    <t>2026-03-01T08:00-05:00</t>
  </si>
  <si>
    <t>A2</t>
  </si>
  <si>
    <t>A3</t>
  </si>
  <si>
    <t>2026-03-03T08:00-05:00</t>
  </si>
  <si>
    <t>S1</t>
  </si>
  <si>
    <t>segment 1 start</t>
  </si>
  <si>
    <t>S2</t>
  </si>
  <si>
    <t>tto_calc_test_vectors_v1.1.json V25 (recorded planned stop)</t>
  </si>
  <si>
    <t>segment 2 start</t>
  </si>
  <si>
    <t>D3</t>
  </si>
  <si>
    <t>AD2</t>
  </si>
  <si>
    <t>2026-03-02T09:00+01:00</t>
  </si>
  <si>
    <t>tto_calc_test_vectors_v1.1.json V33</t>
  </si>
  <si>
    <t>another dose in early March</t>
  </si>
  <si>
    <t>tto_calc_test_vectors_v1.1.json V34</t>
  </si>
  <si>
    <t>2026-02-01</t>
  </si>
  <si>
    <t>tto_calc_test_vectors_v1.1.json V38</t>
  </si>
  <si>
    <t>Events: one row per event episode (Onset and First detection are timepoints; a laboratory-defined onset is precision LAB with two test milestones)</t>
  </si>
  <si>
    <t>INPUTS: one row per event episode</t>
  </si>
  <si>
    <t>Event_ID</t>
  </si>
  <si>
    <t>Episode_ID (timepoints: ID/ONSET, ID/DETECTION)</t>
  </si>
  <si>
    <t>Event term</t>
  </si>
  <si>
    <t>Baseline status</t>
  </si>
  <si>
    <t>Onset (timepoint)</t>
  </si>
  <si>
    <t>Onset: original text (as reported)</t>
  </si>
  <si>
    <t>Onset: precision (LAB = laboratory-defined onset)</t>
  </si>
  <si>
    <t>Onset: date (TIMESTAMP, DATE)</t>
  </si>
  <si>
    <t>Onset: local time hh:mm (TIMESTAMP only)</t>
  </si>
  <si>
    <t>Onset: UTC offset or unknown (TIMESTAMP)</t>
  </si>
  <si>
    <t>Onset: year (MONTH, YEAR)</t>
  </si>
  <si>
    <t>Onset: month 1-12 (MONTH)</t>
  </si>
  <si>
    <t>Onset: earliest date (RANGE)</t>
  </si>
  <si>
    <t>Onset: latest date (RANGE)</t>
  </si>
  <si>
    <t>Onset (LAB): Milestone_ID of the last normal test (lower bound)</t>
  </si>
  <si>
    <t>Onset (LAB): Milestone_ID of the first abnormal test (upper bound)</t>
  </si>
  <si>
    <t>Onset: source (document, record)</t>
  </si>
  <si>
    <t>Onset: check (E-code)</t>
  </si>
  <si>
    <t>Onset: has time (1/0)</t>
  </si>
  <si>
    <t>Onset: offset known (1/0)</t>
  </si>
  <si>
    <t>Onset: lower bound (date)</t>
  </si>
  <si>
    <t>Onset: upper bound (date)</t>
  </si>
  <si>
    <t>Onset: local clock (minutes since 1900)</t>
  </si>
  <si>
    <t>Onset: UTC (minutes since 1900)</t>
  </si>
  <si>
    <t>Onset (LAB): last normal test row</t>
  </si>
  <si>
    <t>Onset (LAB): first abnormal test row</t>
  </si>
  <si>
    <t>Onset (LAB): last normal test check</t>
  </si>
  <si>
    <t>Onset (LAB): first abnormal test check</t>
  </si>
  <si>
    <t>Onset (LAB): laboratory-defined onset check (CALC-SPEC 1.1 C4)</t>
  </si>
  <si>
    <t>First detection (timepoint)</t>
  </si>
  <si>
    <t>First detection: original text (as reported)</t>
  </si>
  <si>
    <t>First detection: precision</t>
  </si>
  <si>
    <t>First detection: date (TIMESTAMP, DATE)</t>
  </si>
  <si>
    <t>First detection: local time hh:mm (TIMESTAMP only)</t>
  </si>
  <si>
    <t>First detection: UTC offset or unknown (TIMESTAMP)</t>
  </si>
  <si>
    <t>First detection: year (MONTH, YEAR)</t>
  </si>
  <si>
    <t>First detection: month 1-12 (MONTH)</t>
  </si>
  <si>
    <t>First detection: earliest date (RANGE)</t>
  </si>
  <si>
    <t>First detection: latest date (RANGE)</t>
  </si>
  <si>
    <t>First detection: source (document, record)</t>
  </si>
  <si>
    <t>First detection: check (E-code)</t>
  </si>
  <si>
    <t>First detection: has time (1/0)</t>
  </si>
  <si>
    <t>First detection: offset known (1/0)</t>
  </si>
  <si>
    <t>First detection: lower bound (date)</t>
  </si>
  <si>
    <t>First detection: upper bound (date)</t>
  </si>
  <si>
    <t>First detection: local clock (minutes since 1900)</t>
  </si>
  <si>
    <t>First detection: UTC (minutes since 1900)</t>
  </si>
  <si>
    <t>Event key</t>
  </si>
  <si>
    <t>E1</t>
  </si>
  <si>
    <t>EV-1</t>
  </si>
  <si>
    <t>08:50 observations stable; skin clear</t>
  </si>
  <si>
    <t>Urticaria, wheeze and hypotension (acute infusion-associated reaction)</t>
  </si>
  <si>
    <t>Nursing observation chart</t>
  </si>
  <si>
    <t>09:15 pt reports itching; urticaria chest and arms; audible wheeze; BP 84/52</t>
  </si>
  <si>
    <t>Six months of tolerated treatment</t>
  </si>
  <si>
    <t>Nausea and symptomatic bradycardia</t>
  </si>
  <si>
    <t>Nausea since this morning, dizzy, pulse 38</t>
  </si>
  <si>
    <t>EV-HBV</t>
  </si>
  <si>
    <t>11/11/2024 HBsAg negative, anti-HBc positive, HBV DNA not detected</t>
  </si>
  <si>
    <t>Hepatitis B virus reactivation</t>
  </si>
  <si>
    <t>M-HBV3</t>
  </si>
  <si>
    <t>Laboratory-defined onset (CALC-SPEC 1.1 C4): test records M-HBV3 (last normal) and M-HBV4 (first abnormal)</t>
  </si>
  <si>
    <t>M-HBV4</t>
  </si>
  <si>
    <t>Between the last undetectable HBV DNA (9 February 2026) and the first positive result (12 May 2026)</t>
  </si>
  <si>
    <t>12/05/2026 HBV DNA 1,850 IU/mL</t>
  </si>
  <si>
    <t>EV1</t>
  </si>
  <si>
    <t>Vector event</t>
  </si>
  <si>
    <t>2026-01-10T09:15-05:00</t>
  </si>
  <si>
    <t>2026-01-06</t>
  </si>
  <si>
    <t>2024-03-01</t>
  </si>
  <si>
    <t>2026-03-02T20:00-05:00</t>
  </si>
  <si>
    <t>2026-02-14</t>
  </si>
  <si>
    <t>2026-11-01T01:30-05:00</t>
  </si>
  <si>
    <t>2026-03-08T03:30 (offset unknown)</t>
  </si>
  <si>
    <t>onset 14:00</t>
  </si>
  <si>
    <t>onset 10 May (version 1)</t>
  </si>
  <si>
    <t>onset 8 May (follow-up, version 2)</t>
  </si>
  <si>
    <t>30 February 2026</t>
  </si>
  <si>
    <t>2026-02-30</t>
  </si>
  <si>
    <t>EV2</t>
  </si>
  <si>
    <t>2026-01-20</t>
  </si>
  <si>
    <t>No onset date: V15 tests reported timing only</t>
  </si>
  <si>
    <t>symptoms begin 09:50</t>
  </si>
  <si>
    <t>C7 vector: the onset is not part of the vector</t>
  </si>
  <si>
    <t>MS-NORMAL</t>
  </si>
  <si>
    <t>tto_calc_test_vectors_v1.1.json V31 (laboratory-defined onset)</t>
  </si>
  <si>
    <t>MS-ABNORMAL</t>
  </si>
  <si>
    <t>between the tests</t>
  </si>
  <si>
    <t>2026-03-12</t>
  </si>
  <si>
    <t>Milestones: tests, organ function, interventions, recovery and other dated records</t>
  </si>
  <si>
    <t>INPUTS: one row per test, organ-function value, intervention, recovery or other milestone</t>
  </si>
  <si>
    <t>Milestone_ID (record ID)</t>
  </si>
  <si>
    <t>Type (RECOVERY ends C7; INTERVENTION raises W_INTERVENTION_BEFORE_RECOVERY)</t>
  </si>
  <si>
    <t>Related episode (optional)</t>
  </si>
  <si>
    <t>Description</t>
  </si>
  <si>
    <t>Value</t>
  </si>
  <si>
    <t>Unit</t>
  </si>
  <si>
    <t>Reference range</t>
  </si>
  <si>
    <t>Milestone date/time (timepoint)</t>
  </si>
  <si>
    <t>Milestone date/time: original text (as reported)</t>
  </si>
  <si>
    <t>Milestone date/time: precision</t>
  </si>
  <si>
    <t>Milestone date/time: date (TIMESTAMP, DATE)</t>
  </si>
  <si>
    <t>Milestone date/time: local time hh:mm (TIMESTAMP only)</t>
  </si>
  <si>
    <t>Milestone date/time: UTC offset or unknown (TIMESTAMP)</t>
  </si>
  <si>
    <t>Milestone date/time: year (MONTH, YEAR)</t>
  </si>
  <si>
    <t>Milestone date/time: month 1-12 (MONTH)</t>
  </si>
  <si>
    <t>Milestone date/time: earliest date (RANGE)</t>
  </si>
  <si>
    <t>Milestone date/time: latest date (RANGE)</t>
  </si>
  <si>
    <t>Milestone date/time: source (document, record)</t>
  </si>
  <si>
    <t>Milestone date/time: check (E-code)</t>
  </si>
  <si>
    <t>Milestone date/time: has time (1/0)</t>
  </si>
  <si>
    <t>Milestone date/time: offset known (1/0)</t>
  </si>
  <si>
    <t>Milestone date/time: lower bound (date)</t>
  </si>
  <si>
    <t>Milestone date/time: upper bound (date)</t>
  </si>
  <si>
    <t>Milestone date/time: local clock (minutes since 1900)</t>
  </si>
  <si>
    <t>Milestone date/time: UTC (minutes since 1900)</t>
  </si>
  <si>
    <t>Milestone key</t>
  </si>
  <si>
    <t>Recorded without any date (1/0)</t>
  </si>
  <si>
    <t>M-BASE</t>
  </si>
  <si>
    <t>Pre-infusion observations: BP 124/78, HR 76, SpO2 98%, skin clear</t>
  </si>
  <si>
    <t>08:50 pre-infusion obs</t>
  </si>
  <si>
    <t>M-EMERG</t>
  </si>
  <si>
    <t>Emergency medicines administered (agents not given here)</t>
  </si>
  <si>
    <t>Emergency medicines administered from 09:18</t>
  </si>
  <si>
    <t>M-IMPROVE</t>
  </si>
  <si>
    <t>Wheeze settling, BP 108/70</t>
  </si>
  <si>
    <t>09:35 wheeze settling, BP 108/70</t>
  </si>
  <si>
    <t>M-DIAG</t>
  </si>
  <si>
    <t>Physician note: acute reaction during first Drug A infusion</t>
  </si>
  <si>
    <t>Physician note (version 2)</t>
  </si>
  <si>
    <t>Physician note written at 09:50</t>
  </si>
  <si>
    <t>M-TRYP</t>
  </si>
  <si>
    <t>Tryptase sample taken; result pending</t>
  </si>
  <si>
    <t>tryptase sample 10:05</t>
  </si>
  <si>
    <t>M-CR1</t>
  </si>
  <si>
    <t>Serum creatinine (baseline)</t>
  </si>
  <si>
    <t>Creatinine 1.0 mg/dL on 14 November 2025</t>
  </si>
  <si>
    <t>GP letter</t>
  </si>
  <si>
    <t>M-CR2</t>
  </si>
  <si>
    <t>Creatinine 1.0 mg/dL on 12 March 2026</t>
  </si>
  <si>
    <t>M-CR3</t>
  </si>
  <si>
    <t>First documented renal deterioration (detection, not the start of the decline)</t>
  </si>
  <si>
    <t>Seen 1 July ... creatinine 1.7</t>
  </si>
  <si>
    <t>M-CR4</t>
  </si>
  <si>
    <t>Serum creatinine at onset (still rising)</t>
  </si>
  <si>
    <t>Creatinine 2.4 mg/dL</t>
  </si>
  <si>
    <t>M-DIGC</t>
  </si>
  <si>
    <t>Serum digoxin</t>
  </si>
  <si>
    <t>Serum digoxin 2.9 ng/mL (sample 11:40; laboratory reference 0.5-2.0)</t>
  </si>
  <si>
    <t>0.5-2.0 ng/mL</t>
  </si>
  <si>
    <t>ng/mL</t>
  </si>
  <si>
    <t>M-K</t>
  </si>
  <si>
    <t>Potassium</t>
  </si>
  <si>
    <t>potassium 4.8 mmol/L</t>
  </si>
  <si>
    <t>mmol/L</t>
  </si>
  <si>
    <t>M-FLUIDS</t>
  </si>
  <si>
    <t>IV fluids, cardiac monitoring (treatments 5-8 July beyond fluids not reported)</t>
  </si>
  <si>
    <t>IV fluids, cardiac monitoring</t>
  </si>
  <si>
    <t>Nausea resolved, ventricular rate 64; creatinine 1.9</t>
  </si>
  <si>
    <t>Nausea resolved, ventricular rate 64</t>
  </si>
  <si>
    <t>Ward note, 8 July 2026</t>
  </si>
  <si>
    <t>M-HBV0</t>
  </si>
  <si>
    <t>HBsAg negative, anti-HBc positive, HBV DNA not detected</t>
  </si>
  <si>
    <t>Baseline 11/11/2024</t>
  </si>
  <si>
    <t>M-HBV1</t>
  </si>
  <si>
    <t>HBV DNA not detected</t>
  </si>
  <si>
    <t>not detected 01/09/2025</t>
  </si>
  <si>
    <t>M-HBV2</t>
  </si>
  <si>
    <t>not detected 01/12/2025</t>
  </si>
  <si>
    <t>HBV DNA not detected (last undetectable)</t>
  </si>
  <si>
    <t>not detected 09/02/2026</t>
  </si>
  <si>
    <t>HBV DNA 1,850 IU/mL (first positive), ALT 28 U/L</t>
  </si>
  <si>
    <t>IU/mL</t>
  </si>
  <si>
    <t>M-BCELL</t>
  </si>
  <si>
    <t>CD19 B cells and IgG below reference range</t>
  </si>
  <si>
    <t>CD19 B cells and IgG below reference range on 12/05/2026</t>
  </si>
  <si>
    <t>Values not reported</t>
  </si>
  <si>
    <t>M-HEP</t>
  </si>
  <si>
    <t>Biochemical hepatitis: HBV DNA 64,000 IU/mL, HBsAg positive, ALT 142 U/L (ULN 40)</t>
  </si>
  <si>
    <t>26/05/2026 HBV DNA 64,000 IU/mL, HBsAg positive, ALT 142 U/L</t>
  </si>
  <si>
    <t>ULN 40 U/L</t>
  </si>
  <si>
    <t>U/L (ALT)</t>
  </si>
  <si>
    <t>M-AV</t>
  </si>
  <si>
    <t>Antiviral A restarted</t>
  </si>
  <si>
    <t>MS-REC</t>
  </si>
  <si>
    <t>Recovery</t>
  </si>
  <si>
    <t>2026-01-10T09:35-05:00</t>
  </si>
  <si>
    <t>MS-RX</t>
  </si>
  <si>
    <t>emergency medicines from 09:18</t>
  </si>
  <si>
    <t>2026-01-10T09:18-05:00</t>
  </si>
  <si>
    <t>2026-07-08</t>
  </si>
  <si>
    <t>MS-FLU</t>
  </si>
  <si>
    <t>IV fluids and cardiac monitoring</t>
  </si>
  <si>
    <t>2026-07-05</t>
  </si>
  <si>
    <t>MS-PRE</t>
  </si>
  <si>
    <t>intervention before cessation</t>
  </si>
  <si>
    <t>2026-07-03</t>
  </si>
  <si>
    <t>MS-POST</t>
  </si>
  <si>
    <t>intervention after recovery</t>
  </si>
  <si>
    <t>2026-07-09</t>
  </si>
  <si>
    <t>Last normal test</t>
  </si>
  <si>
    <t>2026-03-15</t>
  </si>
  <si>
    <t>First abnormal test</t>
  </si>
  <si>
    <t>2026-03-29</t>
  </si>
  <si>
    <t>Drug_Event_Links: pairs selected by the reviewer (an interval needs a link: E_MISSING_LINK)</t>
  </si>
  <si>
    <t>INPUTS: one row per drug-event pair the reviewer selects (no automatic pairing)</t>
  </si>
  <si>
    <t>Link_ID</t>
  </si>
  <si>
    <t>Event Episode_ID</t>
  </si>
  <si>
    <t>Reason for the pairing (required)</t>
  </si>
  <si>
    <t>Selected by</t>
  </si>
  <si>
    <t>Link key</t>
  </si>
  <si>
    <t>Event episode exists</t>
  </si>
  <si>
    <t>Suspect drug named in the report</t>
  </si>
  <si>
    <t>reviewer</t>
  </si>
  <si>
    <t>L1</t>
  </si>
  <si>
    <t>Competing exposure through the same cannula (version 2)</t>
  </si>
  <si>
    <t>L2</t>
  </si>
  <si>
    <t>Competing exposure: skin antiseptic (version 2)</t>
  </si>
  <si>
    <t>L3</t>
  </si>
  <si>
    <t>Suspect drug</t>
  </si>
  <si>
    <t>Interacting co-medication (NSAID may impair digoxin excretion)</t>
  </si>
  <si>
    <t>End of antiviral prophylaxis (concomitant change)</t>
  </si>
  <si>
    <t>Competing immunosuppressive exposure</t>
  </si>
  <si>
    <t>Concomitant chemotherapy with a glucocorticoid; same dates as rituximab</t>
  </si>
  <si>
    <t>L4</t>
  </si>
  <si>
    <t>Vector V01 pair</t>
  </si>
  <si>
    <t>Vector V02 pair</t>
  </si>
  <si>
    <t>Vector V03 pair</t>
  </si>
  <si>
    <t>Vector V04 pair</t>
  </si>
  <si>
    <t>Vector V05 pair</t>
  </si>
  <si>
    <t>Vector V06 pair</t>
  </si>
  <si>
    <t>Vector V07 pair</t>
  </si>
  <si>
    <t>Vector V08 pair</t>
  </si>
  <si>
    <t>Vector V09 pair</t>
  </si>
  <si>
    <t>Vector V10 pair</t>
  </si>
  <si>
    <t>Vector V11 pair</t>
  </si>
  <si>
    <t>Vector V15 pair</t>
  </si>
  <si>
    <t>Vector V28 pair</t>
  </si>
  <si>
    <t>Vector V29 pair</t>
  </si>
  <si>
    <t>Vector V30 pair</t>
  </si>
  <si>
    <t>Vector V31 pair</t>
  </si>
  <si>
    <t>Vector V33 pair</t>
  </si>
  <si>
    <t>Vector V34 pair</t>
  </si>
  <si>
    <t>Vector V12 pair (version 1)</t>
  </si>
  <si>
    <t>Vector V12 pair (version 2)</t>
  </si>
  <si>
    <t>Vector V13 reversed-bounds pair</t>
  </si>
  <si>
    <t>Vector V13 duplicate-ID pair</t>
  </si>
  <si>
    <t>Vector V13 invalid-date pair</t>
  </si>
  <si>
    <t>Timepoints: derived index of every dated record (locked). Use the Record_ID column as Anchor_Record_ID or End_Record_ID on Intervals.</t>
  </si>
  <si>
    <t>Exposure timepoints are Episode/START, /STOP and /RESTART; event timepoints Episode/ONSET and /DETECTION; administrations and milestones use their own IDs. Loc and UTC are minutes since 1900 (integers), used only for arithmetic.</t>
  </si>
  <si>
    <t>Key</t>
  </si>
  <si>
    <t>Record_ID</t>
  </si>
  <si>
    <t>Record_Type</t>
  </si>
  <si>
    <t>Case_Key</t>
  </si>
  <si>
    <t>Episode_ID</t>
  </si>
  <si>
    <t>Err</t>
  </si>
  <si>
    <t>HT</t>
  </si>
  <si>
    <t>OK</t>
  </si>
  <si>
    <t>Loc</t>
  </si>
  <si>
    <t>UTC</t>
  </si>
  <si>
    <t>Lo</t>
  </si>
  <si>
    <t>Hi</t>
  </si>
  <si>
    <t>ISO</t>
  </si>
  <si>
    <t>Display</t>
  </si>
  <si>
    <t>Original_Text</t>
  </si>
  <si>
    <t>Source</t>
  </si>
  <si>
    <t>Source_Location</t>
  </si>
  <si>
    <t>Dup</t>
  </si>
  <si>
    <t>Loc_n</t>
  </si>
  <si>
    <t>UTC_n</t>
  </si>
  <si>
    <t>Lo_n</t>
  </si>
  <si>
    <t>Hi_n</t>
  </si>
  <si>
    <t>RowN</t>
  </si>
  <si>
    <t>Kind</t>
  </si>
  <si>
    <t>Label</t>
  </si>
  <si>
    <t>Cand</t>
  </si>
  <si>
    <t>CandKey</t>
  </si>
  <si>
    <t>Exact</t>
  </si>
  <si>
    <t>Lab_Note</t>
  </si>
  <si>
    <t>Intervals: one row per selected link and anchor (C1-C7)</t>
  </si>
  <si>
    <t>Choose the link, the anchor and the rule; the row shows value, unit, sequence status and flags. Blocked rows show the E-code and no number. The workbook never picks the shortest interval and never assigns causality.</t>
  </si>
  <si>
    <t>INPUTS (yellow): one row per link and anchor</t>
  </si>
  <si>
    <t>Interval_ID (unique in the case version)</t>
  </si>
  <si>
    <t>Link_ID (Drug_Event_Links)</t>
  </si>
  <si>
    <t>Anchor_Type (C5)</t>
  </si>
  <si>
    <t>Anchor description (required for OTHER)</t>
  </si>
  <si>
    <t>Anchor_Record_ID (see Timepoints). Blank: LAST_DOSE_BEFORE_ONSET is selected by C5; FIRST_ADMIN uses the episode START</t>
  </si>
  <si>
    <t>End-point record ID (blank = onset of the linked event; or EV-1/DETECTION, a RECOVERY milestone ...)</t>
  </si>
  <si>
    <t>Rule requested: blank = the finest the records support (C1 timestamps, C2 dates, C4 bounds); a coarser rule may be chosen</t>
  </si>
  <si>
    <t>Treatment day (C3): inclusive or not requested</t>
  </si>
  <si>
    <t>Reported relative timing: text as reported (C6)</t>
  </si>
  <si>
    <t>Reported lower bound (only if stated)</t>
  </si>
  <si>
    <t>Reported upper bound (only if stated)</t>
  </si>
  <si>
    <t>Reported unit</t>
  </si>
  <si>
    <t>Source or justification for reported bounds</t>
  </si>
  <si>
    <t>C4 constraint: anchor not before (date)</t>
  </si>
  <si>
    <t>C4 constraint: anchor not after (date)</t>
  </si>
  <si>
    <t>C4 constraint source (required)</t>
  </si>
  <si>
    <t>Reviewer note</t>
  </si>
  <si>
    <t>RESULT (grey formulas, locked)</t>
  </si>
  <si>
    <t>Result (display per CALC-SPEC Section 7; the E-codes and no number when blocked)</t>
  </si>
  <si>
    <t>Displayed_Value (as the calculator; Not calculable when blocked)</t>
  </si>
  <si>
    <t>Interval_Value (unrounded; C1 minutes or C2 calendar days)</t>
  </si>
  <si>
    <t>Interval_Minimum (C4, calendar days)</t>
  </si>
  <si>
    <t>Interval_Maximum (C4, calendar days)</t>
  </si>
  <si>
    <t>Calculation_Mode (rule applied)</t>
  </si>
  <si>
    <t>Sequence_Status</t>
  </si>
  <si>
    <t>Treatment day number (C3, inclusive)</t>
  </si>
  <si>
    <t>QC_Flags (E-, W-, I-codes; rule G9 order)</t>
  </si>
  <si>
    <t>Flag_Messages (CALC-SPEC Section 5, verbatim)</t>
  </si>
  <si>
    <t>C4 with constraint: minimum</t>
  </si>
  <si>
    <t>C4 with constraint: maximum</t>
  </si>
  <si>
    <t>Constrained result: E-codes and messages (shown beside the unconstrained result)</t>
  </si>
  <si>
    <t>Reported timing (C6): kept beside the computed value</t>
  </si>
  <si>
    <t>Anchor_Record_ID used</t>
  </si>
  <si>
    <t>End-point record used</t>
  </si>
  <si>
    <t>Anchor (ISO 8601)</t>
  </si>
  <si>
    <t>Anchor (as recorded)</t>
  </si>
  <si>
    <t>End point (ISO 8601)</t>
  </si>
  <si>
    <t>End point (as recorded)</t>
  </si>
  <si>
    <t>Exposure_Episode_ID (from link)</t>
  </si>
  <si>
    <t>Event Episode_ID (from link)</t>
  </si>
  <si>
    <t>Parameter_Set (anchor and end point: value, precision, status, original text, source)</t>
  </si>
  <si>
    <t>Assumptions (separated by " | ")</t>
  </si>
  <si>
    <t>Limitations (CALC-SPEC 1.1 Section 3)</t>
  </si>
  <si>
    <t>C7: interventions counted (Milestone_IDs)</t>
  </si>
  <si>
    <t>Calculation_Version</t>
  </si>
  <si>
    <t>WORKING COLUMNS (locked; shown for inspection)</t>
  </si>
  <si>
    <t>work: row empty</t>
  </si>
  <si>
    <t>work: case key</t>
  </si>
  <si>
    <t>work: interval key</t>
  </si>
  <si>
    <t>work: key count</t>
  </si>
  <si>
    <t>work: link row</t>
  </si>
  <si>
    <t>work: linked exposure exists</t>
  </si>
  <si>
    <t>work: linked event exists</t>
  </si>
  <si>
    <t>work: exposure episode ID count</t>
  </si>
  <si>
    <t>work: event episode ID count</t>
  </si>
  <si>
    <t>work: anchor type listed</t>
  </si>
  <si>
    <t>work: C5 selection requested</t>
  </si>
  <si>
    <t>work: end point is the onset</t>
  </si>
  <si>
    <t>work: end-point row in Timepoints</t>
  </si>
  <si>
    <t>End point: Dup</t>
  </si>
  <si>
    <t>End point: Type</t>
  </si>
  <si>
    <t>End point: Prec</t>
  </si>
  <si>
    <t>End point: Err</t>
  </si>
  <si>
    <t>End point: HT</t>
  </si>
  <si>
    <t>End point: OK</t>
  </si>
  <si>
    <t>End point: Loc</t>
  </si>
  <si>
    <t>End point: UTC</t>
  </si>
  <si>
    <t>End point: Lo</t>
  </si>
  <si>
    <t>End point: Hi</t>
  </si>
  <si>
    <t>End point: Text</t>
  </si>
  <si>
    <t>End point: Src</t>
  </si>
  <si>
    <t>End point: Lab_Note</t>
  </si>
  <si>
    <t>work: end point resolved</t>
  </si>
  <si>
    <t>work: C5 candidate key</t>
  </si>
  <si>
    <t>work: C5 candidates</t>
  </si>
  <si>
    <t>work: C5 candidates resolved</t>
  </si>
  <si>
    <t>work: C5 candidate date errors</t>
  </si>
  <si>
    <t>work: C5 selection runs</t>
  </si>
  <si>
    <t>work: C5 positions uncertain</t>
  </si>
  <si>
    <t>work: C5 eligible</t>
  </si>
  <si>
    <t>work: C5 partial-date candidates not after the end point</t>
  </si>
  <si>
    <t>work: latest eligible date</t>
  </si>
  <si>
    <t>work: eligible on that date</t>
  </si>
  <si>
    <t>work: date-only eligible on that date</t>
  </si>
  <si>
    <t>work: latest date-only eligible</t>
  </si>
  <si>
    <t>work: latest eligible UTC timestamp</t>
  </si>
  <si>
    <t>work: eligible at that UTC instant</t>
  </si>
  <si>
    <t>work: its local clock</t>
  </si>
  <si>
    <t>work: its date</t>
  </si>
  <si>
    <t>work: latest eligible local timestamp (offset unknown)</t>
  </si>
  <si>
    <t>work: eligible at that local time</t>
  </si>
  <si>
    <t>work: latest local clock of offset-known timestamps</t>
  </si>
  <si>
    <t>work: C5 latest candidate (1 date, 2 UTC timestamp, 3 local timestamp, 0 not determined)</t>
  </si>
  <si>
    <t>work: C5 row in Timepoints</t>
  </si>
  <si>
    <t>work: selected date</t>
  </si>
  <si>
    <t>work: partial-date candidates that could be the last dose</t>
  </si>
  <si>
    <t>work: C5 outcome</t>
  </si>
  <si>
    <t>work: C5 selected record</t>
  </si>
  <si>
    <t>work: C5 [input]</t>
  </si>
  <si>
    <t>work: anchor row in Timepoints</t>
  </si>
  <si>
    <t>Anchor: Dup</t>
  </si>
  <si>
    <t>Anchor: Type</t>
  </si>
  <si>
    <t>Anchor: Prec</t>
  </si>
  <si>
    <t>Anchor: Err</t>
  </si>
  <si>
    <t>Anchor: HT</t>
  </si>
  <si>
    <t>Anchor: OK</t>
  </si>
  <si>
    <t>Anchor: Loc</t>
  </si>
  <si>
    <t>Anchor: UTC</t>
  </si>
  <si>
    <t>Anchor: Lo</t>
  </si>
  <si>
    <t>Anchor: Hi</t>
  </si>
  <si>
    <t>Anchor: Text</t>
  </si>
  <si>
    <t>Anchor: Src</t>
  </si>
  <si>
    <t>work: anchor resolved</t>
  </si>
  <si>
    <t>work: anchor E-codes</t>
  </si>
  <si>
    <t>work: anchor [input]</t>
  </si>
  <si>
    <t>work: end-point E-codes</t>
  </si>
  <si>
    <t>work: end-point [input]</t>
  </si>
  <si>
    <t>work: finest rule the records support</t>
  </si>
  <si>
    <t>work: requested rule finer than the records</t>
  </si>
  <si>
    <t>work: rule applied (C1, C2 or C4)</t>
  </si>
  <si>
    <t>C7 recovery interval (CESSATION to a RECOVERY milestone)</t>
  </si>
  <si>
    <t>work: C7 intervention date errors</t>
  </si>
  <si>
    <t>work: C7 interventions without a date</t>
  </si>
  <si>
    <t>work: E-codes found (any order)</t>
  </si>
  <si>
    <t>work: E-codes before calculation (G9 order)</t>
  </si>
  <si>
    <t>work: offset unknown (1/0)</t>
  </si>
  <si>
    <t>work: C1 minutes</t>
  </si>
  <si>
    <t>work: C2 calendar days</t>
  </si>
  <si>
    <t>work: C4 minimum</t>
  </si>
  <si>
    <t>work: C4 maximum</t>
  </si>
  <si>
    <t>work: reported timing given (C6)</t>
  </si>
  <si>
    <t>work: C6 unit factor (0 = not comparable)</t>
  </si>
  <si>
    <t>work: C6 result code</t>
  </si>
  <si>
    <t>work: blocking E-codes (G9 order)</t>
  </si>
  <si>
    <t>work: [input] for E_MISSING_INPUT</t>
  </si>
  <si>
    <t>work: result shown (1/0)</t>
  </si>
  <si>
    <t>work: C3 applied</t>
  </si>
  <si>
    <t>work: constraint entered</t>
  </si>
  <si>
    <t>work: constrained anchor lower</t>
  </si>
  <si>
    <t>work: constrained anchor upper</t>
  </si>
  <si>
    <t>work: constrained result E-codes</t>
  </si>
  <si>
    <t>work: C7 interventions counted</t>
  </si>
  <si>
    <t>work: C7 treatment exposures in the window (pointed out, never counted)</t>
  </si>
  <si>
    <t>work: IV row 1</t>
  </si>
  <si>
    <t>work: IV row 2</t>
  </si>
  <si>
    <t>work: IV row 3</t>
  </si>
  <si>
    <t>work: TX row 1</t>
  </si>
  <si>
    <t>work: TX row 2</t>
  </si>
  <si>
    <t>work: TX row 3</t>
  </si>
  <si>
    <t>work: PB row 1</t>
  </si>
  <si>
    <t>work: PB row 2</t>
  </si>
  <si>
    <t>work: PB row 3</t>
  </si>
  <si>
    <t>work: interventions counted (with labels)</t>
  </si>
  <si>
    <t>work: interventions counted (IDs)</t>
  </si>
  <si>
    <t>work: treatment exposures pointed out</t>
  </si>
  <si>
    <t>work: earlier partial-date administrations</t>
  </si>
  <si>
    <t>flag W_TZ_UNKNOWN</t>
  </si>
  <si>
    <t>flag W_SAME_DATE_ORDER_UNKNOWN</t>
  </si>
  <si>
    <t>flag W_SEQUENCE_UNCERTAIN</t>
  </si>
  <si>
    <t>flag W_ADMIN_SAME_DATE_AS_ONSET</t>
  </si>
  <si>
    <t>flag W_REPORTED_TIMING_CONFLICT</t>
  </si>
  <si>
    <t>flag W_INTERVENTION_BEFORE_RECOVERY</t>
  </si>
  <si>
    <t>flag I_TREATMENT_DAY_UNDEFINED</t>
  </si>
  <si>
    <t>flag I_APPROXIMATE_NOT_COMPARED</t>
  </si>
  <si>
    <t>EX-A/START</t>
  </si>
  <si>
    <t>I01</t>
  </si>
  <si>
    <t>EV-1/ONSET</t>
  </si>
  <si>
    <t>I02</t>
  </si>
  <si>
    <t>Date-level result; C1 decides the order because both times are known</t>
  </si>
  <si>
    <t>I03</t>
  </si>
  <si>
    <t>The infusion running at onset (its start, EX-A/START); its 09:16 end belongs to the chronology, not the anchor</t>
  </si>
  <si>
    <t>EX-B/START</t>
  </si>
  <si>
    <t>I04</t>
  </si>
  <si>
    <t>Drug B infusion start</t>
  </si>
  <si>
    <t>EX-B/STOP</t>
  </si>
  <si>
    <t>I05</t>
  </si>
  <si>
    <t>End of Drug B infusion</t>
  </si>
  <si>
    <t>EX-AS/START</t>
  </si>
  <si>
    <t>I06</t>
  </si>
  <si>
    <t>Skin antiseptic at cannulation (topical exposure)</t>
  </si>
  <si>
    <t>I07</t>
  </si>
  <si>
    <t>Baseline observations (last documented normal status)</t>
  </si>
  <si>
    <t>EX-A/STOP</t>
  </si>
  <si>
    <t>I08</t>
  </si>
  <si>
    <t>Exposure continued 1 minute after onset</t>
  </si>
  <si>
    <t>I09</t>
  </si>
  <si>
    <t>Start of emergency treatment</t>
  </si>
  <si>
    <t>I10</t>
  </si>
  <si>
    <t>Recovery interval (C7); Chapter 17</t>
  </si>
  <si>
    <t>I11</t>
  </si>
  <si>
    <t>I12</t>
  </si>
  <si>
    <t>Onset of the reaction</t>
  </si>
  <si>
    <t>I13</t>
  </si>
  <si>
    <t>Duration of the Drug A infusion</t>
  </si>
  <si>
    <t>I14</t>
  </si>
  <si>
    <t>Tryptase sampling time relative to onset</t>
  </si>
  <si>
    <t>EX-DIG/START</t>
  </si>
  <si>
    <t>EX-IBU/START</t>
  </si>
  <si>
    <t>Start of ibuprofen</t>
  </si>
  <si>
    <t>Last dose before the concentration sample</t>
  </si>
  <si>
    <t>Sample time after the last dose (sampling advice LANOXIN US 2.5)</t>
  </si>
  <si>
    <t>EX-DIG/STOP</t>
  </si>
  <si>
    <t>Recovery interval (C7); IV fluids recorded, ibuprofen stopped the same day</t>
  </si>
  <si>
    <t>EV-HBV/DETECTION</t>
  </si>
  <si>
    <t>fourteen months after the last dose</t>
  </si>
  <si>
    <t>Reporter comment kept as reported; months are not converted</t>
  </si>
  <si>
    <t>EV-HBV/ONSET</t>
  </si>
  <si>
    <t>EX-RTX/START</t>
  </si>
  <si>
    <t>EX-AVA/STOP</t>
  </si>
  <si>
    <t>End of Antiviral A prophylaxis</t>
  </si>
  <si>
    <t>EX-PRED/START</t>
  </si>
  <si>
    <t>Start of prednisolone course</t>
  </si>
  <si>
    <t>Biochemical hepatitis milestone</t>
  </si>
  <si>
    <t>Last undetectable HBV DNA</t>
  </si>
  <si>
    <t>Width of the detection window</t>
  </si>
  <si>
    <t>Last rituximab infusion</t>
  </si>
  <si>
    <t>Prophylaxis stopped after the last infusion</t>
  </si>
  <si>
    <t>EX1/START</t>
  </si>
  <si>
    <t>I1</t>
  </si>
  <si>
    <t>EV1/ONSET</t>
  </si>
  <si>
    <t>EX1/RESTART</t>
  </si>
  <si>
    <t>I2</t>
  </si>
  <si>
    <t>Bounds stated in the vector</t>
  </si>
  <si>
    <t>two hours after the dose</t>
  </si>
  <si>
    <t>EX3/START</t>
  </si>
  <si>
    <t>I-DATE</t>
  </si>
  <si>
    <t>EX2/START</t>
  </si>
  <si>
    <t>I-BOUNDS</t>
  </si>
  <si>
    <t>EV2/ONSET</t>
  </si>
  <si>
    <t>I-IDS</t>
  </si>
  <si>
    <t>L9</t>
  </si>
  <si>
    <t>I-LINK</t>
  </si>
  <si>
    <t>Pair D1 x E1 has no Drug_Event_Links row</t>
  </si>
  <si>
    <t>about one month after starting</t>
  </si>
  <si>
    <t>EX1/STOP</t>
  </si>
  <si>
    <t>Labeled no-flag variant of V29</t>
  </si>
  <si>
    <t>Anchor and end point left blank: the episode START and the linked event onset (laboratory-defined)</t>
  </si>
  <si>
    <t>No Drug_Event_Links row for this case version (V35)</t>
  </si>
  <si>
    <t>PK_Exercises: gated basic PK arithmetic (Q1-Q5, Q7-Q11). Run only what the case question needs.</t>
  </si>
  <si>
    <t>Every result is gated, carries its Parameter_Set with each input's status, and shows the CALC-SPEC mandatory text. These results describe exposure under a stated model; they never decide causality and are not dosing advice.</t>
  </si>
  <si>
    <t>Q1 Elimination and fractional persistence</t>
  </si>
  <si>
    <t>Mandatory text and formula are shown on every result row. Common gate: confirm the model, the parameter used, the reference time and each input's Parameter_Status (Q9, Q10 and Q11 have their own checks).</t>
  </si>
  <si>
    <t>INPUTS</t>
  </si>
  <si>
    <t>Calc_ID (Result_ID)</t>
  </si>
  <si>
    <t>Question this calculation answers (Label)</t>
  </si>
  <si>
    <t>Stated assumptions (optional; copied to Assumptions)</t>
  </si>
  <si>
    <t>COMMON GATE (CALC-SPEC 1.1 Section 4: four confirmations, each with its details)</t>
  </si>
  <si>
    <t>Gate 1: the simple model applies (one compartment, linear first-order elimination, constant parameters over the period)? Yes/No</t>
  </si>
  <si>
    <t>Gate 2: the half-life used is confirmed? Yes/No</t>
  </si>
  <si>
    <t>Gate 2: type of the half-life used (for example terminal elimination)</t>
  </si>
  <si>
    <t>Gate 2: population of the half-life used</t>
  </si>
  <si>
    <t>Gate 2: source of the half-life used (document, version, section)</t>
  </si>
  <si>
    <t>Gate 3: the reference time is confirmed? Yes/No</t>
  </si>
  <si>
    <t>Gate 3: reference time, in words (what the result is a fraction of, and when)</t>
  </si>
  <si>
    <t>Gate 4: each input's Parameter_Status is recorded? Yes/No</t>
  </si>
  <si>
    <t>INPUTS (one time unit)</t>
  </si>
  <si>
    <t>Time unit (minutes, hours, days)</t>
  </si>
  <si>
    <t>t_half (in Time_Unit)</t>
  </si>
  <si>
    <t>t_half status (Parameter_Status)</t>
  </si>
  <si>
    <t>t_half source (document, version, section)</t>
  </si>
  <si>
    <t>t, time since reference (in Time_Unit)</t>
  </si>
  <si>
    <t>t status (Parameter_Status)</t>
  </si>
  <si>
    <t>t source (document, version, section)</t>
  </si>
  <si>
    <t>RESULT</t>
  </si>
  <si>
    <t>Result (display per CALC-SPEC 1.1 Section 7; the E-codes and no number when blocked)</t>
  </si>
  <si>
    <t>Fraction remaining (unrounded)</t>
  </si>
  <si>
    <t>Percent remaining (unrounded)</t>
  </si>
  <si>
    <t>k (per Time_Unit, unrounded)</t>
  </si>
  <si>
    <t>k (per hour, unrounded)</t>
  </si>
  <si>
    <t>Flag_Messages (verbatim)</t>
  </si>
  <si>
    <t>Parameter_Set (value, unit, status, source)</t>
  </si>
  <si>
    <t>Results (name = unrounded value (display))</t>
  </si>
  <si>
    <t>Unit (first result)</t>
  </si>
  <si>
    <t>Limitations: mandatory text (CALC-SPEC 1.1 Section 4)</t>
  </si>
  <si>
    <t>Formula in words</t>
  </si>
  <si>
    <t>WORKING</t>
  </si>
  <si>
    <t>work: key</t>
  </si>
  <si>
    <t>work: common gate confirmed (1/0)</t>
  </si>
  <si>
    <t>work: [input] texts</t>
  </si>
  <si>
    <t>work: [input]</t>
  </si>
  <si>
    <t>Q1-V16</t>
  </si>
  <si>
    <t>Vector V16</t>
  </si>
  <si>
    <t>hypothetical population (vector file)</t>
  </si>
  <si>
    <t>Reference amount at time zero</t>
  </si>
  <si>
    <t>tto_calc_test_vectors_v1.1.json</t>
  </si>
  <si>
    <t>terminal elimination (hypothetical)</t>
  </si>
  <si>
    <t>V34 V16</t>
  </si>
  <si>
    <t>Q1-V24a</t>
  </si>
  <si>
    <t>Vector V24, case 1: half-life 0</t>
  </si>
  <si>
    <t>V34 V24</t>
  </si>
  <si>
    <t>Q1-V24b</t>
  </si>
  <si>
    <t>Vector V24, case 2: unit fortnights</t>
  </si>
  <si>
    <t>fortnights</t>
  </si>
  <si>
    <t>Q1-V24c</t>
  </si>
  <si>
    <t>Vector V24, case 3: gate unconfirmed</t>
  </si>
  <si>
    <t>Q1-V35a</t>
  </si>
  <si>
    <t>Vector V35, case 1: half-life 0, unit fortnights, gate unconfirmed (every E-code listed)</t>
  </si>
  <si>
    <t>V34 V35</t>
  </si>
  <si>
    <t>Q1-V36a</t>
  </si>
  <si>
    <t>Vector V36, case 1: half-life type blank and the Parameter_Status of t missing</t>
  </si>
  <si>
    <t>adults</t>
  </si>
  <si>
    <t>end of the last infusion</t>
  </si>
  <si>
    <t>Label 12.3</t>
  </si>
  <si>
    <t>V34 V36</t>
  </si>
  <si>
    <t>Q1-V36b</t>
  </si>
  <si>
    <t>Vector V36, case 2: gate complete</t>
  </si>
  <si>
    <t>terminal half-life</t>
  </si>
  <si>
    <t>Q1-V36c</t>
  </si>
  <si>
    <t>Vector V36, case 3: model not confirmed</t>
  </si>
  <si>
    <t>Q2 Time to approach steady state</t>
  </si>
  <si>
    <t>Target fraction f of steady state (0 &lt; f &lt; 1)</t>
  </si>
  <si>
    <t>f_target status (Parameter_Status)</t>
  </si>
  <si>
    <t>f_target source (document, version, section)</t>
  </si>
  <si>
    <t>Half-lives needed n (unrounded)</t>
  </si>
  <si>
    <t>Time to reach f (in Time_Unit, unrounded)</t>
  </si>
  <si>
    <t>Q2-V17</t>
  </si>
  <si>
    <t>Vector V17</t>
  </si>
  <si>
    <t>V34 V17</t>
  </si>
  <si>
    <t>Q3 Accumulation during regular dosing</t>
  </si>
  <si>
    <t>Dosing interval tau (in Time_Unit)</t>
  </si>
  <si>
    <t>tau status (Parameter_Status)</t>
  </si>
  <si>
    <t>tau source (document, version, section)</t>
  </si>
  <si>
    <t>Accumulation factor R (unrounded)</t>
  </si>
  <si>
    <t>Q3-V18</t>
  </si>
  <si>
    <t>Vector V18</t>
  </si>
  <si>
    <t>V34 V18</t>
  </si>
  <si>
    <t>Q4 A change in clearance</t>
  </si>
  <si>
    <t>Gate 2: the parameters used is confirmed? Yes/No</t>
  </si>
  <si>
    <t>Gate 2: type of the parameters used (for example terminal elimination)</t>
  </si>
  <si>
    <t>Gate 2: population of the parameters used</t>
  </si>
  <si>
    <t>Gate 2: source of the parameters used (document, version, section)</t>
  </si>
  <si>
    <t>Clearance unit (L/hour or mL/minute; same for both)</t>
  </si>
  <si>
    <t>Clearance before</t>
  </si>
  <si>
    <t>CL_before status (Parameter_Status)</t>
  </si>
  <si>
    <t>CL_before source (document, version, section)</t>
  </si>
  <si>
    <t>Clearance after</t>
  </si>
  <si>
    <t>CL_after status (Parameter_Status)</t>
  </si>
  <si>
    <t>CL_after source (document, version, section)</t>
  </si>
  <si>
    <t>Apparent volume V (L), optional</t>
  </si>
  <si>
    <t>V_L status (Parameter_Status)</t>
  </si>
  <si>
    <t>V_L source (document, version, section)</t>
  </si>
  <si>
    <t>Half-life ratio after/before (unrounded)</t>
  </si>
  <si>
    <t>Average Css ratio after/before (unrounded)</t>
  </si>
  <si>
    <t>t_half before, hours (needs V)</t>
  </si>
  <si>
    <t>t_half after, hours (needs V)</t>
  </si>
  <si>
    <t>Q4-C04-half-fe0.5</t>
  </si>
  <si>
    <t>Renal elimination halved, fe 0.5: CL_after/CL_before = 0.5 + 0.5 x 0.5 = 0.75 (Chapter 11, Worked exercise 11.2)</t>
  </si>
  <si>
    <t>fe 0.5-0.7 from healthy volunteers given IV digoxin (not the patient)</t>
  </si>
  <si>
    <t>Eventual average steady state after the renal change</t>
  </si>
  <si>
    <t>LANOXIN US 12.3; Chapter 11, Worked exercise 11.2</t>
  </si>
  <si>
    <t>relative total clearance (baseline = 1, entered on the L/hour scale; only the ratio is used)</t>
  </si>
  <si>
    <t>Chapter 11, Worked exercise 11.2</t>
  </si>
  <si>
    <t>Q4-C04-half-fe0.7</t>
  </si>
  <si>
    <t>Renal elimination halved, fe 0.7: 0.3 + 0.7 x 0.5 = 0.65</t>
  </si>
  <si>
    <t>Q4-C04-quarter-fe0.5</t>
  </si>
  <si>
    <t>Renal elimination at a quarter, fe 0.5: 0.625</t>
  </si>
  <si>
    <t>Q4-C04-quarter-fe0.7</t>
  </si>
  <si>
    <t>Renal elimination at a quarter, fe 0.7: 0.475</t>
  </si>
  <si>
    <t>Q4-V19</t>
  </si>
  <si>
    <t>Vector V19</t>
  </si>
  <si>
    <t>Eventual average steady state</t>
  </si>
  <si>
    <t>total clearance (hypothetical)</t>
  </si>
  <si>
    <t>V34 V19</t>
  </si>
  <si>
    <t>Q5 Parent and metabolite persistence</t>
  </si>
  <si>
    <t>Parent t_half</t>
  </si>
  <si>
    <t>Parent_t_half status (Parameter_Status)</t>
  </si>
  <si>
    <t>Parent_t_half source (document, version, section)</t>
  </si>
  <si>
    <t>Metabolite t_half</t>
  </si>
  <si>
    <t>Metabolite_t_half status (Parameter_Status)</t>
  </si>
  <si>
    <t>Metabolite_t_half source (document, version, section)</t>
  </si>
  <si>
    <t>t, time since reference</t>
  </si>
  <si>
    <t>Parent percent remaining (unrounded)</t>
  </si>
  <si>
    <t>Metabolite percent remaining (unrounded)</t>
  </si>
  <si>
    <t>Q5-V20</t>
  </si>
  <si>
    <t>Vector V20</t>
  </si>
  <si>
    <t>V34 V20</t>
  </si>
  <si>
    <t>Q7 Long persistence of a monoclonal antibody (always W_BIOLOGIC_MODEL_CAUTION)</t>
  </si>
  <si>
    <t>Time unit (days only for Q7)</t>
  </si>
  <si>
    <t>t_half (days)</t>
  </si>
  <si>
    <t>t (days since reference)</t>
  </si>
  <si>
    <t>k (per day, unrounded)</t>
  </si>
  <si>
    <t>Q7-C28-435</t>
  </si>
  <si>
    <t>Exposure persistence at the first positive test, 435 days after the last infusion (median half-life)</t>
  </si>
  <si>
    <t>patients with non-Hodgkin lymphoma</t>
  </si>
  <si>
    <t>Post-infusion concentration after the last infusion (3 March 2025); accumulation over earlier cycles ignored</t>
  </si>
  <si>
    <t>RITUXAN US 12.3; MabThera EU 5.2</t>
  </si>
  <si>
    <t>terminal half-life; NHL median 22 days, range 6.1-52 days (label fact for a population, not this patient)</t>
  </si>
  <si>
    <t>RITUXAN US 12.3 (NHL, median)</t>
  </si>
  <si>
    <t>Intervals I01</t>
  </si>
  <si>
    <t>Q7-C28-343</t>
  </si>
  <si>
    <t>At the earliest possible onset, 343 days (median half-life)</t>
  </si>
  <si>
    <t>Intervals I02 (minimum)</t>
  </si>
  <si>
    <t>Q7-V22</t>
  </si>
  <si>
    <t>Vector V22</t>
  </si>
  <si>
    <t>V34 V22</t>
  </si>
  <si>
    <t>Q8 Parameter uncertainty and scenarios (a range, never a midpoint or confidence interval)</t>
  </si>
  <si>
    <t>Molecule recorded as a monoclonal antibody? Yes/No (Yes adds W_BIOLOGIC_MODEL_CAUTION)</t>
  </si>
  <si>
    <t>Lower t_half</t>
  </si>
  <si>
    <t>t_half_lower status (Parameter_Status)</t>
  </si>
  <si>
    <t>t_half_lower source (document, version, section)</t>
  </si>
  <si>
    <t>Upper t_half</t>
  </si>
  <si>
    <t>t_half_upper status (Parameter_Status)</t>
  </si>
  <si>
    <t>t_half_upper source (document, version, section)</t>
  </si>
  <si>
    <t>Fraction at lower t_half (unrounded)</t>
  </si>
  <si>
    <t>Fraction at upper t_half (unrounded)</t>
  </si>
  <si>
    <t>Percent at lower t_half (unrounded)</t>
  </si>
  <si>
    <t>Percent at upper t_half (unrounded)</t>
  </si>
  <si>
    <t>Q8-C04-normal</t>
  </si>
  <si>
    <t>Fraction remaining at the documented improvement, normal renal function half-lives (Chapter 23, Section 23.11)</t>
  </si>
  <si>
    <t>healthy volunteers with normal renal function (not the patient's population)</t>
  </si>
  <si>
    <t>Concentration when digoxin was withheld on 5 July 2026; no further doses; t = 3 days to the improvement on 8 July</t>
  </si>
  <si>
    <t>LANOXIN US 12.3</t>
  </si>
  <si>
    <t>terminal elimination half-life 1.5-2 days</t>
  </si>
  <si>
    <t>Intervals I06 (5 to 8 July)</t>
  </si>
  <si>
    <t>Q8-C04-anuric</t>
  </si>
  <si>
    <t>Same, anuric-patient half-lives</t>
  </si>
  <si>
    <t>anuric patients (not the patient's population)</t>
  </si>
  <si>
    <t>terminal elimination half-life 3.5-5 days</t>
  </si>
  <si>
    <t>Q8-C28-435</t>
  </si>
  <si>
    <t>Labeled NHL half-life range at the first positive test (435 days)</t>
  </si>
  <si>
    <t>RITUXAN US 12.3 (NHL range)</t>
  </si>
  <si>
    <t>Q8-C28-343</t>
  </si>
  <si>
    <t>Labeled NHL half-life range at the earliest possible onset (343 days)</t>
  </si>
  <si>
    <t>Q8-C28-435m</t>
  </si>
  <si>
    <t>Rituximab remaining at the first positive test (435 days), median and longest labeled half-lives (calculator example T1)</t>
  </si>
  <si>
    <t>non-Hodgkin lymphoma</t>
  </si>
  <si>
    <t>concentration after the last infusion, 3 March 2025; accumulation over earlier cycles ignored</t>
  </si>
  <si>
    <t>terminal half-life; labeled median and longest value of the range 6.1-52 days</t>
  </si>
  <si>
    <t>RITUXAN US 12.3 (NHL median)</t>
  </si>
  <si>
    <t>RITUXAN US 12.3 (NHL longest)</t>
  </si>
  <si>
    <t>Q8-C28-343m</t>
  </si>
  <si>
    <t>Rituximab remaining at the earliest onset bound (343 days), median and longest labeled half-lives (calculator example T2)</t>
  </si>
  <si>
    <t>Q8-V23</t>
  </si>
  <si>
    <t>Vector V23</t>
  </si>
  <si>
    <t>V34 V23</t>
  </si>
  <si>
    <t>Q8-V37</t>
  </si>
  <si>
    <t>Vector V37: a recorded monoclonal antibody</t>
  </si>
  <si>
    <t>V34 V37</t>
  </si>
  <si>
    <t>Q9 Dose received before onset during an infusion (rate segments from Administrations)</t>
  </si>
  <si>
    <t>INPUTS (no common gate; segment checks)</t>
  </si>
  <si>
    <t>Exposure_Episode_ID (rate segments on Administrations)</t>
  </si>
  <si>
    <t>Onset record ID (a timestamp, e.g. EV-1/ONSET)</t>
  </si>
  <si>
    <t>Planned dose (mg), optional</t>
  </si>
  <si>
    <t>Planned_Dose_mg status (Parameter_Status)</t>
  </si>
  <si>
    <t>Planned_Dose_mg source (document, version, section)</t>
  </si>
  <si>
    <t>Amount infused before onset, mg (unrounded)</t>
  </si>
  <si>
    <t>Percent of planned dose (unrounded)</t>
  </si>
  <si>
    <t>Segments used</t>
  </si>
  <si>
    <t>Time basis</t>
  </si>
  <si>
    <t>work: episode key</t>
  </si>
  <si>
    <t>work: onset row</t>
  </si>
  <si>
    <t>work: onset check</t>
  </si>
  <si>
    <t>work: onset has time</t>
  </si>
  <si>
    <t>work: onset offset known</t>
  </si>
  <si>
    <t>work: onset local minutes</t>
  </si>
  <si>
    <t>work: onset UTC minutes</t>
  </si>
  <si>
    <t>work: segments in episode</t>
  </si>
  <si>
    <t>work: every offset known (UTC basis)</t>
  </si>
  <si>
    <t>work: segment E-codes</t>
  </si>
  <si>
    <t>work: reversed segments</t>
  </si>
  <si>
    <t>work: overlapping segments</t>
  </si>
  <si>
    <t>work: amount (UTC basis)</t>
  </si>
  <si>
    <t>work: amount (local basis)</t>
  </si>
  <si>
    <t>Q9-C01</t>
  </si>
  <si>
    <t>Amount of Drug A infused before onset (pump rate recorded in mL/hour only)</t>
  </si>
  <si>
    <t>Q9-V25</t>
  </si>
  <si>
    <t>Vector V25</t>
  </si>
  <si>
    <t>V34 V25</t>
  </si>
  <si>
    <t>Q10 Cumulative dose normalized to body surface area (doses and BSA from Administrations)</t>
  </si>
  <si>
    <t>INPUTS (Method A is the default; BSA is recorded, never calculated)</t>
  </si>
  <si>
    <t>Exposure_Episode_ID (doses, BSA and dates on Administrations)</t>
  </si>
  <si>
    <t>Method B on request: FIRST or LAST administration by date, or STATED BSA (blank = not requested)</t>
  </si>
  <si>
    <t>Method B stated BSA (m²)</t>
  </si>
  <si>
    <t>Method B BSA source</t>
  </si>
  <si>
    <t>Method A, mg/m2 (unrounded; lower bound if W_PARTIAL_BSA)</t>
  </si>
  <si>
    <t>Total dose, mg</t>
  </si>
  <si>
    <t>Administrations</t>
  </si>
  <si>
    <t>Administrations with a dose and BSA</t>
  </si>
  <si>
    <t>Method B BSA used (m2)</t>
  </si>
  <si>
    <t>Method B, mg/m2 (unrounded)</t>
  </si>
  <si>
    <t>work: administrations</t>
  </si>
  <si>
    <t>work: with dose and BSA</t>
  </si>
  <si>
    <t>work: BSA blank</t>
  </si>
  <si>
    <t>work: administration E-codes</t>
  </si>
  <si>
    <t>work: Method B first or last</t>
  </si>
  <si>
    <t>work: administrations with a date</t>
  </si>
  <si>
    <t>work: Method B date E-codes</t>
  </si>
  <si>
    <t>work: Method B by date</t>
  </si>
  <si>
    <t>work: earliest administration date</t>
  </si>
  <si>
    <t>work: latest administration date</t>
  </si>
  <si>
    <t>work: first administration row</t>
  </si>
  <si>
    <t>work: last administration row</t>
  </si>
  <si>
    <t>work: first date shared with different BSAs</t>
  </si>
  <si>
    <t>work: last date shared with different BSAs</t>
  </si>
  <si>
    <t>work: Method B BSA</t>
  </si>
  <si>
    <t>Q10-V26-first</t>
  </si>
  <si>
    <t>Vector V26, Method B with the first BSA (no dates: order entered)</t>
  </si>
  <si>
    <t>BSA at the first administration</t>
  </si>
  <si>
    <t>Q10-V26-last</t>
  </si>
  <si>
    <t>Vector V26, Method B with the last BSA (no dates: order entered)</t>
  </si>
  <si>
    <t>BSA at the last administration</t>
  </si>
  <si>
    <t>Q10-V38-first</t>
  </si>
  <si>
    <t>Vector V38, Method B with the first BSA by date (listed out of date order)</t>
  </si>
  <si>
    <t>BSA at the earliest administration</t>
  </si>
  <si>
    <t>Q10-V38-last</t>
  </si>
  <si>
    <t>Vector V38, Method B with the last BSA by date (listed out of date order)</t>
  </si>
  <si>
    <t>BSA at the latest administration</t>
  </si>
  <si>
    <t>Q11 Estimated renal function (Cockcroft-Gault) with the creatinine-stability gate</t>
  </si>
  <si>
    <t>GATE (Q11)</t>
  </si>
  <si>
    <t>Gate: serum creatinine stable at this time? Yes/No</t>
  </si>
  <si>
    <t>Basis for stability (values and dates)</t>
  </si>
  <si>
    <t>Age (years, 18-120)</t>
  </si>
  <si>
    <t>Age status</t>
  </si>
  <si>
    <t>Weight (kg)</t>
  </si>
  <si>
    <t>Weight type (required)</t>
  </si>
  <si>
    <t>Weight status</t>
  </si>
  <si>
    <t>Serum creatinine</t>
  </si>
  <si>
    <t>Creatinine unit (mg/dL or µmol/L)</t>
  </si>
  <si>
    <t>Creatinine status</t>
  </si>
  <si>
    <t>Creatinine source (record, date)</t>
  </si>
  <si>
    <t>Sex as recorded</t>
  </si>
  <si>
    <t>Creatinine, mg/dL (unrounded)</t>
  </si>
  <si>
    <t>CrCl for recorded sex, mL/minute (unrounded)</t>
  </si>
  <si>
    <t>If sex not recorded: female estimate (unrounded)</t>
  </si>
  <si>
    <t>If sex not recorded: male estimate (unrounded)</t>
  </si>
  <si>
    <t>Q11-C04-baseline</t>
  </si>
  <si>
    <t>Estimated renal function at baseline (March 2026)</t>
  </si>
  <si>
    <t>1.0 mg/dL on 14 November 2025 and 12 March 2026 (two equal values four months apart)</t>
  </si>
  <si>
    <t>M-CR2, 12 March 2026</t>
  </si>
  <si>
    <t>Q11-C04-1Jul</t>
  </si>
  <si>
    <t>Estimated renal function on 1 July 2026</t>
  </si>
  <si>
    <t>Creatinine rising during a documented deterioration</t>
  </si>
  <si>
    <t>M-CR3, 1 July 2026</t>
  </si>
  <si>
    <t>Q11-C04-5Jul</t>
  </si>
  <si>
    <t>Estimated renal function on 5 July 2026</t>
  </si>
  <si>
    <t>Creatinine still rising (2.4 mg/dL)</t>
  </si>
  <si>
    <t>M-CR4, 5 July 2026</t>
  </si>
  <si>
    <t>Q11-V27a</t>
  </si>
  <si>
    <t>Vector V27, case 1</t>
  </si>
  <si>
    <t>Vector input</t>
  </si>
  <si>
    <t>Q11-V27b</t>
  </si>
  <si>
    <t>Vector V27, case 2</t>
  </si>
  <si>
    <t>Q11-V27c</t>
  </si>
  <si>
    <t>Vector V27, case 3</t>
  </si>
  <si>
    <t>Q11-V27d</t>
  </si>
  <si>
    <t>Vector V27, case 4 (sex not recorded)</t>
  </si>
  <si>
    <t>Q11-V27e</t>
  </si>
  <si>
    <t>Vector V27, case 5 (stability unconfirmed)</t>
  </si>
  <si>
    <t>Vector input: stability not confirmed</t>
  </si>
  <si>
    <t>PD_Profile: structured prompts answered in words, with sources (no formula decides biology)</t>
  </si>
  <si>
    <t>Prompts follow Stage 1 document B. Q6 below is a teaching demonstration only.</t>
  </si>
  <si>
    <t>Proposed mechanism of harm (MOA_Hypothesis)</t>
  </si>
  <si>
    <t>Established or hypothetical?</t>
  </si>
  <si>
    <t>Biological steps that could impose delay</t>
  </si>
  <si>
    <t>What the documents say about PD onset, duration and recovery (with sources)</t>
  </si>
  <si>
    <t>Measured markers in the case, with dates</t>
  </si>
  <si>
    <t>What is missing</t>
  </si>
  <si>
    <t>Expected_PD_Course (reviewer, in words)</t>
  </si>
  <si>
    <t>Loss of immune control of HBV during B-cell depletion (Stage 1 HBV profile)</t>
  </si>
  <si>
    <t>B cells depleted within 3 weeks; recovery begins about 6 months, median normal by 12 months in NHL [RITUXAN US 12.2]; up to a median of 23 months in some [MabThera EU 5.1]</t>
  </si>
  <si>
    <t>Risk follows immune suppression rather than drug concentration and can persist through B-cell depletion and recovery</t>
  </si>
  <si>
    <t>CD19 B cells and IgG below reference range on 12 May 2026 (M-BCELL)</t>
  </si>
  <si>
    <t>B-cell depletion and slow recovery; withdrawal of antiviral prophylaxis; viral replication to a detectable level</t>
  </si>
  <si>
    <t>B-cell and IgG values; earlier counts</t>
  </si>
  <si>
    <t>Q6 Biological replacement and recovery: TEACHING DEMONSTRATION (always I_TEACHING_DEMONSTRATION)</t>
  </si>
  <si>
    <t>Shown only with the teaching-demonstration switch on. Hypothetical turnover illustration; not a measured recovery curve for platelets or any other clinical target.</t>
  </si>
  <si>
    <t>GATE (Q6)</t>
  </si>
  <si>
    <t>Teaching-demonstration switch on? Yes/No</t>
  </si>
  <si>
    <t>Use (required): replacement or recovery, or approach to a new level</t>
  </si>
  <si>
    <t>Half-time of the turnover (in Time_Unit)</t>
  </si>
  <si>
    <t>Replacement_Half_Time status (Parameter_Status)</t>
  </si>
  <si>
    <t>Replacement_Half_Time source (document, version, section)</t>
  </si>
  <si>
    <t>t (in Time_Unit)</t>
  </si>
  <si>
    <t>Output (by use)</t>
  </si>
  <si>
    <t>Fraction replaced, or of the change completed (unrounded)</t>
  </si>
  <si>
    <t>Percent (unrounded)</t>
  </si>
  <si>
    <t>Q6-V21</t>
  </si>
  <si>
    <t>Vector V21</t>
  </si>
  <si>
    <t>V34 V21</t>
  </si>
  <si>
    <t>Q6-V32</t>
  </si>
  <si>
    <t>Vector V32: approach to a new level (protein C, hypothetical half-time 8 hours, at 24 hours)</t>
  </si>
  <si>
    <t>V34 V32</t>
  </si>
  <si>
    <t>Product_Dossier: one row per extracted statement (versioned; US and EU kept side by side)</t>
  </si>
  <si>
    <t>Record document, version, revision, retrieval date and section for every statement.</t>
  </si>
  <si>
    <t>Statement_ID</t>
  </si>
  <si>
    <t>Case_ID (optional)</t>
  </si>
  <si>
    <t>Product_Document_ID (e.g. LANOXIN US)</t>
  </si>
  <si>
    <t>Document type</t>
  </si>
  <si>
    <t>Jurisdiction</t>
  </si>
  <si>
    <t>Version (as printed)</t>
  </si>
  <si>
    <t>Revision date (as printed)</t>
  </si>
  <si>
    <t>Retrieval date</t>
  </si>
  <si>
    <t>Section</t>
  </si>
  <si>
    <t>Statement (extract, own words or quoted)</t>
  </si>
  <si>
    <t>Kind of timing statement (Chapter 23 proposal; only typical onset and maximum reported describe latency)</t>
  </si>
  <si>
    <t>Window built into an event definition? (never temporal evidence)</t>
  </si>
  <si>
    <t>Label_Discrepancy (US vs EU)</t>
  </si>
  <si>
    <t>Rationale</t>
  </si>
  <si>
    <t>CHECK</t>
  </si>
  <si>
    <t>Provenance check</t>
  </si>
  <si>
    <t>02/2019</t>
  </si>
  <si>
    <t>Label facts (PK)</t>
  </si>
  <si>
    <t>PD-DIG-1</t>
  </si>
  <si>
    <t>US</t>
  </si>
  <si>
    <t>First-order elimination; 50-70% of an IV dose excreted unchanged in urine (healthy volunteers); renal excretion proportional to creatinine clearance; half-life 1.5-2 days with normal renal function, 3.5-5 days in anuric patients.</t>
  </si>
  <si>
    <t>NDA 020405, supplement 15</t>
  </si>
  <si>
    <t>Digoxin</t>
  </si>
  <si>
    <t>LANOXIN US</t>
  </si>
  <si>
    <t>12.3</t>
  </si>
  <si>
    <t>PD-DIG-2</t>
  </si>
  <si>
    <t>Renal impairment: prolonged half-life and greater exposure; a longer time to reach an initial or new steady state.</t>
  </si>
  <si>
    <t>12.3; 8.6</t>
  </si>
  <si>
    <t>Label facts (event pattern)</t>
  </si>
  <si>
    <t>PD-DIG-3</t>
  </si>
  <si>
    <t>Toxicity usually associated with levels above 2 ng/mL, although symptoms may occur at lower levels; impaired renal function, low body weight, advanced age and electrolyte disturbances may predispose.</t>
  </si>
  <si>
    <t>5.3</t>
  </si>
  <si>
    <t>Sampling advice; not latency</t>
  </si>
  <si>
    <t>PD-DIG-4</t>
  </si>
  <si>
    <t>Sample just before the next scheduled dose or at least 6 hours after the last dose.</t>
  </si>
  <si>
    <t>2.5</t>
  </si>
  <si>
    <t>Timing in one region only; do not read EU silence as no timing</t>
  </si>
  <si>
    <t>12/2021</t>
  </si>
  <si>
    <t>Reported maximum, not a limit</t>
  </si>
  <si>
    <t>PD-RTX-1</t>
  </si>
  <si>
    <t>HBV reactivation has been reported up to 24 months after completion of therapy.</t>
  </si>
  <si>
    <t>BLA 103705, supplement 5467</t>
  </si>
  <si>
    <t>Rituximab</t>
  </si>
  <si>
    <t>RITUXAN US</t>
  </si>
  <si>
    <t>EU gives no timing</t>
  </si>
  <si>
    <t>Updated 6 August 2026</t>
  </si>
  <si>
    <t>Management instruction</t>
  </si>
  <si>
    <t>PD-RTX-2</t>
  </si>
  <si>
    <t>EU</t>
  </si>
  <si>
    <t>HBV screening and specialist management of seropositive patients; no timing stated for reactivation.</t>
  </si>
  <si>
    <t>EPAR product information, EMEA/H/C/000165</t>
  </si>
  <si>
    <t>MabThera EU</t>
  </si>
  <si>
    <t>4.4</t>
  </si>
  <si>
    <t>None (EU 5.2 gives the same numbers)</t>
  </si>
  <si>
    <t>Exposure persistence</t>
  </si>
  <si>
    <t>PD-RTX-3</t>
  </si>
  <si>
    <t>NHL: terminal half-life median 22 days (range 6.1-52 days); rituximab detectable in serum 3-6 months after the last dose.</t>
  </si>
  <si>
    <t>EU 5.1 adds a longer recovery in some settings</t>
  </si>
  <si>
    <t>Pharmacodynamic recovery</t>
  </si>
  <si>
    <t>PD-RTX-4</t>
  </si>
  <si>
    <t>NHL: B-cell recovery begins about 6 months after treatment; median levels normal by 12 months.</t>
  </si>
  <si>
    <t>12.2</t>
  </si>
  <si>
    <t>Longer than the US statement</t>
  </si>
  <si>
    <t>PD-RTX-5</t>
  </si>
  <si>
    <t>B-cell recovery up to a median of 23 months after induction in some patients.</t>
  </si>
  <si>
    <t>5.1</t>
  </si>
  <si>
    <t>A window built into an event definition is never temporal evidence</t>
  </si>
  <si>
    <t>PD-RTX-6</t>
  </si>
  <si>
    <t>CLL trials defined late-onset neutropenia as starting 42 days or more after the last dose.</t>
  </si>
  <si>
    <t>6.1</t>
  </si>
  <si>
    <t>Parameter_Register: one row per parameter, with status, population and source</t>
  </si>
  <si>
    <t>A value without a population and a half-life type is not ready for use.</t>
  </si>
  <si>
    <t>Parameter_ID</t>
  </si>
  <si>
    <t>Parameter name</t>
  </si>
  <si>
    <t>Range lower</t>
  </si>
  <si>
    <t>Range upper</t>
  </si>
  <si>
    <t>Statistic (median, mean, range)</t>
  </si>
  <si>
    <t>Half-life type</t>
  </si>
  <si>
    <t>Population</t>
  </si>
  <si>
    <t>Regimen</t>
  </si>
  <si>
    <t>Parameter_Status</t>
  </si>
  <si>
    <t>Source document</t>
  </si>
  <si>
    <t>Version</t>
  </si>
  <si>
    <t>Missing-data reason</t>
  </si>
  <si>
    <t>Ready for use?</t>
  </si>
  <si>
    <t>PR-DIG-1</t>
  </si>
  <si>
    <t>Revised 02/2019</t>
  </si>
  <si>
    <t>Healthy volunteers with normal renal function</t>
  </si>
  <si>
    <t>Terminal elimination half-life</t>
  </si>
  <si>
    <t>range</t>
  </si>
  <si>
    <t>PR-DIG-2</t>
  </si>
  <si>
    <t>Anuric patients</t>
  </si>
  <si>
    <t>PR-DIG-3</t>
  </si>
  <si>
    <t>fraction</t>
  </si>
  <si>
    <t>Healthy volunteers, intravenous dose</t>
  </si>
  <si>
    <t>Fraction of an IV dose excreted unchanged in urine</t>
  </si>
  <si>
    <t>PR-RTX-1</t>
  </si>
  <si>
    <t>Revised 12/2021</t>
  </si>
  <si>
    <t>Patients with NHL</t>
  </si>
  <si>
    <t>Terminal half-life (NHL)</t>
  </si>
  <si>
    <t>median (range)</t>
  </si>
  <si>
    <t>PR-RTX-2</t>
  </si>
  <si>
    <t>Patients with CLL</t>
  </si>
  <si>
    <t>Terminal half-life (CLL)</t>
  </si>
  <si>
    <t>median (US) / mean (EU), range</t>
  </si>
  <si>
    <t>Temporal_Profile: expected course versus observed course, per drug-event pair</t>
  </si>
  <si>
    <t>Reviewer layer: judgments in words, each with a rationale and sources. No formula writes to these columns (CALC-SPEC G8).</t>
  </si>
  <si>
    <t>MOA_Hypothesis</t>
  </si>
  <si>
    <t>Expected_Exposure_Course</t>
  </si>
  <si>
    <t>Expected_PD_Course</t>
  </si>
  <si>
    <t>Clinical_Latency_Evidence (with sources)</t>
  </si>
  <si>
    <t>Observed_Course (read from Intervals, never retyped)</t>
  </si>
  <si>
    <t>Interval_IDs cited</t>
  </si>
  <si>
    <t>Temporal_Fit_Rationale</t>
  </si>
  <si>
    <t>Onset 4 calendar days after the first documented renal deterioration and 9 after ibuprofen started, with a well-timed level above 2 ng/mL</t>
  </si>
  <si>
    <t>Concentration-related toxicity after reduced renal clearance at an unchanged dose</t>
  </si>
  <si>
    <t>Exposure rises over days at a rate set by the lengthening half-life after clearance falls [LANOXIN US 12.3; 8.6]</t>
  </si>
  <si>
    <t>No fixed latency; toxicity can appear during long, previously tolerated treatment when clearance falls</t>
  </si>
  <si>
    <t>Nausea and bradycardia follow concentration; beta-blocker adds AV-conduction effect [LANOXIN US 5.3; 7.3]</t>
  </si>
  <si>
    <t>See Intervals I01-I06</t>
  </si>
  <si>
    <t>I01; I02; I03; I05; I06</t>
  </si>
  <si>
    <t>Onset bounded 343 to 435 calendar days after the last infusion, within the reported period, with B cells and IgG still low at detection</t>
  </si>
  <si>
    <t>Loss of immune control during B-cell depletion (hypothesis)</t>
  </si>
  <si>
    <t>Exposure negligible within months after the last infusion [RITUXAN US 12.3]</t>
  </si>
  <si>
    <t>Reactivation reported up to 24 months after completion [RITUXAN US 5.3]; EU gives no timing</t>
  </si>
  <si>
    <t>B-cell depletion persists; recovery from about 6 months, may take a year or more</t>
  </si>
  <si>
    <t>See Intervals I01-I11</t>
  </si>
  <si>
    <t>I01; I02; I05; I06; I08</t>
  </si>
  <si>
    <t>Biology_Review: the reviewer's judgment of biological fit (four options; none is a relatedness category)</t>
  </si>
  <si>
    <t>Biological_Fit (reviewer judgment; never set by a formula)</t>
  </si>
  <si>
    <t>Rationale (required)</t>
  </si>
  <si>
    <t>Alternative defensible reading</t>
  </si>
  <si>
    <t>Check</t>
  </si>
  <si>
    <t>More weight to Drug B: previous courses, exposure ended 25 minutes before onset through the same cannula.</t>
  </si>
  <si>
    <t>A 15-minute interval is compatible with an acute infusion-associated reaction; the timing does not identify which exposure (Drug A, Drug B and the antiseptic all preceded onset by an hour or less).</t>
  </si>
  <si>
    <t>On case version 1 alone: compatible, with increased exposure plausible rather than supported, until the level and creatinine series are known.</t>
  </si>
  <si>
    <t>Onset followed documented renal deterioration during unchanged dosing, with a well-timed digoxin level above 2 ng/mL; prior tolerance does not exclude increased exposure after a clearance change (Chapter 11).</t>
  </si>
  <si>
    <t>Treat the end of prophylaxis as the most informative anchor: reactivation after withdrawal of prophylaxis during persistent B-cell depletion.</t>
  </si>
  <si>
    <t>Exposure persistence is negligible on every labeled half-life; anti-HBc positive at baseline; B cells and IgG still low at detection; detection falls within the period for which the US label reports cases.</t>
  </si>
  <si>
    <t>Dechallenge_Rechallenge: actions, responses and every intervention in between</t>
  </si>
  <si>
    <t>Action record (timepoint ID)</t>
  </si>
  <si>
    <t>Response milestone ID</t>
  </si>
  <si>
    <t>Recovery interval (Intervals, C7)</t>
  </si>
  <si>
    <t>Interventions between action and response</t>
  </si>
  <si>
    <t>Interventions status (recorded / none recorded, unknown)</t>
  </si>
  <si>
    <t>Confounding</t>
  </si>
  <si>
    <t>Dechallenge_Rationale</t>
  </si>
  <si>
    <t>Improvement followed both cessation and emergency treatment</t>
  </si>
  <si>
    <t>recorded</t>
  </si>
  <si>
    <t>Emergency medicines from 09:18 (M-EMERG)</t>
  </si>
  <si>
    <t>Recovery cannot be attributed to withdrawal alone (W_INTERVENTION_BEFORE_RECOVERY); Chapter 17</t>
  </si>
  <si>
    <t>Renal function recovering; ibuprofen stopped</t>
  </si>
  <si>
    <t>recorded; other treatments 5-8 July not reported</t>
  </si>
  <si>
    <t>IV fluids and cardiac monitoring (M-FLUIDS); ibuprofen withheld the same day</t>
  </si>
  <si>
    <t>Not clearly positive: improvement coincided with fluids, the end of ibuprofen and renal recovery</t>
  </si>
  <si>
    <t>EX-RTX/STOP</t>
  </si>
  <si>
    <t>Therapy was completed before onset; no dechallenge applies</t>
  </si>
  <si>
    <t>Alternatives_Followup: competing explanations and targeted queries</t>
  </si>
  <si>
    <t>Item type</t>
  </si>
  <si>
    <t>Description (competing cause or query)</t>
  </si>
  <si>
    <t>Timing evidence</t>
  </si>
  <si>
    <t>Alternative_Cause_Assessment</t>
  </si>
  <si>
    <t>Query recipient</t>
  </si>
  <si>
    <t>Followup_Priority</t>
  </si>
  <si>
    <t>EXPORT</t>
  </si>
  <si>
    <t>Export-safe description (CSV formula-injection escape)</t>
  </si>
  <si>
    <t>Reaction to Drug B (same cannula; previous courses)</t>
  </si>
  <si>
    <t>Ended 25 minutes before onset (I05)</t>
  </si>
  <si>
    <t>Timing cannot separate it from Drug A</t>
  </si>
  <si>
    <t>Reporting hospital</t>
  </si>
  <si>
    <t>Tryptase result; emergency medicines with doses and times; Drug A concentration in the bag; earlier Drug B courses</t>
  </si>
  <si>
    <t>Bradycardia from the unchanged beta-blocker, made more likely by dehydration</t>
  </si>
  <si>
    <t>Dose unchanged since 2024</t>
  </si>
  <si>
    <t>Explains susceptibility better than timing</t>
  </si>
  <si>
    <t>GP and hospital</t>
  </si>
  <si>
    <t>Creatinine values between March and July; magnesium, calcium, thyroid function; earlier ECGs; full treatment record 5-8 July</t>
  </si>
  <si>
    <t>Prednisolone course 2-11 March 2026</t>
  </si>
  <si>
    <t>Onset bounds -21 to 71 calendar days (I08)</t>
  </si>
  <si>
    <t>Sequence uncertain; possible contributor</t>
  </si>
  <si>
    <t>Hematology</t>
  </si>
  <si>
    <t>Planned length of prophylaxis and why it stopped; prednisolone dose; lymphoma relapse or further treatment</t>
  </si>
  <si>
    <t>Assessment_QC: narrative, method, unresolved issues (the formal causality assessment remains a human assessment)</t>
  </si>
  <si>
    <t>Narrative (reviewer)</t>
  </si>
  <si>
    <t>Formal method used (e.g. WHO-UMC)</t>
  </si>
  <si>
    <t>Method result (entered by the assessor; never calculated)</t>
  </si>
  <si>
    <t>Unresolved issues</t>
  </si>
  <si>
    <t>Case version printed in the summary</t>
  </si>
  <si>
    <t>Interval rows for this case version</t>
  </si>
  <si>
    <t>Interval rows with an E-code (query each)</t>
  </si>
  <si>
    <t>Interval rows with a W-code (print with result)</t>
  </si>
  <si>
    <t>Export-safe narrative (CSV escape)</t>
  </si>
  <si>
    <t>Urticaria, wheeze and hypotension began at 09:15, 15 minutes after the start of the first Drug A infusion and 25 minutes after the end of a Drug B infusion through the same cannula (C1; UTC-05:00). Improvement followed both cessation and emergency treatment.</t>
  </si>
  <si>
    <t>2</t>
  </si>
  <si>
    <t>Tryptase result; emergency medicines; Drug A concentration; Drug B history</t>
  </si>
  <si>
    <t>not entered (example)</t>
  </si>
  <si>
    <t>Nausea and symptomatic bradycardia began on 5 July 2026, 185 calendar days after digoxin was started at an unchanged dose, 4 calendar days after renal deterioration was first documented and 9 after ibuprofen was started.</t>
  </si>
  <si>
    <t>Creatinine series; electrolytes; ECG history; treatments 5-8 July</t>
  </si>
  <si>
    <t>HBV DNA was first detected on 12 May 2026, 435 calendar days after the last rituximab infusion; virological reactivation began between 343 and 435 days after the last infusion (C4).</t>
  </si>
  <si>
    <t>Prophylaxis plan; prednisolone dose; relapse or further treatment</t>
  </si>
  <si>
    <t>Examples: fictional teaching cases worked through the sheets</t>
  </si>
  <si>
    <t>Cases EX-C01 (Chapter 3, Section 3.7, version 2), EX-C04 (Chapter 11, Section 11.8, version 2) and EX-C28 (Chapter 20, Section 20.4, version 2) are entered in the reserved blue rows of the input sheets with the home chapters' dates, times and values. Each check below reads the workbook's own result and compares it, rounded as the chapter states it, with the chapter's number; the checks added in version 1.1 also follow the calculator's example cases (docs/examples.js, tests/run_examples.js): EX-C28's onset is laboratory-defined (CALC-SPEC 1.1 C4) and its Q8 rows are for a recorded monoclonal antibody. All cases and dates are fictional.</t>
  </si>
  <si>
    <t>#</t>
  </si>
  <si>
    <t>Case</t>
  </si>
  <si>
    <t>Home chapter</t>
  </si>
  <si>
    <t>Item</t>
  </si>
  <si>
    <t>Workbook row (sheet: key)</t>
  </si>
  <si>
    <t>Chapter states</t>
  </si>
  <si>
    <t>Expected</t>
  </si>
  <si>
    <t>Digits</t>
  </si>
  <si>
    <t>Workbook value (unrounded)</t>
  </si>
  <si>
    <t>Workbook display</t>
  </si>
  <si>
    <t>Match</t>
  </si>
  <si>
    <t>Ch 3, 3.7 (Table 8)</t>
  </si>
  <si>
    <t>Drug A start to onset, FIRST_ADMIN (C1)</t>
  </si>
  <si>
    <t>Intervals: EX-C01|2|I01 / Interval_Value</t>
  </si>
  <si>
    <t>15 minutes</t>
  </si>
  <si>
    <t>num</t>
  </si>
  <si>
    <t>Ch 3, 3.7</t>
  </si>
  <si>
    <t>Sequence of I01</t>
  </si>
  <si>
    <t>Intervals: EX-C01|2|I01 / Sequence_Status</t>
  </si>
  <si>
    <t>AFTER</t>
  </si>
  <si>
    <t>text</t>
  </si>
  <si>
    <t>Same pair, calendar-date difference (C2)</t>
  </si>
  <si>
    <t>Intervals: EX-C01|2|I02 / Interval_Value</t>
  </si>
  <si>
    <t>0 calendar days</t>
  </si>
  <si>
    <t>C2 order decided by C1</t>
  </si>
  <si>
    <t>Intervals: EX-C01|2|I02 / Sequence_Status</t>
  </si>
  <si>
    <t>order decided by C1 (AFTER)</t>
  </si>
  <si>
    <t>Ch 3, 3.7 (Calculations)</t>
  </si>
  <si>
    <t>Treatment Day under the inclusive convention</t>
  </si>
  <si>
    <t>Intervals: EX-C01|2|I02 / Treatment_Day</t>
  </si>
  <si>
    <t>Treatment Day 1</t>
  </si>
  <si>
    <t>Ch 3, 3.7 (Question 3)</t>
  </si>
  <si>
    <t>LAST_DOSE_BEFORE_ONSET selects the 09:00 infusion start (C5 candidates: start, administration, dose-change, restart)</t>
  </si>
  <si>
    <t>Intervals: EX-C01|2|I03 / Anchor_Record_ID_Used</t>
  </si>
  <si>
    <t>infusion started 09:00</t>
  </si>
  <si>
    <t>Ch 3, 3.7 (Question 2)</t>
  </si>
  <si>
    <t>LAST_DOSE_BEFORE_ONSET to onset (C1)</t>
  </si>
  <si>
    <t>Intervals: EX-C01|2|I03 / Interval_Value</t>
  </si>
  <si>
    <t>Ch 3, 3.7 (Table 5)</t>
  </si>
  <si>
    <t>Drug B infusion start to onset</t>
  </si>
  <si>
    <t>Intervals: EX-C01|2|I04 / Interval_Value</t>
  </si>
  <si>
    <t>55 minutes</t>
  </si>
  <si>
    <t>Drug B infusion end to onset</t>
  </si>
  <si>
    <t>Intervals: EX-C01|2|I05 / Interval_Value</t>
  </si>
  <si>
    <t>25 minutes</t>
  </si>
  <si>
    <t>Skin antiseptic to onset</t>
  </si>
  <si>
    <t>Intervals: EX-C01|2|I06 / Interval_Value</t>
  </si>
  <si>
    <t>60 minutes</t>
  </si>
  <si>
    <t>Baseline observations to onset</t>
  </si>
  <si>
    <t>Intervals: EX-C01|2|I07 / Interval_Value</t>
  </si>
  <si>
    <t>Drug A stopped (CESSATION) to onset</t>
  </si>
  <si>
    <t>Intervals: EX-C01|2|I08 / Interval_Value</t>
  </si>
  <si>
    <t>-1 minute</t>
  </si>
  <si>
    <t>Sequence: the stop came after onset</t>
  </si>
  <si>
    <t>Intervals: EX-C01|2|I08 / Sequence_Status</t>
  </si>
  <si>
    <t>exposure continued 1 minute after onset</t>
  </si>
  <si>
    <t>BEFORE</t>
  </si>
  <si>
    <t>Emergency treatment to onset</t>
  </si>
  <si>
    <t>Intervals: EX-C01|2|I09 / Interval_Value</t>
  </si>
  <si>
    <t>-3 minutes</t>
  </si>
  <si>
    <t>Recovery: stop to improvement (C7 with C1)</t>
  </si>
  <si>
    <t>Intervals: EX-C01|2|I10 / Interval_Value</t>
  </si>
  <si>
    <t>19 minutes</t>
  </si>
  <si>
    <t>Recovery row raises W_INTERVENTION_BEFORE_RECOVERY</t>
  </si>
  <si>
    <t>Intervals: EX-C01|2|I10 / QC_Flags</t>
  </si>
  <si>
    <t>contains</t>
  </si>
  <si>
    <t>Recovery row labeled C7</t>
  </si>
  <si>
    <t>Intervals: EX-C01|2|I10 / Calculation_Mode_Used</t>
  </si>
  <si>
    <t>C1 (C7)</t>
  </si>
  <si>
    <t>C7 (C1)</t>
  </si>
  <si>
    <t>Emergency treatment to improvement</t>
  </si>
  <si>
    <t>Intervals: EX-C01|2|I11 / Interval_Value</t>
  </si>
  <si>
    <t>17 minutes</t>
  </si>
  <si>
    <t>Onset to improvement</t>
  </si>
  <si>
    <t>Intervals: EX-C01|2|I12 / Interval_Value</t>
  </si>
  <si>
    <t>20 minutes</t>
  </si>
  <si>
    <t>Drug A ran 09:00 to 09:16</t>
  </si>
  <si>
    <t>Intervals: EX-C01|2|I13 / Interval_Value</t>
  </si>
  <si>
    <t>16 minutes</t>
  </si>
  <si>
    <t>Ch 3, 3.7 (Biological reasoning)</t>
  </si>
  <si>
    <t>Tryptase sample after onset</t>
  </si>
  <si>
    <t>Intervals: EX-C01|2|I14 / Interval_Value</t>
  </si>
  <si>
    <t>50 minutes</t>
  </si>
  <si>
    <t>Amount infused (Q9): rate only in mL/hour, not calculable</t>
  </si>
  <si>
    <t>PK_Exercises (Q9): EX-C01|2|Q9-C01 / QC_Flags</t>
  </si>
  <si>
    <t>not calculable from the available information</t>
  </si>
  <si>
    <t>Ch 11, 11.8 (Q1)</t>
  </si>
  <si>
    <t>Digoxin start to onset, FIRST_ADMIN (C2)</t>
  </si>
  <si>
    <t>Intervals: EX-C04|2|I01 / Interval_Value</t>
  </si>
  <si>
    <t>185 calendar days</t>
  </si>
  <si>
    <t>First documented renal deterioration to onset</t>
  </si>
  <si>
    <t>Intervals: EX-C04|2|I02 / Interval_Value</t>
  </si>
  <si>
    <t>4 calendar days</t>
  </si>
  <si>
    <t>Ibuprofen start (CONCOMITANT_CHANGE) to onset</t>
  </si>
  <si>
    <t>Intervals: EX-C04|2|I03 / Interval_Value</t>
  </si>
  <si>
    <t>9 calendar days</t>
  </si>
  <si>
    <t>Ch 23, 23.11 (version 2)</t>
  </si>
  <si>
    <t>LAST_DOSE_BEFORE_ONSET selects the 4 July dose</t>
  </si>
  <si>
    <t>Intervals: EX-C04|2|I04 / Anchor_Record_ID_Used</t>
  </si>
  <si>
    <t>last dose about 08:00 on 4 July</t>
  </si>
  <si>
    <t>Last dose before onset to onset (C2)</t>
  </si>
  <si>
    <t>Intervals: EX-C04|2|I04 / Interval_Value</t>
  </si>
  <si>
    <t>1 calendar day</t>
  </si>
  <si>
    <t>Ch 11, 11.8 (Calculations)</t>
  </si>
  <si>
    <t>Last dose to digoxin sample (C1, local clock)</t>
  </si>
  <si>
    <t>Intervals: EX-C04|2|I05 / Interval_Value</t>
  </si>
  <si>
    <t>1,660 minutes</t>
  </si>
  <si>
    <t>Unit of the sample interval</t>
  </si>
  <si>
    <t>Intervals: EX-C04|2|I05 / Unit</t>
  </si>
  <si>
    <t>minutes, local clock</t>
  </si>
  <si>
    <t>minutes (local clock)</t>
  </si>
  <si>
    <t>Sample interval raises W_TZ_UNKNOWN</t>
  </si>
  <si>
    <t>Intervals: EX-C04|2|I05 / QC_Flags</t>
  </si>
  <si>
    <t>Ch 11, 11.8 (Q5)</t>
  </si>
  <si>
    <t>Withholding to improvement (C7 with C2)</t>
  </si>
  <si>
    <t>Intervals: EX-C04|2|I06 / Interval_Value</t>
  </si>
  <si>
    <t>3 calendar days</t>
  </si>
  <si>
    <t>Intervals: EX-C04|2|I06 / QC_Flags</t>
  </si>
  <si>
    <t>Q11 at baseline, displayed</t>
  </si>
  <si>
    <t>PK_Exercises (Q11): EX-C04|2|Q11-C04-baseline / CrCl_mL_min</t>
  </si>
  <si>
    <t>40 mL/minute</t>
  </si>
  <si>
    <t>Q11 at baseline, unrounded</t>
  </si>
  <si>
    <t>unrounded 40.399</t>
  </si>
  <si>
    <t>Q11 on 1 July is blocked</t>
  </si>
  <si>
    <t>PK_Exercises (Q11): EX-C04|2|Q11-C04-1Jul / QC_Flags</t>
  </si>
  <si>
    <t>Q11 on 5 July is blocked</t>
  </si>
  <si>
    <t>PK_Exercises (Q11): EX-C04|2|Q11-C04-5Jul / QC_Flags</t>
  </si>
  <si>
    <t>Ch 23, 23.11 (Q8)</t>
  </si>
  <si>
    <t>Normal renal function, t_half 1.5 days: percent remaining</t>
  </si>
  <si>
    <t>PK_Exercises (Q8): EX-C04|2|Q8-C04-normal / Percent_at_Lower</t>
  </si>
  <si>
    <t>25.0%</t>
  </si>
  <si>
    <t>Normal renal function, t_half 2 days</t>
  </si>
  <si>
    <t>PK_Exercises (Q8): EX-C04|2|Q8-C04-normal / Percent_at_Upper</t>
  </si>
  <si>
    <t>35.4%</t>
  </si>
  <si>
    <t>Anuric, t_half 3.5 days</t>
  </si>
  <si>
    <t>PK_Exercises (Q8): EX-C04|2|Q8-C04-anuric / Percent_at_Lower</t>
  </si>
  <si>
    <t>55.2%</t>
  </si>
  <si>
    <t>Anuric, t_half 5 days</t>
  </si>
  <si>
    <t>PK_Exercises (Q8): EX-C04|2|Q8-C04-anuric / Percent_at_Upper</t>
  </si>
  <si>
    <t>66.0%</t>
  </si>
  <si>
    <t>Q8 rows carry I_SCENARIO_NOT_CI</t>
  </si>
  <si>
    <t>PK_Exercises (Q8): EX-C04|2|Q8-C04-normal / QC_Flags</t>
  </si>
  <si>
    <t>Ch 11, Worked exercise 11.2 (Q4)</t>
  </si>
  <si>
    <t>Renal elimination halved, fe 0.5: ratio</t>
  </si>
  <si>
    <t>PK_Exercises (Q4): EX-C04|2|Q4-C04-half-fe0.5 / Css_Ratio</t>
  </si>
  <si>
    <t>1.33</t>
  </si>
  <si>
    <t>Renal elimination halved, fe 0.7: ratio</t>
  </si>
  <si>
    <t>PK_Exercises (Q4): EX-C04|2|Q4-C04-half-fe0.7 / Css_Ratio</t>
  </si>
  <si>
    <t>1.54</t>
  </si>
  <si>
    <t>Renal elimination at a quarter, fe 0.5: ratio</t>
  </si>
  <si>
    <t>PK_Exercises (Q4): EX-C04|2|Q4-C04-quarter-fe0.5 / Css_Ratio</t>
  </si>
  <si>
    <t>1.60</t>
  </si>
  <si>
    <t>Renal elimination at a quarter, fe 0.7: ratio</t>
  </si>
  <si>
    <t>PK_Exercises (Q4): EX-C04|2|Q4-C04-quarter-fe0.7 / Css_Ratio</t>
  </si>
  <si>
    <t>2.11</t>
  </si>
  <si>
    <t>Ch 20, 20.4 (Question 2)</t>
  </si>
  <si>
    <t>Last infusion to first positive test (C2)</t>
  </si>
  <si>
    <t>Intervals: EX-C28|2|I01 / Interval_Value</t>
  </si>
  <si>
    <t>435 calendar days</t>
  </si>
  <si>
    <t>Ch 20, 20.4 (Question 3)</t>
  </si>
  <si>
    <t>Reporter's fourteen months kept, not converted</t>
  </si>
  <si>
    <t>Intervals: EX-C28|2|I01 / QC_Flags</t>
  </si>
  <si>
    <t>Ch 20, 20.4 (Question 1-2)</t>
  </si>
  <si>
    <t>LAST_DOSE_BEFORE_ONSET selects 3 March 2025</t>
  </si>
  <si>
    <t>Intervals: EX-C28|2|I02 / Anchor_Record_ID_Used</t>
  </si>
  <si>
    <t>last infusion 3 March 2025</t>
  </si>
  <si>
    <t>Last infusion to onset bounds: minimum (C4)</t>
  </si>
  <si>
    <t>Intervals: EX-C28|2|I02 / Interval_Minimum</t>
  </si>
  <si>
    <t>343</t>
  </si>
  <si>
    <t>Last infusion to onset bounds: maximum (C4)</t>
  </si>
  <si>
    <t>Intervals: EX-C28|2|I02 / Interval_Maximum</t>
  </si>
  <si>
    <t>435</t>
  </si>
  <si>
    <t>Sequence of the bounded interval</t>
  </si>
  <si>
    <t>Intervals: EX-C28|2|I02 / Sequence_Status</t>
  </si>
  <si>
    <t>First infusion to first positive test</t>
  </si>
  <si>
    <t>Intervals: EX-C28|2|I03 / Interval_Value</t>
  </si>
  <si>
    <t>540 calendar days</t>
  </si>
  <si>
    <t>Ch 23, 23.12</t>
  </si>
  <si>
    <t>First infusion to onset bounds: minimum</t>
  </si>
  <si>
    <t>Intervals: EX-C28|2|I04 / Interval_Minimum</t>
  </si>
  <si>
    <t>448</t>
  </si>
  <si>
    <t>First infusion to onset bounds: maximum</t>
  </si>
  <si>
    <t>Intervals: EX-C28|2|I04 / Interval_Maximum</t>
  </si>
  <si>
    <t>540</t>
  </si>
  <si>
    <t>End of prophylaxis to first positive test</t>
  </si>
  <si>
    <t>Intervals: EX-C28|2|I05 / Interval_Value</t>
  </si>
  <si>
    <t>251 days</t>
  </si>
  <si>
    <t>End of prophylaxis to onset bounds: minimum</t>
  </si>
  <si>
    <t>Intervals: EX-C28|2|I06 / Interval_Minimum</t>
  </si>
  <si>
    <t>159</t>
  </si>
  <si>
    <t>End of prophylaxis to onset bounds: maximum</t>
  </si>
  <si>
    <t>Intervals: EX-C28|2|I06 / Interval_Maximum</t>
  </si>
  <si>
    <t>251</t>
  </si>
  <si>
    <t>Prednisolone start to first positive test</t>
  </si>
  <si>
    <t>Intervals: EX-C28|2|I07 / Interval_Value</t>
  </si>
  <si>
    <t>71 days</t>
  </si>
  <si>
    <t>Prednisolone start to onset bounds: minimum</t>
  </si>
  <si>
    <t>Intervals: EX-C28|2|I08 / Interval_Minimum</t>
  </si>
  <si>
    <t>-21</t>
  </si>
  <si>
    <t>Prednisolone start to onset bounds: maximum</t>
  </si>
  <si>
    <t>Intervals: EX-C28|2|I08 / Interval_Maximum</t>
  </si>
  <si>
    <t>71</t>
  </si>
  <si>
    <t>Prednisolone row: SEQUENCE_UNCERTAIN</t>
  </si>
  <si>
    <t>Intervals: EX-C28|2|I08 / Sequence_Status</t>
  </si>
  <si>
    <t>SEQUENCE_UNCERTAIN</t>
  </si>
  <si>
    <t>Prednisolone row raises W_SEQUENCE_UNCERTAIN</t>
  </si>
  <si>
    <t>Intervals: EX-C28|2|I08 / QC_Flags</t>
  </si>
  <si>
    <t>Last infusion to biochemical hepatitis (26 May)</t>
  </si>
  <si>
    <t>Intervals: EX-C28|2|I09 / Interval_Value</t>
  </si>
  <si>
    <t>449 days</t>
  </si>
  <si>
    <t>Ch 20, 20.4 (Question 1)</t>
  </si>
  <si>
    <t>Tests 92 calendar days apart</t>
  </si>
  <si>
    <t>Intervals: EX-C28|2|I10 / Interval_Value</t>
  </si>
  <si>
    <t>92 calendar days</t>
  </si>
  <si>
    <t>Ch 20, 20.4 (Table 9)</t>
  </si>
  <si>
    <t>Intervals: EX-C28|2|I11 / Interval_Value</t>
  </si>
  <si>
    <t>184 days</t>
  </si>
  <si>
    <t>Ch 23, 23.12 (Q7)</t>
  </si>
  <si>
    <t>Median t_half 22 days at 435 days: percent remaining</t>
  </si>
  <si>
    <t>PK_Exercises (Q7): EX-C28|2|Q7-C28-435 / Percent_Remaining</t>
  </si>
  <si>
    <t>0.000112%</t>
  </si>
  <si>
    <t>Median t_half 22 days at 343 days</t>
  </si>
  <si>
    <t>PK_Exercises (Q7): EX-C28|2|Q7-C28-343 / Percent_Remaining</t>
  </si>
  <si>
    <t>0.00203%</t>
  </si>
  <si>
    <t>Q7 rows carry W_BIOLOGIC_MODEL_CAUTION</t>
  </si>
  <si>
    <t>PK_Exercises (Q7): EX-C28|2|Q7-C28-435 / QC_Flags</t>
  </si>
  <si>
    <t>Ch 23, 23.12 (Q8)</t>
  </si>
  <si>
    <t>Longest labeled t_half 52 days at 435 days</t>
  </si>
  <si>
    <t>PK_Exercises (Q8): EX-C28|2|Q8-C28-435 / Percent_at_Upper</t>
  </si>
  <si>
    <t>0.303%</t>
  </si>
  <si>
    <t>Shortest labeled t_half 6.1 days at 435 days</t>
  </si>
  <si>
    <t>PK_Exercises (Q8): EX-C28|2|Q8-C28-435 / Percent_at_Lower</t>
  </si>
  <si>
    <t>below 0.0001%</t>
  </si>
  <si>
    <t>lt</t>
  </si>
  <si>
    <t>Ch 20, 20.4 (Question 5)</t>
  </si>
  <si>
    <t>Longest labeled t_half 52 days at 343 days</t>
  </si>
  <si>
    <t>PK_Exercises (Q8): EX-C28|2|Q8-C28-343 / Percent_at_Upper</t>
  </si>
  <si>
    <t>1.03%</t>
  </si>
  <si>
    <t>Displayed value of I01 (as the calculator)</t>
  </si>
  <si>
    <t>Intervals: EX-C01|2|I01 / Displayed_Value</t>
  </si>
  <si>
    <t>Displayed value of I08 (minus sign, singular unit)</t>
  </si>
  <si>
    <t>Intervals: EX-C01|2|I08 / Displayed_Value</t>
  </si>
  <si>
    <t>−1 minute</t>
  </si>
  <si>
    <t>Ch 3, 3.7 (Table 8); CALC-SPEC 1.1 C7</t>
  </si>
  <si>
    <t>C7 names the recorded intervention it counts</t>
  </si>
  <si>
    <t>Intervals: EX-C01|2|I10 / Interventions_Counted</t>
  </si>
  <si>
    <t>Displayed value of I05 (as the calculator)</t>
  </si>
  <si>
    <t>Intervals: EX-C04|2|I05 / Displayed_Value</t>
  </si>
  <si>
    <t>1,660 minutes, local clock</t>
  </si>
  <si>
    <t>1,660 minutes (local clock)</t>
  </si>
  <si>
    <t>Ch 11, 11.8 (Q5); CALC-SPEC 1.1 C7</t>
  </si>
  <si>
    <t>C7 counts the IV fluids recorded on the cessation date (ends included)</t>
  </si>
  <si>
    <t>Intervals: EX-C04|2|I06 / Interventions_Counted</t>
  </si>
  <si>
    <t>IV fluids, 5 July</t>
  </si>
  <si>
    <t>Recovery row labeled C7 (C2)</t>
  </si>
  <si>
    <t>Intervals: EX-C04|2|I06 / Calculation_Mode_Used</t>
  </si>
  <si>
    <t>C7 at date level</t>
  </si>
  <si>
    <t>C7 (C2)</t>
  </si>
  <si>
    <t>Q8 normal renal function: displayed 25.0%</t>
  </si>
  <si>
    <t>PK_Exercises (Q8): EX-C04|2|Q8-C04-normal / Displayed_Value</t>
  </si>
  <si>
    <t>Ch 20, 20.4; CALC-SPEC 1.1 C4</t>
  </si>
  <si>
    <t>Laboratory-defined onset: last normal test (9 February) to first abnormal test (12 May 2026)</t>
  </si>
  <si>
    <t>Intervals: EX-C28|2|I02 / End_ISO</t>
  </si>
  <si>
    <t>9 February to 12 May 2026</t>
  </si>
  <si>
    <t>2026-02-09/2026-05-12</t>
  </si>
  <si>
    <t>CALC-SPEC 1.1 C4</t>
  </si>
  <si>
    <t>Assumptions state that the onset is laboratory-defined</t>
  </si>
  <si>
    <t>Intervals: EX-C28|2|I02 / Assumptions</t>
  </si>
  <si>
    <t>laboratory-defined onset</t>
  </si>
  <si>
    <t>laboratory-defined</t>
  </si>
  <si>
    <t>Displayed value of I02 (as the calculator)</t>
  </si>
  <si>
    <t>Intervals: EX-C28|2|I02 / Displayed_Value</t>
  </si>
  <si>
    <t>343 to 435 calendar days</t>
  </si>
  <si>
    <t>Displayed value of I08 (bounds across zero are signed)</t>
  </si>
  <si>
    <t>Intervals: EX-C28|2|I08 / Displayed_Value</t>
  </si>
  <si>
    <t>-21 to +71 calendar days</t>
  </si>
  <si>
    <t>−21 to +71 calendar days</t>
  </si>
  <si>
    <t>Ch 23, 23.12 (Q8); CALC-SPEC 1.1 Q8</t>
  </si>
  <si>
    <t>Q8 for a recorded monoclonal antibody carries the Q7 caution</t>
  </si>
  <si>
    <t>PK_Exercises (Q8): EX-C28|2|Q8-C28-435 / QC_Flags</t>
  </si>
  <si>
    <t>W_BIOLOGIC_MODEL_CAUTION; I_SCENARIO_NOT_CI</t>
  </si>
  <si>
    <t>Ch 23, 23.12 (Q8); CALC-SPEC 1.1 Section 7</t>
  </si>
  <si>
    <t>Shortest labeled t_half 6.1 days at 435 days, shown in powers of ten</t>
  </si>
  <si>
    <t>PK_Exercises (Q8): EX-C28|2|Q8-C28-435 / Displayed_Value</t>
  </si>
  <si>
    <t>3.41 x 10^-20 %</t>
  </si>
  <si>
    <t>3.41 × 10⁻²⁰%</t>
  </si>
  <si>
    <t>Ch 23, 23.12 (calculator example T1)</t>
  </si>
  <si>
    <t>Q8 median t_half 22 days at 435 days</t>
  </si>
  <si>
    <t>PK_Exercises (Q8): EX-C28|2|Q8-C28-435m / Percent_at_Lower</t>
  </si>
  <si>
    <t>Q8 median t_half 22 days at 435 days: displayed</t>
  </si>
  <si>
    <t>PK_Exercises (Q8): EX-C28|2|Q8-C28-435m / Displayed_Value</t>
  </si>
  <si>
    <t>Q8 longest t_half 52 days at 435 days</t>
  </si>
  <si>
    <t>PK_Exercises (Q8): EX-C28|2|Q8-C28-435m / Percent_at_Upper</t>
  </si>
  <si>
    <t>Q8 antibody flags</t>
  </si>
  <si>
    <t>PK_Exercises (Q8): EX-C28|2|Q8-C28-435m / QC_Flags</t>
  </si>
  <si>
    <t>Ch 23, 23.12 (calculator example T2)</t>
  </si>
  <si>
    <t>Q8 median t_half 22 days at 343 days</t>
  </si>
  <si>
    <t>PK_Exercises (Q8): EX-C28|2|Q8-C28-343m / Percent_at_Lower</t>
  </si>
  <si>
    <t>Q8 longest t_half 52 days at 343 days</t>
  </si>
  <si>
    <t>PK_Exercises (Q8): EX-C28|2|Q8-C28-343m / Percent_at_Upper</t>
  </si>
  <si>
    <t>Examples status:</t>
  </si>
  <si>
    <t>Outside CALC-SPEC 1.1 (shown for Chapter 20 and 23 only): 24 calendar months after the last infusion, compared by calendar date (author's convention; no CALC-SPEC rule adds calendar months).</t>
  </si>
  <si>
    <t>24 calendar months after 3 March 2025</t>
  </si>
  <si>
    <t>Calendar days from the last infusion to that date</t>
  </si>
  <si>
    <t>730 calendar days</t>
  </si>
  <si>
    <t>Verification: CALC-SPEC 1.1 vectors V01-V38 recomputed by this workbook</t>
  </si>
  <si>
    <t>Each vector is entered as a reserved, locked case (VEC-Vnn) on the production sheets and computed by the same column formulas a user's case uses. Expected values are the unrounded values of tto_calc_test_vectors_v1.1.json (V01-V27 unchanged from CALC-SPEC 1.0; V28-V38 new in 1.1). Numbers are compared unrounded: relative tolerance 1E-6, or absolute 1E-9 when the expected value is zero; units, sequence status and flags must match exactly, and flag lists follow rule G9 (E-, then W-, then I-codes, in Section 5 order). V12 and V14 describe behavior and are checked by inspection.</t>
  </si>
  <si>
    <t>Overall status:</t>
  </si>
  <si>
    <t>Relative tolerance</t>
  </si>
  <si>
    <t>Absolute tolerance (expected = 0)</t>
  </si>
  <si>
    <t>Source: tto_calc_test_vectors_v1.1.json (spec CALC-SPEC 1.1, 2026-10-25)</t>
  </si>
  <si>
    <t>ID</t>
  </si>
  <si>
    <t>Rule</t>
  </si>
  <si>
    <t>Where in this workbook</t>
  </si>
  <si>
    <t>Expected (JSON summary)</t>
  </si>
  <si>
    <t>Checks</t>
  </si>
  <si>
    <t>Passed</t>
  </si>
  <si>
    <t>Result</t>
  </si>
  <si>
    <t>V01</t>
  </si>
  <si>
    <t>Intervals</t>
  </si>
  <si>
    <t>numeric</t>
  </si>
  <si>
    <t>15 minutes; AFTER; no flags</t>
  </si>
  <si>
    <t>V02</t>
  </si>
  <si>
    <t>C2+C3</t>
  </si>
  <si>
    <t>5 calendar days; treatment Day 6; AFTER</t>
  </si>
  <si>
    <t>V03</t>
  </si>
  <si>
    <t>0 calendar days; SAME_DATE_ORDER_UNKNOWN; W_SAME_DATE_ORDER_UNKNOWN</t>
  </si>
  <si>
    <t>V04</t>
  </si>
  <si>
    <t>2 calendar days; AFTER</t>
  </si>
  <si>
    <t>V05</t>
  </si>
  <si>
    <t>5 to 14 calendar days; AFTER</t>
  </si>
  <si>
    <t>V06</t>
  </si>
  <si>
    <t>-5 to +4 calendar days; SEQUENCE_UNCERTAIN; W_SEQUENCE_UNCERTAIN</t>
  </si>
  <si>
    <t>V07</t>
  </si>
  <si>
    <t>C5</t>
  </si>
  <si>
    <t>Administrations, Intervals</t>
  </si>
  <si>
    <t>Anchor 2026-03-02T08:00-05:00; 720 minutes; AFTER</t>
  </si>
  <si>
    <t>V08</t>
  </si>
  <si>
    <t>Exposures, Intervals</t>
  </si>
  <si>
    <t>FIRST_ADMIN 44 and RESTART 4 calendar days, both kept</t>
  </si>
  <si>
    <t>V09</t>
  </si>
  <si>
    <t>60 minutes; AFTER</t>
  </si>
  <si>
    <t>V10</t>
  </si>
  <si>
    <t>120 minutes (local clock); W_TZ_UNKNOWN</t>
  </si>
  <si>
    <t>V11</t>
  </si>
  <si>
    <t>C6</t>
  </si>
  <si>
    <t>360 minutes; reported timing kept; W_REPORTED_TIMING_CONFLICT</t>
  </si>
  <si>
    <t>V12</t>
  </si>
  <si>
    <t>Versioning</t>
  </si>
  <si>
    <t>Cases, Intervals</t>
  </si>
  <si>
    <t>behavioral</t>
  </si>
  <si>
    <t>Version 1 (9 days) preserved; version 2 gives 7 days</t>
  </si>
  <si>
    <t>V13</t>
  </si>
  <si>
    <t>Validation</t>
  </si>
  <si>
    <t>Exposures, Events, Drug_Event_Links, Intervals</t>
  </si>
  <si>
    <t>E_INVALID_DATE, E_REVERSED_BOUNDS, E_DUPLICATE_ID, E_MISSING_LINK</t>
  </si>
  <si>
    <t>V14</t>
  </si>
  <si>
    <t>Export</t>
  </si>
  <si>
    <t>Export (outside the workbook)</t>
  </si>
  <si>
    <t>Bounds, unit, precision, links, status and flags preserved on export and re-import of V06</t>
  </si>
  <si>
    <t>V15</t>
  </si>
  <si>
    <t>No value; I_APPROXIMATE_NOT_COMPARED</t>
  </si>
  <si>
    <t>V16</t>
  </si>
  <si>
    <t>Q1</t>
  </si>
  <si>
    <t>PK_Exercises (Q1)</t>
  </si>
  <si>
    <t>0.125; k = 0.028881133 per hour</t>
  </si>
  <si>
    <t>V17</t>
  </si>
  <si>
    <t>Q2</t>
  </si>
  <si>
    <t>PK_Exercises (Q2)</t>
  </si>
  <si>
    <t>79.726274 hours; 3.321928 half-lives</t>
  </si>
  <si>
    <t>V18</t>
  </si>
  <si>
    <t>Q3</t>
  </si>
  <si>
    <t>PK_Exercises (Q3)</t>
  </si>
  <si>
    <t>V19</t>
  </si>
  <si>
    <t>Q4</t>
  </si>
  <si>
    <t>PK_Exercises (Q4)</t>
  </si>
  <si>
    <t>Half-life and average Css ratios both 2</t>
  </si>
  <si>
    <t>V20</t>
  </si>
  <si>
    <t>Q5</t>
  </si>
  <si>
    <t>PK_Exercises (Q5)</t>
  </si>
  <si>
    <t>0.390625% and 62.996052%; no sum</t>
  </si>
  <si>
    <t>V21</t>
  </si>
  <si>
    <t>Q6</t>
  </si>
  <si>
    <t>PD_Profile (Q6)</t>
  </si>
  <si>
    <t>0.75 replaced; I_TEACHING_DEMONSTRATION</t>
  </si>
  <si>
    <t>V22</t>
  </si>
  <si>
    <t>Q7</t>
  </si>
  <si>
    <t>PK_Exercises (Q7)</t>
  </si>
  <si>
    <t>0.25; W_BIOLOGIC_MODEL_CAUTION</t>
  </si>
  <si>
    <t>V23</t>
  </si>
  <si>
    <t>Q8</t>
  </si>
  <si>
    <t>PK_Exercises (Q8)</t>
  </si>
  <si>
    <t>0.0625 to 0.25; I_SCENARIO_NOT_CI</t>
  </si>
  <si>
    <t>V24</t>
  </si>
  <si>
    <t>Technical validation</t>
  </si>
  <si>
    <t>E_NONPOSITIVE_PARAMETER, E_INVALID_UNIT, E_APPLICABILITY_UNCONFIRMED</t>
  </si>
  <si>
    <t>V25</t>
  </si>
  <si>
    <t>Q9</t>
  </si>
  <si>
    <t>Administrations, PK_Exercises (Q9)</t>
  </si>
  <si>
    <t>58.333333 mg; 11.666667% of 500 mg</t>
  </si>
  <si>
    <t>V26</t>
  </si>
  <si>
    <t>Q10</t>
  </si>
  <si>
    <t>Administrations, PK_Exercises (Q10)</t>
  </si>
  <si>
    <t>164.052288 (Method A); 161.111111 / 170.588235 (Method B)</t>
  </si>
  <si>
    <t>V27</t>
  </si>
  <si>
    <t>Q11</t>
  </si>
  <si>
    <t>PK_Exercises (Q11)</t>
  </si>
  <si>
    <t>68.055556, 34.027778, female 57.847222; sex missing shows both; unconfirmed stability blocks</t>
  </si>
  <si>
    <t>V28</t>
  </si>
  <si>
    <t>C7</t>
  </si>
  <si>
    <t>Exposures, Milestones, Intervals</t>
  </si>
  <si>
    <t>19 minutes; AFTER; MS-RX counted; W_INTERVENTION_BEFORE_RECOVERY</t>
  </si>
  <si>
    <t>V29</t>
  </si>
  <si>
    <t>3 calendar days; AFTER; MS-FLU on the cessation date counted (ends included); W_INTERVENTION_BEFORE_RECOVERY</t>
  </si>
  <si>
    <t>V30</t>
  </si>
  <si>
    <t>No-flag variant: 3 calendar days; AFTER; nothing counted (TX-START is an exposure, not an intervention)</t>
  </si>
  <si>
    <t>V31</t>
  </si>
  <si>
    <t>C4 (laboratory-defined onset)</t>
  </si>
  <si>
    <t>Events (LAB), Milestones, Intervals</t>
  </si>
  <si>
    <t>Onset 2026-03-15 to 2026-03-29; 14 to 28 calendar days; AFTER; no flags</t>
  </si>
  <si>
    <t>V32</t>
  </si>
  <si>
    <t>0.875 of the change to a new level completed; I_TEACHING_DEMONSTRATION</t>
  </si>
  <si>
    <t>V33</t>
  </si>
  <si>
    <t>Exposures, Administrations, Intervals</t>
  </si>
  <si>
    <t>Anchor 2026-03-02T08:00-05:00 (UTC order); 720 minutes; AFTER; no flags</t>
  </si>
  <si>
    <t>V34</t>
  </si>
  <si>
    <t>A partial-date administration could be the last dose: no anchor, E_MISSING_INPUT</t>
  </si>
  <si>
    <t>V35</t>
  </si>
  <si>
    <t>Error listing</t>
  </si>
  <si>
    <t>PK_Exercises (Q1), Intervals</t>
  </si>
  <si>
    <t>E_INVALID_UNIT; E_NONPOSITIVE_PARAMETER; E_APPLICABILITY_UNCONFIRMED, and E_INVALID_DATE; E_MISSING_LINK</t>
  </si>
  <si>
    <t>V36</t>
  </si>
  <si>
    <t>Gate</t>
  </si>
  <si>
    <t>Blank detail: E_MISSING_INPUT; E_APPLICABILITY_UNCONFIRMED. Complete: 0.125. Model unconfirmed: E_APPLICABILITY_UNCONFIRMED</t>
  </si>
  <si>
    <t>V37</t>
  </si>
  <si>
    <t>0.0625 to 0.25; W_BIOLOGIC_MODEL_CAUTION; I_SCENARIO_NOT_CI</t>
  </si>
  <si>
    <t>V38</t>
  </si>
  <si>
    <t>164.052288 (Method A); 161.111111 / 170.588235 (Method B by date)</t>
  </si>
  <si>
    <t>Check details (one row per expected value in the JSON file)</t>
  </si>
  <si>
    <t>Vector</t>
  </si>
  <si>
    <t>What is checked</t>
  </si>
  <si>
    <t>Workbook row (table: key / column)</t>
  </si>
  <si>
    <t>Expected (unrounded, JSON)</t>
  </si>
  <si>
    <t>Pass</t>
  </si>
  <si>
    <t>Interval_Value</t>
  </si>
  <si>
    <t>Intervals: VEC-V01|1|I1 / Interval_Value</t>
  </si>
  <si>
    <t>Intervals: VEC-V01|1|I1 / Unit</t>
  </si>
  <si>
    <t>Sequence</t>
  </si>
  <si>
    <t>Intervals: VEC-V01|1|I1 / Sequence_Status</t>
  </si>
  <si>
    <t>Flags</t>
  </si>
  <si>
    <t>flags</t>
  </si>
  <si>
    <t>Intervals: VEC-V01|1|I1 / QC_Flags</t>
  </si>
  <si>
    <t>(none)</t>
  </si>
  <si>
    <t>Intervals: VEC-V02|1|I1 / Interval_Value</t>
  </si>
  <si>
    <t>Intervals: VEC-V02|1|I1 / Unit</t>
  </si>
  <si>
    <t>Treatment day</t>
  </si>
  <si>
    <t>Intervals: VEC-V02|1|I1 / Treatment_Day</t>
  </si>
  <si>
    <t>Intervals: VEC-V02|1|I1 / Sequence_Status</t>
  </si>
  <si>
    <t>Intervals: VEC-V02|1|I1 / QC_Flags</t>
  </si>
  <si>
    <t>Intervals: VEC-V03|1|I1 / Interval_Value</t>
  </si>
  <si>
    <t>Intervals: VEC-V03|1|I1 / Unit</t>
  </si>
  <si>
    <t>Intervals: VEC-V03|1|I1 / Sequence_Status</t>
  </si>
  <si>
    <t>SAME_DATE_ORDER_UNKNOWN</t>
  </si>
  <si>
    <t>Intervals: VEC-V03|1|I1 / QC_Flags</t>
  </si>
  <si>
    <t>Intervals: VEC-V04|1|I1 / Interval_Value</t>
  </si>
  <si>
    <t>Intervals: VEC-V04|1|I1 / Unit</t>
  </si>
  <si>
    <t>Intervals: VEC-V04|1|I1 / Sequence_Status</t>
  </si>
  <si>
    <t>Intervals: VEC-V04|1|I1 / QC_Flags</t>
  </si>
  <si>
    <t>Interval_Minimum</t>
  </si>
  <si>
    <t>Intervals: VEC-V05|1|I1 / Interval_Minimum</t>
  </si>
  <si>
    <t>Interval_Maximum</t>
  </si>
  <si>
    <t>Intervals: VEC-V05|1|I1 / Interval_Maximum</t>
  </si>
  <si>
    <t>Intervals: VEC-V05|1|I1 / Unit</t>
  </si>
  <si>
    <t>Intervals: VEC-V05|1|I1 / Sequence_Status</t>
  </si>
  <si>
    <t>Intervals: VEC-V05|1|I1 / QC_Flags</t>
  </si>
  <si>
    <t>Intervals: VEC-V06|1|I1 / Interval_Minimum</t>
  </si>
  <si>
    <t>Intervals: VEC-V06|1|I1 / Interval_Maximum</t>
  </si>
  <si>
    <t>Intervals: VEC-V06|1|I1 / Unit</t>
  </si>
  <si>
    <t>Intervals: VEC-V06|1|I1 / Sequence_Status</t>
  </si>
  <si>
    <t>Intervals: VEC-V06|1|I1 / QC_Flags</t>
  </si>
  <si>
    <t>Selected anchor (ISO 8601)</t>
  </si>
  <si>
    <t>Intervals: VEC-V07|1|I1 / Anchor_ISO</t>
  </si>
  <si>
    <t>Intervals: VEC-V07|1|I1 / Interval_Value</t>
  </si>
  <si>
    <t>Intervals: VEC-V07|1|I1 / Unit</t>
  </si>
  <si>
    <t>Intervals: VEC-V07|1|I1 / Sequence_Status</t>
  </si>
  <si>
    <t>Intervals: VEC-V07|1|I1 / QC_Flags</t>
  </si>
  <si>
    <t>FIRST_ADMIN interval</t>
  </si>
  <si>
    <t>Intervals: VEC-V08|1|I1 / Interval_Value</t>
  </si>
  <si>
    <t>RESTART interval</t>
  </si>
  <si>
    <t>Intervals: VEC-V08|1|I2 / Interval_Value</t>
  </si>
  <si>
    <t>Unit (FIRST_ADMIN)</t>
  </si>
  <si>
    <t>Intervals: VEC-V08|1|I1 / Unit</t>
  </si>
  <si>
    <t>Flags (FIRST_ADMIN)</t>
  </si>
  <si>
    <t>Intervals: VEC-V08|1|I1 / QC_Flags</t>
  </si>
  <si>
    <t>Flags (RESTART)</t>
  </si>
  <si>
    <t>Intervals: VEC-V08|1|I2 / QC_Flags</t>
  </si>
  <si>
    <t>Intervals: VEC-V09|1|I1 / Interval_Value</t>
  </si>
  <si>
    <t>Intervals: VEC-V09|1|I1 / Unit</t>
  </si>
  <si>
    <t>Intervals: VEC-V09|1|I1 / Sequence_Status</t>
  </si>
  <si>
    <t>Intervals: VEC-V09|1|I1 / QC_Flags</t>
  </si>
  <si>
    <t>Intervals: VEC-V10|1|I1 / Interval_Value</t>
  </si>
  <si>
    <t>Intervals: VEC-V10|1|I1 / Unit</t>
  </si>
  <si>
    <t>Intervals: VEC-V10|1|I1 / Sequence_Status</t>
  </si>
  <si>
    <t>Intervals: VEC-V10|1|I1 / QC_Flags</t>
  </si>
  <si>
    <t>Intervals: VEC-V11|1|I1 / Interval_Value</t>
  </si>
  <si>
    <t>Intervals: VEC-V11|1|I1 / Unit</t>
  </si>
  <si>
    <t>Reported timing retained</t>
  </si>
  <si>
    <t>Intervals: VEC-V11|1|I1 / Reported_Timing_Result</t>
  </si>
  <si>
    <t>Intervals: VEC-V11|1|I1 / QC_Flags</t>
  </si>
  <si>
    <t>Version 1 kept (inspection aid)</t>
  </si>
  <si>
    <t>Intervals: VEC-V12|1|I1 / Interval_Value</t>
  </si>
  <si>
    <t>Version 2 added (inspection aid)</t>
  </si>
  <si>
    <t>Intervals: VEC-V12|2|I1 / Interval_Value</t>
  </si>
  <si>
    <t>30 February</t>
  </si>
  <si>
    <t>Intervals: VEC-V13|1|I-DATE / QC_Flags</t>
  </si>
  <si>
    <t>Reversed bounds</t>
  </si>
  <si>
    <t>Intervals: VEC-V13|1|I-BOUNDS / QC_Flags</t>
  </si>
  <si>
    <t>Duplicate episode ID EX1</t>
  </si>
  <si>
    <t>Intervals: VEC-V13|1|I-IDS / QC_Flags</t>
  </si>
  <si>
    <t>Unlinked pair</t>
  </si>
  <si>
    <t>Intervals: VEC-V13|1|I-LINK / QC_Flags</t>
  </si>
  <si>
    <t>No value</t>
  </si>
  <si>
    <t>blank</t>
  </si>
  <si>
    <t>Intervals: VEC-V15|1|I1 / Interval_Value</t>
  </si>
  <si>
    <t>(blank)</t>
  </si>
  <si>
    <t>Reported timing flag (C6)</t>
  </si>
  <si>
    <t>Intervals: VEC-V15|1|I1 / C6_Code</t>
  </si>
  <si>
    <t>Fraction remaining</t>
  </si>
  <si>
    <t>Q1: VEC-V16|1|Q1-V16 / Fraction_Remaining</t>
  </si>
  <si>
    <t>k per hour</t>
  </si>
  <si>
    <t>Q1: VEC-V16|1|Q1-V16 / k_per_hour</t>
  </si>
  <si>
    <t>Q1: VEC-V16|1|Q1-V16 / QC_Flags</t>
  </si>
  <si>
    <t>Time to fraction (hours)</t>
  </si>
  <si>
    <t>Q2: VEC-V17|1|Q2-V17 / Time_to_f</t>
  </si>
  <si>
    <t>Half-lives</t>
  </si>
  <si>
    <t>Q2: VEC-V17|1|Q2-V17 / Half_Lives</t>
  </si>
  <si>
    <t>Q2: VEC-V17|1|Q2-V17 / QC_Flags</t>
  </si>
  <si>
    <t>Accumulation factor</t>
  </si>
  <si>
    <t>Q3: VEC-V18|1|Q3-V18 / Accumulation_Factor</t>
  </si>
  <si>
    <t>Q3: VEC-V18|1|Q3-V18 / QC_Flags</t>
  </si>
  <si>
    <t>Half-life ratio</t>
  </si>
  <si>
    <t>Q4: VEC-V19|1|Q4-V19 / HalfLife_Ratio</t>
  </si>
  <si>
    <t>Average Css ratio</t>
  </si>
  <si>
    <t>Q4: VEC-V19|1|Q4-V19 / Css_Ratio</t>
  </si>
  <si>
    <t>Q4: VEC-V19|1|Q4-V19 / QC_Flags</t>
  </si>
  <si>
    <t>Parent percent remaining</t>
  </si>
  <si>
    <t>Q5: VEC-V20|1|Q5-V20 / Parent_Percent</t>
  </si>
  <si>
    <t>Metabolite percent remaining</t>
  </si>
  <si>
    <t>Q5: VEC-V20|1|Q5-V20 / Metabolite_Percent</t>
  </si>
  <si>
    <t>Q5: VEC-V20|1|Q5-V20 / QC_Flags</t>
  </si>
  <si>
    <t>Fraction replaced</t>
  </si>
  <si>
    <t>Q6 (PD_Profile): VEC-V21|1|Q6-V21 / Fraction_Q6</t>
  </si>
  <si>
    <t>Q6 (PD_Profile): VEC-V21|1|Q6-V21 / QC_Flags</t>
  </si>
  <si>
    <t>Q7: VEC-V22|1|Q7-V22 / Fraction_Remaining</t>
  </si>
  <si>
    <t>Q7: VEC-V22|1|Q7-V22 / QC_Flags</t>
  </si>
  <si>
    <t>Fraction at lower t_half</t>
  </si>
  <si>
    <t>Q8: VEC-V23|1|Q8-V23 / Fraction_at_Lower</t>
  </si>
  <si>
    <t>Fraction at upper t_half</t>
  </si>
  <si>
    <t>Q8: VEC-V23|1|Q8-V23 / Fraction_at_Upper</t>
  </si>
  <si>
    <t>Q8: VEC-V23|1|Q8-V23 / QC_Flags</t>
  </si>
  <si>
    <t>Half-life 0</t>
  </si>
  <si>
    <t>Q1: VEC-V24|1|Q1-V24a / QC_Flags</t>
  </si>
  <si>
    <t>Unit fortnights</t>
  </si>
  <si>
    <t>Q1: VEC-V24|1|Q1-V24b / QC_Flags</t>
  </si>
  <si>
    <t>Gate unconfirmed</t>
  </si>
  <si>
    <t>Q1: VEC-V24|1|Q1-V24c / QC_Flags</t>
  </si>
  <si>
    <t>Parameter status travels into Parameter_Set (V16 row)</t>
  </si>
  <si>
    <t>Q1: VEC-V16|1|Q1-V16 / Parameter_Set</t>
  </si>
  <si>
    <t>Amount infused (mg)</t>
  </si>
  <si>
    <t>Q9: VEC-V25|1|Q9-V25 / Amount_mg</t>
  </si>
  <si>
    <t>Percent of planned dose</t>
  </si>
  <si>
    <t>Q9: VEC-V25|1|Q9-V25 / Percent_of_Planned</t>
  </si>
  <si>
    <t>Q9: VEC-V25|1|Q9-V25 / QC_Flags</t>
  </si>
  <si>
    <t>Method A (mg/m2)</t>
  </si>
  <si>
    <t>Q10: VEC-V26|1|Q10-V26-first / Method_A_mg_m2</t>
  </si>
  <si>
    <t>Method B, first BSA</t>
  </si>
  <si>
    <t>Q10: VEC-V26|1|Q10-V26-first / Method_B_mg_m2</t>
  </si>
  <si>
    <t>Method B, last BSA</t>
  </si>
  <si>
    <t>Q10: VEC-V26|1|Q10-V26-last / Method_B_mg_m2</t>
  </si>
  <si>
    <t>Q10: VEC-V26|1|Q10-V26-first / QC_Flags</t>
  </si>
  <si>
    <t>Case 1: male, 1.0 mg/dL</t>
  </si>
  <si>
    <t>Q11: VEC-V27|1|Q11-V27a / CrCl_mL_min</t>
  </si>
  <si>
    <t>Case 2: male, 2.0 mg/dL</t>
  </si>
  <si>
    <t>Q11: VEC-V27|1|Q11-V27b / CrCl_mL_min</t>
  </si>
  <si>
    <t>Case 3: female, 1.0 mg/dL</t>
  </si>
  <si>
    <t>Q11: VEC-V27|1|Q11-V27c / CrCl_mL_min</t>
  </si>
  <si>
    <t>Case 4: sex not recorded, female estimate</t>
  </si>
  <si>
    <t>Q11: VEC-V27|1|Q11-V27d / CrCl_Female_If_Sex_Not_Recorded</t>
  </si>
  <si>
    <t>Case 4: sex not recorded, male estimate</t>
  </si>
  <si>
    <t>Q11: VEC-V27|1|Q11-V27d / CrCl_Male_If_Sex_Not_Recorded</t>
  </si>
  <si>
    <t>Case 5: no estimate</t>
  </si>
  <si>
    <t>Q11: VEC-V27|1|Q11-V27e / CrCl_mL_min</t>
  </si>
  <si>
    <t>Flags case 1</t>
  </si>
  <si>
    <t>Q11: VEC-V27|1|Q11-V27a / QC_Flags</t>
  </si>
  <si>
    <t>Flags case 2</t>
  </si>
  <si>
    <t>Q11: VEC-V27|1|Q11-V27b / QC_Flags</t>
  </si>
  <si>
    <t>Flags case 3</t>
  </si>
  <si>
    <t>Q11: VEC-V27|1|Q11-V27c / QC_Flags</t>
  </si>
  <si>
    <t>Flags case 4</t>
  </si>
  <si>
    <t>Q11: VEC-V27|1|Q11-V27d / QC_Flags</t>
  </si>
  <si>
    <t>Flags case 5</t>
  </si>
  <si>
    <t>Q11: VEC-V27|1|Q11-V27e / QC_Flags</t>
  </si>
  <si>
    <t>Intervals: VEC-V28|1|I1 / Interval_Value</t>
  </si>
  <si>
    <t>Intervals: VEC-V28|1|I1 / Unit</t>
  </si>
  <si>
    <t>Intervals: VEC-V28|1|I1 / Sequence_Status</t>
  </si>
  <si>
    <t>Interventions counted</t>
  </si>
  <si>
    <t>Intervals: VEC-V28|1|I1 / Interventions_Counted</t>
  </si>
  <si>
    <t>Intervals: VEC-V28|1|I1 / QC_Flags</t>
  </si>
  <si>
    <t>Calculation_Mode</t>
  </si>
  <si>
    <t>Intervals: VEC-V28|1|I1 / Calculation_Mode_Used</t>
  </si>
  <si>
    <t>Intervals: VEC-V29|1|I1 / Interval_Value</t>
  </si>
  <si>
    <t>Intervals: VEC-V29|1|I1 / Unit</t>
  </si>
  <si>
    <t>Intervals: VEC-V29|1|I1 / Sequence_Status</t>
  </si>
  <si>
    <t>Intervals: VEC-V29|1|I1 / Interventions_Counted</t>
  </si>
  <si>
    <t>Intervals: VEC-V29|1|I1 / QC_Flags</t>
  </si>
  <si>
    <t>Intervals: VEC-V30|1|I1 / Interval_Value</t>
  </si>
  <si>
    <t>Intervals: VEC-V30|1|I1 / Unit</t>
  </si>
  <si>
    <t>Intervals: VEC-V30|1|I1 / Sequence_Status</t>
  </si>
  <si>
    <t>Interventions counted (none)</t>
  </si>
  <si>
    <t>Intervals: VEC-V30|1|I1 / Interventions_Counted</t>
  </si>
  <si>
    <t>Intervals: VEC-V30|1|I1 / QC_Flags</t>
  </si>
  <si>
    <t>Onset bounds (ISO 8601)</t>
  </si>
  <si>
    <t>Intervals: VEC-V31|1|I1 / End_ISO</t>
  </si>
  <si>
    <t>2026-03-15/2026-03-29</t>
  </si>
  <si>
    <t>Intervals: VEC-V31|1|I1 / Interval_Minimum</t>
  </si>
  <si>
    <t>Intervals: VEC-V31|1|I1 / Interval_Maximum</t>
  </si>
  <si>
    <t>Intervals: VEC-V31|1|I1 / Unit</t>
  </si>
  <si>
    <t>Intervals: VEC-V31|1|I1 / Sequence_Status</t>
  </si>
  <si>
    <t>Intervals: VEC-V31|1|I1 / QC_Flags</t>
  </si>
  <si>
    <t>Fraction of the change completed</t>
  </si>
  <si>
    <t>Q6 (PD_Profile): VEC-V32|1|Q6-V32 / Fraction_Q6</t>
  </si>
  <si>
    <t>Output label (approach to a new level)</t>
  </si>
  <si>
    <t>Q6 (PD_Profile): VEC-V32|1|Q6-V32 / Output_Label</t>
  </si>
  <si>
    <t>Fraction of the change to the new level completed</t>
  </si>
  <si>
    <t>Q6 (PD_Profile): VEC-V32|1|Q6-V32 / QC_Flags</t>
  </si>
  <si>
    <t>Intervals: VEC-V33|1|I1 / Anchor_ISO</t>
  </si>
  <si>
    <t>Intervals: VEC-V33|1|I1 / Interval_Value</t>
  </si>
  <si>
    <t>Intervals: VEC-V33|1|I1 / Unit</t>
  </si>
  <si>
    <t>Intervals: VEC-V33|1|I1 / Sequence_Status</t>
  </si>
  <si>
    <t>Intervals: VEC-V33|1|I1 / QC_Flags</t>
  </si>
  <si>
    <t>No anchor selected</t>
  </si>
  <si>
    <t>Intervals: VEC-V34|1|I1 / Anchor_Record_ID_Used</t>
  </si>
  <si>
    <t>Intervals: VEC-V34|1|I1 / Interval_Value</t>
  </si>
  <si>
    <t>Intervals: VEC-V34|1|I1 / QC_Flags</t>
  </si>
  <si>
    <t>Technical case: every E-code</t>
  </si>
  <si>
    <t>Q1: VEC-V35|1|Q1-V35a / QC_Flags</t>
  </si>
  <si>
    <t>E_INVALID_UNIT; E_NONPOSITIVE_PARAMETER; E_APPLICABILITY_UNCONFIRMED</t>
  </si>
  <si>
    <t>Interval case: every E-code</t>
  </si>
  <si>
    <t>Intervals: VEC-V35|1|I1 / QC_Flags</t>
  </si>
  <si>
    <t>E_INVALID_DATE; E_MISSING_LINK</t>
  </si>
  <si>
    <t>Case 1: no value</t>
  </si>
  <si>
    <t>Q1: VEC-V36|1|Q1-V36a / Fraction_Remaining</t>
  </si>
  <si>
    <t>Case 1: flags</t>
  </si>
  <si>
    <t>Q1: VEC-V36|1|Q1-V36a / QC_Flags</t>
  </si>
  <si>
    <t>E_MISSING_INPUT; E_APPLICABILITY_UNCONFIRMED</t>
  </si>
  <si>
    <t>Case 2: fraction remaining</t>
  </si>
  <si>
    <t>Q1: VEC-V36|1|Q1-V36b / Fraction_Remaining</t>
  </si>
  <si>
    <t>Case 2: flags</t>
  </si>
  <si>
    <t>Q1: VEC-V36|1|Q1-V36b / QC_Flags</t>
  </si>
  <si>
    <t>Case 3: no value</t>
  </si>
  <si>
    <t>Q1: VEC-V36|1|Q1-V36c / Fraction_Remaining</t>
  </si>
  <si>
    <t>Case 3: flags</t>
  </si>
  <si>
    <t>Q1: VEC-V36|1|Q1-V36c / QC_Flags</t>
  </si>
  <si>
    <t>Q8: VEC-V37|1|Q8-V37 / Fraction_at_Lower</t>
  </si>
  <si>
    <t>Q8: VEC-V37|1|Q8-V37 / Fraction_at_Upper</t>
  </si>
  <si>
    <t>Q8: VEC-V37|1|Q8-V37 / QC_Flags</t>
  </si>
  <si>
    <t>Q10: VEC-V38|1|Q10-V38-first / Method_A_mg_m2</t>
  </si>
  <si>
    <t>Method B, first BSA by date</t>
  </si>
  <si>
    <t>Q10: VEC-V38|1|Q10-V38-first / Method_B_mg_m2</t>
  </si>
  <si>
    <t>Method B, last BSA by date</t>
  </si>
  <si>
    <t>Q10: VEC-V38|1|Q10-V38-last / Method_B_mg_m2</t>
  </si>
  <si>
    <t>Flags (first)</t>
  </si>
  <si>
    <t>Q10: VEC-V38|1|Q10-V38-first / QC_Flags</t>
  </si>
  <si>
    <t>Flags (last)</t>
  </si>
  <si>
    <t>Q10: VEC-V38|1|Q10-V38-last / QC_Flags</t>
  </si>
  <si>
    <t>Behavioral vectors (inspection):</t>
  </si>
  <si>
    <t>V12 Versioning: Cases holds VEC-V12 version 1 and version 2 as separate rows, and Intervals keeps both results (9 calendar days for version 1, 7 for version 2; rows VEC-V12|1|I1 and VEC-V12|2|I1). Follow-up is added as a new Case_Version; earlier rows are never overwritten.</t>
  </si>
  <si>
    <t>V14 Export and re-import: on the Export sheet choose Case_ID VEC-V06, stamp the time, copy the rows as values and save them as CSV UTF-8 (the workbook has no macros). The row VEC-V06 I1 carries Interval_Minimum -5, Interval_Maximum 4, calendar days, SEQUENCE_UNCERTAIN, W_SEQUENCE_UNCERTAIN, the link L1 and, in Parameter_Set, the original partial-date text and precision; Tool_Version, Calculation_Version and Export_Timestamp are on every row. Re-open the CSV and compare: bounds, unit, original text and precision, link, sequence status and flags must be unchanged. Text that starts with =, +, -, @, a tab or a carriage return is exported with an apostrophe.</t>
  </si>
  <si>
    <t>Note on V15: the vector has no anchor or onset, so the interval row shows E_MISSING_INPUT and no value; the C6 check (C6_Code = I_APPROXIMATE_NOT_COMPARED) is the vector's expected flag.</t>
  </si>
  <si>
    <t>Note on V35: the interval case has no Drug_Event_Links row and an onset of 30 February, so the row lists both E-codes (E_INVALID_DATE; E_MISSING_LINK), as rule G9 requires.</t>
  </si>
  <si>
    <t>Export: one row per result, ready for CSV (CALC-SPEC 1.1 Section 8)</t>
  </si>
  <si>
    <t>How to export: (1) enter the Case_ID in B4 (and a Case_Version in D4, or leave it blank for the latest version); (2) stamp the export time in F4 (Ctrl+; then a space, then Ctrl+Shift+;); (3) select the header row and the filled rows (from A7), copy, and paste them as values into a new workbook (Paste Special &gt; Values); (4) File &gt; Save As &gt; CSV UTF-8 (Comma delimited) (*.csv). Columns follow CALC-SPEC 1.1 Section 8 in order. Lists within a cell use "; " (QC_Flags) and " | " (Assumptions, Flag_Messages). Text that begins with =, +, -, @, a tab or a carriage return is already prefixed with an apostrophe so that a spreadsheet does not run it as a formula. Every row carries Tool_Version, Calculation_Version and Export_Timestamp. Intervals come first, then technical results (Q1-Q11).</t>
  </si>
  <si>
    <t>Case_Version (blank = latest)</t>
  </si>
  <si>
    <t>Export timestamp (local time)</t>
  </si>
  <si>
    <t>Case key exported</t>
  </si>
  <si>
    <t>Rows below are formulas; copy them as values before saving as CSV. Capacity: 150 results per case version.</t>
  </si>
  <si>
    <t>Result_ID</t>
  </si>
  <si>
    <t>Drug_Event_Link</t>
  </si>
  <si>
    <t>End_Point</t>
  </si>
  <si>
    <t>Displayed_Value</t>
  </si>
  <si>
    <t>Anchor_Type</t>
  </si>
  <si>
    <t>Anchor_Record_ID</t>
  </si>
  <si>
    <t>Anchor_Description</t>
  </si>
  <si>
    <t>Treatment_Day</t>
  </si>
  <si>
    <t>Reported_Timing</t>
  </si>
  <si>
    <t>Constraint_Source</t>
  </si>
  <si>
    <t>Results</t>
  </si>
  <si>
    <t>Parameter_Set</t>
  </si>
  <si>
    <t>Assumptions</t>
  </si>
  <si>
    <t>QC_Flags</t>
  </si>
  <si>
    <t>Flag_Messages</t>
  </si>
  <si>
    <t>Limitations</t>
  </si>
  <si>
    <t>Export_Timestamp</t>
  </si>
  <si>
    <t>Tool_Version</t>
  </si>
  <si>
    <t>INT</t>
  </si>
  <si>
    <t>TTO companion workbook: one-case summary</t>
  </si>
  <si>
    <t>TTO Companion Tools v1.1 (CALC-SPEC 1.1). Educational tool; not validated for regulated production use; not a dosing tool; never assigns causality.</t>
  </si>
  <si>
    <t>Case key shown</t>
  </si>
  <si>
    <t>Received</t>
  </si>
  <si>
    <t>Fictional</t>
  </si>
  <si>
    <t>Versions on Cases</t>
  </si>
  <si>
    <t>This version adds</t>
  </si>
  <si>
    <t>Exposures and drug-event links</t>
  </si>
  <si>
    <t>Exposure episode</t>
  </si>
  <si>
    <t>Role, route</t>
  </si>
  <si>
    <t>Link</t>
  </si>
  <si>
    <t>Exposure → event</t>
  </si>
  <si>
    <t>Reason</t>
  </si>
  <si>
    <t>Dated records (Timepoints: every date and time as recorded)</t>
  </si>
  <si>
    <t>Record type</t>
  </si>
  <si>
    <t>As recorded</t>
  </si>
  <si>
    <t>Original text</t>
  </si>
  <si>
    <t>Intervals (C1-C7) with flags</t>
  </si>
  <si>
    <t>Interval_ID</t>
  </si>
  <si>
    <t>Link; anchor type</t>
  </si>
  <si>
    <t>Anchor → end point</t>
  </si>
  <si>
    <t>Rule applied</t>
  </si>
  <si>
    <t>Technical results (Q1-Q11) with flags</t>
  </si>
  <si>
    <t>Calc_ID</t>
  </si>
  <si>
    <t>Question</t>
  </si>
  <si>
    <t>Educational tool, not validated for regulated production use. It is not a dosing calculator and it does not assess causality: no result is a causality category, a probability, or a statement that an event is related to a drug. Results are arithmetic on the facts entered, under the stated rules and assumptions, and must be read with their flags and mandatory text.</t>
  </si>
  <si>
    <t>Intervals (CALC-SPEC 1.1 Section 3): The interval describes the sequence and spacing of recorded times; it is not evidence of causation. For C4: the true interval lies between the bounds; no single date is imputed. For C7: a recovery interval is not, by itself, evidence of positive dechallenge.</t>
  </si>
  <si>
    <t>Technical results (Section 4): each row carries its mandatory text, Parameter_Set and gate confirmations on PK_Exercises or PD_Profile. E-codes block a result; W-codes must be read with it. The formal causality assessment remains a human judgment.</t>
  </si>
  <si>
    <t>Versions</t>
  </si>
  <si>
    <t>Tool version</t>
  </si>
  <si>
    <t>TTO Companion Tools v1.1</t>
  </si>
  <si>
    <t>Calculation version</t>
  </si>
  <si>
    <t>CALC-SPEC 1.1</t>
  </si>
  <si>
    <t>Case version</t>
  </si>
  <si>
    <t>Verification</t>
  </si>
  <si>
    <t>Earlier versions of this case stay on the Cases sheet unchanged; choose a version in E4 to print it.</t>
  </si>
  <si>
    <t>Time to Onset in Drug Safety: companion Excel workbook</t>
  </si>
  <si>
    <t>TTO Companion Tools v1.1 (CALC-SPEC 1.1)</t>
  </si>
  <si>
    <t>Companion to "Time to Onset in Drug Safety: A Technical Guide to ICSR Analysis Using Mechanism of Action, Pharmacokinetics and Pharmacodynamics" by Dr. Hafez Selim (Chapter 23, Use the Excel worksheets).</t>
  </si>
  <si>
    <t>Educational tool: read before use</t>
  </si>
  <si>
    <t>This workbook is an educational tool for training, self-study and careful desk work on individual case safety reports (ICSRs). It is NOT validated for regulated production use. It is NOT a dosing calculator and gives no dosing recommendation. It NEVER assigns causality and never produces a causality category, a probability or a statement that an event is related to a drug. Every result describes timing or exposure under the assumptions shown beside it; the formal causality assessment remains a human judgment.</t>
  </si>
  <si>
    <t>Sheet protection only prevents accidental edits; it is not a security control. The workbook contains no macros, no VBA, no external links and no network connections, so case data stay on your computer. Use fictional or de-identified data for training.</t>
  </si>
  <si>
    <t>TTO Companion Tools v1.1 (CALC-SPEC 1.1). Calculation rules: CALC-SPEC 1.1 (Stage 1 document C), the same rules as the interactive calculator version 1.1. Verification vectors: tto_calc_test_vectors_v1.1.json (V01-V38; 36 numeric).</t>
  </si>
  <si>
    <t>License</t>
  </si>
  <si>
    <t>Creative Commons Attribution-NonCommercial 4.0 International (CC BY-NC 4.0), https://creativecommons.org/licenses/by-nc/4.0/</t>
  </si>
  <si>
    <t>Source and updates</t>
  </si>
  <si>
    <t>https://github.com/abdu94-hash/tto-companion-tools (the interactive calculator built on the same CALC-SPEC is at https://abdu94-hash.github.io/tto-companion-tools/)</t>
  </si>
  <si>
    <t>Verification status</t>
  </si>
  <si>
    <t>Examples status</t>
  </si>
  <si>
    <t>Tested environment</t>
  </si>
  <si>
    <t>Built and verified with Microsoft Excel for Windows, version 16.0 (build 20527), on 25 October 2026, and checked with verify_workbook.ps1 (the Verification and Examples status lines above are recalculated by the workbook itself). Formulas use only functions available in Excel 2010 and later (AGGREGATE, SUMPRODUCT, COUNTIFS; no LET, LAMBDA, dynamic arrays or TEXTJOIN). Not yet verified in Excel for the web, Excel for Mac, Google Sheets or LibreOffice. Some text formats (TEXT with yyyy-mm-dd on the Export sheet) assume English format codes.</t>
  </si>
  <si>
    <t>Changes in version 1.1</t>
  </si>
  <si>
    <t>All 14 agreed rules of CALC-SPEC 1.1: every E-code listed (G9); the laboratory-defined onset (precision LAB); C5 by UTC instant with partial-date and tie blocking; C7 counting recorded interventions only, ends included; the complete common gate; Q6 named uses; Q8 antibody caution; Q10 Method B by date; units; display in powers of ten below 0.0001%; the finest rule by default; the C-rule limitations text; the Summary and Export sheets; vectors V28-V38.</t>
  </si>
  <si>
    <t>How to use (the workup of Chapter 23)</t>
  </si>
  <si>
    <t>1. Cases</t>
  </si>
  <si>
    <t>Open a case version (Case_ID + Case_Version). Follow-up adds a new version; earlier rows stay (V12).</t>
  </si>
  <si>
    <t>2. Record the sources</t>
  </si>
  <si>
    <t>On Exposures, Administrations, Events and Milestones enter every date, time and timing statement as the source gives it: original text, precision, bounds and source. Never type 0, N/A or a typical value to make a row calculate. A laboratory-defined onset (CALC-SPEC 1.1 C4) is precision LAB on Events with the Milestone_IDs of the last normal test and the first abnormal test; no other date is used in their place.</t>
  </si>
  <si>
    <t>3. Drug_Event_Links</t>
  </si>
  <si>
    <t>Create the drug-event pairs you intend to compare, each with a reason. An interval without a link shows E_MISSING_LINK.</t>
  </si>
  <si>
    <t>4. Intervals</t>
  </si>
  <si>
    <t>One row per link and anchor. Leave the rule blank to use the finest rule both records support (C1 two timestamps, C2 two exact dates, C4 bounds), or choose a coarser one; a finer one is blocked (E_MISSING_INPUT). Leave the end point blank for the onset of the linked event. LAST_DOSE_BEFORE_ONSET with a blank anchor is selected by C5; FIRST_ADMIN with a blank anchor uses the episode Start. Reported timing (C6) sits beside the value. CESSATION to a RECOVERY milestone is a C7 recovery interval. Send a query for every E-code.</t>
  </si>
  <si>
    <t>5. Product evidence</t>
  </si>
  <si>
    <t>Product_Dossier (one row per extracted statement) and Parameter_Register (value, range, unit, population, half-life type, status, source).</t>
  </si>
  <si>
    <t>6. Technical arithmetic</t>
  </si>
  <si>
    <t>PK_Exercises (Q1-Q5, Q7-Q11) and PD_Profile (Q6 teaching demonstration). Run only what the question needs. The common gate (Q1-Q5, Q7, Q8) needs four confirmations (model, half-life used, reference time, Parameter_Status) and every detail: the half-life type, population and source, the reference time in words and each input's Parameter_Status. Q8 shows a scenario range, never a midpoint or confidence interval. Q11 needs creatinine stability confirmed. The tools never calculate BSA; enter the BSA recorded at each administration.</t>
  </si>
  <si>
    <t>7. Reviewer judgments</t>
  </si>
  <si>
    <t>Temporal_Profile, Biology_Review (four options, each with a rationale; none is a relatedness category), Dechallenge_Rechallenge, Alternatives_Followup.</t>
  </si>
  <si>
    <t>8. Assessment_QC, Summary and Export</t>
  </si>
  <si>
    <t>Assessment_QC: narrative, method, unresolved issues and the counts of blocked and flagged interval rows. Summary: type a Case_ID (and a version, or blank for the latest) to see and print that case's records, intervals with flags, technical results, limitations and versions on one or two pages. Export: one row per result with the CALC-SPEC 1.1 Section 8 columns, export-safe text, Tool_Version, Calculation_Version and Export_Timestamp; copy the rows as values and save them as CSV UTF-8.</t>
  </si>
  <si>
    <t>Sheets</t>
  </si>
  <si>
    <t>Read_Me</t>
  </si>
  <si>
    <t>This page.</t>
  </si>
  <si>
    <t>Cases</t>
  </si>
  <si>
    <t>Input. One row per case version.</t>
  </si>
  <si>
    <t>Exposures</t>
  </si>
  <si>
    <t>Input. One row per exposure episode; Start, Stop and Restart are timepoints (Episode/START, /STOP, /RESTART).</t>
  </si>
  <si>
    <t>Input. One row per dose, dose change, other administration or infusion rate segment (start, end, rate); dose, BSA and date for Q10.</t>
  </si>
  <si>
    <t>Events</t>
  </si>
  <si>
    <t>Input. One row per event episode; Onset and First detection are timepoints (Episode/ONSET, /DETECTION). Onset precision LAB = laboratory-defined onset.</t>
  </si>
  <si>
    <t>Milestones</t>
  </si>
  <si>
    <t>Input. Tests, organ function, concentrations, interventions, recovery and other dated records.</t>
  </si>
  <si>
    <t>Drug_Event_Links</t>
  </si>
  <si>
    <t>Reviewer. Selected pairs with a reason (no automatic pairing).</t>
  </si>
  <si>
    <t>Derived. One row per link and anchor: value, unit, rule, sequence status, flags, messages, Parameter_Set, assumptions, limitations.</t>
  </si>
  <si>
    <t>Product_Dossier</t>
  </si>
  <si>
    <t>Input. Versioned product statements, timing-statement kind, label discrepancies.</t>
  </si>
  <si>
    <t>Parameter_Register</t>
  </si>
  <si>
    <t>Input. Parameters with status, population and source; a readiness check.</t>
  </si>
  <si>
    <t>PK_Exercises</t>
  </si>
  <si>
    <t>Derived. Q1-Q5 and Q7-Q11 with gates, Parameter_Set, assumptions, mandatory text and flags.</t>
  </si>
  <si>
    <t>PD_Profile</t>
  </si>
  <si>
    <t>Reviewer prompts; Q6 teaching demonstration (switch and use required; always I_TEACHING_DEMONSTRATION).</t>
  </si>
  <si>
    <t>Temporal_Profile, Biology_Review, Dechallenge_Rechallenge, Alternatives_Followup, Assessment_QC</t>
  </si>
  <si>
    <t>Reviewer layer. Judgments in words, with rationales and sources.</t>
  </si>
  <si>
    <t>Printable one-case summary (choose the Case_ID in C4).</t>
  </si>
  <si>
    <t>CSV-ready rows for one case version (choose the Case_ID in B4), CALC-SPEC 1.1 Section 8 columns.</t>
  </si>
  <si>
    <t>Examples</t>
  </si>
  <si>
    <t>Fictional teaching cases EX-C01, EX-C04 and EX-C28 checked against their home chapters and the calculator's example cases.</t>
  </si>
  <si>
    <t>All 36 numeric CALC-SPEC 1.1 vectors (V01-V38) recomputed with PASS/FAIL and an overall status; behavioral vectors V12 and V14 for inspection.</t>
  </si>
  <si>
    <t>Timepoints</t>
  </si>
  <si>
    <t>Derived index of every dated record, with ISO 8601 and display forms; use its Record_ID values on Intervals.</t>
  </si>
  <si>
    <t>Flags_Messages</t>
  </si>
  <si>
    <t>Every E-, W- and I-code with its verbatim message (CALC-SPEC 1.1 Section 5); QC_Flags list codes in this order.</t>
  </si>
  <si>
    <t>Lists</t>
  </si>
  <si>
    <t>Validation lists.</t>
  </si>
  <si>
    <t>Conventions</t>
  </si>
  <si>
    <t>Cells</t>
  </si>
  <si>
    <t>Yellow = input (unlocked). Grey = formula (locked). Blue rows at the bottom of a sheet are reserved and locked: they hold the fictional teaching cases and the verification vectors read by the Examples and Verification sheets. Copy them into the yellow rows with a new Case_ID to experiment.</t>
  </si>
  <si>
    <t>Date precision</t>
  </si>
  <si>
    <t>TIMESTAMP: Date, local Time and UTC offset (choose unknown if it is not recorded; C1 then uses local clock times with W_TZ_UNKNOWN). DATE: Date only, Time left blank (a date is never given a time). MONTH: Year and Month, expanded to the first and last day, leap years respected. YEAR: 1 January to 31 December. RANGE: earliest and latest dates as stated, with the source. LAB (event onset only): from the date of the last normal test to the date of the first abnormal test. A single date is never imputed from bounds.</t>
  </si>
  <si>
    <t>Dates and units</t>
  </si>
  <si>
    <t>Dates are displayed as day month year (10 January 2026); ISO 8601 forms are on Timepoints and Intervals. Units are in the column headers. Only the conversions of CALC-SPEC Section 6 are automatic; weeks, months and years are never converted to days. A blank unit gives E_MISSING_INPUT; an unlisted unit E_INVALID_UNIT.</t>
  </si>
  <si>
    <t>Precision and display</t>
  </si>
  <si>
    <t>Value columns hold unrounded results (G1). Displayed values follow CALC-SPEC 1.1 Section 7, as the calculator: whole minutes, hours to 1 decimal, whole calendar days, percentages to 3 significant figures (below 0.0001% in powers of ten, for example 3.41 x 10^-20 %), ratios to 2 decimals, mg and mg/m2 to 1 decimal, the percent of the planned dose (Q9) to 1 decimal, creatinine clearance in whole mL/minute.</t>
  </si>
  <si>
    <t>E-codes block a result: the row shows every E-code that applies and no number. W-codes are shown with the result; I-codes annotate it. QC_Flags lists each code once, E-codes then W-codes then I-codes, in Section 5 order (rule G9). Messages are verbatim from Flags_Messages; no spreadsheet error text is shown (G7).</t>
  </si>
  <si>
    <t>Protection</t>
  </si>
  <si>
    <t>Every sheet is protected without a password (Review &gt; Unprotect Sheet). Filtering is allowed. If you unprotect and change a formula, the Verification sheet no longer documents the workbook you are using.</t>
  </si>
  <si>
    <t>Use the Export sheet (CALC-SPEC 1.1 Section 8): one row per result, export-safe text, Tool_Version, Calculation_Version and Export_Timestamp on every row; save as CSV UTF-8. Check the round trip (V14). Treatment-day numbers and analytical intervals are never written to E2B fields automatically.</t>
  </si>
  <si>
    <t>Implementation decisions (CALC-SPEC 1.1 Section 9: one agreed rule where the tools differed)</t>
  </si>
  <si>
    <t>Choosing C1, C2 or C4</t>
  </si>
  <si>
    <t>Agreed rule (Section 3): the finest rule both records support when the rule is left blank; a coarser rule on request; a finer one is blocked with E_MISSING_INPUT naming the missing precision (V01-V06).</t>
  </si>
  <si>
    <t>C5 last dose before onset</t>
  </si>
  <si>
    <t>Agreed rule (C5 steps 1-4; V07, V33, V34): candidates are the episode's Start and Restart and its DOSE, DOSE_CHANGE and OTHER administrations with an exact date or a timestamp (INFUSION_SEGMENT rows are Q9 rate segments, not candidates). Two timestamps are compared as instants, in UTC when both offsets are known, otherwise on the local clock; otherwise by date. The latest eligible candidate is selected. E_MISSING_INPUT when a position is uncertain, no candidate is eligible, the latest cannot be told apart (a tie), or a partial-date administration could be the last dose; a partial-date administration is never selected.</t>
  </si>
  <si>
    <t>C7 interventions</t>
  </si>
  <si>
    <t>Agreed rule (C7; V28-V30): only INTERVENTION milestones of the case version count, never exposures (a treatment of the event recorded as an exposure is named in Assumptions, not counted). A recorded intervention counts when it can lie between cessation and recovery, ends included: as instants when all three are timestamps (UTC when both offsets of a comparison are known), otherwise by date. An intervention with an invalid or incomplete date blocks; one with no date is noted. The rule shows as C7 (C1), C7 (C2) or C7 (C4).</t>
  </si>
  <si>
    <t>Incomplete gate</t>
  </si>
  <si>
    <t>Agreed rule (Section 4; V36): each blank gate detail (half-life type, population, source; reference time) and each missing Parameter_Status raises E_MISSING_INPUT; the gate is confirmed only when all four confirmations are Yes and nothing is blank, otherwise E_APPLICABILITY_UNCONFIRMED is also raised.</t>
  </si>
  <si>
    <t>Several errors</t>
  </si>
  <si>
    <t>Agreed rule (G9; V35): every E-code that applies to a result's own inputs is listed, in Section 5 order.</t>
  </si>
  <si>
    <t>Q8 for an antibody</t>
  </si>
  <si>
    <t>Agreed rule (Q8; V37): when the molecule is recorded as a monoclonal antibody (column Antibody = Yes), W_BIOLOGIC_MODEL_CAUTION is raised before I_SCENARIO_NOT_CI.</t>
  </si>
  <si>
    <t>Q10 Method B</t>
  </si>
  <si>
    <t>Agreed rule (Q10; V38): first and last are the earliest and latest administration by date; with no date at all, the order entered (stated in Assumptions); some dates missing, or the earliest or latest date shared with different BSAs, blocks with E_MISSING_INPUT. BSA is never calculated.</t>
  </si>
  <si>
    <t>Units and small percentages</t>
  </si>
  <si>
    <t>Agreed rules (G5; Section 7): a blank unit is E_MISSING_INPUT and an unlisted unit E_INVALID_UNIT; percentages below 0.0001% are shown with three significant figures in powers of ten; the Q9 percent of the planned dose has one decimal.</t>
  </si>
  <si>
    <t>Agreed rule (Section 8; V14): the Export sheet carries the Section 8 columns in order, with Tool_Version, Calculation_Version and Export_Timestamp on every row.</t>
  </si>
  <si>
    <t>Laboratory-defined onset</t>
  </si>
  <si>
    <t>Input rule (C4; V31): onset precision LAB on Events, bounded by the date of the last normal test and the date of the first abnormal test (earliest and latest dates when partial). A missing or undated test gives E_MISSING_INPUT; a last normal test after the first abnormal test gives E_REVERSED_BOUNDS.</t>
  </si>
  <si>
    <t>Q6 named uses</t>
  </si>
  <si>
    <t>Q6 (V21, V32): the use is required: replacement or recovery (fraction replaced) or approach to a new level (fraction of the change completed); one formula.</t>
  </si>
  <si>
    <t>Workbook layout choices</t>
  </si>
  <si>
    <t>C1 timestamps are converted to whole minutes (date x 1440 + minutes of the day, minus the UTC offset), so intervals are exact integers. A C4 constraint applies to the anchor bounds and is shown on the same row beside the unconstrained result. C3 and C6 are not applied on C7 rows (as in the calculator, where recovery intervals have no reported timing or treatment day). Q7 accepts days only. With the Q6 switch off, Q6 shows E_APPLICABILITY_UNCONFIRMED. If any Q9 segment or the onset has an unknown offset, local clock times are used with W_TZ_UNKNOWN.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</si>
</sst>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 mmmm\ yyyy"/>
    <numFmt numFmtId="165" formatCode="hh:mm"/>
    <numFmt numFmtId="166" formatCode="yyyy\-mm\-dd\ hh:mm"/>
  </numFmts>
  <fonts count="17" x14ac:knownFonts="1">
    <font>
      <sz val="11"/>
      <color theme="1"/>
      <name val="Aptos Narrow"/>
      <family val="2"/>
      <scheme val="minor"/>
    </font>
    <font>
      <sz val="10"/>
      <color theme="1"/>
      <name val="Calibri"/>
      <family val="2"/>
    </font>
    <font>
      <b/>
      <sz val="10"/>
      <color theme="1"/>
      <name val="Calibri"/>
      <family val="2"/>
    </font>
    <font>
      <b/>
      <sz val="13"/>
      <color theme="1"/>
      <name val="Calibri"/>
      <family val="2"/>
    </font>
    <font>
      <b/>
      <sz val="10"/>
      <color rgb="FFFFFFFF"/>
      <name val="Calibri"/>
      <family val="2"/>
    </font>
    <font>
      <b/>
      <sz val="13"/>
      <color rgb="FF1F3864"/>
      <name val="Calibri"/>
      <family val="2"/>
    </font>
    <font>
      <i/>
      <sz val="10"/>
      <color theme="1"/>
      <name val="Calibri"/>
      <family val="2"/>
    </font>
    <font>
      <b/>
      <i/>
      <sz val="10"/>
      <color theme="1"/>
      <name val="Calibri"/>
      <family val="2"/>
    </font>
    <font>
      <b/>
      <sz val="14"/>
      <color rgb="FF1F3864"/>
      <name val="Calibri"/>
      <family val="2"/>
    </font>
    <font>
      <b/>
      <sz val="12"/>
      <color theme="1"/>
      <name val="Calibri"/>
      <family val="2"/>
    </font>
    <font>
      <b/>
      <sz val="11"/>
      <color rgb="FF1F3864"/>
      <name val="Calibri"/>
      <family val="2"/>
    </font>
    <font>
      <sz val="8"/>
      <color theme="1"/>
      <name val="Calibri"/>
      <family val="2"/>
    </font>
    <font>
      <b/>
      <sz val="8"/>
      <color rgb="FFFFFFFF"/>
      <name val="Calibri"/>
      <family val="2"/>
    </font>
    <font>
      <b/>
      <sz val="18"/>
      <color rgb="FF1F3864"/>
      <name val="Calibri"/>
      <family val="2"/>
    </font>
    <font>
      <b/>
      <sz val="13"/>
      <color rgb="FF9C0006"/>
      <name val="Calibri"/>
      <family val="2"/>
    </font>
    <font>
      <b/>
      <sz val="12"/>
      <color rgb="FF1F3864"/>
      <name val="Calibri"/>
      <family val="2"/>
    </font>
    <font>
      <u/>
      <sz val="11"/>
      <color theme="10"/>
      <name val="Aptos Narrow"/>
      <family val="2"/>
      <scheme val="minor"/>
    </font>
  </fonts>
  <fills count="9">
    <fill>
      <patternFill patternType="none"/>
    </fill>
    <fill>
      <patternFill patternType="gray125"/>
    </fill>
    <fill>
      <patternFill patternType="solid">
        <fgColor rgb="FF595959"/>
        <bgColor indexed="64"/>
      </patternFill>
    </fill>
    <fill>
      <patternFill patternType="solid">
        <fgColor rgb="FF1F4E79"/>
        <bgColor indexed="64"/>
      </patternFill>
    </fill>
    <fill>
      <patternFill patternType="solid">
        <fgColor rgb="FFDDEBF7"/>
        <bgColor indexed="64"/>
      </patternFill>
    </fill>
    <fill>
      <patternFill patternType="solid">
        <fgColor rgb="FFFFF2CC"/>
        <bgColor indexed="64"/>
      </patternFill>
    </fill>
    <fill>
      <patternFill patternType="solid">
        <fgColor rgb="FFF2F2F2"/>
        <bgColor indexed="64"/>
      </patternFill>
    </fill>
    <fill>
      <patternFill patternType="solid">
        <fgColor rgb="FFB4C6E7"/>
        <bgColor indexed="64"/>
      </patternFill>
    </fill>
    <fill>
      <patternFill patternType="solid">
        <fgColor rgb="FFFCE4D6"/>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s>
  <cellStyleXfs count="2">
    <xf numFmtId="0" fontId="0" fillId="0" borderId="0"/>
    <xf numFmtId="0" fontId="16" fillId="0" borderId="0" applyNumberFormat="0" applyFill="0" applyBorder="0" applyAlignment="0" applyProtection="0"/>
  </cellStyleXfs>
  <cellXfs count="80">
    <xf numFmtId="0" fontId="0" fillId="0" borderId="0" xfId="0"/>
    <xf numFmtId="0" fontId="1" fillId="0" borderId="0" xfId="0" applyFont="1"/>
    <xf numFmtId="0" fontId="2" fillId="0" borderId="0" xfId="0" applyFont="1"/>
    <xf numFmtId="0" fontId="3" fillId="0" borderId="0" xfId="0" applyFont="1"/>
    <xf numFmtId="49" fontId="1" fillId="0" borderId="0" xfId="0" applyNumberFormat="1" applyFont="1"/>
    <xf numFmtId="0" fontId="4" fillId="2" borderId="0" xfId="0" applyFont="1" applyFill="1"/>
    <xf numFmtId="0" fontId="5" fillId="0" borderId="0" xfId="0" applyFont="1"/>
    <xf numFmtId="0" fontId="6" fillId="0" borderId="0" xfId="0" applyFont="1"/>
    <xf numFmtId="0" fontId="4" fillId="3" borderId="0" xfId="0" applyFont="1" applyFill="1" applyAlignment="1">
      <alignment vertical="top" wrapText="1"/>
    </xf>
    <xf numFmtId="49" fontId="1" fillId="4" borderId="0" xfId="0" applyNumberFormat="1" applyFont="1" applyFill="1" applyProtection="1"/>
    <xf numFmtId="49" fontId="1" fillId="5" borderId="0" xfId="0" applyNumberFormat="1" applyFont="1" applyFill="1" applyProtection="1">
      <protection locked="0"/>
    </xf>
    <xf numFmtId="1" fontId="1" fillId="4" borderId="0" xfId="0" applyNumberFormat="1" applyFont="1" applyFill="1" applyProtection="1"/>
    <xf numFmtId="1" fontId="1" fillId="5" borderId="0" xfId="0" applyNumberFormat="1" applyFont="1" applyFill="1" applyProtection="1">
      <protection locked="0"/>
    </xf>
    <xf numFmtId="164" fontId="1" fillId="0" borderId="0" xfId="0" applyNumberFormat="1" applyFont="1"/>
    <xf numFmtId="164" fontId="1" fillId="4" borderId="0" xfId="0" applyNumberFormat="1" applyFont="1" applyFill="1" applyProtection="1"/>
    <xf numFmtId="164" fontId="1" fillId="5" borderId="0" xfId="0" applyNumberFormat="1" applyFont="1" applyFill="1" applyProtection="1">
      <protection locked="0"/>
    </xf>
    <xf numFmtId="0" fontId="1" fillId="4" borderId="0" xfId="0" applyFont="1" applyFill="1" applyProtection="1"/>
    <xf numFmtId="0" fontId="1" fillId="5" borderId="0" xfId="0" applyFont="1" applyFill="1" applyProtection="1">
      <protection locked="0"/>
    </xf>
    <xf numFmtId="0" fontId="4" fillId="2" borderId="0" xfId="0" applyFont="1" applyFill="1" applyAlignment="1">
      <alignment wrapText="1"/>
    </xf>
    <xf numFmtId="0" fontId="4" fillId="2" borderId="0" xfId="0" applyFont="1" applyFill="1" applyAlignment="1">
      <alignment vertical="top" wrapText="1"/>
    </xf>
    <xf numFmtId="0" fontId="1" fillId="6" borderId="0" xfId="0" applyFont="1" applyFill="1"/>
    <xf numFmtId="0" fontId="1" fillId="6" borderId="0" xfId="0" applyFont="1" applyFill="1" applyProtection="1"/>
    <xf numFmtId="1" fontId="1" fillId="6" borderId="0" xfId="0" applyNumberFormat="1" applyFont="1" applyFill="1" applyProtection="1"/>
    <xf numFmtId="49" fontId="1" fillId="7" borderId="0" xfId="0" applyNumberFormat="1" applyFont="1" applyFill="1" applyProtection="1"/>
    <xf numFmtId="49" fontId="7" fillId="7" borderId="0" xfId="0" applyNumberFormat="1" applyFont="1" applyFill="1" applyProtection="1"/>
    <xf numFmtId="165" fontId="1" fillId="4" borderId="0" xfId="0" applyNumberFormat="1" applyFont="1" applyFill="1" applyProtection="1"/>
    <xf numFmtId="165" fontId="1" fillId="5" borderId="0" xfId="0" applyNumberFormat="1" applyFont="1" applyFill="1" applyProtection="1">
      <protection locked="0"/>
    </xf>
    <xf numFmtId="164" fontId="1" fillId="6" borderId="0" xfId="0" applyNumberFormat="1" applyFont="1" applyFill="1"/>
    <xf numFmtId="164" fontId="1" fillId="6" borderId="0" xfId="0" applyNumberFormat="1" applyFont="1" applyFill="1" applyProtection="1"/>
    <xf numFmtId="164" fontId="1" fillId="4" borderId="0" xfId="0" quotePrefix="1" applyNumberFormat="1" applyFont="1" applyFill="1" applyProtection="1"/>
    <xf numFmtId="0" fontId="8" fillId="0" borderId="0" xfId="0" applyFont="1"/>
    <xf numFmtId="0" fontId="1" fillId="0" borderId="0" xfId="0" applyFont="1" applyAlignment="1">
      <alignment wrapText="1"/>
    </xf>
    <xf numFmtId="0" fontId="9" fillId="0" borderId="0" xfId="0" applyFont="1"/>
    <xf numFmtId="15" fontId="1" fillId="0" borderId="0" xfId="0" applyNumberFormat="1" applyFont="1"/>
    <xf numFmtId="11" fontId="1" fillId="0" borderId="0" xfId="0" applyNumberFormat="1" applyFont="1"/>
    <xf numFmtId="0" fontId="1" fillId="0" borderId="0" xfId="0" applyFont="1" applyAlignment="1">
      <alignment vertical="top"/>
    </xf>
    <xf numFmtId="0" fontId="1" fillId="0" borderId="0" xfId="0" applyFont="1" applyAlignment="1">
      <alignment vertical="top" wrapText="1"/>
    </xf>
    <xf numFmtId="0" fontId="1" fillId="0" borderId="0" xfId="0" applyNumberFormat="1" applyFont="1"/>
    <xf numFmtId="0" fontId="1" fillId="0" borderId="0" xfId="0" applyFont="1" applyAlignment="1">
      <alignment vertical="top" wrapText="1"/>
    </xf>
    <xf numFmtId="0" fontId="2" fillId="0" borderId="0" xfId="0" applyFont="1" applyAlignment="1">
      <alignment horizontal="right"/>
    </xf>
    <xf numFmtId="49" fontId="1" fillId="5" borderId="1" xfId="0" applyNumberFormat="1" applyFont="1" applyFill="1" applyBorder="1" applyProtection="1">
      <protection locked="0"/>
    </xf>
    <xf numFmtId="1" fontId="1" fillId="5" borderId="1" xfId="0" applyNumberFormat="1" applyFont="1" applyFill="1" applyBorder="1" applyProtection="1">
      <protection locked="0"/>
    </xf>
    <xf numFmtId="166" fontId="1" fillId="5" borderId="1" xfId="0" applyNumberFormat="1" applyFont="1" applyFill="1" applyBorder="1" applyProtection="1">
      <protection locked="0"/>
    </xf>
    <xf numFmtId="0" fontId="2" fillId="0" borderId="0" xfId="0" applyFont="1" applyAlignment="1">
      <alignment vertical="top"/>
    </xf>
    <xf numFmtId="0" fontId="1" fillId="0" borderId="0" xfId="0" applyFont="1" applyProtection="1"/>
    <xf numFmtId="0" fontId="8" fillId="0" borderId="0" xfId="0" applyFont="1" applyProtection="1"/>
    <xf numFmtId="0" fontId="6" fillId="0" borderId="0" xfId="0" applyFont="1" applyProtection="1"/>
    <xf numFmtId="0" fontId="2" fillId="0" borderId="0" xfId="0" applyFont="1" applyProtection="1"/>
    <xf numFmtId="164" fontId="1" fillId="0" borderId="0" xfId="0" applyNumberFormat="1" applyFont="1" applyAlignment="1" applyProtection="1">
      <alignment horizontal="left"/>
    </xf>
    <xf numFmtId="0" fontId="1" fillId="0" borderId="0" xfId="0" applyFont="1" applyProtection="1"/>
    <xf numFmtId="0" fontId="1" fillId="0" borderId="0" xfId="0" applyFont="1" applyAlignment="1" applyProtection="1">
      <alignment horizontal="left"/>
    </xf>
    <xf numFmtId="0" fontId="2" fillId="0" borderId="0" xfId="0" applyFont="1" applyAlignment="1" applyProtection="1">
      <alignment vertical="top"/>
    </xf>
    <xf numFmtId="0" fontId="1" fillId="0" borderId="0" xfId="0" applyFont="1" applyAlignment="1" applyProtection="1">
      <alignment vertical="top" wrapText="1"/>
    </xf>
    <xf numFmtId="0" fontId="10" fillId="0" borderId="2" xfId="0" applyFont="1" applyBorder="1" applyProtection="1"/>
    <xf numFmtId="0" fontId="1" fillId="0" borderId="2" xfId="0" applyFont="1" applyBorder="1" applyProtection="1"/>
    <xf numFmtId="0" fontId="12" fillId="2" borderId="0" xfId="0" applyFont="1" applyFill="1" applyProtection="1"/>
    <xf numFmtId="0" fontId="11" fillId="0" borderId="4" xfId="0" applyFont="1" applyBorder="1" applyAlignment="1" applyProtection="1">
      <alignment vertical="top"/>
    </xf>
    <xf numFmtId="0" fontId="11" fillId="0" borderId="5" xfId="0" applyFont="1" applyBorder="1" applyAlignment="1" applyProtection="1">
      <alignment vertical="top"/>
    </xf>
    <xf numFmtId="0" fontId="11" fillId="0" borderId="6" xfId="0" applyFont="1" applyBorder="1" applyAlignment="1" applyProtection="1">
      <alignment vertical="top"/>
    </xf>
    <xf numFmtId="0" fontId="11" fillId="2" borderId="0" xfId="0" applyFont="1" applyFill="1" applyProtection="1"/>
    <xf numFmtId="0" fontId="11" fillId="0" borderId="4" xfId="0" applyFont="1" applyBorder="1" applyAlignment="1" applyProtection="1">
      <alignment vertical="top"/>
    </xf>
    <xf numFmtId="0" fontId="11" fillId="0" borderId="5" xfId="0" applyFont="1" applyBorder="1" applyAlignment="1" applyProtection="1">
      <alignment vertical="top"/>
    </xf>
    <xf numFmtId="0" fontId="11" fillId="0" borderId="6" xfId="0" applyFont="1" applyBorder="1" applyAlignment="1" applyProtection="1">
      <alignment vertical="top"/>
    </xf>
    <xf numFmtId="0" fontId="11" fillId="0" borderId="4" xfId="0" applyFont="1" applyBorder="1" applyAlignment="1" applyProtection="1">
      <alignment vertical="top" wrapText="1"/>
    </xf>
    <xf numFmtId="0" fontId="11" fillId="0" borderId="5" xfId="0" applyFont="1" applyBorder="1" applyAlignment="1" applyProtection="1">
      <alignment vertical="top" wrapText="1"/>
    </xf>
    <xf numFmtId="0" fontId="11" fillId="0" borderId="6" xfId="0" applyFont="1" applyBorder="1" applyAlignment="1" applyProtection="1">
      <alignment vertical="top" wrapText="1"/>
    </xf>
    <xf numFmtId="0" fontId="11" fillId="0" borderId="4" xfId="0" applyFont="1" applyBorder="1" applyAlignment="1" applyProtection="1">
      <alignment vertical="top" wrapText="1"/>
    </xf>
    <xf numFmtId="0" fontId="11" fillId="0" borderId="5" xfId="0" applyFont="1" applyBorder="1" applyAlignment="1" applyProtection="1">
      <alignment vertical="top" wrapText="1"/>
    </xf>
    <xf numFmtId="0" fontId="11" fillId="0" borderId="6" xfId="0" applyFont="1" applyBorder="1" applyAlignment="1" applyProtection="1">
      <alignment vertical="top" wrapText="1"/>
    </xf>
    <xf numFmtId="0" fontId="1" fillId="0" borderId="3" xfId="0" applyFont="1" applyBorder="1" applyAlignment="1" applyProtection="1">
      <alignment vertical="top" wrapText="1"/>
    </xf>
    <xf numFmtId="0" fontId="6" fillId="0" borderId="0" xfId="0" applyFont="1" applyProtection="1"/>
    <xf numFmtId="0" fontId="2" fillId="0" borderId="0" xfId="0" applyFont="1" applyAlignment="1">
      <alignment vertical="top" wrapText="1"/>
    </xf>
    <xf numFmtId="0" fontId="13" fillId="0" borderId="0" xfId="0" applyFont="1" applyAlignment="1">
      <alignment vertical="top"/>
    </xf>
    <xf numFmtId="0" fontId="3" fillId="0" borderId="0" xfId="0" applyFont="1" applyAlignment="1">
      <alignment vertical="top"/>
    </xf>
    <xf numFmtId="0" fontId="14" fillId="8" borderId="0" xfId="0" applyFont="1" applyFill="1" applyAlignment="1">
      <alignment vertical="top"/>
    </xf>
    <xf numFmtId="0" fontId="1" fillId="8" borderId="0" xfId="0" applyFont="1" applyFill="1" applyAlignment="1">
      <alignment vertical="top"/>
    </xf>
    <xf numFmtId="0" fontId="2" fillId="8" borderId="0" xfId="0" applyFont="1" applyFill="1" applyAlignment="1">
      <alignment vertical="top" wrapText="1"/>
    </xf>
    <xf numFmtId="0" fontId="1" fillId="8" borderId="0" xfId="0" applyFont="1" applyFill="1" applyAlignment="1">
      <alignment vertical="top" wrapText="1"/>
    </xf>
    <xf numFmtId="0" fontId="15" fillId="0" borderId="0" xfId="0" applyFont="1" applyAlignment="1">
      <alignment vertical="top"/>
    </xf>
    <xf numFmtId="0" fontId="16" fillId="0" borderId="0" xfId="1" applyAlignment="1">
      <alignment vertical="top" wrapText="1"/>
    </xf>
  </cellXfs>
  <cellStyles count="2">
    <cellStyle name="Hyperlink" xfId="1" builtinId="8"/>
    <cellStyle name="Normal" xfId="0" builtinId="0"/>
  </cellStyles>
  <dxfs count="6">
    <dxf>
      <fill>
        <patternFill>
          <bgColor rgb="FFFFC7CE"/>
        </patternFill>
      </fill>
    </dxf>
    <dxf>
      <fill>
        <patternFill>
          <bgColor rgb="FFC6EFCE"/>
        </patternFill>
      </fill>
    </dxf>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bdu94-hash/tto-companion-tools" TargetMode="External"/></Relationships>
</file>

<file path=xl/worksheets/_rels/sheet18.xml.rels><?xml version="1.0" encoding="UTF-8" standalone="yes"?>
<Relationships xmlns="http://schemas.openxmlformats.org/package/2006/relationships"></Relationships>
</file>

<file path=xl/worksheets/_rels/sheet20.xml.rels><?xml version="1.0" encoding="UTF-8" standalone="yes"?>
<Relationships xmlns="http://schemas.openxmlformats.org/package/2006/relationships"></Relationships>
</file>

<file path=xl/worksheets/_rels/sheet21.xml.rels><?xml version="1.0" encoding="UTF-8" standalone="yes"?>
<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2347-2B2C-4391-ACC6-6168B8A62ABE}">
  <sheetPr>
    <pageSetUpPr fitToPage="1"/>
  </sheetPr>
  <dimension ref="B1:C71"/>
  <sheetViews>
    <sheetView tabSelected="1" zoomScale="90" zoomScaleNormal="90" workbookViewId="0"/>
  </sheetViews>
  <sheetFormatPr defaultRowHeight="12.75" x14ac:dyDescent="0.2"/>
  <cols>
    <col min="1" max="1" width="3.7109375" style="1" customWidth="1"/>
    <col min="2" max="2" width="24.7109375" style="1" customWidth="1"/>
    <col min="3" max="3" width="110.7109375" style="1" customWidth="1"/>
    <col min="4" max="16384" width="9.140625" style="1"/>
  </cols>
  <sheetData>
    <row r="1" spans="2:3" ht="23.25" x14ac:dyDescent="0.2">
      <c r="B1" s="72" t="s">
        <v>2488</v>
      </c>
      <c r="C1" s="35"/>
    </row>
    <row r="2" spans="2:3" ht="17.25" x14ac:dyDescent="0.2">
      <c r="B2" s="73" t="s">
        <v>2489</v>
      </c>
      <c r="C2" s="35"/>
    </row>
    <row r="3" spans="2:3" ht="27.95" customHeight="1" x14ac:dyDescent="0.2">
      <c r="B3" s="38" t="s">
        <v>2490</v>
      </c>
      <c r="C3" s="38"/>
    </row>
    <row r="4" spans="2:3" x14ac:dyDescent="0.2">
      <c r="B4" s="35"/>
      <c r="C4" s="35"/>
    </row>
    <row r="5" spans="2:3" ht="17.25" x14ac:dyDescent="0.2">
      <c r="B5" s="74" t="s">
        <v>2491</v>
      </c>
      <c r="C5" s="75"/>
    </row>
    <row r="6" spans="2:3" ht="57.95" customHeight="1" x14ac:dyDescent="0.2">
      <c r="B6" s="76" t="s">
        <v>2492</v>
      </c>
      <c r="C6" s="77"/>
    </row>
    <row r="7" spans="2:3" ht="57.95" customHeight="1" x14ac:dyDescent="0.2">
      <c r="B7" s="76" t="s">
        <v>2493</v>
      </c>
      <c r="C7" s="77"/>
    </row>
    <row r="8" spans="2:3" x14ac:dyDescent="0.2">
      <c r="B8" s="35"/>
      <c r="C8" s="35"/>
    </row>
    <row r="9" spans="2:3" ht="25.5" x14ac:dyDescent="0.2">
      <c r="B9" s="71" t="s">
        <v>1628</v>
      </c>
      <c r="C9" s="36" t="s">
        <v>2494</v>
      </c>
    </row>
    <row r="10" spans="2:3" x14ac:dyDescent="0.2">
      <c r="B10" s="71" t="s">
        <v>2495</v>
      </c>
      <c r="C10" s="36" t="s">
        <v>2496</v>
      </c>
    </row>
    <row r="11" spans="2:3" ht="30" x14ac:dyDescent="0.2">
      <c r="B11" s="71" t="s">
        <v>2497</v>
      </c>
      <c r="C11" s="79" t="s">
        <v>2498</v>
      </c>
    </row>
    <row r="12" spans="2:3" x14ac:dyDescent="0.2">
      <c r="B12" s="43" t="s">
        <v>2499</v>
      </c>
      <c r="C12" s="43" t="str">
        <f>nVER_Overall</f>
        <v>PASS: all 36 numeric vectors reproduce within the JSON tolerance</v>
      </c>
    </row>
    <row r="13" spans="2:3" x14ac:dyDescent="0.2">
      <c r="B13" s="43" t="s">
        <v>2500</v>
      </c>
      <c r="C13" s="43" t="str">
        <f>nEX_Status</f>
        <v>MATCH: all 90 example checks reproduce the home chapters' numbers</v>
      </c>
    </row>
    <row r="14" spans="2:3" ht="63.75" x14ac:dyDescent="0.2">
      <c r="B14" s="71" t="s">
        <v>2501</v>
      </c>
      <c r="C14" s="36" t="s">
        <v>2502</v>
      </c>
    </row>
    <row r="15" spans="2:3" ht="51" x14ac:dyDescent="0.2">
      <c r="B15" s="71" t="s">
        <v>2503</v>
      </c>
      <c r="C15" s="36" t="s">
        <v>2504</v>
      </c>
    </row>
    <row r="16" spans="2:3" x14ac:dyDescent="0.2">
      <c r="B16" s="35"/>
      <c r="C16" s="35"/>
    </row>
    <row r="17" spans="2:3" ht="15.75" x14ac:dyDescent="0.2">
      <c r="B17" s="78" t="s">
        <v>2505</v>
      </c>
      <c r="C17" s="35"/>
    </row>
    <row r="18" spans="2:3" x14ac:dyDescent="0.2">
      <c r="B18" s="71" t="s">
        <v>2506</v>
      </c>
      <c r="C18" s="36" t="s">
        <v>2507</v>
      </c>
    </row>
    <row r="19" spans="2:3" ht="51" x14ac:dyDescent="0.2">
      <c r="B19" s="71" t="s">
        <v>2508</v>
      </c>
      <c r="C19" s="36" t="s">
        <v>2509</v>
      </c>
    </row>
    <row r="20" spans="2:3" x14ac:dyDescent="0.2">
      <c r="B20" s="71" t="s">
        <v>2510</v>
      </c>
      <c r="C20" s="36" t="s">
        <v>2511</v>
      </c>
    </row>
    <row r="21" spans="2:3" ht="51" x14ac:dyDescent="0.2">
      <c r="B21" s="71" t="s">
        <v>2512</v>
      </c>
      <c r="C21" s="36" t="s">
        <v>2513</v>
      </c>
    </row>
    <row r="22" spans="2:3" ht="25.5" x14ac:dyDescent="0.2">
      <c r="B22" s="71" t="s">
        <v>2514</v>
      </c>
      <c r="C22" s="36" t="s">
        <v>2515</v>
      </c>
    </row>
    <row r="23" spans="2:3" ht="63.75" x14ac:dyDescent="0.2">
      <c r="B23" s="71" t="s">
        <v>2516</v>
      </c>
      <c r="C23" s="36" t="s">
        <v>2517</v>
      </c>
    </row>
    <row r="24" spans="2:3" ht="25.5" x14ac:dyDescent="0.2">
      <c r="B24" s="71" t="s">
        <v>2518</v>
      </c>
      <c r="C24" s="36" t="s">
        <v>2519</v>
      </c>
    </row>
    <row r="25" spans="2:3" ht="51" x14ac:dyDescent="0.2">
      <c r="B25" s="71" t="s">
        <v>2520</v>
      </c>
      <c r="C25" s="36" t="s">
        <v>2521</v>
      </c>
    </row>
    <row r="26" spans="2:3" x14ac:dyDescent="0.2">
      <c r="B26" s="35"/>
      <c r="C26" s="35"/>
    </row>
    <row r="27" spans="2:3" ht="15.75" x14ac:dyDescent="0.2">
      <c r="B27" s="78" t="s">
        <v>2522</v>
      </c>
      <c r="C27" s="35"/>
    </row>
    <row r="28" spans="2:3" x14ac:dyDescent="0.2">
      <c r="B28" s="71" t="s">
        <v>2523</v>
      </c>
      <c r="C28" s="36" t="s">
        <v>2524</v>
      </c>
    </row>
    <row r="29" spans="2:3" x14ac:dyDescent="0.2">
      <c r="B29" s="71" t="s">
        <v>2525</v>
      </c>
      <c r="C29" s="36" t="s">
        <v>2526</v>
      </c>
    </row>
    <row r="30" spans="2:3" x14ac:dyDescent="0.2">
      <c r="B30" s="71" t="s">
        <v>2527</v>
      </c>
      <c r="C30" s="36" t="s">
        <v>2528</v>
      </c>
    </row>
    <row r="31" spans="2:3" x14ac:dyDescent="0.2">
      <c r="B31" s="71" t="s">
        <v>1438</v>
      </c>
      <c r="C31" s="36" t="s">
        <v>2529</v>
      </c>
    </row>
    <row r="32" spans="2:3" ht="25.5" x14ac:dyDescent="0.2">
      <c r="B32" s="71" t="s">
        <v>2530</v>
      </c>
      <c r="C32" s="36" t="s">
        <v>2531</v>
      </c>
    </row>
    <row r="33" spans="2:3" x14ac:dyDescent="0.2">
      <c r="B33" s="71" t="s">
        <v>2532</v>
      </c>
      <c r="C33" s="36" t="s">
        <v>2533</v>
      </c>
    </row>
    <row r="34" spans="2:3" x14ac:dyDescent="0.2">
      <c r="B34" s="71" t="s">
        <v>2534</v>
      </c>
      <c r="C34" s="36" t="s">
        <v>2535</v>
      </c>
    </row>
    <row r="35" spans="2:3" x14ac:dyDescent="0.2">
      <c r="B35" s="71" t="s">
        <v>2066</v>
      </c>
      <c r="C35" s="36" t="s">
        <v>2536</v>
      </c>
    </row>
    <row r="36" spans="2:3" x14ac:dyDescent="0.2">
      <c r="B36" s="71" t="s">
        <v>2537</v>
      </c>
      <c r="C36" s="36" t="s">
        <v>2538</v>
      </c>
    </row>
    <row r="37" spans="2:3" x14ac:dyDescent="0.2">
      <c r="B37" s="71" t="s">
        <v>2539</v>
      </c>
      <c r="C37" s="36" t="s">
        <v>2540</v>
      </c>
    </row>
    <row r="38" spans="2:3" x14ac:dyDescent="0.2">
      <c r="B38" s="71" t="s">
        <v>2541</v>
      </c>
      <c r="C38" s="36" t="s">
        <v>2542</v>
      </c>
    </row>
    <row r="39" spans="2:3" x14ac:dyDescent="0.2">
      <c r="B39" s="71" t="s">
        <v>2543</v>
      </c>
      <c r="C39" s="36" t="s">
        <v>2544</v>
      </c>
    </row>
    <row r="40" spans="2:3" ht="63.75" x14ac:dyDescent="0.2">
      <c r="B40" s="71" t="s">
        <v>2545</v>
      </c>
      <c r="C40" s="36" t="s">
        <v>2546</v>
      </c>
    </row>
    <row r="41" spans="2:3" x14ac:dyDescent="0.2">
      <c r="B41" s="71" t="s">
        <v>287</v>
      </c>
      <c r="C41" s="36" t="s">
        <v>2547</v>
      </c>
    </row>
    <row r="42" spans="2:3" x14ac:dyDescent="0.2">
      <c r="B42" s="71" t="s">
        <v>2104</v>
      </c>
      <c r="C42" s="36" t="s">
        <v>2548</v>
      </c>
    </row>
    <row r="43" spans="2:3" x14ac:dyDescent="0.2">
      <c r="B43" s="71" t="s">
        <v>2549</v>
      </c>
      <c r="C43" s="36" t="s">
        <v>2550</v>
      </c>
    </row>
    <row r="44" spans="2:3" ht="25.5" x14ac:dyDescent="0.2">
      <c r="B44" s="71" t="s">
        <v>2486</v>
      </c>
      <c r="C44" s="36" t="s">
        <v>2551</v>
      </c>
    </row>
    <row r="45" spans="2:3" x14ac:dyDescent="0.2">
      <c r="B45" s="71" t="s">
        <v>2552</v>
      </c>
      <c r="C45" s="36" t="s">
        <v>2553</v>
      </c>
    </row>
    <row r="46" spans="2:3" x14ac:dyDescent="0.2">
      <c r="B46" s="71" t="s">
        <v>2554</v>
      </c>
      <c r="C46" s="36" t="s">
        <v>2555</v>
      </c>
    </row>
    <row r="47" spans="2:3" x14ac:dyDescent="0.2">
      <c r="B47" s="71" t="s">
        <v>2556</v>
      </c>
      <c r="C47" s="36" t="s">
        <v>2557</v>
      </c>
    </row>
    <row r="48" spans="2:3" x14ac:dyDescent="0.2">
      <c r="B48" s="35"/>
      <c r="C48" s="35"/>
    </row>
    <row r="49" spans="2:3" ht="15.75" x14ac:dyDescent="0.2">
      <c r="B49" s="78" t="s">
        <v>2558</v>
      </c>
      <c r="C49" s="35"/>
    </row>
    <row r="50" spans="2:3" ht="38.25" x14ac:dyDescent="0.2">
      <c r="B50" s="71" t="s">
        <v>2559</v>
      </c>
      <c r="C50" s="36" t="s">
        <v>2560</v>
      </c>
    </row>
    <row r="51" spans="2:3" ht="51" x14ac:dyDescent="0.2">
      <c r="B51" s="71" t="s">
        <v>2561</v>
      </c>
      <c r="C51" s="36" t="s">
        <v>2562</v>
      </c>
    </row>
    <row r="52" spans="2:3" ht="38.25" x14ac:dyDescent="0.2">
      <c r="B52" s="71" t="s">
        <v>2563</v>
      </c>
      <c r="C52" s="36" t="s">
        <v>2564</v>
      </c>
    </row>
    <row r="53" spans="2:3" ht="51" x14ac:dyDescent="0.2">
      <c r="B53" s="71" t="s">
        <v>2565</v>
      </c>
      <c r="C53" s="36" t="s">
        <v>2566</v>
      </c>
    </row>
    <row r="54" spans="2:3" ht="38.25" x14ac:dyDescent="0.2">
      <c r="B54" s="71" t="s">
        <v>2196</v>
      </c>
      <c r="C54" s="36" t="s">
        <v>2567</v>
      </c>
    </row>
    <row r="55" spans="2:3" ht="25.5" x14ac:dyDescent="0.2">
      <c r="B55" s="71" t="s">
        <v>2568</v>
      </c>
      <c r="C55" s="36" t="s">
        <v>2569</v>
      </c>
    </row>
    <row r="56" spans="2:3" ht="38.25" x14ac:dyDescent="0.2">
      <c r="B56" s="71" t="s">
        <v>2104</v>
      </c>
      <c r="C56" s="36" t="s">
        <v>2570</v>
      </c>
    </row>
    <row r="57" spans="2:3" x14ac:dyDescent="0.2">
      <c r="B57" s="35"/>
      <c r="C57" s="35"/>
    </row>
    <row r="58" spans="2:3" ht="15.75" x14ac:dyDescent="0.2">
      <c r="B58" s="78" t="s">
        <v>2571</v>
      </c>
      <c r="C58" s="35"/>
    </row>
    <row r="59" spans="2:3" ht="25.5" x14ac:dyDescent="0.2">
      <c r="B59" s="71" t="s">
        <v>2572</v>
      </c>
      <c r="C59" s="36" t="s">
        <v>2573</v>
      </c>
    </row>
    <row r="60" spans="2:3" ht="63.75" x14ac:dyDescent="0.2">
      <c r="B60" s="71" t="s">
        <v>2574</v>
      </c>
      <c r="C60" s="36" t="s">
        <v>2575</v>
      </c>
    </row>
    <row r="61" spans="2:3" ht="51" x14ac:dyDescent="0.2">
      <c r="B61" s="71" t="s">
        <v>2576</v>
      </c>
      <c r="C61" s="36" t="s">
        <v>2577</v>
      </c>
    </row>
    <row r="62" spans="2:3" ht="38.25" x14ac:dyDescent="0.2">
      <c r="B62" s="71" t="s">
        <v>2578</v>
      </c>
      <c r="C62" s="36" t="s">
        <v>2579</v>
      </c>
    </row>
    <row r="63" spans="2:3" x14ac:dyDescent="0.2">
      <c r="B63" s="71" t="s">
        <v>2580</v>
      </c>
      <c r="C63" s="36" t="s">
        <v>2581</v>
      </c>
    </row>
    <row r="64" spans="2:3" ht="25.5" x14ac:dyDescent="0.2">
      <c r="B64" s="71" t="s">
        <v>2582</v>
      </c>
      <c r="C64" s="36" t="s">
        <v>2583</v>
      </c>
    </row>
    <row r="65" spans="2:3" ht="38.25" x14ac:dyDescent="0.2">
      <c r="B65" s="71" t="s">
        <v>2584</v>
      </c>
      <c r="C65" s="36" t="s">
        <v>2585</v>
      </c>
    </row>
    <row r="66" spans="2:3" ht="25.5" x14ac:dyDescent="0.2">
      <c r="B66" s="71" t="s">
        <v>2586</v>
      </c>
      <c r="C66" s="36" t="s">
        <v>2587</v>
      </c>
    </row>
    <row r="67" spans="2:3" ht="25.5" x14ac:dyDescent="0.2">
      <c r="B67" s="71" t="s">
        <v>2104</v>
      </c>
      <c r="C67" s="36" t="s">
        <v>2588</v>
      </c>
    </row>
    <row r="68" spans="2:3" ht="38.25" x14ac:dyDescent="0.2">
      <c r="B68" s="71" t="s">
        <v>2589</v>
      </c>
      <c r="C68" s="36" t="s">
        <v>2590</v>
      </c>
    </row>
    <row r="69" spans="2:3" ht="25.5" x14ac:dyDescent="0.2">
      <c r="B69" s="71" t="s">
        <v>2591</v>
      </c>
      <c r="C69" s="36" t="s">
        <v>2592</v>
      </c>
    </row>
    <row r="70" spans="2:3" ht="63.75" x14ac:dyDescent="0.2">
      <c r="B70" s="71" t="s">
        <v>2593</v>
      </c>
      <c r="C70" s="36" t="s">
        <v>2594</v>
      </c>
    </row>
    <row r="71" spans="2:3" x14ac:dyDescent="0.2">
      <c r="B71" s="35"/>
      <c r="C71" s="35"/>
    </row>
  </sheetData>
  <sheetProtection sheet="1" objects="1" scenarios="1" formatColumns="0" formatRows="0" autoFilter="0"/>
  <mergeCells count="4">
    <mergeCell ref="B3:C3"/>
    <mergeCell ref="B5:C5"/>
    <mergeCell ref="B6:C6"/>
    <mergeCell ref="B7:C7"/>
  </mergeCells>
  <hyperlinks>
    <hyperlink ref="C11" r:id="rId1" xr:uid="{5ABC03E1-99B4-4E8D-9590-77A5A595C35C}"/>
  </hyperlinks>
  <pageMargins left="0.7" right="0.7" top="0.75" bottom="0.75" header="0.3" footer="0.3"/>
  <pageSetup paperSize="1" scale="19" fitToHeight="0" orientation="landscape" horizontalDpi="0" verticalDpi="0"/>
  <headerFooter>
    <oddFooter>&amp;LTTO Companion Tools v1.1 (CALC-SPEC 1.1) - educational tool; not validated for regulated use; not a dosing tool; never assigns causality&amp;RPage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53C91-D631-4FB5-A089-9BB1F24F97F2}">
  <dimension ref="A1:M67"/>
  <sheetViews>
    <sheetView zoomScale="90" zoomScaleNormal="90" workbookViewId="0">
      <pane xSplit="2" ySplit="4" topLeftCell="C5" activePane="bottomRight" state="frozenSplit"/>
      <selection pane="topRight" activeCell="C1" sqref="C1"/>
      <selection pane="bottomLeft" activeCell="A5" sqref="A5"/>
      <selection pane="bottomRight"/>
    </sheetView>
  </sheetViews>
  <sheetFormatPr defaultRowHeight="12.75" x14ac:dyDescent="0.2"/>
  <cols>
    <col min="1" max="1" width="11.7109375" style="1" customWidth="1"/>
    <col min="2" max="2" width="8.7109375" style="1" customWidth="1"/>
    <col min="3" max="3" width="15.7109375" style="1" customWidth="1"/>
    <col min="4" max="4" width="24.7109375" style="1" customWidth="1"/>
    <col min="5" max="5" width="14.7109375" style="1" customWidth="1"/>
    <col min="6" max="6" width="15.7109375" style="1" customWidth="1"/>
    <col min="7" max="7" width="10.7109375" style="1" customWidth="1"/>
    <col min="8" max="9" width="50.7109375" style="1" customWidth="1"/>
    <col min="10" max="10" width="12.7109375" style="1" customWidth="1"/>
    <col min="11" max="11" width="6.7109375" style="1" customWidth="1"/>
    <col min="12" max="12" width="14.7109375" style="1" customWidth="1"/>
    <col min="13" max="13" width="40.7109375" style="1" customWidth="1"/>
    <col min="14" max="16384" width="9.140625" style="1"/>
  </cols>
  <sheetData>
    <row r="1" spans="1:13" ht="17.25" x14ac:dyDescent="0.3">
      <c r="A1" s="6" t="s">
        <v>277</v>
      </c>
    </row>
    <row r="2" spans="1:13" x14ac:dyDescent="0.2">
      <c r="A2" s="7" t="s">
        <v>278</v>
      </c>
    </row>
    <row r="3" spans="1:13" x14ac:dyDescent="0.2">
      <c r="A3" s="2" t="s">
        <v>279</v>
      </c>
      <c r="J3" s="2" t="s">
        <v>289</v>
      </c>
    </row>
    <row r="4" spans="1:13" ht="66" customHeight="1" x14ac:dyDescent="0.2">
      <c r="A4" s="8" t="s">
        <v>280</v>
      </c>
      <c r="B4" s="8" t="s">
        <v>281</v>
      </c>
      <c r="C4" s="8" t="s">
        <v>282</v>
      </c>
      <c r="D4" s="8" t="s">
        <v>283</v>
      </c>
      <c r="E4" s="8" t="s">
        <v>284</v>
      </c>
      <c r="F4" s="8" t="s">
        <v>285</v>
      </c>
      <c r="G4" s="8" t="s">
        <v>286</v>
      </c>
      <c r="H4" s="8" t="s">
        <v>287</v>
      </c>
      <c r="I4" s="8" t="s">
        <v>288</v>
      </c>
      <c r="J4" s="19" t="s">
        <v>290</v>
      </c>
      <c r="K4" s="19" t="s">
        <v>291</v>
      </c>
      <c r="L4" s="19" t="s">
        <v>292</v>
      </c>
      <c r="M4" s="19" t="s">
        <v>293</v>
      </c>
    </row>
    <row r="5" spans="1:13" x14ac:dyDescent="0.2">
      <c r="A5" s="10"/>
      <c r="B5" s="12"/>
      <c r="C5" s="15"/>
      <c r="D5" s="10"/>
      <c r="E5" s="10"/>
      <c r="F5" s="15"/>
      <c r="G5" s="17"/>
      <c r="H5" s="10"/>
      <c r="I5" s="10"/>
      <c r="J5" s="21" t="str">
        <f t="shared" ref="J5:J24" si="0">IF(A5="","",A5&amp;"|"&amp;B5)</f>
        <v/>
      </c>
      <c r="K5" s="22">
        <f>IF(J5="",0,COUNTIF(nCASE_Key,J5))</f>
        <v>0</v>
      </c>
      <c r="L5" s="21" t="str">
        <f t="shared" ref="L5:L24" si="1">IF(J5="","",IF(B5="","E_MISSING_INPUT",IF(K5&gt;1,"E_DUPLICATE_ID","")))</f>
        <v/>
      </c>
      <c r="M5" s="21" t="str">
        <f>IF(L5="","",L5&amp;": "&amp;SUBSTITUTE(IFERROR(INDEX(nMSG_Text,MATCH(L5,nMSG_Code,0)),""),"[input]","a Case_Version"))</f>
        <v/>
      </c>
    </row>
    <row r="6" spans="1:13" x14ac:dyDescent="0.2">
      <c r="A6" s="10"/>
      <c r="B6" s="12"/>
      <c r="C6" s="15"/>
      <c r="D6" s="10"/>
      <c r="E6" s="10"/>
      <c r="F6" s="15"/>
      <c r="G6" s="17"/>
      <c r="H6" s="10"/>
      <c r="I6" s="10"/>
      <c r="J6" s="21" t="str">
        <f t="shared" si="0"/>
        <v/>
      </c>
      <c r="K6" s="22">
        <f>IF(J6="",0,COUNTIF(nCASE_Key,J6))</f>
        <v>0</v>
      </c>
      <c r="L6" s="21" t="str">
        <f t="shared" si="1"/>
        <v/>
      </c>
      <c r="M6" s="21" t="str">
        <f>IF(L6="","",L6&amp;": "&amp;SUBSTITUTE(IFERROR(INDEX(nMSG_Text,MATCH(L6,nMSG_Code,0)),""),"[input]","a Case_Version"))</f>
        <v/>
      </c>
    </row>
    <row r="7" spans="1:13" x14ac:dyDescent="0.2">
      <c r="A7" s="10"/>
      <c r="B7" s="12"/>
      <c r="C7" s="15"/>
      <c r="D7" s="10"/>
      <c r="E7" s="10"/>
      <c r="F7" s="15"/>
      <c r="G7" s="17"/>
      <c r="H7" s="10"/>
      <c r="I7" s="10"/>
      <c r="J7" s="21" t="str">
        <f t="shared" si="0"/>
        <v/>
      </c>
      <c r="K7" s="22">
        <f>IF(J7="",0,COUNTIF(nCASE_Key,J7))</f>
        <v>0</v>
      </c>
      <c r="L7" s="21" t="str">
        <f t="shared" si="1"/>
        <v/>
      </c>
      <c r="M7" s="21" t="str">
        <f>IF(L7="","",L7&amp;": "&amp;SUBSTITUTE(IFERROR(INDEX(nMSG_Text,MATCH(L7,nMSG_Code,0)),""),"[input]","a Case_Version"))</f>
        <v/>
      </c>
    </row>
    <row r="8" spans="1:13" x14ac:dyDescent="0.2">
      <c r="A8" s="10"/>
      <c r="B8" s="12"/>
      <c r="C8" s="15"/>
      <c r="D8" s="10"/>
      <c r="E8" s="10"/>
      <c r="F8" s="15"/>
      <c r="G8" s="17"/>
      <c r="H8" s="10"/>
      <c r="I8" s="10"/>
      <c r="J8" s="21" t="str">
        <f t="shared" si="0"/>
        <v/>
      </c>
      <c r="K8" s="22">
        <f>IF(J8="",0,COUNTIF(nCASE_Key,J8))</f>
        <v>0</v>
      </c>
      <c r="L8" s="21" t="str">
        <f t="shared" si="1"/>
        <v/>
      </c>
      <c r="M8" s="21" t="str">
        <f>IF(L8="","",L8&amp;": "&amp;SUBSTITUTE(IFERROR(INDEX(nMSG_Text,MATCH(L8,nMSG_Code,0)),""),"[input]","a Case_Version"))</f>
        <v/>
      </c>
    </row>
    <row r="9" spans="1:13" x14ac:dyDescent="0.2">
      <c r="A9" s="10"/>
      <c r="B9" s="12"/>
      <c r="C9" s="15"/>
      <c r="D9" s="10"/>
      <c r="E9" s="10"/>
      <c r="F9" s="15"/>
      <c r="G9" s="17"/>
      <c r="H9" s="10"/>
      <c r="I9" s="10"/>
      <c r="J9" s="21" t="str">
        <f t="shared" si="0"/>
        <v/>
      </c>
      <c r="K9" s="22">
        <f>IF(J9="",0,COUNTIF(nCASE_Key,J9))</f>
        <v>0</v>
      </c>
      <c r="L9" s="21" t="str">
        <f t="shared" si="1"/>
        <v/>
      </c>
      <c r="M9" s="21" t="str">
        <f>IF(L9="","",L9&amp;": "&amp;SUBSTITUTE(IFERROR(INDEX(nMSG_Text,MATCH(L9,nMSG_Code,0)),""),"[input]","a Case_Version"))</f>
        <v/>
      </c>
    </row>
    <row r="10" spans="1:13" x14ac:dyDescent="0.2">
      <c r="A10" s="10"/>
      <c r="B10" s="12"/>
      <c r="C10" s="15"/>
      <c r="D10" s="10"/>
      <c r="E10" s="10"/>
      <c r="F10" s="15"/>
      <c r="G10" s="17"/>
      <c r="H10" s="10"/>
      <c r="I10" s="10"/>
      <c r="J10" s="21" t="str">
        <f t="shared" si="0"/>
        <v/>
      </c>
      <c r="K10" s="22">
        <f>IF(J10="",0,COUNTIF(nCASE_Key,J10))</f>
        <v>0</v>
      </c>
      <c r="L10" s="21" t="str">
        <f t="shared" si="1"/>
        <v/>
      </c>
      <c r="M10" s="21" t="str">
        <f>IF(L10="","",L10&amp;": "&amp;SUBSTITUTE(IFERROR(INDEX(nMSG_Text,MATCH(L10,nMSG_Code,0)),""),"[input]","a Case_Version"))</f>
        <v/>
      </c>
    </row>
    <row r="11" spans="1:13" x14ac:dyDescent="0.2">
      <c r="A11" s="10"/>
      <c r="B11" s="12"/>
      <c r="C11" s="15"/>
      <c r="D11" s="10"/>
      <c r="E11" s="10"/>
      <c r="F11" s="15"/>
      <c r="G11" s="17"/>
      <c r="H11" s="10"/>
      <c r="I11" s="10"/>
      <c r="J11" s="21" t="str">
        <f t="shared" si="0"/>
        <v/>
      </c>
      <c r="K11" s="22">
        <f>IF(J11="",0,COUNTIF(nCASE_Key,J11))</f>
        <v>0</v>
      </c>
      <c r="L11" s="21" t="str">
        <f t="shared" si="1"/>
        <v/>
      </c>
      <c r="M11" s="21" t="str">
        <f>IF(L11="","",L11&amp;": "&amp;SUBSTITUTE(IFERROR(INDEX(nMSG_Text,MATCH(L11,nMSG_Code,0)),""),"[input]","a Case_Version"))</f>
        <v/>
      </c>
    </row>
    <row r="12" spans="1:13" x14ac:dyDescent="0.2">
      <c r="A12" s="10"/>
      <c r="B12" s="12"/>
      <c r="C12" s="15"/>
      <c r="D12" s="10"/>
      <c r="E12" s="10"/>
      <c r="F12" s="15"/>
      <c r="G12" s="17"/>
      <c r="H12" s="10"/>
      <c r="I12" s="10"/>
      <c r="J12" s="21" t="str">
        <f t="shared" si="0"/>
        <v/>
      </c>
      <c r="K12" s="22">
        <f>IF(J12="",0,COUNTIF(nCASE_Key,J12))</f>
        <v>0</v>
      </c>
      <c r="L12" s="21" t="str">
        <f t="shared" si="1"/>
        <v/>
      </c>
      <c r="M12" s="21" t="str">
        <f>IF(L12="","",L12&amp;": "&amp;SUBSTITUTE(IFERROR(INDEX(nMSG_Text,MATCH(L12,nMSG_Code,0)),""),"[input]","a Case_Version"))</f>
        <v/>
      </c>
    </row>
    <row r="13" spans="1:13" x14ac:dyDescent="0.2">
      <c r="A13" s="10"/>
      <c r="B13" s="12"/>
      <c r="C13" s="15"/>
      <c r="D13" s="10"/>
      <c r="E13" s="10"/>
      <c r="F13" s="15"/>
      <c r="G13" s="17"/>
      <c r="H13" s="10"/>
      <c r="I13" s="10"/>
      <c r="J13" s="21" t="str">
        <f t="shared" si="0"/>
        <v/>
      </c>
      <c r="K13" s="22">
        <f>IF(J13="",0,COUNTIF(nCASE_Key,J13))</f>
        <v>0</v>
      </c>
      <c r="L13" s="21" t="str">
        <f t="shared" si="1"/>
        <v/>
      </c>
      <c r="M13" s="21" t="str">
        <f>IF(L13="","",L13&amp;": "&amp;SUBSTITUTE(IFERROR(INDEX(nMSG_Text,MATCH(L13,nMSG_Code,0)),""),"[input]","a Case_Version"))</f>
        <v/>
      </c>
    </row>
    <row r="14" spans="1:13" x14ac:dyDescent="0.2">
      <c r="A14" s="10"/>
      <c r="B14" s="12"/>
      <c r="C14" s="15"/>
      <c r="D14" s="10"/>
      <c r="E14" s="10"/>
      <c r="F14" s="15"/>
      <c r="G14" s="17"/>
      <c r="H14" s="10"/>
      <c r="I14" s="10"/>
      <c r="J14" s="21" t="str">
        <f t="shared" si="0"/>
        <v/>
      </c>
      <c r="K14" s="22">
        <f>IF(J14="",0,COUNTIF(nCASE_Key,J14))</f>
        <v>0</v>
      </c>
      <c r="L14" s="21" t="str">
        <f t="shared" si="1"/>
        <v/>
      </c>
      <c r="M14" s="21" t="str">
        <f>IF(L14="","",L14&amp;": "&amp;SUBSTITUTE(IFERROR(INDEX(nMSG_Text,MATCH(L14,nMSG_Code,0)),""),"[input]","a Case_Version"))</f>
        <v/>
      </c>
    </row>
    <row r="15" spans="1:13" x14ac:dyDescent="0.2">
      <c r="A15" s="10"/>
      <c r="B15" s="12"/>
      <c r="C15" s="15"/>
      <c r="D15" s="10"/>
      <c r="E15" s="10"/>
      <c r="F15" s="15"/>
      <c r="G15" s="17"/>
      <c r="H15" s="10"/>
      <c r="I15" s="10"/>
      <c r="J15" s="21" t="str">
        <f t="shared" si="0"/>
        <v/>
      </c>
      <c r="K15" s="22">
        <f>IF(J15="",0,COUNTIF(nCASE_Key,J15))</f>
        <v>0</v>
      </c>
      <c r="L15" s="21" t="str">
        <f t="shared" si="1"/>
        <v/>
      </c>
      <c r="M15" s="21" t="str">
        <f>IF(L15="","",L15&amp;": "&amp;SUBSTITUTE(IFERROR(INDEX(nMSG_Text,MATCH(L15,nMSG_Code,0)),""),"[input]","a Case_Version"))</f>
        <v/>
      </c>
    </row>
    <row r="16" spans="1:13" x14ac:dyDescent="0.2">
      <c r="A16" s="10"/>
      <c r="B16" s="12"/>
      <c r="C16" s="15"/>
      <c r="D16" s="10"/>
      <c r="E16" s="10"/>
      <c r="F16" s="15"/>
      <c r="G16" s="17"/>
      <c r="H16" s="10"/>
      <c r="I16" s="10"/>
      <c r="J16" s="21" t="str">
        <f t="shared" si="0"/>
        <v/>
      </c>
      <c r="K16" s="22">
        <f>IF(J16="",0,COUNTIF(nCASE_Key,J16))</f>
        <v>0</v>
      </c>
      <c r="L16" s="21" t="str">
        <f t="shared" si="1"/>
        <v/>
      </c>
      <c r="M16" s="21" t="str">
        <f>IF(L16="","",L16&amp;": "&amp;SUBSTITUTE(IFERROR(INDEX(nMSG_Text,MATCH(L16,nMSG_Code,0)),""),"[input]","a Case_Version"))</f>
        <v/>
      </c>
    </row>
    <row r="17" spans="1:13" x14ac:dyDescent="0.2">
      <c r="A17" s="10"/>
      <c r="B17" s="12"/>
      <c r="C17" s="15"/>
      <c r="D17" s="10"/>
      <c r="E17" s="10"/>
      <c r="F17" s="15"/>
      <c r="G17" s="17"/>
      <c r="H17" s="10"/>
      <c r="I17" s="10"/>
      <c r="J17" s="21" t="str">
        <f t="shared" si="0"/>
        <v/>
      </c>
      <c r="K17" s="22">
        <f>IF(J17="",0,COUNTIF(nCASE_Key,J17))</f>
        <v>0</v>
      </c>
      <c r="L17" s="21" t="str">
        <f t="shared" si="1"/>
        <v/>
      </c>
      <c r="M17" s="21" t="str">
        <f>IF(L17="","",L17&amp;": "&amp;SUBSTITUTE(IFERROR(INDEX(nMSG_Text,MATCH(L17,nMSG_Code,0)),""),"[input]","a Case_Version"))</f>
        <v/>
      </c>
    </row>
    <row r="18" spans="1:13" x14ac:dyDescent="0.2">
      <c r="A18" s="10"/>
      <c r="B18" s="12"/>
      <c r="C18" s="15"/>
      <c r="D18" s="10"/>
      <c r="E18" s="10"/>
      <c r="F18" s="15"/>
      <c r="G18" s="17"/>
      <c r="H18" s="10"/>
      <c r="I18" s="10"/>
      <c r="J18" s="21" t="str">
        <f t="shared" si="0"/>
        <v/>
      </c>
      <c r="K18" s="22">
        <f>IF(J18="",0,COUNTIF(nCASE_Key,J18))</f>
        <v>0</v>
      </c>
      <c r="L18" s="21" t="str">
        <f t="shared" si="1"/>
        <v/>
      </c>
      <c r="M18" s="21" t="str">
        <f>IF(L18="","",L18&amp;": "&amp;SUBSTITUTE(IFERROR(INDEX(nMSG_Text,MATCH(L18,nMSG_Code,0)),""),"[input]","a Case_Version"))</f>
        <v/>
      </c>
    </row>
    <row r="19" spans="1:13" x14ac:dyDescent="0.2">
      <c r="A19" s="10"/>
      <c r="B19" s="12"/>
      <c r="C19" s="15"/>
      <c r="D19" s="10"/>
      <c r="E19" s="10"/>
      <c r="F19" s="15"/>
      <c r="G19" s="17"/>
      <c r="H19" s="10"/>
      <c r="I19" s="10"/>
      <c r="J19" s="21" t="str">
        <f t="shared" si="0"/>
        <v/>
      </c>
      <c r="K19" s="22">
        <f>IF(J19="",0,COUNTIF(nCASE_Key,J19))</f>
        <v>0</v>
      </c>
      <c r="L19" s="21" t="str">
        <f t="shared" si="1"/>
        <v/>
      </c>
      <c r="M19" s="21" t="str">
        <f>IF(L19="","",L19&amp;": "&amp;SUBSTITUTE(IFERROR(INDEX(nMSG_Text,MATCH(L19,nMSG_Code,0)),""),"[input]","a Case_Version"))</f>
        <v/>
      </c>
    </row>
    <row r="20" spans="1:13" x14ac:dyDescent="0.2">
      <c r="A20" s="10"/>
      <c r="B20" s="12"/>
      <c r="C20" s="15"/>
      <c r="D20" s="10"/>
      <c r="E20" s="10"/>
      <c r="F20" s="15"/>
      <c r="G20" s="17"/>
      <c r="H20" s="10"/>
      <c r="I20" s="10"/>
      <c r="J20" s="21" t="str">
        <f t="shared" si="0"/>
        <v/>
      </c>
      <c r="K20" s="22">
        <f>IF(J20="",0,COUNTIF(nCASE_Key,J20))</f>
        <v>0</v>
      </c>
      <c r="L20" s="21" t="str">
        <f t="shared" si="1"/>
        <v/>
      </c>
      <c r="M20" s="21" t="str">
        <f>IF(L20="","",L20&amp;": "&amp;SUBSTITUTE(IFERROR(INDEX(nMSG_Text,MATCH(L20,nMSG_Code,0)),""),"[input]","a Case_Version"))</f>
        <v/>
      </c>
    </row>
    <row r="21" spans="1:13" x14ac:dyDescent="0.2">
      <c r="A21" s="10"/>
      <c r="B21" s="12"/>
      <c r="C21" s="15"/>
      <c r="D21" s="10"/>
      <c r="E21" s="10"/>
      <c r="F21" s="15"/>
      <c r="G21" s="17"/>
      <c r="H21" s="10"/>
      <c r="I21" s="10"/>
      <c r="J21" s="21" t="str">
        <f t="shared" si="0"/>
        <v/>
      </c>
      <c r="K21" s="22">
        <f>IF(J21="",0,COUNTIF(nCASE_Key,J21))</f>
        <v>0</v>
      </c>
      <c r="L21" s="21" t="str">
        <f t="shared" si="1"/>
        <v/>
      </c>
      <c r="M21" s="21" t="str">
        <f>IF(L21="","",L21&amp;": "&amp;SUBSTITUTE(IFERROR(INDEX(nMSG_Text,MATCH(L21,nMSG_Code,0)),""),"[input]","a Case_Version"))</f>
        <v/>
      </c>
    </row>
    <row r="22" spans="1:13" x14ac:dyDescent="0.2">
      <c r="A22" s="10"/>
      <c r="B22" s="12"/>
      <c r="C22" s="15"/>
      <c r="D22" s="10"/>
      <c r="E22" s="10"/>
      <c r="F22" s="15"/>
      <c r="G22" s="17"/>
      <c r="H22" s="10"/>
      <c r="I22" s="10"/>
      <c r="J22" s="21" t="str">
        <f t="shared" si="0"/>
        <v/>
      </c>
      <c r="K22" s="22">
        <f>IF(J22="",0,COUNTIF(nCASE_Key,J22))</f>
        <v>0</v>
      </c>
      <c r="L22" s="21" t="str">
        <f t="shared" si="1"/>
        <v/>
      </c>
      <c r="M22" s="21" t="str">
        <f>IF(L22="","",L22&amp;": "&amp;SUBSTITUTE(IFERROR(INDEX(nMSG_Text,MATCH(L22,nMSG_Code,0)),""),"[input]","a Case_Version"))</f>
        <v/>
      </c>
    </row>
    <row r="23" spans="1:13" x14ac:dyDescent="0.2">
      <c r="A23" s="10"/>
      <c r="B23" s="12"/>
      <c r="C23" s="15"/>
      <c r="D23" s="10"/>
      <c r="E23" s="10"/>
      <c r="F23" s="15"/>
      <c r="G23" s="17"/>
      <c r="H23" s="10"/>
      <c r="I23" s="10"/>
      <c r="J23" s="21" t="str">
        <f t="shared" si="0"/>
        <v/>
      </c>
      <c r="K23" s="22">
        <f>IF(J23="",0,COUNTIF(nCASE_Key,J23))</f>
        <v>0</v>
      </c>
      <c r="L23" s="21" t="str">
        <f t="shared" si="1"/>
        <v/>
      </c>
      <c r="M23" s="21" t="str">
        <f>IF(L23="","",L23&amp;": "&amp;SUBSTITUTE(IFERROR(INDEX(nMSG_Text,MATCH(L23,nMSG_Code,0)),""),"[input]","a Case_Version"))</f>
        <v/>
      </c>
    </row>
    <row r="24" spans="1:13" x14ac:dyDescent="0.2">
      <c r="A24" s="10"/>
      <c r="B24" s="12"/>
      <c r="C24" s="15"/>
      <c r="D24" s="10"/>
      <c r="E24" s="10"/>
      <c r="F24" s="15"/>
      <c r="G24" s="17"/>
      <c r="H24" s="10"/>
      <c r="I24" s="10"/>
      <c r="J24" s="21" t="str">
        <f t="shared" si="0"/>
        <v/>
      </c>
      <c r="K24" s="22">
        <f>IF(J24="",0,COUNTIF(nCASE_Key,J24))</f>
        <v>0</v>
      </c>
      <c r="L24" s="21" t="str">
        <f t="shared" si="1"/>
        <v/>
      </c>
      <c r="M24" s="21" t="str">
        <f>IF(L24="","",L24&amp;": "&amp;SUBSTITUTE(IFERROR(INDEX(nMSG_Text,MATCH(L24,nMSG_Code,0)),""),"[input]","a Case_Version"))</f>
        <v/>
      </c>
    </row>
    <row r="25" spans="1:13" x14ac:dyDescent="0.2">
      <c r="A25" s="24" t="s">
        <v>294</v>
      </c>
      <c r="B25" s="23"/>
      <c r="C25" s="23"/>
      <c r="D25" s="23"/>
      <c r="E25" s="23"/>
      <c r="F25" s="23"/>
      <c r="G25" s="23"/>
      <c r="H25" s="23"/>
      <c r="I25" s="23"/>
      <c r="J25" s="23"/>
      <c r="K25" s="23"/>
      <c r="L25" s="23"/>
      <c r="M25" s="23"/>
    </row>
    <row r="26" spans="1:13" x14ac:dyDescent="0.2">
      <c r="A26" s="9" t="s">
        <v>297</v>
      </c>
      <c r="B26" s="11">
        <v>2</v>
      </c>
      <c r="C26" s="14">
        <v>46036</v>
      </c>
      <c r="D26" s="9" t="s">
        <v>298</v>
      </c>
      <c r="E26" s="9"/>
      <c r="F26" s="14"/>
      <c r="G26" s="16" t="s">
        <v>85</v>
      </c>
      <c r="H26" s="9" t="s">
        <v>299</v>
      </c>
      <c r="I26" s="9" t="s">
        <v>296</v>
      </c>
      <c r="J26" s="21" t="str">
        <f t="shared" ref="J26:J28" si="2">IF(A26="","",A26&amp;"|"&amp;B26)</f>
        <v>EX-C01|2</v>
      </c>
      <c r="K26" s="22">
        <f>IF(J26="",0,COUNTIF(nCASE_Key,J26))</f>
        <v>1</v>
      </c>
      <c r="L26" s="21" t="str">
        <f t="shared" ref="L26:L28" si="3">IF(J26="","",IF(B26="","E_MISSING_INPUT",IF(K26&gt;1,"E_DUPLICATE_ID","")))</f>
        <v/>
      </c>
      <c r="M26" s="21" t="str">
        <f>IF(L26="","",L26&amp;": "&amp;SUBSTITUTE(IFERROR(INDEX(nMSG_Text,MATCH(L26,nMSG_Code,0)),""),"[input]","a Case_Version"))</f>
        <v/>
      </c>
    </row>
    <row r="27" spans="1:13" x14ac:dyDescent="0.2">
      <c r="A27" s="9" t="s">
        <v>301</v>
      </c>
      <c r="B27" s="11">
        <v>2</v>
      </c>
      <c r="C27" s="14">
        <v>46223</v>
      </c>
      <c r="D27" s="9" t="s">
        <v>302</v>
      </c>
      <c r="E27" s="9"/>
      <c r="F27" s="14"/>
      <c r="G27" s="16" t="s">
        <v>85</v>
      </c>
      <c r="H27" s="9" t="s">
        <v>303</v>
      </c>
      <c r="I27" s="9" t="s">
        <v>300</v>
      </c>
      <c r="J27" s="21" t="str">
        <f t="shared" si="2"/>
        <v>EX-C04|2</v>
      </c>
      <c r="K27" s="22">
        <f>IF(J27="",0,COUNTIF(nCASE_Key,J27))</f>
        <v>1</v>
      </c>
      <c r="L27" s="21" t="str">
        <f t="shared" si="3"/>
        <v/>
      </c>
      <c r="M27" s="21" t="str">
        <f>IF(L27="","",L27&amp;": "&amp;SUBSTITUTE(IFERROR(INDEX(nMSG_Text,MATCH(L27,nMSG_Code,0)),""),"[input]","a Case_Version"))</f>
        <v/>
      </c>
    </row>
    <row r="28" spans="1:13" x14ac:dyDescent="0.2">
      <c r="A28" s="9" t="s">
        <v>305</v>
      </c>
      <c r="B28" s="11">
        <v>2</v>
      </c>
      <c r="C28" s="14">
        <v>46188</v>
      </c>
      <c r="D28" s="9" t="s">
        <v>306</v>
      </c>
      <c r="E28" s="9"/>
      <c r="F28" s="14"/>
      <c r="G28" s="16" t="s">
        <v>85</v>
      </c>
      <c r="H28" s="9" t="s">
        <v>307</v>
      </c>
      <c r="I28" s="9" t="s">
        <v>304</v>
      </c>
      <c r="J28" s="21" t="str">
        <f t="shared" si="2"/>
        <v>EX-C28|2</v>
      </c>
      <c r="K28" s="22">
        <f>IF(J28="",0,COUNTIF(nCASE_Key,J28))</f>
        <v>1</v>
      </c>
      <c r="L28" s="21" t="str">
        <f t="shared" si="3"/>
        <v/>
      </c>
      <c r="M28" s="21" t="str">
        <f>IF(L28="","",L28&amp;": "&amp;SUBSTITUTE(IFERROR(INDEX(nMSG_Text,MATCH(L28,nMSG_Code,0)),""),"[input]","a Case_Version"))</f>
        <v/>
      </c>
    </row>
    <row r="29" spans="1:13" x14ac:dyDescent="0.2">
      <c r="A29" s="24" t="s">
        <v>295</v>
      </c>
      <c r="B29" s="23"/>
      <c r="C29" s="23"/>
      <c r="D29" s="23"/>
      <c r="E29" s="23"/>
      <c r="F29" s="23"/>
      <c r="G29" s="23"/>
      <c r="H29" s="23"/>
      <c r="I29" s="23"/>
      <c r="J29" s="23"/>
      <c r="K29" s="23"/>
      <c r="L29" s="23"/>
      <c r="M29" s="23"/>
    </row>
    <row r="30" spans="1:13" x14ac:dyDescent="0.2">
      <c r="A30" s="9" t="s">
        <v>308</v>
      </c>
      <c r="B30" s="11">
        <v>1</v>
      </c>
      <c r="C30" s="14"/>
      <c r="D30" s="9"/>
      <c r="E30" s="9"/>
      <c r="F30" s="14"/>
      <c r="G30" s="16" t="s">
        <v>85</v>
      </c>
      <c r="H30" s="9" t="s">
        <v>309</v>
      </c>
      <c r="I30" s="9" t="s">
        <v>310</v>
      </c>
      <c r="J30" s="21" t="str">
        <f t="shared" ref="J30:J67" si="4">IF(A30="","",A30&amp;"|"&amp;B30)</f>
        <v>VEC-V01|1</v>
      </c>
      <c r="K30" s="22">
        <f>IF(J30="",0,COUNTIF(nCASE_Key,J30))</f>
        <v>1</v>
      </c>
      <c r="L30" s="21" t="str">
        <f t="shared" ref="L30:L67" si="5">IF(J30="","",IF(B30="","E_MISSING_INPUT",IF(K30&gt;1,"E_DUPLICATE_ID","")))</f>
        <v/>
      </c>
      <c r="M30" s="21" t="str">
        <f>IF(L30="","",L30&amp;": "&amp;SUBSTITUTE(IFERROR(INDEX(nMSG_Text,MATCH(L30,nMSG_Code,0)),""),"[input]","a Case_Version"))</f>
        <v/>
      </c>
    </row>
    <row r="31" spans="1:13" x14ac:dyDescent="0.2">
      <c r="A31" s="9" t="s">
        <v>311</v>
      </c>
      <c r="B31" s="11">
        <v>1</v>
      </c>
      <c r="C31" s="14"/>
      <c r="D31" s="9"/>
      <c r="E31" s="9"/>
      <c r="F31" s="14"/>
      <c r="G31" s="16" t="s">
        <v>85</v>
      </c>
      <c r="H31" s="9" t="s">
        <v>312</v>
      </c>
      <c r="I31" s="9" t="s">
        <v>310</v>
      </c>
      <c r="J31" s="21" t="str">
        <f t="shared" si="4"/>
        <v>VEC-V02|1</v>
      </c>
      <c r="K31" s="22">
        <f>IF(J31="",0,COUNTIF(nCASE_Key,J31))</f>
        <v>1</v>
      </c>
      <c r="L31" s="21" t="str">
        <f t="shared" si="5"/>
        <v/>
      </c>
      <c r="M31" s="21" t="str">
        <f>IF(L31="","",L31&amp;": "&amp;SUBSTITUTE(IFERROR(INDEX(nMSG_Text,MATCH(L31,nMSG_Code,0)),""),"[input]","a Case_Version"))</f>
        <v/>
      </c>
    </row>
    <row r="32" spans="1:13" x14ac:dyDescent="0.2">
      <c r="A32" s="9" t="s">
        <v>313</v>
      </c>
      <c r="B32" s="11">
        <v>1</v>
      </c>
      <c r="C32" s="14"/>
      <c r="D32" s="9"/>
      <c r="E32" s="9"/>
      <c r="F32" s="14"/>
      <c r="G32" s="16" t="s">
        <v>85</v>
      </c>
      <c r="H32" s="9" t="s">
        <v>314</v>
      </c>
      <c r="I32" s="9" t="s">
        <v>310</v>
      </c>
      <c r="J32" s="21" t="str">
        <f t="shared" si="4"/>
        <v>VEC-V03|1</v>
      </c>
      <c r="K32" s="22">
        <f>IF(J32="",0,COUNTIF(nCASE_Key,J32))</f>
        <v>1</v>
      </c>
      <c r="L32" s="21" t="str">
        <f t="shared" si="5"/>
        <v/>
      </c>
      <c r="M32" s="21" t="str">
        <f>IF(L32="","",L32&amp;": "&amp;SUBSTITUTE(IFERROR(INDEX(nMSG_Text,MATCH(L32,nMSG_Code,0)),""),"[input]","a Case_Version"))</f>
        <v/>
      </c>
    </row>
    <row r="33" spans="1:13" x14ac:dyDescent="0.2">
      <c r="A33" s="9" t="s">
        <v>315</v>
      </c>
      <c r="B33" s="11">
        <v>1</v>
      </c>
      <c r="C33" s="14"/>
      <c r="D33" s="9"/>
      <c r="E33" s="9"/>
      <c r="F33" s="14"/>
      <c r="G33" s="16" t="s">
        <v>85</v>
      </c>
      <c r="H33" s="9" t="s">
        <v>316</v>
      </c>
      <c r="I33" s="9" t="s">
        <v>310</v>
      </c>
      <c r="J33" s="21" t="str">
        <f t="shared" si="4"/>
        <v>VEC-V04|1</v>
      </c>
      <c r="K33" s="22">
        <f>IF(J33="",0,COUNTIF(nCASE_Key,J33))</f>
        <v>1</v>
      </c>
      <c r="L33" s="21" t="str">
        <f t="shared" si="5"/>
        <v/>
      </c>
      <c r="M33" s="21" t="str">
        <f>IF(L33="","",L33&amp;": "&amp;SUBSTITUTE(IFERROR(INDEX(nMSG_Text,MATCH(L33,nMSG_Code,0)),""),"[input]","a Case_Version"))</f>
        <v/>
      </c>
    </row>
    <row r="34" spans="1:13" x14ac:dyDescent="0.2">
      <c r="A34" s="9" t="s">
        <v>317</v>
      </c>
      <c r="B34" s="11">
        <v>1</v>
      </c>
      <c r="C34" s="14"/>
      <c r="D34" s="9"/>
      <c r="E34" s="9"/>
      <c r="F34" s="14"/>
      <c r="G34" s="16" t="s">
        <v>85</v>
      </c>
      <c r="H34" s="9" t="s">
        <v>318</v>
      </c>
      <c r="I34" s="9" t="s">
        <v>310</v>
      </c>
      <c r="J34" s="21" t="str">
        <f t="shared" si="4"/>
        <v>VEC-V05|1</v>
      </c>
      <c r="K34" s="22">
        <f>IF(J34="",0,COUNTIF(nCASE_Key,J34))</f>
        <v>1</v>
      </c>
      <c r="L34" s="21" t="str">
        <f t="shared" si="5"/>
        <v/>
      </c>
      <c r="M34" s="21" t="str">
        <f>IF(L34="","",L34&amp;": "&amp;SUBSTITUTE(IFERROR(INDEX(nMSG_Text,MATCH(L34,nMSG_Code,0)),""),"[input]","a Case_Version"))</f>
        <v/>
      </c>
    </row>
    <row r="35" spans="1:13" x14ac:dyDescent="0.2">
      <c r="A35" s="9" t="s">
        <v>319</v>
      </c>
      <c r="B35" s="11">
        <v>1</v>
      </c>
      <c r="C35" s="14"/>
      <c r="D35" s="9"/>
      <c r="E35" s="9"/>
      <c r="F35" s="14"/>
      <c r="G35" s="16" t="s">
        <v>85</v>
      </c>
      <c r="H35" s="9" t="s">
        <v>320</v>
      </c>
      <c r="I35" s="9" t="s">
        <v>310</v>
      </c>
      <c r="J35" s="21" t="str">
        <f t="shared" si="4"/>
        <v>VEC-V06|1</v>
      </c>
      <c r="K35" s="22">
        <f>IF(J35="",0,COUNTIF(nCASE_Key,J35))</f>
        <v>1</v>
      </c>
      <c r="L35" s="21" t="str">
        <f t="shared" si="5"/>
        <v/>
      </c>
      <c r="M35" s="21" t="str">
        <f>IF(L35="","",L35&amp;": "&amp;SUBSTITUTE(IFERROR(INDEX(nMSG_Text,MATCH(L35,nMSG_Code,0)),""),"[input]","a Case_Version"))</f>
        <v/>
      </c>
    </row>
    <row r="36" spans="1:13" x14ac:dyDescent="0.2">
      <c r="A36" s="9" t="s">
        <v>321</v>
      </c>
      <c r="B36" s="11">
        <v>1</v>
      </c>
      <c r="C36" s="14"/>
      <c r="D36" s="9"/>
      <c r="E36" s="9"/>
      <c r="F36" s="14"/>
      <c r="G36" s="16" t="s">
        <v>85</v>
      </c>
      <c r="H36" s="9" t="s">
        <v>322</v>
      </c>
      <c r="I36" s="9" t="s">
        <v>310</v>
      </c>
      <c r="J36" s="21" t="str">
        <f t="shared" si="4"/>
        <v>VEC-V07|1</v>
      </c>
      <c r="K36" s="22">
        <f>IF(J36="",0,COUNTIF(nCASE_Key,J36))</f>
        <v>1</v>
      </c>
      <c r="L36" s="21" t="str">
        <f t="shared" si="5"/>
        <v/>
      </c>
      <c r="M36" s="21" t="str">
        <f>IF(L36="","",L36&amp;": "&amp;SUBSTITUTE(IFERROR(INDEX(nMSG_Text,MATCH(L36,nMSG_Code,0)),""),"[input]","a Case_Version"))</f>
        <v/>
      </c>
    </row>
    <row r="37" spans="1:13" x14ac:dyDescent="0.2">
      <c r="A37" s="9" t="s">
        <v>323</v>
      </c>
      <c r="B37" s="11">
        <v>1</v>
      </c>
      <c r="C37" s="14"/>
      <c r="D37" s="9"/>
      <c r="E37" s="9"/>
      <c r="F37" s="14"/>
      <c r="G37" s="16" t="s">
        <v>85</v>
      </c>
      <c r="H37" s="9" t="s">
        <v>324</v>
      </c>
      <c r="I37" s="9" t="s">
        <v>310</v>
      </c>
      <c r="J37" s="21" t="str">
        <f t="shared" si="4"/>
        <v>VEC-V08|1</v>
      </c>
      <c r="K37" s="22">
        <f>IF(J37="",0,COUNTIF(nCASE_Key,J37))</f>
        <v>1</v>
      </c>
      <c r="L37" s="21" t="str">
        <f t="shared" si="5"/>
        <v/>
      </c>
      <c r="M37" s="21" t="str">
        <f>IF(L37="","",L37&amp;": "&amp;SUBSTITUTE(IFERROR(INDEX(nMSG_Text,MATCH(L37,nMSG_Code,0)),""),"[input]","a Case_Version"))</f>
        <v/>
      </c>
    </row>
    <row r="38" spans="1:13" x14ac:dyDescent="0.2">
      <c r="A38" s="9" t="s">
        <v>325</v>
      </c>
      <c r="B38" s="11">
        <v>1</v>
      </c>
      <c r="C38" s="14"/>
      <c r="D38" s="9"/>
      <c r="E38" s="9"/>
      <c r="F38" s="14"/>
      <c r="G38" s="16" t="s">
        <v>85</v>
      </c>
      <c r="H38" s="9" t="s">
        <v>326</v>
      </c>
      <c r="I38" s="9" t="s">
        <v>310</v>
      </c>
      <c r="J38" s="21" t="str">
        <f t="shared" si="4"/>
        <v>VEC-V09|1</v>
      </c>
      <c r="K38" s="22">
        <f>IF(J38="",0,COUNTIF(nCASE_Key,J38))</f>
        <v>1</v>
      </c>
      <c r="L38" s="21" t="str">
        <f t="shared" si="5"/>
        <v/>
      </c>
      <c r="M38" s="21" t="str">
        <f>IF(L38="","",L38&amp;": "&amp;SUBSTITUTE(IFERROR(INDEX(nMSG_Text,MATCH(L38,nMSG_Code,0)),""),"[input]","a Case_Version"))</f>
        <v/>
      </c>
    </row>
    <row r="39" spans="1:13" x14ac:dyDescent="0.2">
      <c r="A39" s="9" t="s">
        <v>327</v>
      </c>
      <c r="B39" s="11">
        <v>1</v>
      </c>
      <c r="C39" s="14"/>
      <c r="D39" s="9"/>
      <c r="E39" s="9"/>
      <c r="F39" s="14"/>
      <c r="G39" s="16" t="s">
        <v>85</v>
      </c>
      <c r="H39" s="9" t="s">
        <v>328</v>
      </c>
      <c r="I39" s="9" t="s">
        <v>310</v>
      </c>
      <c r="J39" s="21" t="str">
        <f t="shared" si="4"/>
        <v>VEC-V10|1</v>
      </c>
      <c r="K39" s="22">
        <f>IF(J39="",0,COUNTIF(nCASE_Key,J39))</f>
        <v>1</v>
      </c>
      <c r="L39" s="21" t="str">
        <f t="shared" si="5"/>
        <v/>
      </c>
      <c r="M39" s="21" t="str">
        <f>IF(L39="","",L39&amp;": "&amp;SUBSTITUTE(IFERROR(INDEX(nMSG_Text,MATCH(L39,nMSG_Code,0)),""),"[input]","a Case_Version"))</f>
        <v/>
      </c>
    </row>
    <row r="40" spans="1:13" x14ac:dyDescent="0.2">
      <c r="A40" s="9" t="s">
        <v>329</v>
      </c>
      <c r="B40" s="11">
        <v>1</v>
      </c>
      <c r="C40" s="14"/>
      <c r="D40" s="9"/>
      <c r="E40" s="9"/>
      <c r="F40" s="14"/>
      <c r="G40" s="16" t="s">
        <v>85</v>
      </c>
      <c r="H40" s="9" t="s">
        <v>330</v>
      </c>
      <c r="I40" s="9" t="s">
        <v>310</v>
      </c>
      <c r="J40" s="21" t="str">
        <f t="shared" si="4"/>
        <v>VEC-V11|1</v>
      </c>
      <c r="K40" s="22">
        <f>IF(J40="",0,COUNTIF(nCASE_Key,J40))</f>
        <v>1</v>
      </c>
      <c r="L40" s="21" t="str">
        <f t="shared" si="5"/>
        <v/>
      </c>
      <c r="M40" s="21" t="str">
        <f>IF(L40="","",L40&amp;": "&amp;SUBSTITUTE(IFERROR(INDEX(nMSG_Text,MATCH(L40,nMSG_Code,0)),""),"[input]","a Case_Version"))</f>
        <v/>
      </c>
    </row>
    <row r="41" spans="1:13" x14ac:dyDescent="0.2">
      <c r="A41" s="9" t="s">
        <v>331</v>
      </c>
      <c r="B41" s="11">
        <v>1</v>
      </c>
      <c r="C41" s="14"/>
      <c r="D41" s="9"/>
      <c r="E41" s="9"/>
      <c r="F41" s="14"/>
      <c r="G41" s="16" t="s">
        <v>85</v>
      </c>
      <c r="H41" s="9" t="s">
        <v>332</v>
      </c>
      <c r="I41" s="9" t="s">
        <v>310</v>
      </c>
      <c r="J41" s="21" t="str">
        <f t="shared" si="4"/>
        <v>VEC-V12|1</v>
      </c>
      <c r="K41" s="22">
        <f>IF(J41="",0,COUNTIF(nCASE_Key,J41))</f>
        <v>1</v>
      </c>
      <c r="L41" s="21" t="str">
        <f t="shared" si="5"/>
        <v/>
      </c>
      <c r="M41" s="21" t="str">
        <f>IF(L41="","",L41&amp;": "&amp;SUBSTITUTE(IFERROR(INDEX(nMSG_Text,MATCH(L41,nMSG_Code,0)),""),"[input]","a Case_Version"))</f>
        <v/>
      </c>
    </row>
    <row r="42" spans="1:13" x14ac:dyDescent="0.2">
      <c r="A42" s="9" t="s">
        <v>331</v>
      </c>
      <c r="B42" s="11">
        <v>2</v>
      </c>
      <c r="C42" s="14"/>
      <c r="D42" s="9"/>
      <c r="E42" s="9"/>
      <c r="F42" s="14"/>
      <c r="G42" s="16" t="s">
        <v>85</v>
      </c>
      <c r="H42" s="9" t="s">
        <v>333</v>
      </c>
      <c r="I42" s="9" t="s">
        <v>334</v>
      </c>
      <c r="J42" s="21" t="str">
        <f t="shared" si="4"/>
        <v>VEC-V12|2</v>
      </c>
      <c r="K42" s="22">
        <f>IF(J42="",0,COUNTIF(nCASE_Key,J42))</f>
        <v>1</v>
      </c>
      <c r="L42" s="21" t="str">
        <f t="shared" si="5"/>
        <v/>
      </c>
      <c r="M42" s="21" t="str">
        <f>IF(L42="","",L42&amp;": "&amp;SUBSTITUTE(IFERROR(INDEX(nMSG_Text,MATCH(L42,nMSG_Code,0)),""),"[input]","a Case_Version"))</f>
        <v/>
      </c>
    </row>
    <row r="43" spans="1:13" x14ac:dyDescent="0.2">
      <c r="A43" s="9" t="s">
        <v>335</v>
      </c>
      <c r="B43" s="11">
        <v>1</v>
      </c>
      <c r="C43" s="14"/>
      <c r="D43" s="9"/>
      <c r="E43" s="9"/>
      <c r="F43" s="14"/>
      <c r="G43" s="16" t="s">
        <v>85</v>
      </c>
      <c r="H43" s="9" t="s">
        <v>336</v>
      </c>
      <c r="I43" s="9" t="s">
        <v>310</v>
      </c>
      <c r="J43" s="21" t="str">
        <f t="shared" si="4"/>
        <v>VEC-V13|1</v>
      </c>
      <c r="K43" s="22">
        <f>IF(J43="",0,COUNTIF(nCASE_Key,J43))</f>
        <v>1</v>
      </c>
      <c r="L43" s="21" t="str">
        <f t="shared" si="5"/>
        <v/>
      </c>
      <c r="M43" s="21" t="str">
        <f>IF(L43="","",L43&amp;": "&amp;SUBSTITUTE(IFERROR(INDEX(nMSG_Text,MATCH(L43,nMSG_Code,0)),""),"[input]","a Case_Version"))</f>
        <v/>
      </c>
    </row>
    <row r="44" spans="1:13" x14ac:dyDescent="0.2">
      <c r="A44" s="9" t="s">
        <v>337</v>
      </c>
      <c r="B44" s="11">
        <v>1</v>
      </c>
      <c r="C44" s="14"/>
      <c r="D44" s="9"/>
      <c r="E44" s="9"/>
      <c r="F44" s="14"/>
      <c r="G44" s="16" t="s">
        <v>85</v>
      </c>
      <c r="H44" s="9" t="s">
        <v>338</v>
      </c>
      <c r="I44" s="9" t="s">
        <v>310</v>
      </c>
      <c r="J44" s="21" t="str">
        <f t="shared" si="4"/>
        <v>VEC-V15|1</v>
      </c>
      <c r="K44" s="22">
        <f>IF(J44="",0,COUNTIF(nCASE_Key,J44))</f>
        <v>1</v>
      </c>
      <c r="L44" s="21" t="str">
        <f t="shared" si="5"/>
        <v/>
      </c>
      <c r="M44" s="21" t="str">
        <f>IF(L44="","",L44&amp;": "&amp;SUBSTITUTE(IFERROR(INDEX(nMSG_Text,MATCH(L44,nMSG_Code,0)),""),"[input]","a Case_Version"))</f>
        <v/>
      </c>
    </row>
    <row r="45" spans="1:13" x14ac:dyDescent="0.2">
      <c r="A45" s="9" t="s">
        <v>339</v>
      </c>
      <c r="B45" s="11">
        <v>1</v>
      </c>
      <c r="C45" s="14"/>
      <c r="D45" s="9"/>
      <c r="E45" s="9"/>
      <c r="F45" s="14"/>
      <c r="G45" s="16" t="s">
        <v>85</v>
      </c>
      <c r="H45" s="9" t="s">
        <v>340</v>
      </c>
      <c r="I45" s="9" t="s">
        <v>310</v>
      </c>
      <c r="J45" s="21" t="str">
        <f t="shared" si="4"/>
        <v>VEC-V16|1</v>
      </c>
      <c r="K45" s="22">
        <f>IF(J45="",0,COUNTIF(nCASE_Key,J45))</f>
        <v>1</v>
      </c>
      <c r="L45" s="21" t="str">
        <f t="shared" si="5"/>
        <v/>
      </c>
      <c r="M45" s="21" t="str">
        <f>IF(L45="","",L45&amp;": "&amp;SUBSTITUTE(IFERROR(INDEX(nMSG_Text,MATCH(L45,nMSG_Code,0)),""),"[input]","a Case_Version"))</f>
        <v/>
      </c>
    </row>
    <row r="46" spans="1:13" x14ac:dyDescent="0.2">
      <c r="A46" s="9" t="s">
        <v>341</v>
      </c>
      <c r="B46" s="11">
        <v>1</v>
      </c>
      <c r="C46" s="14"/>
      <c r="D46" s="9"/>
      <c r="E46" s="9"/>
      <c r="F46" s="14"/>
      <c r="G46" s="16" t="s">
        <v>85</v>
      </c>
      <c r="H46" s="9" t="s">
        <v>342</v>
      </c>
      <c r="I46" s="9" t="s">
        <v>310</v>
      </c>
      <c r="J46" s="21" t="str">
        <f t="shared" si="4"/>
        <v>VEC-V17|1</v>
      </c>
      <c r="K46" s="22">
        <f>IF(J46="",0,COUNTIF(nCASE_Key,J46))</f>
        <v>1</v>
      </c>
      <c r="L46" s="21" t="str">
        <f t="shared" si="5"/>
        <v/>
      </c>
      <c r="M46" s="21" t="str">
        <f>IF(L46="","",L46&amp;": "&amp;SUBSTITUTE(IFERROR(INDEX(nMSG_Text,MATCH(L46,nMSG_Code,0)),""),"[input]","a Case_Version"))</f>
        <v/>
      </c>
    </row>
    <row r="47" spans="1:13" x14ac:dyDescent="0.2">
      <c r="A47" s="9" t="s">
        <v>343</v>
      </c>
      <c r="B47" s="11">
        <v>1</v>
      </c>
      <c r="C47" s="14"/>
      <c r="D47" s="9"/>
      <c r="E47" s="9"/>
      <c r="F47" s="14"/>
      <c r="G47" s="16" t="s">
        <v>85</v>
      </c>
      <c r="H47" s="9" t="s">
        <v>344</v>
      </c>
      <c r="I47" s="9" t="s">
        <v>310</v>
      </c>
      <c r="J47" s="21" t="str">
        <f t="shared" si="4"/>
        <v>VEC-V18|1</v>
      </c>
      <c r="K47" s="22">
        <f>IF(J47="",0,COUNTIF(nCASE_Key,J47))</f>
        <v>1</v>
      </c>
      <c r="L47" s="21" t="str">
        <f t="shared" si="5"/>
        <v/>
      </c>
      <c r="M47" s="21" t="str">
        <f>IF(L47="","",L47&amp;": "&amp;SUBSTITUTE(IFERROR(INDEX(nMSG_Text,MATCH(L47,nMSG_Code,0)),""),"[input]","a Case_Version"))</f>
        <v/>
      </c>
    </row>
    <row r="48" spans="1:13" x14ac:dyDescent="0.2">
      <c r="A48" s="9" t="s">
        <v>345</v>
      </c>
      <c r="B48" s="11">
        <v>1</v>
      </c>
      <c r="C48" s="14"/>
      <c r="D48" s="9"/>
      <c r="E48" s="9"/>
      <c r="F48" s="14"/>
      <c r="G48" s="16" t="s">
        <v>85</v>
      </c>
      <c r="H48" s="9" t="s">
        <v>346</v>
      </c>
      <c r="I48" s="9" t="s">
        <v>310</v>
      </c>
      <c r="J48" s="21" t="str">
        <f t="shared" si="4"/>
        <v>VEC-V19|1</v>
      </c>
      <c r="K48" s="22">
        <f>IF(J48="",0,COUNTIF(nCASE_Key,J48))</f>
        <v>1</v>
      </c>
      <c r="L48" s="21" t="str">
        <f t="shared" si="5"/>
        <v/>
      </c>
      <c r="M48" s="21" t="str">
        <f>IF(L48="","",L48&amp;": "&amp;SUBSTITUTE(IFERROR(INDEX(nMSG_Text,MATCH(L48,nMSG_Code,0)),""),"[input]","a Case_Version"))</f>
        <v/>
      </c>
    </row>
    <row r="49" spans="1:13" x14ac:dyDescent="0.2">
      <c r="A49" s="9" t="s">
        <v>347</v>
      </c>
      <c r="B49" s="11">
        <v>1</v>
      </c>
      <c r="C49" s="14"/>
      <c r="D49" s="9"/>
      <c r="E49" s="9"/>
      <c r="F49" s="14"/>
      <c r="G49" s="16" t="s">
        <v>85</v>
      </c>
      <c r="H49" s="9" t="s">
        <v>348</v>
      </c>
      <c r="I49" s="9" t="s">
        <v>310</v>
      </c>
      <c r="J49" s="21" t="str">
        <f t="shared" si="4"/>
        <v>VEC-V20|1</v>
      </c>
      <c r="K49" s="22">
        <f>IF(J49="",0,COUNTIF(nCASE_Key,J49))</f>
        <v>1</v>
      </c>
      <c r="L49" s="21" t="str">
        <f t="shared" si="5"/>
        <v/>
      </c>
      <c r="M49" s="21" t="str">
        <f>IF(L49="","",L49&amp;": "&amp;SUBSTITUTE(IFERROR(INDEX(nMSG_Text,MATCH(L49,nMSG_Code,0)),""),"[input]","a Case_Version"))</f>
        <v/>
      </c>
    </row>
    <row r="50" spans="1:13" x14ac:dyDescent="0.2">
      <c r="A50" s="9" t="s">
        <v>349</v>
      </c>
      <c r="B50" s="11">
        <v>1</v>
      </c>
      <c r="C50" s="14"/>
      <c r="D50" s="9"/>
      <c r="E50" s="9"/>
      <c r="F50" s="14"/>
      <c r="G50" s="16" t="s">
        <v>85</v>
      </c>
      <c r="H50" s="9" t="s">
        <v>350</v>
      </c>
      <c r="I50" s="9" t="s">
        <v>310</v>
      </c>
      <c r="J50" s="21" t="str">
        <f t="shared" si="4"/>
        <v>VEC-V21|1</v>
      </c>
      <c r="K50" s="22">
        <f>IF(J50="",0,COUNTIF(nCASE_Key,J50))</f>
        <v>1</v>
      </c>
      <c r="L50" s="21" t="str">
        <f t="shared" si="5"/>
        <v/>
      </c>
      <c r="M50" s="21" t="str">
        <f>IF(L50="","",L50&amp;": "&amp;SUBSTITUTE(IFERROR(INDEX(nMSG_Text,MATCH(L50,nMSG_Code,0)),""),"[input]","a Case_Version"))</f>
        <v/>
      </c>
    </row>
    <row r="51" spans="1:13" x14ac:dyDescent="0.2">
      <c r="A51" s="9" t="s">
        <v>351</v>
      </c>
      <c r="B51" s="11">
        <v>1</v>
      </c>
      <c r="C51" s="14"/>
      <c r="D51" s="9"/>
      <c r="E51" s="9"/>
      <c r="F51" s="14"/>
      <c r="G51" s="16" t="s">
        <v>85</v>
      </c>
      <c r="H51" s="9" t="s">
        <v>352</v>
      </c>
      <c r="I51" s="9" t="s">
        <v>310</v>
      </c>
      <c r="J51" s="21" t="str">
        <f t="shared" si="4"/>
        <v>VEC-V22|1</v>
      </c>
      <c r="K51" s="22">
        <f>IF(J51="",0,COUNTIF(nCASE_Key,J51))</f>
        <v>1</v>
      </c>
      <c r="L51" s="21" t="str">
        <f t="shared" si="5"/>
        <v/>
      </c>
      <c r="M51" s="21" t="str">
        <f>IF(L51="","",L51&amp;": "&amp;SUBSTITUTE(IFERROR(INDEX(nMSG_Text,MATCH(L51,nMSG_Code,0)),""),"[input]","a Case_Version"))</f>
        <v/>
      </c>
    </row>
    <row r="52" spans="1:13" x14ac:dyDescent="0.2">
      <c r="A52" s="9" t="s">
        <v>353</v>
      </c>
      <c r="B52" s="11">
        <v>1</v>
      </c>
      <c r="C52" s="14"/>
      <c r="D52" s="9"/>
      <c r="E52" s="9"/>
      <c r="F52" s="14"/>
      <c r="G52" s="16" t="s">
        <v>85</v>
      </c>
      <c r="H52" s="9" t="s">
        <v>354</v>
      </c>
      <c r="I52" s="9" t="s">
        <v>310</v>
      </c>
      <c r="J52" s="21" t="str">
        <f t="shared" si="4"/>
        <v>VEC-V23|1</v>
      </c>
      <c r="K52" s="22">
        <f>IF(J52="",0,COUNTIF(nCASE_Key,J52))</f>
        <v>1</v>
      </c>
      <c r="L52" s="21" t="str">
        <f t="shared" si="5"/>
        <v/>
      </c>
      <c r="M52" s="21" t="str">
        <f>IF(L52="","",L52&amp;": "&amp;SUBSTITUTE(IFERROR(INDEX(nMSG_Text,MATCH(L52,nMSG_Code,0)),""),"[input]","a Case_Version"))</f>
        <v/>
      </c>
    </row>
    <row r="53" spans="1:13" x14ac:dyDescent="0.2">
      <c r="A53" s="9" t="s">
        <v>355</v>
      </c>
      <c r="B53" s="11">
        <v>1</v>
      </c>
      <c r="C53" s="14"/>
      <c r="D53" s="9"/>
      <c r="E53" s="9"/>
      <c r="F53" s="14"/>
      <c r="G53" s="16" t="s">
        <v>85</v>
      </c>
      <c r="H53" s="9" t="s">
        <v>356</v>
      </c>
      <c r="I53" s="9" t="s">
        <v>310</v>
      </c>
      <c r="J53" s="21" t="str">
        <f t="shared" si="4"/>
        <v>VEC-V24|1</v>
      </c>
      <c r="K53" s="22">
        <f>IF(J53="",0,COUNTIF(nCASE_Key,J53))</f>
        <v>1</v>
      </c>
      <c r="L53" s="21" t="str">
        <f t="shared" si="5"/>
        <v/>
      </c>
      <c r="M53" s="21" t="str">
        <f>IF(L53="","",L53&amp;": "&amp;SUBSTITUTE(IFERROR(INDEX(nMSG_Text,MATCH(L53,nMSG_Code,0)),""),"[input]","a Case_Version"))</f>
        <v/>
      </c>
    </row>
    <row r="54" spans="1:13" x14ac:dyDescent="0.2">
      <c r="A54" s="9" t="s">
        <v>357</v>
      </c>
      <c r="B54" s="11">
        <v>1</v>
      </c>
      <c r="C54" s="14"/>
      <c r="D54" s="9"/>
      <c r="E54" s="9"/>
      <c r="F54" s="14"/>
      <c r="G54" s="16" t="s">
        <v>85</v>
      </c>
      <c r="H54" s="9" t="s">
        <v>358</v>
      </c>
      <c r="I54" s="9" t="s">
        <v>310</v>
      </c>
      <c r="J54" s="21" t="str">
        <f t="shared" si="4"/>
        <v>VEC-V25|1</v>
      </c>
      <c r="K54" s="22">
        <f>IF(J54="",0,COUNTIF(nCASE_Key,J54))</f>
        <v>1</v>
      </c>
      <c r="L54" s="21" t="str">
        <f t="shared" si="5"/>
        <v/>
      </c>
      <c r="M54" s="21" t="str">
        <f>IF(L54="","",L54&amp;": "&amp;SUBSTITUTE(IFERROR(INDEX(nMSG_Text,MATCH(L54,nMSG_Code,0)),""),"[input]","a Case_Version"))</f>
        <v/>
      </c>
    </row>
    <row r="55" spans="1:13" x14ac:dyDescent="0.2">
      <c r="A55" s="9" t="s">
        <v>359</v>
      </c>
      <c r="B55" s="11">
        <v>1</v>
      </c>
      <c r="C55" s="14"/>
      <c r="D55" s="9"/>
      <c r="E55" s="9"/>
      <c r="F55" s="14"/>
      <c r="G55" s="16" t="s">
        <v>85</v>
      </c>
      <c r="H55" s="9" t="s">
        <v>360</v>
      </c>
      <c r="I55" s="9" t="s">
        <v>310</v>
      </c>
      <c r="J55" s="21" t="str">
        <f t="shared" si="4"/>
        <v>VEC-V26|1</v>
      </c>
      <c r="K55" s="22">
        <f>IF(J55="",0,COUNTIF(nCASE_Key,J55))</f>
        <v>1</v>
      </c>
      <c r="L55" s="21" t="str">
        <f t="shared" si="5"/>
        <v/>
      </c>
      <c r="M55" s="21" t="str">
        <f>IF(L55="","",L55&amp;": "&amp;SUBSTITUTE(IFERROR(INDEX(nMSG_Text,MATCH(L55,nMSG_Code,0)),""),"[input]","a Case_Version"))</f>
        <v/>
      </c>
    </row>
    <row r="56" spans="1:13" x14ac:dyDescent="0.2">
      <c r="A56" s="9" t="s">
        <v>361</v>
      </c>
      <c r="B56" s="11">
        <v>1</v>
      </c>
      <c r="C56" s="14"/>
      <c r="D56" s="9"/>
      <c r="E56" s="9"/>
      <c r="F56" s="14"/>
      <c r="G56" s="16" t="s">
        <v>85</v>
      </c>
      <c r="H56" s="9" t="s">
        <v>362</v>
      </c>
      <c r="I56" s="9" t="s">
        <v>310</v>
      </c>
      <c r="J56" s="21" t="str">
        <f t="shared" si="4"/>
        <v>VEC-V27|1</v>
      </c>
      <c r="K56" s="22">
        <f>IF(J56="",0,COUNTIF(nCASE_Key,J56))</f>
        <v>1</v>
      </c>
      <c r="L56" s="21" t="str">
        <f t="shared" si="5"/>
        <v/>
      </c>
      <c r="M56" s="21" t="str">
        <f>IF(L56="","",L56&amp;": "&amp;SUBSTITUTE(IFERROR(INDEX(nMSG_Text,MATCH(L56,nMSG_Code,0)),""),"[input]","a Case_Version"))</f>
        <v/>
      </c>
    </row>
    <row r="57" spans="1:13" x14ac:dyDescent="0.2">
      <c r="A57" s="9" t="s">
        <v>363</v>
      </c>
      <c r="B57" s="11">
        <v>1</v>
      </c>
      <c r="C57" s="14"/>
      <c r="D57" s="9"/>
      <c r="E57" s="9"/>
      <c r="F57" s="14"/>
      <c r="G57" s="16" t="s">
        <v>85</v>
      </c>
      <c r="H57" s="9" t="s">
        <v>364</v>
      </c>
      <c r="I57" s="9" t="s">
        <v>310</v>
      </c>
      <c r="J57" s="21" t="str">
        <f t="shared" si="4"/>
        <v>VEC-V28|1</v>
      </c>
      <c r="K57" s="22">
        <f>IF(J57="",0,COUNTIF(nCASE_Key,J57))</f>
        <v>1</v>
      </c>
      <c r="L57" s="21" t="str">
        <f t="shared" si="5"/>
        <v/>
      </c>
      <c r="M57" s="21" t="str">
        <f>IF(L57="","",L57&amp;": "&amp;SUBSTITUTE(IFERROR(INDEX(nMSG_Text,MATCH(L57,nMSG_Code,0)),""),"[input]","a Case_Version"))</f>
        <v/>
      </c>
    </row>
    <row r="58" spans="1:13" x14ac:dyDescent="0.2">
      <c r="A58" s="9" t="s">
        <v>365</v>
      </c>
      <c r="B58" s="11">
        <v>1</v>
      </c>
      <c r="C58" s="14"/>
      <c r="D58" s="9"/>
      <c r="E58" s="9"/>
      <c r="F58" s="14"/>
      <c r="G58" s="16" t="s">
        <v>85</v>
      </c>
      <c r="H58" s="9" t="s">
        <v>366</v>
      </c>
      <c r="I58" s="9" t="s">
        <v>310</v>
      </c>
      <c r="J58" s="21" t="str">
        <f t="shared" si="4"/>
        <v>VEC-V29|1</v>
      </c>
      <c r="K58" s="22">
        <f>IF(J58="",0,COUNTIF(nCASE_Key,J58))</f>
        <v>1</v>
      </c>
      <c r="L58" s="21" t="str">
        <f t="shared" si="5"/>
        <v/>
      </c>
      <c r="M58" s="21" t="str">
        <f>IF(L58="","",L58&amp;": "&amp;SUBSTITUTE(IFERROR(INDEX(nMSG_Text,MATCH(L58,nMSG_Code,0)),""),"[input]","a Case_Version"))</f>
        <v/>
      </c>
    </row>
    <row r="59" spans="1:13" x14ac:dyDescent="0.2">
      <c r="A59" s="9" t="s">
        <v>367</v>
      </c>
      <c r="B59" s="11">
        <v>1</v>
      </c>
      <c r="C59" s="14"/>
      <c r="D59" s="9"/>
      <c r="E59" s="9"/>
      <c r="F59" s="14"/>
      <c r="G59" s="16" t="s">
        <v>85</v>
      </c>
      <c r="H59" s="9" t="s">
        <v>368</v>
      </c>
      <c r="I59" s="9" t="s">
        <v>310</v>
      </c>
      <c r="J59" s="21" t="str">
        <f t="shared" si="4"/>
        <v>VEC-V30|1</v>
      </c>
      <c r="K59" s="22">
        <f>IF(J59="",0,COUNTIF(nCASE_Key,J59))</f>
        <v>1</v>
      </c>
      <c r="L59" s="21" t="str">
        <f t="shared" si="5"/>
        <v/>
      </c>
      <c r="M59" s="21" t="str">
        <f>IF(L59="","",L59&amp;": "&amp;SUBSTITUTE(IFERROR(INDEX(nMSG_Text,MATCH(L59,nMSG_Code,0)),""),"[input]","a Case_Version"))</f>
        <v/>
      </c>
    </row>
    <row r="60" spans="1:13" x14ac:dyDescent="0.2">
      <c r="A60" s="9" t="s">
        <v>369</v>
      </c>
      <c r="B60" s="11">
        <v>1</v>
      </c>
      <c r="C60" s="14"/>
      <c r="D60" s="9"/>
      <c r="E60" s="9"/>
      <c r="F60" s="14"/>
      <c r="G60" s="16" t="s">
        <v>85</v>
      </c>
      <c r="H60" s="9" t="s">
        <v>370</v>
      </c>
      <c r="I60" s="9" t="s">
        <v>310</v>
      </c>
      <c r="J60" s="21" t="str">
        <f t="shared" si="4"/>
        <v>VEC-V31|1</v>
      </c>
      <c r="K60" s="22">
        <f>IF(J60="",0,COUNTIF(nCASE_Key,J60))</f>
        <v>1</v>
      </c>
      <c r="L60" s="21" t="str">
        <f t="shared" si="5"/>
        <v/>
      </c>
      <c r="M60" s="21" t="str">
        <f>IF(L60="","",L60&amp;": "&amp;SUBSTITUTE(IFERROR(INDEX(nMSG_Text,MATCH(L60,nMSG_Code,0)),""),"[input]","a Case_Version"))</f>
        <v/>
      </c>
    </row>
    <row r="61" spans="1:13" x14ac:dyDescent="0.2">
      <c r="A61" s="9" t="s">
        <v>371</v>
      </c>
      <c r="B61" s="11">
        <v>1</v>
      </c>
      <c r="C61" s="14"/>
      <c r="D61" s="9"/>
      <c r="E61" s="9"/>
      <c r="F61" s="14"/>
      <c r="G61" s="16" t="s">
        <v>85</v>
      </c>
      <c r="H61" s="9" t="s">
        <v>372</v>
      </c>
      <c r="I61" s="9" t="s">
        <v>310</v>
      </c>
      <c r="J61" s="21" t="str">
        <f t="shared" si="4"/>
        <v>VEC-V32|1</v>
      </c>
      <c r="K61" s="22">
        <f>IF(J61="",0,COUNTIF(nCASE_Key,J61))</f>
        <v>1</v>
      </c>
      <c r="L61" s="21" t="str">
        <f t="shared" si="5"/>
        <v/>
      </c>
      <c r="M61" s="21" t="str">
        <f>IF(L61="","",L61&amp;": "&amp;SUBSTITUTE(IFERROR(INDEX(nMSG_Text,MATCH(L61,nMSG_Code,0)),""),"[input]","a Case_Version"))</f>
        <v/>
      </c>
    </row>
    <row r="62" spans="1:13" x14ac:dyDescent="0.2">
      <c r="A62" s="9" t="s">
        <v>373</v>
      </c>
      <c r="B62" s="11">
        <v>1</v>
      </c>
      <c r="C62" s="14"/>
      <c r="D62" s="9"/>
      <c r="E62" s="9"/>
      <c r="F62" s="14"/>
      <c r="G62" s="16" t="s">
        <v>85</v>
      </c>
      <c r="H62" s="9" t="s">
        <v>374</v>
      </c>
      <c r="I62" s="9" t="s">
        <v>310</v>
      </c>
      <c r="J62" s="21" t="str">
        <f t="shared" si="4"/>
        <v>VEC-V33|1</v>
      </c>
      <c r="K62" s="22">
        <f>IF(J62="",0,COUNTIF(nCASE_Key,J62))</f>
        <v>1</v>
      </c>
      <c r="L62" s="21" t="str">
        <f t="shared" si="5"/>
        <v/>
      </c>
      <c r="M62" s="21" t="str">
        <f>IF(L62="","",L62&amp;": "&amp;SUBSTITUTE(IFERROR(INDEX(nMSG_Text,MATCH(L62,nMSG_Code,0)),""),"[input]","a Case_Version"))</f>
        <v/>
      </c>
    </row>
    <row r="63" spans="1:13" x14ac:dyDescent="0.2">
      <c r="A63" s="9" t="s">
        <v>375</v>
      </c>
      <c r="B63" s="11">
        <v>1</v>
      </c>
      <c r="C63" s="14"/>
      <c r="D63" s="9"/>
      <c r="E63" s="9"/>
      <c r="F63" s="14"/>
      <c r="G63" s="16" t="s">
        <v>85</v>
      </c>
      <c r="H63" s="9" t="s">
        <v>376</v>
      </c>
      <c r="I63" s="9" t="s">
        <v>310</v>
      </c>
      <c r="J63" s="21" t="str">
        <f t="shared" si="4"/>
        <v>VEC-V34|1</v>
      </c>
      <c r="K63" s="22">
        <f>IF(J63="",0,COUNTIF(nCASE_Key,J63))</f>
        <v>1</v>
      </c>
      <c r="L63" s="21" t="str">
        <f t="shared" si="5"/>
        <v/>
      </c>
      <c r="M63" s="21" t="str">
        <f>IF(L63="","",L63&amp;": "&amp;SUBSTITUTE(IFERROR(INDEX(nMSG_Text,MATCH(L63,nMSG_Code,0)),""),"[input]","a Case_Version"))</f>
        <v/>
      </c>
    </row>
    <row r="64" spans="1:13" x14ac:dyDescent="0.2">
      <c r="A64" s="9" t="s">
        <v>377</v>
      </c>
      <c r="B64" s="11">
        <v>1</v>
      </c>
      <c r="C64" s="14"/>
      <c r="D64" s="9"/>
      <c r="E64" s="9"/>
      <c r="F64" s="14"/>
      <c r="G64" s="16" t="s">
        <v>85</v>
      </c>
      <c r="H64" s="9" t="s">
        <v>378</v>
      </c>
      <c r="I64" s="9" t="s">
        <v>310</v>
      </c>
      <c r="J64" s="21" t="str">
        <f t="shared" si="4"/>
        <v>VEC-V35|1</v>
      </c>
      <c r="K64" s="22">
        <f>IF(J64="",0,COUNTIF(nCASE_Key,J64))</f>
        <v>1</v>
      </c>
      <c r="L64" s="21" t="str">
        <f t="shared" si="5"/>
        <v/>
      </c>
      <c r="M64" s="21" t="str">
        <f>IF(L64="","",L64&amp;": "&amp;SUBSTITUTE(IFERROR(INDEX(nMSG_Text,MATCH(L64,nMSG_Code,0)),""),"[input]","a Case_Version"))</f>
        <v/>
      </c>
    </row>
    <row r="65" spans="1:13" x14ac:dyDescent="0.2">
      <c r="A65" s="9" t="s">
        <v>379</v>
      </c>
      <c r="B65" s="11">
        <v>1</v>
      </c>
      <c r="C65" s="14"/>
      <c r="D65" s="9"/>
      <c r="E65" s="9"/>
      <c r="F65" s="14"/>
      <c r="G65" s="16" t="s">
        <v>85</v>
      </c>
      <c r="H65" s="9" t="s">
        <v>380</v>
      </c>
      <c r="I65" s="9" t="s">
        <v>310</v>
      </c>
      <c r="J65" s="21" t="str">
        <f t="shared" si="4"/>
        <v>VEC-V36|1</v>
      </c>
      <c r="K65" s="22">
        <f>IF(J65="",0,COUNTIF(nCASE_Key,J65))</f>
        <v>1</v>
      </c>
      <c r="L65" s="21" t="str">
        <f t="shared" si="5"/>
        <v/>
      </c>
      <c r="M65" s="21" t="str">
        <f>IF(L65="","",L65&amp;": "&amp;SUBSTITUTE(IFERROR(INDEX(nMSG_Text,MATCH(L65,nMSG_Code,0)),""),"[input]","a Case_Version"))</f>
        <v/>
      </c>
    </row>
    <row r="66" spans="1:13" x14ac:dyDescent="0.2">
      <c r="A66" s="9" t="s">
        <v>381</v>
      </c>
      <c r="B66" s="11">
        <v>1</v>
      </c>
      <c r="C66" s="14"/>
      <c r="D66" s="9"/>
      <c r="E66" s="9"/>
      <c r="F66" s="14"/>
      <c r="G66" s="16" t="s">
        <v>85</v>
      </c>
      <c r="H66" s="9" t="s">
        <v>382</v>
      </c>
      <c r="I66" s="9" t="s">
        <v>310</v>
      </c>
      <c r="J66" s="21" t="str">
        <f t="shared" si="4"/>
        <v>VEC-V37|1</v>
      </c>
      <c r="K66" s="22">
        <f>IF(J66="",0,COUNTIF(nCASE_Key,J66))</f>
        <v>1</v>
      </c>
      <c r="L66" s="21" t="str">
        <f t="shared" si="5"/>
        <v/>
      </c>
      <c r="M66" s="21" t="str">
        <f>IF(L66="","",L66&amp;": "&amp;SUBSTITUTE(IFERROR(INDEX(nMSG_Text,MATCH(L66,nMSG_Code,0)),""),"[input]","a Case_Version"))</f>
        <v/>
      </c>
    </row>
    <row r="67" spans="1:13" x14ac:dyDescent="0.2">
      <c r="A67" s="9" t="s">
        <v>383</v>
      </c>
      <c r="B67" s="11">
        <v>1</v>
      </c>
      <c r="C67" s="14"/>
      <c r="D67" s="9"/>
      <c r="E67" s="9"/>
      <c r="F67" s="14"/>
      <c r="G67" s="16" t="s">
        <v>85</v>
      </c>
      <c r="H67" s="9" t="s">
        <v>384</v>
      </c>
      <c r="I67" s="9" t="s">
        <v>310</v>
      </c>
      <c r="J67" s="21" t="str">
        <f t="shared" si="4"/>
        <v>VEC-V38|1</v>
      </c>
      <c r="K67" s="22">
        <f>IF(J67="",0,COUNTIF(nCASE_Key,J67))</f>
        <v>1</v>
      </c>
      <c r="L67" s="21" t="str">
        <f t="shared" si="5"/>
        <v/>
      </c>
      <c r="M67" s="21" t="str">
        <f>IF(L67="","",L67&amp;": "&amp;SUBSTITUTE(IFERROR(INDEX(nMSG_Text,MATCH(L67,nMSG_Code,0)),""),"[input]","a Case_Version"))</f>
        <v/>
      </c>
    </row>
  </sheetData>
  <sheetProtection sheet="1" objects="1" scenarios="1" formatColumns="0" formatRows="0" autoFilter="0"/>
  <autoFilter ref="A4:M67" xr:uid="{74453C91-D631-4FB5-A089-9BB1F24F97F2}"/>
  <dataValidations count="3">
    <dataValidation type="whole" operator="greaterThanOrEqual" allowBlank="1" showInputMessage="1" showErrorMessage="1" sqref="B5:B24" xr:uid="{98B51E39-FAE7-41B5-B450-E3D0C0B6327A}">
      <formula1>1</formula1>
    </dataValidation>
    <dataValidation type="date" allowBlank="1" showInputMessage="1" showErrorMessage="1" sqref="C5:C24 F5:F24" xr:uid="{81F135CB-5ECB-4244-99ED-FB9AC09D9655}">
      <formula1>1</formula1>
      <formula2>2958465</formula2>
    </dataValidation>
    <dataValidation type="list" allowBlank="1" showInputMessage="1" showErrorMessage="1" sqref="G5:G24" xr:uid="{099EDF08-C62C-4D8C-96DA-3030E58456A7}">
      <formula1>nLIST_YesNo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05D77-E984-42D4-8D0D-1FE6AD1797FF}">
  <dimension ref="A1:BO76"/>
  <sheetViews>
    <sheetView zoomScale="90" zoomScaleNormal="90" workbookViewId="0">
      <pane xSplit="4" ySplit="4" topLeftCell="E5" activePane="bottomRight" state="frozenSplit"/>
      <selection pane="topRight" activeCell="E1" sqref="E1"/>
      <selection pane="bottomLeft" activeCell="A5" sqref="A5"/>
      <selection pane="bottomRight"/>
    </sheetView>
  </sheetViews>
  <sheetFormatPr defaultRowHeight="12.75" x14ac:dyDescent="0.2"/>
  <cols>
    <col min="1" max="1" width="10.7109375" style="1" customWidth="1"/>
    <col min="2" max="2" width="7.7109375" style="1" customWidth="1"/>
    <col min="3" max="4" width="11.7109375" style="1" customWidth="1"/>
    <col min="5" max="5" width="24.7109375" style="1" customWidth="1"/>
    <col min="6" max="6" width="12.7109375" style="1" customWidth="1"/>
    <col min="7" max="7" width="14.7109375" style="1" customWidth="1"/>
    <col min="8" max="8" width="8.7109375" style="1" customWidth="1"/>
    <col min="9" max="9" width="10.7109375" style="1" customWidth="1"/>
    <col min="10" max="10" width="26.7109375" style="1" customWidth="1"/>
    <col min="11" max="11" width="12.7109375" style="1" customWidth="1"/>
    <col min="12" max="12" width="22.7109375" style="1" customWidth="1"/>
    <col min="13" max="13" width="26.7109375" style="1" customWidth="1"/>
    <col min="14" max="14" width="11.7109375" style="1" customWidth="1"/>
    <col min="15" max="15" width="15.7109375" style="1" customWidth="1"/>
    <col min="16" max="17" width="9.7109375" style="1" customWidth="1"/>
    <col min="18" max="19" width="7.7109375" style="1" customWidth="1"/>
    <col min="20" max="21" width="15.7109375" style="1" customWidth="1"/>
    <col min="22" max="22" width="22.7109375" style="1" customWidth="1"/>
    <col min="23" max="23" width="12.7109375" style="1" customWidth="1"/>
    <col min="24" max="25" width="6.7109375" style="1" customWidth="1"/>
    <col min="26" max="27" width="14.7109375" style="1" customWidth="1"/>
    <col min="28" max="29" width="11.7109375" style="1" customWidth="1"/>
    <col min="30" max="30" width="26.7109375" style="1" customWidth="1"/>
    <col min="31" max="31" width="11.7109375" style="1" customWidth="1"/>
    <col min="32" max="32" width="15.7109375" style="1" customWidth="1"/>
    <col min="33" max="34" width="9.7109375" style="1" customWidth="1"/>
    <col min="35" max="36" width="7.7109375" style="1" customWidth="1"/>
    <col min="37" max="38" width="15.7109375" style="1" customWidth="1"/>
    <col min="39" max="39" width="22.7109375" style="1" customWidth="1"/>
    <col min="40" max="40" width="12.7109375" style="1" customWidth="1"/>
    <col min="41" max="42" width="6.7109375" style="1" customWidth="1"/>
    <col min="43" max="44" width="14.7109375" style="1" customWidth="1"/>
    <col min="45" max="46" width="11.7109375" style="1" customWidth="1"/>
    <col min="47" max="47" width="26.7109375" style="1" customWidth="1"/>
    <col min="48" max="48" width="11.7109375" style="1" customWidth="1"/>
    <col min="49" max="49" width="15.7109375" style="1" customWidth="1"/>
    <col min="50" max="51" width="9.7109375" style="1" customWidth="1"/>
    <col min="52" max="53" width="7.7109375" style="1" customWidth="1"/>
    <col min="54" max="55" width="15.7109375" style="1" customWidth="1"/>
    <col min="56" max="56" width="22.7109375" style="1" customWidth="1"/>
    <col min="57" max="57" width="12.7109375" style="1" customWidth="1"/>
    <col min="58" max="59" width="6.7109375" style="1" customWidth="1"/>
    <col min="60" max="61" width="14.7109375" style="1" customWidth="1"/>
    <col min="62" max="63" width="11.7109375" style="1" customWidth="1"/>
    <col min="64" max="64" width="14.7109375" style="1" customWidth="1"/>
    <col min="65" max="65" width="5.7109375" style="1" customWidth="1"/>
    <col min="66" max="66" width="14.7109375" style="1" customWidth="1"/>
    <col min="67" max="67" width="40.7109375" style="1" customWidth="1"/>
    <col min="68" max="16384" width="9.140625" style="1"/>
  </cols>
  <sheetData>
    <row r="1" spans="1:67" ht="17.25" x14ac:dyDescent="0.3">
      <c r="A1" s="6" t="s">
        <v>385</v>
      </c>
    </row>
    <row r="2" spans="1:67" x14ac:dyDescent="0.2">
      <c r="A2" s="7" t="s">
        <v>278</v>
      </c>
    </row>
    <row r="3" spans="1:67" x14ac:dyDescent="0.2">
      <c r="A3" s="2" t="s">
        <v>386</v>
      </c>
      <c r="M3" s="2" t="s">
        <v>396</v>
      </c>
      <c r="AD3" s="2" t="s">
        <v>414</v>
      </c>
      <c r="AU3" s="2" t="s">
        <v>432</v>
      </c>
      <c r="BL3" s="2" t="s">
        <v>289</v>
      </c>
    </row>
    <row r="4" spans="1:67" ht="66" customHeight="1" x14ac:dyDescent="0.2">
      <c r="A4" s="8" t="s">
        <v>280</v>
      </c>
      <c r="B4" s="8" t="s">
        <v>281</v>
      </c>
      <c r="C4" s="8" t="s">
        <v>387</v>
      </c>
      <c r="D4" s="8" t="s">
        <v>388</v>
      </c>
      <c r="E4" s="8" t="s">
        <v>389</v>
      </c>
      <c r="F4" s="8" t="s">
        <v>113</v>
      </c>
      <c r="G4" s="8" t="s">
        <v>390</v>
      </c>
      <c r="H4" s="8" t="s">
        <v>391</v>
      </c>
      <c r="I4" s="8" t="s">
        <v>392</v>
      </c>
      <c r="J4" s="8" t="s">
        <v>393</v>
      </c>
      <c r="K4" s="8" t="s">
        <v>394</v>
      </c>
      <c r="L4" s="8" t="s">
        <v>395</v>
      </c>
      <c r="M4" s="8" t="s">
        <v>397</v>
      </c>
      <c r="N4" s="8" t="s">
        <v>398</v>
      </c>
      <c r="O4" s="8" t="s">
        <v>399</v>
      </c>
      <c r="P4" s="8" t="s">
        <v>400</v>
      </c>
      <c r="Q4" s="8" t="s">
        <v>401</v>
      </c>
      <c r="R4" s="8" t="s">
        <v>402</v>
      </c>
      <c r="S4" s="8" t="s">
        <v>403</v>
      </c>
      <c r="T4" s="8" t="s">
        <v>404</v>
      </c>
      <c r="U4" s="8" t="s">
        <v>405</v>
      </c>
      <c r="V4" s="8" t="s">
        <v>406</v>
      </c>
      <c r="W4" s="19" t="s">
        <v>407</v>
      </c>
      <c r="X4" s="19" t="s">
        <v>408</v>
      </c>
      <c r="Y4" s="19" t="s">
        <v>409</v>
      </c>
      <c r="Z4" s="19" t="s">
        <v>410</v>
      </c>
      <c r="AA4" s="19" t="s">
        <v>411</v>
      </c>
      <c r="AB4" s="19" t="s">
        <v>412</v>
      </c>
      <c r="AC4" s="19" t="s">
        <v>413</v>
      </c>
      <c r="AD4" s="8" t="s">
        <v>415</v>
      </c>
      <c r="AE4" s="8" t="s">
        <v>416</v>
      </c>
      <c r="AF4" s="8" t="s">
        <v>417</v>
      </c>
      <c r="AG4" s="8" t="s">
        <v>418</v>
      </c>
      <c r="AH4" s="8" t="s">
        <v>419</v>
      </c>
      <c r="AI4" s="8" t="s">
        <v>420</v>
      </c>
      <c r="AJ4" s="8" t="s">
        <v>421</v>
      </c>
      <c r="AK4" s="8" t="s">
        <v>422</v>
      </c>
      <c r="AL4" s="8" t="s">
        <v>423</v>
      </c>
      <c r="AM4" s="8" t="s">
        <v>424</v>
      </c>
      <c r="AN4" s="19" t="s">
        <v>425</v>
      </c>
      <c r="AO4" s="19" t="s">
        <v>426</v>
      </c>
      <c r="AP4" s="19" t="s">
        <v>427</v>
      </c>
      <c r="AQ4" s="19" t="s">
        <v>428</v>
      </c>
      <c r="AR4" s="19" t="s">
        <v>429</v>
      </c>
      <c r="AS4" s="19" t="s">
        <v>430</v>
      </c>
      <c r="AT4" s="19" t="s">
        <v>431</v>
      </c>
      <c r="AU4" s="8" t="s">
        <v>433</v>
      </c>
      <c r="AV4" s="8" t="s">
        <v>434</v>
      </c>
      <c r="AW4" s="8" t="s">
        <v>435</v>
      </c>
      <c r="AX4" s="8" t="s">
        <v>436</v>
      </c>
      <c r="AY4" s="8" t="s">
        <v>437</v>
      </c>
      <c r="AZ4" s="8" t="s">
        <v>438</v>
      </c>
      <c r="BA4" s="8" t="s">
        <v>439</v>
      </c>
      <c r="BB4" s="8" t="s">
        <v>440</v>
      </c>
      <c r="BC4" s="8" t="s">
        <v>441</v>
      </c>
      <c r="BD4" s="8" t="s">
        <v>442</v>
      </c>
      <c r="BE4" s="19" t="s">
        <v>443</v>
      </c>
      <c r="BF4" s="19" t="s">
        <v>444</v>
      </c>
      <c r="BG4" s="19" t="s">
        <v>445</v>
      </c>
      <c r="BH4" s="19" t="s">
        <v>446</v>
      </c>
      <c r="BI4" s="19" t="s">
        <v>447</v>
      </c>
      <c r="BJ4" s="19" t="s">
        <v>448</v>
      </c>
      <c r="BK4" s="19" t="s">
        <v>449</v>
      </c>
      <c r="BL4" s="19" t="s">
        <v>450</v>
      </c>
      <c r="BM4" s="19" t="s">
        <v>291</v>
      </c>
      <c r="BN4" s="19" t="s">
        <v>451</v>
      </c>
      <c r="BO4" s="19" t="s">
        <v>293</v>
      </c>
    </row>
    <row r="5" spans="1:67" x14ac:dyDescent="0.2">
      <c r="A5" s="10"/>
      <c r="B5" s="12"/>
      <c r="C5" s="10"/>
      <c r="D5" s="10"/>
      <c r="E5" s="10"/>
      <c r="F5" s="17"/>
      <c r="G5" s="10"/>
      <c r="H5" s="17"/>
      <c r="I5" s="17"/>
      <c r="J5" s="10"/>
      <c r="K5" s="17"/>
      <c r="L5" s="10"/>
      <c r="M5" s="10"/>
      <c r="N5" s="17"/>
      <c r="O5" s="15"/>
      <c r="P5" s="26"/>
      <c r="Q5" s="10"/>
      <c r="R5" s="12"/>
      <c r="S5" s="12"/>
      <c r="T5" s="15"/>
      <c r="U5" s="15"/>
      <c r="V5" s="10"/>
      <c r="W5" s="21" t="str">
        <f>IF(COUNTA(N5:U5)=0,"",IF(N5="","E_MISSING_INPUT",IF(N5="TIMESTAMP",IF(OR(O5="",P5="",Q5=""),"E_MISSING_INPUT",IF(OR(NOT(ISNUMBER(O5)),NOT(ISNUMBER(P5))),"E_INVALID_DATE",IF(OR(O5&lt;&gt;INT(O5),P5&lt;0,P5&gt;=1),"E_INVALID_DATE",IF(ISNA(MATCH(Q5,nLIST_Offset,0)),"E_INVALID_DATE","")))),IF(N5="DATE",IF(O5="","E_MISSING_INPUT",IF(NOT(ISNUMBER(O5)),"E_INVALID_DATE",IF(O5&lt;&gt;INT(O5),"E_INVALID_DATE",""))),IF(N5="MONTH",IF(OR(R5="",S5=""),"E_MISSING_INPUT",IF(OR(NOT(ISNUMBER(R5)),NOT(ISNUMBER(S5))),"E_INVALID_DATE",IF(OR(R5&lt;1900,R5&gt;9999,R5&lt;&gt;INT(R5),S5&lt;1,S5&gt;12,S5&lt;&gt;INT(S5)),"E_INVALID_DATE",""))),IF(N5="YEAR",IF(R5="","E_MISSING_INPUT",IF(NOT(ISNUMBER(R5)),"E_INVALID_DATE",IF(OR(R5&lt;1900,R5&gt;9999,R5&lt;&gt;INT(R5)),"E_INVALID_DATE",""))),IF(N5="RANGE",IF(OR(T5="",U5=""),"E_MISSING_INPUT",IF(OR(NOT(ISNUMBER(T5)),NOT(ISNUMBER(U5))),"E_INVALID_DATE",IF(OR(T5&lt;&gt;INT(T5),U5&lt;&gt;INT(U5)),"E_INVALID_DATE",IF(T5&gt;U5,"E_REVERSED_BOUNDS","")))),"E_MISSING_INPUT")))))))</f>
        <v/>
      </c>
      <c r="X5" s="22">
        <f t="shared" ref="X5:X34" si="0">IF(AND(W5="",N5="TIMESTAMP"),1,0)</f>
        <v>0</v>
      </c>
      <c r="Y5" s="22">
        <f t="shared" ref="Y5:Y34" si="1">IF(AND(X5=1,Q5&lt;&gt;"unknown"),1,0)</f>
        <v>0</v>
      </c>
      <c r="Z5" s="28" t="str">
        <f t="shared" ref="Z5:Z34" si="2">IF(OR(W5&lt;&gt;"",N5=""),"",IF(OR(N5="TIMESTAMP",N5="DATE"),O5,IF(N5="MONTH",DATE(R5,S5,1),IF(N5="YEAR",DATE(R5,1,1),T5))))</f>
        <v/>
      </c>
      <c r="AA5" s="28" t="str">
        <f t="shared" ref="AA5:AA34" si="3">IF(OR(W5&lt;&gt;"",N5=""),"",IF(OR(N5="TIMESTAMP",N5="DATE"),O5,IF(N5="MONTH",EOMONTH(DATE(R5,S5,1),0),IF(N5="YEAR",DATE(R5,12,31),U5))))</f>
        <v/>
      </c>
      <c r="AB5" s="22" t="str">
        <f t="shared" ref="AB5:AB34" si="4">IF(X5=1,O5*1440+ROUND(P5*1440,0),"")</f>
        <v/>
      </c>
      <c r="AC5" s="22" t="str">
        <f t="shared" ref="AC5:AC34" si="5">IF(Y5=1,AB5-(IF(LEFT(Q5,1)="-",-1,1)*(VALUE(MID(Q5,2,2))*60+VALUE(MID(Q5,5,2)))),"")</f>
        <v/>
      </c>
      <c r="AD5" s="10"/>
      <c r="AE5" s="17"/>
      <c r="AF5" s="15"/>
      <c r="AG5" s="26"/>
      <c r="AH5" s="10"/>
      <c r="AI5" s="12"/>
      <c r="AJ5" s="12"/>
      <c r="AK5" s="15"/>
      <c r="AL5" s="15"/>
      <c r="AM5" s="10"/>
      <c r="AN5" s="21" t="str">
        <f>IF(COUNTA(AE5:AL5)=0,"",IF(AE5="","E_MISSING_INPUT",IF(AE5="TIMESTAMP",IF(OR(AF5="",AG5="",AH5=""),"E_MISSING_INPUT",IF(OR(NOT(ISNUMBER(AF5)),NOT(ISNUMBER(AG5))),"E_INVALID_DATE",IF(OR(AF5&lt;&gt;INT(AF5),AG5&lt;0,AG5&gt;=1),"E_INVALID_DATE",IF(ISNA(MATCH(AH5,nLIST_Offset,0)),"E_INVALID_DATE","")))),IF(AE5="DATE",IF(AF5="","E_MISSING_INPUT",IF(NOT(ISNUMBER(AF5)),"E_INVALID_DATE",IF(AF5&lt;&gt;INT(AF5),"E_INVALID_DATE",""))),IF(AE5="MONTH",IF(OR(AI5="",AJ5=""),"E_MISSING_INPUT",IF(OR(NOT(ISNUMBER(AI5)),NOT(ISNUMBER(AJ5))),"E_INVALID_DATE",IF(OR(AI5&lt;1900,AI5&gt;9999,AI5&lt;&gt;INT(AI5),AJ5&lt;1,AJ5&gt;12,AJ5&lt;&gt;INT(AJ5)),"E_INVALID_DATE",""))),IF(AE5="YEAR",IF(AI5="","E_MISSING_INPUT",IF(NOT(ISNUMBER(AI5)),"E_INVALID_DATE",IF(OR(AI5&lt;1900,AI5&gt;9999,AI5&lt;&gt;INT(AI5)),"E_INVALID_DATE",""))),IF(AE5="RANGE",IF(OR(AK5="",AL5=""),"E_MISSING_INPUT",IF(OR(NOT(ISNUMBER(AK5)),NOT(ISNUMBER(AL5))),"E_INVALID_DATE",IF(OR(AK5&lt;&gt;INT(AK5),AL5&lt;&gt;INT(AL5)),"E_INVALID_DATE",IF(AK5&gt;AL5,"E_REVERSED_BOUNDS","")))),"E_MISSING_INPUT")))))))</f>
        <v/>
      </c>
      <c r="AO5" s="22">
        <f t="shared" ref="AO5:AO34" si="6">IF(AND(AN5="",AE5="TIMESTAMP"),1,0)</f>
        <v>0</v>
      </c>
      <c r="AP5" s="22">
        <f t="shared" ref="AP5:AP34" si="7">IF(AND(AO5=1,AH5&lt;&gt;"unknown"),1,0)</f>
        <v>0</v>
      </c>
      <c r="AQ5" s="28" t="str">
        <f t="shared" ref="AQ5:AQ34" si="8">IF(OR(AN5&lt;&gt;"",AE5=""),"",IF(OR(AE5="TIMESTAMP",AE5="DATE"),AF5,IF(AE5="MONTH",DATE(AI5,AJ5,1),IF(AE5="YEAR",DATE(AI5,1,1),AK5))))</f>
        <v/>
      </c>
      <c r="AR5" s="28" t="str">
        <f t="shared" ref="AR5:AR34" si="9">IF(OR(AN5&lt;&gt;"",AE5=""),"",IF(OR(AE5="TIMESTAMP",AE5="DATE"),AF5,IF(AE5="MONTH",EOMONTH(DATE(AI5,AJ5,1),0),IF(AE5="YEAR",DATE(AI5,12,31),AL5))))</f>
        <v/>
      </c>
      <c r="AS5" s="22" t="str">
        <f t="shared" ref="AS5:AS34" si="10">IF(AO5=1,AF5*1440+ROUND(AG5*1440,0),"")</f>
        <v/>
      </c>
      <c r="AT5" s="22" t="str">
        <f t="shared" ref="AT5:AT34" si="11">IF(AP5=1,AS5-(IF(LEFT(AH5,1)="-",-1,1)*(VALUE(MID(AH5,2,2))*60+VALUE(MID(AH5,5,2)))),"")</f>
        <v/>
      </c>
      <c r="AU5" s="10"/>
      <c r="AV5" s="17"/>
      <c r="AW5" s="15"/>
      <c r="AX5" s="26"/>
      <c r="AY5" s="10"/>
      <c r="AZ5" s="12"/>
      <c r="BA5" s="12"/>
      <c r="BB5" s="15"/>
      <c r="BC5" s="15"/>
      <c r="BD5" s="10"/>
      <c r="BE5" s="21" t="str">
        <f>IF(COUNTA(AV5:BC5)=0,"",IF(AV5="","E_MISSING_INPUT",IF(AV5="TIMESTAMP",IF(OR(AW5="",AX5="",AY5=""),"E_MISSING_INPUT",IF(OR(NOT(ISNUMBER(AW5)),NOT(ISNUMBER(AX5))),"E_INVALID_DATE",IF(OR(AW5&lt;&gt;INT(AW5),AX5&lt;0,AX5&gt;=1),"E_INVALID_DATE",IF(ISNA(MATCH(AY5,nLIST_Offset,0)),"E_INVALID_DATE","")))),IF(AV5="DATE",IF(AW5="","E_MISSING_INPUT",IF(NOT(ISNUMBER(AW5)),"E_INVALID_DATE",IF(AW5&lt;&gt;INT(AW5),"E_INVALID_DATE",""))),IF(AV5="MONTH",IF(OR(AZ5="",BA5=""),"E_MISSING_INPUT",IF(OR(NOT(ISNUMBER(AZ5)),NOT(ISNUMBER(BA5))),"E_INVALID_DATE",IF(OR(AZ5&lt;1900,AZ5&gt;9999,AZ5&lt;&gt;INT(AZ5),BA5&lt;1,BA5&gt;12,BA5&lt;&gt;INT(BA5)),"E_INVALID_DATE",""))),IF(AV5="YEAR",IF(AZ5="","E_MISSING_INPUT",IF(NOT(ISNUMBER(AZ5)),"E_INVALID_DATE",IF(OR(AZ5&lt;1900,AZ5&gt;9999,AZ5&lt;&gt;INT(AZ5)),"E_INVALID_DATE",""))),IF(AV5="RANGE",IF(OR(BB5="",BC5=""),"E_MISSING_INPUT",IF(OR(NOT(ISNUMBER(BB5)),NOT(ISNUMBER(BC5))),"E_INVALID_DATE",IF(OR(BB5&lt;&gt;INT(BB5),BC5&lt;&gt;INT(BC5)),"E_INVALID_DATE",IF(BB5&gt;BC5,"E_REVERSED_BOUNDS","")))),"E_MISSING_INPUT")))))))</f>
        <v/>
      </c>
      <c r="BF5" s="22">
        <f t="shared" ref="BF5:BF34" si="12">IF(AND(BE5="",AV5="TIMESTAMP"),1,0)</f>
        <v>0</v>
      </c>
      <c r="BG5" s="22">
        <f t="shared" ref="BG5:BG34" si="13">IF(AND(BF5=1,AY5&lt;&gt;"unknown"),1,0)</f>
        <v>0</v>
      </c>
      <c r="BH5" s="28" t="str">
        <f t="shared" ref="BH5:BH34" si="14">IF(OR(BE5&lt;&gt;"",AV5=""),"",IF(OR(AV5="TIMESTAMP",AV5="DATE"),AW5,IF(AV5="MONTH",DATE(AZ5,BA5,1),IF(AV5="YEAR",DATE(AZ5,1,1),BB5))))</f>
        <v/>
      </c>
      <c r="BI5" s="28" t="str">
        <f t="shared" ref="BI5:BI34" si="15">IF(OR(BE5&lt;&gt;"",AV5=""),"",IF(OR(AV5="TIMESTAMP",AV5="DATE"),AW5,IF(AV5="MONTH",EOMONTH(DATE(AZ5,BA5,1),0),IF(AV5="YEAR",DATE(AZ5,12,31),BC5))))</f>
        <v/>
      </c>
      <c r="BJ5" s="22" t="str">
        <f t="shared" ref="BJ5:BJ34" si="16">IF(BF5=1,AW5*1440+ROUND(AX5*1440,0),"")</f>
        <v/>
      </c>
      <c r="BK5" s="22" t="str">
        <f t="shared" ref="BK5:BK34" si="17">IF(BG5=1,BJ5-(IF(LEFT(AY5,1)="-",-1,1)*(VALUE(MID(AY5,2,2))*60+VALUE(MID(AY5,5,2)))),"")</f>
        <v/>
      </c>
      <c r="BL5" s="21" t="str">
        <f t="shared" ref="BL5:BL34" si="18">IF(D5="","",A5&amp;"|"&amp;B5&amp;"|"&amp;D5)</f>
        <v/>
      </c>
      <c r="BM5" s="22">
        <f>IF(BL5="",0,COUNTIF(nEXP_Key,BL5))</f>
        <v>0</v>
      </c>
      <c r="BN5" s="21" t="str">
        <f t="shared" ref="BN5:BN34" si="19">IF(D5="",IF(COUNTA(C5,E5,N5,O5)&gt;0,"E_MISSING_INPUT",""),IF(BM5&gt;1,"E_DUPLICATE_ID",IF(W5&lt;&gt;"",W5,IF(AN5&lt;&gt;"",AN5,BE5))))</f>
        <v/>
      </c>
      <c r="BO5" s="21" t="str">
        <f>IF(BN5="","",BN5&amp;": "&amp;SUBSTITUTE(IFERROR(INDEX(nMSG_Text,MATCH(BN5,nMSG_Code,0)),""),"[input]",IF(D5="","an Exposure_Episode_ID","the date fields required by the selected precision")))</f>
        <v/>
      </c>
    </row>
    <row r="6" spans="1:67" x14ac:dyDescent="0.2">
      <c r="A6" s="10"/>
      <c r="B6" s="12"/>
      <c r="C6" s="10"/>
      <c r="D6" s="10"/>
      <c r="E6" s="10"/>
      <c r="F6" s="17"/>
      <c r="G6" s="10"/>
      <c r="H6" s="17"/>
      <c r="I6" s="17"/>
      <c r="J6" s="10"/>
      <c r="K6" s="17"/>
      <c r="L6" s="10"/>
      <c r="M6" s="10"/>
      <c r="N6" s="17"/>
      <c r="O6" s="15"/>
      <c r="P6" s="26"/>
      <c r="Q6" s="10"/>
      <c r="R6" s="12"/>
      <c r="S6" s="12"/>
      <c r="T6" s="15"/>
      <c r="U6" s="15"/>
      <c r="V6" s="10"/>
      <c r="W6" s="21" t="str">
        <f>IF(COUNTA(N6:U6)=0,"",IF(N6="","E_MISSING_INPUT",IF(N6="TIMESTAMP",IF(OR(O6="",P6="",Q6=""),"E_MISSING_INPUT",IF(OR(NOT(ISNUMBER(O6)),NOT(ISNUMBER(P6))),"E_INVALID_DATE",IF(OR(O6&lt;&gt;INT(O6),P6&lt;0,P6&gt;=1),"E_INVALID_DATE",IF(ISNA(MATCH(Q6,nLIST_Offset,0)),"E_INVALID_DATE","")))),IF(N6="DATE",IF(O6="","E_MISSING_INPUT",IF(NOT(ISNUMBER(O6)),"E_INVALID_DATE",IF(O6&lt;&gt;INT(O6),"E_INVALID_DATE",""))),IF(N6="MONTH",IF(OR(R6="",S6=""),"E_MISSING_INPUT",IF(OR(NOT(ISNUMBER(R6)),NOT(ISNUMBER(S6))),"E_INVALID_DATE",IF(OR(R6&lt;1900,R6&gt;9999,R6&lt;&gt;INT(R6),S6&lt;1,S6&gt;12,S6&lt;&gt;INT(S6)),"E_INVALID_DATE",""))),IF(N6="YEAR",IF(R6="","E_MISSING_INPUT",IF(NOT(ISNUMBER(R6)),"E_INVALID_DATE",IF(OR(R6&lt;1900,R6&gt;9999,R6&lt;&gt;INT(R6)),"E_INVALID_DATE",""))),IF(N6="RANGE",IF(OR(T6="",U6=""),"E_MISSING_INPUT",IF(OR(NOT(ISNUMBER(T6)),NOT(ISNUMBER(U6))),"E_INVALID_DATE",IF(OR(T6&lt;&gt;INT(T6),U6&lt;&gt;INT(U6)),"E_INVALID_DATE",IF(T6&gt;U6,"E_REVERSED_BOUNDS","")))),"E_MISSING_INPUT")))))))</f>
        <v/>
      </c>
      <c r="X6" s="22">
        <f t="shared" si="0"/>
        <v>0</v>
      </c>
      <c r="Y6" s="22">
        <f t="shared" si="1"/>
        <v>0</v>
      </c>
      <c r="Z6" s="28" t="str">
        <f t="shared" si="2"/>
        <v/>
      </c>
      <c r="AA6" s="28" t="str">
        <f t="shared" si="3"/>
        <v/>
      </c>
      <c r="AB6" s="22" t="str">
        <f t="shared" si="4"/>
        <v/>
      </c>
      <c r="AC6" s="22" t="str">
        <f t="shared" si="5"/>
        <v/>
      </c>
      <c r="AD6" s="10"/>
      <c r="AE6" s="17"/>
      <c r="AF6" s="15"/>
      <c r="AG6" s="26"/>
      <c r="AH6" s="10"/>
      <c r="AI6" s="12"/>
      <c r="AJ6" s="12"/>
      <c r="AK6" s="15"/>
      <c r="AL6" s="15"/>
      <c r="AM6" s="10"/>
      <c r="AN6" s="21" t="str">
        <f>IF(COUNTA(AE6:AL6)=0,"",IF(AE6="","E_MISSING_INPUT",IF(AE6="TIMESTAMP",IF(OR(AF6="",AG6="",AH6=""),"E_MISSING_INPUT",IF(OR(NOT(ISNUMBER(AF6)),NOT(ISNUMBER(AG6))),"E_INVALID_DATE",IF(OR(AF6&lt;&gt;INT(AF6),AG6&lt;0,AG6&gt;=1),"E_INVALID_DATE",IF(ISNA(MATCH(AH6,nLIST_Offset,0)),"E_INVALID_DATE","")))),IF(AE6="DATE",IF(AF6="","E_MISSING_INPUT",IF(NOT(ISNUMBER(AF6)),"E_INVALID_DATE",IF(AF6&lt;&gt;INT(AF6),"E_INVALID_DATE",""))),IF(AE6="MONTH",IF(OR(AI6="",AJ6=""),"E_MISSING_INPUT",IF(OR(NOT(ISNUMBER(AI6)),NOT(ISNUMBER(AJ6))),"E_INVALID_DATE",IF(OR(AI6&lt;1900,AI6&gt;9999,AI6&lt;&gt;INT(AI6),AJ6&lt;1,AJ6&gt;12,AJ6&lt;&gt;INT(AJ6)),"E_INVALID_DATE",""))),IF(AE6="YEAR",IF(AI6="","E_MISSING_INPUT",IF(NOT(ISNUMBER(AI6)),"E_INVALID_DATE",IF(OR(AI6&lt;1900,AI6&gt;9999,AI6&lt;&gt;INT(AI6)),"E_INVALID_DATE",""))),IF(AE6="RANGE",IF(OR(AK6="",AL6=""),"E_MISSING_INPUT",IF(OR(NOT(ISNUMBER(AK6)),NOT(ISNUMBER(AL6))),"E_INVALID_DATE",IF(OR(AK6&lt;&gt;INT(AK6),AL6&lt;&gt;INT(AL6)),"E_INVALID_DATE",IF(AK6&gt;AL6,"E_REVERSED_BOUNDS","")))),"E_MISSING_INPUT")))))))</f>
        <v/>
      </c>
      <c r="AO6" s="22">
        <f t="shared" si="6"/>
        <v>0</v>
      </c>
      <c r="AP6" s="22">
        <f t="shared" si="7"/>
        <v>0</v>
      </c>
      <c r="AQ6" s="28" t="str">
        <f t="shared" si="8"/>
        <v/>
      </c>
      <c r="AR6" s="28" t="str">
        <f t="shared" si="9"/>
        <v/>
      </c>
      <c r="AS6" s="22" t="str">
        <f t="shared" si="10"/>
        <v/>
      </c>
      <c r="AT6" s="22" t="str">
        <f t="shared" si="11"/>
        <v/>
      </c>
      <c r="AU6" s="10"/>
      <c r="AV6" s="17"/>
      <c r="AW6" s="15"/>
      <c r="AX6" s="26"/>
      <c r="AY6" s="10"/>
      <c r="AZ6" s="12"/>
      <c r="BA6" s="12"/>
      <c r="BB6" s="15"/>
      <c r="BC6" s="15"/>
      <c r="BD6" s="10"/>
      <c r="BE6" s="21" t="str">
        <f>IF(COUNTA(AV6:BC6)=0,"",IF(AV6="","E_MISSING_INPUT",IF(AV6="TIMESTAMP",IF(OR(AW6="",AX6="",AY6=""),"E_MISSING_INPUT",IF(OR(NOT(ISNUMBER(AW6)),NOT(ISNUMBER(AX6))),"E_INVALID_DATE",IF(OR(AW6&lt;&gt;INT(AW6),AX6&lt;0,AX6&gt;=1),"E_INVALID_DATE",IF(ISNA(MATCH(AY6,nLIST_Offset,0)),"E_INVALID_DATE","")))),IF(AV6="DATE",IF(AW6="","E_MISSING_INPUT",IF(NOT(ISNUMBER(AW6)),"E_INVALID_DATE",IF(AW6&lt;&gt;INT(AW6),"E_INVALID_DATE",""))),IF(AV6="MONTH",IF(OR(AZ6="",BA6=""),"E_MISSING_INPUT",IF(OR(NOT(ISNUMBER(AZ6)),NOT(ISNUMBER(BA6))),"E_INVALID_DATE",IF(OR(AZ6&lt;1900,AZ6&gt;9999,AZ6&lt;&gt;INT(AZ6),BA6&lt;1,BA6&gt;12,BA6&lt;&gt;INT(BA6)),"E_INVALID_DATE",""))),IF(AV6="YEAR",IF(AZ6="","E_MISSING_INPUT",IF(NOT(ISNUMBER(AZ6)),"E_INVALID_DATE",IF(OR(AZ6&lt;1900,AZ6&gt;9999,AZ6&lt;&gt;INT(AZ6)),"E_INVALID_DATE",""))),IF(AV6="RANGE",IF(OR(BB6="",BC6=""),"E_MISSING_INPUT",IF(OR(NOT(ISNUMBER(BB6)),NOT(ISNUMBER(BC6))),"E_INVALID_DATE",IF(OR(BB6&lt;&gt;INT(BB6),BC6&lt;&gt;INT(BC6)),"E_INVALID_DATE",IF(BB6&gt;BC6,"E_REVERSED_BOUNDS","")))),"E_MISSING_INPUT")))))))</f>
        <v/>
      </c>
      <c r="BF6" s="22">
        <f t="shared" si="12"/>
        <v>0</v>
      </c>
      <c r="BG6" s="22">
        <f t="shared" si="13"/>
        <v>0</v>
      </c>
      <c r="BH6" s="28" t="str">
        <f t="shared" si="14"/>
        <v/>
      </c>
      <c r="BI6" s="28" t="str">
        <f t="shared" si="15"/>
        <v/>
      </c>
      <c r="BJ6" s="22" t="str">
        <f t="shared" si="16"/>
        <v/>
      </c>
      <c r="BK6" s="22" t="str">
        <f t="shared" si="17"/>
        <v/>
      </c>
      <c r="BL6" s="21" t="str">
        <f t="shared" si="18"/>
        <v/>
      </c>
      <c r="BM6" s="22">
        <f>IF(BL6="",0,COUNTIF(nEXP_Key,BL6))</f>
        <v>0</v>
      </c>
      <c r="BN6" s="21" t="str">
        <f t="shared" si="19"/>
        <v/>
      </c>
      <c r="BO6" s="21" t="str">
        <f>IF(BN6="","",BN6&amp;": "&amp;SUBSTITUTE(IFERROR(INDEX(nMSG_Text,MATCH(BN6,nMSG_Code,0)),""),"[input]",IF(D6="","an Exposure_Episode_ID","the date fields required by the selected precision")))</f>
        <v/>
      </c>
    </row>
    <row r="7" spans="1:67" x14ac:dyDescent="0.2">
      <c r="A7" s="10"/>
      <c r="B7" s="12"/>
      <c r="C7" s="10"/>
      <c r="D7" s="10"/>
      <c r="E7" s="10"/>
      <c r="F7" s="17"/>
      <c r="G7" s="10"/>
      <c r="H7" s="17"/>
      <c r="I7" s="17"/>
      <c r="J7" s="10"/>
      <c r="K7" s="17"/>
      <c r="L7" s="10"/>
      <c r="M7" s="10"/>
      <c r="N7" s="17"/>
      <c r="O7" s="15"/>
      <c r="P7" s="26"/>
      <c r="Q7" s="10"/>
      <c r="R7" s="12"/>
      <c r="S7" s="12"/>
      <c r="T7" s="15"/>
      <c r="U7" s="15"/>
      <c r="V7" s="10"/>
      <c r="W7" s="21" t="str">
        <f>IF(COUNTA(N7:U7)=0,"",IF(N7="","E_MISSING_INPUT",IF(N7="TIMESTAMP",IF(OR(O7="",P7="",Q7=""),"E_MISSING_INPUT",IF(OR(NOT(ISNUMBER(O7)),NOT(ISNUMBER(P7))),"E_INVALID_DATE",IF(OR(O7&lt;&gt;INT(O7),P7&lt;0,P7&gt;=1),"E_INVALID_DATE",IF(ISNA(MATCH(Q7,nLIST_Offset,0)),"E_INVALID_DATE","")))),IF(N7="DATE",IF(O7="","E_MISSING_INPUT",IF(NOT(ISNUMBER(O7)),"E_INVALID_DATE",IF(O7&lt;&gt;INT(O7),"E_INVALID_DATE",""))),IF(N7="MONTH",IF(OR(R7="",S7=""),"E_MISSING_INPUT",IF(OR(NOT(ISNUMBER(R7)),NOT(ISNUMBER(S7))),"E_INVALID_DATE",IF(OR(R7&lt;1900,R7&gt;9999,R7&lt;&gt;INT(R7),S7&lt;1,S7&gt;12,S7&lt;&gt;INT(S7)),"E_INVALID_DATE",""))),IF(N7="YEAR",IF(R7="","E_MISSING_INPUT",IF(NOT(ISNUMBER(R7)),"E_INVALID_DATE",IF(OR(R7&lt;1900,R7&gt;9999,R7&lt;&gt;INT(R7)),"E_INVALID_DATE",""))),IF(N7="RANGE",IF(OR(T7="",U7=""),"E_MISSING_INPUT",IF(OR(NOT(ISNUMBER(T7)),NOT(ISNUMBER(U7))),"E_INVALID_DATE",IF(OR(T7&lt;&gt;INT(T7),U7&lt;&gt;INT(U7)),"E_INVALID_DATE",IF(T7&gt;U7,"E_REVERSED_BOUNDS","")))),"E_MISSING_INPUT")))))))</f>
        <v/>
      </c>
      <c r="X7" s="22">
        <f t="shared" si="0"/>
        <v>0</v>
      </c>
      <c r="Y7" s="22">
        <f t="shared" si="1"/>
        <v>0</v>
      </c>
      <c r="Z7" s="28" t="str">
        <f t="shared" si="2"/>
        <v/>
      </c>
      <c r="AA7" s="28" t="str">
        <f t="shared" si="3"/>
        <v/>
      </c>
      <c r="AB7" s="22" t="str">
        <f t="shared" si="4"/>
        <v/>
      </c>
      <c r="AC7" s="22" t="str">
        <f t="shared" si="5"/>
        <v/>
      </c>
      <c r="AD7" s="10"/>
      <c r="AE7" s="17"/>
      <c r="AF7" s="15"/>
      <c r="AG7" s="26"/>
      <c r="AH7" s="10"/>
      <c r="AI7" s="12"/>
      <c r="AJ7" s="12"/>
      <c r="AK7" s="15"/>
      <c r="AL7" s="15"/>
      <c r="AM7" s="10"/>
      <c r="AN7" s="21" t="str">
        <f>IF(COUNTA(AE7:AL7)=0,"",IF(AE7="","E_MISSING_INPUT",IF(AE7="TIMESTAMP",IF(OR(AF7="",AG7="",AH7=""),"E_MISSING_INPUT",IF(OR(NOT(ISNUMBER(AF7)),NOT(ISNUMBER(AG7))),"E_INVALID_DATE",IF(OR(AF7&lt;&gt;INT(AF7),AG7&lt;0,AG7&gt;=1),"E_INVALID_DATE",IF(ISNA(MATCH(AH7,nLIST_Offset,0)),"E_INVALID_DATE","")))),IF(AE7="DATE",IF(AF7="","E_MISSING_INPUT",IF(NOT(ISNUMBER(AF7)),"E_INVALID_DATE",IF(AF7&lt;&gt;INT(AF7),"E_INVALID_DATE",""))),IF(AE7="MONTH",IF(OR(AI7="",AJ7=""),"E_MISSING_INPUT",IF(OR(NOT(ISNUMBER(AI7)),NOT(ISNUMBER(AJ7))),"E_INVALID_DATE",IF(OR(AI7&lt;1900,AI7&gt;9999,AI7&lt;&gt;INT(AI7),AJ7&lt;1,AJ7&gt;12,AJ7&lt;&gt;INT(AJ7)),"E_INVALID_DATE",""))),IF(AE7="YEAR",IF(AI7="","E_MISSING_INPUT",IF(NOT(ISNUMBER(AI7)),"E_INVALID_DATE",IF(OR(AI7&lt;1900,AI7&gt;9999,AI7&lt;&gt;INT(AI7)),"E_INVALID_DATE",""))),IF(AE7="RANGE",IF(OR(AK7="",AL7=""),"E_MISSING_INPUT",IF(OR(NOT(ISNUMBER(AK7)),NOT(ISNUMBER(AL7))),"E_INVALID_DATE",IF(OR(AK7&lt;&gt;INT(AK7),AL7&lt;&gt;INT(AL7)),"E_INVALID_DATE",IF(AK7&gt;AL7,"E_REVERSED_BOUNDS","")))),"E_MISSING_INPUT")))))))</f>
        <v/>
      </c>
      <c r="AO7" s="22">
        <f t="shared" si="6"/>
        <v>0</v>
      </c>
      <c r="AP7" s="22">
        <f t="shared" si="7"/>
        <v>0</v>
      </c>
      <c r="AQ7" s="28" t="str">
        <f t="shared" si="8"/>
        <v/>
      </c>
      <c r="AR7" s="28" t="str">
        <f t="shared" si="9"/>
        <v/>
      </c>
      <c r="AS7" s="22" t="str">
        <f t="shared" si="10"/>
        <v/>
      </c>
      <c r="AT7" s="22" t="str">
        <f t="shared" si="11"/>
        <v/>
      </c>
      <c r="AU7" s="10"/>
      <c r="AV7" s="17"/>
      <c r="AW7" s="15"/>
      <c r="AX7" s="26"/>
      <c r="AY7" s="10"/>
      <c r="AZ7" s="12"/>
      <c r="BA7" s="12"/>
      <c r="BB7" s="15"/>
      <c r="BC7" s="15"/>
      <c r="BD7" s="10"/>
      <c r="BE7" s="21" t="str">
        <f>IF(COUNTA(AV7:BC7)=0,"",IF(AV7="","E_MISSING_INPUT",IF(AV7="TIMESTAMP",IF(OR(AW7="",AX7="",AY7=""),"E_MISSING_INPUT",IF(OR(NOT(ISNUMBER(AW7)),NOT(ISNUMBER(AX7))),"E_INVALID_DATE",IF(OR(AW7&lt;&gt;INT(AW7),AX7&lt;0,AX7&gt;=1),"E_INVALID_DATE",IF(ISNA(MATCH(AY7,nLIST_Offset,0)),"E_INVALID_DATE","")))),IF(AV7="DATE",IF(AW7="","E_MISSING_INPUT",IF(NOT(ISNUMBER(AW7)),"E_INVALID_DATE",IF(AW7&lt;&gt;INT(AW7),"E_INVALID_DATE",""))),IF(AV7="MONTH",IF(OR(AZ7="",BA7=""),"E_MISSING_INPUT",IF(OR(NOT(ISNUMBER(AZ7)),NOT(ISNUMBER(BA7))),"E_INVALID_DATE",IF(OR(AZ7&lt;1900,AZ7&gt;9999,AZ7&lt;&gt;INT(AZ7),BA7&lt;1,BA7&gt;12,BA7&lt;&gt;INT(BA7)),"E_INVALID_DATE",""))),IF(AV7="YEAR",IF(AZ7="","E_MISSING_INPUT",IF(NOT(ISNUMBER(AZ7)),"E_INVALID_DATE",IF(OR(AZ7&lt;1900,AZ7&gt;9999,AZ7&lt;&gt;INT(AZ7)),"E_INVALID_DATE",""))),IF(AV7="RANGE",IF(OR(BB7="",BC7=""),"E_MISSING_INPUT",IF(OR(NOT(ISNUMBER(BB7)),NOT(ISNUMBER(BC7))),"E_INVALID_DATE",IF(OR(BB7&lt;&gt;INT(BB7),BC7&lt;&gt;INT(BC7)),"E_INVALID_DATE",IF(BB7&gt;BC7,"E_REVERSED_BOUNDS","")))),"E_MISSING_INPUT")))))))</f>
        <v/>
      </c>
      <c r="BF7" s="22">
        <f t="shared" si="12"/>
        <v>0</v>
      </c>
      <c r="BG7" s="22">
        <f t="shared" si="13"/>
        <v>0</v>
      </c>
      <c r="BH7" s="28" t="str">
        <f t="shared" si="14"/>
        <v/>
      </c>
      <c r="BI7" s="28" t="str">
        <f t="shared" si="15"/>
        <v/>
      </c>
      <c r="BJ7" s="22" t="str">
        <f t="shared" si="16"/>
        <v/>
      </c>
      <c r="BK7" s="22" t="str">
        <f t="shared" si="17"/>
        <v/>
      </c>
      <c r="BL7" s="21" t="str">
        <f t="shared" si="18"/>
        <v/>
      </c>
      <c r="BM7" s="22">
        <f>IF(BL7="",0,COUNTIF(nEXP_Key,BL7))</f>
        <v>0</v>
      </c>
      <c r="BN7" s="21" t="str">
        <f t="shared" si="19"/>
        <v/>
      </c>
      <c r="BO7" s="21" t="str">
        <f>IF(BN7="","",BN7&amp;": "&amp;SUBSTITUTE(IFERROR(INDEX(nMSG_Text,MATCH(BN7,nMSG_Code,0)),""),"[input]",IF(D7="","an Exposure_Episode_ID","the date fields required by the selected precision")))</f>
        <v/>
      </c>
    </row>
    <row r="8" spans="1:67" x14ac:dyDescent="0.2">
      <c r="A8" s="10"/>
      <c r="B8" s="12"/>
      <c r="C8" s="10"/>
      <c r="D8" s="10"/>
      <c r="E8" s="10"/>
      <c r="F8" s="17"/>
      <c r="G8" s="10"/>
      <c r="H8" s="17"/>
      <c r="I8" s="17"/>
      <c r="J8" s="10"/>
      <c r="K8" s="17"/>
      <c r="L8" s="10"/>
      <c r="M8" s="10"/>
      <c r="N8" s="17"/>
      <c r="O8" s="15"/>
      <c r="P8" s="26"/>
      <c r="Q8" s="10"/>
      <c r="R8" s="12"/>
      <c r="S8" s="12"/>
      <c r="T8" s="15"/>
      <c r="U8" s="15"/>
      <c r="V8" s="10"/>
      <c r="W8" s="21" t="str">
        <f>IF(COUNTA(N8:U8)=0,"",IF(N8="","E_MISSING_INPUT",IF(N8="TIMESTAMP",IF(OR(O8="",P8="",Q8=""),"E_MISSING_INPUT",IF(OR(NOT(ISNUMBER(O8)),NOT(ISNUMBER(P8))),"E_INVALID_DATE",IF(OR(O8&lt;&gt;INT(O8),P8&lt;0,P8&gt;=1),"E_INVALID_DATE",IF(ISNA(MATCH(Q8,nLIST_Offset,0)),"E_INVALID_DATE","")))),IF(N8="DATE",IF(O8="","E_MISSING_INPUT",IF(NOT(ISNUMBER(O8)),"E_INVALID_DATE",IF(O8&lt;&gt;INT(O8),"E_INVALID_DATE",""))),IF(N8="MONTH",IF(OR(R8="",S8=""),"E_MISSING_INPUT",IF(OR(NOT(ISNUMBER(R8)),NOT(ISNUMBER(S8))),"E_INVALID_DATE",IF(OR(R8&lt;1900,R8&gt;9999,R8&lt;&gt;INT(R8),S8&lt;1,S8&gt;12,S8&lt;&gt;INT(S8)),"E_INVALID_DATE",""))),IF(N8="YEAR",IF(R8="","E_MISSING_INPUT",IF(NOT(ISNUMBER(R8)),"E_INVALID_DATE",IF(OR(R8&lt;1900,R8&gt;9999,R8&lt;&gt;INT(R8)),"E_INVALID_DATE",""))),IF(N8="RANGE",IF(OR(T8="",U8=""),"E_MISSING_INPUT",IF(OR(NOT(ISNUMBER(T8)),NOT(ISNUMBER(U8))),"E_INVALID_DATE",IF(OR(T8&lt;&gt;INT(T8),U8&lt;&gt;INT(U8)),"E_INVALID_DATE",IF(T8&gt;U8,"E_REVERSED_BOUNDS","")))),"E_MISSING_INPUT")))))))</f>
        <v/>
      </c>
      <c r="X8" s="22">
        <f t="shared" si="0"/>
        <v>0</v>
      </c>
      <c r="Y8" s="22">
        <f t="shared" si="1"/>
        <v>0</v>
      </c>
      <c r="Z8" s="28" t="str">
        <f t="shared" si="2"/>
        <v/>
      </c>
      <c r="AA8" s="28" t="str">
        <f t="shared" si="3"/>
        <v/>
      </c>
      <c r="AB8" s="22" t="str">
        <f t="shared" si="4"/>
        <v/>
      </c>
      <c r="AC8" s="22" t="str">
        <f t="shared" si="5"/>
        <v/>
      </c>
      <c r="AD8" s="10"/>
      <c r="AE8" s="17"/>
      <c r="AF8" s="15"/>
      <c r="AG8" s="26"/>
      <c r="AH8" s="10"/>
      <c r="AI8" s="12"/>
      <c r="AJ8" s="12"/>
      <c r="AK8" s="15"/>
      <c r="AL8" s="15"/>
      <c r="AM8" s="10"/>
      <c r="AN8" s="21" t="str">
        <f>IF(COUNTA(AE8:AL8)=0,"",IF(AE8="","E_MISSING_INPUT",IF(AE8="TIMESTAMP",IF(OR(AF8="",AG8="",AH8=""),"E_MISSING_INPUT",IF(OR(NOT(ISNUMBER(AF8)),NOT(ISNUMBER(AG8))),"E_INVALID_DATE",IF(OR(AF8&lt;&gt;INT(AF8),AG8&lt;0,AG8&gt;=1),"E_INVALID_DATE",IF(ISNA(MATCH(AH8,nLIST_Offset,0)),"E_INVALID_DATE","")))),IF(AE8="DATE",IF(AF8="","E_MISSING_INPUT",IF(NOT(ISNUMBER(AF8)),"E_INVALID_DATE",IF(AF8&lt;&gt;INT(AF8),"E_INVALID_DATE",""))),IF(AE8="MONTH",IF(OR(AI8="",AJ8=""),"E_MISSING_INPUT",IF(OR(NOT(ISNUMBER(AI8)),NOT(ISNUMBER(AJ8))),"E_INVALID_DATE",IF(OR(AI8&lt;1900,AI8&gt;9999,AI8&lt;&gt;INT(AI8),AJ8&lt;1,AJ8&gt;12,AJ8&lt;&gt;INT(AJ8)),"E_INVALID_DATE",""))),IF(AE8="YEAR",IF(AI8="","E_MISSING_INPUT",IF(NOT(ISNUMBER(AI8)),"E_INVALID_DATE",IF(OR(AI8&lt;1900,AI8&gt;9999,AI8&lt;&gt;INT(AI8)),"E_INVALID_DATE",""))),IF(AE8="RANGE",IF(OR(AK8="",AL8=""),"E_MISSING_INPUT",IF(OR(NOT(ISNUMBER(AK8)),NOT(ISNUMBER(AL8))),"E_INVALID_DATE",IF(OR(AK8&lt;&gt;INT(AK8),AL8&lt;&gt;INT(AL8)),"E_INVALID_DATE",IF(AK8&gt;AL8,"E_REVERSED_BOUNDS","")))),"E_MISSING_INPUT")))))))</f>
        <v/>
      </c>
      <c r="AO8" s="22">
        <f t="shared" si="6"/>
        <v>0</v>
      </c>
      <c r="AP8" s="22">
        <f t="shared" si="7"/>
        <v>0</v>
      </c>
      <c r="AQ8" s="28" t="str">
        <f t="shared" si="8"/>
        <v/>
      </c>
      <c r="AR8" s="28" t="str">
        <f t="shared" si="9"/>
        <v/>
      </c>
      <c r="AS8" s="22" t="str">
        <f t="shared" si="10"/>
        <v/>
      </c>
      <c r="AT8" s="22" t="str">
        <f t="shared" si="11"/>
        <v/>
      </c>
      <c r="AU8" s="10"/>
      <c r="AV8" s="17"/>
      <c r="AW8" s="15"/>
      <c r="AX8" s="26"/>
      <c r="AY8" s="10"/>
      <c r="AZ8" s="12"/>
      <c r="BA8" s="12"/>
      <c r="BB8" s="15"/>
      <c r="BC8" s="15"/>
      <c r="BD8" s="10"/>
      <c r="BE8" s="21" t="str">
        <f>IF(COUNTA(AV8:BC8)=0,"",IF(AV8="","E_MISSING_INPUT",IF(AV8="TIMESTAMP",IF(OR(AW8="",AX8="",AY8=""),"E_MISSING_INPUT",IF(OR(NOT(ISNUMBER(AW8)),NOT(ISNUMBER(AX8))),"E_INVALID_DATE",IF(OR(AW8&lt;&gt;INT(AW8),AX8&lt;0,AX8&gt;=1),"E_INVALID_DATE",IF(ISNA(MATCH(AY8,nLIST_Offset,0)),"E_INVALID_DATE","")))),IF(AV8="DATE",IF(AW8="","E_MISSING_INPUT",IF(NOT(ISNUMBER(AW8)),"E_INVALID_DATE",IF(AW8&lt;&gt;INT(AW8),"E_INVALID_DATE",""))),IF(AV8="MONTH",IF(OR(AZ8="",BA8=""),"E_MISSING_INPUT",IF(OR(NOT(ISNUMBER(AZ8)),NOT(ISNUMBER(BA8))),"E_INVALID_DATE",IF(OR(AZ8&lt;1900,AZ8&gt;9999,AZ8&lt;&gt;INT(AZ8),BA8&lt;1,BA8&gt;12,BA8&lt;&gt;INT(BA8)),"E_INVALID_DATE",""))),IF(AV8="YEAR",IF(AZ8="","E_MISSING_INPUT",IF(NOT(ISNUMBER(AZ8)),"E_INVALID_DATE",IF(OR(AZ8&lt;1900,AZ8&gt;9999,AZ8&lt;&gt;INT(AZ8)),"E_INVALID_DATE",""))),IF(AV8="RANGE",IF(OR(BB8="",BC8=""),"E_MISSING_INPUT",IF(OR(NOT(ISNUMBER(BB8)),NOT(ISNUMBER(BC8))),"E_INVALID_DATE",IF(OR(BB8&lt;&gt;INT(BB8),BC8&lt;&gt;INT(BC8)),"E_INVALID_DATE",IF(BB8&gt;BC8,"E_REVERSED_BOUNDS","")))),"E_MISSING_INPUT")))))))</f>
        <v/>
      </c>
      <c r="BF8" s="22">
        <f t="shared" si="12"/>
        <v>0</v>
      </c>
      <c r="BG8" s="22">
        <f t="shared" si="13"/>
        <v>0</v>
      </c>
      <c r="BH8" s="28" t="str">
        <f t="shared" si="14"/>
        <v/>
      </c>
      <c r="BI8" s="28" t="str">
        <f t="shared" si="15"/>
        <v/>
      </c>
      <c r="BJ8" s="22" t="str">
        <f t="shared" si="16"/>
        <v/>
      </c>
      <c r="BK8" s="22" t="str">
        <f t="shared" si="17"/>
        <v/>
      </c>
      <c r="BL8" s="21" t="str">
        <f t="shared" si="18"/>
        <v/>
      </c>
      <c r="BM8" s="22">
        <f>IF(BL8="",0,COUNTIF(nEXP_Key,BL8))</f>
        <v>0</v>
      </c>
      <c r="BN8" s="21" t="str">
        <f t="shared" si="19"/>
        <v/>
      </c>
      <c r="BO8" s="21" t="str">
        <f>IF(BN8="","",BN8&amp;": "&amp;SUBSTITUTE(IFERROR(INDEX(nMSG_Text,MATCH(BN8,nMSG_Code,0)),""),"[input]",IF(D8="","an Exposure_Episode_ID","the date fields required by the selected precision")))</f>
        <v/>
      </c>
    </row>
    <row r="9" spans="1:67" x14ac:dyDescent="0.2">
      <c r="A9" s="10"/>
      <c r="B9" s="12"/>
      <c r="C9" s="10"/>
      <c r="D9" s="10"/>
      <c r="E9" s="10"/>
      <c r="F9" s="17"/>
      <c r="G9" s="10"/>
      <c r="H9" s="17"/>
      <c r="I9" s="17"/>
      <c r="J9" s="10"/>
      <c r="K9" s="17"/>
      <c r="L9" s="10"/>
      <c r="M9" s="10"/>
      <c r="N9" s="17"/>
      <c r="O9" s="15"/>
      <c r="P9" s="26"/>
      <c r="Q9" s="10"/>
      <c r="R9" s="12"/>
      <c r="S9" s="12"/>
      <c r="T9" s="15"/>
      <c r="U9" s="15"/>
      <c r="V9" s="10"/>
      <c r="W9" s="21" t="str">
        <f>IF(COUNTA(N9:U9)=0,"",IF(N9="","E_MISSING_INPUT",IF(N9="TIMESTAMP",IF(OR(O9="",P9="",Q9=""),"E_MISSING_INPUT",IF(OR(NOT(ISNUMBER(O9)),NOT(ISNUMBER(P9))),"E_INVALID_DATE",IF(OR(O9&lt;&gt;INT(O9),P9&lt;0,P9&gt;=1),"E_INVALID_DATE",IF(ISNA(MATCH(Q9,nLIST_Offset,0)),"E_INVALID_DATE","")))),IF(N9="DATE",IF(O9="","E_MISSING_INPUT",IF(NOT(ISNUMBER(O9)),"E_INVALID_DATE",IF(O9&lt;&gt;INT(O9),"E_INVALID_DATE",""))),IF(N9="MONTH",IF(OR(R9="",S9=""),"E_MISSING_INPUT",IF(OR(NOT(ISNUMBER(R9)),NOT(ISNUMBER(S9))),"E_INVALID_DATE",IF(OR(R9&lt;1900,R9&gt;9999,R9&lt;&gt;INT(R9),S9&lt;1,S9&gt;12,S9&lt;&gt;INT(S9)),"E_INVALID_DATE",""))),IF(N9="YEAR",IF(R9="","E_MISSING_INPUT",IF(NOT(ISNUMBER(R9)),"E_INVALID_DATE",IF(OR(R9&lt;1900,R9&gt;9999,R9&lt;&gt;INT(R9)),"E_INVALID_DATE",""))),IF(N9="RANGE",IF(OR(T9="",U9=""),"E_MISSING_INPUT",IF(OR(NOT(ISNUMBER(T9)),NOT(ISNUMBER(U9))),"E_INVALID_DATE",IF(OR(T9&lt;&gt;INT(T9),U9&lt;&gt;INT(U9)),"E_INVALID_DATE",IF(T9&gt;U9,"E_REVERSED_BOUNDS","")))),"E_MISSING_INPUT")))))))</f>
        <v/>
      </c>
      <c r="X9" s="22">
        <f t="shared" si="0"/>
        <v>0</v>
      </c>
      <c r="Y9" s="22">
        <f t="shared" si="1"/>
        <v>0</v>
      </c>
      <c r="Z9" s="28" t="str">
        <f t="shared" si="2"/>
        <v/>
      </c>
      <c r="AA9" s="28" t="str">
        <f t="shared" si="3"/>
        <v/>
      </c>
      <c r="AB9" s="22" t="str">
        <f t="shared" si="4"/>
        <v/>
      </c>
      <c r="AC9" s="22" t="str">
        <f t="shared" si="5"/>
        <v/>
      </c>
      <c r="AD9" s="10"/>
      <c r="AE9" s="17"/>
      <c r="AF9" s="15"/>
      <c r="AG9" s="26"/>
      <c r="AH9" s="10"/>
      <c r="AI9" s="12"/>
      <c r="AJ9" s="12"/>
      <c r="AK9" s="15"/>
      <c r="AL9" s="15"/>
      <c r="AM9" s="10"/>
      <c r="AN9" s="21" t="str">
        <f>IF(COUNTA(AE9:AL9)=0,"",IF(AE9="","E_MISSING_INPUT",IF(AE9="TIMESTAMP",IF(OR(AF9="",AG9="",AH9=""),"E_MISSING_INPUT",IF(OR(NOT(ISNUMBER(AF9)),NOT(ISNUMBER(AG9))),"E_INVALID_DATE",IF(OR(AF9&lt;&gt;INT(AF9),AG9&lt;0,AG9&gt;=1),"E_INVALID_DATE",IF(ISNA(MATCH(AH9,nLIST_Offset,0)),"E_INVALID_DATE","")))),IF(AE9="DATE",IF(AF9="","E_MISSING_INPUT",IF(NOT(ISNUMBER(AF9)),"E_INVALID_DATE",IF(AF9&lt;&gt;INT(AF9),"E_INVALID_DATE",""))),IF(AE9="MONTH",IF(OR(AI9="",AJ9=""),"E_MISSING_INPUT",IF(OR(NOT(ISNUMBER(AI9)),NOT(ISNUMBER(AJ9))),"E_INVALID_DATE",IF(OR(AI9&lt;1900,AI9&gt;9999,AI9&lt;&gt;INT(AI9),AJ9&lt;1,AJ9&gt;12,AJ9&lt;&gt;INT(AJ9)),"E_INVALID_DATE",""))),IF(AE9="YEAR",IF(AI9="","E_MISSING_INPUT",IF(NOT(ISNUMBER(AI9)),"E_INVALID_DATE",IF(OR(AI9&lt;1900,AI9&gt;9999,AI9&lt;&gt;INT(AI9)),"E_INVALID_DATE",""))),IF(AE9="RANGE",IF(OR(AK9="",AL9=""),"E_MISSING_INPUT",IF(OR(NOT(ISNUMBER(AK9)),NOT(ISNUMBER(AL9))),"E_INVALID_DATE",IF(OR(AK9&lt;&gt;INT(AK9),AL9&lt;&gt;INT(AL9)),"E_INVALID_DATE",IF(AK9&gt;AL9,"E_REVERSED_BOUNDS","")))),"E_MISSING_INPUT")))))))</f>
        <v/>
      </c>
      <c r="AO9" s="22">
        <f t="shared" si="6"/>
        <v>0</v>
      </c>
      <c r="AP9" s="22">
        <f t="shared" si="7"/>
        <v>0</v>
      </c>
      <c r="AQ9" s="28" t="str">
        <f t="shared" si="8"/>
        <v/>
      </c>
      <c r="AR9" s="28" t="str">
        <f t="shared" si="9"/>
        <v/>
      </c>
      <c r="AS9" s="22" t="str">
        <f t="shared" si="10"/>
        <v/>
      </c>
      <c r="AT9" s="22" t="str">
        <f t="shared" si="11"/>
        <v/>
      </c>
      <c r="AU9" s="10"/>
      <c r="AV9" s="17"/>
      <c r="AW9" s="15"/>
      <c r="AX9" s="26"/>
      <c r="AY9" s="10"/>
      <c r="AZ9" s="12"/>
      <c r="BA9" s="12"/>
      <c r="BB9" s="15"/>
      <c r="BC9" s="15"/>
      <c r="BD9" s="10"/>
      <c r="BE9" s="21" t="str">
        <f>IF(COUNTA(AV9:BC9)=0,"",IF(AV9="","E_MISSING_INPUT",IF(AV9="TIMESTAMP",IF(OR(AW9="",AX9="",AY9=""),"E_MISSING_INPUT",IF(OR(NOT(ISNUMBER(AW9)),NOT(ISNUMBER(AX9))),"E_INVALID_DATE",IF(OR(AW9&lt;&gt;INT(AW9),AX9&lt;0,AX9&gt;=1),"E_INVALID_DATE",IF(ISNA(MATCH(AY9,nLIST_Offset,0)),"E_INVALID_DATE","")))),IF(AV9="DATE",IF(AW9="","E_MISSING_INPUT",IF(NOT(ISNUMBER(AW9)),"E_INVALID_DATE",IF(AW9&lt;&gt;INT(AW9),"E_INVALID_DATE",""))),IF(AV9="MONTH",IF(OR(AZ9="",BA9=""),"E_MISSING_INPUT",IF(OR(NOT(ISNUMBER(AZ9)),NOT(ISNUMBER(BA9))),"E_INVALID_DATE",IF(OR(AZ9&lt;1900,AZ9&gt;9999,AZ9&lt;&gt;INT(AZ9),BA9&lt;1,BA9&gt;12,BA9&lt;&gt;INT(BA9)),"E_INVALID_DATE",""))),IF(AV9="YEAR",IF(AZ9="","E_MISSING_INPUT",IF(NOT(ISNUMBER(AZ9)),"E_INVALID_DATE",IF(OR(AZ9&lt;1900,AZ9&gt;9999,AZ9&lt;&gt;INT(AZ9)),"E_INVALID_DATE",""))),IF(AV9="RANGE",IF(OR(BB9="",BC9=""),"E_MISSING_INPUT",IF(OR(NOT(ISNUMBER(BB9)),NOT(ISNUMBER(BC9))),"E_INVALID_DATE",IF(OR(BB9&lt;&gt;INT(BB9),BC9&lt;&gt;INT(BC9)),"E_INVALID_DATE",IF(BB9&gt;BC9,"E_REVERSED_BOUNDS","")))),"E_MISSING_INPUT")))))))</f>
        <v/>
      </c>
      <c r="BF9" s="22">
        <f t="shared" si="12"/>
        <v>0</v>
      </c>
      <c r="BG9" s="22">
        <f t="shared" si="13"/>
        <v>0</v>
      </c>
      <c r="BH9" s="28" t="str">
        <f t="shared" si="14"/>
        <v/>
      </c>
      <c r="BI9" s="28" t="str">
        <f t="shared" si="15"/>
        <v/>
      </c>
      <c r="BJ9" s="22" t="str">
        <f t="shared" si="16"/>
        <v/>
      </c>
      <c r="BK9" s="22" t="str">
        <f t="shared" si="17"/>
        <v/>
      </c>
      <c r="BL9" s="21" t="str">
        <f t="shared" si="18"/>
        <v/>
      </c>
      <c r="BM9" s="22">
        <f>IF(BL9="",0,COUNTIF(nEXP_Key,BL9))</f>
        <v>0</v>
      </c>
      <c r="BN9" s="21" t="str">
        <f t="shared" si="19"/>
        <v/>
      </c>
      <c r="BO9" s="21" t="str">
        <f>IF(BN9="","",BN9&amp;": "&amp;SUBSTITUTE(IFERROR(INDEX(nMSG_Text,MATCH(BN9,nMSG_Code,0)),""),"[input]",IF(D9="","an Exposure_Episode_ID","the date fields required by the selected precision")))</f>
        <v/>
      </c>
    </row>
    <row r="10" spans="1:67" x14ac:dyDescent="0.2">
      <c r="A10" s="10"/>
      <c r="B10" s="12"/>
      <c r="C10" s="10"/>
      <c r="D10" s="10"/>
      <c r="E10" s="10"/>
      <c r="F10" s="17"/>
      <c r="G10" s="10"/>
      <c r="H10" s="17"/>
      <c r="I10" s="17"/>
      <c r="J10" s="10"/>
      <c r="K10" s="17"/>
      <c r="L10" s="10"/>
      <c r="M10" s="10"/>
      <c r="N10" s="17"/>
      <c r="O10" s="15"/>
      <c r="P10" s="26"/>
      <c r="Q10" s="10"/>
      <c r="R10" s="12"/>
      <c r="S10" s="12"/>
      <c r="T10" s="15"/>
      <c r="U10" s="15"/>
      <c r="V10" s="10"/>
      <c r="W10" s="21" t="str">
        <f>IF(COUNTA(N10:U10)=0,"",IF(N10="","E_MISSING_INPUT",IF(N10="TIMESTAMP",IF(OR(O10="",P10="",Q10=""),"E_MISSING_INPUT",IF(OR(NOT(ISNUMBER(O10)),NOT(ISNUMBER(P10))),"E_INVALID_DATE",IF(OR(O10&lt;&gt;INT(O10),P10&lt;0,P10&gt;=1),"E_INVALID_DATE",IF(ISNA(MATCH(Q10,nLIST_Offset,0)),"E_INVALID_DATE","")))),IF(N10="DATE",IF(O10="","E_MISSING_INPUT",IF(NOT(ISNUMBER(O10)),"E_INVALID_DATE",IF(O10&lt;&gt;INT(O10),"E_INVALID_DATE",""))),IF(N10="MONTH",IF(OR(R10="",S10=""),"E_MISSING_INPUT",IF(OR(NOT(ISNUMBER(R10)),NOT(ISNUMBER(S10))),"E_INVALID_DATE",IF(OR(R10&lt;1900,R10&gt;9999,R10&lt;&gt;INT(R10),S10&lt;1,S10&gt;12,S10&lt;&gt;INT(S10)),"E_INVALID_DATE",""))),IF(N10="YEAR",IF(R10="","E_MISSING_INPUT",IF(NOT(ISNUMBER(R10)),"E_INVALID_DATE",IF(OR(R10&lt;1900,R10&gt;9999,R10&lt;&gt;INT(R10)),"E_INVALID_DATE",""))),IF(N10="RANGE",IF(OR(T10="",U10=""),"E_MISSING_INPUT",IF(OR(NOT(ISNUMBER(T10)),NOT(ISNUMBER(U10))),"E_INVALID_DATE",IF(OR(T10&lt;&gt;INT(T10),U10&lt;&gt;INT(U10)),"E_INVALID_DATE",IF(T10&gt;U10,"E_REVERSED_BOUNDS","")))),"E_MISSING_INPUT")))))))</f>
        <v/>
      </c>
      <c r="X10" s="22">
        <f t="shared" si="0"/>
        <v>0</v>
      </c>
      <c r="Y10" s="22">
        <f t="shared" si="1"/>
        <v>0</v>
      </c>
      <c r="Z10" s="28" t="str">
        <f t="shared" si="2"/>
        <v/>
      </c>
      <c r="AA10" s="28" t="str">
        <f t="shared" si="3"/>
        <v/>
      </c>
      <c r="AB10" s="22" t="str">
        <f t="shared" si="4"/>
        <v/>
      </c>
      <c r="AC10" s="22" t="str">
        <f t="shared" si="5"/>
        <v/>
      </c>
      <c r="AD10" s="10"/>
      <c r="AE10" s="17"/>
      <c r="AF10" s="15"/>
      <c r="AG10" s="26"/>
      <c r="AH10" s="10"/>
      <c r="AI10" s="12"/>
      <c r="AJ10" s="12"/>
      <c r="AK10" s="15"/>
      <c r="AL10" s="15"/>
      <c r="AM10" s="10"/>
      <c r="AN10" s="21" t="str">
        <f>IF(COUNTA(AE10:AL10)=0,"",IF(AE10="","E_MISSING_INPUT",IF(AE10="TIMESTAMP",IF(OR(AF10="",AG10="",AH10=""),"E_MISSING_INPUT",IF(OR(NOT(ISNUMBER(AF10)),NOT(ISNUMBER(AG10))),"E_INVALID_DATE",IF(OR(AF10&lt;&gt;INT(AF10),AG10&lt;0,AG10&gt;=1),"E_INVALID_DATE",IF(ISNA(MATCH(AH10,nLIST_Offset,0)),"E_INVALID_DATE","")))),IF(AE10="DATE",IF(AF10="","E_MISSING_INPUT",IF(NOT(ISNUMBER(AF10)),"E_INVALID_DATE",IF(AF10&lt;&gt;INT(AF10),"E_INVALID_DATE",""))),IF(AE10="MONTH",IF(OR(AI10="",AJ10=""),"E_MISSING_INPUT",IF(OR(NOT(ISNUMBER(AI10)),NOT(ISNUMBER(AJ10))),"E_INVALID_DATE",IF(OR(AI10&lt;1900,AI10&gt;9999,AI10&lt;&gt;INT(AI10),AJ10&lt;1,AJ10&gt;12,AJ10&lt;&gt;INT(AJ10)),"E_INVALID_DATE",""))),IF(AE10="YEAR",IF(AI10="","E_MISSING_INPUT",IF(NOT(ISNUMBER(AI10)),"E_INVALID_DATE",IF(OR(AI10&lt;1900,AI10&gt;9999,AI10&lt;&gt;INT(AI10)),"E_INVALID_DATE",""))),IF(AE10="RANGE",IF(OR(AK10="",AL10=""),"E_MISSING_INPUT",IF(OR(NOT(ISNUMBER(AK10)),NOT(ISNUMBER(AL10))),"E_INVALID_DATE",IF(OR(AK10&lt;&gt;INT(AK10),AL10&lt;&gt;INT(AL10)),"E_INVALID_DATE",IF(AK10&gt;AL10,"E_REVERSED_BOUNDS","")))),"E_MISSING_INPUT")))))))</f>
        <v/>
      </c>
      <c r="AO10" s="22">
        <f t="shared" si="6"/>
        <v>0</v>
      </c>
      <c r="AP10" s="22">
        <f t="shared" si="7"/>
        <v>0</v>
      </c>
      <c r="AQ10" s="28" t="str">
        <f t="shared" si="8"/>
        <v/>
      </c>
      <c r="AR10" s="28" t="str">
        <f t="shared" si="9"/>
        <v/>
      </c>
      <c r="AS10" s="22" t="str">
        <f t="shared" si="10"/>
        <v/>
      </c>
      <c r="AT10" s="22" t="str">
        <f t="shared" si="11"/>
        <v/>
      </c>
      <c r="AU10" s="10"/>
      <c r="AV10" s="17"/>
      <c r="AW10" s="15"/>
      <c r="AX10" s="26"/>
      <c r="AY10" s="10"/>
      <c r="AZ10" s="12"/>
      <c r="BA10" s="12"/>
      <c r="BB10" s="15"/>
      <c r="BC10" s="15"/>
      <c r="BD10" s="10"/>
      <c r="BE10" s="21" t="str">
        <f>IF(COUNTA(AV10:BC10)=0,"",IF(AV10="","E_MISSING_INPUT",IF(AV10="TIMESTAMP",IF(OR(AW10="",AX10="",AY10=""),"E_MISSING_INPUT",IF(OR(NOT(ISNUMBER(AW10)),NOT(ISNUMBER(AX10))),"E_INVALID_DATE",IF(OR(AW10&lt;&gt;INT(AW10),AX10&lt;0,AX10&gt;=1),"E_INVALID_DATE",IF(ISNA(MATCH(AY10,nLIST_Offset,0)),"E_INVALID_DATE","")))),IF(AV10="DATE",IF(AW10="","E_MISSING_INPUT",IF(NOT(ISNUMBER(AW10)),"E_INVALID_DATE",IF(AW10&lt;&gt;INT(AW10),"E_INVALID_DATE",""))),IF(AV10="MONTH",IF(OR(AZ10="",BA10=""),"E_MISSING_INPUT",IF(OR(NOT(ISNUMBER(AZ10)),NOT(ISNUMBER(BA10))),"E_INVALID_DATE",IF(OR(AZ10&lt;1900,AZ10&gt;9999,AZ10&lt;&gt;INT(AZ10),BA10&lt;1,BA10&gt;12,BA10&lt;&gt;INT(BA10)),"E_INVALID_DATE",""))),IF(AV10="YEAR",IF(AZ10="","E_MISSING_INPUT",IF(NOT(ISNUMBER(AZ10)),"E_INVALID_DATE",IF(OR(AZ10&lt;1900,AZ10&gt;9999,AZ10&lt;&gt;INT(AZ10)),"E_INVALID_DATE",""))),IF(AV10="RANGE",IF(OR(BB10="",BC10=""),"E_MISSING_INPUT",IF(OR(NOT(ISNUMBER(BB10)),NOT(ISNUMBER(BC10))),"E_INVALID_DATE",IF(OR(BB10&lt;&gt;INT(BB10),BC10&lt;&gt;INT(BC10)),"E_INVALID_DATE",IF(BB10&gt;BC10,"E_REVERSED_BOUNDS","")))),"E_MISSING_INPUT")))))))</f>
        <v/>
      </c>
      <c r="BF10" s="22">
        <f t="shared" si="12"/>
        <v>0</v>
      </c>
      <c r="BG10" s="22">
        <f t="shared" si="13"/>
        <v>0</v>
      </c>
      <c r="BH10" s="28" t="str">
        <f t="shared" si="14"/>
        <v/>
      </c>
      <c r="BI10" s="28" t="str">
        <f t="shared" si="15"/>
        <v/>
      </c>
      <c r="BJ10" s="22" t="str">
        <f t="shared" si="16"/>
        <v/>
      </c>
      <c r="BK10" s="22" t="str">
        <f t="shared" si="17"/>
        <v/>
      </c>
      <c r="BL10" s="21" t="str">
        <f t="shared" si="18"/>
        <v/>
      </c>
      <c r="BM10" s="22">
        <f>IF(BL10="",0,COUNTIF(nEXP_Key,BL10))</f>
        <v>0</v>
      </c>
      <c r="BN10" s="21" t="str">
        <f t="shared" si="19"/>
        <v/>
      </c>
      <c r="BO10" s="21" t="str">
        <f>IF(BN10="","",BN10&amp;": "&amp;SUBSTITUTE(IFERROR(INDEX(nMSG_Text,MATCH(BN10,nMSG_Code,0)),""),"[input]",IF(D10="","an Exposure_Episode_ID","the date fields required by the selected precision")))</f>
        <v/>
      </c>
    </row>
    <row r="11" spans="1:67" x14ac:dyDescent="0.2">
      <c r="A11" s="10"/>
      <c r="B11" s="12"/>
      <c r="C11" s="10"/>
      <c r="D11" s="10"/>
      <c r="E11" s="10"/>
      <c r="F11" s="17"/>
      <c r="G11" s="10"/>
      <c r="H11" s="17"/>
      <c r="I11" s="17"/>
      <c r="J11" s="10"/>
      <c r="K11" s="17"/>
      <c r="L11" s="10"/>
      <c r="M11" s="10"/>
      <c r="N11" s="17"/>
      <c r="O11" s="15"/>
      <c r="P11" s="26"/>
      <c r="Q11" s="10"/>
      <c r="R11" s="12"/>
      <c r="S11" s="12"/>
      <c r="T11" s="15"/>
      <c r="U11" s="15"/>
      <c r="V11" s="10"/>
      <c r="W11" s="21" t="str">
        <f>IF(COUNTA(N11:U11)=0,"",IF(N11="","E_MISSING_INPUT",IF(N11="TIMESTAMP",IF(OR(O11="",P11="",Q11=""),"E_MISSING_INPUT",IF(OR(NOT(ISNUMBER(O11)),NOT(ISNUMBER(P11))),"E_INVALID_DATE",IF(OR(O11&lt;&gt;INT(O11),P11&lt;0,P11&gt;=1),"E_INVALID_DATE",IF(ISNA(MATCH(Q11,nLIST_Offset,0)),"E_INVALID_DATE","")))),IF(N11="DATE",IF(O11="","E_MISSING_INPUT",IF(NOT(ISNUMBER(O11)),"E_INVALID_DATE",IF(O11&lt;&gt;INT(O11),"E_INVALID_DATE",""))),IF(N11="MONTH",IF(OR(R11="",S11=""),"E_MISSING_INPUT",IF(OR(NOT(ISNUMBER(R11)),NOT(ISNUMBER(S11))),"E_INVALID_DATE",IF(OR(R11&lt;1900,R11&gt;9999,R11&lt;&gt;INT(R11),S11&lt;1,S11&gt;12,S11&lt;&gt;INT(S11)),"E_INVALID_DATE",""))),IF(N11="YEAR",IF(R11="","E_MISSING_INPUT",IF(NOT(ISNUMBER(R11)),"E_INVALID_DATE",IF(OR(R11&lt;1900,R11&gt;9999,R11&lt;&gt;INT(R11)),"E_INVALID_DATE",""))),IF(N11="RANGE",IF(OR(T11="",U11=""),"E_MISSING_INPUT",IF(OR(NOT(ISNUMBER(T11)),NOT(ISNUMBER(U11))),"E_INVALID_DATE",IF(OR(T11&lt;&gt;INT(T11),U11&lt;&gt;INT(U11)),"E_INVALID_DATE",IF(T11&gt;U11,"E_REVERSED_BOUNDS","")))),"E_MISSING_INPUT")))))))</f>
        <v/>
      </c>
      <c r="X11" s="22">
        <f t="shared" si="0"/>
        <v>0</v>
      </c>
      <c r="Y11" s="22">
        <f t="shared" si="1"/>
        <v>0</v>
      </c>
      <c r="Z11" s="28" t="str">
        <f t="shared" si="2"/>
        <v/>
      </c>
      <c r="AA11" s="28" t="str">
        <f t="shared" si="3"/>
        <v/>
      </c>
      <c r="AB11" s="22" t="str">
        <f t="shared" si="4"/>
        <v/>
      </c>
      <c r="AC11" s="22" t="str">
        <f t="shared" si="5"/>
        <v/>
      </c>
      <c r="AD11" s="10"/>
      <c r="AE11" s="17"/>
      <c r="AF11" s="15"/>
      <c r="AG11" s="26"/>
      <c r="AH11" s="10"/>
      <c r="AI11" s="12"/>
      <c r="AJ11" s="12"/>
      <c r="AK11" s="15"/>
      <c r="AL11" s="15"/>
      <c r="AM11" s="10"/>
      <c r="AN11" s="21" t="str">
        <f>IF(COUNTA(AE11:AL11)=0,"",IF(AE11="","E_MISSING_INPUT",IF(AE11="TIMESTAMP",IF(OR(AF11="",AG11="",AH11=""),"E_MISSING_INPUT",IF(OR(NOT(ISNUMBER(AF11)),NOT(ISNUMBER(AG11))),"E_INVALID_DATE",IF(OR(AF11&lt;&gt;INT(AF11),AG11&lt;0,AG11&gt;=1),"E_INVALID_DATE",IF(ISNA(MATCH(AH11,nLIST_Offset,0)),"E_INVALID_DATE","")))),IF(AE11="DATE",IF(AF11="","E_MISSING_INPUT",IF(NOT(ISNUMBER(AF11)),"E_INVALID_DATE",IF(AF11&lt;&gt;INT(AF11),"E_INVALID_DATE",""))),IF(AE11="MONTH",IF(OR(AI11="",AJ11=""),"E_MISSING_INPUT",IF(OR(NOT(ISNUMBER(AI11)),NOT(ISNUMBER(AJ11))),"E_INVALID_DATE",IF(OR(AI11&lt;1900,AI11&gt;9999,AI11&lt;&gt;INT(AI11),AJ11&lt;1,AJ11&gt;12,AJ11&lt;&gt;INT(AJ11)),"E_INVALID_DATE",""))),IF(AE11="YEAR",IF(AI11="","E_MISSING_INPUT",IF(NOT(ISNUMBER(AI11)),"E_INVALID_DATE",IF(OR(AI11&lt;1900,AI11&gt;9999,AI11&lt;&gt;INT(AI11)),"E_INVALID_DATE",""))),IF(AE11="RANGE",IF(OR(AK11="",AL11=""),"E_MISSING_INPUT",IF(OR(NOT(ISNUMBER(AK11)),NOT(ISNUMBER(AL11))),"E_INVALID_DATE",IF(OR(AK11&lt;&gt;INT(AK11),AL11&lt;&gt;INT(AL11)),"E_INVALID_DATE",IF(AK11&gt;AL11,"E_REVERSED_BOUNDS","")))),"E_MISSING_INPUT")))))))</f>
        <v/>
      </c>
      <c r="AO11" s="22">
        <f t="shared" si="6"/>
        <v>0</v>
      </c>
      <c r="AP11" s="22">
        <f t="shared" si="7"/>
        <v>0</v>
      </c>
      <c r="AQ11" s="28" t="str">
        <f t="shared" si="8"/>
        <v/>
      </c>
      <c r="AR11" s="28" t="str">
        <f t="shared" si="9"/>
        <v/>
      </c>
      <c r="AS11" s="22" t="str">
        <f t="shared" si="10"/>
        <v/>
      </c>
      <c r="AT11" s="22" t="str">
        <f t="shared" si="11"/>
        <v/>
      </c>
      <c r="AU11" s="10"/>
      <c r="AV11" s="17"/>
      <c r="AW11" s="15"/>
      <c r="AX11" s="26"/>
      <c r="AY11" s="10"/>
      <c r="AZ11" s="12"/>
      <c r="BA11" s="12"/>
      <c r="BB11" s="15"/>
      <c r="BC11" s="15"/>
      <c r="BD11" s="10"/>
      <c r="BE11" s="21" t="str">
        <f>IF(COUNTA(AV11:BC11)=0,"",IF(AV11="","E_MISSING_INPUT",IF(AV11="TIMESTAMP",IF(OR(AW11="",AX11="",AY11=""),"E_MISSING_INPUT",IF(OR(NOT(ISNUMBER(AW11)),NOT(ISNUMBER(AX11))),"E_INVALID_DATE",IF(OR(AW11&lt;&gt;INT(AW11),AX11&lt;0,AX11&gt;=1),"E_INVALID_DATE",IF(ISNA(MATCH(AY11,nLIST_Offset,0)),"E_INVALID_DATE","")))),IF(AV11="DATE",IF(AW11="","E_MISSING_INPUT",IF(NOT(ISNUMBER(AW11)),"E_INVALID_DATE",IF(AW11&lt;&gt;INT(AW11),"E_INVALID_DATE",""))),IF(AV11="MONTH",IF(OR(AZ11="",BA11=""),"E_MISSING_INPUT",IF(OR(NOT(ISNUMBER(AZ11)),NOT(ISNUMBER(BA11))),"E_INVALID_DATE",IF(OR(AZ11&lt;1900,AZ11&gt;9999,AZ11&lt;&gt;INT(AZ11),BA11&lt;1,BA11&gt;12,BA11&lt;&gt;INT(BA11)),"E_INVALID_DATE",""))),IF(AV11="YEAR",IF(AZ11="","E_MISSING_INPUT",IF(NOT(ISNUMBER(AZ11)),"E_INVALID_DATE",IF(OR(AZ11&lt;1900,AZ11&gt;9999,AZ11&lt;&gt;INT(AZ11)),"E_INVALID_DATE",""))),IF(AV11="RANGE",IF(OR(BB11="",BC11=""),"E_MISSING_INPUT",IF(OR(NOT(ISNUMBER(BB11)),NOT(ISNUMBER(BC11))),"E_INVALID_DATE",IF(OR(BB11&lt;&gt;INT(BB11),BC11&lt;&gt;INT(BC11)),"E_INVALID_DATE",IF(BB11&gt;BC11,"E_REVERSED_BOUNDS","")))),"E_MISSING_INPUT")))))))</f>
        <v/>
      </c>
      <c r="BF11" s="22">
        <f t="shared" si="12"/>
        <v>0</v>
      </c>
      <c r="BG11" s="22">
        <f t="shared" si="13"/>
        <v>0</v>
      </c>
      <c r="BH11" s="28" t="str">
        <f t="shared" si="14"/>
        <v/>
      </c>
      <c r="BI11" s="28" t="str">
        <f t="shared" si="15"/>
        <v/>
      </c>
      <c r="BJ11" s="22" t="str">
        <f t="shared" si="16"/>
        <v/>
      </c>
      <c r="BK11" s="22" t="str">
        <f t="shared" si="17"/>
        <v/>
      </c>
      <c r="BL11" s="21" t="str">
        <f t="shared" si="18"/>
        <v/>
      </c>
      <c r="BM11" s="22">
        <f>IF(BL11="",0,COUNTIF(nEXP_Key,BL11))</f>
        <v>0</v>
      </c>
      <c r="BN11" s="21" t="str">
        <f t="shared" si="19"/>
        <v/>
      </c>
      <c r="BO11" s="21" t="str">
        <f>IF(BN11="","",BN11&amp;": "&amp;SUBSTITUTE(IFERROR(INDEX(nMSG_Text,MATCH(BN11,nMSG_Code,0)),""),"[input]",IF(D11="","an Exposure_Episode_ID","the date fields required by the selected precision")))</f>
        <v/>
      </c>
    </row>
    <row r="12" spans="1:67" x14ac:dyDescent="0.2">
      <c r="A12" s="10"/>
      <c r="B12" s="12"/>
      <c r="C12" s="10"/>
      <c r="D12" s="10"/>
      <c r="E12" s="10"/>
      <c r="F12" s="17"/>
      <c r="G12" s="10"/>
      <c r="H12" s="17"/>
      <c r="I12" s="17"/>
      <c r="J12" s="10"/>
      <c r="K12" s="17"/>
      <c r="L12" s="10"/>
      <c r="M12" s="10"/>
      <c r="N12" s="17"/>
      <c r="O12" s="15"/>
      <c r="P12" s="26"/>
      <c r="Q12" s="10"/>
      <c r="R12" s="12"/>
      <c r="S12" s="12"/>
      <c r="T12" s="15"/>
      <c r="U12" s="15"/>
      <c r="V12" s="10"/>
      <c r="W12" s="21" t="str">
        <f>IF(COUNTA(N12:U12)=0,"",IF(N12="","E_MISSING_INPUT",IF(N12="TIMESTAMP",IF(OR(O12="",P12="",Q12=""),"E_MISSING_INPUT",IF(OR(NOT(ISNUMBER(O12)),NOT(ISNUMBER(P12))),"E_INVALID_DATE",IF(OR(O12&lt;&gt;INT(O12),P12&lt;0,P12&gt;=1),"E_INVALID_DATE",IF(ISNA(MATCH(Q12,nLIST_Offset,0)),"E_INVALID_DATE","")))),IF(N12="DATE",IF(O12="","E_MISSING_INPUT",IF(NOT(ISNUMBER(O12)),"E_INVALID_DATE",IF(O12&lt;&gt;INT(O12),"E_INVALID_DATE",""))),IF(N12="MONTH",IF(OR(R12="",S12=""),"E_MISSING_INPUT",IF(OR(NOT(ISNUMBER(R12)),NOT(ISNUMBER(S12))),"E_INVALID_DATE",IF(OR(R12&lt;1900,R12&gt;9999,R12&lt;&gt;INT(R12),S12&lt;1,S12&gt;12,S12&lt;&gt;INT(S12)),"E_INVALID_DATE",""))),IF(N12="YEAR",IF(R12="","E_MISSING_INPUT",IF(NOT(ISNUMBER(R12)),"E_INVALID_DATE",IF(OR(R12&lt;1900,R12&gt;9999,R12&lt;&gt;INT(R12)),"E_INVALID_DATE",""))),IF(N12="RANGE",IF(OR(T12="",U12=""),"E_MISSING_INPUT",IF(OR(NOT(ISNUMBER(T12)),NOT(ISNUMBER(U12))),"E_INVALID_DATE",IF(OR(T12&lt;&gt;INT(T12),U12&lt;&gt;INT(U12)),"E_INVALID_DATE",IF(T12&gt;U12,"E_REVERSED_BOUNDS","")))),"E_MISSING_INPUT")))))))</f>
        <v/>
      </c>
      <c r="X12" s="22">
        <f t="shared" si="0"/>
        <v>0</v>
      </c>
      <c r="Y12" s="22">
        <f t="shared" si="1"/>
        <v>0</v>
      </c>
      <c r="Z12" s="28" t="str">
        <f t="shared" si="2"/>
        <v/>
      </c>
      <c r="AA12" s="28" t="str">
        <f t="shared" si="3"/>
        <v/>
      </c>
      <c r="AB12" s="22" t="str">
        <f t="shared" si="4"/>
        <v/>
      </c>
      <c r="AC12" s="22" t="str">
        <f t="shared" si="5"/>
        <v/>
      </c>
      <c r="AD12" s="10"/>
      <c r="AE12" s="17"/>
      <c r="AF12" s="15"/>
      <c r="AG12" s="26"/>
      <c r="AH12" s="10"/>
      <c r="AI12" s="12"/>
      <c r="AJ12" s="12"/>
      <c r="AK12" s="15"/>
      <c r="AL12" s="15"/>
      <c r="AM12" s="10"/>
      <c r="AN12" s="21" t="str">
        <f>IF(COUNTA(AE12:AL12)=0,"",IF(AE12="","E_MISSING_INPUT",IF(AE12="TIMESTAMP",IF(OR(AF12="",AG12="",AH12=""),"E_MISSING_INPUT",IF(OR(NOT(ISNUMBER(AF12)),NOT(ISNUMBER(AG12))),"E_INVALID_DATE",IF(OR(AF12&lt;&gt;INT(AF12),AG12&lt;0,AG12&gt;=1),"E_INVALID_DATE",IF(ISNA(MATCH(AH12,nLIST_Offset,0)),"E_INVALID_DATE","")))),IF(AE12="DATE",IF(AF12="","E_MISSING_INPUT",IF(NOT(ISNUMBER(AF12)),"E_INVALID_DATE",IF(AF12&lt;&gt;INT(AF12),"E_INVALID_DATE",""))),IF(AE12="MONTH",IF(OR(AI12="",AJ12=""),"E_MISSING_INPUT",IF(OR(NOT(ISNUMBER(AI12)),NOT(ISNUMBER(AJ12))),"E_INVALID_DATE",IF(OR(AI12&lt;1900,AI12&gt;9999,AI12&lt;&gt;INT(AI12),AJ12&lt;1,AJ12&gt;12,AJ12&lt;&gt;INT(AJ12)),"E_INVALID_DATE",""))),IF(AE12="YEAR",IF(AI12="","E_MISSING_INPUT",IF(NOT(ISNUMBER(AI12)),"E_INVALID_DATE",IF(OR(AI12&lt;1900,AI12&gt;9999,AI12&lt;&gt;INT(AI12)),"E_INVALID_DATE",""))),IF(AE12="RANGE",IF(OR(AK12="",AL12=""),"E_MISSING_INPUT",IF(OR(NOT(ISNUMBER(AK12)),NOT(ISNUMBER(AL12))),"E_INVALID_DATE",IF(OR(AK12&lt;&gt;INT(AK12),AL12&lt;&gt;INT(AL12)),"E_INVALID_DATE",IF(AK12&gt;AL12,"E_REVERSED_BOUNDS","")))),"E_MISSING_INPUT")))))))</f>
        <v/>
      </c>
      <c r="AO12" s="22">
        <f t="shared" si="6"/>
        <v>0</v>
      </c>
      <c r="AP12" s="22">
        <f t="shared" si="7"/>
        <v>0</v>
      </c>
      <c r="AQ12" s="28" t="str">
        <f t="shared" si="8"/>
        <v/>
      </c>
      <c r="AR12" s="28" t="str">
        <f t="shared" si="9"/>
        <v/>
      </c>
      <c r="AS12" s="22" t="str">
        <f t="shared" si="10"/>
        <v/>
      </c>
      <c r="AT12" s="22" t="str">
        <f t="shared" si="11"/>
        <v/>
      </c>
      <c r="AU12" s="10"/>
      <c r="AV12" s="17"/>
      <c r="AW12" s="15"/>
      <c r="AX12" s="26"/>
      <c r="AY12" s="10"/>
      <c r="AZ12" s="12"/>
      <c r="BA12" s="12"/>
      <c r="BB12" s="15"/>
      <c r="BC12" s="15"/>
      <c r="BD12" s="10"/>
      <c r="BE12" s="21" t="str">
        <f>IF(COUNTA(AV12:BC12)=0,"",IF(AV12="","E_MISSING_INPUT",IF(AV12="TIMESTAMP",IF(OR(AW12="",AX12="",AY12=""),"E_MISSING_INPUT",IF(OR(NOT(ISNUMBER(AW12)),NOT(ISNUMBER(AX12))),"E_INVALID_DATE",IF(OR(AW12&lt;&gt;INT(AW12),AX12&lt;0,AX12&gt;=1),"E_INVALID_DATE",IF(ISNA(MATCH(AY12,nLIST_Offset,0)),"E_INVALID_DATE","")))),IF(AV12="DATE",IF(AW12="","E_MISSING_INPUT",IF(NOT(ISNUMBER(AW12)),"E_INVALID_DATE",IF(AW12&lt;&gt;INT(AW12),"E_INVALID_DATE",""))),IF(AV12="MONTH",IF(OR(AZ12="",BA12=""),"E_MISSING_INPUT",IF(OR(NOT(ISNUMBER(AZ12)),NOT(ISNUMBER(BA12))),"E_INVALID_DATE",IF(OR(AZ12&lt;1900,AZ12&gt;9999,AZ12&lt;&gt;INT(AZ12),BA12&lt;1,BA12&gt;12,BA12&lt;&gt;INT(BA12)),"E_INVALID_DATE",""))),IF(AV12="YEAR",IF(AZ12="","E_MISSING_INPUT",IF(NOT(ISNUMBER(AZ12)),"E_INVALID_DATE",IF(OR(AZ12&lt;1900,AZ12&gt;9999,AZ12&lt;&gt;INT(AZ12)),"E_INVALID_DATE",""))),IF(AV12="RANGE",IF(OR(BB12="",BC12=""),"E_MISSING_INPUT",IF(OR(NOT(ISNUMBER(BB12)),NOT(ISNUMBER(BC12))),"E_INVALID_DATE",IF(OR(BB12&lt;&gt;INT(BB12),BC12&lt;&gt;INT(BC12)),"E_INVALID_DATE",IF(BB12&gt;BC12,"E_REVERSED_BOUNDS","")))),"E_MISSING_INPUT")))))))</f>
        <v/>
      </c>
      <c r="BF12" s="22">
        <f t="shared" si="12"/>
        <v>0</v>
      </c>
      <c r="BG12" s="22">
        <f t="shared" si="13"/>
        <v>0</v>
      </c>
      <c r="BH12" s="28" t="str">
        <f t="shared" si="14"/>
        <v/>
      </c>
      <c r="BI12" s="28" t="str">
        <f t="shared" si="15"/>
        <v/>
      </c>
      <c r="BJ12" s="22" t="str">
        <f t="shared" si="16"/>
        <v/>
      </c>
      <c r="BK12" s="22" t="str">
        <f t="shared" si="17"/>
        <v/>
      </c>
      <c r="BL12" s="21" t="str">
        <f t="shared" si="18"/>
        <v/>
      </c>
      <c r="BM12" s="22">
        <f>IF(BL12="",0,COUNTIF(nEXP_Key,BL12))</f>
        <v>0</v>
      </c>
      <c r="BN12" s="21" t="str">
        <f t="shared" si="19"/>
        <v/>
      </c>
      <c r="BO12" s="21" t="str">
        <f>IF(BN12="","",BN12&amp;": "&amp;SUBSTITUTE(IFERROR(INDEX(nMSG_Text,MATCH(BN12,nMSG_Code,0)),""),"[input]",IF(D12="","an Exposure_Episode_ID","the date fields required by the selected precision")))</f>
        <v/>
      </c>
    </row>
    <row r="13" spans="1:67" x14ac:dyDescent="0.2">
      <c r="A13" s="10"/>
      <c r="B13" s="12"/>
      <c r="C13" s="10"/>
      <c r="D13" s="10"/>
      <c r="E13" s="10"/>
      <c r="F13" s="17"/>
      <c r="G13" s="10"/>
      <c r="H13" s="17"/>
      <c r="I13" s="17"/>
      <c r="J13" s="10"/>
      <c r="K13" s="17"/>
      <c r="L13" s="10"/>
      <c r="M13" s="10"/>
      <c r="N13" s="17"/>
      <c r="O13" s="15"/>
      <c r="P13" s="26"/>
      <c r="Q13" s="10"/>
      <c r="R13" s="12"/>
      <c r="S13" s="12"/>
      <c r="T13" s="15"/>
      <c r="U13" s="15"/>
      <c r="V13" s="10"/>
      <c r="W13" s="21" t="str">
        <f>IF(COUNTA(N13:U13)=0,"",IF(N13="","E_MISSING_INPUT",IF(N13="TIMESTAMP",IF(OR(O13="",P13="",Q13=""),"E_MISSING_INPUT",IF(OR(NOT(ISNUMBER(O13)),NOT(ISNUMBER(P13))),"E_INVALID_DATE",IF(OR(O13&lt;&gt;INT(O13),P13&lt;0,P13&gt;=1),"E_INVALID_DATE",IF(ISNA(MATCH(Q13,nLIST_Offset,0)),"E_INVALID_DATE","")))),IF(N13="DATE",IF(O13="","E_MISSING_INPUT",IF(NOT(ISNUMBER(O13)),"E_INVALID_DATE",IF(O13&lt;&gt;INT(O13),"E_INVALID_DATE",""))),IF(N13="MONTH",IF(OR(R13="",S13=""),"E_MISSING_INPUT",IF(OR(NOT(ISNUMBER(R13)),NOT(ISNUMBER(S13))),"E_INVALID_DATE",IF(OR(R13&lt;1900,R13&gt;9999,R13&lt;&gt;INT(R13),S13&lt;1,S13&gt;12,S13&lt;&gt;INT(S13)),"E_INVALID_DATE",""))),IF(N13="YEAR",IF(R13="","E_MISSING_INPUT",IF(NOT(ISNUMBER(R13)),"E_INVALID_DATE",IF(OR(R13&lt;1900,R13&gt;9999,R13&lt;&gt;INT(R13)),"E_INVALID_DATE",""))),IF(N13="RANGE",IF(OR(T13="",U13=""),"E_MISSING_INPUT",IF(OR(NOT(ISNUMBER(T13)),NOT(ISNUMBER(U13))),"E_INVALID_DATE",IF(OR(T13&lt;&gt;INT(T13),U13&lt;&gt;INT(U13)),"E_INVALID_DATE",IF(T13&gt;U13,"E_REVERSED_BOUNDS","")))),"E_MISSING_INPUT")))))))</f>
        <v/>
      </c>
      <c r="X13" s="22">
        <f t="shared" si="0"/>
        <v>0</v>
      </c>
      <c r="Y13" s="22">
        <f t="shared" si="1"/>
        <v>0</v>
      </c>
      <c r="Z13" s="28" t="str">
        <f t="shared" si="2"/>
        <v/>
      </c>
      <c r="AA13" s="28" t="str">
        <f t="shared" si="3"/>
        <v/>
      </c>
      <c r="AB13" s="22" t="str">
        <f t="shared" si="4"/>
        <v/>
      </c>
      <c r="AC13" s="22" t="str">
        <f t="shared" si="5"/>
        <v/>
      </c>
      <c r="AD13" s="10"/>
      <c r="AE13" s="17"/>
      <c r="AF13" s="15"/>
      <c r="AG13" s="26"/>
      <c r="AH13" s="10"/>
      <c r="AI13" s="12"/>
      <c r="AJ13" s="12"/>
      <c r="AK13" s="15"/>
      <c r="AL13" s="15"/>
      <c r="AM13" s="10"/>
      <c r="AN13" s="21" t="str">
        <f>IF(COUNTA(AE13:AL13)=0,"",IF(AE13="","E_MISSING_INPUT",IF(AE13="TIMESTAMP",IF(OR(AF13="",AG13="",AH13=""),"E_MISSING_INPUT",IF(OR(NOT(ISNUMBER(AF13)),NOT(ISNUMBER(AG13))),"E_INVALID_DATE",IF(OR(AF13&lt;&gt;INT(AF13),AG13&lt;0,AG13&gt;=1),"E_INVALID_DATE",IF(ISNA(MATCH(AH13,nLIST_Offset,0)),"E_INVALID_DATE","")))),IF(AE13="DATE",IF(AF13="","E_MISSING_INPUT",IF(NOT(ISNUMBER(AF13)),"E_INVALID_DATE",IF(AF13&lt;&gt;INT(AF13),"E_INVALID_DATE",""))),IF(AE13="MONTH",IF(OR(AI13="",AJ13=""),"E_MISSING_INPUT",IF(OR(NOT(ISNUMBER(AI13)),NOT(ISNUMBER(AJ13))),"E_INVALID_DATE",IF(OR(AI13&lt;1900,AI13&gt;9999,AI13&lt;&gt;INT(AI13),AJ13&lt;1,AJ13&gt;12,AJ13&lt;&gt;INT(AJ13)),"E_INVALID_DATE",""))),IF(AE13="YEAR",IF(AI13="","E_MISSING_INPUT",IF(NOT(ISNUMBER(AI13)),"E_INVALID_DATE",IF(OR(AI13&lt;1900,AI13&gt;9999,AI13&lt;&gt;INT(AI13)),"E_INVALID_DATE",""))),IF(AE13="RANGE",IF(OR(AK13="",AL13=""),"E_MISSING_INPUT",IF(OR(NOT(ISNUMBER(AK13)),NOT(ISNUMBER(AL13))),"E_INVALID_DATE",IF(OR(AK13&lt;&gt;INT(AK13),AL13&lt;&gt;INT(AL13)),"E_INVALID_DATE",IF(AK13&gt;AL13,"E_REVERSED_BOUNDS","")))),"E_MISSING_INPUT")))))))</f>
        <v/>
      </c>
      <c r="AO13" s="22">
        <f t="shared" si="6"/>
        <v>0</v>
      </c>
      <c r="AP13" s="22">
        <f t="shared" si="7"/>
        <v>0</v>
      </c>
      <c r="AQ13" s="28" t="str">
        <f t="shared" si="8"/>
        <v/>
      </c>
      <c r="AR13" s="28" t="str">
        <f t="shared" si="9"/>
        <v/>
      </c>
      <c r="AS13" s="22" t="str">
        <f t="shared" si="10"/>
        <v/>
      </c>
      <c r="AT13" s="22" t="str">
        <f t="shared" si="11"/>
        <v/>
      </c>
      <c r="AU13" s="10"/>
      <c r="AV13" s="17"/>
      <c r="AW13" s="15"/>
      <c r="AX13" s="26"/>
      <c r="AY13" s="10"/>
      <c r="AZ13" s="12"/>
      <c r="BA13" s="12"/>
      <c r="BB13" s="15"/>
      <c r="BC13" s="15"/>
      <c r="BD13" s="10"/>
      <c r="BE13" s="21" t="str">
        <f>IF(COUNTA(AV13:BC13)=0,"",IF(AV13="","E_MISSING_INPUT",IF(AV13="TIMESTAMP",IF(OR(AW13="",AX13="",AY13=""),"E_MISSING_INPUT",IF(OR(NOT(ISNUMBER(AW13)),NOT(ISNUMBER(AX13))),"E_INVALID_DATE",IF(OR(AW13&lt;&gt;INT(AW13),AX13&lt;0,AX13&gt;=1),"E_INVALID_DATE",IF(ISNA(MATCH(AY13,nLIST_Offset,0)),"E_INVALID_DATE","")))),IF(AV13="DATE",IF(AW13="","E_MISSING_INPUT",IF(NOT(ISNUMBER(AW13)),"E_INVALID_DATE",IF(AW13&lt;&gt;INT(AW13),"E_INVALID_DATE",""))),IF(AV13="MONTH",IF(OR(AZ13="",BA13=""),"E_MISSING_INPUT",IF(OR(NOT(ISNUMBER(AZ13)),NOT(ISNUMBER(BA13))),"E_INVALID_DATE",IF(OR(AZ13&lt;1900,AZ13&gt;9999,AZ13&lt;&gt;INT(AZ13),BA13&lt;1,BA13&gt;12,BA13&lt;&gt;INT(BA13)),"E_INVALID_DATE",""))),IF(AV13="YEAR",IF(AZ13="","E_MISSING_INPUT",IF(NOT(ISNUMBER(AZ13)),"E_INVALID_DATE",IF(OR(AZ13&lt;1900,AZ13&gt;9999,AZ13&lt;&gt;INT(AZ13)),"E_INVALID_DATE",""))),IF(AV13="RANGE",IF(OR(BB13="",BC13=""),"E_MISSING_INPUT",IF(OR(NOT(ISNUMBER(BB13)),NOT(ISNUMBER(BC13))),"E_INVALID_DATE",IF(OR(BB13&lt;&gt;INT(BB13),BC13&lt;&gt;INT(BC13)),"E_INVALID_DATE",IF(BB13&gt;BC13,"E_REVERSED_BOUNDS","")))),"E_MISSING_INPUT")))))))</f>
        <v/>
      </c>
      <c r="BF13" s="22">
        <f t="shared" si="12"/>
        <v>0</v>
      </c>
      <c r="BG13" s="22">
        <f t="shared" si="13"/>
        <v>0</v>
      </c>
      <c r="BH13" s="28" t="str">
        <f t="shared" si="14"/>
        <v/>
      </c>
      <c r="BI13" s="28" t="str">
        <f t="shared" si="15"/>
        <v/>
      </c>
      <c r="BJ13" s="22" t="str">
        <f t="shared" si="16"/>
        <v/>
      </c>
      <c r="BK13" s="22" t="str">
        <f t="shared" si="17"/>
        <v/>
      </c>
      <c r="BL13" s="21" t="str">
        <f t="shared" si="18"/>
        <v/>
      </c>
      <c r="BM13" s="22">
        <f>IF(BL13="",0,COUNTIF(nEXP_Key,BL13))</f>
        <v>0</v>
      </c>
      <c r="BN13" s="21" t="str">
        <f t="shared" si="19"/>
        <v/>
      </c>
      <c r="BO13" s="21" t="str">
        <f>IF(BN13="","",BN13&amp;": "&amp;SUBSTITUTE(IFERROR(INDEX(nMSG_Text,MATCH(BN13,nMSG_Code,0)),""),"[input]",IF(D13="","an Exposure_Episode_ID","the date fields required by the selected precision")))</f>
        <v/>
      </c>
    </row>
    <row r="14" spans="1:67" x14ac:dyDescent="0.2">
      <c r="A14" s="10"/>
      <c r="B14" s="12"/>
      <c r="C14" s="10"/>
      <c r="D14" s="10"/>
      <c r="E14" s="10"/>
      <c r="F14" s="17"/>
      <c r="G14" s="10"/>
      <c r="H14" s="17"/>
      <c r="I14" s="17"/>
      <c r="J14" s="10"/>
      <c r="K14" s="17"/>
      <c r="L14" s="10"/>
      <c r="M14" s="10"/>
      <c r="N14" s="17"/>
      <c r="O14" s="15"/>
      <c r="P14" s="26"/>
      <c r="Q14" s="10"/>
      <c r="R14" s="12"/>
      <c r="S14" s="12"/>
      <c r="T14" s="15"/>
      <c r="U14" s="15"/>
      <c r="V14" s="10"/>
      <c r="W14" s="21" t="str">
        <f>IF(COUNTA(N14:U14)=0,"",IF(N14="","E_MISSING_INPUT",IF(N14="TIMESTAMP",IF(OR(O14="",P14="",Q14=""),"E_MISSING_INPUT",IF(OR(NOT(ISNUMBER(O14)),NOT(ISNUMBER(P14))),"E_INVALID_DATE",IF(OR(O14&lt;&gt;INT(O14),P14&lt;0,P14&gt;=1),"E_INVALID_DATE",IF(ISNA(MATCH(Q14,nLIST_Offset,0)),"E_INVALID_DATE","")))),IF(N14="DATE",IF(O14="","E_MISSING_INPUT",IF(NOT(ISNUMBER(O14)),"E_INVALID_DATE",IF(O14&lt;&gt;INT(O14),"E_INVALID_DATE",""))),IF(N14="MONTH",IF(OR(R14="",S14=""),"E_MISSING_INPUT",IF(OR(NOT(ISNUMBER(R14)),NOT(ISNUMBER(S14))),"E_INVALID_DATE",IF(OR(R14&lt;1900,R14&gt;9999,R14&lt;&gt;INT(R14),S14&lt;1,S14&gt;12,S14&lt;&gt;INT(S14)),"E_INVALID_DATE",""))),IF(N14="YEAR",IF(R14="","E_MISSING_INPUT",IF(NOT(ISNUMBER(R14)),"E_INVALID_DATE",IF(OR(R14&lt;1900,R14&gt;9999,R14&lt;&gt;INT(R14)),"E_INVALID_DATE",""))),IF(N14="RANGE",IF(OR(T14="",U14=""),"E_MISSING_INPUT",IF(OR(NOT(ISNUMBER(T14)),NOT(ISNUMBER(U14))),"E_INVALID_DATE",IF(OR(T14&lt;&gt;INT(T14),U14&lt;&gt;INT(U14)),"E_INVALID_DATE",IF(T14&gt;U14,"E_REVERSED_BOUNDS","")))),"E_MISSING_INPUT")))))))</f>
        <v/>
      </c>
      <c r="X14" s="22">
        <f t="shared" si="0"/>
        <v>0</v>
      </c>
      <c r="Y14" s="22">
        <f t="shared" si="1"/>
        <v>0</v>
      </c>
      <c r="Z14" s="28" t="str">
        <f t="shared" si="2"/>
        <v/>
      </c>
      <c r="AA14" s="28" t="str">
        <f t="shared" si="3"/>
        <v/>
      </c>
      <c r="AB14" s="22" t="str">
        <f t="shared" si="4"/>
        <v/>
      </c>
      <c r="AC14" s="22" t="str">
        <f t="shared" si="5"/>
        <v/>
      </c>
      <c r="AD14" s="10"/>
      <c r="AE14" s="17"/>
      <c r="AF14" s="15"/>
      <c r="AG14" s="26"/>
      <c r="AH14" s="10"/>
      <c r="AI14" s="12"/>
      <c r="AJ14" s="12"/>
      <c r="AK14" s="15"/>
      <c r="AL14" s="15"/>
      <c r="AM14" s="10"/>
      <c r="AN14" s="21" t="str">
        <f>IF(COUNTA(AE14:AL14)=0,"",IF(AE14="","E_MISSING_INPUT",IF(AE14="TIMESTAMP",IF(OR(AF14="",AG14="",AH14=""),"E_MISSING_INPUT",IF(OR(NOT(ISNUMBER(AF14)),NOT(ISNUMBER(AG14))),"E_INVALID_DATE",IF(OR(AF14&lt;&gt;INT(AF14),AG14&lt;0,AG14&gt;=1),"E_INVALID_DATE",IF(ISNA(MATCH(AH14,nLIST_Offset,0)),"E_INVALID_DATE","")))),IF(AE14="DATE",IF(AF14="","E_MISSING_INPUT",IF(NOT(ISNUMBER(AF14)),"E_INVALID_DATE",IF(AF14&lt;&gt;INT(AF14),"E_INVALID_DATE",""))),IF(AE14="MONTH",IF(OR(AI14="",AJ14=""),"E_MISSING_INPUT",IF(OR(NOT(ISNUMBER(AI14)),NOT(ISNUMBER(AJ14))),"E_INVALID_DATE",IF(OR(AI14&lt;1900,AI14&gt;9999,AI14&lt;&gt;INT(AI14),AJ14&lt;1,AJ14&gt;12,AJ14&lt;&gt;INT(AJ14)),"E_INVALID_DATE",""))),IF(AE14="YEAR",IF(AI14="","E_MISSING_INPUT",IF(NOT(ISNUMBER(AI14)),"E_INVALID_DATE",IF(OR(AI14&lt;1900,AI14&gt;9999,AI14&lt;&gt;INT(AI14)),"E_INVALID_DATE",""))),IF(AE14="RANGE",IF(OR(AK14="",AL14=""),"E_MISSING_INPUT",IF(OR(NOT(ISNUMBER(AK14)),NOT(ISNUMBER(AL14))),"E_INVALID_DATE",IF(OR(AK14&lt;&gt;INT(AK14),AL14&lt;&gt;INT(AL14)),"E_INVALID_DATE",IF(AK14&gt;AL14,"E_REVERSED_BOUNDS","")))),"E_MISSING_INPUT")))))))</f>
        <v/>
      </c>
      <c r="AO14" s="22">
        <f t="shared" si="6"/>
        <v>0</v>
      </c>
      <c r="AP14" s="22">
        <f t="shared" si="7"/>
        <v>0</v>
      </c>
      <c r="AQ14" s="28" t="str">
        <f t="shared" si="8"/>
        <v/>
      </c>
      <c r="AR14" s="28" t="str">
        <f t="shared" si="9"/>
        <v/>
      </c>
      <c r="AS14" s="22" t="str">
        <f t="shared" si="10"/>
        <v/>
      </c>
      <c r="AT14" s="22" t="str">
        <f t="shared" si="11"/>
        <v/>
      </c>
      <c r="AU14" s="10"/>
      <c r="AV14" s="17"/>
      <c r="AW14" s="15"/>
      <c r="AX14" s="26"/>
      <c r="AY14" s="10"/>
      <c r="AZ14" s="12"/>
      <c r="BA14" s="12"/>
      <c r="BB14" s="15"/>
      <c r="BC14" s="15"/>
      <c r="BD14" s="10"/>
      <c r="BE14" s="21" t="str">
        <f>IF(COUNTA(AV14:BC14)=0,"",IF(AV14="","E_MISSING_INPUT",IF(AV14="TIMESTAMP",IF(OR(AW14="",AX14="",AY14=""),"E_MISSING_INPUT",IF(OR(NOT(ISNUMBER(AW14)),NOT(ISNUMBER(AX14))),"E_INVALID_DATE",IF(OR(AW14&lt;&gt;INT(AW14),AX14&lt;0,AX14&gt;=1),"E_INVALID_DATE",IF(ISNA(MATCH(AY14,nLIST_Offset,0)),"E_INVALID_DATE","")))),IF(AV14="DATE",IF(AW14="","E_MISSING_INPUT",IF(NOT(ISNUMBER(AW14)),"E_INVALID_DATE",IF(AW14&lt;&gt;INT(AW14),"E_INVALID_DATE",""))),IF(AV14="MONTH",IF(OR(AZ14="",BA14=""),"E_MISSING_INPUT",IF(OR(NOT(ISNUMBER(AZ14)),NOT(ISNUMBER(BA14))),"E_INVALID_DATE",IF(OR(AZ14&lt;1900,AZ14&gt;9999,AZ14&lt;&gt;INT(AZ14),BA14&lt;1,BA14&gt;12,BA14&lt;&gt;INT(BA14)),"E_INVALID_DATE",""))),IF(AV14="YEAR",IF(AZ14="","E_MISSING_INPUT",IF(NOT(ISNUMBER(AZ14)),"E_INVALID_DATE",IF(OR(AZ14&lt;1900,AZ14&gt;9999,AZ14&lt;&gt;INT(AZ14)),"E_INVALID_DATE",""))),IF(AV14="RANGE",IF(OR(BB14="",BC14=""),"E_MISSING_INPUT",IF(OR(NOT(ISNUMBER(BB14)),NOT(ISNUMBER(BC14))),"E_INVALID_DATE",IF(OR(BB14&lt;&gt;INT(BB14),BC14&lt;&gt;INT(BC14)),"E_INVALID_DATE",IF(BB14&gt;BC14,"E_REVERSED_BOUNDS","")))),"E_MISSING_INPUT")))))))</f>
        <v/>
      </c>
      <c r="BF14" s="22">
        <f t="shared" si="12"/>
        <v>0</v>
      </c>
      <c r="BG14" s="22">
        <f t="shared" si="13"/>
        <v>0</v>
      </c>
      <c r="BH14" s="28" t="str">
        <f t="shared" si="14"/>
        <v/>
      </c>
      <c r="BI14" s="28" t="str">
        <f t="shared" si="15"/>
        <v/>
      </c>
      <c r="BJ14" s="22" t="str">
        <f t="shared" si="16"/>
        <v/>
      </c>
      <c r="BK14" s="22" t="str">
        <f t="shared" si="17"/>
        <v/>
      </c>
      <c r="BL14" s="21" t="str">
        <f t="shared" si="18"/>
        <v/>
      </c>
      <c r="BM14" s="22">
        <f>IF(BL14="",0,COUNTIF(nEXP_Key,BL14))</f>
        <v>0</v>
      </c>
      <c r="BN14" s="21" t="str">
        <f t="shared" si="19"/>
        <v/>
      </c>
      <c r="BO14" s="21" t="str">
        <f>IF(BN14="","",BN14&amp;": "&amp;SUBSTITUTE(IFERROR(INDEX(nMSG_Text,MATCH(BN14,nMSG_Code,0)),""),"[input]",IF(D14="","an Exposure_Episode_ID","the date fields required by the selected precision")))</f>
        <v/>
      </c>
    </row>
    <row r="15" spans="1:67" x14ac:dyDescent="0.2">
      <c r="A15" s="10"/>
      <c r="B15" s="12"/>
      <c r="C15" s="10"/>
      <c r="D15" s="10"/>
      <c r="E15" s="10"/>
      <c r="F15" s="17"/>
      <c r="G15" s="10"/>
      <c r="H15" s="17"/>
      <c r="I15" s="17"/>
      <c r="J15" s="10"/>
      <c r="K15" s="17"/>
      <c r="L15" s="10"/>
      <c r="M15" s="10"/>
      <c r="N15" s="17"/>
      <c r="O15" s="15"/>
      <c r="P15" s="26"/>
      <c r="Q15" s="10"/>
      <c r="R15" s="12"/>
      <c r="S15" s="12"/>
      <c r="T15" s="15"/>
      <c r="U15" s="15"/>
      <c r="V15" s="10"/>
      <c r="W15" s="21" t="str">
        <f>IF(COUNTA(N15:U15)=0,"",IF(N15="","E_MISSING_INPUT",IF(N15="TIMESTAMP",IF(OR(O15="",P15="",Q15=""),"E_MISSING_INPUT",IF(OR(NOT(ISNUMBER(O15)),NOT(ISNUMBER(P15))),"E_INVALID_DATE",IF(OR(O15&lt;&gt;INT(O15),P15&lt;0,P15&gt;=1),"E_INVALID_DATE",IF(ISNA(MATCH(Q15,nLIST_Offset,0)),"E_INVALID_DATE","")))),IF(N15="DATE",IF(O15="","E_MISSING_INPUT",IF(NOT(ISNUMBER(O15)),"E_INVALID_DATE",IF(O15&lt;&gt;INT(O15),"E_INVALID_DATE",""))),IF(N15="MONTH",IF(OR(R15="",S15=""),"E_MISSING_INPUT",IF(OR(NOT(ISNUMBER(R15)),NOT(ISNUMBER(S15))),"E_INVALID_DATE",IF(OR(R15&lt;1900,R15&gt;9999,R15&lt;&gt;INT(R15),S15&lt;1,S15&gt;12,S15&lt;&gt;INT(S15)),"E_INVALID_DATE",""))),IF(N15="YEAR",IF(R15="","E_MISSING_INPUT",IF(NOT(ISNUMBER(R15)),"E_INVALID_DATE",IF(OR(R15&lt;1900,R15&gt;9999,R15&lt;&gt;INT(R15)),"E_INVALID_DATE",""))),IF(N15="RANGE",IF(OR(T15="",U15=""),"E_MISSING_INPUT",IF(OR(NOT(ISNUMBER(T15)),NOT(ISNUMBER(U15))),"E_INVALID_DATE",IF(OR(T15&lt;&gt;INT(T15),U15&lt;&gt;INT(U15)),"E_INVALID_DATE",IF(T15&gt;U15,"E_REVERSED_BOUNDS","")))),"E_MISSING_INPUT")))))))</f>
        <v/>
      </c>
      <c r="X15" s="22">
        <f t="shared" si="0"/>
        <v>0</v>
      </c>
      <c r="Y15" s="22">
        <f t="shared" si="1"/>
        <v>0</v>
      </c>
      <c r="Z15" s="28" t="str">
        <f t="shared" si="2"/>
        <v/>
      </c>
      <c r="AA15" s="28" t="str">
        <f t="shared" si="3"/>
        <v/>
      </c>
      <c r="AB15" s="22" t="str">
        <f t="shared" si="4"/>
        <v/>
      </c>
      <c r="AC15" s="22" t="str">
        <f t="shared" si="5"/>
        <v/>
      </c>
      <c r="AD15" s="10"/>
      <c r="AE15" s="17"/>
      <c r="AF15" s="15"/>
      <c r="AG15" s="26"/>
      <c r="AH15" s="10"/>
      <c r="AI15" s="12"/>
      <c r="AJ15" s="12"/>
      <c r="AK15" s="15"/>
      <c r="AL15" s="15"/>
      <c r="AM15" s="10"/>
      <c r="AN15" s="21" t="str">
        <f>IF(COUNTA(AE15:AL15)=0,"",IF(AE15="","E_MISSING_INPUT",IF(AE15="TIMESTAMP",IF(OR(AF15="",AG15="",AH15=""),"E_MISSING_INPUT",IF(OR(NOT(ISNUMBER(AF15)),NOT(ISNUMBER(AG15))),"E_INVALID_DATE",IF(OR(AF15&lt;&gt;INT(AF15),AG15&lt;0,AG15&gt;=1),"E_INVALID_DATE",IF(ISNA(MATCH(AH15,nLIST_Offset,0)),"E_INVALID_DATE","")))),IF(AE15="DATE",IF(AF15="","E_MISSING_INPUT",IF(NOT(ISNUMBER(AF15)),"E_INVALID_DATE",IF(AF15&lt;&gt;INT(AF15),"E_INVALID_DATE",""))),IF(AE15="MONTH",IF(OR(AI15="",AJ15=""),"E_MISSING_INPUT",IF(OR(NOT(ISNUMBER(AI15)),NOT(ISNUMBER(AJ15))),"E_INVALID_DATE",IF(OR(AI15&lt;1900,AI15&gt;9999,AI15&lt;&gt;INT(AI15),AJ15&lt;1,AJ15&gt;12,AJ15&lt;&gt;INT(AJ15)),"E_INVALID_DATE",""))),IF(AE15="YEAR",IF(AI15="","E_MISSING_INPUT",IF(NOT(ISNUMBER(AI15)),"E_INVALID_DATE",IF(OR(AI15&lt;1900,AI15&gt;9999,AI15&lt;&gt;INT(AI15)),"E_INVALID_DATE",""))),IF(AE15="RANGE",IF(OR(AK15="",AL15=""),"E_MISSING_INPUT",IF(OR(NOT(ISNUMBER(AK15)),NOT(ISNUMBER(AL15))),"E_INVALID_DATE",IF(OR(AK15&lt;&gt;INT(AK15),AL15&lt;&gt;INT(AL15)),"E_INVALID_DATE",IF(AK15&gt;AL15,"E_REVERSED_BOUNDS","")))),"E_MISSING_INPUT")))))))</f>
        <v/>
      </c>
      <c r="AO15" s="22">
        <f t="shared" si="6"/>
        <v>0</v>
      </c>
      <c r="AP15" s="22">
        <f t="shared" si="7"/>
        <v>0</v>
      </c>
      <c r="AQ15" s="28" t="str">
        <f t="shared" si="8"/>
        <v/>
      </c>
      <c r="AR15" s="28" t="str">
        <f t="shared" si="9"/>
        <v/>
      </c>
      <c r="AS15" s="22" t="str">
        <f t="shared" si="10"/>
        <v/>
      </c>
      <c r="AT15" s="22" t="str">
        <f t="shared" si="11"/>
        <v/>
      </c>
      <c r="AU15" s="10"/>
      <c r="AV15" s="17"/>
      <c r="AW15" s="15"/>
      <c r="AX15" s="26"/>
      <c r="AY15" s="10"/>
      <c r="AZ15" s="12"/>
      <c r="BA15" s="12"/>
      <c r="BB15" s="15"/>
      <c r="BC15" s="15"/>
      <c r="BD15" s="10"/>
      <c r="BE15" s="21" t="str">
        <f>IF(COUNTA(AV15:BC15)=0,"",IF(AV15="","E_MISSING_INPUT",IF(AV15="TIMESTAMP",IF(OR(AW15="",AX15="",AY15=""),"E_MISSING_INPUT",IF(OR(NOT(ISNUMBER(AW15)),NOT(ISNUMBER(AX15))),"E_INVALID_DATE",IF(OR(AW15&lt;&gt;INT(AW15),AX15&lt;0,AX15&gt;=1),"E_INVALID_DATE",IF(ISNA(MATCH(AY15,nLIST_Offset,0)),"E_INVALID_DATE","")))),IF(AV15="DATE",IF(AW15="","E_MISSING_INPUT",IF(NOT(ISNUMBER(AW15)),"E_INVALID_DATE",IF(AW15&lt;&gt;INT(AW15),"E_INVALID_DATE",""))),IF(AV15="MONTH",IF(OR(AZ15="",BA15=""),"E_MISSING_INPUT",IF(OR(NOT(ISNUMBER(AZ15)),NOT(ISNUMBER(BA15))),"E_INVALID_DATE",IF(OR(AZ15&lt;1900,AZ15&gt;9999,AZ15&lt;&gt;INT(AZ15),BA15&lt;1,BA15&gt;12,BA15&lt;&gt;INT(BA15)),"E_INVALID_DATE",""))),IF(AV15="YEAR",IF(AZ15="","E_MISSING_INPUT",IF(NOT(ISNUMBER(AZ15)),"E_INVALID_DATE",IF(OR(AZ15&lt;1900,AZ15&gt;9999,AZ15&lt;&gt;INT(AZ15)),"E_INVALID_DATE",""))),IF(AV15="RANGE",IF(OR(BB15="",BC15=""),"E_MISSING_INPUT",IF(OR(NOT(ISNUMBER(BB15)),NOT(ISNUMBER(BC15))),"E_INVALID_DATE",IF(OR(BB15&lt;&gt;INT(BB15),BC15&lt;&gt;INT(BC15)),"E_INVALID_DATE",IF(BB15&gt;BC15,"E_REVERSED_BOUNDS","")))),"E_MISSING_INPUT")))))))</f>
        <v/>
      </c>
      <c r="BF15" s="22">
        <f t="shared" si="12"/>
        <v>0</v>
      </c>
      <c r="BG15" s="22">
        <f t="shared" si="13"/>
        <v>0</v>
      </c>
      <c r="BH15" s="28" t="str">
        <f t="shared" si="14"/>
        <v/>
      </c>
      <c r="BI15" s="28" t="str">
        <f t="shared" si="15"/>
        <v/>
      </c>
      <c r="BJ15" s="22" t="str">
        <f t="shared" si="16"/>
        <v/>
      </c>
      <c r="BK15" s="22" t="str">
        <f t="shared" si="17"/>
        <v/>
      </c>
      <c r="BL15" s="21" t="str">
        <f t="shared" si="18"/>
        <v/>
      </c>
      <c r="BM15" s="22">
        <f>IF(BL15="",0,COUNTIF(nEXP_Key,BL15))</f>
        <v>0</v>
      </c>
      <c r="BN15" s="21" t="str">
        <f t="shared" si="19"/>
        <v/>
      </c>
      <c r="BO15" s="21" t="str">
        <f>IF(BN15="","",BN15&amp;": "&amp;SUBSTITUTE(IFERROR(INDEX(nMSG_Text,MATCH(BN15,nMSG_Code,0)),""),"[input]",IF(D15="","an Exposure_Episode_ID","the date fields required by the selected precision")))</f>
        <v/>
      </c>
    </row>
    <row r="16" spans="1:67" x14ac:dyDescent="0.2">
      <c r="A16" s="10"/>
      <c r="B16" s="12"/>
      <c r="C16" s="10"/>
      <c r="D16" s="10"/>
      <c r="E16" s="10"/>
      <c r="F16" s="17"/>
      <c r="G16" s="10"/>
      <c r="H16" s="17"/>
      <c r="I16" s="17"/>
      <c r="J16" s="10"/>
      <c r="K16" s="17"/>
      <c r="L16" s="10"/>
      <c r="M16" s="10"/>
      <c r="N16" s="17"/>
      <c r="O16" s="15"/>
      <c r="P16" s="26"/>
      <c r="Q16" s="10"/>
      <c r="R16" s="12"/>
      <c r="S16" s="12"/>
      <c r="T16" s="15"/>
      <c r="U16" s="15"/>
      <c r="V16" s="10"/>
      <c r="W16" s="21" t="str">
        <f>IF(COUNTA(N16:U16)=0,"",IF(N16="","E_MISSING_INPUT",IF(N16="TIMESTAMP",IF(OR(O16="",P16="",Q16=""),"E_MISSING_INPUT",IF(OR(NOT(ISNUMBER(O16)),NOT(ISNUMBER(P16))),"E_INVALID_DATE",IF(OR(O16&lt;&gt;INT(O16),P16&lt;0,P16&gt;=1),"E_INVALID_DATE",IF(ISNA(MATCH(Q16,nLIST_Offset,0)),"E_INVALID_DATE","")))),IF(N16="DATE",IF(O16="","E_MISSING_INPUT",IF(NOT(ISNUMBER(O16)),"E_INVALID_DATE",IF(O16&lt;&gt;INT(O16),"E_INVALID_DATE",""))),IF(N16="MONTH",IF(OR(R16="",S16=""),"E_MISSING_INPUT",IF(OR(NOT(ISNUMBER(R16)),NOT(ISNUMBER(S16))),"E_INVALID_DATE",IF(OR(R16&lt;1900,R16&gt;9999,R16&lt;&gt;INT(R16),S16&lt;1,S16&gt;12,S16&lt;&gt;INT(S16)),"E_INVALID_DATE",""))),IF(N16="YEAR",IF(R16="","E_MISSING_INPUT",IF(NOT(ISNUMBER(R16)),"E_INVALID_DATE",IF(OR(R16&lt;1900,R16&gt;9999,R16&lt;&gt;INT(R16)),"E_INVALID_DATE",""))),IF(N16="RANGE",IF(OR(T16="",U16=""),"E_MISSING_INPUT",IF(OR(NOT(ISNUMBER(T16)),NOT(ISNUMBER(U16))),"E_INVALID_DATE",IF(OR(T16&lt;&gt;INT(T16),U16&lt;&gt;INT(U16)),"E_INVALID_DATE",IF(T16&gt;U16,"E_REVERSED_BOUNDS","")))),"E_MISSING_INPUT")))))))</f>
        <v/>
      </c>
      <c r="X16" s="22">
        <f t="shared" si="0"/>
        <v>0</v>
      </c>
      <c r="Y16" s="22">
        <f t="shared" si="1"/>
        <v>0</v>
      </c>
      <c r="Z16" s="28" t="str">
        <f t="shared" si="2"/>
        <v/>
      </c>
      <c r="AA16" s="28" t="str">
        <f t="shared" si="3"/>
        <v/>
      </c>
      <c r="AB16" s="22" t="str">
        <f t="shared" si="4"/>
        <v/>
      </c>
      <c r="AC16" s="22" t="str">
        <f t="shared" si="5"/>
        <v/>
      </c>
      <c r="AD16" s="10"/>
      <c r="AE16" s="17"/>
      <c r="AF16" s="15"/>
      <c r="AG16" s="26"/>
      <c r="AH16" s="10"/>
      <c r="AI16" s="12"/>
      <c r="AJ16" s="12"/>
      <c r="AK16" s="15"/>
      <c r="AL16" s="15"/>
      <c r="AM16" s="10"/>
      <c r="AN16" s="21" t="str">
        <f>IF(COUNTA(AE16:AL16)=0,"",IF(AE16="","E_MISSING_INPUT",IF(AE16="TIMESTAMP",IF(OR(AF16="",AG16="",AH16=""),"E_MISSING_INPUT",IF(OR(NOT(ISNUMBER(AF16)),NOT(ISNUMBER(AG16))),"E_INVALID_DATE",IF(OR(AF16&lt;&gt;INT(AF16),AG16&lt;0,AG16&gt;=1),"E_INVALID_DATE",IF(ISNA(MATCH(AH16,nLIST_Offset,0)),"E_INVALID_DATE","")))),IF(AE16="DATE",IF(AF16="","E_MISSING_INPUT",IF(NOT(ISNUMBER(AF16)),"E_INVALID_DATE",IF(AF16&lt;&gt;INT(AF16),"E_INVALID_DATE",""))),IF(AE16="MONTH",IF(OR(AI16="",AJ16=""),"E_MISSING_INPUT",IF(OR(NOT(ISNUMBER(AI16)),NOT(ISNUMBER(AJ16))),"E_INVALID_DATE",IF(OR(AI16&lt;1900,AI16&gt;9999,AI16&lt;&gt;INT(AI16),AJ16&lt;1,AJ16&gt;12,AJ16&lt;&gt;INT(AJ16)),"E_INVALID_DATE",""))),IF(AE16="YEAR",IF(AI16="","E_MISSING_INPUT",IF(NOT(ISNUMBER(AI16)),"E_INVALID_DATE",IF(OR(AI16&lt;1900,AI16&gt;9999,AI16&lt;&gt;INT(AI16)),"E_INVALID_DATE",""))),IF(AE16="RANGE",IF(OR(AK16="",AL16=""),"E_MISSING_INPUT",IF(OR(NOT(ISNUMBER(AK16)),NOT(ISNUMBER(AL16))),"E_INVALID_DATE",IF(OR(AK16&lt;&gt;INT(AK16),AL16&lt;&gt;INT(AL16)),"E_INVALID_DATE",IF(AK16&gt;AL16,"E_REVERSED_BOUNDS","")))),"E_MISSING_INPUT")))))))</f>
        <v/>
      </c>
      <c r="AO16" s="22">
        <f t="shared" si="6"/>
        <v>0</v>
      </c>
      <c r="AP16" s="22">
        <f t="shared" si="7"/>
        <v>0</v>
      </c>
      <c r="AQ16" s="28" t="str">
        <f t="shared" si="8"/>
        <v/>
      </c>
      <c r="AR16" s="28" t="str">
        <f t="shared" si="9"/>
        <v/>
      </c>
      <c r="AS16" s="22" t="str">
        <f t="shared" si="10"/>
        <v/>
      </c>
      <c r="AT16" s="22" t="str">
        <f t="shared" si="11"/>
        <v/>
      </c>
      <c r="AU16" s="10"/>
      <c r="AV16" s="17"/>
      <c r="AW16" s="15"/>
      <c r="AX16" s="26"/>
      <c r="AY16" s="10"/>
      <c r="AZ16" s="12"/>
      <c r="BA16" s="12"/>
      <c r="BB16" s="15"/>
      <c r="BC16" s="15"/>
      <c r="BD16" s="10"/>
      <c r="BE16" s="21" t="str">
        <f>IF(COUNTA(AV16:BC16)=0,"",IF(AV16="","E_MISSING_INPUT",IF(AV16="TIMESTAMP",IF(OR(AW16="",AX16="",AY16=""),"E_MISSING_INPUT",IF(OR(NOT(ISNUMBER(AW16)),NOT(ISNUMBER(AX16))),"E_INVALID_DATE",IF(OR(AW16&lt;&gt;INT(AW16),AX16&lt;0,AX16&gt;=1),"E_INVALID_DATE",IF(ISNA(MATCH(AY16,nLIST_Offset,0)),"E_INVALID_DATE","")))),IF(AV16="DATE",IF(AW16="","E_MISSING_INPUT",IF(NOT(ISNUMBER(AW16)),"E_INVALID_DATE",IF(AW16&lt;&gt;INT(AW16),"E_INVALID_DATE",""))),IF(AV16="MONTH",IF(OR(AZ16="",BA16=""),"E_MISSING_INPUT",IF(OR(NOT(ISNUMBER(AZ16)),NOT(ISNUMBER(BA16))),"E_INVALID_DATE",IF(OR(AZ16&lt;1900,AZ16&gt;9999,AZ16&lt;&gt;INT(AZ16),BA16&lt;1,BA16&gt;12,BA16&lt;&gt;INT(BA16)),"E_INVALID_DATE",""))),IF(AV16="YEAR",IF(AZ16="","E_MISSING_INPUT",IF(NOT(ISNUMBER(AZ16)),"E_INVALID_DATE",IF(OR(AZ16&lt;1900,AZ16&gt;9999,AZ16&lt;&gt;INT(AZ16)),"E_INVALID_DATE",""))),IF(AV16="RANGE",IF(OR(BB16="",BC16=""),"E_MISSING_INPUT",IF(OR(NOT(ISNUMBER(BB16)),NOT(ISNUMBER(BC16))),"E_INVALID_DATE",IF(OR(BB16&lt;&gt;INT(BB16),BC16&lt;&gt;INT(BC16)),"E_INVALID_DATE",IF(BB16&gt;BC16,"E_REVERSED_BOUNDS","")))),"E_MISSING_INPUT")))))))</f>
        <v/>
      </c>
      <c r="BF16" s="22">
        <f t="shared" si="12"/>
        <v>0</v>
      </c>
      <c r="BG16" s="22">
        <f t="shared" si="13"/>
        <v>0</v>
      </c>
      <c r="BH16" s="28" t="str">
        <f t="shared" si="14"/>
        <v/>
      </c>
      <c r="BI16" s="28" t="str">
        <f t="shared" si="15"/>
        <v/>
      </c>
      <c r="BJ16" s="22" t="str">
        <f t="shared" si="16"/>
        <v/>
      </c>
      <c r="BK16" s="22" t="str">
        <f t="shared" si="17"/>
        <v/>
      </c>
      <c r="BL16" s="21" t="str">
        <f t="shared" si="18"/>
        <v/>
      </c>
      <c r="BM16" s="22">
        <f>IF(BL16="",0,COUNTIF(nEXP_Key,BL16))</f>
        <v>0</v>
      </c>
      <c r="BN16" s="21" t="str">
        <f t="shared" si="19"/>
        <v/>
      </c>
      <c r="BO16" s="21" t="str">
        <f>IF(BN16="","",BN16&amp;": "&amp;SUBSTITUTE(IFERROR(INDEX(nMSG_Text,MATCH(BN16,nMSG_Code,0)),""),"[input]",IF(D16="","an Exposure_Episode_ID","the date fields required by the selected precision")))</f>
        <v/>
      </c>
    </row>
    <row r="17" spans="1:67" x14ac:dyDescent="0.2">
      <c r="A17" s="10"/>
      <c r="B17" s="12"/>
      <c r="C17" s="10"/>
      <c r="D17" s="10"/>
      <c r="E17" s="10"/>
      <c r="F17" s="17"/>
      <c r="G17" s="10"/>
      <c r="H17" s="17"/>
      <c r="I17" s="17"/>
      <c r="J17" s="10"/>
      <c r="K17" s="17"/>
      <c r="L17" s="10"/>
      <c r="M17" s="10"/>
      <c r="N17" s="17"/>
      <c r="O17" s="15"/>
      <c r="P17" s="26"/>
      <c r="Q17" s="10"/>
      <c r="R17" s="12"/>
      <c r="S17" s="12"/>
      <c r="T17" s="15"/>
      <c r="U17" s="15"/>
      <c r="V17" s="10"/>
      <c r="W17" s="21" t="str">
        <f>IF(COUNTA(N17:U17)=0,"",IF(N17="","E_MISSING_INPUT",IF(N17="TIMESTAMP",IF(OR(O17="",P17="",Q17=""),"E_MISSING_INPUT",IF(OR(NOT(ISNUMBER(O17)),NOT(ISNUMBER(P17))),"E_INVALID_DATE",IF(OR(O17&lt;&gt;INT(O17),P17&lt;0,P17&gt;=1),"E_INVALID_DATE",IF(ISNA(MATCH(Q17,nLIST_Offset,0)),"E_INVALID_DATE","")))),IF(N17="DATE",IF(O17="","E_MISSING_INPUT",IF(NOT(ISNUMBER(O17)),"E_INVALID_DATE",IF(O17&lt;&gt;INT(O17),"E_INVALID_DATE",""))),IF(N17="MONTH",IF(OR(R17="",S17=""),"E_MISSING_INPUT",IF(OR(NOT(ISNUMBER(R17)),NOT(ISNUMBER(S17))),"E_INVALID_DATE",IF(OR(R17&lt;1900,R17&gt;9999,R17&lt;&gt;INT(R17),S17&lt;1,S17&gt;12,S17&lt;&gt;INT(S17)),"E_INVALID_DATE",""))),IF(N17="YEAR",IF(R17="","E_MISSING_INPUT",IF(NOT(ISNUMBER(R17)),"E_INVALID_DATE",IF(OR(R17&lt;1900,R17&gt;9999,R17&lt;&gt;INT(R17)),"E_INVALID_DATE",""))),IF(N17="RANGE",IF(OR(T17="",U17=""),"E_MISSING_INPUT",IF(OR(NOT(ISNUMBER(T17)),NOT(ISNUMBER(U17))),"E_INVALID_DATE",IF(OR(T17&lt;&gt;INT(T17),U17&lt;&gt;INT(U17)),"E_INVALID_DATE",IF(T17&gt;U17,"E_REVERSED_BOUNDS","")))),"E_MISSING_INPUT")))))))</f>
        <v/>
      </c>
      <c r="X17" s="22">
        <f t="shared" si="0"/>
        <v>0</v>
      </c>
      <c r="Y17" s="22">
        <f t="shared" si="1"/>
        <v>0</v>
      </c>
      <c r="Z17" s="28" t="str">
        <f t="shared" si="2"/>
        <v/>
      </c>
      <c r="AA17" s="28" t="str">
        <f t="shared" si="3"/>
        <v/>
      </c>
      <c r="AB17" s="22" t="str">
        <f t="shared" si="4"/>
        <v/>
      </c>
      <c r="AC17" s="22" t="str">
        <f t="shared" si="5"/>
        <v/>
      </c>
      <c r="AD17" s="10"/>
      <c r="AE17" s="17"/>
      <c r="AF17" s="15"/>
      <c r="AG17" s="26"/>
      <c r="AH17" s="10"/>
      <c r="AI17" s="12"/>
      <c r="AJ17" s="12"/>
      <c r="AK17" s="15"/>
      <c r="AL17" s="15"/>
      <c r="AM17" s="10"/>
      <c r="AN17" s="21" t="str">
        <f>IF(COUNTA(AE17:AL17)=0,"",IF(AE17="","E_MISSING_INPUT",IF(AE17="TIMESTAMP",IF(OR(AF17="",AG17="",AH17=""),"E_MISSING_INPUT",IF(OR(NOT(ISNUMBER(AF17)),NOT(ISNUMBER(AG17))),"E_INVALID_DATE",IF(OR(AF17&lt;&gt;INT(AF17),AG17&lt;0,AG17&gt;=1),"E_INVALID_DATE",IF(ISNA(MATCH(AH17,nLIST_Offset,0)),"E_INVALID_DATE","")))),IF(AE17="DATE",IF(AF17="","E_MISSING_INPUT",IF(NOT(ISNUMBER(AF17)),"E_INVALID_DATE",IF(AF17&lt;&gt;INT(AF17),"E_INVALID_DATE",""))),IF(AE17="MONTH",IF(OR(AI17="",AJ17=""),"E_MISSING_INPUT",IF(OR(NOT(ISNUMBER(AI17)),NOT(ISNUMBER(AJ17))),"E_INVALID_DATE",IF(OR(AI17&lt;1900,AI17&gt;9999,AI17&lt;&gt;INT(AI17),AJ17&lt;1,AJ17&gt;12,AJ17&lt;&gt;INT(AJ17)),"E_INVALID_DATE",""))),IF(AE17="YEAR",IF(AI17="","E_MISSING_INPUT",IF(NOT(ISNUMBER(AI17)),"E_INVALID_DATE",IF(OR(AI17&lt;1900,AI17&gt;9999,AI17&lt;&gt;INT(AI17)),"E_INVALID_DATE",""))),IF(AE17="RANGE",IF(OR(AK17="",AL17=""),"E_MISSING_INPUT",IF(OR(NOT(ISNUMBER(AK17)),NOT(ISNUMBER(AL17))),"E_INVALID_DATE",IF(OR(AK17&lt;&gt;INT(AK17),AL17&lt;&gt;INT(AL17)),"E_INVALID_DATE",IF(AK17&gt;AL17,"E_REVERSED_BOUNDS","")))),"E_MISSING_INPUT")))))))</f>
        <v/>
      </c>
      <c r="AO17" s="22">
        <f t="shared" si="6"/>
        <v>0</v>
      </c>
      <c r="AP17" s="22">
        <f t="shared" si="7"/>
        <v>0</v>
      </c>
      <c r="AQ17" s="28" t="str">
        <f t="shared" si="8"/>
        <v/>
      </c>
      <c r="AR17" s="28" t="str">
        <f t="shared" si="9"/>
        <v/>
      </c>
      <c r="AS17" s="22" t="str">
        <f t="shared" si="10"/>
        <v/>
      </c>
      <c r="AT17" s="22" t="str">
        <f t="shared" si="11"/>
        <v/>
      </c>
      <c r="AU17" s="10"/>
      <c r="AV17" s="17"/>
      <c r="AW17" s="15"/>
      <c r="AX17" s="26"/>
      <c r="AY17" s="10"/>
      <c r="AZ17" s="12"/>
      <c r="BA17" s="12"/>
      <c r="BB17" s="15"/>
      <c r="BC17" s="15"/>
      <c r="BD17" s="10"/>
      <c r="BE17" s="21" t="str">
        <f>IF(COUNTA(AV17:BC17)=0,"",IF(AV17="","E_MISSING_INPUT",IF(AV17="TIMESTAMP",IF(OR(AW17="",AX17="",AY17=""),"E_MISSING_INPUT",IF(OR(NOT(ISNUMBER(AW17)),NOT(ISNUMBER(AX17))),"E_INVALID_DATE",IF(OR(AW17&lt;&gt;INT(AW17),AX17&lt;0,AX17&gt;=1),"E_INVALID_DATE",IF(ISNA(MATCH(AY17,nLIST_Offset,0)),"E_INVALID_DATE","")))),IF(AV17="DATE",IF(AW17="","E_MISSING_INPUT",IF(NOT(ISNUMBER(AW17)),"E_INVALID_DATE",IF(AW17&lt;&gt;INT(AW17),"E_INVALID_DATE",""))),IF(AV17="MONTH",IF(OR(AZ17="",BA17=""),"E_MISSING_INPUT",IF(OR(NOT(ISNUMBER(AZ17)),NOT(ISNUMBER(BA17))),"E_INVALID_DATE",IF(OR(AZ17&lt;1900,AZ17&gt;9999,AZ17&lt;&gt;INT(AZ17),BA17&lt;1,BA17&gt;12,BA17&lt;&gt;INT(BA17)),"E_INVALID_DATE",""))),IF(AV17="YEAR",IF(AZ17="","E_MISSING_INPUT",IF(NOT(ISNUMBER(AZ17)),"E_INVALID_DATE",IF(OR(AZ17&lt;1900,AZ17&gt;9999,AZ17&lt;&gt;INT(AZ17)),"E_INVALID_DATE",""))),IF(AV17="RANGE",IF(OR(BB17="",BC17=""),"E_MISSING_INPUT",IF(OR(NOT(ISNUMBER(BB17)),NOT(ISNUMBER(BC17))),"E_INVALID_DATE",IF(OR(BB17&lt;&gt;INT(BB17),BC17&lt;&gt;INT(BC17)),"E_INVALID_DATE",IF(BB17&gt;BC17,"E_REVERSED_BOUNDS","")))),"E_MISSING_INPUT")))))))</f>
        <v/>
      </c>
      <c r="BF17" s="22">
        <f t="shared" si="12"/>
        <v>0</v>
      </c>
      <c r="BG17" s="22">
        <f t="shared" si="13"/>
        <v>0</v>
      </c>
      <c r="BH17" s="28" t="str">
        <f t="shared" si="14"/>
        <v/>
      </c>
      <c r="BI17" s="28" t="str">
        <f t="shared" si="15"/>
        <v/>
      </c>
      <c r="BJ17" s="22" t="str">
        <f t="shared" si="16"/>
        <v/>
      </c>
      <c r="BK17" s="22" t="str">
        <f t="shared" si="17"/>
        <v/>
      </c>
      <c r="BL17" s="21" t="str">
        <f t="shared" si="18"/>
        <v/>
      </c>
      <c r="BM17" s="22">
        <f>IF(BL17="",0,COUNTIF(nEXP_Key,BL17))</f>
        <v>0</v>
      </c>
      <c r="BN17" s="21" t="str">
        <f t="shared" si="19"/>
        <v/>
      </c>
      <c r="BO17" s="21" t="str">
        <f>IF(BN17="","",BN17&amp;": "&amp;SUBSTITUTE(IFERROR(INDEX(nMSG_Text,MATCH(BN17,nMSG_Code,0)),""),"[input]",IF(D17="","an Exposure_Episode_ID","the date fields required by the selected precision")))</f>
        <v/>
      </c>
    </row>
    <row r="18" spans="1:67" x14ac:dyDescent="0.2">
      <c r="A18" s="10"/>
      <c r="B18" s="12"/>
      <c r="C18" s="10"/>
      <c r="D18" s="10"/>
      <c r="E18" s="10"/>
      <c r="F18" s="17"/>
      <c r="G18" s="10"/>
      <c r="H18" s="17"/>
      <c r="I18" s="17"/>
      <c r="J18" s="10"/>
      <c r="K18" s="17"/>
      <c r="L18" s="10"/>
      <c r="M18" s="10"/>
      <c r="N18" s="17"/>
      <c r="O18" s="15"/>
      <c r="P18" s="26"/>
      <c r="Q18" s="10"/>
      <c r="R18" s="12"/>
      <c r="S18" s="12"/>
      <c r="T18" s="15"/>
      <c r="U18" s="15"/>
      <c r="V18" s="10"/>
      <c r="W18" s="21" t="str">
        <f>IF(COUNTA(N18:U18)=0,"",IF(N18="","E_MISSING_INPUT",IF(N18="TIMESTAMP",IF(OR(O18="",P18="",Q18=""),"E_MISSING_INPUT",IF(OR(NOT(ISNUMBER(O18)),NOT(ISNUMBER(P18))),"E_INVALID_DATE",IF(OR(O18&lt;&gt;INT(O18),P18&lt;0,P18&gt;=1),"E_INVALID_DATE",IF(ISNA(MATCH(Q18,nLIST_Offset,0)),"E_INVALID_DATE","")))),IF(N18="DATE",IF(O18="","E_MISSING_INPUT",IF(NOT(ISNUMBER(O18)),"E_INVALID_DATE",IF(O18&lt;&gt;INT(O18),"E_INVALID_DATE",""))),IF(N18="MONTH",IF(OR(R18="",S18=""),"E_MISSING_INPUT",IF(OR(NOT(ISNUMBER(R18)),NOT(ISNUMBER(S18))),"E_INVALID_DATE",IF(OR(R18&lt;1900,R18&gt;9999,R18&lt;&gt;INT(R18),S18&lt;1,S18&gt;12,S18&lt;&gt;INT(S18)),"E_INVALID_DATE",""))),IF(N18="YEAR",IF(R18="","E_MISSING_INPUT",IF(NOT(ISNUMBER(R18)),"E_INVALID_DATE",IF(OR(R18&lt;1900,R18&gt;9999,R18&lt;&gt;INT(R18)),"E_INVALID_DATE",""))),IF(N18="RANGE",IF(OR(T18="",U18=""),"E_MISSING_INPUT",IF(OR(NOT(ISNUMBER(T18)),NOT(ISNUMBER(U18))),"E_INVALID_DATE",IF(OR(T18&lt;&gt;INT(T18),U18&lt;&gt;INT(U18)),"E_INVALID_DATE",IF(T18&gt;U18,"E_REVERSED_BOUNDS","")))),"E_MISSING_INPUT")))))))</f>
        <v/>
      </c>
      <c r="X18" s="22">
        <f t="shared" si="0"/>
        <v>0</v>
      </c>
      <c r="Y18" s="22">
        <f t="shared" si="1"/>
        <v>0</v>
      </c>
      <c r="Z18" s="28" t="str">
        <f t="shared" si="2"/>
        <v/>
      </c>
      <c r="AA18" s="28" t="str">
        <f t="shared" si="3"/>
        <v/>
      </c>
      <c r="AB18" s="22" t="str">
        <f t="shared" si="4"/>
        <v/>
      </c>
      <c r="AC18" s="22" t="str">
        <f t="shared" si="5"/>
        <v/>
      </c>
      <c r="AD18" s="10"/>
      <c r="AE18" s="17"/>
      <c r="AF18" s="15"/>
      <c r="AG18" s="26"/>
      <c r="AH18" s="10"/>
      <c r="AI18" s="12"/>
      <c r="AJ18" s="12"/>
      <c r="AK18" s="15"/>
      <c r="AL18" s="15"/>
      <c r="AM18" s="10"/>
      <c r="AN18" s="21" t="str">
        <f>IF(COUNTA(AE18:AL18)=0,"",IF(AE18="","E_MISSING_INPUT",IF(AE18="TIMESTAMP",IF(OR(AF18="",AG18="",AH18=""),"E_MISSING_INPUT",IF(OR(NOT(ISNUMBER(AF18)),NOT(ISNUMBER(AG18))),"E_INVALID_DATE",IF(OR(AF18&lt;&gt;INT(AF18),AG18&lt;0,AG18&gt;=1),"E_INVALID_DATE",IF(ISNA(MATCH(AH18,nLIST_Offset,0)),"E_INVALID_DATE","")))),IF(AE18="DATE",IF(AF18="","E_MISSING_INPUT",IF(NOT(ISNUMBER(AF18)),"E_INVALID_DATE",IF(AF18&lt;&gt;INT(AF18),"E_INVALID_DATE",""))),IF(AE18="MONTH",IF(OR(AI18="",AJ18=""),"E_MISSING_INPUT",IF(OR(NOT(ISNUMBER(AI18)),NOT(ISNUMBER(AJ18))),"E_INVALID_DATE",IF(OR(AI18&lt;1900,AI18&gt;9999,AI18&lt;&gt;INT(AI18),AJ18&lt;1,AJ18&gt;12,AJ18&lt;&gt;INT(AJ18)),"E_INVALID_DATE",""))),IF(AE18="YEAR",IF(AI18="","E_MISSING_INPUT",IF(NOT(ISNUMBER(AI18)),"E_INVALID_DATE",IF(OR(AI18&lt;1900,AI18&gt;9999,AI18&lt;&gt;INT(AI18)),"E_INVALID_DATE",""))),IF(AE18="RANGE",IF(OR(AK18="",AL18=""),"E_MISSING_INPUT",IF(OR(NOT(ISNUMBER(AK18)),NOT(ISNUMBER(AL18))),"E_INVALID_DATE",IF(OR(AK18&lt;&gt;INT(AK18),AL18&lt;&gt;INT(AL18)),"E_INVALID_DATE",IF(AK18&gt;AL18,"E_REVERSED_BOUNDS","")))),"E_MISSING_INPUT")))))))</f>
        <v/>
      </c>
      <c r="AO18" s="22">
        <f t="shared" si="6"/>
        <v>0</v>
      </c>
      <c r="AP18" s="22">
        <f t="shared" si="7"/>
        <v>0</v>
      </c>
      <c r="AQ18" s="28" t="str">
        <f t="shared" si="8"/>
        <v/>
      </c>
      <c r="AR18" s="28" t="str">
        <f t="shared" si="9"/>
        <v/>
      </c>
      <c r="AS18" s="22" t="str">
        <f t="shared" si="10"/>
        <v/>
      </c>
      <c r="AT18" s="22" t="str">
        <f t="shared" si="11"/>
        <v/>
      </c>
      <c r="AU18" s="10"/>
      <c r="AV18" s="17"/>
      <c r="AW18" s="15"/>
      <c r="AX18" s="26"/>
      <c r="AY18" s="10"/>
      <c r="AZ18" s="12"/>
      <c r="BA18" s="12"/>
      <c r="BB18" s="15"/>
      <c r="BC18" s="15"/>
      <c r="BD18" s="10"/>
      <c r="BE18" s="21" t="str">
        <f>IF(COUNTA(AV18:BC18)=0,"",IF(AV18="","E_MISSING_INPUT",IF(AV18="TIMESTAMP",IF(OR(AW18="",AX18="",AY18=""),"E_MISSING_INPUT",IF(OR(NOT(ISNUMBER(AW18)),NOT(ISNUMBER(AX18))),"E_INVALID_DATE",IF(OR(AW18&lt;&gt;INT(AW18),AX18&lt;0,AX18&gt;=1),"E_INVALID_DATE",IF(ISNA(MATCH(AY18,nLIST_Offset,0)),"E_INVALID_DATE","")))),IF(AV18="DATE",IF(AW18="","E_MISSING_INPUT",IF(NOT(ISNUMBER(AW18)),"E_INVALID_DATE",IF(AW18&lt;&gt;INT(AW18),"E_INVALID_DATE",""))),IF(AV18="MONTH",IF(OR(AZ18="",BA18=""),"E_MISSING_INPUT",IF(OR(NOT(ISNUMBER(AZ18)),NOT(ISNUMBER(BA18))),"E_INVALID_DATE",IF(OR(AZ18&lt;1900,AZ18&gt;9999,AZ18&lt;&gt;INT(AZ18),BA18&lt;1,BA18&gt;12,BA18&lt;&gt;INT(BA18)),"E_INVALID_DATE",""))),IF(AV18="YEAR",IF(AZ18="","E_MISSING_INPUT",IF(NOT(ISNUMBER(AZ18)),"E_INVALID_DATE",IF(OR(AZ18&lt;1900,AZ18&gt;9999,AZ18&lt;&gt;INT(AZ18)),"E_INVALID_DATE",""))),IF(AV18="RANGE",IF(OR(BB18="",BC18=""),"E_MISSING_INPUT",IF(OR(NOT(ISNUMBER(BB18)),NOT(ISNUMBER(BC18))),"E_INVALID_DATE",IF(OR(BB18&lt;&gt;INT(BB18),BC18&lt;&gt;INT(BC18)),"E_INVALID_DATE",IF(BB18&gt;BC18,"E_REVERSED_BOUNDS","")))),"E_MISSING_INPUT")))))))</f>
        <v/>
      </c>
      <c r="BF18" s="22">
        <f t="shared" si="12"/>
        <v>0</v>
      </c>
      <c r="BG18" s="22">
        <f t="shared" si="13"/>
        <v>0</v>
      </c>
      <c r="BH18" s="28" t="str">
        <f t="shared" si="14"/>
        <v/>
      </c>
      <c r="BI18" s="28" t="str">
        <f t="shared" si="15"/>
        <v/>
      </c>
      <c r="BJ18" s="22" t="str">
        <f t="shared" si="16"/>
        <v/>
      </c>
      <c r="BK18" s="22" t="str">
        <f t="shared" si="17"/>
        <v/>
      </c>
      <c r="BL18" s="21" t="str">
        <f t="shared" si="18"/>
        <v/>
      </c>
      <c r="BM18" s="22">
        <f>IF(BL18="",0,COUNTIF(nEXP_Key,BL18))</f>
        <v>0</v>
      </c>
      <c r="BN18" s="21" t="str">
        <f t="shared" si="19"/>
        <v/>
      </c>
      <c r="BO18" s="21" t="str">
        <f>IF(BN18="","",BN18&amp;": "&amp;SUBSTITUTE(IFERROR(INDEX(nMSG_Text,MATCH(BN18,nMSG_Code,0)),""),"[input]",IF(D18="","an Exposure_Episode_ID","the date fields required by the selected precision")))</f>
        <v/>
      </c>
    </row>
    <row r="19" spans="1:67" x14ac:dyDescent="0.2">
      <c r="A19" s="10"/>
      <c r="B19" s="12"/>
      <c r="C19" s="10"/>
      <c r="D19" s="10"/>
      <c r="E19" s="10"/>
      <c r="F19" s="17"/>
      <c r="G19" s="10"/>
      <c r="H19" s="17"/>
      <c r="I19" s="17"/>
      <c r="J19" s="10"/>
      <c r="K19" s="17"/>
      <c r="L19" s="10"/>
      <c r="M19" s="10"/>
      <c r="N19" s="17"/>
      <c r="O19" s="15"/>
      <c r="P19" s="26"/>
      <c r="Q19" s="10"/>
      <c r="R19" s="12"/>
      <c r="S19" s="12"/>
      <c r="T19" s="15"/>
      <c r="U19" s="15"/>
      <c r="V19" s="10"/>
      <c r="W19" s="21" t="str">
        <f>IF(COUNTA(N19:U19)=0,"",IF(N19="","E_MISSING_INPUT",IF(N19="TIMESTAMP",IF(OR(O19="",P19="",Q19=""),"E_MISSING_INPUT",IF(OR(NOT(ISNUMBER(O19)),NOT(ISNUMBER(P19))),"E_INVALID_DATE",IF(OR(O19&lt;&gt;INT(O19),P19&lt;0,P19&gt;=1),"E_INVALID_DATE",IF(ISNA(MATCH(Q19,nLIST_Offset,0)),"E_INVALID_DATE","")))),IF(N19="DATE",IF(O19="","E_MISSING_INPUT",IF(NOT(ISNUMBER(O19)),"E_INVALID_DATE",IF(O19&lt;&gt;INT(O19),"E_INVALID_DATE",""))),IF(N19="MONTH",IF(OR(R19="",S19=""),"E_MISSING_INPUT",IF(OR(NOT(ISNUMBER(R19)),NOT(ISNUMBER(S19))),"E_INVALID_DATE",IF(OR(R19&lt;1900,R19&gt;9999,R19&lt;&gt;INT(R19),S19&lt;1,S19&gt;12,S19&lt;&gt;INT(S19)),"E_INVALID_DATE",""))),IF(N19="YEAR",IF(R19="","E_MISSING_INPUT",IF(NOT(ISNUMBER(R19)),"E_INVALID_DATE",IF(OR(R19&lt;1900,R19&gt;9999,R19&lt;&gt;INT(R19)),"E_INVALID_DATE",""))),IF(N19="RANGE",IF(OR(T19="",U19=""),"E_MISSING_INPUT",IF(OR(NOT(ISNUMBER(T19)),NOT(ISNUMBER(U19))),"E_INVALID_DATE",IF(OR(T19&lt;&gt;INT(T19),U19&lt;&gt;INT(U19)),"E_INVALID_DATE",IF(T19&gt;U19,"E_REVERSED_BOUNDS","")))),"E_MISSING_INPUT")))))))</f>
        <v/>
      </c>
      <c r="X19" s="22">
        <f t="shared" si="0"/>
        <v>0</v>
      </c>
      <c r="Y19" s="22">
        <f t="shared" si="1"/>
        <v>0</v>
      </c>
      <c r="Z19" s="28" t="str">
        <f t="shared" si="2"/>
        <v/>
      </c>
      <c r="AA19" s="28" t="str">
        <f t="shared" si="3"/>
        <v/>
      </c>
      <c r="AB19" s="22" t="str">
        <f t="shared" si="4"/>
        <v/>
      </c>
      <c r="AC19" s="22" t="str">
        <f t="shared" si="5"/>
        <v/>
      </c>
      <c r="AD19" s="10"/>
      <c r="AE19" s="17"/>
      <c r="AF19" s="15"/>
      <c r="AG19" s="26"/>
      <c r="AH19" s="10"/>
      <c r="AI19" s="12"/>
      <c r="AJ19" s="12"/>
      <c r="AK19" s="15"/>
      <c r="AL19" s="15"/>
      <c r="AM19" s="10"/>
      <c r="AN19" s="21" t="str">
        <f>IF(COUNTA(AE19:AL19)=0,"",IF(AE19="","E_MISSING_INPUT",IF(AE19="TIMESTAMP",IF(OR(AF19="",AG19="",AH19=""),"E_MISSING_INPUT",IF(OR(NOT(ISNUMBER(AF19)),NOT(ISNUMBER(AG19))),"E_INVALID_DATE",IF(OR(AF19&lt;&gt;INT(AF19),AG19&lt;0,AG19&gt;=1),"E_INVALID_DATE",IF(ISNA(MATCH(AH19,nLIST_Offset,0)),"E_INVALID_DATE","")))),IF(AE19="DATE",IF(AF19="","E_MISSING_INPUT",IF(NOT(ISNUMBER(AF19)),"E_INVALID_DATE",IF(AF19&lt;&gt;INT(AF19),"E_INVALID_DATE",""))),IF(AE19="MONTH",IF(OR(AI19="",AJ19=""),"E_MISSING_INPUT",IF(OR(NOT(ISNUMBER(AI19)),NOT(ISNUMBER(AJ19))),"E_INVALID_DATE",IF(OR(AI19&lt;1900,AI19&gt;9999,AI19&lt;&gt;INT(AI19),AJ19&lt;1,AJ19&gt;12,AJ19&lt;&gt;INT(AJ19)),"E_INVALID_DATE",""))),IF(AE19="YEAR",IF(AI19="","E_MISSING_INPUT",IF(NOT(ISNUMBER(AI19)),"E_INVALID_DATE",IF(OR(AI19&lt;1900,AI19&gt;9999,AI19&lt;&gt;INT(AI19)),"E_INVALID_DATE",""))),IF(AE19="RANGE",IF(OR(AK19="",AL19=""),"E_MISSING_INPUT",IF(OR(NOT(ISNUMBER(AK19)),NOT(ISNUMBER(AL19))),"E_INVALID_DATE",IF(OR(AK19&lt;&gt;INT(AK19),AL19&lt;&gt;INT(AL19)),"E_INVALID_DATE",IF(AK19&gt;AL19,"E_REVERSED_BOUNDS","")))),"E_MISSING_INPUT")))))))</f>
        <v/>
      </c>
      <c r="AO19" s="22">
        <f t="shared" si="6"/>
        <v>0</v>
      </c>
      <c r="AP19" s="22">
        <f t="shared" si="7"/>
        <v>0</v>
      </c>
      <c r="AQ19" s="28" t="str">
        <f t="shared" si="8"/>
        <v/>
      </c>
      <c r="AR19" s="28" t="str">
        <f t="shared" si="9"/>
        <v/>
      </c>
      <c r="AS19" s="22" t="str">
        <f t="shared" si="10"/>
        <v/>
      </c>
      <c r="AT19" s="22" t="str">
        <f t="shared" si="11"/>
        <v/>
      </c>
      <c r="AU19" s="10"/>
      <c r="AV19" s="17"/>
      <c r="AW19" s="15"/>
      <c r="AX19" s="26"/>
      <c r="AY19" s="10"/>
      <c r="AZ19" s="12"/>
      <c r="BA19" s="12"/>
      <c r="BB19" s="15"/>
      <c r="BC19" s="15"/>
      <c r="BD19" s="10"/>
      <c r="BE19" s="21" t="str">
        <f>IF(COUNTA(AV19:BC19)=0,"",IF(AV19="","E_MISSING_INPUT",IF(AV19="TIMESTAMP",IF(OR(AW19="",AX19="",AY19=""),"E_MISSING_INPUT",IF(OR(NOT(ISNUMBER(AW19)),NOT(ISNUMBER(AX19))),"E_INVALID_DATE",IF(OR(AW19&lt;&gt;INT(AW19),AX19&lt;0,AX19&gt;=1),"E_INVALID_DATE",IF(ISNA(MATCH(AY19,nLIST_Offset,0)),"E_INVALID_DATE","")))),IF(AV19="DATE",IF(AW19="","E_MISSING_INPUT",IF(NOT(ISNUMBER(AW19)),"E_INVALID_DATE",IF(AW19&lt;&gt;INT(AW19),"E_INVALID_DATE",""))),IF(AV19="MONTH",IF(OR(AZ19="",BA19=""),"E_MISSING_INPUT",IF(OR(NOT(ISNUMBER(AZ19)),NOT(ISNUMBER(BA19))),"E_INVALID_DATE",IF(OR(AZ19&lt;1900,AZ19&gt;9999,AZ19&lt;&gt;INT(AZ19),BA19&lt;1,BA19&gt;12,BA19&lt;&gt;INT(BA19)),"E_INVALID_DATE",""))),IF(AV19="YEAR",IF(AZ19="","E_MISSING_INPUT",IF(NOT(ISNUMBER(AZ19)),"E_INVALID_DATE",IF(OR(AZ19&lt;1900,AZ19&gt;9999,AZ19&lt;&gt;INT(AZ19)),"E_INVALID_DATE",""))),IF(AV19="RANGE",IF(OR(BB19="",BC19=""),"E_MISSING_INPUT",IF(OR(NOT(ISNUMBER(BB19)),NOT(ISNUMBER(BC19))),"E_INVALID_DATE",IF(OR(BB19&lt;&gt;INT(BB19),BC19&lt;&gt;INT(BC19)),"E_INVALID_DATE",IF(BB19&gt;BC19,"E_REVERSED_BOUNDS","")))),"E_MISSING_INPUT")))))))</f>
        <v/>
      </c>
      <c r="BF19" s="22">
        <f t="shared" si="12"/>
        <v>0</v>
      </c>
      <c r="BG19" s="22">
        <f t="shared" si="13"/>
        <v>0</v>
      </c>
      <c r="BH19" s="28" t="str">
        <f t="shared" si="14"/>
        <v/>
      </c>
      <c r="BI19" s="28" t="str">
        <f t="shared" si="15"/>
        <v/>
      </c>
      <c r="BJ19" s="22" t="str">
        <f t="shared" si="16"/>
        <v/>
      </c>
      <c r="BK19" s="22" t="str">
        <f t="shared" si="17"/>
        <v/>
      </c>
      <c r="BL19" s="21" t="str">
        <f t="shared" si="18"/>
        <v/>
      </c>
      <c r="BM19" s="22">
        <f>IF(BL19="",0,COUNTIF(nEXP_Key,BL19))</f>
        <v>0</v>
      </c>
      <c r="BN19" s="21" t="str">
        <f t="shared" si="19"/>
        <v/>
      </c>
      <c r="BO19" s="21" t="str">
        <f>IF(BN19="","",BN19&amp;": "&amp;SUBSTITUTE(IFERROR(INDEX(nMSG_Text,MATCH(BN19,nMSG_Code,0)),""),"[input]",IF(D19="","an Exposure_Episode_ID","the date fields required by the selected precision")))</f>
        <v/>
      </c>
    </row>
    <row r="20" spans="1:67" x14ac:dyDescent="0.2">
      <c r="A20" s="10"/>
      <c r="B20" s="12"/>
      <c r="C20" s="10"/>
      <c r="D20" s="10"/>
      <c r="E20" s="10"/>
      <c r="F20" s="17"/>
      <c r="G20" s="10"/>
      <c r="H20" s="17"/>
      <c r="I20" s="17"/>
      <c r="J20" s="10"/>
      <c r="K20" s="17"/>
      <c r="L20" s="10"/>
      <c r="M20" s="10"/>
      <c r="N20" s="17"/>
      <c r="O20" s="15"/>
      <c r="P20" s="26"/>
      <c r="Q20" s="10"/>
      <c r="R20" s="12"/>
      <c r="S20" s="12"/>
      <c r="T20" s="15"/>
      <c r="U20" s="15"/>
      <c r="V20" s="10"/>
      <c r="W20" s="21" t="str">
        <f>IF(COUNTA(N20:U20)=0,"",IF(N20="","E_MISSING_INPUT",IF(N20="TIMESTAMP",IF(OR(O20="",P20="",Q20=""),"E_MISSING_INPUT",IF(OR(NOT(ISNUMBER(O20)),NOT(ISNUMBER(P20))),"E_INVALID_DATE",IF(OR(O20&lt;&gt;INT(O20),P20&lt;0,P20&gt;=1),"E_INVALID_DATE",IF(ISNA(MATCH(Q20,nLIST_Offset,0)),"E_INVALID_DATE","")))),IF(N20="DATE",IF(O20="","E_MISSING_INPUT",IF(NOT(ISNUMBER(O20)),"E_INVALID_DATE",IF(O20&lt;&gt;INT(O20),"E_INVALID_DATE",""))),IF(N20="MONTH",IF(OR(R20="",S20=""),"E_MISSING_INPUT",IF(OR(NOT(ISNUMBER(R20)),NOT(ISNUMBER(S20))),"E_INVALID_DATE",IF(OR(R20&lt;1900,R20&gt;9999,R20&lt;&gt;INT(R20),S20&lt;1,S20&gt;12,S20&lt;&gt;INT(S20)),"E_INVALID_DATE",""))),IF(N20="YEAR",IF(R20="","E_MISSING_INPUT",IF(NOT(ISNUMBER(R20)),"E_INVALID_DATE",IF(OR(R20&lt;1900,R20&gt;9999,R20&lt;&gt;INT(R20)),"E_INVALID_DATE",""))),IF(N20="RANGE",IF(OR(T20="",U20=""),"E_MISSING_INPUT",IF(OR(NOT(ISNUMBER(T20)),NOT(ISNUMBER(U20))),"E_INVALID_DATE",IF(OR(T20&lt;&gt;INT(T20),U20&lt;&gt;INT(U20)),"E_INVALID_DATE",IF(T20&gt;U20,"E_REVERSED_BOUNDS","")))),"E_MISSING_INPUT")))))))</f>
        <v/>
      </c>
      <c r="X20" s="22">
        <f t="shared" si="0"/>
        <v>0</v>
      </c>
      <c r="Y20" s="22">
        <f t="shared" si="1"/>
        <v>0</v>
      </c>
      <c r="Z20" s="28" t="str">
        <f t="shared" si="2"/>
        <v/>
      </c>
      <c r="AA20" s="28" t="str">
        <f t="shared" si="3"/>
        <v/>
      </c>
      <c r="AB20" s="22" t="str">
        <f t="shared" si="4"/>
        <v/>
      </c>
      <c r="AC20" s="22" t="str">
        <f t="shared" si="5"/>
        <v/>
      </c>
      <c r="AD20" s="10"/>
      <c r="AE20" s="17"/>
      <c r="AF20" s="15"/>
      <c r="AG20" s="26"/>
      <c r="AH20" s="10"/>
      <c r="AI20" s="12"/>
      <c r="AJ20" s="12"/>
      <c r="AK20" s="15"/>
      <c r="AL20" s="15"/>
      <c r="AM20" s="10"/>
      <c r="AN20" s="21" t="str">
        <f>IF(COUNTA(AE20:AL20)=0,"",IF(AE20="","E_MISSING_INPUT",IF(AE20="TIMESTAMP",IF(OR(AF20="",AG20="",AH20=""),"E_MISSING_INPUT",IF(OR(NOT(ISNUMBER(AF20)),NOT(ISNUMBER(AG20))),"E_INVALID_DATE",IF(OR(AF20&lt;&gt;INT(AF20),AG20&lt;0,AG20&gt;=1),"E_INVALID_DATE",IF(ISNA(MATCH(AH20,nLIST_Offset,0)),"E_INVALID_DATE","")))),IF(AE20="DATE",IF(AF20="","E_MISSING_INPUT",IF(NOT(ISNUMBER(AF20)),"E_INVALID_DATE",IF(AF20&lt;&gt;INT(AF20),"E_INVALID_DATE",""))),IF(AE20="MONTH",IF(OR(AI20="",AJ20=""),"E_MISSING_INPUT",IF(OR(NOT(ISNUMBER(AI20)),NOT(ISNUMBER(AJ20))),"E_INVALID_DATE",IF(OR(AI20&lt;1900,AI20&gt;9999,AI20&lt;&gt;INT(AI20),AJ20&lt;1,AJ20&gt;12,AJ20&lt;&gt;INT(AJ20)),"E_INVALID_DATE",""))),IF(AE20="YEAR",IF(AI20="","E_MISSING_INPUT",IF(NOT(ISNUMBER(AI20)),"E_INVALID_DATE",IF(OR(AI20&lt;1900,AI20&gt;9999,AI20&lt;&gt;INT(AI20)),"E_INVALID_DATE",""))),IF(AE20="RANGE",IF(OR(AK20="",AL20=""),"E_MISSING_INPUT",IF(OR(NOT(ISNUMBER(AK20)),NOT(ISNUMBER(AL20))),"E_INVALID_DATE",IF(OR(AK20&lt;&gt;INT(AK20),AL20&lt;&gt;INT(AL20)),"E_INVALID_DATE",IF(AK20&gt;AL20,"E_REVERSED_BOUNDS","")))),"E_MISSING_INPUT")))))))</f>
        <v/>
      </c>
      <c r="AO20" s="22">
        <f t="shared" si="6"/>
        <v>0</v>
      </c>
      <c r="AP20" s="22">
        <f t="shared" si="7"/>
        <v>0</v>
      </c>
      <c r="AQ20" s="28" t="str">
        <f t="shared" si="8"/>
        <v/>
      </c>
      <c r="AR20" s="28" t="str">
        <f t="shared" si="9"/>
        <v/>
      </c>
      <c r="AS20" s="22" t="str">
        <f t="shared" si="10"/>
        <v/>
      </c>
      <c r="AT20" s="22" t="str">
        <f t="shared" si="11"/>
        <v/>
      </c>
      <c r="AU20" s="10"/>
      <c r="AV20" s="17"/>
      <c r="AW20" s="15"/>
      <c r="AX20" s="26"/>
      <c r="AY20" s="10"/>
      <c r="AZ20" s="12"/>
      <c r="BA20" s="12"/>
      <c r="BB20" s="15"/>
      <c r="BC20" s="15"/>
      <c r="BD20" s="10"/>
      <c r="BE20" s="21" t="str">
        <f>IF(COUNTA(AV20:BC20)=0,"",IF(AV20="","E_MISSING_INPUT",IF(AV20="TIMESTAMP",IF(OR(AW20="",AX20="",AY20=""),"E_MISSING_INPUT",IF(OR(NOT(ISNUMBER(AW20)),NOT(ISNUMBER(AX20))),"E_INVALID_DATE",IF(OR(AW20&lt;&gt;INT(AW20),AX20&lt;0,AX20&gt;=1),"E_INVALID_DATE",IF(ISNA(MATCH(AY20,nLIST_Offset,0)),"E_INVALID_DATE","")))),IF(AV20="DATE",IF(AW20="","E_MISSING_INPUT",IF(NOT(ISNUMBER(AW20)),"E_INVALID_DATE",IF(AW20&lt;&gt;INT(AW20),"E_INVALID_DATE",""))),IF(AV20="MONTH",IF(OR(AZ20="",BA20=""),"E_MISSING_INPUT",IF(OR(NOT(ISNUMBER(AZ20)),NOT(ISNUMBER(BA20))),"E_INVALID_DATE",IF(OR(AZ20&lt;1900,AZ20&gt;9999,AZ20&lt;&gt;INT(AZ20),BA20&lt;1,BA20&gt;12,BA20&lt;&gt;INT(BA20)),"E_INVALID_DATE",""))),IF(AV20="YEAR",IF(AZ20="","E_MISSING_INPUT",IF(NOT(ISNUMBER(AZ20)),"E_INVALID_DATE",IF(OR(AZ20&lt;1900,AZ20&gt;9999,AZ20&lt;&gt;INT(AZ20)),"E_INVALID_DATE",""))),IF(AV20="RANGE",IF(OR(BB20="",BC20=""),"E_MISSING_INPUT",IF(OR(NOT(ISNUMBER(BB20)),NOT(ISNUMBER(BC20))),"E_INVALID_DATE",IF(OR(BB20&lt;&gt;INT(BB20),BC20&lt;&gt;INT(BC20)),"E_INVALID_DATE",IF(BB20&gt;BC20,"E_REVERSED_BOUNDS","")))),"E_MISSING_INPUT")))))))</f>
        <v/>
      </c>
      <c r="BF20" s="22">
        <f t="shared" si="12"/>
        <v>0</v>
      </c>
      <c r="BG20" s="22">
        <f t="shared" si="13"/>
        <v>0</v>
      </c>
      <c r="BH20" s="28" t="str">
        <f t="shared" si="14"/>
        <v/>
      </c>
      <c r="BI20" s="28" t="str">
        <f t="shared" si="15"/>
        <v/>
      </c>
      <c r="BJ20" s="22" t="str">
        <f t="shared" si="16"/>
        <v/>
      </c>
      <c r="BK20" s="22" t="str">
        <f t="shared" si="17"/>
        <v/>
      </c>
      <c r="BL20" s="21" t="str">
        <f t="shared" si="18"/>
        <v/>
      </c>
      <c r="BM20" s="22">
        <f>IF(BL20="",0,COUNTIF(nEXP_Key,BL20))</f>
        <v>0</v>
      </c>
      <c r="BN20" s="21" t="str">
        <f t="shared" si="19"/>
        <v/>
      </c>
      <c r="BO20" s="21" t="str">
        <f>IF(BN20="","",BN20&amp;": "&amp;SUBSTITUTE(IFERROR(INDEX(nMSG_Text,MATCH(BN20,nMSG_Code,0)),""),"[input]",IF(D20="","an Exposure_Episode_ID","the date fields required by the selected precision")))</f>
        <v/>
      </c>
    </row>
    <row r="21" spans="1:67" x14ac:dyDescent="0.2">
      <c r="A21" s="10"/>
      <c r="B21" s="12"/>
      <c r="C21" s="10"/>
      <c r="D21" s="10"/>
      <c r="E21" s="10"/>
      <c r="F21" s="17"/>
      <c r="G21" s="10"/>
      <c r="H21" s="17"/>
      <c r="I21" s="17"/>
      <c r="J21" s="10"/>
      <c r="K21" s="17"/>
      <c r="L21" s="10"/>
      <c r="M21" s="10"/>
      <c r="N21" s="17"/>
      <c r="O21" s="15"/>
      <c r="P21" s="26"/>
      <c r="Q21" s="10"/>
      <c r="R21" s="12"/>
      <c r="S21" s="12"/>
      <c r="T21" s="15"/>
      <c r="U21" s="15"/>
      <c r="V21" s="10"/>
      <c r="W21" s="21" t="str">
        <f>IF(COUNTA(N21:U21)=0,"",IF(N21="","E_MISSING_INPUT",IF(N21="TIMESTAMP",IF(OR(O21="",P21="",Q21=""),"E_MISSING_INPUT",IF(OR(NOT(ISNUMBER(O21)),NOT(ISNUMBER(P21))),"E_INVALID_DATE",IF(OR(O21&lt;&gt;INT(O21),P21&lt;0,P21&gt;=1),"E_INVALID_DATE",IF(ISNA(MATCH(Q21,nLIST_Offset,0)),"E_INVALID_DATE","")))),IF(N21="DATE",IF(O21="","E_MISSING_INPUT",IF(NOT(ISNUMBER(O21)),"E_INVALID_DATE",IF(O21&lt;&gt;INT(O21),"E_INVALID_DATE",""))),IF(N21="MONTH",IF(OR(R21="",S21=""),"E_MISSING_INPUT",IF(OR(NOT(ISNUMBER(R21)),NOT(ISNUMBER(S21))),"E_INVALID_DATE",IF(OR(R21&lt;1900,R21&gt;9999,R21&lt;&gt;INT(R21),S21&lt;1,S21&gt;12,S21&lt;&gt;INT(S21)),"E_INVALID_DATE",""))),IF(N21="YEAR",IF(R21="","E_MISSING_INPUT",IF(NOT(ISNUMBER(R21)),"E_INVALID_DATE",IF(OR(R21&lt;1900,R21&gt;9999,R21&lt;&gt;INT(R21)),"E_INVALID_DATE",""))),IF(N21="RANGE",IF(OR(T21="",U21=""),"E_MISSING_INPUT",IF(OR(NOT(ISNUMBER(T21)),NOT(ISNUMBER(U21))),"E_INVALID_DATE",IF(OR(T21&lt;&gt;INT(T21),U21&lt;&gt;INT(U21)),"E_INVALID_DATE",IF(T21&gt;U21,"E_REVERSED_BOUNDS","")))),"E_MISSING_INPUT")))))))</f>
        <v/>
      </c>
      <c r="X21" s="22">
        <f t="shared" si="0"/>
        <v>0</v>
      </c>
      <c r="Y21" s="22">
        <f t="shared" si="1"/>
        <v>0</v>
      </c>
      <c r="Z21" s="28" t="str">
        <f t="shared" si="2"/>
        <v/>
      </c>
      <c r="AA21" s="28" t="str">
        <f t="shared" si="3"/>
        <v/>
      </c>
      <c r="AB21" s="22" t="str">
        <f t="shared" si="4"/>
        <v/>
      </c>
      <c r="AC21" s="22" t="str">
        <f t="shared" si="5"/>
        <v/>
      </c>
      <c r="AD21" s="10"/>
      <c r="AE21" s="17"/>
      <c r="AF21" s="15"/>
      <c r="AG21" s="26"/>
      <c r="AH21" s="10"/>
      <c r="AI21" s="12"/>
      <c r="AJ21" s="12"/>
      <c r="AK21" s="15"/>
      <c r="AL21" s="15"/>
      <c r="AM21" s="10"/>
      <c r="AN21" s="21" t="str">
        <f>IF(COUNTA(AE21:AL21)=0,"",IF(AE21="","E_MISSING_INPUT",IF(AE21="TIMESTAMP",IF(OR(AF21="",AG21="",AH21=""),"E_MISSING_INPUT",IF(OR(NOT(ISNUMBER(AF21)),NOT(ISNUMBER(AG21))),"E_INVALID_DATE",IF(OR(AF21&lt;&gt;INT(AF21),AG21&lt;0,AG21&gt;=1),"E_INVALID_DATE",IF(ISNA(MATCH(AH21,nLIST_Offset,0)),"E_INVALID_DATE","")))),IF(AE21="DATE",IF(AF21="","E_MISSING_INPUT",IF(NOT(ISNUMBER(AF21)),"E_INVALID_DATE",IF(AF21&lt;&gt;INT(AF21),"E_INVALID_DATE",""))),IF(AE21="MONTH",IF(OR(AI21="",AJ21=""),"E_MISSING_INPUT",IF(OR(NOT(ISNUMBER(AI21)),NOT(ISNUMBER(AJ21))),"E_INVALID_DATE",IF(OR(AI21&lt;1900,AI21&gt;9999,AI21&lt;&gt;INT(AI21),AJ21&lt;1,AJ21&gt;12,AJ21&lt;&gt;INT(AJ21)),"E_INVALID_DATE",""))),IF(AE21="YEAR",IF(AI21="","E_MISSING_INPUT",IF(NOT(ISNUMBER(AI21)),"E_INVALID_DATE",IF(OR(AI21&lt;1900,AI21&gt;9999,AI21&lt;&gt;INT(AI21)),"E_INVALID_DATE",""))),IF(AE21="RANGE",IF(OR(AK21="",AL21=""),"E_MISSING_INPUT",IF(OR(NOT(ISNUMBER(AK21)),NOT(ISNUMBER(AL21))),"E_INVALID_DATE",IF(OR(AK21&lt;&gt;INT(AK21),AL21&lt;&gt;INT(AL21)),"E_INVALID_DATE",IF(AK21&gt;AL21,"E_REVERSED_BOUNDS","")))),"E_MISSING_INPUT")))))))</f>
        <v/>
      </c>
      <c r="AO21" s="22">
        <f t="shared" si="6"/>
        <v>0</v>
      </c>
      <c r="AP21" s="22">
        <f t="shared" si="7"/>
        <v>0</v>
      </c>
      <c r="AQ21" s="28" t="str">
        <f t="shared" si="8"/>
        <v/>
      </c>
      <c r="AR21" s="28" t="str">
        <f t="shared" si="9"/>
        <v/>
      </c>
      <c r="AS21" s="22" t="str">
        <f t="shared" si="10"/>
        <v/>
      </c>
      <c r="AT21" s="22" t="str">
        <f t="shared" si="11"/>
        <v/>
      </c>
      <c r="AU21" s="10"/>
      <c r="AV21" s="17"/>
      <c r="AW21" s="15"/>
      <c r="AX21" s="26"/>
      <c r="AY21" s="10"/>
      <c r="AZ21" s="12"/>
      <c r="BA21" s="12"/>
      <c r="BB21" s="15"/>
      <c r="BC21" s="15"/>
      <c r="BD21" s="10"/>
      <c r="BE21" s="21" t="str">
        <f>IF(COUNTA(AV21:BC21)=0,"",IF(AV21="","E_MISSING_INPUT",IF(AV21="TIMESTAMP",IF(OR(AW21="",AX21="",AY21=""),"E_MISSING_INPUT",IF(OR(NOT(ISNUMBER(AW21)),NOT(ISNUMBER(AX21))),"E_INVALID_DATE",IF(OR(AW21&lt;&gt;INT(AW21),AX21&lt;0,AX21&gt;=1),"E_INVALID_DATE",IF(ISNA(MATCH(AY21,nLIST_Offset,0)),"E_INVALID_DATE","")))),IF(AV21="DATE",IF(AW21="","E_MISSING_INPUT",IF(NOT(ISNUMBER(AW21)),"E_INVALID_DATE",IF(AW21&lt;&gt;INT(AW21),"E_INVALID_DATE",""))),IF(AV21="MONTH",IF(OR(AZ21="",BA21=""),"E_MISSING_INPUT",IF(OR(NOT(ISNUMBER(AZ21)),NOT(ISNUMBER(BA21))),"E_INVALID_DATE",IF(OR(AZ21&lt;1900,AZ21&gt;9999,AZ21&lt;&gt;INT(AZ21),BA21&lt;1,BA21&gt;12,BA21&lt;&gt;INT(BA21)),"E_INVALID_DATE",""))),IF(AV21="YEAR",IF(AZ21="","E_MISSING_INPUT",IF(NOT(ISNUMBER(AZ21)),"E_INVALID_DATE",IF(OR(AZ21&lt;1900,AZ21&gt;9999,AZ21&lt;&gt;INT(AZ21)),"E_INVALID_DATE",""))),IF(AV21="RANGE",IF(OR(BB21="",BC21=""),"E_MISSING_INPUT",IF(OR(NOT(ISNUMBER(BB21)),NOT(ISNUMBER(BC21))),"E_INVALID_DATE",IF(OR(BB21&lt;&gt;INT(BB21),BC21&lt;&gt;INT(BC21)),"E_INVALID_DATE",IF(BB21&gt;BC21,"E_REVERSED_BOUNDS","")))),"E_MISSING_INPUT")))))))</f>
        <v/>
      </c>
      <c r="BF21" s="22">
        <f t="shared" si="12"/>
        <v>0</v>
      </c>
      <c r="BG21" s="22">
        <f t="shared" si="13"/>
        <v>0</v>
      </c>
      <c r="BH21" s="28" t="str">
        <f t="shared" si="14"/>
        <v/>
      </c>
      <c r="BI21" s="28" t="str">
        <f t="shared" si="15"/>
        <v/>
      </c>
      <c r="BJ21" s="22" t="str">
        <f t="shared" si="16"/>
        <v/>
      </c>
      <c r="BK21" s="22" t="str">
        <f t="shared" si="17"/>
        <v/>
      </c>
      <c r="BL21" s="21" t="str">
        <f t="shared" si="18"/>
        <v/>
      </c>
      <c r="BM21" s="22">
        <f>IF(BL21="",0,COUNTIF(nEXP_Key,BL21))</f>
        <v>0</v>
      </c>
      <c r="BN21" s="21" t="str">
        <f t="shared" si="19"/>
        <v/>
      </c>
      <c r="BO21" s="21" t="str">
        <f>IF(BN21="","",BN21&amp;": "&amp;SUBSTITUTE(IFERROR(INDEX(nMSG_Text,MATCH(BN21,nMSG_Code,0)),""),"[input]",IF(D21="","an Exposure_Episode_ID","the date fields required by the selected precision")))</f>
        <v/>
      </c>
    </row>
    <row r="22" spans="1:67" x14ac:dyDescent="0.2">
      <c r="A22" s="10"/>
      <c r="B22" s="12"/>
      <c r="C22" s="10"/>
      <c r="D22" s="10"/>
      <c r="E22" s="10"/>
      <c r="F22" s="17"/>
      <c r="G22" s="10"/>
      <c r="H22" s="17"/>
      <c r="I22" s="17"/>
      <c r="J22" s="10"/>
      <c r="K22" s="17"/>
      <c r="L22" s="10"/>
      <c r="M22" s="10"/>
      <c r="N22" s="17"/>
      <c r="O22" s="15"/>
      <c r="P22" s="26"/>
      <c r="Q22" s="10"/>
      <c r="R22" s="12"/>
      <c r="S22" s="12"/>
      <c r="T22" s="15"/>
      <c r="U22" s="15"/>
      <c r="V22" s="10"/>
      <c r="W22" s="21" t="str">
        <f>IF(COUNTA(N22:U22)=0,"",IF(N22="","E_MISSING_INPUT",IF(N22="TIMESTAMP",IF(OR(O22="",P22="",Q22=""),"E_MISSING_INPUT",IF(OR(NOT(ISNUMBER(O22)),NOT(ISNUMBER(P22))),"E_INVALID_DATE",IF(OR(O22&lt;&gt;INT(O22),P22&lt;0,P22&gt;=1),"E_INVALID_DATE",IF(ISNA(MATCH(Q22,nLIST_Offset,0)),"E_INVALID_DATE","")))),IF(N22="DATE",IF(O22="","E_MISSING_INPUT",IF(NOT(ISNUMBER(O22)),"E_INVALID_DATE",IF(O22&lt;&gt;INT(O22),"E_INVALID_DATE",""))),IF(N22="MONTH",IF(OR(R22="",S22=""),"E_MISSING_INPUT",IF(OR(NOT(ISNUMBER(R22)),NOT(ISNUMBER(S22))),"E_INVALID_DATE",IF(OR(R22&lt;1900,R22&gt;9999,R22&lt;&gt;INT(R22),S22&lt;1,S22&gt;12,S22&lt;&gt;INT(S22)),"E_INVALID_DATE",""))),IF(N22="YEAR",IF(R22="","E_MISSING_INPUT",IF(NOT(ISNUMBER(R22)),"E_INVALID_DATE",IF(OR(R22&lt;1900,R22&gt;9999,R22&lt;&gt;INT(R22)),"E_INVALID_DATE",""))),IF(N22="RANGE",IF(OR(T22="",U22=""),"E_MISSING_INPUT",IF(OR(NOT(ISNUMBER(T22)),NOT(ISNUMBER(U22))),"E_INVALID_DATE",IF(OR(T22&lt;&gt;INT(T22),U22&lt;&gt;INT(U22)),"E_INVALID_DATE",IF(T22&gt;U22,"E_REVERSED_BOUNDS","")))),"E_MISSING_INPUT")))))))</f>
        <v/>
      </c>
      <c r="X22" s="22">
        <f t="shared" si="0"/>
        <v>0</v>
      </c>
      <c r="Y22" s="22">
        <f t="shared" si="1"/>
        <v>0</v>
      </c>
      <c r="Z22" s="28" t="str">
        <f t="shared" si="2"/>
        <v/>
      </c>
      <c r="AA22" s="28" t="str">
        <f t="shared" si="3"/>
        <v/>
      </c>
      <c r="AB22" s="22" t="str">
        <f t="shared" si="4"/>
        <v/>
      </c>
      <c r="AC22" s="22" t="str">
        <f t="shared" si="5"/>
        <v/>
      </c>
      <c r="AD22" s="10"/>
      <c r="AE22" s="17"/>
      <c r="AF22" s="15"/>
      <c r="AG22" s="26"/>
      <c r="AH22" s="10"/>
      <c r="AI22" s="12"/>
      <c r="AJ22" s="12"/>
      <c r="AK22" s="15"/>
      <c r="AL22" s="15"/>
      <c r="AM22" s="10"/>
      <c r="AN22" s="21" t="str">
        <f>IF(COUNTA(AE22:AL22)=0,"",IF(AE22="","E_MISSING_INPUT",IF(AE22="TIMESTAMP",IF(OR(AF22="",AG22="",AH22=""),"E_MISSING_INPUT",IF(OR(NOT(ISNUMBER(AF22)),NOT(ISNUMBER(AG22))),"E_INVALID_DATE",IF(OR(AF22&lt;&gt;INT(AF22),AG22&lt;0,AG22&gt;=1),"E_INVALID_DATE",IF(ISNA(MATCH(AH22,nLIST_Offset,0)),"E_INVALID_DATE","")))),IF(AE22="DATE",IF(AF22="","E_MISSING_INPUT",IF(NOT(ISNUMBER(AF22)),"E_INVALID_DATE",IF(AF22&lt;&gt;INT(AF22),"E_INVALID_DATE",""))),IF(AE22="MONTH",IF(OR(AI22="",AJ22=""),"E_MISSING_INPUT",IF(OR(NOT(ISNUMBER(AI22)),NOT(ISNUMBER(AJ22))),"E_INVALID_DATE",IF(OR(AI22&lt;1900,AI22&gt;9999,AI22&lt;&gt;INT(AI22),AJ22&lt;1,AJ22&gt;12,AJ22&lt;&gt;INT(AJ22)),"E_INVALID_DATE",""))),IF(AE22="YEAR",IF(AI22="","E_MISSING_INPUT",IF(NOT(ISNUMBER(AI22)),"E_INVALID_DATE",IF(OR(AI22&lt;1900,AI22&gt;9999,AI22&lt;&gt;INT(AI22)),"E_INVALID_DATE",""))),IF(AE22="RANGE",IF(OR(AK22="",AL22=""),"E_MISSING_INPUT",IF(OR(NOT(ISNUMBER(AK22)),NOT(ISNUMBER(AL22))),"E_INVALID_DATE",IF(OR(AK22&lt;&gt;INT(AK22),AL22&lt;&gt;INT(AL22)),"E_INVALID_DATE",IF(AK22&gt;AL22,"E_REVERSED_BOUNDS","")))),"E_MISSING_INPUT")))))))</f>
        <v/>
      </c>
      <c r="AO22" s="22">
        <f t="shared" si="6"/>
        <v>0</v>
      </c>
      <c r="AP22" s="22">
        <f t="shared" si="7"/>
        <v>0</v>
      </c>
      <c r="AQ22" s="28" t="str">
        <f t="shared" si="8"/>
        <v/>
      </c>
      <c r="AR22" s="28" t="str">
        <f t="shared" si="9"/>
        <v/>
      </c>
      <c r="AS22" s="22" t="str">
        <f t="shared" si="10"/>
        <v/>
      </c>
      <c r="AT22" s="22" t="str">
        <f t="shared" si="11"/>
        <v/>
      </c>
      <c r="AU22" s="10"/>
      <c r="AV22" s="17"/>
      <c r="AW22" s="15"/>
      <c r="AX22" s="26"/>
      <c r="AY22" s="10"/>
      <c r="AZ22" s="12"/>
      <c r="BA22" s="12"/>
      <c r="BB22" s="15"/>
      <c r="BC22" s="15"/>
      <c r="BD22" s="10"/>
      <c r="BE22" s="21" t="str">
        <f>IF(COUNTA(AV22:BC22)=0,"",IF(AV22="","E_MISSING_INPUT",IF(AV22="TIMESTAMP",IF(OR(AW22="",AX22="",AY22=""),"E_MISSING_INPUT",IF(OR(NOT(ISNUMBER(AW22)),NOT(ISNUMBER(AX22))),"E_INVALID_DATE",IF(OR(AW22&lt;&gt;INT(AW22),AX22&lt;0,AX22&gt;=1),"E_INVALID_DATE",IF(ISNA(MATCH(AY22,nLIST_Offset,0)),"E_INVALID_DATE","")))),IF(AV22="DATE",IF(AW22="","E_MISSING_INPUT",IF(NOT(ISNUMBER(AW22)),"E_INVALID_DATE",IF(AW22&lt;&gt;INT(AW22),"E_INVALID_DATE",""))),IF(AV22="MONTH",IF(OR(AZ22="",BA22=""),"E_MISSING_INPUT",IF(OR(NOT(ISNUMBER(AZ22)),NOT(ISNUMBER(BA22))),"E_INVALID_DATE",IF(OR(AZ22&lt;1900,AZ22&gt;9999,AZ22&lt;&gt;INT(AZ22),BA22&lt;1,BA22&gt;12,BA22&lt;&gt;INT(BA22)),"E_INVALID_DATE",""))),IF(AV22="YEAR",IF(AZ22="","E_MISSING_INPUT",IF(NOT(ISNUMBER(AZ22)),"E_INVALID_DATE",IF(OR(AZ22&lt;1900,AZ22&gt;9999,AZ22&lt;&gt;INT(AZ22)),"E_INVALID_DATE",""))),IF(AV22="RANGE",IF(OR(BB22="",BC22=""),"E_MISSING_INPUT",IF(OR(NOT(ISNUMBER(BB22)),NOT(ISNUMBER(BC22))),"E_INVALID_DATE",IF(OR(BB22&lt;&gt;INT(BB22),BC22&lt;&gt;INT(BC22)),"E_INVALID_DATE",IF(BB22&gt;BC22,"E_REVERSED_BOUNDS","")))),"E_MISSING_INPUT")))))))</f>
        <v/>
      </c>
      <c r="BF22" s="22">
        <f t="shared" si="12"/>
        <v>0</v>
      </c>
      <c r="BG22" s="22">
        <f t="shared" si="13"/>
        <v>0</v>
      </c>
      <c r="BH22" s="28" t="str">
        <f t="shared" si="14"/>
        <v/>
      </c>
      <c r="BI22" s="28" t="str">
        <f t="shared" si="15"/>
        <v/>
      </c>
      <c r="BJ22" s="22" t="str">
        <f t="shared" si="16"/>
        <v/>
      </c>
      <c r="BK22" s="22" t="str">
        <f t="shared" si="17"/>
        <v/>
      </c>
      <c r="BL22" s="21" t="str">
        <f t="shared" si="18"/>
        <v/>
      </c>
      <c r="BM22" s="22">
        <f>IF(BL22="",0,COUNTIF(nEXP_Key,BL22))</f>
        <v>0</v>
      </c>
      <c r="BN22" s="21" t="str">
        <f t="shared" si="19"/>
        <v/>
      </c>
      <c r="BO22" s="21" t="str">
        <f>IF(BN22="","",BN22&amp;": "&amp;SUBSTITUTE(IFERROR(INDEX(nMSG_Text,MATCH(BN22,nMSG_Code,0)),""),"[input]",IF(D22="","an Exposure_Episode_ID","the date fields required by the selected precision")))</f>
        <v/>
      </c>
    </row>
    <row r="23" spans="1:67" x14ac:dyDescent="0.2">
      <c r="A23" s="10"/>
      <c r="B23" s="12"/>
      <c r="C23" s="10"/>
      <c r="D23" s="10"/>
      <c r="E23" s="10"/>
      <c r="F23" s="17"/>
      <c r="G23" s="10"/>
      <c r="H23" s="17"/>
      <c r="I23" s="17"/>
      <c r="J23" s="10"/>
      <c r="K23" s="17"/>
      <c r="L23" s="10"/>
      <c r="M23" s="10"/>
      <c r="N23" s="17"/>
      <c r="O23" s="15"/>
      <c r="P23" s="26"/>
      <c r="Q23" s="10"/>
      <c r="R23" s="12"/>
      <c r="S23" s="12"/>
      <c r="T23" s="15"/>
      <c r="U23" s="15"/>
      <c r="V23" s="10"/>
      <c r="W23" s="21" t="str">
        <f>IF(COUNTA(N23:U23)=0,"",IF(N23="","E_MISSING_INPUT",IF(N23="TIMESTAMP",IF(OR(O23="",P23="",Q23=""),"E_MISSING_INPUT",IF(OR(NOT(ISNUMBER(O23)),NOT(ISNUMBER(P23))),"E_INVALID_DATE",IF(OR(O23&lt;&gt;INT(O23),P23&lt;0,P23&gt;=1),"E_INVALID_DATE",IF(ISNA(MATCH(Q23,nLIST_Offset,0)),"E_INVALID_DATE","")))),IF(N23="DATE",IF(O23="","E_MISSING_INPUT",IF(NOT(ISNUMBER(O23)),"E_INVALID_DATE",IF(O23&lt;&gt;INT(O23),"E_INVALID_DATE",""))),IF(N23="MONTH",IF(OR(R23="",S23=""),"E_MISSING_INPUT",IF(OR(NOT(ISNUMBER(R23)),NOT(ISNUMBER(S23))),"E_INVALID_DATE",IF(OR(R23&lt;1900,R23&gt;9999,R23&lt;&gt;INT(R23),S23&lt;1,S23&gt;12,S23&lt;&gt;INT(S23)),"E_INVALID_DATE",""))),IF(N23="YEAR",IF(R23="","E_MISSING_INPUT",IF(NOT(ISNUMBER(R23)),"E_INVALID_DATE",IF(OR(R23&lt;1900,R23&gt;9999,R23&lt;&gt;INT(R23)),"E_INVALID_DATE",""))),IF(N23="RANGE",IF(OR(T23="",U23=""),"E_MISSING_INPUT",IF(OR(NOT(ISNUMBER(T23)),NOT(ISNUMBER(U23))),"E_INVALID_DATE",IF(OR(T23&lt;&gt;INT(T23),U23&lt;&gt;INT(U23)),"E_INVALID_DATE",IF(T23&gt;U23,"E_REVERSED_BOUNDS","")))),"E_MISSING_INPUT")))))))</f>
        <v/>
      </c>
      <c r="X23" s="22">
        <f t="shared" si="0"/>
        <v>0</v>
      </c>
      <c r="Y23" s="22">
        <f t="shared" si="1"/>
        <v>0</v>
      </c>
      <c r="Z23" s="28" t="str">
        <f t="shared" si="2"/>
        <v/>
      </c>
      <c r="AA23" s="28" t="str">
        <f t="shared" si="3"/>
        <v/>
      </c>
      <c r="AB23" s="22" t="str">
        <f t="shared" si="4"/>
        <v/>
      </c>
      <c r="AC23" s="22" t="str">
        <f t="shared" si="5"/>
        <v/>
      </c>
      <c r="AD23" s="10"/>
      <c r="AE23" s="17"/>
      <c r="AF23" s="15"/>
      <c r="AG23" s="26"/>
      <c r="AH23" s="10"/>
      <c r="AI23" s="12"/>
      <c r="AJ23" s="12"/>
      <c r="AK23" s="15"/>
      <c r="AL23" s="15"/>
      <c r="AM23" s="10"/>
      <c r="AN23" s="21" t="str">
        <f>IF(COUNTA(AE23:AL23)=0,"",IF(AE23="","E_MISSING_INPUT",IF(AE23="TIMESTAMP",IF(OR(AF23="",AG23="",AH23=""),"E_MISSING_INPUT",IF(OR(NOT(ISNUMBER(AF23)),NOT(ISNUMBER(AG23))),"E_INVALID_DATE",IF(OR(AF23&lt;&gt;INT(AF23),AG23&lt;0,AG23&gt;=1),"E_INVALID_DATE",IF(ISNA(MATCH(AH23,nLIST_Offset,0)),"E_INVALID_DATE","")))),IF(AE23="DATE",IF(AF23="","E_MISSING_INPUT",IF(NOT(ISNUMBER(AF23)),"E_INVALID_DATE",IF(AF23&lt;&gt;INT(AF23),"E_INVALID_DATE",""))),IF(AE23="MONTH",IF(OR(AI23="",AJ23=""),"E_MISSING_INPUT",IF(OR(NOT(ISNUMBER(AI23)),NOT(ISNUMBER(AJ23))),"E_INVALID_DATE",IF(OR(AI23&lt;1900,AI23&gt;9999,AI23&lt;&gt;INT(AI23),AJ23&lt;1,AJ23&gt;12,AJ23&lt;&gt;INT(AJ23)),"E_INVALID_DATE",""))),IF(AE23="YEAR",IF(AI23="","E_MISSING_INPUT",IF(NOT(ISNUMBER(AI23)),"E_INVALID_DATE",IF(OR(AI23&lt;1900,AI23&gt;9999,AI23&lt;&gt;INT(AI23)),"E_INVALID_DATE",""))),IF(AE23="RANGE",IF(OR(AK23="",AL23=""),"E_MISSING_INPUT",IF(OR(NOT(ISNUMBER(AK23)),NOT(ISNUMBER(AL23))),"E_INVALID_DATE",IF(OR(AK23&lt;&gt;INT(AK23),AL23&lt;&gt;INT(AL23)),"E_INVALID_DATE",IF(AK23&gt;AL23,"E_REVERSED_BOUNDS","")))),"E_MISSING_INPUT")))))))</f>
        <v/>
      </c>
      <c r="AO23" s="22">
        <f t="shared" si="6"/>
        <v>0</v>
      </c>
      <c r="AP23" s="22">
        <f t="shared" si="7"/>
        <v>0</v>
      </c>
      <c r="AQ23" s="28" t="str">
        <f t="shared" si="8"/>
        <v/>
      </c>
      <c r="AR23" s="28" t="str">
        <f t="shared" si="9"/>
        <v/>
      </c>
      <c r="AS23" s="22" t="str">
        <f t="shared" si="10"/>
        <v/>
      </c>
      <c r="AT23" s="22" t="str">
        <f t="shared" si="11"/>
        <v/>
      </c>
      <c r="AU23" s="10"/>
      <c r="AV23" s="17"/>
      <c r="AW23" s="15"/>
      <c r="AX23" s="26"/>
      <c r="AY23" s="10"/>
      <c r="AZ23" s="12"/>
      <c r="BA23" s="12"/>
      <c r="BB23" s="15"/>
      <c r="BC23" s="15"/>
      <c r="BD23" s="10"/>
      <c r="BE23" s="21" t="str">
        <f>IF(COUNTA(AV23:BC23)=0,"",IF(AV23="","E_MISSING_INPUT",IF(AV23="TIMESTAMP",IF(OR(AW23="",AX23="",AY23=""),"E_MISSING_INPUT",IF(OR(NOT(ISNUMBER(AW23)),NOT(ISNUMBER(AX23))),"E_INVALID_DATE",IF(OR(AW23&lt;&gt;INT(AW23),AX23&lt;0,AX23&gt;=1),"E_INVALID_DATE",IF(ISNA(MATCH(AY23,nLIST_Offset,0)),"E_INVALID_DATE","")))),IF(AV23="DATE",IF(AW23="","E_MISSING_INPUT",IF(NOT(ISNUMBER(AW23)),"E_INVALID_DATE",IF(AW23&lt;&gt;INT(AW23),"E_INVALID_DATE",""))),IF(AV23="MONTH",IF(OR(AZ23="",BA23=""),"E_MISSING_INPUT",IF(OR(NOT(ISNUMBER(AZ23)),NOT(ISNUMBER(BA23))),"E_INVALID_DATE",IF(OR(AZ23&lt;1900,AZ23&gt;9999,AZ23&lt;&gt;INT(AZ23),BA23&lt;1,BA23&gt;12,BA23&lt;&gt;INT(BA23)),"E_INVALID_DATE",""))),IF(AV23="YEAR",IF(AZ23="","E_MISSING_INPUT",IF(NOT(ISNUMBER(AZ23)),"E_INVALID_DATE",IF(OR(AZ23&lt;1900,AZ23&gt;9999,AZ23&lt;&gt;INT(AZ23)),"E_INVALID_DATE",""))),IF(AV23="RANGE",IF(OR(BB23="",BC23=""),"E_MISSING_INPUT",IF(OR(NOT(ISNUMBER(BB23)),NOT(ISNUMBER(BC23))),"E_INVALID_DATE",IF(OR(BB23&lt;&gt;INT(BB23),BC23&lt;&gt;INT(BC23)),"E_INVALID_DATE",IF(BB23&gt;BC23,"E_REVERSED_BOUNDS","")))),"E_MISSING_INPUT")))))))</f>
        <v/>
      </c>
      <c r="BF23" s="22">
        <f t="shared" si="12"/>
        <v>0</v>
      </c>
      <c r="BG23" s="22">
        <f t="shared" si="13"/>
        <v>0</v>
      </c>
      <c r="BH23" s="28" t="str">
        <f t="shared" si="14"/>
        <v/>
      </c>
      <c r="BI23" s="28" t="str">
        <f t="shared" si="15"/>
        <v/>
      </c>
      <c r="BJ23" s="22" t="str">
        <f t="shared" si="16"/>
        <v/>
      </c>
      <c r="BK23" s="22" t="str">
        <f t="shared" si="17"/>
        <v/>
      </c>
      <c r="BL23" s="21" t="str">
        <f t="shared" si="18"/>
        <v/>
      </c>
      <c r="BM23" s="22">
        <f>IF(BL23="",0,COUNTIF(nEXP_Key,BL23))</f>
        <v>0</v>
      </c>
      <c r="BN23" s="21" t="str">
        <f t="shared" si="19"/>
        <v/>
      </c>
      <c r="BO23" s="21" t="str">
        <f>IF(BN23="","",BN23&amp;": "&amp;SUBSTITUTE(IFERROR(INDEX(nMSG_Text,MATCH(BN23,nMSG_Code,0)),""),"[input]",IF(D23="","an Exposure_Episode_ID","the date fields required by the selected precision")))</f>
        <v/>
      </c>
    </row>
    <row r="24" spans="1:67" x14ac:dyDescent="0.2">
      <c r="A24" s="10"/>
      <c r="B24" s="12"/>
      <c r="C24" s="10"/>
      <c r="D24" s="10"/>
      <c r="E24" s="10"/>
      <c r="F24" s="17"/>
      <c r="G24" s="10"/>
      <c r="H24" s="17"/>
      <c r="I24" s="17"/>
      <c r="J24" s="10"/>
      <c r="K24" s="17"/>
      <c r="L24" s="10"/>
      <c r="M24" s="10"/>
      <c r="N24" s="17"/>
      <c r="O24" s="15"/>
      <c r="P24" s="26"/>
      <c r="Q24" s="10"/>
      <c r="R24" s="12"/>
      <c r="S24" s="12"/>
      <c r="T24" s="15"/>
      <c r="U24" s="15"/>
      <c r="V24" s="10"/>
      <c r="W24" s="21" t="str">
        <f>IF(COUNTA(N24:U24)=0,"",IF(N24="","E_MISSING_INPUT",IF(N24="TIMESTAMP",IF(OR(O24="",P24="",Q24=""),"E_MISSING_INPUT",IF(OR(NOT(ISNUMBER(O24)),NOT(ISNUMBER(P24))),"E_INVALID_DATE",IF(OR(O24&lt;&gt;INT(O24),P24&lt;0,P24&gt;=1),"E_INVALID_DATE",IF(ISNA(MATCH(Q24,nLIST_Offset,0)),"E_INVALID_DATE","")))),IF(N24="DATE",IF(O24="","E_MISSING_INPUT",IF(NOT(ISNUMBER(O24)),"E_INVALID_DATE",IF(O24&lt;&gt;INT(O24),"E_INVALID_DATE",""))),IF(N24="MONTH",IF(OR(R24="",S24=""),"E_MISSING_INPUT",IF(OR(NOT(ISNUMBER(R24)),NOT(ISNUMBER(S24))),"E_INVALID_DATE",IF(OR(R24&lt;1900,R24&gt;9999,R24&lt;&gt;INT(R24),S24&lt;1,S24&gt;12,S24&lt;&gt;INT(S24)),"E_INVALID_DATE",""))),IF(N24="YEAR",IF(R24="","E_MISSING_INPUT",IF(NOT(ISNUMBER(R24)),"E_INVALID_DATE",IF(OR(R24&lt;1900,R24&gt;9999,R24&lt;&gt;INT(R24)),"E_INVALID_DATE",""))),IF(N24="RANGE",IF(OR(T24="",U24=""),"E_MISSING_INPUT",IF(OR(NOT(ISNUMBER(T24)),NOT(ISNUMBER(U24))),"E_INVALID_DATE",IF(OR(T24&lt;&gt;INT(T24),U24&lt;&gt;INT(U24)),"E_INVALID_DATE",IF(T24&gt;U24,"E_REVERSED_BOUNDS","")))),"E_MISSING_INPUT")))))))</f>
        <v/>
      </c>
      <c r="X24" s="22">
        <f t="shared" si="0"/>
        <v>0</v>
      </c>
      <c r="Y24" s="22">
        <f t="shared" si="1"/>
        <v>0</v>
      </c>
      <c r="Z24" s="28" t="str">
        <f t="shared" si="2"/>
        <v/>
      </c>
      <c r="AA24" s="28" t="str">
        <f t="shared" si="3"/>
        <v/>
      </c>
      <c r="AB24" s="22" t="str">
        <f t="shared" si="4"/>
        <v/>
      </c>
      <c r="AC24" s="22" t="str">
        <f t="shared" si="5"/>
        <v/>
      </c>
      <c r="AD24" s="10"/>
      <c r="AE24" s="17"/>
      <c r="AF24" s="15"/>
      <c r="AG24" s="26"/>
      <c r="AH24" s="10"/>
      <c r="AI24" s="12"/>
      <c r="AJ24" s="12"/>
      <c r="AK24" s="15"/>
      <c r="AL24" s="15"/>
      <c r="AM24" s="10"/>
      <c r="AN24" s="21" t="str">
        <f>IF(COUNTA(AE24:AL24)=0,"",IF(AE24="","E_MISSING_INPUT",IF(AE24="TIMESTAMP",IF(OR(AF24="",AG24="",AH24=""),"E_MISSING_INPUT",IF(OR(NOT(ISNUMBER(AF24)),NOT(ISNUMBER(AG24))),"E_INVALID_DATE",IF(OR(AF24&lt;&gt;INT(AF24),AG24&lt;0,AG24&gt;=1),"E_INVALID_DATE",IF(ISNA(MATCH(AH24,nLIST_Offset,0)),"E_INVALID_DATE","")))),IF(AE24="DATE",IF(AF24="","E_MISSING_INPUT",IF(NOT(ISNUMBER(AF24)),"E_INVALID_DATE",IF(AF24&lt;&gt;INT(AF24),"E_INVALID_DATE",""))),IF(AE24="MONTH",IF(OR(AI24="",AJ24=""),"E_MISSING_INPUT",IF(OR(NOT(ISNUMBER(AI24)),NOT(ISNUMBER(AJ24))),"E_INVALID_DATE",IF(OR(AI24&lt;1900,AI24&gt;9999,AI24&lt;&gt;INT(AI24),AJ24&lt;1,AJ24&gt;12,AJ24&lt;&gt;INT(AJ24)),"E_INVALID_DATE",""))),IF(AE24="YEAR",IF(AI24="","E_MISSING_INPUT",IF(NOT(ISNUMBER(AI24)),"E_INVALID_DATE",IF(OR(AI24&lt;1900,AI24&gt;9999,AI24&lt;&gt;INT(AI24)),"E_INVALID_DATE",""))),IF(AE24="RANGE",IF(OR(AK24="",AL24=""),"E_MISSING_INPUT",IF(OR(NOT(ISNUMBER(AK24)),NOT(ISNUMBER(AL24))),"E_INVALID_DATE",IF(OR(AK24&lt;&gt;INT(AK24),AL24&lt;&gt;INT(AL24)),"E_INVALID_DATE",IF(AK24&gt;AL24,"E_REVERSED_BOUNDS","")))),"E_MISSING_INPUT")))))))</f>
        <v/>
      </c>
      <c r="AO24" s="22">
        <f t="shared" si="6"/>
        <v>0</v>
      </c>
      <c r="AP24" s="22">
        <f t="shared" si="7"/>
        <v>0</v>
      </c>
      <c r="AQ24" s="28" t="str">
        <f t="shared" si="8"/>
        <v/>
      </c>
      <c r="AR24" s="28" t="str">
        <f t="shared" si="9"/>
        <v/>
      </c>
      <c r="AS24" s="22" t="str">
        <f t="shared" si="10"/>
        <v/>
      </c>
      <c r="AT24" s="22" t="str">
        <f t="shared" si="11"/>
        <v/>
      </c>
      <c r="AU24" s="10"/>
      <c r="AV24" s="17"/>
      <c r="AW24" s="15"/>
      <c r="AX24" s="26"/>
      <c r="AY24" s="10"/>
      <c r="AZ24" s="12"/>
      <c r="BA24" s="12"/>
      <c r="BB24" s="15"/>
      <c r="BC24" s="15"/>
      <c r="BD24" s="10"/>
      <c r="BE24" s="21" t="str">
        <f>IF(COUNTA(AV24:BC24)=0,"",IF(AV24="","E_MISSING_INPUT",IF(AV24="TIMESTAMP",IF(OR(AW24="",AX24="",AY24=""),"E_MISSING_INPUT",IF(OR(NOT(ISNUMBER(AW24)),NOT(ISNUMBER(AX24))),"E_INVALID_DATE",IF(OR(AW24&lt;&gt;INT(AW24),AX24&lt;0,AX24&gt;=1),"E_INVALID_DATE",IF(ISNA(MATCH(AY24,nLIST_Offset,0)),"E_INVALID_DATE","")))),IF(AV24="DATE",IF(AW24="","E_MISSING_INPUT",IF(NOT(ISNUMBER(AW24)),"E_INVALID_DATE",IF(AW24&lt;&gt;INT(AW24),"E_INVALID_DATE",""))),IF(AV24="MONTH",IF(OR(AZ24="",BA24=""),"E_MISSING_INPUT",IF(OR(NOT(ISNUMBER(AZ24)),NOT(ISNUMBER(BA24))),"E_INVALID_DATE",IF(OR(AZ24&lt;1900,AZ24&gt;9999,AZ24&lt;&gt;INT(AZ24),BA24&lt;1,BA24&gt;12,BA24&lt;&gt;INT(BA24)),"E_INVALID_DATE",""))),IF(AV24="YEAR",IF(AZ24="","E_MISSING_INPUT",IF(NOT(ISNUMBER(AZ24)),"E_INVALID_DATE",IF(OR(AZ24&lt;1900,AZ24&gt;9999,AZ24&lt;&gt;INT(AZ24)),"E_INVALID_DATE",""))),IF(AV24="RANGE",IF(OR(BB24="",BC24=""),"E_MISSING_INPUT",IF(OR(NOT(ISNUMBER(BB24)),NOT(ISNUMBER(BC24))),"E_INVALID_DATE",IF(OR(BB24&lt;&gt;INT(BB24),BC24&lt;&gt;INT(BC24)),"E_INVALID_DATE",IF(BB24&gt;BC24,"E_REVERSED_BOUNDS","")))),"E_MISSING_INPUT")))))))</f>
        <v/>
      </c>
      <c r="BF24" s="22">
        <f t="shared" si="12"/>
        <v>0</v>
      </c>
      <c r="BG24" s="22">
        <f t="shared" si="13"/>
        <v>0</v>
      </c>
      <c r="BH24" s="28" t="str">
        <f t="shared" si="14"/>
        <v/>
      </c>
      <c r="BI24" s="28" t="str">
        <f t="shared" si="15"/>
        <v/>
      </c>
      <c r="BJ24" s="22" t="str">
        <f t="shared" si="16"/>
        <v/>
      </c>
      <c r="BK24" s="22" t="str">
        <f t="shared" si="17"/>
        <v/>
      </c>
      <c r="BL24" s="21" t="str">
        <f t="shared" si="18"/>
        <v/>
      </c>
      <c r="BM24" s="22">
        <f>IF(BL24="",0,COUNTIF(nEXP_Key,BL24))</f>
        <v>0</v>
      </c>
      <c r="BN24" s="21" t="str">
        <f t="shared" si="19"/>
        <v/>
      </c>
      <c r="BO24" s="21" t="str">
        <f>IF(BN24="","",BN24&amp;": "&amp;SUBSTITUTE(IFERROR(INDEX(nMSG_Text,MATCH(BN24,nMSG_Code,0)),""),"[input]",IF(D24="","an Exposure_Episode_ID","the date fields required by the selected precision")))</f>
        <v/>
      </c>
    </row>
    <row r="25" spans="1:67" x14ac:dyDescent="0.2">
      <c r="A25" s="10"/>
      <c r="B25" s="12"/>
      <c r="C25" s="10"/>
      <c r="D25" s="10"/>
      <c r="E25" s="10"/>
      <c r="F25" s="17"/>
      <c r="G25" s="10"/>
      <c r="H25" s="17"/>
      <c r="I25" s="17"/>
      <c r="J25" s="10"/>
      <c r="K25" s="17"/>
      <c r="L25" s="10"/>
      <c r="M25" s="10"/>
      <c r="N25" s="17"/>
      <c r="O25" s="15"/>
      <c r="P25" s="26"/>
      <c r="Q25" s="10"/>
      <c r="R25" s="12"/>
      <c r="S25" s="12"/>
      <c r="T25" s="15"/>
      <c r="U25" s="15"/>
      <c r="V25" s="10"/>
      <c r="W25" s="21" t="str">
        <f>IF(COUNTA(N25:U25)=0,"",IF(N25="","E_MISSING_INPUT",IF(N25="TIMESTAMP",IF(OR(O25="",P25="",Q25=""),"E_MISSING_INPUT",IF(OR(NOT(ISNUMBER(O25)),NOT(ISNUMBER(P25))),"E_INVALID_DATE",IF(OR(O25&lt;&gt;INT(O25),P25&lt;0,P25&gt;=1),"E_INVALID_DATE",IF(ISNA(MATCH(Q25,nLIST_Offset,0)),"E_INVALID_DATE","")))),IF(N25="DATE",IF(O25="","E_MISSING_INPUT",IF(NOT(ISNUMBER(O25)),"E_INVALID_DATE",IF(O25&lt;&gt;INT(O25),"E_INVALID_DATE",""))),IF(N25="MONTH",IF(OR(R25="",S25=""),"E_MISSING_INPUT",IF(OR(NOT(ISNUMBER(R25)),NOT(ISNUMBER(S25))),"E_INVALID_DATE",IF(OR(R25&lt;1900,R25&gt;9999,R25&lt;&gt;INT(R25),S25&lt;1,S25&gt;12,S25&lt;&gt;INT(S25)),"E_INVALID_DATE",""))),IF(N25="YEAR",IF(R25="","E_MISSING_INPUT",IF(NOT(ISNUMBER(R25)),"E_INVALID_DATE",IF(OR(R25&lt;1900,R25&gt;9999,R25&lt;&gt;INT(R25)),"E_INVALID_DATE",""))),IF(N25="RANGE",IF(OR(T25="",U25=""),"E_MISSING_INPUT",IF(OR(NOT(ISNUMBER(T25)),NOT(ISNUMBER(U25))),"E_INVALID_DATE",IF(OR(T25&lt;&gt;INT(T25),U25&lt;&gt;INT(U25)),"E_INVALID_DATE",IF(T25&gt;U25,"E_REVERSED_BOUNDS","")))),"E_MISSING_INPUT")))))))</f>
        <v/>
      </c>
      <c r="X25" s="22">
        <f t="shared" si="0"/>
        <v>0</v>
      </c>
      <c r="Y25" s="22">
        <f t="shared" si="1"/>
        <v>0</v>
      </c>
      <c r="Z25" s="28" t="str">
        <f t="shared" si="2"/>
        <v/>
      </c>
      <c r="AA25" s="28" t="str">
        <f t="shared" si="3"/>
        <v/>
      </c>
      <c r="AB25" s="22" t="str">
        <f t="shared" si="4"/>
        <v/>
      </c>
      <c r="AC25" s="22" t="str">
        <f t="shared" si="5"/>
        <v/>
      </c>
      <c r="AD25" s="10"/>
      <c r="AE25" s="17"/>
      <c r="AF25" s="15"/>
      <c r="AG25" s="26"/>
      <c r="AH25" s="10"/>
      <c r="AI25" s="12"/>
      <c r="AJ25" s="12"/>
      <c r="AK25" s="15"/>
      <c r="AL25" s="15"/>
      <c r="AM25" s="10"/>
      <c r="AN25" s="21" t="str">
        <f>IF(COUNTA(AE25:AL25)=0,"",IF(AE25="","E_MISSING_INPUT",IF(AE25="TIMESTAMP",IF(OR(AF25="",AG25="",AH25=""),"E_MISSING_INPUT",IF(OR(NOT(ISNUMBER(AF25)),NOT(ISNUMBER(AG25))),"E_INVALID_DATE",IF(OR(AF25&lt;&gt;INT(AF25),AG25&lt;0,AG25&gt;=1),"E_INVALID_DATE",IF(ISNA(MATCH(AH25,nLIST_Offset,0)),"E_INVALID_DATE","")))),IF(AE25="DATE",IF(AF25="","E_MISSING_INPUT",IF(NOT(ISNUMBER(AF25)),"E_INVALID_DATE",IF(AF25&lt;&gt;INT(AF25),"E_INVALID_DATE",""))),IF(AE25="MONTH",IF(OR(AI25="",AJ25=""),"E_MISSING_INPUT",IF(OR(NOT(ISNUMBER(AI25)),NOT(ISNUMBER(AJ25))),"E_INVALID_DATE",IF(OR(AI25&lt;1900,AI25&gt;9999,AI25&lt;&gt;INT(AI25),AJ25&lt;1,AJ25&gt;12,AJ25&lt;&gt;INT(AJ25)),"E_INVALID_DATE",""))),IF(AE25="YEAR",IF(AI25="","E_MISSING_INPUT",IF(NOT(ISNUMBER(AI25)),"E_INVALID_DATE",IF(OR(AI25&lt;1900,AI25&gt;9999,AI25&lt;&gt;INT(AI25)),"E_INVALID_DATE",""))),IF(AE25="RANGE",IF(OR(AK25="",AL25=""),"E_MISSING_INPUT",IF(OR(NOT(ISNUMBER(AK25)),NOT(ISNUMBER(AL25))),"E_INVALID_DATE",IF(OR(AK25&lt;&gt;INT(AK25),AL25&lt;&gt;INT(AL25)),"E_INVALID_DATE",IF(AK25&gt;AL25,"E_REVERSED_BOUNDS","")))),"E_MISSING_INPUT")))))))</f>
        <v/>
      </c>
      <c r="AO25" s="22">
        <f t="shared" si="6"/>
        <v>0</v>
      </c>
      <c r="AP25" s="22">
        <f t="shared" si="7"/>
        <v>0</v>
      </c>
      <c r="AQ25" s="28" t="str">
        <f t="shared" si="8"/>
        <v/>
      </c>
      <c r="AR25" s="28" t="str">
        <f t="shared" si="9"/>
        <v/>
      </c>
      <c r="AS25" s="22" t="str">
        <f t="shared" si="10"/>
        <v/>
      </c>
      <c r="AT25" s="22" t="str">
        <f t="shared" si="11"/>
        <v/>
      </c>
      <c r="AU25" s="10"/>
      <c r="AV25" s="17"/>
      <c r="AW25" s="15"/>
      <c r="AX25" s="26"/>
      <c r="AY25" s="10"/>
      <c r="AZ25" s="12"/>
      <c r="BA25" s="12"/>
      <c r="BB25" s="15"/>
      <c r="BC25" s="15"/>
      <c r="BD25" s="10"/>
      <c r="BE25" s="21" t="str">
        <f>IF(COUNTA(AV25:BC25)=0,"",IF(AV25="","E_MISSING_INPUT",IF(AV25="TIMESTAMP",IF(OR(AW25="",AX25="",AY25=""),"E_MISSING_INPUT",IF(OR(NOT(ISNUMBER(AW25)),NOT(ISNUMBER(AX25))),"E_INVALID_DATE",IF(OR(AW25&lt;&gt;INT(AW25),AX25&lt;0,AX25&gt;=1),"E_INVALID_DATE",IF(ISNA(MATCH(AY25,nLIST_Offset,0)),"E_INVALID_DATE","")))),IF(AV25="DATE",IF(AW25="","E_MISSING_INPUT",IF(NOT(ISNUMBER(AW25)),"E_INVALID_DATE",IF(AW25&lt;&gt;INT(AW25),"E_INVALID_DATE",""))),IF(AV25="MONTH",IF(OR(AZ25="",BA25=""),"E_MISSING_INPUT",IF(OR(NOT(ISNUMBER(AZ25)),NOT(ISNUMBER(BA25))),"E_INVALID_DATE",IF(OR(AZ25&lt;1900,AZ25&gt;9999,AZ25&lt;&gt;INT(AZ25),BA25&lt;1,BA25&gt;12,BA25&lt;&gt;INT(BA25)),"E_INVALID_DATE",""))),IF(AV25="YEAR",IF(AZ25="","E_MISSING_INPUT",IF(NOT(ISNUMBER(AZ25)),"E_INVALID_DATE",IF(OR(AZ25&lt;1900,AZ25&gt;9999,AZ25&lt;&gt;INT(AZ25)),"E_INVALID_DATE",""))),IF(AV25="RANGE",IF(OR(BB25="",BC25=""),"E_MISSING_INPUT",IF(OR(NOT(ISNUMBER(BB25)),NOT(ISNUMBER(BC25))),"E_INVALID_DATE",IF(OR(BB25&lt;&gt;INT(BB25),BC25&lt;&gt;INT(BC25)),"E_INVALID_DATE",IF(BB25&gt;BC25,"E_REVERSED_BOUNDS","")))),"E_MISSING_INPUT")))))))</f>
        <v/>
      </c>
      <c r="BF25" s="22">
        <f t="shared" si="12"/>
        <v>0</v>
      </c>
      <c r="BG25" s="22">
        <f t="shared" si="13"/>
        <v>0</v>
      </c>
      <c r="BH25" s="28" t="str">
        <f t="shared" si="14"/>
        <v/>
      </c>
      <c r="BI25" s="28" t="str">
        <f t="shared" si="15"/>
        <v/>
      </c>
      <c r="BJ25" s="22" t="str">
        <f t="shared" si="16"/>
        <v/>
      </c>
      <c r="BK25" s="22" t="str">
        <f t="shared" si="17"/>
        <v/>
      </c>
      <c r="BL25" s="21" t="str">
        <f t="shared" si="18"/>
        <v/>
      </c>
      <c r="BM25" s="22">
        <f>IF(BL25="",0,COUNTIF(nEXP_Key,BL25))</f>
        <v>0</v>
      </c>
      <c r="BN25" s="21" t="str">
        <f t="shared" si="19"/>
        <v/>
      </c>
      <c r="BO25" s="21" t="str">
        <f>IF(BN25="","",BN25&amp;": "&amp;SUBSTITUTE(IFERROR(INDEX(nMSG_Text,MATCH(BN25,nMSG_Code,0)),""),"[input]",IF(D25="","an Exposure_Episode_ID","the date fields required by the selected precision")))</f>
        <v/>
      </c>
    </row>
    <row r="26" spans="1:67" x14ac:dyDescent="0.2">
      <c r="A26" s="10"/>
      <c r="B26" s="12"/>
      <c r="C26" s="10"/>
      <c r="D26" s="10"/>
      <c r="E26" s="10"/>
      <c r="F26" s="17"/>
      <c r="G26" s="10"/>
      <c r="H26" s="17"/>
      <c r="I26" s="17"/>
      <c r="J26" s="10"/>
      <c r="K26" s="17"/>
      <c r="L26" s="10"/>
      <c r="M26" s="10"/>
      <c r="N26" s="17"/>
      <c r="O26" s="15"/>
      <c r="P26" s="26"/>
      <c r="Q26" s="10"/>
      <c r="R26" s="12"/>
      <c r="S26" s="12"/>
      <c r="T26" s="15"/>
      <c r="U26" s="15"/>
      <c r="V26" s="10"/>
      <c r="W26" s="21" t="str">
        <f>IF(COUNTA(N26:U26)=0,"",IF(N26="","E_MISSING_INPUT",IF(N26="TIMESTAMP",IF(OR(O26="",P26="",Q26=""),"E_MISSING_INPUT",IF(OR(NOT(ISNUMBER(O26)),NOT(ISNUMBER(P26))),"E_INVALID_DATE",IF(OR(O26&lt;&gt;INT(O26),P26&lt;0,P26&gt;=1),"E_INVALID_DATE",IF(ISNA(MATCH(Q26,nLIST_Offset,0)),"E_INVALID_DATE","")))),IF(N26="DATE",IF(O26="","E_MISSING_INPUT",IF(NOT(ISNUMBER(O26)),"E_INVALID_DATE",IF(O26&lt;&gt;INT(O26),"E_INVALID_DATE",""))),IF(N26="MONTH",IF(OR(R26="",S26=""),"E_MISSING_INPUT",IF(OR(NOT(ISNUMBER(R26)),NOT(ISNUMBER(S26))),"E_INVALID_DATE",IF(OR(R26&lt;1900,R26&gt;9999,R26&lt;&gt;INT(R26),S26&lt;1,S26&gt;12,S26&lt;&gt;INT(S26)),"E_INVALID_DATE",""))),IF(N26="YEAR",IF(R26="","E_MISSING_INPUT",IF(NOT(ISNUMBER(R26)),"E_INVALID_DATE",IF(OR(R26&lt;1900,R26&gt;9999,R26&lt;&gt;INT(R26)),"E_INVALID_DATE",""))),IF(N26="RANGE",IF(OR(T26="",U26=""),"E_MISSING_INPUT",IF(OR(NOT(ISNUMBER(T26)),NOT(ISNUMBER(U26))),"E_INVALID_DATE",IF(OR(T26&lt;&gt;INT(T26),U26&lt;&gt;INT(U26)),"E_INVALID_DATE",IF(T26&gt;U26,"E_REVERSED_BOUNDS","")))),"E_MISSING_INPUT")))))))</f>
        <v/>
      </c>
      <c r="X26" s="22">
        <f t="shared" si="0"/>
        <v>0</v>
      </c>
      <c r="Y26" s="22">
        <f t="shared" si="1"/>
        <v>0</v>
      </c>
      <c r="Z26" s="28" t="str">
        <f t="shared" si="2"/>
        <v/>
      </c>
      <c r="AA26" s="28" t="str">
        <f t="shared" si="3"/>
        <v/>
      </c>
      <c r="AB26" s="22" t="str">
        <f t="shared" si="4"/>
        <v/>
      </c>
      <c r="AC26" s="22" t="str">
        <f t="shared" si="5"/>
        <v/>
      </c>
      <c r="AD26" s="10"/>
      <c r="AE26" s="17"/>
      <c r="AF26" s="15"/>
      <c r="AG26" s="26"/>
      <c r="AH26" s="10"/>
      <c r="AI26" s="12"/>
      <c r="AJ26" s="12"/>
      <c r="AK26" s="15"/>
      <c r="AL26" s="15"/>
      <c r="AM26" s="10"/>
      <c r="AN26" s="21" t="str">
        <f>IF(COUNTA(AE26:AL26)=0,"",IF(AE26="","E_MISSING_INPUT",IF(AE26="TIMESTAMP",IF(OR(AF26="",AG26="",AH26=""),"E_MISSING_INPUT",IF(OR(NOT(ISNUMBER(AF26)),NOT(ISNUMBER(AG26))),"E_INVALID_DATE",IF(OR(AF26&lt;&gt;INT(AF26),AG26&lt;0,AG26&gt;=1),"E_INVALID_DATE",IF(ISNA(MATCH(AH26,nLIST_Offset,0)),"E_INVALID_DATE","")))),IF(AE26="DATE",IF(AF26="","E_MISSING_INPUT",IF(NOT(ISNUMBER(AF26)),"E_INVALID_DATE",IF(AF26&lt;&gt;INT(AF26),"E_INVALID_DATE",""))),IF(AE26="MONTH",IF(OR(AI26="",AJ26=""),"E_MISSING_INPUT",IF(OR(NOT(ISNUMBER(AI26)),NOT(ISNUMBER(AJ26))),"E_INVALID_DATE",IF(OR(AI26&lt;1900,AI26&gt;9999,AI26&lt;&gt;INT(AI26),AJ26&lt;1,AJ26&gt;12,AJ26&lt;&gt;INT(AJ26)),"E_INVALID_DATE",""))),IF(AE26="YEAR",IF(AI26="","E_MISSING_INPUT",IF(NOT(ISNUMBER(AI26)),"E_INVALID_DATE",IF(OR(AI26&lt;1900,AI26&gt;9999,AI26&lt;&gt;INT(AI26)),"E_INVALID_DATE",""))),IF(AE26="RANGE",IF(OR(AK26="",AL26=""),"E_MISSING_INPUT",IF(OR(NOT(ISNUMBER(AK26)),NOT(ISNUMBER(AL26))),"E_INVALID_DATE",IF(OR(AK26&lt;&gt;INT(AK26),AL26&lt;&gt;INT(AL26)),"E_INVALID_DATE",IF(AK26&gt;AL26,"E_REVERSED_BOUNDS","")))),"E_MISSING_INPUT")))))))</f>
        <v/>
      </c>
      <c r="AO26" s="22">
        <f t="shared" si="6"/>
        <v>0</v>
      </c>
      <c r="AP26" s="22">
        <f t="shared" si="7"/>
        <v>0</v>
      </c>
      <c r="AQ26" s="28" t="str">
        <f t="shared" si="8"/>
        <v/>
      </c>
      <c r="AR26" s="28" t="str">
        <f t="shared" si="9"/>
        <v/>
      </c>
      <c r="AS26" s="22" t="str">
        <f t="shared" si="10"/>
        <v/>
      </c>
      <c r="AT26" s="22" t="str">
        <f t="shared" si="11"/>
        <v/>
      </c>
      <c r="AU26" s="10"/>
      <c r="AV26" s="17"/>
      <c r="AW26" s="15"/>
      <c r="AX26" s="26"/>
      <c r="AY26" s="10"/>
      <c r="AZ26" s="12"/>
      <c r="BA26" s="12"/>
      <c r="BB26" s="15"/>
      <c r="BC26" s="15"/>
      <c r="BD26" s="10"/>
      <c r="BE26" s="21" t="str">
        <f>IF(COUNTA(AV26:BC26)=0,"",IF(AV26="","E_MISSING_INPUT",IF(AV26="TIMESTAMP",IF(OR(AW26="",AX26="",AY26=""),"E_MISSING_INPUT",IF(OR(NOT(ISNUMBER(AW26)),NOT(ISNUMBER(AX26))),"E_INVALID_DATE",IF(OR(AW26&lt;&gt;INT(AW26),AX26&lt;0,AX26&gt;=1),"E_INVALID_DATE",IF(ISNA(MATCH(AY26,nLIST_Offset,0)),"E_INVALID_DATE","")))),IF(AV26="DATE",IF(AW26="","E_MISSING_INPUT",IF(NOT(ISNUMBER(AW26)),"E_INVALID_DATE",IF(AW26&lt;&gt;INT(AW26),"E_INVALID_DATE",""))),IF(AV26="MONTH",IF(OR(AZ26="",BA26=""),"E_MISSING_INPUT",IF(OR(NOT(ISNUMBER(AZ26)),NOT(ISNUMBER(BA26))),"E_INVALID_DATE",IF(OR(AZ26&lt;1900,AZ26&gt;9999,AZ26&lt;&gt;INT(AZ26),BA26&lt;1,BA26&gt;12,BA26&lt;&gt;INT(BA26)),"E_INVALID_DATE",""))),IF(AV26="YEAR",IF(AZ26="","E_MISSING_INPUT",IF(NOT(ISNUMBER(AZ26)),"E_INVALID_DATE",IF(OR(AZ26&lt;1900,AZ26&gt;9999,AZ26&lt;&gt;INT(AZ26)),"E_INVALID_DATE",""))),IF(AV26="RANGE",IF(OR(BB26="",BC26=""),"E_MISSING_INPUT",IF(OR(NOT(ISNUMBER(BB26)),NOT(ISNUMBER(BC26))),"E_INVALID_DATE",IF(OR(BB26&lt;&gt;INT(BB26),BC26&lt;&gt;INT(BC26)),"E_INVALID_DATE",IF(BB26&gt;BC26,"E_REVERSED_BOUNDS","")))),"E_MISSING_INPUT")))))))</f>
        <v/>
      </c>
      <c r="BF26" s="22">
        <f t="shared" si="12"/>
        <v>0</v>
      </c>
      <c r="BG26" s="22">
        <f t="shared" si="13"/>
        <v>0</v>
      </c>
      <c r="BH26" s="28" t="str">
        <f t="shared" si="14"/>
        <v/>
      </c>
      <c r="BI26" s="28" t="str">
        <f t="shared" si="15"/>
        <v/>
      </c>
      <c r="BJ26" s="22" t="str">
        <f t="shared" si="16"/>
        <v/>
      </c>
      <c r="BK26" s="22" t="str">
        <f t="shared" si="17"/>
        <v/>
      </c>
      <c r="BL26" s="21" t="str">
        <f t="shared" si="18"/>
        <v/>
      </c>
      <c r="BM26" s="22">
        <f>IF(BL26="",0,COUNTIF(nEXP_Key,BL26))</f>
        <v>0</v>
      </c>
      <c r="BN26" s="21" t="str">
        <f t="shared" si="19"/>
        <v/>
      </c>
      <c r="BO26" s="21" t="str">
        <f>IF(BN26="","",BN26&amp;": "&amp;SUBSTITUTE(IFERROR(INDEX(nMSG_Text,MATCH(BN26,nMSG_Code,0)),""),"[input]",IF(D26="","an Exposure_Episode_ID","the date fields required by the selected precision")))</f>
        <v/>
      </c>
    </row>
    <row r="27" spans="1:67" x14ac:dyDescent="0.2">
      <c r="A27" s="10"/>
      <c r="B27" s="12"/>
      <c r="C27" s="10"/>
      <c r="D27" s="10"/>
      <c r="E27" s="10"/>
      <c r="F27" s="17"/>
      <c r="G27" s="10"/>
      <c r="H27" s="17"/>
      <c r="I27" s="17"/>
      <c r="J27" s="10"/>
      <c r="K27" s="17"/>
      <c r="L27" s="10"/>
      <c r="M27" s="10"/>
      <c r="N27" s="17"/>
      <c r="O27" s="15"/>
      <c r="P27" s="26"/>
      <c r="Q27" s="10"/>
      <c r="R27" s="12"/>
      <c r="S27" s="12"/>
      <c r="T27" s="15"/>
      <c r="U27" s="15"/>
      <c r="V27" s="10"/>
      <c r="W27" s="21" t="str">
        <f>IF(COUNTA(N27:U27)=0,"",IF(N27="","E_MISSING_INPUT",IF(N27="TIMESTAMP",IF(OR(O27="",P27="",Q27=""),"E_MISSING_INPUT",IF(OR(NOT(ISNUMBER(O27)),NOT(ISNUMBER(P27))),"E_INVALID_DATE",IF(OR(O27&lt;&gt;INT(O27),P27&lt;0,P27&gt;=1),"E_INVALID_DATE",IF(ISNA(MATCH(Q27,nLIST_Offset,0)),"E_INVALID_DATE","")))),IF(N27="DATE",IF(O27="","E_MISSING_INPUT",IF(NOT(ISNUMBER(O27)),"E_INVALID_DATE",IF(O27&lt;&gt;INT(O27),"E_INVALID_DATE",""))),IF(N27="MONTH",IF(OR(R27="",S27=""),"E_MISSING_INPUT",IF(OR(NOT(ISNUMBER(R27)),NOT(ISNUMBER(S27))),"E_INVALID_DATE",IF(OR(R27&lt;1900,R27&gt;9999,R27&lt;&gt;INT(R27),S27&lt;1,S27&gt;12,S27&lt;&gt;INT(S27)),"E_INVALID_DATE",""))),IF(N27="YEAR",IF(R27="","E_MISSING_INPUT",IF(NOT(ISNUMBER(R27)),"E_INVALID_DATE",IF(OR(R27&lt;1900,R27&gt;9999,R27&lt;&gt;INT(R27)),"E_INVALID_DATE",""))),IF(N27="RANGE",IF(OR(T27="",U27=""),"E_MISSING_INPUT",IF(OR(NOT(ISNUMBER(T27)),NOT(ISNUMBER(U27))),"E_INVALID_DATE",IF(OR(T27&lt;&gt;INT(T27),U27&lt;&gt;INT(U27)),"E_INVALID_DATE",IF(T27&gt;U27,"E_REVERSED_BOUNDS","")))),"E_MISSING_INPUT")))))))</f>
        <v/>
      </c>
      <c r="X27" s="22">
        <f t="shared" si="0"/>
        <v>0</v>
      </c>
      <c r="Y27" s="22">
        <f t="shared" si="1"/>
        <v>0</v>
      </c>
      <c r="Z27" s="28" t="str">
        <f t="shared" si="2"/>
        <v/>
      </c>
      <c r="AA27" s="28" t="str">
        <f t="shared" si="3"/>
        <v/>
      </c>
      <c r="AB27" s="22" t="str">
        <f t="shared" si="4"/>
        <v/>
      </c>
      <c r="AC27" s="22" t="str">
        <f t="shared" si="5"/>
        <v/>
      </c>
      <c r="AD27" s="10"/>
      <c r="AE27" s="17"/>
      <c r="AF27" s="15"/>
      <c r="AG27" s="26"/>
      <c r="AH27" s="10"/>
      <c r="AI27" s="12"/>
      <c r="AJ27" s="12"/>
      <c r="AK27" s="15"/>
      <c r="AL27" s="15"/>
      <c r="AM27" s="10"/>
      <c r="AN27" s="21" t="str">
        <f>IF(COUNTA(AE27:AL27)=0,"",IF(AE27="","E_MISSING_INPUT",IF(AE27="TIMESTAMP",IF(OR(AF27="",AG27="",AH27=""),"E_MISSING_INPUT",IF(OR(NOT(ISNUMBER(AF27)),NOT(ISNUMBER(AG27))),"E_INVALID_DATE",IF(OR(AF27&lt;&gt;INT(AF27),AG27&lt;0,AG27&gt;=1),"E_INVALID_DATE",IF(ISNA(MATCH(AH27,nLIST_Offset,0)),"E_INVALID_DATE","")))),IF(AE27="DATE",IF(AF27="","E_MISSING_INPUT",IF(NOT(ISNUMBER(AF27)),"E_INVALID_DATE",IF(AF27&lt;&gt;INT(AF27),"E_INVALID_DATE",""))),IF(AE27="MONTH",IF(OR(AI27="",AJ27=""),"E_MISSING_INPUT",IF(OR(NOT(ISNUMBER(AI27)),NOT(ISNUMBER(AJ27))),"E_INVALID_DATE",IF(OR(AI27&lt;1900,AI27&gt;9999,AI27&lt;&gt;INT(AI27),AJ27&lt;1,AJ27&gt;12,AJ27&lt;&gt;INT(AJ27)),"E_INVALID_DATE",""))),IF(AE27="YEAR",IF(AI27="","E_MISSING_INPUT",IF(NOT(ISNUMBER(AI27)),"E_INVALID_DATE",IF(OR(AI27&lt;1900,AI27&gt;9999,AI27&lt;&gt;INT(AI27)),"E_INVALID_DATE",""))),IF(AE27="RANGE",IF(OR(AK27="",AL27=""),"E_MISSING_INPUT",IF(OR(NOT(ISNUMBER(AK27)),NOT(ISNUMBER(AL27))),"E_INVALID_DATE",IF(OR(AK27&lt;&gt;INT(AK27),AL27&lt;&gt;INT(AL27)),"E_INVALID_DATE",IF(AK27&gt;AL27,"E_REVERSED_BOUNDS","")))),"E_MISSING_INPUT")))))))</f>
        <v/>
      </c>
      <c r="AO27" s="22">
        <f t="shared" si="6"/>
        <v>0</v>
      </c>
      <c r="AP27" s="22">
        <f t="shared" si="7"/>
        <v>0</v>
      </c>
      <c r="AQ27" s="28" t="str">
        <f t="shared" si="8"/>
        <v/>
      </c>
      <c r="AR27" s="28" t="str">
        <f t="shared" si="9"/>
        <v/>
      </c>
      <c r="AS27" s="22" t="str">
        <f t="shared" si="10"/>
        <v/>
      </c>
      <c r="AT27" s="22" t="str">
        <f t="shared" si="11"/>
        <v/>
      </c>
      <c r="AU27" s="10"/>
      <c r="AV27" s="17"/>
      <c r="AW27" s="15"/>
      <c r="AX27" s="26"/>
      <c r="AY27" s="10"/>
      <c r="AZ27" s="12"/>
      <c r="BA27" s="12"/>
      <c r="BB27" s="15"/>
      <c r="BC27" s="15"/>
      <c r="BD27" s="10"/>
      <c r="BE27" s="21" t="str">
        <f>IF(COUNTA(AV27:BC27)=0,"",IF(AV27="","E_MISSING_INPUT",IF(AV27="TIMESTAMP",IF(OR(AW27="",AX27="",AY27=""),"E_MISSING_INPUT",IF(OR(NOT(ISNUMBER(AW27)),NOT(ISNUMBER(AX27))),"E_INVALID_DATE",IF(OR(AW27&lt;&gt;INT(AW27),AX27&lt;0,AX27&gt;=1),"E_INVALID_DATE",IF(ISNA(MATCH(AY27,nLIST_Offset,0)),"E_INVALID_DATE","")))),IF(AV27="DATE",IF(AW27="","E_MISSING_INPUT",IF(NOT(ISNUMBER(AW27)),"E_INVALID_DATE",IF(AW27&lt;&gt;INT(AW27),"E_INVALID_DATE",""))),IF(AV27="MONTH",IF(OR(AZ27="",BA27=""),"E_MISSING_INPUT",IF(OR(NOT(ISNUMBER(AZ27)),NOT(ISNUMBER(BA27))),"E_INVALID_DATE",IF(OR(AZ27&lt;1900,AZ27&gt;9999,AZ27&lt;&gt;INT(AZ27),BA27&lt;1,BA27&gt;12,BA27&lt;&gt;INT(BA27)),"E_INVALID_DATE",""))),IF(AV27="YEAR",IF(AZ27="","E_MISSING_INPUT",IF(NOT(ISNUMBER(AZ27)),"E_INVALID_DATE",IF(OR(AZ27&lt;1900,AZ27&gt;9999,AZ27&lt;&gt;INT(AZ27)),"E_INVALID_DATE",""))),IF(AV27="RANGE",IF(OR(BB27="",BC27=""),"E_MISSING_INPUT",IF(OR(NOT(ISNUMBER(BB27)),NOT(ISNUMBER(BC27))),"E_INVALID_DATE",IF(OR(BB27&lt;&gt;INT(BB27),BC27&lt;&gt;INT(BC27)),"E_INVALID_DATE",IF(BB27&gt;BC27,"E_REVERSED_BOUNDS","")))),"E_MISSING_INPUT")))))))</f>
        <v/>
      </c>
      <c r="BF27" s="22">
        <f t="shared" si="12"/>
        <v>0</v>
      </c>
      <c r="BG27" s="22">
        <f t="shared" si="13"/>
        <v>0</v>
      </c>
      <c r="BH27" s="28" t="str">
        <f t="shared" si="14"/>
        <v/>
      </c>
      <c r="BI27" s="28" t="str">
        <f t="shared" si="15"/>
        <v/>
      </c>
      <c r="BJ27" s="22" t="str">
        <f t="shared" si="16"/>
        <v/>
      </c>
      <c r="BK27" s="22" t="str">
        <f t="shared" si="17"/>
        <v/>
      </c>
      <c r="BL27" s="21" t="str">
        <f t="shared" si="18"/>
        <v/>
      </c>
      <c r="BM27" s="22">
        <f>IF(BL27="",0,COUNTIF(nEXP_Key,BL27))</f>
        <v>0</v>
      </c>
      <c r="BN27" s="21" t="str">
        <f t="shared" si="19"/>
        <v/>
      </c>
      <c r="BO27" s="21" t="str">
        <f>IF(BN27="","",BN27&amp;": "&amp;SUBSTITUTE(IFERROR(INDEX(nMSG_Text,MATCH(BN27,nMSG_Code,0)),""),"[input]",IF(D27="","an Exposure_Episode_ID","the date fields required by the selected precision")))</f>
        <v/>
      </c>
    </row>
    <row r="28" spans="1:67" x14ac:dyDescent="0.2">
      <c r="A28" s="10"/>
      <c r="B28" s="12"/>
      <c r="C28" s="10"/>
      <c r="D28" s="10"/>
      <c r="E28" s="10"/>
      <c r="F28" s="17"/>
      <c r="G28" s="10"/>
      <c r="H28" s="17"/>
      <c r="I28" s="17"/>
      <c r="J28" s="10"/>
      <c r="K28" s="17"/>
      <c r="L28" s="10"/>
      <c r="M28" s="10"/>
      <c r="N28" s="17"/>
      <c r="O28" s="15"/>
      <c r="P28" s="26"/>
      <c r="Q28" s="10"/>
      <c r="R28" s="12"/>
      <c r="S28" s="12"/>
      <c r="T28" s="15"/>
      <c r="U28" s="15"/>
      <c r="V28" s="10"/>
      <c r="W28" s="21" t="str">
        <f>IF(COUNTA(N28:U28)=0,"",IF(N28="","E_MISSING_INPUT",IF(N28="TIMESTAMP",IF(OR(O28="",P28="",Q28=""),"E_MISSING_INPUT",IF(OR(NOT(ISNUMBER(O28)),NOT(ISNUMBER(P28))),"E_INVALID_DATE",IF(OR(O28&lt;&gt;INT(O28),P28&lt;0,P28&gt;=1),"E_INVALID_DATE",IF(ISNA(MATCH(Q28,nLIST_Offset,0)),"E_INVALID_DATE","")))),IF(N28="DATE",IF(O28="","E_MISSING_INPUT",IF(NOT(ISNUMBER(O28)),"E_INVALID_DATE",IF(O28&lt;&gt;INT(O28),"E_INVALID_DATE",""))),IF(N28="MONTH",IF(OR(R28="",S28=""),"E_MISSING_INPUT",IF(OR(NOT(ISNUMBER(R28)),NOT(ISNUMBER(S28))),"E_INVALID_DATE",IF(OR(R28&lt;1900,R28&gt;9999,R28&lt;&gt;INT(R28),S28&lt;1,S28&gt;12,S28&lt;&gt;INT(S28)),"E_INVALID_DATE",""))),IF(N28="YEAR",IF(R28="","E_MISSING_INPUT",IF(NOT(ISNUMBER(R28)),"E_INVALID_DATE",IF(OR(R28&lt;1900,R28&gt;9999,R28&lt;&gt;INT(R28)),"E_INVALID_DATE",""))),IF(N28="RANGE",IF(OR(T28="",U28=""),"E_MISSING_INPUT",IF(OR(NOT(ISNUMBER(T28)),NOT(ISNUMBER(U28))),"E_INVALID_DATE",IF(OR(T28&lt;&gt;INT(T28),U28&lt;&gt;INT(U28)),"E_INVALID_DATE",IF(T28&gt;U28,"E_REVERSED_BOUNDS","")))),"E_MISSING_INPUT")))))))</f>
        <v/>
      </c>
      <c r="X28" s="22">
        <f t="shared" si="0"/>
        <v>0</v>
      </c>
      <c r="Y28" s="22">
        <f t="shared" si="1"/>
        <v>0</v>
      </c>
      <c r="Z28" s="28" t="str">
        <f t="shared" si="2"/>
        <v/>
      </c>
      <c r="AA28" s="28" t="str">
        <f t="shared" si="3"/>
        <v/>
      </c>
      <c r="AB28" s="22" t="str">
        <f t="shared" si="4"/>
        <v/>
      </c>
      <c r="AC28" s="22" t="str">
        <f t="shared" si="5"/>
        <v/>
      </c>
      <c r="AD28" s="10"/>
      <c r="AE28" s="17"/>
      <c r="AF28" s="15"/>
      <c r="AG28" s="26"/>
      <c r="AH28" s="10"/>
      <c r="AI28" s="12"/>
      <c r="AJ28" s="12"/>
      <c r="AK28" s="15"/>
      <c r="AL28" s="15"/>
      <c r="AM28" s="10"/>
      <c r="AN28" s="21" t="str">
        <f>IF(COUNTA(AE28:AL28)=0,"",IF(AE28="","E_MISSING_INPUT",IF(AE28="TIMESTAMP",IF(OR(AF28="",AG28="",AH28=""),"E_MISSING_INPUT",IF(OR(NOT(ISNUMBER(AF28)),NOT(ISNUMBER(AG28))),"E_INVALID_DATE",IF(OR(AF28&lt;&gt;INT(AF28),AG28&lt;0,AG28&gt;=1),"E_INVALID_DATE",IF(ISNA(MATCH(AH28,nLIST_Offset,0)),"E_INVALID_DATE","")))),IF(AE28="DATE",IF(AF28="","E_MISSING_INPUT",IF(NOT(ISNUMBER(AF28)),"E_INVALID_DATE",IF(AF28&lt;&gt;INT(AF28),"E_INVALID_DATE",""))),IF(AE28="MONTH",IF(OR(AI28="",AJ28=""),"E_MISSING_INPUT",IF(OR(NOT(ISNUMBER(AI28)),NOT(ISNUMBER(AJ28))),"E_INVALID_DATE",IF(OR(AI28&lt;1900,AI28&gt;9999,AI28&lt;&gt;INT(AI28),AJ28&lt;1,AJ28&gt;12,AJ28&lt;&gt;INT(AJ28)),"E_INVALID_DATE",""))),IF(AE28="YEAR",IF(AI28="","E_MISSING_INPUT",IF(NOT(ISNUMBER(AI28)),"E_INVALID_DATE",IF(OR(AI28&lt;1900,AI28&gt;9999,AI28&lt;&gt;INT(AI28)),"E_INVALID_DATE",""))),IF(AE28="RANGE",IF(OR(AK28="",AL28=""),"E_MISSING_INPUT",IF(OR(NOT(ISNUMBER(AK28)),NOT(ISNUMBER(AL28))),"E_INVALID_DATE",IF(OR(AK28&lt;&gt;INT(AK28),AL28&lt;&gt;INT(AL28)),"E_INVALID_DATE",IF(AK28&gt;AL28,"E_REVERSED_BOUNDS","")))),"E_MISSING_INPUT")))))))</f>
        <v/>
      </c>
      <c r="AO28" s="22">
        <f t="shared" si="6"/>
        <v>0</v>
      </c>
      <c r="AP28" s="22">
        <f t="shared" si="7"/>
        <v>0</v>
      </c>
      <c r="AQ28" s="28" t="str">
        <f t="shared" si="8"/>
        <v/>
      </c>
      <c r="AR28" s="28" t="str">
        <f t="shared" si="9"/>
        <v/>
      </c>
      <c r="AS28" s="22" t="str">
        <f t="shared" si="10"/>
        <v/>
      </c>
      <c r="AT28" s="22" t="str">
        <f t="shared" si="11"/>
        <v/>
      </c>
      <c r="AU28" s="10"/>
      <c r="AV28" s="17"/>
      <c r="AW28" s="15"/>
      <c r="AX28" s="26"/>
      <c r="AY28" s="10"/>
      <c r="AZ28" s="12"/>
      <c r="BA28" s="12"/>
      <c r="BB28" s="15"/>
      <c r="BC28" s="15"/>
      <c r="BD28" s="10"/>
      <c r="BE28" s="21" t="str">
        <f>IF(COUNTA(AV28:BC28)=0,"",IF(AV28="","E_MISSING_INPUT",IF(AV28="TIMESTAMP",IF(OR(AW28="",AX28="",AY28=""),"E_MISSING_INPUT",IF(OR(NOT(ISNUMBER(AW28)),NOT(ISNUMBER(AX28))),"E_INVALID_DATE",IF(OR(AW28&lt;&gt;INT(AW28),AX28&lt;0,AX28&gt;=1),"E_INVALID_DATE",IF(ISNA(MATCH(AY28,nLIST_Offset,0)),"E_INVALID_DATE","")))),IF(AV28="DATE",IF(AW28="","E_MISSING_INPUT",IF(NOT(ISNUMBER(AW28)),"E_INVALID_DATE",IF(AW28&lt;&gt;INT(AW28),"E_INVALID_DATE",""))),IF(AV28="MONTH",IF(OR(AZ28="",BA28=""),"E_MISSING_INPUT",IF(OR(NOT(ISNUMBER(AZ28)),NOT(ISNUMBER(BA28))),"E_INVALID_DATE",IF(OR(AZ28&lt;1900,AZ28&gt;9999,AZ28&lt;&gt;INT(AZ28),BA28&lt;1,BA28&gt;12,BA28&lt;&gt;INT(BA28)),"E_INVALID_DATE",""))),IF(AV28="YEAR",IF(AZ28="","E_MISSING_INPUT",IF(NOT(ISNUMBER(AZ28)),"E_INVALID_DATE",IF(OR(AZ28&lt;1900,AZ28&gt;9999,AZ28&lt;&gt;INT(AZ28)),"E_INVALID_DATE",""))),IF(AV28="RANGE",IF(OR(BB28="",BC28=""),"E_MISSING_INPUT",IF(OR(NOT(ISNUMBER(BB28)),NOT(ISNUMBER(BC28))),"E_INVALID_DATE",IF(OR(BB28&lt;&gt;INT(BB28),BC28&lt;&gt;INT(BC28)),"E_INVALID_DATE",IF(BB28&gt;BC28,"E_REVERSED_BOUNDS","")))),"E_MISSING_INPUT")))))))</f>
        <v/>
      </c>
      <c r="BF28" s="22">
        <f t="shared" si="12"/>
        <v>0</v>
      </c>
      <c r="BG28" s="22">
        <f t="shared" si="13"/>
        <v>0</v>
      </c>
      <c r="BH28" s="28" t="str">
        <f t="shared" si="14"/>
        <v/>
      </c>
      <c r="BI28" s="28" t="str">
        <f t="shared" si="15"/>
        <v/>
      </c>
      <c r="BJ28" s="22" t="str">
        <f t="shared" si="16"/>
        <v/>
      </c>
      <c r="BK28" s="22" t="str">
        <f t="shared" si="17"/>
        <v/>
      </c>
      <c r="BL28" s="21" t="str">
        <f t="shared" si="18"/>
        <v/>
      </c>
      <c r="BM28" s="22">
        <f>IF(BL28="",0,COUNTIF(nEXP_Key,BL28))</f>
        <v>0</v>
      </c>
      <c r="BN28" s="21" t="str">
        <f t="shared" si="19"/>
        <v/>
      </c>
      <c r="BO28" s="21" t="str">
        <f>IF(BN28="","",BN28&amp;": "&amp;SUBSTITUTE(IFERROR(INDEX(nMSG_Text,MATCH(BN28,nMSG_Code,0)),""),"[input]",IF(D28="","an Exposure_Episode_ID","the date fields required by the selected precision")))</f>
        <v/>
      </c>
    </row>
    <row r="29" spans="1:67" x14ac:dyDescent="0.2">
      <c r="A29" s="10"/>
      <c r="B29" s="12"/>
      <c r="C29" s="10"/>
      <c r="D29" s="10"/>
      <c r="E29" s="10"/>
      <c r="F29" s="17"/>
      <c r="G29" s="10"/>
      <c r="H29" s="17"/>
      <c r="I29" s="17"/>
      <c r="J29" s="10"/>
      <c r="K29" s="17"/>
      <c r="L29" s="10"/>
      <c r="M29" s="10"/>
      <c r="N29" s="17"/>
      <c r="O29" s="15"/>
      <c r="P29" s="26"/>
      <c r="Q29" s="10"/>
      <c r="R29" s="12"/>
      <c r="S29" s="12"/>
      <c r="T29" s="15"/>
      <c r="U29" s="15"/>
      <c r="V29" s="10"/>
      <c r="W29" s="21" t="str">
        <f>IF(COUNTA(N29:U29)=0,"",IF(N29="","E_MISSING_INPUT",IF(N29="TIMESTAMP",IF(OR(O29="",P29="",Q29=""),"E_MISSING_INPUT",IF(OR(NOT(ISNUMBER(O29)),NOT(ISNUMBER(P29))),"E_INVALID_DATE",IF(OR(O29&lt;&gt;INT(O29),P29&lt;0,P29&gt;=1),"E_INVALID_DATE",IF(ISNA(MATCH(Q29,nLIST_Offset,0)),"E_INVALID_DATE","")))),IF(N29="DATE",IF(O29="","E_MISSING_INPUT",IF(NOT(ISNUMBER(O29)),"E_INVALID_DATE",IF(O29&lt;&gt;INT(O29),"E_INVALID_DATE",""))),IF(N29="MONTH",IF(OR(R29="",S29=""),"E_MISSING_INPUT",IF(OR(NOT(ISNUMBER(R29)),NOT(ISNUMBER(S29))),"E_INVALID_DATE",IF(OR(R29&lt;1900,R29&gt;9999,R29&lt;&gt;INT(R29),S29&lt;1,S29&gt;12,S29&lt;&gt;INT(S29)),"E_INVALID_DATE",""))),IF(N29="YEAR",IF(R29="","E_MISSING_INPUT",IF(NOT(ISNUMBER(R29)),"E_INVALID_DATE",IF(OR(R29&lt;1900,R29&gt;9999,R29&lt;&gt;INT(R29)),"E_INVALID_DATE",""))),IF(N29="RANGE",IF(OR(T29="",U29=""),"E_MISSING_INPUT",IF(OR(NOT(ISNUMBER(T29)),NOT(ISNUMBER(U29))),"E_INVALID_DATE",IF(OR(T29&lt;&gt;INT(T29),U29&lt;&gt;INT(U29)),"E_INVALID_DATE",IF(T29&gt;U29,"E_REVERSED_BOUNDS","")))),"E_MISSING_INPUT")))))))</f>
        <v/>
      </c>
      <c r="X29" s="22">
        <f t="shared" si="0"/>
        <v>0</v>
      </c>
      <c r="Y29" s="22">
        <f t="shared" si="1"/>
        <v>0</v>
      </c>
      <c r="Z29" s="28" t="str">
        <f t="shared" si="2"/>
        <v/>
      </c>
      <c r="AA29" s="28" t="str">
        <f t="shared" si="3"/>
        <v/>
      </c>
      <c r="AB29" s="22" t="str">
        <f t="shared" si="4"/>
        <v/>
      </c>
      <c r="AC29" s="22" t="str">
        <f t="shared" si="5"/>
        <v/>
      </c>
      <c r="AD29" s="10"/>
      <c r="AE29" s="17"/>
      <c r="AF29" s="15"/>
      <c r="AG29" s="26"/>
      <c r="AH29" s="10"/>
      <c r="AI29" s="12"/>
      <c r="AJ29" s="12"/>
      <c r="AK29" s="15"/>
      <c r="AL29" s="15"/>
      <c r="AM29" s="10"/>
      <c r="AN29" s="21" t="str">
        <f>IF(COUNTA(AE29:AL29)=0,"",IF(AE29="","E_MISSING_INPUT",IF(AE29="TIMESTAMP",IF(OR(AF29="",AG29="",AH29=""),"E_MISSING_INPUT",IF(OR(NOT(ISNUMBER(AF29)),NOT(ISNUMBER(AG29))),"E_INVALID_DATE",IF(OR(AF29&lt;&gt;INT(AF29),AG29&lt;0,AG29&gt;=1),"E_INVALID_DATE",IF(ISNA(MATCH(AH29,nLIST_Offset,0)),"E_INVALID_DATE","")))),IF(AE29="DATE",IF(AF29="","E_MISSING_INPUT",IF(NOT(ISNUMBER(AF29)),"E_INVALID_DATE",IF(AF29&lt;&gt;INT(AF29),"E_INVALID_DATE",""))),IF(AE29="MONTH",IF(OR(AI29="",AJ29=""),"E_MISSING_INPUT",IF(OR(NOT(ISNUMBER(AI29)),NOT(ISNUMBER(AJ29))),"E_INVALID_DATE",IF(OR(AI29&lt;1900,AI29&gt;9999,AI29&lt;&gt;INT(AI29),AJ29&lt;1,AJ29&gt;12,AJ29&lt;&gt;INT(AJ29)),"E_INVALID_DATE",""))),IF(AE29="YEAR",IF(AI29="","E_MISSING_INPUT",IF(NOT(ISNUMBER(AI29)),"E_INVALID_DATE",IF(OR(AI29&lt;1900,AI29&gt;9999,AI29&lt;&gt;INT(AI29)),"E_INVALID_DATE",""))),IF(AE29="RANGE",IF(OR(AK29="",AL29=""),"E_MISSING_INPUT",IF(OR(NOT(ISNUMBER(AK29)),NOT(ISNUMBER(AL29))),"E_INVALID_DATE",IF(OR(AK29&lt;&gt;INT(AK29),AL29&lt;&gt;INT(AL29)),"E_INVALID_DATE",IF(AK29&gt;AL29,"E_REVERSED_BOUNDS","")))),"E_MISSING_INPUT")))))))</f>
        <v/>
      </c>
      <c r="AO29" s="22">
        <f t="shared" si="6"/>
        <v>0</v>
      </c>
      <c r="AP29" s="22">
        <f t="shared" si="7"/>
        <v>0</v>
      </c>
      <c r="AQ29" s="28" t="str">
        <f t="shared" si="8"/>
        <v/>
      </c>
      <c r="AR29" s="28" t="str">
        <f t="shared" si="9"/>
        <v/>
      </c>
      <c r="AS29" s="22" t="str">
        <f t="shared" si="10"/>
        <v/>
      </c>
      <c r="AT29" s="22" t="str">
        <f t="shared" si="11"/>
        <v/>
      </c>
      <c r="AU29" s="10"/>
      <c r="AV29" s="17"/>
      <c r="AW29" s="15"/>
      <c r="AX29" s="26"/>
      <c r="AY29" s="10"/>
      <c r="AZ29" s="12"/>
      <c r="BA29" s="12"/>
      <c r="BB29" s="15"/>
      <c r="BC29" s="15"/>
      <c r="BD29" s="10"/>
      <c r="BE29" s="21" t="str">
        <f>IF(COUNTA(AV29:BC29)=0,"",IF(AV29="","E_MISSING_INPUT",IF(AV29="TIMESTAMP",IF(OR(AW29="",AX29="",AY29=""),"E_MISSING_INPUT",IF(OR(NOT(ISNUMBER(AW29)),NOT(ISNUMBER(AX29))),"E_INVALID_DATE",IF(OR(AW29&lt;&gt;INT(AW29),AX29&lt;0,AX29&gt;=1),"E_INVALID_DATE",IF(ISNA(MATCH(AY29,nLIST_Offset,0)),"E_INVALID_DATE","")))),IF(AV29="DATE",IF(AW29="","E_MISSING_INPUT",IF(NOT(ISNUMBER(AW29)),"E_INVALID_DATE",IF(AW29&lt;&gt;INT(AW29),"E_INVALID_DATE",""))),IF(AV29="MONTH",IF(OR(AZ29="",BA29=""),"E_MISSING_INPUT",IF(OR(NOT(ISNUMBER(AZ29)),NOT(ISNUMBER(BA29))),"E_INVALID_DATE",IF(OR(AZ29&lt;1900,AZ29&gt;9999,AZ29&lt;&gt;INT(AZ29),BA29&lt;1,BA29&gt;12,BA29&lt;&gt;INT(BA29)),"E_INVALID_DATE",""))),IF(AV29="YEAR",IF(AZ29="","E_MISSING_INPUT",IF(NOT(ISNUMBER(AZ29)),"E_INVALID_DATE",IF(OR(AZ29&lt;1900,AZ29&gt;9999,AZ29&lt;&gt;INT(AZ29)),"E_INVALID_DATE",""))),IF(AV29="RANGE",IF(OR(BB29="",BC29=""),"E_MISSING_INPUT",IF(OR(NOT(ISNUMBER(BB29)),NOT(ISNUMBER(BC29))),"E_INVALID_DATE",IF(OR(BB29&lt;&gt;INT(BB29),BC29&lt;&gt;INT(BC29)),"E_INVALID_DATE",IF(BB29&gt;BC29,"E_REVERSED_BOUNDS","")))),"E_MISSING_INPUT")))))))</f>
        <v/>
      </c>
      <c r="BF29" s="22">
        <f t="shared" si="12"/>
        <v>0</v>
      </c>
      <c r="BG29" s="22">
        <f t="shared" si="13"/>
        <v>0</v>
      </c>
      <c r="BH29" s="28" t="str">
        <f t="shared" si="14"/>
        <v/>
      </c>
      <c r="BI29" s="28" t="str">
        <f t="shared" si="15"/>
        <v/>
      </c>
      <c r="BJ29" s="22" t="str">
        <f t="shared" si="16"/>
        <v/>
      </c>
      <c r="BK29" s="22" t="str">
        <f t="shared" si="17"/>
        <v/>
      </c>
      <c r="BL29" s="21" t="str">
        <f t="shared" si="18"/>
        <v/>
      </c>
      <c r="BM29" s="22">
        <f>IF(BL29="",0,COUNTIF(nEXP_Key,BL29))</f>
        <v>0</v>
      </c>
      <c r="BN29" s="21" t="str">
        <f t="shared" si="19"/>
        <v/>
      </c>
      <c r="BO29" s="21" t="str">
        <f>IF(BN29="","",BN29&amp;": "&amp;SUBSTITUTE(IFERROR(INDEX(nMSG_Text,MATCH(BN29,nMSG_Code,0)),""),"[input]",IF(D29="","an Exposure_Episode_ID","the date fields required by the selected precision")))</f>
        <v/>
      </c>
    </row>
    <row r="30" spans="1:67" x14ac:dyDescent="0.2">
      <c r="A30" s="10"/>
      <c r="B30" s="12"/>
      <c r="C30" s="10"/>
      <c r="D30" s="10"/>
      <c r="E30" s="10"/>
      <c r="F30" s="17"/>
      <c r="G30" s="10"/>
      <c r="H30" s="17"/>
      <c r="I30" s="17"/>
      <c r="J30" s="10"/>
      <c r="K30" s="17"/>
      <c r="L30" s="10"/>
      <c r="M30" s="10"/>
      <c r="N30" s="17"/>
      <c r="O30" s="15"/>
      <c r="P30" s="26"/>
      <c r="Q30" s="10"/>
      <c r="R30" s="12"/>
      <c r="S30" s="12"/>
      <c r="T30" s="15"/>
      <c r="U30" s="15"/>
      <c r="V30" s="10"/>
      <c r="W30" s="21" t="str">
        <f>IF(COUNTA(N30:U30)=0,"",IF(N30="","E_MISSING_INPUT",IF(N30="TIMESTAMP",IF(OR(O30="",P30="",Q30=""),"E_MISSING_INPUT",IF(OR(NOT(ISNUMBER(O30)),NOT(ISNUMBER(P30))),"E_INVALID_DATE",IF(OR(O30&lt;&gt;INT(O30),P30&lt;0,P30&gt;=1),"E_INVALID_DATE",IF(ISNA(MATCH(Q30,nLIST_Offset,0)),"E_INVALID_DATE","")))),IF(N30="DATE",IF(O30="","E_MISSING_INPUT",IF(NOT(ISNUMBER(O30)),"E_INVALID_DATE",IF(O30&lt;&gt;INT(O30),"E_INVALID_DATE",""))),IF(N30="MONTH",IF(OR(R30="",S30=""),"E_MISSING_INPUT",IF(OR(NOT(ISNUMBER(R30)),NOT(ISNUMBER(S30))),"E_INVALID_DATE",IF(OR(R30&lt;1900,R30&gt;9999,R30&lt;&gt;INT(R30),S30&lt;1,S30&gt;12,S30&lt;&gt;INT(S30)),"E_INVALID_DATE",""))),IF(N30="YEAR",IF(R30="","E_MISSING_INPUT",IF(NOT(ISNUMBER(R30)),"E_INVALID_DATE",IF(OR(R30&lt;1900,R30&gt;9999,R30&lt;&gt;INT(R30)),"E_INVALID_DATE",""))),IF(N30="RANGE",IF(OR(T30="",U30=""),"E_MISSING_INPUT",IF(OR(NOT(ISNUMBER(T30)),NOT(ISNUMBER(U30))),"E_INVALID_DATE",IF(OR(T30&lt;&gt;INT(T30),U30&lt;&gt;INT(U30)),"E_INVALID_DATE",IF(T30&gt;U30,"E_REVERSED_BOUNDS","")))),"E_MISSING_INPUT")))))))</f>
        <v/>
      </c>
      <c r="X30" s="22">
        <f t="shared" si="0"/>
        <v>0</v>
      </c>
      <c r="Y30" s="22">
        <f t="shared" si="1"/>
        <v>0</v>
      </c>
      <c r="Z30" s="28" t="str">
        <f t="shared" si="2"/>
        <v/>
      </c>
      <c r="AA30" s="28" t="str">
        <f t="shared" si="3"/>
        <v/>
      </c>
      <c r="AB30" s="22" t="str">
        <f t="shared" si="4"/>
        <v/>
      </c>
      <c r="AC30" s="22" t="str">
        <f t="shared" si="5"/>
        <v/>
      </c>
      <c r="AD30" s="10"/>
      <c r="AE30" s="17"/>
      <c r="AF30" s="15"/>
      <c r="AG30" s="26"/>
      <c r="AH30" s="10"/>
      <c r="AI30" s="12"/>
      <c r="AJ30" s="12"/>
      <c r="AK30" s="15"/>
      <c r="AL30" s="15"/>
      <c r="AM30" s="10"/>
      <c r="AN30" s="21" t="str">
        <f>IF(COUNTA(AE30:AL30)=0,"",IF(AE30="","E_MISSING_INPUT",IF(AE30="TIMESTAMP",IF(OR(AF30="",AG30="",AH30=""),"E_MISSING_INPUT",IF(OR(NOT(ISNUMBER(AF30)),NOT(ISNUMBER(AG30))),"E_INVALID_DATE",IF(OR(AF30&lt;&gt;INT(AF30),AG30&lt;0,AG30&gt;=1),"E_INVALID_DATE",IF(ISNA(MATCH(AH30,nLIST_Offset,0)),"E_INVALID_DATE","")))),IF(AE30="DATE",IF(AF30="","E_MISSING_INPUT",IF(NOT(ISNUMBER(AF30)),"E_INVALID_DATE",IF(AF30&lt;&gt;INT(AF30),"E_INVALID_DATE",""))),IF(AE30="MONTH",IF(OR(AI30="",AJ30=""),"E_MISSING_INPUT",IF(OR(NOT(ISNUMBER(AI30)),NOT(ISNUMBER(AJ30))),"E_INVALID_DATE",IF(OR(AI30&lt;1900,AI30&gt;9999,AI30&lt;&gt;INT(AI30),AJ30&lt;1,AJ30&gt;12,AJ30&lt;&gt;INT(AJ30)),"E_INVALID_DATE",""))),IF(AE30="YEAR",IF(AI30="","E_MISSING_INPUT",IF(NOT(ISNUMBER(AI30)),"E_INVALID_DATE",IF(OR(AI30&lt;1900,AI30&gt;9999,AI30&lt;&gt;INT(AI30)),"E_INVALID_DATE",""))),IF(AE30="RANGE",IF(OR(AK30="",AL30=""),"E_MISSING_INPUT",IF(OR(NOT(ISNUMBER(AK30)),NOT(ISNUMBER(AL30))),"E_INVALID_DATE",IF(OR(AK30&lt;&gt;INT(AK30),AL30&lt;&gt;INT(AL30)),"E_INVALID_DATE",IF(AK30&gt;AL30,"E_REVERSED_BOUNDS","")))),"E_MISSING_INPUT")))))))</f>
        <v/>
      </c>
      <c r="AO30" s="22">
        <f t="shared" si="6"/>
        <v>0</v>
      </c>
      <c r="AP30" s="22">
        <f t="shared" si="7"/>
        <v>0</v>
      </c>
      <c r="AQ30" s="28" t="str">
        <f t="shared" si="8"/>
        <v/>
      </c>
      <c r="AR30" s="28" t="str">
        <f t="shared" si="9"/>
        <v/>
      </c>
      <c r="AS30" s="22" t="str">
        <f t="shared" si="10"/>
        <v/>
      </c>
      <c r="AT30" s="22" t="str">
        <f t="shared" si="11"/>
        <v/>
      </c>
      <c r="AU30" s="10"/>
      <c r="AV30" s="17"/>
      <c r="AW30" s="15"/>
      <c r="AX30" s="26"/>
      <c r="AY30" s="10"/>
      <c r="AZ30" s="12"/>
      <c r="BA30" s="12"/>
      <c r="BB30" s="15"/>
      <c r="BC30" s="15"/>
      <c r="BD30" s="10"/>
      <c r="BE30" s="21" t="str">
        <f>IF(COUNTA(AV30:BC30)=0,"",IF(AV30="","E_MISSING_INPUT",IF(AV30="TIMESTAMP",IF(OR(AW30="",AX30="",AY30=""),"E_MISSING_INPUT",IF(OR(NOT(ISNUMBER(AW30)),NOT(ISNUMBER(AX30))),"E_INVALID_DATE",IF(OR(AW30&lt;&gt;INT(AW30),AX30&lt;0,AX30&gt;=1),"E_INVALID_DATE",IF(ISNA(MATCH(AY30,nLIST_Offset,0)),"E_INVALID_DATE","")))),IF(AV30="DATE",IF(AW30="","E_MISSING_INPUT",IF(NOT(ISNUMBER(AW30)),"E_INVALID_DATE",IF(AW30&lt;&gt;INT(AW30),"E_INVALID_DATE",""))),IF(AV30="MONTH",IF(OR(AZ30="",BA30=""),"E_MISSING_INPUT",IF(OR(NOT(ISNUMBER(AZ30)),NOT(ISNUMBER(BA30))),"E_INVALID_DATE",IF(OR(AZ30&lt;1900,AZ30&gt;9999,AZ30&lt;&gt;INT(AZ30),BA30&lt;1,BA30&gt;12,BA30&lt;&gt;INT(BA30)),"E_INVALID_DATE",""))),IF(AV30="YEAR",IF(AZ30="","E_MISSING_INPUT",IF(NOT(ISNUMBER(AZ30)),"E_INVALID_DATE",IF(OR(AZ30&lt;1900,AZ30&gt;9999,AZ30&lt;&gt;INT(AZ30)),"E_INVALID_DATE",""))),IF(AV30="RANGE",IF(OR(BB30="",BC30=""),"E_MISSING_INPUT",IF(OR(NOT(ISNUMBER(BB30)),NOT(ISNUMBER(BC30))),"E_INVALID_DATE",IF(OR(BB30&lt;&gt;INT(BB30),BC30&lt;&gt;INT(BC30)),"E_INVALID_DATE",IF(BB30&gt;BC30,"E_REVERSED_BOUNDS","")))),"E_MISSING_INPUT")))))))</f>
        <v/>
      </c>
      <c r="BF30" s="22">
        <f t="shared" si="12"/>
        <v>0</v>
      </c>
      <c r="BG30" s="22">
        <f t="shared" si="13"/>
        <v>0</v>
      </c>
      <c r="BH30" s="28" t="str">
        <f t="shared" si="14"/>
        <v/>
      </c>
      <c r="BI30" s="28" t="str">
        <f t="shared" si="15"/>
        <v/>
      </c>
      <c r="BJ30" s="22" t="str">
        <f t="shared" si="16"/>
        <v/>
      </c>
      <c r="BK30" s="22" t="str">
        <f t="shared" si="17"/>
        <v/>
      </c>
      <c r="BL30" s="21" t="str">
        <f t="shared" si="18"/>
        <v/>
      </c>
      <c r="BM30" s="22">
        <f>IF(BL30="",0,COUNTIF(nEXP_Key,BL30))</f>
        <v>0</v>
      </c>
      <c r="BN30" s="21" t="str">
        <f t="shared" si="19"/>
        <v/>
      </c>
      <c r="BO30" s="21" t="str">
        <f>IF(BN30="","",BN30&amp;": "&amp;SUBSTITUTE(IFERROR(INDEX(nMSG_Text,MATCH(BN30,nMSG_Code,0)),""),"[input]",IF(D30="","an Exposure_Episode_ID","the date fields required by the selected precision")))</f>
        <v/>
      </c>
    </row>
    <row r="31" spans="1:67" x14ac:dyDescent="0.2">
      <c r="A31" s="10"/>
      <c r="B31" s="12"/>
      <c r="C31" s="10"/>
      <c r="D31" s="10"/>
      <c r="E31" s="10"/>
      <c r="F31" s="17"/>
      <c r="G31" s="10"/>
      <c r="H31" s="17"/>
      <c r="I31" s="17"/>
      <c r="J31" s="10"/>
      <c r="K31" s="17"/>
      <c r="L31" s="10"/>
      <c r="M31" s="10"/>
      <c r="N31" s="17"/>
      <c r="O31" s="15"/>
      <c r="P31" s="26"/>
      <c r="Q31" s="10"/>
      <c r="R31" s="12"/>
      <c r="S31" s="12"/>
      <c r="T31" s="15"/>
      <c r="U31" s="15"/>
      <c r="V31" s="10"/>
      <c r="W31" s="21" t="str">
        <f>IF(COUNTA(N31:U31)=0,"",IF(N31="","E_MISSING_INPUT",IF(N31="TIMESTAMP",IF(OR(O31="",P31="",Q31=""),"E_MISSING_INPUT",IF(OR(NOT(ISNUMBER(O31)),NOT(ISNUMBER(P31))),"E_INVALID_DATE",IF(OR(O31&lt;&gt;INT(O31),P31&lt;0,P31&gt;=1),"E_INVALID_DATE",IF(ISNA(MATCH(Q31,nLIST_Offset,0)),"E_INVALID_DATE","")))),IF(N31="DATE",IF(O31="","E_MISSING_INPUT",IF(NOT(ISNUMBER(O31)),"E_INVALID_DATE",IF(O31&lt;&gt;INT(O31),"E_INVALID_DATE",""))),IF(N31="MONTH",IF(OR(R31="",S31=""),"E_MISSING_INPUT",IF(OR(NOT(ISNUMBER(R31)),NOT(ISNUMBER(S31))),"E_INVALID_DATE",IF(OR(R31&lt;1900,R31&gt;9999,R31&lt;&gt;INT(R31),S31&lt;1,S31&gt;12,S31&lt;&gt;INT(S31)),"E_INVALID_DATE",""))),IF(N31="YEAR",IF(R31="","E_MISSING_INPUT",IF(NOT(ISNUMBER(R31)),"E_INVALID_DATE",IF(OR(R31&lt;1900,R31&gt;9999,R31&lt;&gt;INT(R31)),"E_INVALID_DATE",""))),IF(N31="RANGE",IF(OR(T31="",U31=""),"E_MISSING_INPUT",IF(OR(NOT(ISNUMBER(T31)),NOT(ISNUMBER(U31))),"E_INVALID_DATE",IF(OR(T31&lt;&gt;INT(T31),U31&lt;&gt;INT(U31)),"E_INVALID_DATE",IF(T31&gt;U31,"E_REVERSED_BOUNDS","")))),"E_MISSING_INPUT")))))))</f>
        <v/>
      </c>
      <c r="X31" s="22">
        <f t="shared" si="0"/>
        <v>0</v>
      </c>
      <c r="Y31" s="22">
        <f t="shared" si="1"/>
        <v>0</v>
      </c>
      <c r="Z31" s="28" t="str">
        <f t="shared" si="2"/>
        <v/>
      </c>
      <c r="AA31" s="28" t="str">
        <f t="shared" si="3"/>
        <v/>
      </c>
      <c r="AB31" s="22" t="str">
        <f t="shared" si="4"/>
        <v/>
      </c>
      <c r="AC31" s="22" t="str">
        <f t="shared" si="5"/>
        <v/>
      </c>
      <c r="AD31" s="10"/>
      <c r="AE31" s="17"/>
      <c r="AF31" s="15"/>
      <c r="AG31" s="26"/>
      <c r="AH31" s="10"/>
      <c r="AI31" s="12"/>
      <c r="AJ31" s="12"/>
      <c r="AK31" s="15"/>
      <c r="AL31" s="15"/>
      <c r="AM31" s="10"/>
      <c r="AN31" s="21" t="str">
        <f>IF(COUNTA(AE31:AL31)=0,"",IF(AE31="","E_MISSING_INPUT",IF(AE31="TIMESTAMP",IF(OR(AF31="",AG31="",AH31=""),"E_MISSING_INPUT",IF(OR(NOT(ISNUMBER(AF31)),NOT(ISNUMBER(AG31))),"E_INVALID_DATE",IF(OR(AF31&lt;&gt;INT(AF31),AG31&lt;0,AG31&gt;=1),"E_INVALID_DATE",IF(ISNA(MATCH(AH31,nLIST_Offset,0)),"E_INVALID_DATE","")))),IF(AE31="DATE",IF(AF31="","E_MISSING_INPUT",IF(NOT(ISNUMBER(AF31)),"E_INVALID_DATE",IF(AF31&lt;&gt;INT(AF31),"E_INVALID_DATE",""))),IF(AE31="MONTH",IF(OR(AI31="",AJ31=""),"E_MISSING_INPUT",IF(OR(NOT(ISNUMBER(AI31)),NOT(ISNUMBER(AJ31))),"E_INVALID_DATE",IF(OR(AI31&lt;1900,AI31&gt;9999,AI31&lt;&gt;INT(AI31),AJ31&lt;1,AJ31&gt;12,AJ31&lt;&gt;INT(AJ31)),"E_INVALID_DATE",""))),IF(AE31="YEAR",IF(AI31="","E_MISSING_INPUT",IF(NOT(ISNUMBER(AI31)),"E_INVALID_DATE",IF(OR(AI31&lt;1900,AI31&gt;9999,AI31&lt;&gt;INT(AI31)),"E_INVALID_DATE",""))),IF(AE31="RANGE",IF(OR(AK31="",AL31=""),"E_MISSING_INPUT",IF(OR(NOT(ISNUMBER(AK31)),NOT(ISNUMBER(AL31))),"E_INVALID_DATE",IF(OR(AK31&lt;&gt;INT(AK31),AL31&lt;&gt;INT(AL31)),"E_INVALID_DATE",IF(AK31&gt;AL31,"E_REVERSED_BOUNDS","")))),"E_MISSING_INPUT")))))))</f>
        <v/>
      </c>
      <c r="AO31" s="22">
        <f t="shared" si="6"/>
        <v>0</v>
      </c>
      <c r="AP31" s="22">
        <f t="shared" si="7"/>
        <v>0</v>
      </c>
      <c r="AQ31" s="28" t="str">
        <f t="shared" si="8"/>
        <v/>
      </c>
      <c r="AR31" s="28" t="str">
        <f t="shared" si="9"/>
        <v/>
      </c>
      <c r="AS31" s="22" t="str">
        <f t="shared" si="10"/>
        <v/>
      </c>
      <c r="AT31" s="22" t="str">
        <f t="shared" si="11"/>
        <v/>
      </c>
      <c r="AU31" s="10"/>
      <c r="AV31" s="17"/>
      <c r="AW31" s="15"/>
      <c r="AX31" s="26"/>
      <c r="AY31" s="10"/>
      <c r="AZ31" s="12"/>
      <c r="BA31" s="12"/>
      <c r="BB31" s="15"/>
      <c r="BC31" s="15"/>
      <c r="BD31" s="10"/>
      <c r="BE31" s="21" t="str">
        <f>IF(COUNTA(AV31:BC31)=0,"",IF(AV31="","E_MISSING_INPUT",IF(AV31="TIMESTAMP",IF(OR(AW31="",AX31="",AY31=""),"E_MISSING_INPUT",IF(OR(NOT(ISNUMBER(AW31)),NOT(ISNUMBER(AX31))),"E_INVALID_DATE",IF(OR(AW31&lt;&gt;INT(AW31),AX31&lt;0,AX31&gt;=1),"E_INVALID_DATE",IF(ISNA(MATCH(AY31,nLIST_Offset,0)),"E_INVALID_DATE","")))),IF(AV31="DATE",IF(AW31="","E_MISSING_INPUT",IF(NOT(ISNUMBER(AW31)),"E_INVALID_DATE",IF(AW31&lt;&gt;INT(AW31),"E_INVALID_DATE",""))),IF(AV31="MONTH",IF(OR(AZ31="",BA31=""),"E_MISSING_INPUT",IF(OR(NOT(ISNUMBER(AZ31)),NOT(ISNUMBER(BA31))),"E_INVALID_DATE",IF(OR(AZ31&lt;1900,AZ31&gt;9999,AZ31&lt;&gt;INT(AZ31),BA31&lt;1,BA31&gt;12,BA31&lt;&gt;INT(BA31)),"E_INVALID_DATE",""))),IF(AV31="YEAR",IF(AZ31="","E_MISSING_INPUT",IF(NOT(ISNUMBER(AZ31)),"E_INVALID_DATE",IF(OR(AZ31&lt;1900,AZ31&gt;9999,AZ31&lt;&gt;INT(AZ31)),"E_INVALID_DATE",""))),IF(AV31="RANGE",IF(OR(BB31="",BC31=""),"E_MISSING_INPUT",IF(OR(NOT(ISNUMBER(BB31)),NOT(ISNUMBER(BC31))),"E_INVALID_DATE",IF(OR(BB31&lt;&gt;INT(BB31),BC31&lt;&gt;INT(BC31)),"E_INVALID_DATE",IF(BB31&gt;BC31,"E_REVERSED_BOUNDS","")))),"E_MISSING_INPUT")))))))</f>
        <v/>
      </c>
      <c r="BF31" s="22">
        <f t="shared" si="12"/>
        <v>0</v>
      </c>
      <c r="BG31" s="22">
        <f t="shared" si="13"/>
        <v>0</v>
      </c>
      <c r="BH31" s="28" t="str">
        <f t="shared" si="14"/>
        <v/>
      </c>
      <c r="BI31" s="28" t="str">
        <f t="shared" si="15"/>
        <v/>
      </c>
      <c r="BJ31" s="22" t="str">
        <f t="shared" si="16"/>
        <v/>
      </c>
      <c r="BK31" s="22" t="str">
        <f t="shared" si="17"/>
        <v/>
      </c>
      <c r="BL31" s="21" t="str">
        <f t="shared" si="18"/>
        <v/>
      </c>
      <c r="BM31" s="22">
        <f>IF(BL31="",0,COUNTIF(nEXP_Key,BL31))</f>
        <v>0</v>
      </c>
      <c r="BN31" s="21" t="str">
        <f t="shared" si="19"/>
        <v/>
      </c>
      <c r="BO31" s="21" t="str">
        <f>IF(BN31="","",BN31&amp;": "&amp;SUBSTITUTE(IFERROR(INDEX(nMSG_Text,MATCH(BN31,nMSG_Code,0)),""),"[input]",IF(D31="","an Exposure_Episode_ID","the date fields required by the selected precision")))</f>
        <v/>
      </c>
    </row>
    <row r="32" spans="1:67" x14ac:dyDescent="0.2">
      <c r="A32" s="10"/>
      <c r="B32" s="12"/>
      <c r="C32" s="10"/>
      <c r="D32" s="10"/>
      <c r="E32" s="10"/>
      <c r="F32" s="17"/>
      <c r="G32" s="10"/>
      <c r="H32" s="17"/>
      <c r="I32" s="17"/>
      <c r="J32" s="10"/>
      <c r="K32" s="17"/>
      <c r="L32" s="10"/>
      <c r="M32" s="10"/>
      <c r="N32" s="17"/>
      <c r="O32" s="15"/>
      <c r="P32" s="26"/>
      <c r="Q32" s="10"/>
      <c r="R32" s="12"/>
      <c r="S32" s="12"/>
      <c r="T32" s="15"/>
      <c r="U32" s="15"/>
      <c r="V32" s="10"/>
      <c r="W32" s="21" t="str">
        <f>IF(COUNTA(N32:U32)=0,"",IF(N32="","E_MISSING_INPUT",IF(N32="TIMESTAMP",IF(OR(O32="",P32="",Q32=""),"E_MISSING_INPUT",IF(OR(NOT(ISNUMBER(O32)),NOT(ISNUMBER(P32))),"E_INVALID_DATE",IF(OR(O32&lt;&gt;INT(O32),P32&lt;0,P32&gt;=1),"E_INVALID_DATE",IF(ISNA(MATCH(Q32,nLIST_Offset,0)),"E_INVALID_DATE","")))),IF(N32="DATE",IF(O32="","E_MISSING_INPUT",IF(NOT(ISNUMBER(O32)),"E_INVALID_DATE",IF(O32&lt;&gt;INT(O32),"E_INVALID_DATE",""))),IF(N32="MONTH",IF(OR(R32="",S32=""),"E_MISSING_INPUT",IF(OR(NOT(ISNUMBER(R32)),NOT(ISNUMBER(S32))),"E_INVALID_DATE",IF(OR(R32&lt;1900,R32&gt;9999,R32&lt;&gt;INT(R32),S32&lt;1,S32&gt;12,S32&lt;&gt;INT(S32)),"E_INVALID_DATE",""))),IF(N32="YEAR",IF(R32="","E_MISSING_INPUT",IF(NOT(ISNUMBER(R32)),"E_INVALID_DATE",IF(OR(R32&lt;1900,R32&gt;9999,R32&lt;&gt;INT(R32)),"E_INVALID_DATE",""))),IF(N32="RANGE",IF(OR(T32="",U32=""),"E_MISSING_INPUT",IF(OR(NOT(ISNUMBER(T32)),NOT(ISNUMBER(U32))),"E_INVALID_DATE",IF(OR(T32&lt;&gt;INT(T32),U32&lt;&gt;INT(U32)),"E_INVALID_DATE",IF(T32&gt;U32,"E_REVERSED_BOUNDS","")))),"E_MISSING_INPUT")))))))</f>
        <v/>
      </c>
      <c r="X32" s="22">
        <f t="shared" si="0"/>
        <v>0</v>
      </c>
      <c r="Y32" s="22">
        <f t="shared" si="1"/>
        <v>0</v>
      </c>
      <c r="Z32" s="28" t="str">
        <f t="shared" si="2"/>
        <v/>
      </c>
      <c r="AA32" s="28" t="str">
        <f t="shared" si="3"/>
        <v/>
      </c>
      <c r="AB32" s="22" t="str">
        <f t="shared" si="4"/>
        <v/>
      </c>
      <c r="AC32" s="22" t="str">
        <f t="shared" si="5"/>
        <v/>
      </c>
      <c r="AD32" s="10"/>
      <c r="AE32" s="17"/>
      <c r="AF32" s="15"/>
      <c r="AG32" s="26"/>
      <c r="AH32" s="10"/>
      <c r="AI32" s="12"/>
      <c r="AJ32" s="12"/>
      <c r="AK32" s="15"/>
      <c r="AL32" s="15"/>
      <c r="AM32" s="10"/>
      <c r="AN32" s="21" t="str">
        <f>IF(COUNTA(AE32:AL32)=0,"",IF(AE32="","E_MISSING_INPUT",IF(AE32="TIMESTAMP",IF(OR(AF32="",AG32="",AH32=""),"E_MISSING_INPUT",IF(OR(NOT(ISNUMBER(AF32)),NOT(ISNUMBER(AG32))),"E_INVALID_DATE",IF(OR(AF32&lt;&gt;INT(AF32),AG32&lt;0,AG32&gt;=1),"E_INVALID_DATE",IF(ISNA(MATCH(AH32,nLIST_Offset,0)),"E_INVALID_DATE","")))),IF(AE32="DATE",IF(AF32="","E_MISSING_INPUT",IF(NOT(ISNUMBER(AF32)),"E_INVALID_DATE",IF(AF32&lt;&gt;INT(AF32),"E_INVALID_DATE",""))),IF(AE32="MONTH",IF(OR(AI32="",AJ32=""),"E_MISSING_INPUT",IF(OR(NOT(ISNUMBER(AI32)),NOT(ISNUMBER(AJ32))),"E_INVALID_DATE",IF(OR(AI32&lt;1900,AI32&gt;9999,AI32&lt;&gt;INT(AI32),AJ32&lt;1,AJ32&gt;12,AJ32&lt;&gt;INT(AJ32)),"E_INVALID_DATE",""))),IF(AE32="YEAR",IF(AI32="","E_MISSING_INPUT",IF(NOT(ISNUMBER(AI32)),"E_INVALID_DATE",IF(OR(AI32&lt;1900,AI32&gt;9999,AI32&lt;&gt;INT(AI32)),"E_INVALID_DATE",""))),IF(AE32="RANGE",IF(OR(AK32="",AL32=""),"E_MISSING_INPUT",IF(OR(NOT(ISNUMBER(AK32)),NOT(ISNUMBER(AL32))),"E_INVALID_DATE",IF(OR(AK32&lt;&gt;INT(AK32),AL32&lt;&gt;INT(AL32)),"E_INVALID_DATE",IF(AK32&gt;AL32,"E_REVERSED_BOUNDS","")))),"E_MISSING_INPUT")))))))</f>
        <v/>
      </c>
      <c r="AO32" s="22">
        <f t="shared" si="6"/>
        <v>0</v>
      </c>
      <c r="AP32" s="22">
        <f t="shared" si="7"/>
        <v>0</v>
      </c>
      <c r="AQ32" s="28" t="str">
        <f t="shared" si="8"/>
        <v/>
      </c>
      <c r="AR32" s="28" t="str">
        <f t="shared" si="9"/>
        <v/>
      </c>
      <c r="AS32" s="22" t="str">
        <f t="shared" si="10"/>
        <v/>
      </c>
      <c r="AT32" s="22" t="str">
        <f t="shared" si="11"/>
        <v/>
      </c>
      <c r="AU32" s="10"/>
      <c r="AV32" s="17"/>
      <c r="AW32" s="15"/>
      <c r="AX32" s="26"/>
      <c r="AY32" s="10"/>
      <c r="AZ32" s="12"/>
      <c r="BA32" s="12"/>
      <c r="BB32" s="15"/>
      <c r="BC32" s="15"/>
      <c r="BD32" s="10"/>
      <c r="BE32" s="21" t="str">
        <f>IF(COUNTA(AV32:BC32)=0,"",IF(AV32="","E_MISSING_INPUT",IF(AV32="TIMESTAMP",IF(OR(AW32="",AX32="",AY32=""),"E_MISSING_INPUT",IF(OR(NOT(ISNUMBER(AW32)),NOT(ISNUMBER(AX32))),"E_INVALID_DATE",IF(OR(AW32&lt;&gt;INT(AW32),AX32&lt;0,AX32&gt;=1),"E_INVALID_DATE",IF(ISNA(MATCH(AY32,nLIST_Offset,0)),"E_INVALID_DATE","")))),IF(AV32="DATE",IF(AW32="","E_MISSING_INPUT",IF(NOT(ISNUMBER(AW32)),"E_INVALID_DATE",IF(AW32&lt;&gt;INT(AW32),"E_INVALID_DATE",""))),IF(AV32="MONTH",IF(OR(AZ32="",BA32=""),"E_MISSING_INPUT",IF(OR(NOT(ISNUMBER(AZ32)),NOT(ISNUMBER(BA32))),"E_INVALID_DATE",IF(OR(AZ32&lt;1900,AZ32&gt;9999,AZ32&lt;&gt;INT(AZ32),BA32&lt;1,BA32&gt;12,BA32&lt;&gt;INT(BA32)),"E_INVALID_DATE",""))),IF(AV32="YEAR",IF(AZ32="","E_MISSING_INPUT",IF(NOT(ISNUMBER(AZ32)),"E_INVALID_DATE",IF(OR(AZ32&lt;1900,AZ32&gt;9999,AZ32&lt;&gt;INT(AZ32)),"E_INVALID_DATE",""))),IF(AV32="RANGE",IF(OR(BB32="",BC32=""),"E_MISSING_INPUT",IF(OR(NOT(ISNUMBER(BB32)),NOT(ISNUMBER(BC32))),"E_INVALID_DATE",IF(OR(BB32&lt;&gt;INT(BB32),BC32&lt;&gt;INT(BC32)),"E_INVALID_DATE",IF(BB32&gt;BC32,"E_REVERSED_BOUNDS","")))),"E_MISSING_INPUT")))))))</f>
        <v/>
      </c>
      <c r="BF32" s="22">
        <f t="shared" si="12"/>
        <v>0</v>
      </c>
      <c r="BG32" s="22">
        <f t="shared" si="13"/>
        <v>0</v>
      </c>
      <c r="BH32" s="28" t="str">
        <f t="shared" si="14"/>
        <v/>
      </c>
      <c r="BI32" s="28" t="str">
        <f t="shared" si="15"/>
        <v/>
      </c>
      <c r="BJ32" s="22" t="str">
        <f t="shared" si="16"/>
        <v/>
      </c>
      <c r="BK32" s="22" t="str">
        <f t="shared" si="17"/>
        <v/>
      </c>
      <c r="BL32" s="21" t="str">
        <f t="shared" si="18"/>
        <v/>
      </c>
      <c r="BM32" s="22">
        <f>IF(BL32="",0,COUNTIF(nEXP_Key,BL32))</f>
        <v>0</v>
      </c>
      <c r="BN32" s="21" t="str">
        <f t="shared" si="19"/>
        <v/>
      </c>
      <c r="BO32" s="21" t="str">
        <f>IF(BN32="","",BN32&amp;": "&amp;SUBSTITUTE(IFERROR(INDEX(nMSG_Text,MATCH(BN32,nMSG_Code,0)),""),"[input]",IF(D32="","an Exposure_Episode_ID","the date fields required by the selected precision")))</f>
        <v/>
      </c>
    </row>
    <row r="33" spans="1:67" x14ac:dyDescent="0.2">
      <c r="A33" s="10"/>
      <c r="B33" s="12"/>
      <c r="C33" s="10"/>
      <c r="D33" s="10"/>
      <c r="E33" s="10"/>
      <c r="F33" s="17"/>
      <c r="G33" s="10"/>
      <c r="H33" s="17"/>
      <c r="I33" s="17"/>
      <c r="J33" s="10"/>
      <c r="K33" s="17"/>
      <c r="L33" s="10"/>
      <c r="M33" s="10"/>
      <c r="N33" s="17"/>
      <c r="O33" s="15"/>
      <c r="P33" s="26"/>
      <c r="Q33" s="10"/>
      <c r="R33" s="12"/>
      <c r="S33" s="12"/>
      <c r="T33" s="15"/>
      <c r="U33" s="15"/>
      <c r="V33" s="10"/>
      <c r="W33" s="21" t="str">
        <f>IF(COUNTA(N33:U33)=0,"",IF(N33="","E_MISSING_INPUT",IF(N33="TIMESTAMP",IF(OR(O33="",P33="",Q33=""),"E_MISSING_INPUT",IF(OR(NOT(ISNUMBER(O33)),NOT(ISNUMBER(P33))),"E_INVALID_DATE",IF(OR(O33&lt;&gt;INT(O33),P33&lt;0,P33&gt;=1),"E_INVALID_DATE",IF(ISNA(MATCH(Q33,nLIST_Offset,0)),"E_INVALID_DATE","")))),IF(N33="DATE",IF(O33="","E_MISSING_INPUT",IF(NOT(ISNUMBER(O33)),"E_INVALID_DATE",IF(O33&lt;&gt;INT(O33),"E_INVALID_DATE",""))),IF(N33="MONTH",IF(OR(R33="",S33=""),"E_MISSING_INPUT",IF(OR(NOT(ISNUMBER(R33)),NOT(ISNUMBER(S33))),"E_INVALID_DATE",IF(OR(R33&lt;1900,R33&gt;9999,R33&lt;&gt;INT(R33),S33&lt;1,S33&gt;12,S33&lt;&gt;INT(S33)),"E_INVALID_DATE",""))),IF(N33="YEAR",IF(R33="","E_MISSING_INPUT",IF(NOT(ISNUMBER(R33)),"E_INVALID_DATE",IF(OR(R33&lt;1900,R33&gt;9999,R33&lt;&gt;INT(R33)),"E_INVALID_DATE",""))),IF(N33="RANGE",IF(OR(T33="",U33=""),"E_MISSING_INPUT",IF(OR(NOT(ISNUMBER(T33)),NOT(ISNUMBER(U33))),"E_INVALID_DATE",IF(OR(T33&lt;&gt;INT(T33),U33&lt;&gt;INT(U33)),"E_INVALID_DATE",IF(T33&gt;U33,"E_REVERSED_BOUNDS","")))),"E_MISSING_INPUT")))))))</f>
        <v/>
      </c>
      <c r="X33" s="22">
        <f t="shared" si="0"/>
        <v>0</v>
      </c>
      <c r="Y33" s="22">
        <f t="shared" si="1"/>
        <v>0</v>
      </c>
      <c r="Z33" s="28" t="str">
        <f t="shared" si="2"/>
        <v/>
      </c>
      <c r="AA33" s="28" t="str">
        <f t="shared" si="3"/>
        <v/>
      </c>
      <c r="AB33" s="22" t="str">
        <f t="shared" si="4"/>
        <v/>
      </c>
      <c r="AC33" s="22" t="str">
        <f t="shared" si="5"/>
        <v/>
      </c>
      <c r="AD33" s="10"/>
      <c r="AE33" s="17"/>
      <c r="AF33" s="15"/>
      <c r="AG33" s="26"/>
      <c r="AH33" s="10"/>
      <c r="AI33" s="12"/>
      <c r="AJ33" s="12"/>
      <c r="AK33" s="15"/>
      <c r="AL33" s="15"/>
      <c r="AM33" s="10"/>
      <c r="AN33" s="21" t="str">
        <f>IF(COUNTA(AE33:AL33)=0,"",IF(AE33="","E_MISSING_INPUT",IF(AE33="TIMESTAMP",IF(OR(AF33="",AG33="",AH33=""),"E_MISSING_INPUT",IF(OR(NOT(ISNUMBER(AF33)),NOT(ISNUMBER(AG33))),"E_INVALID_DATE",IF(OR(AF33&lt;&gt;INT(AF33),AG33&lt;0,AG33&gt;=1),"E_INVALID_DATE",IF(ISNA(MATCH(AH33,nLIST_Offset,0)),"E_INVALID_DATE","")))),IF(AE33="DATE",IF(AF33="","E_MISSING_INPUT",IF(NOT(ISNUMBER(AF33)),"E_INVALID_DATE",IF(AF33&lt;&gt;INT(AF33),"E_INVALID_DATE",""))),IF(AE33="MONTH",IF(OR(AI33="",AJ33=""),"E_MISSING_INPUT",IF(OR(NOT(ISNUMBER(AI33)),NOT(ISNUMBER(AJ33))),"E_INVALID_DATE",IF(OR(AI33&lt;1900,AI33&gt;9999,AI33&lt;&gt;INT(AI33),AJ33&lt;1,AJ33&gt;12,AJ33&lt;&gt;INT(AJ33)),"E_INVALID_DATE",""))),IF(AE33="YEAR",IF(AI33="","E_MISSING_INPUT",IF(NOT(ISNUMBER(AI33)),"E_INVALID_DATE",IF(OR(AI33&lt;1900,AI33&gt;9999,AI33&lt;&gt;INT(AI33)),"E_INVALID_DATE",""))),IF(AE33="RANGE",IF(OR(AK33="",AL33=""),"E_MISSING_INPUT",IF(OR(NOT(ISNUMBER(AK33)),NOT(ISNUMBER(AL33))),"E_INVALID_DATE",IF(OR(AK33&lt;&gt;INT(AK33),AL33&lt;&gt;INT(AL33)),"E_INVALID_DATE",IF(AK33&gt;AL33,"E_REVERSED_BOUNDS","")))),"E_MISSING_INPUT")))))))</f>
        <v/>
      </c>
      <c r="AO33" s="22">
        <f t="shared" si="6"/>
        <v>0</v>
      </c>
      <c r="AP33" s="22">
        <f t="shared" si="7"/>
        <v>0</v>
      </c>
      <c r="AQ33" s="28" t="str">
        <f t="shared" si="8"/>
        <v/>
      </c>
      <c r="AR33" s="28" t="str">
        <f t="shared" si="9"/>
        <v/>
      </c>
      <c r="AS33" s="22" t="str">
        <f t="shared" si="10"/>
        <v/>
      </c>
      <c r="AT33" s="22" t="str">
        <f t="shared" si="11"/>
        <v/>
      </c>
      <c r="AU33" s="10"/>
      <c r="AV33" s="17"/>
      <c r="AW33" s="15"/>
      <c r="AX33" s="26"/>
      <c r="AY33" s="10"/>
      <c r="AZ33" s="12"/>
      <c r="BA33" s="12"/>
      <c r="BB33" s="15"/>
      <c r="BC33" s="15"/>
      <c r="BD33" s="10"/>
      <c r="BE33" s="21" t="str">
        <f>IF(COUNTA(AV33:BC33)=0,"",IF(AV33="","E_MISSING_INPUT",IF(AV33="TIMESTAMP",IF(OR(AW33="",AX33="",AY33=""),"E_MISSING_INPUT",IF(OR(NOT(ISNUMBER(AW33)),NOT(ISNUMBER(AX33))),"E_INVALID_DATE",IF(OR(AW33&lt;&gt;INT(AW33),AX33&lt;0,AX33&gt;=1),"E_INVALID_DATE",IF(ISNA(MATCH(AY33,nLIST_Offset,0)),"E_INVALID_DATE","")))),IF(AV33="DATE",IF(AW33="","E_MISSING_INPUT",IF(NOT(ISNUMBER(AW33)),"E_INVALID_DATE",IF(AW33&lt;&gt;INT(AW33),"E_INVALID_DATE",""))),IF(AV33="MONTH",IF(OR(AZ33="",BA33=""),"E_MISSING_INPUT",IF(OR(NOT(ISNUMBER(AZ33)),NOT(ISNUMBER(BA33))),"E_INVALID_DATE",IF(OR(AZ33&lt;1900,AZ33&gt;9999,AZ33&lt;&gt;INT(AZ33),BA33&lt;1,BA33&gt;12,BA33&lt;&gt;INT(BA33)),"E_INVALID_DATE",""))),IF(AV33="YEAR",IF(AZ33="","E_MISSING_INPUT",IF(NOT(ISNUMBER(AZ33)),"E_INVALID_DATE",IF(OR(AZ33&lt;1900,AZ33&gt;9999,AZ33&lt;&gt;INT(AZ33)),"E_INVALID_DATE",""))),IF(AV33="RANGE",IF(OR(BB33="",BC33=""),"E_MISSING_INPUT",IF(OR(NOT(ISNUMBER(BB33)),NOT(ISNUMBER(BC33))),"E_INVALID_DATE",IF(OR(BB33&lt;&gt;INT(BB33),BC33&lt;&gt;INT(BC33)),"E_INVALID_DATE",IF(BB33&gt;BC33,"E_REVERSED_BOUNDS","")))),"E_MISSING_INPUT")))))))</f>
        <v/>
      </c>
      <c r="BF33" s="22">
        <f t="shared" si="12"/>
        <v>0</v>
      </c>
      <c r="BG33" s="22">
        <f t="shared" si="13"/>
        <v>0</v>
      </c>
      <c r="BH33" s="28" t="str">
        <f t="shared" si="14"/>
        <v/>
      </c>
      <c r="BI33" s="28" t="str">
        <f t="shared" si="15"/>
        <v/>
      </c>
      <c r="BJ33" s="22" t="str">
        <f t="shared" si="16"/>
        <v/>
      </c>
      <c r="BK33" s="22" t="str">
        <f t="shared" si="17"/>
        <v/>
      </c>
      <c r="BL33" s="21" t="str">
        <f t="shared" si="18"/>
        <v/>
      </c>
      <c r="BM33" s="22">
        <f>IF(BL33="",0,COUNTIF(nEXP_Key,BL33))</f>
        <v>0</v>
      </c>
      <c r="BN33" s="21" t="str">
        <f t="shared" si="19"/>
        <v/>
      </c>
      <c r="BO33" s="21" t="str">
        <f>IF(BN33="","",BN33&amp;": "&amp;SUBSTITUTE(IFERROR(INDEX(nMSG_Text,MATCH(BN33,nMSG_Code,0)),""),"[input]",IF(D33="","an Exposure_Episode_ID","the date fields required by the selected precision")))</f>
        <v/>
      </c>
    </row>
    <row r="34" spans="1:67" x14ac:dyDescent="0.2">
      <c r="A34" s="10"/>
      <c r="B34" s="12"/>
      <c r="C34" s="10"/>
      <c r="D34" s="10"/>
      <c r="E34" s="10"/>
      <c r="F34" s="17"/>
      <c r="G34" s="10"/>
      <c r="H34" s="17"/>
      <c r="I34" s="17"/>
      <c r="J34" s="10"/>
      <c r="K34" s="17"/>
      <c r="L34" s="10"/>
      <c r="M34" s="10"/>
      <c r="N34" s="17"/>
      <c r="O34" s="15"/>
      <c r="P34" s="26"/>
      <c r="Q34" s="10"/>
      <c r="R34" s="12"/>
      <c r="S34" s="12"/>
      <c r="T34" s="15"/>
      <c r="U34" s="15"/>
      <c r="V34" s="10"/>
      <c r="W34" s="21" t="str">
        <f>IF(COUNTA(N34:U34)=0,"",IF(N34="","E_MISSING_INPUT",IF(N34="TIMESTAMP",IF(OR(O34="",P34="",Q34=""),"E_MISSING_INPUT",IF(OR(NOT(ISNUMBER(O34)),NOT(ISNUMBER(P34))),"E_INVALID_DATE",IF(OR(O34&lt;&gt;INT(O34),P34&lt;0,P34&gt;=1),"E_INVALID_DATE",IF(ISNA(MATCH(Q34,nLIST_Offset,0)),"E_INVALID_DATE","")))),IF(N34="DATE",IF(O34="","E_MISSING_INPUT",IF(NOT(ISNUMBER(O34)),"E_INVALID_DATE",IF(O34&lt;&gt;INT(O34),"E_INVALID_DATE",""))),IF(N34="MONTH",IF(OR(R34="",S34=""),"E_MISSING_INPUT",IF(OR(NOT(ISNUMBER(R34)),NOT(ISNUMBER(S34))),"E_INVALID_DATE",IF(OR(R34&lt;1900,R34&gt;9999,R34&lt;&gt;INT(R34),S34&lt;1,S34&gt;12,S34&lt;&gt;INT(S34)),"E_INVALID_DATE",""))),IF(N34="YEAR",IF(R34="","E_MISSING_INPUT",IF(NOT(ISNUMBER(R34)),"E_INVALID_DATE",IF(OR(R34&lt;1900,R34&gt;9999,R34&lt;&gt;INT(R34)),"E_INVALID_DATE",""))),IF(N34="RANGE",IF(OR(T34="",U34=""),"E_MISSING_INPUT",IF(OR(NOT(ISNUMBER(T34)),NOT(ISNUMBER(U34))),"E_INVALID_DATE",IF(OR(T34&lt;&gt;INT(T34),U34&lt;&gt;INT(U34)),"E_INVALID_DATE",IF(T34&gt;U34,"E_REVERSED_BOUNDS","")))),"E_MISSING_INPUT")))))))</f>
        <v/>
      </c>
      <c r="X34" s="22">
        <f t="shared" si="0"/>
        <v>0</v>
      </c>
      <c r="Y34" s="22">
        <f t="shared" si="1"/>
        <v>0</v>
      </c>
      <c r="Z34" s="28" t="str">
        <f t="shared" si="2"/>
        <v/>
      </c>
      <c r="AA34" s="28" t="str">
        <f t="shared" si="3"/>
        <v/>
      </c>
      <c r="AB34" s="22" t="str">
        <f t="shared" si="4"/>
        <v/>
      </c>
      <c r="AC34" s="22" t="str">
        <f t="shared" si="5"/>
        <v/>
      </c>
      <c r="AD34" s="10"/>
      <c r="AE34" s="17"/>
      <c r="AF34" s="15"/>
      <c r="AG34" s="26"/>
      <c r="AH34" s="10"/>
      <c r="AI34" s="12"/>
      <c r="AJ34" s="12"/>
      <c r="AK34" s="15"/>
      <c r="AL34" s="15"/>
      <c r="AM34" s="10"/>
      <c r="AN34" s="21" t="str">
        <f>IF(COUNTA(AE34:AL34)=0,"",IF(AE34="","E_MISSING_INPUT",IF(AE34="TIMESTAMP",IF(OR(AF34="",AG34="",AH34=""),"E_MISSING_INPUT",IF(OR(NOT(ISNUMBER(AF34)),NOT(ISNUMBER(AG34))),"E_INVALID_DATE",IF(OR(AF34&lt;&gt;INT(AF34),AG34&lt;0,AG34&gt;=1),"E_INVALID_DATE",IF(ISNA(MATCH(AH34,nLIST_Offset,0)),"E_INVALID_DATE","")))),IF(AE34="DATE",IF(AF34="","E_MISSING_INPUT",IF(NOT(ISNUMBER(AF34)),"E_INVALID_DATE",IF(AF34&lt;&gt;INT(AF34),"E_INVALID_DATE",""))),IF(AE34="MONTH",IF(OR(AI34="",AJ34=""),"E_MISSING_INPUT",IF(OR(NOT(ISNUMBER(AI34)),NOT(ISNUMBER(AJ34))),"E_INVALID_DATE",IF(OR(AI34&lt;1900,AI34&gt;9999,AI34&lt;&gt;INT(AI34),AJ34&lt;1,AJ34&gt;12,AJ34&lt;&gt;INT(AJ34)),"E_INVALID_DATE",""))),IF(AE34="YEAR",IF(AI34="","E_MISSING_INPUT",IF(NOT(ISNUMBER(AI34)),"E_INVALID_DATE",IF(OR(AI34&lt;1900,AI34&gt;9999,AI34&lt;&gt;INT(AI34)),"E_INVALID_DATE",""))),IF(AE34="RANGE",IF(OR(AK34="",AL34=""),"E_MISSING_INPUT",IF(OR(NOT(ISNUMBER(AK34)),NOT(ISNUMBER(AL34))),"E_INVALID_DATE",IF(OR(AK34&lt;&gt;INT(AK34),AL34&lt;&gt;INT(AL34)),"E_INVALID_DATE",IF(AK34&gt;AL34,"E_REVERSED_BOUNDS","")))),"E_MISSING_INPUT")))))))</f>
        <v/>
      </c>
      <c r="AO34" s="22">
        <f t="shared" si="6"/>
        <v>0</v>
      </c>
      <c r="AP34" s="22">
        <f t="shared" si="7"/>
        <v>0</v>
      </c>
      <c r="AQ34" s="28" t="str">
        <f t="shared" si="8"/>
        <v/>
      </c>
      <c r="AR34" s="28" t="str">
        <f t="shared" si="9"/>
        <v/>
      </c>
      <c r="AS34" s="22" t="str">
        <f t="shared" si="10"/>
        <v/>
      </c>
      <c r="AT34" s="22" t="str">
        <f t="shared" si="11"/>
        <v/>
      </c>
      <c r="AU34" s="10"/>
      <c r="AV34" s="17"/>
      <c r="AW34" s="15"/>
      <c r="AX34" s="26"/>
      <c r="AY34" s="10"/>
      <c r="AZ34" s="12"/>
      <c r="BA34" s="12"/>
      <c r="BB34" s="15"/>
      <c r="BC34" s="15"/>
      <c r="BD34" s="10"/>
      <c r="BE34" s="21" t="str">
        <f>IF(COUNTA(AV34:BC34)=0,"",IF(AV34="","E_MISSING_INPUT",IF(AV34="TIMESTAMP",IF(OR(AW34="",AX34="",AY34=""),"E_MISSING_INPUT",IF(OR(NOT(ISNUMBER(AW34)),NOT(ISNUMBER(AX34))),"E_INVALID_DATE",IF(OR(AW34&lt;&gt;INT(AW34),AX34&lt;0,AX34&gt;=1),"E_INVALID_DATE",IF(ISNA(MATCH(AY34,nLIST_Offset,0)),"E_INVALID_DATE","")))),IF(AV34="DATE",IF(AW34="","E_MISSING_INPUT",IF(NOT(ISNUMBER(AW34)),"E_INVALID_DATE",IF(AW34&lt;&gt;INT(AW34),"E_INVALID_DATE",""))),IF(AV34="MONTH",IF(OR(AZ34="",BA34=""),"E_MISSING_INPUT",IF(OR(NOT(ISNUMBER(AZ34)),NOT(ISNUMBER(BA34))),"E_INVALID_DATE",IF(OR(AZ34&lt;1900,AZ34&gt;9999,AZ34&lt;&gt;INT(AZ34),BA34&lt;1,BA34&gt;12,BA34&lt;&gt;INT(BA34)),"E_INVALID_DATE",""))),IF(AV34="YEAR",IF(AZ34="","E_MISSING_INPUT",IF(NOT(ISNUMBER(AZ34)),"E_INVALID_DATE",IF(OR(AZ34&lt;1900,AZ34&gt;9999,AZ34&lt;&gt;INT(AZ34)),"E_INVALID_DATE",""))),IF(AV34="RANGE",IF(OR(BB34="",BC34=""),"E_MISSING_INPUT",IF(OR(NOT(ISNUMBER(BB34)),NOT(ISNUMBER(BC34))),"E_INVALID_DATE",IF(OR(BB34&lt;&gt;INT(BB34),BC34&lt;&gt;INT(BC34)),"E_INVALID_DATE",IF(BB34&gt;BC34,"E_REVERSED_BOUNDS","")))),"E_MISSING_INPUT")))))))</f>
        <v/>
      </c>
      <c r="BF34" s="22">
        <f t="shared" si="12"/>
        <v>0</v>
      </c>
      <c r="BG34" s="22">
        <f t="shared" si="13"/>
        <v>0</v>
      </c>
      <c r="BH34" s="28" t="str">
        <f t="shared" si="14"/>
        <v/>
      </c>
      <c r="BI34" s="28" t="str">
        <f t="shared" si="15"/>
        <v/>
      </c>
      <c r="BJ34" s="22" t="str">
        <f t="shared" si="16"/>
        <v/>
      </c>
      <c r="BK34" s="22" t="str">
        <f t="shared" si="17"/>
        <v/>
      </c>
      <c r="BL34" s="21" t="str">
        <f t="shared" si="18"/>
        <v/>
      </c>
      <c r="BM34" s="22">
        <f>IF(BL34="",0,COUNTIF(nEXP_Key,BL34))</f>
        <v>0</v>
      </c>
      <c r="BN34" s="21" t="str">
        <f t="shared" si="19"/>
        <v/>
      </c>
      <c r="BO34" s="21" t="str">
        <f>IF(BN34="","",BN34&amp;": "&amp;SUBSTITUTE(IFERROR(INDEX(nMSG_Text,MATCH(BN34,nMSG_Code,0)),""),"[input]",IF(D34="","an Exposure_Episode_ID","the date fields required by the selected precision")))</f>
        <v/>
      </c>
    </row>
    <row r="35" spans="1:67" x14ac:dyDescent="0.2">
      <c r="A35" s="24" t="s">
        <v>294</v>
      </c>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row>
    <row r="36" spans="1:67" x14ac:dyDescent="0.2">
      <c r="A36" s="9" t="s">
        <v>297</v>
      </c>
      <c r="B36" s="11">
        <v>2</v>
      </c>
      <c r="C36" s="9" t="s">
        <v>454</v>
      </c>
      <c r="D36" s="9" t="s">
        <v>453</v>
      </c>
      <c r="E36" s="9" t="s">
        <v>456</v>
      </c>
      <c r="F36" s="16" t="s">
        <v>114</v>
      </c>
      <c r="G36" s="9" t="s">
        <v>452</v>
      </c>
      <c r="H36" s="16"/>
      <c r="I36" s="16"/>
      <c r="J36" s="9" t="s">
        <v>455</v>
      </c>
      <c r="K36" s="16"/>
      <c r="L36" s="9"/>
      <c r="M36" s="9" t="s">
        <v>457</v>
      </c>
      <c r="N36" s="16" t="s">
        <v>3</v>
      </c>
      <c r="O36" s="14">
        <v>46032</v>
      </c>
      <c r="P36" s="25">
        <v>0.375</v>
      </c>
      <c r="Q36" s="9" t="s">
        <v>20</v>
      </c>
      <c r="R36" s="11"/>
      <c r="S36" s="11"/>
      <c r="T36" s="14"/>
      <c r="U36" s="14"/>
      <c r="V36" s="9" t="s">
        <v>458</v>
      </c>
      <c r="W36" s="21" t="str">
        <f>IF(COUNTA(N36:U36)=0,"",IF(N36="","E_MISSING_INPUT",IF(N36="TIMESTAMP",IF(OR(O36="",P36="",Q36=""),"E_MISSING_INPUT",IF(OR(NOT(ISNUMBER(O36)),NOT(ISNUMBER(P36))),"E_INVALID_DATE",IF(OR(O36&lt;&gt;INT(O36),P36&lt;0,P36&gt;=1),"E_INVALID_DATE",IF(ISNA(MATCH(Q36,nLIST_Offset,0)),"E_INVALID_DATE","")))),IF(N36="DATE",IF(O36="","E_MISSING_INPUT",IF(NOT(ISNUMBER(O36)),"E_INVALID_DATE",IF(O36&lt;&gt;INT(O36),"E_INVALID_DATE",""))),IF(N36="MONTH",IF(OR(R36="",S36=""),"E_MISSING_INPUT",IF(OR(NOT(ISNUMBER(R36)),NOT(ISNUMBER(S36))),"E_INVALID_DATE",IF(OR(R36&lt;1900,R36&gt;9999,R36&lt;&gt;INT(R36),S36&lt;1,S36&gt;12,S36&lt;&gt;INT(S36)),"E_INVALID_DATE",""))),IF(N36="YEAR",IF(R36="","E_MISSING_INPUT",IF(NOT(ISNUMBER(R36)),"E_INVALID_DATE",IF(OR(R36&lt;1900,R36&gt;9999,R36&lt;&gt;INT(R36)),"E_INVALID_DATE",""))),IF(N36="RANGE",IF(OR(T36="",U36=""),"E_MISSING_INPUT",IF(OR(NOT(ISNUMBER(T36)),NOT(ISNUMBER(U36))),"E_INVALID_DATE",IF(OR(T36&lt;&gt;INT(T36),U36&lt;&gt;INT(U36)),"E_INVALID_DATE",IF(T36&gt;U36,"E_REVERSED_BOUNDS","")))),"E_MISSING_INPUT")))))))</f>
        <v/>
      </c>
      <c r="X36" s="22">
        <f t="shared" ref="X36:X46" si="20">IF(AND(W36="",N36="TIMESTAMP"),1,0)</f>
        <v>1</v>
      </c>
      <c r="Y36" s="22">
        <f t="shared" ref="Y36:Y46" si="21">IF(AND(X36=1,Q36&lt;&gt;"unknown"),1,0)</f>
        <v>1</v>
      </c>
      <c r="Z36" s="28">
        <f t="shared" ref="Z36:Z46" si="22">IF(OR(W36&lt;&gt;"",N36=""),"",IF(OR(N36="TIMESTAMP",N36="DATE"),O36,IF(N36="MONTH",DATE(R36,S36,1),IF(N36="YEAR",DATE(R36,1,1),T36))))</f>
        <v>46032</v>
      </c>
      <c r="AA36" s="28">
        <f t="shared" ref="AA36:AA46" si="23">IF(OR(W36&lt;&gt;"",N36=""),"",IF(OR(N36="TIMESTAMP",N36="DATE"),O36,IF(N36="MONTH",EOMONTH(DATE(R36,S36,1),0),IF(N36="YEAR",DATE(R36,12,31),U36))))</f>
        <v>46032</v>
      </c>
      <c r="AB36" s="22">
        <f t="shared" ref="AB36:AB46" si="24">IF(X36=1,O36*1440+ROUND(P36*1440,0),"")</f>
        <v>66286620</v>
      </c>
      <c r="AC36" s="22">
        <f t="shared" ref="AC36:AC46" si="25">IF(Y36=1,AB36-(IF(LEFT(Q36,1)="-",-1,1)*(VALUE(MID(Q36,2,2))*60+VALUE(MID(Q36,5,2)))),"")</f>
        <v>66286920</v>
      </c>
      <c r="AD36" s="9" t="s">
        <v>460</v>
      </c>
      <c r="AE36" s="16" t="s">
        <v>3</v>
      </c>
      <c r="AF36" s="14">
        <v>46032</v>
      </c>
      <c r="AG36" s="25">
        <v>0.38611111111111102</v>
      </c>
      <c r="AH36" s="9" t="s">
        <v>20</v>
      </c>
      <c r="AI36" s="11"/>
      <c r="AJ36" s="11"/>
      <c r="AK36" s="14"/>
      <c r="AL36" s="14"/>
      <c r="AM36" s="9" t="s">
        <v>459</v>
      </c>
      <c r="AN36" s="21" t="str">
        <f>IF(COUNTA(AE36:AL36)=0,"",IF(AE36="","E_MISSING_INPUT",IF(AE36="TIMESTAMP",IF(OR(AF36="",AG36="",AH36=""),"E_MISSING_INPUT",IF(OR(NOT(ISNUMBER(AF36)),NOT(ISNUMBER(AG36))),"E_INVALID_DATE",IF(OR(AF36&lt;&gt;INT(AF36),AG36&lt;0,AG36&gt;=1),"E_INVALID_DATE",IF(ISNA(MATCH(AH36,nLIST_Offset,0)),"E_INVALID_DATE","")))),IF(AE36="DATE",IF(AF36="","E_MISSING_INPUT",IF(NOT(ISNUMBER(AF36)),"E_INVALID_DATE",IF(AF36&lt;&gt;INT(AF36),"E_INVALID_DATE",""))),IF(AE36="MONTH",IF(OR(AI36="",AJ36=""),"E_MISSING_INPUT",IF(OR(NOT(ISNUMBER(AI36)),NOT(ISNUMBER(AJ36))),"E_INVALID_DATE",IF(OR(AI36&lt;1900,AI36&gt;9999,AI36&lt;&gt;INT(AI36),AJ36&lt;1,AJ36&gt;12,AJ36&lt;&gt;INT(AJ36)),"E_INVALID_DATE",""))),IF(AE36="YEAR",IF(AI36="","E_MISSING_INPUT",IF(NOT(ISNUMBER(AI36)),"E_INVALID_DATE",IF(OR(AI36&lt;1900,AI36&gt;9999,AI36&lt;&gt;INT(AI36)),"E_INVALID_DATE",""))),IF(AE36="RANGE",IF(OR(AK36="",AL36=""),"E_MISSING_INPUT",IF(OR(NOT(ISNUMBER(AK36)),NOT(ISNUMBER(AL36))),"E_INVALID_DATE",IF(OR(AK36&lt;&gt;INT(AK36),AL36&lt;&gt;INT(AL36)),"E_INVALID_DATE",IF(AK36&gt;AL36,"E_REVERSED_BOUNDS","")))),"E_MISSING_INPUT")))))))</f>
        <v/>
      </c>
      <c r="AO36" s="22">
        <f t="shared" ref="AO36:AO46" si="26">IF(AND(AN36="",AE36="TIMESTAMP"),1,0)</f>
        <v>1</v>
      </c>
      <c r="AP36" s="22">
        <f t="shared" ref="AP36:AP46" si="27">IF(AND(AO36=1,AH36&lt;&gt;"unknown"),1,0)</f>
        <v>1</v>
      </c>
      <c r="AQ36" s="28">
        <f t="shared" ref="AQ36:AQ46" si="28">IF(OR(AN36&lt;&gt;"",AE36=""),"",IF(OR(AE36="TIMESTAMP",AE36="DATE"),AF36,IF(AE36="MONTH",DATE(AI36,AJ36,1),IF(AE36="YEAR",DATE(AI36,1,1),AK36))))</f>
        <v>46032</v>
      </c>
      <c r="AR36" s="28">
        <f t="shared" ref="AR36:AR46" si="29">IF(OR(AN36&lt;&gt;"",AE36=""),"",IF(OR(AE36="TIMESTAMP",AE36="DATE"),AF36,IF(AE36="MONTH",EOMONTH(DATE(AI36,AJ36,1),0),IF(AE36="YEAR",DATE(AI36,12,31),AL36))))</f>
        <v>46032</v>
      </c>
      <c r="AS36" s="22">
        <f t="shared" ref="AS36:AS46" si="30">IF(AO36=1,AF36*1440+ROUND(AG36*1440,0),"")</f>
        <v>66286636</v>
      </c>
      <c r="AT36" s="22">
        <f t="shared" ref="AT36:AT46" si="31">IF(AP36=1,AS36-(IF(LEFT(AH36,1)="-",-1,1)*(VALUE(MID(AH36,2,2))*60+VALUE(MID(AH36,5,2)))),"")</f>
        <v>66286936</v>
      </c>
      <c r="AU36" s="9"/>
      <c r="AV36" s="16"/>
      <c r="AW36" s="14"/>
      <c r="AX36" s="25"/>
      <c r="AY36" s="9"/>
      <c r="AZ36" s="11"/>
      <c r="BA36" s="11"/>
      <c r="BB36" s="14"/>
      <c r="BC36" s="14"/>
      <c r="BD36" s="9"/>
      <c r="BE36" s="21" t="str">
        <f>IF(COUNTA(AV36:BC36)=0,"",IF(AV36="","E_MISSING_INPUT",IF(AV36="TIMESTAMP",IF(OR(AW36="",AX36="",AY36=""),"E_MISSING_INPUT",IF(OR(NOT(ISNUMBER(AW36)),NOT(ISNUMBER(AX36))),"E_INVALID_DATE",IF(OR(AW36&lt;&gt;INT(AW36),AX36&lt;0,AX36&gt;=1),"E_INVALID_DATE",IF(ISNA(MATCH(AY36,nLIST_Offset,0)),"E_INVALID_DATE","")))),IF(AV36="DATE",IF(AW36="","E_MISSING_INPUT",IF(NOT(ISNUMBER(AW36)),"E_INVALID_DATE",IF(AW36&lt;&gt;INT(AW36),"E_INVALID_DATE",""))),IF(AV36="MONTH",IF(OR(AZ36="",BA36=""),"E_MISSING_INPUT",IF(OR(NOT(ISNUMBER(AZ36)),NOT(ISNUMBER(BA36))),"E_INVALID_DATE",IF(OR(AZ36&lt;1900,AZ36&gt;9999,AZ36&lt;&gt;INT(AZ36),BA36&lt;1,BA36&gt;12,BA36&lt;&gt;INT(BA36)),"E_INVALID_DATE",""))),IF(AV36="YEAR",IF(AZ36="","E_MISSING_INPUT",IF(NOT(ISNUMBER(AZ36)),"E_INVALID_DATE",IF(OR(AZ36&lt;1900,AZ36&gt;9999,AZ36&lt;&gt;INT(AZ36)),"E_INVALID_DATE",""))),IF(AV36="RANGE",IF(OR(BB36="",BC36=""),"E_MISSING_INPUT",IF(OR(NOT(ISNUMBER(BB36)),NOT(ISNUMBER(BC36))),"E_INVALID_DATE",IF(OR(BB36&lt;&gt;INT(BB36),BC36&lt;&gt;INT(BC36)),"E_INVALID_DATE",IF(BB36&gt;BC36,"E_REVERSED_BOUNDS","")))),"E_MISSING_INPUT")))))))</f>
        <v/>
      </c>
      <c r="BF36" s="22">
        <f t="shared" ref="BF36:BF46" si="32">IF(AND(BE36="",AV36="TIMESTAMP"),1,0)</f>
        <v>0</v>
      </c>
      <c r="BG36" s="22">
        <f t="shared" ref="BG36:BG46" si="33">IF(AND(BF36=1,AY36&lt;&gt;"unknown"),1,0)</f>
        <v>0</v>
      </c>
      <c r="BH36" s="28" t="str">
        <f t="shared" ref="BH36:BH46" si="34">IF(OR(BE36&lt;&gt;"",AV36=""),"",IF(OR(AV36="TIMESTAMP",AV36="DATE"),AW36,IF(AV36="MONTH",DATE(AZ36,BA36,1),IF(AV36="YEAR",DATE(AZ36,1,1),BB36))))</f>
        <v/>
      </c>
      <c r="BI36" s="28" t="str">
        <f t="shared" ref="BI36:BI46" si="35">IF(OR(BE36&lt;&gt;"",AV36=""),"",IF(OR(AV36="TIMESTAMP",AV36="DATE"),AW36,IF(AV36="MONTH",EOMONTH(DATE(AZ36,BA36,1),0),IF(AV36="YEAR",DATE(AZ36,12,31),BC36))))</f>
        <v/>
      </c>
      <c r="BJ36" s="22" t="str">
        <f t="shared" ref="BJ36:BJ46" si="36">IF(BF36=1,AW36*1440+ROUND(AX36*1440,0),"")</f>
        <v/>
      </c>
      <c r="BK36" s="22" t="str">
        <f t="shared" ref="BK36:BK46" si="37">IF(BG36=1,BJ36-(IF(LEFT(AY36,1)="-",-1,1)*(VALUE(MID(AY36,2,2))*60+VALUE(MID(AY36,5,2)))),"")</f>
        <v/>
      </c>
      <c r="BL36" s="21" t="str">
        <f t="shared" ref="BL36:BL46" si="38">IF(D36="","",A36&amp;"|"&amp;B36&amp;"|"&amp;D36)</f>
        <v>EX-C01|2|EX-A</v>
      </c>
      <c r="BM36" s="22">
        <f>IF(BL36="",0,COUNTIF(nEXP_Key,BL36))</f>
        <v>1</v>
      </c>
      <c r="BN36" s="21" t="str">
        <f t="shared" ref="BN36:BN46" si="39">IF(D36="",IF(COUNTA(C36,E36,N36,O36)&gt;0,"E_MISSING_INPUT",""),IF(BM36&gt;1,"E_DUPLICATE_ID",IF(W36&lt;&gt;"",W36,IF(AN36&lt;&gt;"",AN36,BE36))))</f>
        <v/>
      </c>
      <c r="BO36" s="21" t="str">
        <f>IF(BN36="","",BN36&amp;": "&amp;SUBSTITUTE(IFERROR(INDEX(nMSG_Text,MATCH(BN36,nMSG_Code,0)),""),"[input]",IF(D36="","an Exposure_Episode_ID","the date fields required by the selected precision")))</f>
        <v/>
      </c>
    </row>
    <row r="37" spans="1:67" x14ac:dyDescent="0.2">
      <c r="A37" s="9" t="s">
        <v>297</v>
      </c>
      <c r="B37" s="11">
        <v>2</v>
      </c>
      <c r="C37" s="9" t="s">
        <v>463</v>
      </c>
      <c r="D37" s="9" t="s">
        <v>462</v>
      </c>
      <c r="E37" s="9" t="s">
        <v>465</v>
      </c>
      <c r="F37" s="16" t="s">
        <v>115</v>
      </c>
      <c r="G37" s="9" t="s">
        <v>461</v>
      </c>
      <c r="H37" s="16"/>
      <c r="I37" s="16"/>
      <c r="J37" s="9" t="s">
        <v>464</v>
      </c>
      <c r="K37" s="16"/>
      <c r="L37" s="9"/>
      <c r="M37" s="9" t="s">
        <v>466</v>
      </c>
      <c r="N37" s="16" t="s">
        <v>3</v>
      </c>
      <c r="O37" s="14">
        <v>46032</v>
      </c>
      <c r="P37" s="25">
        <v>0.34722222222222199</v>
      </c>
      <c r="Q37" s="9" t="s">
        <v>20</v>
      </c>
      <c r="R37" s="11"/>
      <c r="S37" s="11"/>
      <c r="T37" s="14"/>
      <c r="U37" s="14"/>
      <c r="V37" s="9" t="s">
        <v>467</v>
      </c>
      <c r="W37" s="21" t="str">
        <f>IF(COUNTA(N37:U37)=0,"",IF(N37="","E_MISSING_INPUT",IF(N37="TIMESTAMP",IF(OR(O37="",P37="",Q37=""),"E_MISSING_INPUT",IF(OR(NOT(ISNUMBER(O37)),NOT(ISNUMBER(P37))),"E_INVALID_DATE",IF(OR(O37&lt;&gt;INT(O37),P37&lt;0,P37&gt;=1),"E_INVALID_DATE",IF(ISNA(MATCH(Q37,nLIST_Offset,0)),"E_INVALID_DATE","")))),IF(N37="DATE",IF(O37="","E_MISSING_INPUT",IF(NOT(ISNUMBER(O37)),"E_INVALID_DATE",IF(O37&lt;&gt;INT(O37),"E_INVALID_DATE",""))),IF(N37="MONTH",IF(OR(R37="",S37=""),"E_MISSING_INPUT",IF(OR(NOT(ISNUMBER(R37)),NOT(ISNUMBER(S37))),"E_INVALID_DATE",IF(OR(R37&lt;1900,R37&gt;9999,R37&lt;&gt;INT(R37),S37&lt;1,S37&gt;12,S37&lt;&gt;INT(S37)),"E_INVALID_DATE",""))),IF(N37="YEAR",IF(R37="","E_MISSING_INPUT",IF(NOT(ISNUMBER(R37)),"E_INVALID_DATE",IF(OR(R37&lt;1900,R37&gt;9999,R37&lt;&gt;INT(R37)),"E_INVALID_DATE",""))),IF(N37="RANGE",IF(OR(T37="",U37=""),"E_MISSING_INPUT",IF(OR(NOT(ISNUMBER(T37)),NOT(ISNUMBER(U37))),"E_INVALID_DATE",IF(OR(T37&lt;&gt;INT(T37),U37&lt;&gt;INT(U37)),"E_INVALID_DATE",IF(T37&gt;U37,"E_REVERSED_BOUNDS","")))),"E_MISSING_INPUT")))))))</f>
        <v/>
      </c>
      <c r="X37" s="22">
        <f t="shared" si="20"/>
        <v>1</v>
      </c>
      <c r="Y37" s="22">
        <f t="shared" si="21"/>
        <v>1</v>
      </c>
      <c r="Z37" s="28">
        <f t="shared" si="22"/>
        <v>46032</v>
      </c>
      <c r="AA37" s="28">
        <f t="shared" si="23"/>
        <v>46032</v>
      </c>
      <c r="AB37" s="22">
        <f t="shared" si="24"/>
        <v>66286580</v>
      </c>
      <c r="AC37" s="22">
        <f t="shared" si="25"/>
        <v>66286880</v>
      </c>
      <c r="AD37" s="9" t="s">
        <v>468</v>
      </c>
      <c r="AE37" s="16" t="s">
        <v>3</v>
      </c>
      <c r="AF37" s="14">
        <v>46032</v>
      </c>
      <c r="AG37" s="25">
        <v>0.36805555555555503</v>
      </c>
      <c r="AH37" s="9" t="s">
        <v>20</v>
      </c>
      <c r="AI37" s="11"/>
      <c r="AJ37" s="11"/>
      <c r="AK37" s="14"/>
      <c r="AL37" s="14"/>
      <c r="AM37" s="9" t="s">
        <v>467</v>
      </c>
      <c r="AN37" s="21" t="str">
        <f>IF(COUNTA(AE37:AL37)=0,"",IF(AE37="","E_MISSING_INPUT",IF(AE37="TIMESTAMP",IF(OR(AF37="",AG37="",AH37=""),"E_MISSING_INPUT",IF(OR(NOT(ISNUMBER(AF37)),NOT(ISNUMBER(AG37))),"E_INVALID_DATE",IF(OR(AF37&lt;&gt;INT(AF37),AG37&lt;0,AG37&gt;=1),"E_INVALID_DATE",IF(ISNA(MATCH(AH37,nLIST_Offset,0)),"E_INVALID_DATE","")))),IF(AE37="DATE",IF(AF37="","E_MISSING_INPUT",IF(NOT(ISNUMBER(AF37)),"E_INVALID_DATE",IF(AF37&lt;&gt;INT(AF37),"E_INVALID_DATE",""))),IF(AE37="MONTH",IF(OR(AI37="",AJ37=""),"E_MISSING_INPUT",IF(OR(NOT(ISNUMBER(AI37)),NOT(ISNUMBER(AJ37))),"E_INVALID_DATE",IF(OR(AI37&lt;1900,AI37&gt;9999,AI37&lt;&gt;INT(AI37),AJ37&lt;1,AJ37&gt;12,AJ37&lt;&gt;INT(AJ37)),"E_INVALID_DATE",""))),IF(AE37="YEAR",IF(AI37="","E_MISSING_INPUT",IF(NOT(ISNUMBER(AI37)),"E_INVALID_DATE",IF(OR(AI37&lt;1900,AI37&gt;9999,AI37&lt;&gt;INT(AI37)),"E_INVALID_DATE",""))),IF(AE37="RANGE",IF(OR(AK37="",AL37=""),"E_MISSING_INPUT",IF(OR(NOT(ISNUMBER(AK37)),NOT(ISNUMBER(AL37))),"E_INVALID_DATE",IF(OR(AK37&lt;&gt;INT(AK37),AL37&lt;&gt;INT(AL37)),"E_INVALID_DATE",IF(AK37&gt;AL37,"E_REVERSED_BOUNDS","")))),"E_MISSING_INPUT")))))))</f>
        <v/>
      </c>
      <c r="AO37" s="22">
        <f t="shared" si="26"/>
        <v>1</v>
      </c>
      <c r="AP37" s="22">
        <f t="shared" si="27"/>
        <v>1</v>
      </c>
      <c r="AQ37" s="28">
        <f t="shared" si="28"/>
        <v>46032</v>
      </c>
      <c r="AR37" s="28">
        <f t="shared" si="29"/>
        <v>46032</v>
      </c>
      <c r="AS37" s="22">
        <f t="shared" si="30"/>
        <v>66286610</v>
      </c>
      <c r="AT37" s="22">
        <f t="shared" si="31"/>
        <v>66286910</v>
      </c>
      <c r="AU37" s="9"/>
      <c r="AV37" s="16"/>
      <c r="AW37" s="14"/>
      <c r="AX37" s="25"/>
      <c r="AY37" s="9"/>
      <c r="AZ37" s="11"/>
      <c r="BA37" s="11"/>
      <c r="BB37" s="14"/>
      <c r="BC37" s="14"/>
      <c r="BD37" s="9"/>
      <c r="BE37" s="21" t="str">
        <f>IF(COUNTA(AV37:BC37)=0,"",IF(AV37="","E_MISSING_INPUT",IF(AV37="TIMESTAMP",IF(OR(AW37="",AX37="",AY37=""),"E_MISSING_INPUT",IF(OR(NOT(ISNUMBER(AW37)),NOT(ISNUMBER(AX37))),"E_INVALID_DATE",IF(OR(AW37&lt;&gt;INT(AW37),AX37&lt;0,AX37&gt;=1),"E_INVALID_DATE",IF(ISNA(MATCH(AY37,nLIST_Offset,0)),"E_INVALID_DATE","")))),IF(AV37="DATE",IF(AW37="","E_MISSING_INPUT",IF(NOT(ISNUMBER(AW37)),"E_INVALID_DATE",IF(AW37&lt;&gt;INT(AW37),"E_INVALID_DATE",""))),IF(AV37="MONTH",IF(OR(AZ37="",BA37=""),"E_MISSING_INPUT",IF(OR(NOT(ISNUMBER(AZ37)),NOT(ISNUMBER(BA37))),"E_INVALID_DATE",IF(OR(AZ37&lt;1900,AZ37&gt;9999,AZ37&lt;&gt;INT(AZ37),BA37&lt;1,BA37&gt;12,BA37&lt;&gt;INT(BA37)),"E_INVALID_DATE",""))),IF(AV37="YEAR",IF(AZ37="","E_MISSING_INPUT",IF(NOT(ISNUMBER(AZ37)),"E_INVALID_DATE",IF(OR(AZ37&lt;1900,AZ37&gt;9999,AZ37&lt;&gt;INT(AZ37)),"E_INVALID_DATE",""))),IF(AV37="RANGE",IF(OR(BB37="",BC37=""),"E_MISSING_INPUT",IF(OR(NOT(ISNUMBER(BB37)),NOT(ISNUMBER(BC37))),"E_INVALID_DATE",IF(OR(BB37&lt;&gt;INT(BB37),BC37&lt;&gt;INT(BC37)),"E_INVALID_DATE",IF(BB37&gt;BC37,"E_REVERSED_BOUNDS","")))),"E_MISSING_INPUT")))))))</f>
        <v/>
      </c>
      <c r="BF37" s="22">
        <f t="shared" si="32"/>
        <v>0</v>
      </c>
      <c r="BG37" s="22">
        <f t="shared" si="33"/>
        <v>0</v>
      </c>
      <c r="BH37" s="28" t="str">
        <f t="shared" si="34"/>
        <v/>
      </c>
      <c r="BI37" s="28" t="str">
        <f t="shared" si="35"/>
        <v/>
      </c>
      <c r="BJ37" s="22" t="str">
        <f t="shared" si="36"/>
        <v/>
      </c>
      <c r="BK37" s="22" t="str">
        <f t="shared" si="37"/>
        <v/>
      </c>
      <c r="BL37" s="21" t="str">
        <f t="shared" si="38"/>
        <v>EX-C01|2|EX-B</v>
      </c>
      <c r="BM37" s="22">
        <f>IF(BL37="",0,COUNTIF(nEXP_Key,BL37))</f>
        <v>1</v>
      </c>
      <c r="BN37" s="21" t="str">
        <f t="shared" si="39"/>
        <v/>
      </c>
      <c r="BO37" s="21" t="str">
        <f>IF(BN37="","",BN37&amp;": "&amp;SUBSTITUTE(IFERROR(INDEX(nMSG_Text,MATCH(BN37,nMSG_Code,0)),""),"[input]",IF(D37="","an Exposure_Episode_ID","the date fields required by the selected precision")))</f>
        <v/>
      </c>
    </row>
    <row r="38" spans="1:67" x14ac:dyDescent="0.2">
      <c r="A38" s="9" t="s">
        <v>297</v>
      </c>
      <c r="B38" s="11">
        <v>2</v>
      </c>
      <c r="C38" s="9" t="s">
        <v>469</v>
      </c>
      <c r="D38" s="9" t="s">
        <v>470</v>
      </c>
      <c r="E38" s="9" t="s">
        <v>472</v>
      </c>
      <c r="F38" s="16" t="s">
        <v>115</v>
      </c>
      <c r="G38" s="9" t="s">
        <v>471</v>
      </c>
      <c r="H38" s="16"/>
      <c r="I38" s="16"/>
      <c r="J38" s="9"/>
      <c r="K38" s="16"/>
      <c r="L38" s="9"/>
      <c r="M38" s="9" t="s">
        <v>473</v>
      </c>
      <c r="N38" s="16" t="s">
        <v>3</v>
      </c>
      <c r="O38" s="14">
        <v>46032</v>
      </c>
      <c r="P38" s="25">
        <v>0.34375</v>
      </c>
      <c r="Q38" s="9" t="s">
        <v>20</v>
      </c>
      <c r="R38" s="11"/>
      <c r="S38" s="11"/>
      <c r="T38" s="14"/>
      <c r="U38" s="14"/>
      <c r="V38" s="9" t="s">
        <v>467</v>
      </c>
      <c r="W38" s="21" t="str">
        <f>IF(COUNTA(N38:U38)=0,"",IF(N38="","E_MISSING_INPUT",IF(N38="TIMESTAMP",IF(OR(O38="",P38="",Q38=""),"E_MISSING_INPUT",IF(OR(NOT(ISNUMBER(O38)),NOT(ISNUMBER(P38))),"E_INVALID_DATE",IF(OR(O38&lt;&gt;INT(O38),P38&lt;0,P38&gt;=1),"E_INVALID_DATE",IF(ISNA(MATCH(Q38,nLIST_Offset,0)),"E_INVALID_DATE","")))),IF(N38="DATE",IF(O38="","E_MISSING_INPUT",IF(NOT(ISNUMBER(O38)),"E_INVALID_DATE",IF(O38&lt;&gt;INT(O38),"E_INVALID_DATE",""))),IF(N38="MONTH",IF(OR(R38="",S38=""),"E_MISSING_INPUT",IF(OR(NOT(ISNUMBER(R38)),NOT(ISNUMBER(S38))),"E_INVALID_DATE",IF(OR(R38&lt;1900,R38&gt;9999,R38&lt;&gt;INT(R38),S38&lt;1,S38&gt;12,S38&lt;&gt;INT(S38)),"E_INVALID_DATE",""))),IF(N38="YEAR",IF(R38="","E_MISSING_INPUT",IF(NOT(ISNUMBER(R38)),"E_INVALID_DATE",IF(OR(R38&lt;1900,R38&gt;9999,R38&lt;&gt;INT(R38)),"E_INVALID_DATE",""))),IF(N38="RANGE",IF(OR(T38="",U38=""),"E_MISSING_INPUT",IF(OR(NOT(ISNUMBER(T38)),NOT(ISNUMBER(U38))),"E_INVALID_DATE",IF(OR(T38&lt;&gt;INT(T38),U38&lt;&gt;INT(U38)),"E_INVALID_DATE",IF(T38&gt;U38,"E_REVERSED_BOUNDS","")))),"E_MISSING_INPUT")))))))</f>
        <v/>
      </c>
      <c r="X38" s="22">
        <f t="shared" si="20"/>
        <v>1</v>
      </c>
      <c r="Y38" s="22">
        <f t="shared" si="21"/>
        <v>1</v>
      </c>
      <c r="Z38" s="28">
        <f t="shared" si="22"/>
        <v>46032</v>
      </c>
      <c r="AA38" s="28">
        <f t="shared" si="23"/>
        <v>46032</v>
      </c>
      <c r="AB38" s="22">
        <f t="shared" si="24"/>
        <v>66286575</v>
      </c>
      <c r="AC38" s="22">
        <f t="shared" si="25"/>
        <v>66286875</v>
      </c>
      <c r="AD38" s="9"/>
      <c r="AE38" s="16"/>
      <c r="AF38" s="14"/>
      <c r="AG38" s="25"/>
      <c r="AH38" s="9"/>
      <c r="AI38" s="11"/>
      <c r="AJ38" s="11"/>
      <c r="AK38" s="14"/>
      <c r="AL38" s="14"/>
      <c r="AM38" s="9"/>
      <c r="AN38" s="21" t="str">
        <f>IF(COUNTA(AE38:AL38)=0,"",IF(AE38="","E_MISSING_INPUT",IF(AE38="TIMESTAMP",IF(OR(AF38="",AG38="",AH38=""),"E_MISSING_INPUT",IF(OR(NOT(ISNUMBER(AF38)),NOT(ISNUMBER(AG38))),"E_INVALID_DATE",IF(OR(AF38&lt;&gt;INT(AF38),AG38&lt;0,AG38&gt;=1),"E_INVALID_DATE",IF(ISNA(MATCH(AH38,nLIST_Offset,0)),"E_INVALID_DATE","")))),IF(AE38="DATE",IF(AF38="","E_MISSING_INPUT",IF(NOT(ISNUMBER(AF38)),"E_INVALID_DATE",IF(AF38&lt;&gt;INT(AF38),"E_INVALID_DATE",""))),IF(AE38="MONTH",IF(OR(AI38="",AJ38=""),"E_MISSING_INPUT",IF(OR(NOT(ISNUMBER(AI38)),NOT(ISNUMBER(AJ38))),"E_INVALID_DATE",IF(OR(AI38&lt;1900,AI38&gt;9999,AI38&lt;&gt;INT(AI38),AJ38&lt;1,AJ38&gt;12,AJ38&lt;&gt;INT(AJ38)),"E_INVALID_DATE",""))),IF(AE38="YEAR",IF(AI38="","E_MISSING_INPUT",IF(NOT(ISNUMBER(AI38)),"E_INVALID_DATE",IF(OR(AI38&lt;1900,AI38&gt;9999,AI38&lt;&gt;INT(AI38)),"E_INVALID_DATE",""))),IF(AE38="RANGE",IF(OR(AK38="",AL38=""),"E_MISSING_INPUT",IF(OR(NOT(ISNUMBER(AK38)),NOT(ISNUMBER(AL38))),"E_INVALID_DATE",IF(OR(AK38&lt;&gt;INT(AK38),AL38&lt;&gt;INT(AL38)),"E_INVALID_DATE",IF(AK38&gt;AL38,"E_REVERSED_BOUNDS","")))),"E_MISSING_INPUT")))))))</f>
        <v/>
      </c>
      <c r="AO38" s="22">
        <f t="shared" si="26"/>
        <v>0</v>
      </c>
      <c r="AP38" s="22">
        <f t="shared" si="27"/>
        <v>0</v>
      </c>
      <c r="AQ38" s="28" t="str">
        <f t="shared" si="28"/>
        <v/>
      </c>
      <c r="AR38" s="28" t="str">
        <f t="shared" si="29"/>
        <v/>
      </c>
      <c r="AS38" s="22" t="str">
        <f t="shared" si="30"/>
        <v/>
      </c>
      <c r="AT38" s="22" t="str">
        <f t="shared" si="31"/>
        <v/>
      </c>
      <c r="AU38" s="9"/>
      <c r="AV38" s="16"/>
      <c r="AW38" s="14"/>
      <c r="AX38" s="25"/>
      <c r="AY38" s="9"/>
      <c r="AZ38" s="11"/>
      <c r="BA38" s="11"/>
      <c r="BB38" s="14"/>
      <c r="BC38" s="14"/>
      <c r="BD38" s="9"/>
      <c r="BE38" s="21" t="str">
        <f>IF(COUNTA(AV38:BC38)=0,"",IF(AV38="","E_MISSING_INPUT",IF(AV38="TIMESTAMP",IF(OR(AW38="",AX38="",AY38=""),"E_MISSING_INPUT",IF(OR(NOT(ISNUMBER(AW38)),NOT(ISNUMBER(AX38))),"E_INVALID_DATE",IF(OR(AW38&lt;&gt;INT(AW38),AX38&lt;0,AX38&gt;=1),"E_INVALID_DATE",IF(ISNA(MATCH(AY38,nLIST_Offset,0)),"E_INVALID_DATE","")))),IF(AV38="DATE",IF(AW38="","E_MISSING_INPUT",IF(NOT(ISNUMBER(AW38)),"E_INVALID_DATE",IF(AW38&lt;&gt;INT(AW38),"E_INVALID_DATE",""))),IF(AV38="MONTH",IF(OR(AZ38="",BA38=""),"E_MISSING_INPUT",IF(OR(NOT(ISNUMBER(AZ38)),NOT(ISNUMBER(BA38))),"E_INVALID_DATE",IF(OR(AZ38&lt;1900,AZ38&gt;9999,AZ38&lt;&gt;INT(AZ38),BA38&lt;1,BA38&gt;12,BA38&lt;&gt;INT(BA38)),"E_INVALID_DATE",""))),IF(AV38="YEAR",IF(AZ38="","E_MISSING_INPUT",IF(NOT(ISNUMBER(AZ38)),"E_INVALID_DATE",IF(OR(AZ38&lt;1900,AZ38&gt;9999,AZ38&lt;&gt;INT(AZ38)),"E_INVALID_DATE",""))),IF(AV38="RANGE",IF(OR(BB38="",BC38=""),"E_MISSING_INPUT",IF(OR(NOT(ISNUMBER(BB38)),NOT(ISNUMBER(BC38))),"E_INVALID_DATE",IF(OR(BB38&lt;&gt;INT(BB38),BC38&lt;&gt;INT(BC38)),"E_INVALID_DATE",IF(BB38&gt;BC38,"E_REVERSED_BOUNDS","")))),"E_MISSING_INPUT")))))))</f>
        <v/>
      </c>
      <c r="BF38" s="22">
        <f t="shared" si="32"/>
        <v>0</v>
      </c>
      <c r="BG38" s="22">
        <f t="shared" si="33"/>
        <v>0</v>
      </c>
      <c r="BH38" s="28" t="str">
        <f t="shared" si="34"/>
        <v/>
      </c>
      <c r="BI38" s="28" t="str">
        <f t="shared" si="35"/>
        <v/>
      </c>
      <c r="BJ38" s="22" t="str">
        <f t="shared" si="36"/>
        <v/>
      </c>
      <c r="BK38" s="22" t="str">
        <f t="shared" si="37"/>
        <v/>
      </c>
      <c r="BL38" s="21" t="str">
        <f t="shared" si="38"/>
        <v>EX-C01|2|EX-AS</v>
      </c>
      <c r="BM38" s="22">
        <f>IF(BL38="",0,COUNTIF(nEXP_Key,BL38))</f>
        <v>1</v>
      </c>
      <c r="BN38" s="21" t="str">
        <f t="shared" si="39"/>
        <v/>
      </c>
      <c r="BO38" s="21" t="str">
        <f>IF(BN38="","",BN38&amp;": "&amp;SUBSTITUTE(IFERROR(INDEX(nMSG_Text,MATCH(BN38,nMSG_Code,0)),""),"[input]",IF(D38="","an Exposure_Episode_ID","the date fields required by the selected precision")))</f>
        <v/>
      </c>
    </row>
    <row r="39" spans="1:67" x14ac:dyDescent="0.2">
      <c r="A39" s="9" t="s">
        <v>301</v>
      </c>
      <c r="B39" s="11">
        <v>2</v>
      </c>
      <c r="C39" s="9" t="s">
        <v>475</v>
      </c>
      <c r="D39" s="9" t="s">
        <v>474</v>
      </c>
      <c r="E39" s="9" t="s">
        <v>477</v>
      </c>
      <c r="F39" s="16" t="s">
        <v>114</v>
      </c>
      <c r="G39" s="9" t="s">
        <v>478</v>
      </c>
      <c r="H39" s="16">
        <v>125</v>
      </c>
      <c r="I39" s="16" t="s">
        <v>107</v>
      </c>
      <c r="J39" s="9" t="s">
        <v>476</v>
      </c>
      <c r="K39" s="16"/>
      <c r="L39" s="9"/>
      <c r="M39" s="9" t="s">
        <v>479</v>
      </c>
      <c r="N39" s="16" t="s">
        <v>4</v>
      </c>
      <c r="O39" s="14">
        <v>46023</v>
      </c>
      <c r="P39" s="25"/>
      <c r="Q39" s="9"/>
      <c r="R39" s="11"/>
      <c r="S39" s="11"/>
      <c r="T39" s="14"/>
      <c r="U39" s="14"/>
      <c r="V39" s="9" t="s">
        <v>480</v>
      </c>
      <c r="W39" s="21" t="str">
        <f>IF(COUNTA(N39:U39)=0,"",IF(N39="","E_MISSING_INPUT",IF(N39="TIMESTAMP",IF(OR(O39="",P39="",Q39=""),"E_MISSING_INPUT",IF(OR(NOT(ISNUMBER(O39)),NOT(ISNUMBER(P39))),"E_INVALID_DATE",IF(OR(O39&lt;&gt;INT(O39),P39&lt;0,P39&gt;=1),"E_INVALID_DATE",IF(ISNA(MATCH(Q39,nLIST_Offset,0)),"E_INVALID_DATE","")))),IF(N39="DATE",IF(O39="","E_MISSING_INPUT",IF(NOT(ISNUMBER(O39)),"E_INVALID_DATE",IF(O39&lt;&gt;INT(O39),"E_INVALID_DATE",""))),IF(N39="MONTH",IF(OR(R39="",S39=""),"E_MISSING_INPUT",IF(OR(NOT(ISNUMBER(R39)),NOT(ISNUMBER(S39))),"E_INVALID_DATE",IF(OR(R39&lt;1900,R39&gt;9999,R39&lt;&gt;INT(R39),S39&lt;1,S39&gt;12,S39&lt;&gt;INT(S39)),"E_INVALID_DATE",""))),IF(N39="YEAR",IF(R39="","E_MISSING_INPUT",IF(NOT(ISNUMBER(R39)),"E_INVALID_DATE",IF(OR(R39&lt;1900,R39&gt;9999,R39&lt;&gt;INT(R39)),"E_INVALID_DATE",""))),IF(N39="RANGE",IF(OR(T39="",U39=""),"E_MISSING_INPUT",IF(OR(NOT(ISNUMBER(T39)),NOT(ISNUMBER(U39))),"E_INVALID_DATE",IF(OR(T39&lt;&gt;INT(T39),U39&lt;&gt;INT(U39)),"E_INVALID_DATE",IF(T39&gt;U39,"E_REVERSED_BOUNDS","")))),"E_MISSING_INPUT")))))))</f>
        <v/>
      </c>
      <c r="X39" s="22">
        <f t="shared" si="20"/>
        <v>0</v>
      </c>
      <c r="Y39" s="22">
        <f t="shared" si="21"/>
        <v>0</v>
      </c>
      <c r="Z39" s="28">
        <f t="shared" si="22"/>
        <v>46023</v>
      </c>
      <c r="AA39" s="28">
        <f t="shared" si="23"/>
        <v>46023</v>
      </c>
      <c r="AB39" s="22" t="str">
        <f t="shared" si="24"/>
        <v/>
      </c>
      <c r="AC39" s="22" t="str">
        <f t="shared" si="25"/>
        <v/>
      </c>
      <c r="AD39" s="9" t="s">
        <v>481</v>
      </c>
      <c r="AE39" s="16" t="s">
        <v>4</v>
      </c>
      <c r="AF39" s="14">
        <v>46208</v>
      </c>
      <c r="AG39" s="25"/>
      <c r="AH39" s="9"/>
      <c r="AI39" s="11"/>
      <c r="AJ39" s="11"/>
      <c r="AK39" s="14"/>
      <c r="AL39" s="14"/>
      <c r="AM39" s="9" t="s">
        <v>482</v>
      </c>
      <c r="AN39" s="21" t="str">
        <f>IF(COUNTA(AE39:AL39)=0,"",IF(AE39="","E_MISSING_INPUT",IF(AE39="TIMESTAMP",IF(OR(AF39="",AG39="",AH39=""),"E_MISSING_INPUT",IF(OR(NOT(ISNUMBER(AF39)),NOT(ISNUMBER(AG39))),"E_INVALID_DATE",IF(OR(AF39&lt;&gt;INT(AF39),AG39&lt;0,AG39&gt;=1),"E_INVALID_DATE",IF(ISNA(MATCH(AH39,nLIST_Offset,0)),"E_INVALID_DATE","")))),IF(AE39="DATE",IF(AF39="","E_MISSING_INPUT",IF(NOT(ISNUMBER(AF39)),"E_INVALID_DATE",IF(AF39&lt;&gt;INT(AF39),"E_INVALID_DATE",""))),IF(AE39="MONTH",IF(OR(AI39="",AJ39=""),"E_MISSING_INPUT",IF(OR(NOT(ISNUMBER(AI39)),NOT(ISNUMBER(AJ39))),"E_INVALID_DATE",IF(OR(AI39&lt;1900,AI39&gt;9999,AI39&lt;&gt;INT(AI39),AJ39&lt;1,AJ39&gt;12,AJ39&lt;&gt;INT(AJ39)),"E_INVALID_DATE",""))),IF(AE39="YEAR",IF(AI39="","E_MISSING_INPUT",IF(NOT(ISNUMBER(AI39)),"E_INVALID_DATE",IF(OR(AI39&lt;1900,AI39&gt;9999,AI39&lt;&gt;INT(AI39)),"E_INVALID_DATE",""))),IF(AE39="RANGE",IF(OR(AK39="",AL39=""),"E_MISSING_INPUT",IF(OR(NOT(ISNUMBER(AK39)),NOT(ISNUMBER(AL39))),"E_INVALID_DATE",IF(OR(AK39&lt;&gt;INT(AK39),AL39&lt;&gt;INT(AL39)),"E_INVALID_DATE",IF(AK39&gt;AL39,"E_REVERSED_BOUNDS","")))),"E_MISSING_INPUT")))))))</f>
        <v/>
      </c>
      <c r="AO39" s="22">
        <f t="shared" si="26"/>
        <v>0</v>
      </c>
      <c r="AP39" s="22">
        <f t="shared" si="27"/>
        <v>0</v>
      </c>
      <c r="AQ39" s="28">
        <f t="shared" si="28"/>
        <v>46208</v>
      </c>
      <c r="AR39" s="28">
        <f t="shared" si="29"/>
        <v>46208</v>
      </c>
      <c r="AS39" s="22" t="str">
        <f t="shared" si="30"/>
        <v/>
      </c>
      <c r="AT39" s="22" t="str">
        <f t="shared" si="31"/>
        <v/>
      </c>
      <c r="AU39" s="9"/>
      <c r="AV39" s="16"/>
      <c r="AW39" s="14"/>
      <c r="AX39" s="25"/>
      <c r="AY39" s="9"/>
      <c r="AZ39" s="11"/>
      <c r="BA39" s="11"/>
      <c r="BB39" s="14"/>
      <c r="BC39" s="14"/>
      <c r="BD39" s="9"/>
      <c r="BE39" s="21" t="str">
        <f>IF(COUNTA(AV39:BC39)=0,"",IF(AV39="","E_MISSING_INPUT",IF(AV39="TIMESTAMP",IF(OR(AW39="",AX39="",AY39=""),"E_MISSING_INPUT",IF(OR(NOT(ISNUMBER(AW39)),NOT(ISNUMBER(AX39))),"E_INVALID_DATE",IF(OR(AW39&lt;&gt;INT(AW39),AX39&lt;0,AX39&gt;=1),"E_INVALID_DATE",IF(ISNA(MATCH(AY39,nLIST_Offset,0)),"E_INVALID_DATE","")))),IF(AV39="DATE",IF(AW39="","E_MISSING_INPUT",IF(NOT(ISNUMBER(AW39)),"E_INVALID_DATE",IF(AW39&lt;&gt;INT(AW39),"E_INVALID_DATE",""))),IF(AV39="MONTH",IF(OR(AZ39="",BA39=""),"E_MISSING_INPUT",IF(OR(NOT(ISNUMBER(AZ39)),NOT(ISNUMBER(BA39))),"E_INVALID_DATE",IF(OR(AZ39&lt;1900,AZ39&gt;9999,AZ39&lt;&gt;INT(AZ39),BA39&lt;1,BA39&gt;12,BA39&lt;&gt;INT(BA39)),"E_INVALID_DATE",""))),IF(AV39="YEAR",IF(AZ39="","E_MISSING_INPUT",IF(NOT(ISNUMBER(AZ39)),"E_INVALID_DATE",IF(OR(AZ39&lt;1900,AZ39&gt;9999,AZ39&lt;&gt;INT(AZ39)),"E_INVALID_DATE",""))),IF(AV39="RANGE",IF(OR(BB39="",BC39=""),"E_MISSING_INPUT",IF(OR(NOT(ISNUMBER(BB39)),NOT(ISNUMBER(BC39))),"E_INVALID_DATE",IF(OR(BB39&lt;&gt;INT(BB39),BC39&lt;&gt;INT(BC39)),"E_INVALID_DATE",IF(BB39&gt;BC39,"E_REVERSED_BOUNDS","")))),"E_MISSING_INPUT")))))))</f>
        <v/>
      </c>
      <c r="BF39" s="22">
        <f t="shared" si="32"/>
        <v>0</v>
      </c>
      <c r="BG39" s="22">
        <f t="shared" si="33"/>
        <v>0</v>
      </c>
      <c r="BH39" s="28" t="str">
        <f t="shared" si="34"/>
        <v/>
      </c>
      <c r="BI39" s="28" t="str">
        <f t="shared" si="35"/>
        <v/>
      </c>
      <c r="BJ39" s="22" t="str">
        <f t="shared" si="36"/>
        <v/>
      </c>
      <c r="BK39" s="22" t="str">
        <f t="shared" si="37"/>
        <v/>
      </c>
      <c r="BL39" s="21" t="str">
        <f t="shared" si="38"/>
        <v>EX-C04|2|EX-DIG</v>
      </c>
      <c r="BM39" s="22">
        <f>IF(BL39="",0,COUNTIF(nEXP_Key,BL39))</f>
        <v>1</v>
      </c>
      <c r="BN39" s="21" t="str">
        <f t="shared" si="39"/>
        <v/>
      </c>
      <c r="BO39" s="21" t="str">
        <f>IF(BN39="","",BN39&amp;": "&amp;SUBSTITUTE(IFERROR(INDEX(nMSG_Text,MATCH(BN39,nMSG_Code,0)),""),"[input]",IF(D39="","an Exposure_Episode_ID","the date fields required by the selected precision")))</f>
        <v/>
      </c>
    </row>
    <row r="40" spans="1:67" x14ac:dyDescent="0.2">
      <c r="A40" s="9" t="s">
        <v>301</v>
      </c>
      <c r="B40" s="11">
        <v>2</v>
      </c>
      <c r="C40" s="9" t="s">
        <v>484</v>
      </c>
      <c r="D40" s="9" t="s">
        <v>483</v>
      </c>
      <c r="E40" s="9" t="s">
        <v>486</v>
      </c>
      <c r="F40" s="16" t="s">
        <v>116</v>
      </c>
      <c r="G40" s="9" t="s">
        <v>478</v>
      </c>
      <c r="H40" s="16">
        <v>400</v>
      </c>
      <c r="I40" s="16" t="s">
        <v>106</v>
      </c>
      <c r="J40" s="9" t="s">
        <v>485</v>
      </c>
      <c r="K40" s="16"/>
      <c r="L40" s="9"/>
      <c r="M40" s="9" t="s">
        <v>487</v>
      </c>
      <c r="N40" s="16" t="s">
        <v>4</v>
      </c>
      <c r="O40" s="14">
        <v>46199</v>
      </c>
      <c r="P40" s="25"/>
      <c r="Q40" s="9"/>
      <c r="R40" s="11"/>
      <c r="S40" s="11"/>
      <c r="T40" s="14"/>
      <c r="U40" s="14"/>
      <c r="V40" s="9" t="s">
        <v>480</v>
      </c>
      <c r="W40" s="21" t="str">
        <f>IF(COUNTA(N40:U40)=0,"",IF(N40="","E_MISSING_INPUT",IF(N40="TIMESTAMP",IF(OR(O40="",P40="",Q40=""),"E_MISSING_INPUT",IF(OR(NOT(ISNUMBER(O40)),NOT(ISNUMBER(P40))),"E_INVALID_DATE",IF(OR(O40&lt;&gt;INT(O40),P40&lt;0,P40&gt;=1),"E_INVALID_DATE",IF(ISNA(MATCH(Q40,nLIST_Offset,0)),"E_INVALID_DATE","")))),IF(N40="DATE",IF(O40="","E_MISSING_INPUT",IF(NOT(ISNUMBER(O40)),"E_INVALID_DATE",IF(O40&lt;&gt;INT(O40),"E_INVALID_DATE",""))),IF(N40="MONTH",IF(OR(R40="",S40=""),"E_MISSING_INPUT",IF(OR(NOT(ISNUMBER(R40)),NOT(ISNUMBER(S40))),"E_INVALID_DATE",IF(OR(R40&lt;1900,R40&gt;9999,R40&lt;&gt;INT(R40),S40&lt;1,S40&gt;12,S40&lt;&gt;INT(S40)),"E_INVALID_DATE",""))),IF(N40="YEAR",IF(R40="","E_MISSING_INPUT",IF(NOT(ISNUMBER(R40)),"E_INVALID_DATE",IF(OR(R40&lt;1900,R40&gt;9999,R40&lt;&gt;INT(R40)),"E_INVALID_DATE",""))),IF(N40="RANGE",IF(OR(T40="",U40=""),"E_MISSING_INPUT",IF(OR(NOT(ISNUMBER(T40)),NOT(ISNUMBER(U40))),"E_INVALID_DATE",IF(OR(T40&lt;&gt;INT(T40),U40&lt;&gt;INT(U40)),"E_INVALID_DATE",IF(T40&gt;U40,"E_REVERSED_BOUNDS","")))),"E_MISSING_INPUT")))))))</f>
        <v/>
      </c>
      <c r="X40" s="22">
        <f t="shared" si="20"/>
        <v>0</v>
      </c>
      <c r="Y40" s="22">
        <f t="shared" si="21"/>
        <v>0</v>
      </c>
      <c r="Z40" s="28">
        <f t="shared" si="22"/>
        <v>46199</v>
      </c>
      <c r="AA40" s="28">
        <f t="shared" si="23"/>
        <v>46199</v>
      </c>
      <c r="AB40" s="22" t="str">
        <f t="shared" si="24"/>
        <v/>
      </c>
      <c r="AC40" s="22" t="str">
        <f t="shared" si="25"/>
        <v/>
      </c>
      <c r="AD40" s="9" t="s">
        <v>488</v>
      </c>
      <c r="AE40" s="16" t="s">
        <v>4</v>
      </c>
      <c r="AF40" s="14">
        <v>46207</v>
      </c>
      <c r="AG40" s="25"/>
      <c r="AH40" s="9"/>
      <c r="AI40" s="11"/>
      <c r="AJ40" s="11"/>
      <c r="AK40" s="14"/>
      <c r="AL40" s="14"/>
      <c r="AM40" s="9" t="s">
        <v>480</v>
      </c>
      <c r="AN40" s="21" t="str">
        <f>IF(COUNTA(AE40:AL40)=0,"",IF(AE40="","E_MISSING_INPUT",IF(AE40="TIMESTAMP",IF(OR(AF40="",AG40="",AH40=""),"E_MISSING_INPUT",IF(OR(NOT(ISNUMBER(AF40)),NOT(ISNUMBER(AG40))),"E_INVALID_DATE",IF(OR(AF40&lt;&gt;INT(AF40),AG40&lt;0,AG40&gt;=1),"E_INVALID_DATE",IF(ISNA(MATCH(AH40,nLIST_Offset,0)),"E_INVALID_DATE","")))),IF(AE40="DATE",IF(AF40="","E_MISSING_INPUT",IF(NOT(ISNUMBER(AF40)),"E_INVALID_DATE",IF(AF40&lt;&gt;INT(AF40),"E_INVALID_DATE",""))),IF(AE40="MONTH",IF(OR(AI40="",AJ40=""),"E_MISSING_INPUT",IF(OR(NOT(ISNUMBER(AI40)),NOT(ISNUMBER(AJ40))),"E_INVALID_DATE",IF(OR(AI40&lt;1900,AI40&gt;9999,AI40&lt;&gt;INT(AI40),AJ40&lt;1,AJ40&gt;12,AJ40&lt;&gt;INT(AJ40)),"E_INVALID_DATE",""))),IF(AE40="YEAR",IF(AI40="","E_MISSING_INPUT",IF(NOT(ISNUMBER(AI40)),"E_INVALID_DATE",IF(OR(AI40&lt;1900,AI40&gt;9999,AI40&lt;&gt;INT(AI40)),"E_INVALID_DATE",""))),IF(AE40="RANGE",IF(OR(AK40="",AL40=""),"E_MISSING_INPUT",IF(OR(NOT(ISNUMBER(AK40)),NOT(ISNUMBER(AL40))),"E_INVALID_DATE",IF(OR(AK40&lt;&gt;INT(AK40),AL40&lt;&gt;INT(AL40)),"E_INVALID_DATE",IF(AK40&gt;AL40,"E_REVERSED_BOUNDS","")))),"E_MISSING_INPUT")))))))</f>
        <v/>
      </c>
      <c r="AO40" s="22">
        <f t="shared" si="26"/>
        <v>0</v>
      </c>
      <c r="AP40" s="22">
        <f t="shared" si="27"/>
        <v>0</v>
      </c>
      <c r="AQ40" s="28">
        <f t="shared" si="28"/>
        <v>46207</v>
      </c>
      <c r="AR40" s="28">
        <f t="shared" si="29"/>
        <v>46207</v>
      </c>
      <c r="AS40" s="22" t="str">
        <f t="shared" si="30"/>
        <v/>
      </c>
      <c r="AT40" s="22" t="str">
        <f t="shared" si="31"/>
        <v/>
      </c>
      <c r="AU40" s="9"/>
      <c r="AV40" s="16"/>
      <c r="AW40" s="14"/>
      <c r="AX40" s="25"/>
      <c r="AY40" s="9"/>
      <c r="AZ40" s="11"/>
      <c r="BA40" s="11"/>
      <c r="BB40" s="14"/>
      <c r="BC40" s="14"/>
      <c r="BD40" s="9"/>
      <c r="BE40" s="21" t="str">
        <f>IF(COUNTA(AV40:BC40)=0,"",IF(AV40="","E_MISSING_INPUT",IF(AV40="TIMESTAMP",IF(OR(AW40="",AX40="",AY40=""),"E_MISSING_INPUT",IF(OR(NOT(ISNUMBER(AW40)),NOT(ISNUMBER(AX40))),"E_INVALID_DATE",IF(OR(AW40&lt;&gt;INT(AW40),AX40&lt;0,AX40&gt;=1),"E_INVALID_DATE",IF(ISNA(MATCH(AY40,nLIST_Offset,0)),"E_INVALID_DATE","")))),IF(AV40="DATE",IF(AW40="","E_MISSING_INPUT",IF(NOT(ISNUMBER(AW40)),"E_INVALID_DATE",IF(AW40&lt;&gt;INT(AW40),"E_INVALID_DATE",""))),IF(AV40="MONTH",IF(OR(AZ40="",BA40=""),"E_MISSING_INPUT",IF(OR(NOT(ISNUMBER(AZ40)),NOT(ISNUMBER(BA40))),"E_INVALID_DATE",IF(OR(AZ40&lt;1900,AZ40&gt;9999,AZ40&lt;&gt;INT(AZ40),BA40&lt;1,BA40&gt;12,BA40&lt;&gt;INT(BA40)),"E_INVALID_DATE",""))),IF(AV40="YEAR",IF(AZ40="","E_MISSING_INPUT",IF(NOT(ISNUMBER(AZ40)),"E_INVALID_DATE",IF(OR(AZ40&lt;1900,AZ40&gt;9999,AZ40&lt;&gt;INT(AZ40)),"E_INVALID_DATE",""))),IF(AV40="RANGE",IF(OR(BB40="",BC40=""),"E_MISSING_INPUT",IF(OR(NOT(ISNUMBER(BB40)),NOT(ISNUMBER(BC40))),"E_INVALID_DATE",IF(OR(BB40&lt;&gt;INT(BB40),BC40&lt;&gt;INT(BC40)),"E_INVALID_DATE",IF(BB40&gt;BC40,"E_REVERSED_BOUNDS","")))),"E_MISSING_INPUT")))))))</f>
        <v/>
      </c>
      <c r="BF40" s="22">
        <f t="shared" si="32"/>
        <v>0</v>
      </c>
      <c r="BG40" s="22">
        <f t="shared" si="33"/>
        <v>0</v>
      </c>
      <c r="BH40" s="28" t="str">
        <f t="shared" si="34"/>
        <v/>
      </c>
      <c r="BI40" s="28" t="str">
        <f t="shared" si="35"/>
        <v/>
      </c>
      <c r="BJ40" s="22" t="str">
        <f t="shared" si="36"/>
        <v/>
      </c>
      <c r="BK40" s="22" t="str">
        <f t="shared" si="37"/>
        <v/>
      </c>
      <c r="BL40" s="21" t="str">
        <f t="shared" si="38"/>
        <v>EX-C04|2|EX-IBU</v>
      </c>
      <c r="BM40" s="22">
        <f>IF(BL40="",0,COUNTIF(nEXP_Key,BL40))</f>
        <v>1</v>
      </c>
      <c r="BN40" s="21" t="str">
        <f t="shared" si="39"/>
        <v/>
      </c>
      <c r="BO40" s="21" t="str">
        <f>IF(BN40="","",BN40&amp;": "&amp;SUBSTITUTE(IFERROR(INDEX(nMSG_Text,MATCH(BN40,nMSG_Code,0)),""),"[input]",IF(D40="","an Exposure_Episode_ID","the date fields required by the selected precision")))</f>
        <v/>
      </c>
    </row>
    <row r="41" spans="1:67" x14ac:dyDescent="0.2">
      <c r="A41" s="9" t="s">
        <v>301</v>
      </c>
      <c r="B41" s="11">
        <v>2</v>
      </c>
      <c r="C41" s="9" t="s">
        <v>491</v>
      </c>
      <c r="D41" s="9" t="s">
        <v>490</v>
      </c>
      <c r="E41" s="9" t="s">
        <v>492</v>
      </c>
      <c r="F41" s="16" t="s">
        <v>115</v>
      </c>
      <c r="G41" s="9" t="s">
        <v>478</v>
      </c>
      <c r="H41" s="16"/>
      <c r="I41" s="16"/>
      <c r="J41" s="9" t="s">
        <v>489</v>
      </c>
      <c r="K41" s="16" t="s">
        <v>153</v>
      </c>
      <c r="L41" s="9" t="s">
        <v>493</v>
      </c>
      <c r="M41" s="9"/>
      <c r="N41" s="16"/>
      <c r="O41" s="14"/>
      <c r="P41" s="25"/>
      <c r="Q41" s="9"/>
      <c r="R41" s="11"/>
      <c r="S41" s="11"/>
      <c r="T41" s="14"/>
      <c r="U41" s="14"/>
      <c r="V41" s="9"/>
      <c r="W41" s="21" t="str">
        <f>IF(COUNTA(N41:U41)=0,"",IF(N41="","E_MISSING_INPUT",IF(N41="TIMESTAMP",IF(OR(O41="",P41="",Q41=""),"E_MISSING_INPUT",IF(OR(NOT(ISNUMBER(O41)),NOT(ISNUMBER(P41))),"E_INVALID_DATE",IF(OR(O41&lt;&gt;INT(O41),P41&lt;0,P41&gt;=1),"E_INVALID_DATE",IF(ISNA(MATCH(Q41,nLIST_Offset,0)),"E_INVALID_DATE","")))),IF(N41="DATE",IF(O41="","E_MISSING_INPUT",IF(NOT(ISNUMBER(O41)),"E_INVALID_DATE",IF(O41&lt;&gt;INT(O41),"E_INVALID_DATE",""))),IF(N41="MONTH",IF(OR(R41="",S41=""),"E_MISSING_INPUT",IF(OR(NOT(ISNUMBER(R41)),NOT(ISNUMBER(S41))),"E_INVALID_DATE",IF(OR(R41&lt;1900,R41&gt;9999,R41&lt;&gt;INT(R41),S41&lt;1,S41&gt;12,S41&lt;&gt;INT(S41)),"E_INVALID_DATE",""))),IF(N41="YEAR",IF(R41="","E_MISSING_INPUT",IF(NOT(ISNUMBER(R41)),"E_INVALID_DATE",IF(OR(R41&lt;1900,R41&gt;9999,R41&lt;&gt;INT(R41)),"E_INVALID_DATE",""))),IF(N41="RANGE",IF(OR(T41="",U41=""),"E_MISSING_INPUT",IF(OR(NOT(ISNUMBER(T41)),NOT(ISNUMBER(U41))),"E_INVALID_DATE",IF(OR(T41&lt;&gt;INT(T41),U41&lt;&gt;INT(U41)),"E_INVALID_DATE",IF(T41&gt;U41,"E_REVERSED_BOUNDS","")))),"E_MISSING_INPUT")))))))</f>
        <v/>
      </c>
      <c r="X41" s="22">
        <f t="shared" si="20"/>
        <v>0</v>
      </c>
      <c r="Y41" s="22">
        <f t="shared" si="21"/>
        <v>0</v>
      </c>
      <c r="Z41" s="28" t="str">
        <f t="shared" si="22"/>
        <v/>
      </c>
      <c r="AA41" s="28" t="str">
        <f t="shared" si="23"/>
        <v/>
      </c>
      <c r="AB41" s="22" t="str">
        <f t="shared" si="24"/>
        <v/>
      </c>
      <c r="AC41" s="22" t="str">
        <f t="shared" si="25"/>
        <v/>
      </c>
      <c r="AD41" s="9"/>
      <c r="AE41" s="16"/>
      <c r="AF41" s="14"/>
      <c r="AG41" s="25"/>
      <c r="AH41" s="9"/>
      <c r="AI41" s="11"/>
      <c r="AJ41" s="11"/>
      <c r="AK41" s="14"/>
      <c r="AL41" s="14"/>
      <c r="AM41" s="9"/>
      <c r="AN41" s="21" t="str">
        <f>IF(COUNTA(AE41:AL41)=0,"",IF(AE41="","E_MISSING_INPUT",IF(AE41="TIMESTAMP",IF(OR(AF41="",AG41="",AH41=""),"E_MISSING_INPUT",IF(OR(NOT(ISNUMBER(AF41)),NOT(ISNUMBER(AG41))),"E_INVALID_DATE",IF(OR(AF41&lt;&gt;INT(AF41),AG41&lt;0,AG41&gt;=1),"E_INVALID_DATE",IF(ISNA(MATCH(AH41,nLIST_Offset,0)),"E_INVALID_DATE","")))),IF(AE41="DATE",IF(AF41="","E_MISSING_INPUT",IF(NOT(ISNUMBER(AF41)),"E_INVALID_DATE",IF(AF41&lt;&gt;INT(AF41),"E_INVALID_DATE",""))),IF(AE41="MONTH",IF(OR(AI41="",AJ41=""),"E_MISSING_INPUT",IF(OR(NOT(ISNUMBER(AI41)),NOT(ISNUMBER(AJ41))),"E_INVALID_DATE",IF(OR(AI41&lt;1900,AI41&gt;9999,AI41&lt;&gt;INT(AI41),AJ41&lt;1,AJ41&gt;12,AJ41&lt;&gt;INT(AJ41)),"E_INVALID_DATE",""))),IF(AE41="YEAR",IF(AI41="","E_MISSING_INPUT",IF(NOT(ISNUMBER(AI41)),"E_INVALID_DATE",IF(OR(AI41&lt;1900,AI41&gt;9999,AI41&lt;&gt;INT(AI41)),"E_INVALID_DATE",""))),IF(AE41="RANGE",IF(OR(AK41="",AL41=""),"E_MISSING_INPUT",IF(OR(NOT(ISNUMBER(AK41)),NOT(ISNUMBER(AL41))),"E_INVALID_DATE",IF(OR(AK41&lt;&gt;INT(AK41),AL41&lt;&gt;INT(AL41)),"E_INVALID_DATE",IF(AK41&gt;AL41,"E_REVERSED_BOUNDS","")))),"E_MISSING_INPUT")))))))</f>
        <v/>
      </c>
      <c r="AO41" s="22">
        <f t="shared" si="26"/>
        <v>0</v>
      </c>
      <c r="AP41" s="22">
        <f t="shared" si="27"/>
        <v>0</v>
      </c>
      <c r="AQ41" s="28" t="str">
        <f t="shared" si="28"/>
        <v/>
      </c>
      <c r="AR41" s="28" t="str">
        <f t="shared" si="29"/>
        <v/>
      </c>
      <c r="AS41" s="22" t="str">
        <f t="shared" si="30"/>
        <v/>
      </c>
      <c r="AT41" s="22" t="str">
        <f t="shared" si="31"/>
        <v/>
      </c>
      <c r="AU41" s="9"/>
      <c r="AV41" s="16"/>
      <c r="AW41" s="14"/>
      <c r="AX41" s="25"/>
      <c r="AY41" s="9"/>
      <c r="AZ41" s="11"/>
      <c r="BA41" s="11"/>
      <c r="BB41" s="14"/>
      <c r="BC41" s="14"/>
      <c r="BD41" s="9"/>
      <c r="BE41" s="21" t="str">
        <f>IF(COUNTA(AV41:BC41)=0,"",IF(AV41="","E_MISSING_INPUT",IF(AV41="TIMESTAMP",IF(OR(AW41="",AX41="",AY41=""),"E_MISSING_INPUT",IF(OR(NOT(ISNUMBER(AW41)),NOT(ISNUMBER(AX41))),"E_INVALID_DATE",IF(OR(AW41&lt;&gt;INT(AW41),AX41&lt;0,AX41&gt;=1),"E_INVALID_DATE",IF(ISNA(MATCH(AY41,nLIST_Offset,0)),"E_INVALID_DATE","")))),IF(AV41="DATE",IF(AW41="","E_MISSING_INPUT",IF(NOT(ISNUMBER(AW41)),"E_INVALID_DATE",IF(AW41&lt;&gt;INT(AW41),"E_INVALID_DATE",""))),IF(AV41="MONTH",IF(OR(AZ41="",BA41=""),"E_MISSING_INPUT",IF(OR(NOT(ISNUMBER(AZ41)),NOT(ISNUMBER(BA41))),"E_INVALID_DATE",IF(OR(AZ41&lt;1900,AZ41&gt;9999,AZ41&lt;&gt;INT(AZ41),BA41&lt;1,BA41&gt;12,BA41&lt;&gt;INT(BA41)),"E_INVALID_DATE",""))),IF(AV41="YEAR",IF(AZ41="","E_MISSING_INPUT",IF(NOT(ISNUMBER(AZ41)),"E_INVALID_DATE",IF(OR(AZ41&lt;1900,AZ41&gt;9999,AZ41&lt;&gt;INT(AZ41)),"E_INVALID_DATE",""))),IF(AV41="RANGE",IF(OR(BB41="",BC41=""),"E_MISSING_INPUT",IF(OR(NOT(ISNUMBER(BB41)),NOT(ISNUMBER(BC41))),"E_INVALID_DATE",IF(OR(BB41&lt;&gt;INT(BB41),BC41&lt;&gt;INT(BC41)),"E_INVALID_DATE",IF(BB41&gt;BC41,"E_REVERSED_BOUNDS","")))),"E_MISSING_INPUT")))))))</f>
        <v/>
      </c>
      <c r="BF41" s="22">
        <f t="shared" si="32"/>
        <v>0</v>
      </c>
      <c r="BG41" s="22">
        <f t="shared" si="33"/>
        <v>0</v>
      </c>
      <c r="BH41" s="28" t="str">
        <f t="shared" si="34"/>
        <v/>
      </c>
      <c r="BI41" s="28" t="str">
        <f t="shared" si="35"/>
        <v/>
      </c>
      <c r="BJ41" s="22" t="str">
        <f t="shared" si="36"/>
        <v/>
      </c>
      <c r="BK41" s="22" t="str">
        <f t="shared" si="37"/>
        <v/>
      </c>
      <c r="BL41" s="21" t="str">
        <f t="shared" si="38"/>
        <v>EX-C04|2|EX-BB</v>
      </c>
      <c r="BM41" s="22">
        <f>IF(BL41="",0,COUNTIF(nEXP_Key,BL41))</f>
        <v>1</v>
      </c>
      <c r="BN41" s="21" t="str">
        <f t="shared" si="39"/>
        <v/>
      </c>
      <c r="BO41" s="21" t="str">
        <f>IF(BN41="","",BN41&amp;": "&amp;SUBSTITUTE(IFERROR(INDEX(nMSG_Text,MATCH(BN41,nMSG_Code,0)),""),"[input]",IF(D41="","an Exposure_Episode_ID","the date fields required by the selected precision")))</f>
        <v/>
      </c>
    </row>
    <row r="42" spans="1:67" x14ac:dyDescent="0.2">
      <c r="A42" s="9" t="s">
        <v>305</v>
      </c>
      <c r="B42" s="11">
        <v>2</v>
      </c>
      <c r="C42" s="9" t="s">
        <v>496</v>
      </c>
      <c r="D42" s="9" t="s">
        <v>495</v>
      </c>
      <c r="E42" s="9" t="s">
        <v>498</v>
      </c>
      <c r="F42" s="16" t="s">
        <v>114</v>
      </c>
      <c r="G42" s="9" t="s">
        <v>494</v>
      </c>
      <c r="H42" s="16"/>
      <c r="I42" s="16"/>
      <c r="J42" s="9" t="s">
        <v>497</v>
      </c>
      <c r="K42" s="16"/>
      <c r="L42" s="9"/>
      <c r="M42" s="9" t="s">
        <v>499</v>
      </c>
      <c r="N42" s="16" t="s">
        <v>4</v>
      </c>
      <c r="O42" s="14">
        <v>45614</v>
      </c>
      <c r="P42" s="25"/>
      <c r="Q42" s="9"/>
      <c r="R42" s="11"/>
      <c r="S42" s="11"/>
      <c r="T42" s="14"/>
      <c r="U42" s="14"/>
      <c r="V42" s="9" t="s">
        <v>500</v>
      </c>
      <c r="W42" s="21" t="str">
        <f>IF(COUNTA(N42:U42)=0,"",IF(N42="","E_MISSING_INPUT",IF(N42="TIMESTAMP",IF(OR(O42="",P42="",Q42=""),"E_MISSING_INPUT",IF(OR(NOT(ISNUMBER(O42)),NOT(ISNUMBER(P42))),"E_INVALID_DATE",IF(OR(O42&lt;&gt;INT(O42),P42&lt;0,P42&gt;=1),"E_INVALID_DATE",IF(ISNA(MATCH(Q42,nLIST_Offset,0)),"E_INVALID_DATE","")))),IF(N42="DATE",IF(O42="","E_MISSING_INPUT",IF(NOT(ISNUMBER(O42)),"E_INVALID_DATE",IF(O42&lt;&gt;INT(O42),"E_INVALID_DATE",""))),IF(N42="MONTH",IF(OR(R42="",S42=""),"E_MISSING_INPUT",IF(OR(NOT(ISNUMBER(R42)),NOT(ISNUMBER(S42))),"E_INVALID_DATE",IF(OR(R42&lt;1900,R42&gt;9999,R42&lt;&gt;INT(R42),S42&lt;1,S42&gt;12,S42&lt;&gt;INT(S42)),"E_INVALID_DATE",""))),IF(N42="YEAR",IF(R42="","E_MISSING_INPUT",IF(NOT(ISNUMBER(R42)),"E_INVALID_DATE",IF(OR(R42&lt;1900,R42&gt;9999,R42&lt;&gt;INT(R42)),"E_INVALID_DATE",""))),IF(N42="RANGE",IF(OR(T42="",U42=""),"E_MISSING_INPUT",IF(OR(NOT(ISNUMBER(T42)),NOT(ISNUMBER(U42))),"E_INVALID_DATE",IF(OR(T42&lt;&gt;INT(T42),U42&lt;&gt;INT(U42)),"E_INVALID_DATE",IF(T42&gt;U42,"E_REVERSED_BOUNDS","")))),"E_MISSING_INPUT")))))))</f>
        <v/>
      </c>
      <c r="X42" s="22">
        <f t="shared" si="20"/>
        <v>0</v>
      </c>
      <c r="Y42" s="22">
        <f t="shared" si="21"/>
        <v>0</v>
      </c>
      <c r="Z42" s="28">
        <f t="shared" si="22"/>
        <v>45614</v>
      </c>
      <c r="AA42" s="28">
        <f t="shared" si="23"/>
        <v>45614</v>
      </c>
      <c r="AB42" s="22" t="str">
        <f t="shared" si="24"/>
        <v/>
      </c>
      <c r="AC42" s="22" t="str">
        <f t="shared" si="25"/>
        <v/>
      </c>
      <c r="AD42" s="9" t="s">
        <v>501</v>
      </c>
      <c r="AE42" s="16" t="s">
        <v>4</v>
      </c>
      <c r="AF42" s="14">
        <v>45719</v>
      </c>
      <c r="AG42" s="25"/>
      <c r="AH42" s="9"/>
      <c r="AI42" s="11"/>
      <c r="AJ42" s="11"/>
      <c r="AK42" s="14"/>
      <c r="AL42" s="14"/>
      <c r="AM42" s="9" t="s">
        <v>500</v>
      </c>
      <c r="AN42" s="21" t="str">
        <f>IF(COUNTA(AE42:AL42)=0,"",IF(AE42="","E_MISSING_INPUT",IF(AE42="TIMESTAMP",IF(OR(AF42="",AG42="",AH42=""),"E_MISSING_INPUT",IF(OR(NOT(ISNUMBER(AF42)),NOT(ISNUMBER(AG42))),"E_INVALID_DATE",IF(OR(AF42&lt;&gt;INT(AF42),AG42&lt;0,AG42&gt;=1),"E_INVALID_DATE",IF(ISNA(MATCH(AH42,nLIST_Offset,0)),"E_INVALID_DATE","")))),IF(AE42="DATE",IF(AF42="","E_MISSING_INPUT",IF(NOT(ISNUMBER(AF42)),"E_INVALID_DATE",IF(AF42&lt;&gt;INT(AF42),"E_INVALID_DATE",""))),IF(AE42="MONTH",IF(OR(AI42="",AJ42=""),"E_MISSING_INPUT",IF(OR(NOT(ISNUMBER(AI42)),NOT(ISNUMBER(AJ42))),"E_INVALID_DATE",IF(OR(AI42&lt;1900,AI42&gt;9999,AI42&lt;&gt;INT(AI42),AJ42&lt;1,AJ42&gt;12,AJ42&lt;&gt;INT(AJ42)),"E_INVALID_DATE",""))),IF(AE42="YEAR",IF(AI42="","E_MISSING_INPUT",IF(NOT(ISNUMBER(AI42)),"E_INVALID_DATE",IF(OR(AI42&lt;1900,AI42&gt;9999,AI42&lt;&gt;INT(AI42)),"E_INVALID_DATE",""))),IF(AE42="RANGE",IF(OR(AK42="",AL42=""),"E_MISSING_INPUT",IF(OR(NOT(ISNUMBER(AK42)),NOT(ISNUMBER(AL42))),"E_INVALID_DATE",IF(OR(AK42&lt;&gt;INT(AK42),AL42&lt;&gt;INT(AL42)),"E_INVALID_DATE",IF(AK42&gt;AL42,"E_REVERSED_BOUNDS","")))),"E_MISSING_INPUT")))))))</f>
        <v/>
      </c>
      <c r="AO42" s="22">
        <f t="shared" si="26"/>
        <v>0</v>
      </c>
      <c r="AP42" s="22">
        <f t="shared" si="27"/>
        <v>0</v>
      </c>
      <c r="AQ42" s="28">
        <f t="shared" si="28"/>
        <v>45719</v>
      </c>
      <c r="AR42" s="28">
        <f t="shared" si="29"/>
        <v>45719</v>
      </c>
      <c r="AS42" s="22" t="str">
        <f t="shared" si="30"/>
        <v/>
      </c>
      <c r="AT42" s="22" t="str">
        <f t="shared" si="31"/>
        <v/>
      </c>
      <c r="AU42" s="9"/>
      <c r="AV42" s="16"/>
      <c r="AW42" s="14"/>
      <c r="AX42" s="25"/>
      <c r="AY42" s="9"/>
      <c r="AZ42" s="11"/>
      <c r="BA42" s="11"/>
      <c r="BB42" s="14"/>
      <c r="BC42" s="14"/>
      <c r="BD42" s="9"/>
      <c r="BE42" s="21" t="str">
        <f>IF(COUNTA(AV42:BC42)=0,"",IF(AV42="","E_MISSING_INPUT",IF(AV42="TIMESTAMP",IF(OR(AW42="",AX42="",AY42=""),"E_MISSING_INPUT",IF(OR(NOT(ISNUMBER(AW42)),NOT(ISNUMBER(AX42))),"E_INVALID_DATE",IF(OR(AW42&lt;&gt;INT(AW42),AX42&lt;0,AX42&gt;=1),"E_INVALID_DATE",IF(ISNA(MATCH(AY42,nLIST_Offset,0)),"E_INVALID_DATE","")))),IF(AV42="DATE",IF(AW42="","E_MISSING_INPUT",IF(NOT(ISNUMBER(AW42)),"E_INVALID_DATE",IF(AW42&lt;&gt;INT(AW42),"E_INVALID_DATE",""))),IF(AV42="MONTH",IF(OR(AZ42="",BA42=""),"E_MISSING_INPUT",IF(OR(NOT(ISNUMBER(AZ42)),NOT(ISNUMBER(BA42))),"E_INVALID_DATE",IF(OR(AZ42&lt;1900,AZ42&gt;9999,AZ42&lt;&gt;INT(AZ42),BA42&lt;1,BA42&gt;12,BA42&lt;&gt;INT(BA42)),"E_INVALID_DATE",""))),IF(AV42="YEAR",IF(AZ42="","E_MISSING_INPUT",IF(NOT(ISNUMBER(AZ42)),"E_INVALID_DATE",IF(OR(AZ42&lt;1900,AZ42&gt;9999,AZ42&lt;&gt;INT(AZ42)),"E_INVALID_DATE",""))),IF(AV42="RANGE",IF(OR(BB42="",BC42=""),"E_MISSING_INPUT",IF(OR(NOT(ISNUMBER(BB42)),NOT(ISNUMBER(BC42))),"E_INVALID_DATE",IF(OR(BB42&lt;&gt;INT(BB42),BC42&lt;&gt;INT(BC42)),"E_INVALID_DATE",IF(BB42&gt;BC42,"E_REVERSED_BOUNDS","")))),"E_MISSING_INPUT")))))))</f>
        <v/>
      </c>
      <c r="BF42" s="22">
        <f t="shared" si="32"/>
        <v>0</v>
      </c>
      <c r="BG42" s="22">
        <f t="shared" si="33"/>
        <v>0</v>
      </c>
      <c r="BH42" s="28" t="str">
        <f t="shared" si="34"/>
        <v/>
      </c>
      <c r="BI42" s="28" t="str">
        <f t="shared" si="35"/>
        <v/>
      </c>
      <c r="BJ42" s="22" t="str">
        <f t="shared" si="36"/>
        <v/>
      </c>
      <c r="BK42" s="22" t="str">
        <f t="shared" si="37"/>
        <v/>
      </c>
      <c r="BL42" s="21" t="str">
        <f t="shared" si="38"/>
        <v>EX-C28|2|EX-RTX</v>
      </c>
      <c r="BM42" s="22">
        <f>IF(BL42="",0,COUNTIF(nEXP_Key,BL42))</f>
        <v>1</v>
      </c>
      <c r="BN42" s="21" t="str">
        <f t="shared" si="39"/>
        <v/>
      </c>
      <c r="BO42" s="21" t="str">
        <f>IF(BN42="","",BN42&amp;": "&amp;SUBSTITUTE(IFERROR(INDEX(nMSG_Text,MATCH(BN42,nMSG_Code,0)),""),"[input]",IF(D42="","an Exposure_Episode_ID","the date fields required by the selected precision")))</f>
        <v/>
      </c>
    </row>
    <row r="43" spans="1:67" x14ac:dyDescent="0.2">
      <c r="A43" s="9" t="s">
        <v>305</v>
      </c>
      <c r="B43" s="11">
        <v>2</v>
      </c>
      <c r="C43" s="9" t="s">
        <v>502</v>
      </c>
      <c r="D43" s="9" t="s">
        <v>503</v>
      </c>
      <c r="E43" s="9" t="s">
        <v>505</v>
      </c>
      <c r="F43" s="16" t="s">
        <v>115</v>
      </c>
      <c r="G43" s="9" t="s">
        <v>504</v>
      </c>
      <c r="H43" s="16"/>
      <c r="I43" s="16"/>
      <c r="J43" s="9"/>
      <c r="K43" s="16"/>
      <c r="L43" s="9"/>
      <c r="M43" s="9" t="s">
        <v>506</v>
      </c>
      <c r="N43" s="16" t="s">
        <v>4</v>
      </c>
      <c r="O43" s="14">
        <v>45614</v>
      </c>
      <c r="P43" s="25"/>
      <c r="Q43" s="9"/>
      <c r="R43" s="11"/>
      <c r="S43" s="11"/>
      <c r="T43" s="14"/>
      <c r="U43" s="14"/>
      <c r="V43" s="9" t="s">
        <v>500</v>
      </c>
      <c r="W43" s="21" t="str">
        <f>IF(COUNTA(N43:U43)=0,"",IF(N43="","E_MISSING_INPUT",IF(N43="TIMESTAMP",IF(OR(O43="",P43="",Q43=""),"E_MISSING_INPUT",IF(OR(NOT(ISNUMBER(O43)),NOT(ISNUMBER(P43))),"E_INVALID_DATE",IF(OR(O43&lt;&gt;INT(O43),P43&lt;0,P43&gt;=1),"E_INVALID_DATE",IF(ISNA(MATCH(Q43,nLIST_Offset,0)),"E_INVALID_DATE","")))),IF(N43="DATE",IF(O43="","E_MISSING_INPUT",IF(NOT(ISNUMBER(O43)),"E_INVALID_DATE",IF(O43&lt;&gt;INT(O43),"E_INVALID_DATE",""))),IF(N43="MONTH",IF(OR(R43="",S43=""),"E_MISSING_INPUT",IF(OR(NOT(ISNUMBER(R43)),NOT(ISNUMBER(S43))),"E_INVALID_DATE",IF(OR(R43&lt;1900,R43&gt;9999,R43&lt;&gt;INT(R43),S43&lt;1,S43&gt;12,S43&lt;&gt;INT(S43)),"E_INVALID_DATE",""))),IF(N43="YEAR",IF(R43="","E_MISSING_INPUT",IF(NOT(ISNUMBER(R43)),"E_INVALID_DATE",IF(OR(R43&lt;1900,R43&gt;9999,R43&lt;&gt;INT(R43)),"E_INVALID_DATE",""))),IF(N43="RANGE",IF(OR(T43="",U43=""),"E_MISSING_INPUT",IF(OR(NOT(ISNUMBER(T43)),NOT(ISNUMBER(U43))),"E_INVALID_DATE",IF(OR(T43&lt;&gt;INT(T43),U43&lt;&gt;INT(U43)),"E_INVALID_DATE",IF(T43&gt;U43,"E_REVERSED_BOUNDS","")))),"E_MISSING_INPUT")))))))</f>
        <v/>
      </c>
      <c r="X43" s="22">
        <f t="shared" si="20"/>
        <v>0</v>
      </c>
      <c r="Y43" s="22">
        <f t="shared" si="21"/>
        <v>0</v>
      </c>
      <c r="Z43" s="28">
        <f t="shared" si="22"/>
        <v>45614</v>
      </c>
      <c r="AA43" s="28">
        <f t="shared" si="23"/>
        <v>45614</v>
      </c>
      <c r="AB43" s="22" t="str">
        <f t="shared" si="24"/>
        <v/>
      </c>
      <c r="AC43" s="22" t="str">
        <f t="shared" si="25"/>
        <v/>
      </c>
      <c r="AD43" s="9" t="s">
        <v>506</v>
      </c>
      <c r="AE43" s="16" t="s">
        <v>4</v>
      </c>
      <c r="AF43" s="14">
        <v>45719</v>
      </c>
      <c r="AG43" s="25"/>
      <c r="AH43" s="9"/>
      <c r="AI43" s="11"/>
      <c r="AJ43" s="11"/>
      <c r="AK43" s="14"/>
      <c r="AL43" s="14"/>
      <c r="AM43" s="9" t="s">
        <v>500</v>
      </c>
      <c r="AN43" s="21" t="str">
        <f>IF(COUNTA(AE43:AL43)=0,"",IF(AE43="","E_MISSING_INPUT",IF(AE43="TIMESTAMP",IF(OR(AF43="",AG43="",AH43=""),"E_MISSING_INPUT",IF(OR(NOT(ISNUMBER(AF43)),NOT(ISNUMBER(AG43))),"E_INVALID_DATE",IF(OR(AF43&lt;&gt;INT(AF43),AG43&lt;0,AG43&gt;=1),"E_INVALID_DATE",IF(ISNA(MATCH(AH43,nLIST_Offset,0)),"E_INVALID_DATE","")))),IF(AE43="DATE",IF(AF43="","E_MISSING_INPUT",IF(NOT(ISNUMBER(AF43)),"E_INVALID_DATE",IF(AF43&lt;&gt;INT(AF43),"E_INVALID_DATE",""))),IF(AE43="MONTH",IF(OR(AI43="",AJ43=""),"E_MISSING_INPUT",IF(OR(NOT(ISNUMBER(AI43)),NOT(ISNUMBER(AJ43))),"E_INVALID_DATE",IF(OR(AI43&lt;1900,AI43&gt;9999,AI43&lt;&gt;INT(AI43),AJ43&lt;1,AJ43&gt;12,AJ43&lt;&gt;INT(AJ43)),"E_INVALID_DATE",""))),IF(AE43="YEAR",IF(AI43="","E_MISSING_INPUT",IF(NOT(ISNUMBER(AI43)),"E_INVALID_DATE",IF(OR(AI43&lt;1900,AI43&gt;9999,AI43&lt;&gt;INT(AI43)),"E_INVALID_DATE",""))),IF(AE43="RANGE",IF(OR(AK43="",AL43=""),"E_MISSING_INPUT",IF(OR(NOT(ISNUMBER(AK43)),NOT(ISNUMBER(AL43))),"E_INVALID_DATE",IF(OR(AK43&lt;&gt;INT(AK43),AL43&lt;&gt;INT(AL43)),"E_INVALID_DATE",IF(AK43&gt;AL43,"E_REVERSED_BOUNDS","")))),"E_MISSING_INPUT")))))))</f>
        <v/>
      </c>
      <c r="AO43" s="22">
        <f t="shared" si="26"/>
        <v>0</v>
      </c>
      <c r="AP43" s="22">
        <f t="shared" si="27"/>
        <v>0</v>
      </c>
      <c r="AQ43" s="28">
        <f t="shared" si="28"/>
        <v>45719</v>
      </c>
      <c r="AR43" s="28">
        <f t="shared" si="29"/>
        <v>45719</v>
      </c>
      <c r="AS43" s="22" t="str">
        <f t="shared" si="30"/>
        <v/>
      </c>
      <c r="AT43" s="22" t="str">
        <f t="shared" si="31"/>
        <v/>
      </c>
      <c r="AU43" s="9"/>
      <c r="AV43" s="16"/>
      <c r="AW43" s="14"/>
      <c r="AX43" s="25"/>
      <c r="AY43" s="9"/>
      <c r="AZ43" s="11"/>
      <c r="BA43" s="11"/>
      <c r="BB43" s="14"/>
      <c r="BC43" s="14"/>
      <c r="BD43" s="9"/>
      <c r="BE43" s="21" t="str">
        <f>IF(COUNTA(AV43:BC43)=0,"",IF(AV43="","E_MISSING_INPUT",IF(AV43="TIMESTAMP",IF(OR(AW43="",AX43="",AY43=""),"E_MISSING_INPUT",IF(OR(NOT(ISNUMBER(AW43)),NOT(ISNUMBER(AX43))),"E_INVALID_DATE",IF(OR(AW43&lt;&gt;INT(AW43),AX43&lt;0,AX43&gt;=1),"E_INVALID_DATE",IF(ISNA(MATCH(AY43,nLIST_Offset,0)),"E_INVALID_DATE","")))),IF(AV43="DATE",IF(AW43="","E_MISSING_INPUT",IF(NOT(ISNUMBER(AW43)),"E_INVALID_DATE",IF(AW43&lt;&gt;INT(AW43),"E_INVALID_DATE",""))),IF(AV43="MONTH",IF(OR(AZ43="",BA43=""),"E_MISSING_INPUT",IF(OR(NOT(ISNUMBER(AZ43)),NOT(ISNUMBER(BA43))),"E_INVALID_DATE",IF(OR(AZ43&lt;1900,AZ43&gt;9999,AZ43&lt;&gt;INT(AZ43),BA43&lt;1,BA43&gt;12,BA43&lt;&gt;INT(BA43)),"E_INVALID_DATE",""))),IF(AV43="YEAR",IF(AZ43="","E_MISSING_INPUT",IF(NOT(ISNUMBER(AZ43)),"E_INVALID_DATE",IF(OR(AZ43&lt;1900,AZ43&gt;9999,AZ43&lt;&gt;INT(AZ43)),"E_INVALID_DATE",""))),IF(AV43="RANGE",IF(OR(BB43="",BC43=""),"E_MISSING_INPUT",IF(OR(NOT(ISNUMBER(BB43)),NOT(ISNUMBER(BC43))),"E_INVALID_DATE",IF(OR(BB43&lt;&gt;INT(BB43),BC43&lt;&gt;INT(BC43)),"E_INVALID_DATE",IF(BB43&gt;BC43,"E_REVERSED_BOUNDS","")))),"E_MISSING_INPUT")))))))</f>
        <v/>
      </c>
      <c r="BF43" s="22">
        <f t="shared" si="32"/>
        <v>0</v>
      </c>
      <c r="BG43" s="22">
        <f t="shared" si="33"/>
        <v>0</v>
      </c>
      <c r="BH43" s="28" t="str">
        <f t="shared" si="34"/>
        <v/>
      </c>
      <c r="BI43" s="28" t="str">
        <f t="shared" si="35"/>
        <v/>
      </c>
      <c r="BJ43" s="22" t="str">
        <f t="shared" si="36"/>
        <v/>
      </c>
      <c r="BK43" s="22" t="str">
        <f t="shared" si="37"/>
        <v/>
      </c>
      <c r="BL43" s="21" t="str">
        <f t="shared" si="38"/>
        <v>EX-C28|2|EX-RX</v>
      </c>
      <c r="BM43" s="22">
        <f>IF(BL43="",0,COUNTIF(nEXP_Key,BL43))</f>
        <v>1</v>
      </c>
      <c r="BN43" s="21" t="str">
        <f t="shared" si="39"/>
        <v/>
      </c>
      <c r="BO43" s="21" t="str">
        <f>IF(BN43="","",BN43&amp;": "&amp;SUBSTITUTE(IFERROR(INDEX(nMSG_Text,MATCH(BN43,nMSG_Code,0)),""),"[input]",IF(D43="","an Exposure_Episode_ID","the date fields required by the selected precision")))</f>
        <v/>
      </c>
    </row>
    <row r="44" spans="1:67" x14ac:dyDescent="0.2">
      <c r="A44" s="9" t="s">
        <v>305</v>
      </c>
      <c r="B44" s="11">
        <v>2</v>
      </c>
      <c r="C44" s="9" t="s">
        <v>507</v>
      </c>
      <c r="D44" s="9" t="s">
        <v>508</v>
      </c>
      <c r="E44" s="9" t="s">
        <v>509</v>
      </c>
      <c r="F44" s="16" t="s">
        <v>117</v>
      </c>
      <c r="G44" s="9" t="s">
        <v>478</v>
      </c>
      <c r="H44" s="16"/>
      <c r="I44" s="16"/>
      <c r="J44" s="9"/>
      <c r="K44" s="16"/>
      <c r="L44" s="9"/>
      <c r="M44" s="9" t="s">
        <v>510</v>
      </c>
      <c r="N44" s="16" t="s">
        <v>4</v>
      </c>
      <c r="O44" s="14">
        <v>45607</v>
      </c>
      <c r="P44" s="25"/>
      <c r="Q44" s="9"/>
      <c r="R44" s="11"/>
      <c r="S44" s="11"/>
      <c r="T44" s="14"/>
      <c r="U44" s="14"/>
      <c r="V44" s="9" t="s">
        <v>500</v>
      </c>
      <c r="W44" s="21" t="str">
        <f>IF(COUNTA(N44:U44)=0,"",IF(N44="","E_MISSING_INPUT",IF(N44="TIMESTAMP",IF(OR(O44="",P44="",Q44=""),"E_MISSING_INPUT",IF(OR(NOT(ISNUMBER(O44)),NOT(ISNUMBER(P44))),"E_INVALID_DATE",IF(OR(O44&lt;&gt;INT(O44),P44&lt;0,P44&gt;=1),"E_INVALID_DATE",IF(ISNA(MATCH(Q44,nLIST_Offset,0)),"E_INVALID_DATE","")))),IF(N44="DATE",IF(O44="","E_MISSING_INPUT",IF(NOT(ISNUMBER(O44)),"E_INVALID_DATE",IF(O44&lt;&gt;INT(O44),"E_INVALID_DATE",""))),IF(N44="MONTH",IF(OR(R44="",S44=""),"E_MISSING_INPUT",IF(OR(NOT(ISNUMBER(R44)),NOT(ISNUMBER(S44))),"E_INVALID_DATE",IF(OR(R44&lt;1900,R44&gt;9999,R44&lt;&gt;INT(R44),S44&lt;1,S44&gt;12,S44&lt;&gt;INT(S44)),"E_INVALID_DATE",""))),IF(N44="YEAR",IF(R44="","E_MISSING_INPUT",IF(NOT(ISNUMBER(R44)),"E_INVALID_DATE",IF(OR(R44&lt;1900,R44&gt;9999,R44&lt;&gt;INT(R44)),"E_INVALID_DATE",""))),IF(N44="RANGE",IF(OR(T44="",U44=""),"E_MISSING_INPUT",IF(OR(NOT(ISNUMBER(T44)),NOT(ISNUMBER(U44))),"E_INVALID_DATE",IF(OR(T44&lt;&gt;INT(T44),U44&lt;&gt;INT(U44)),"E_INVALID_DATE",IF(T44&gt;U44,"E_REVERSED_BOUNDS","")))),"E_MISSING_INPUT")))))))</f>
        <v/>
      </c>
      <c r="X44" s="22">
        <f t="shared" si="20"/>
        <v>0</v>
      </c>
      <c r="Y44" s="22">
        <f t="shared" si="21"/>
        <v>0</v>
      </c>
      <c r="Z44" s="28">
        <f t="shared" si="22"/>
        <v>45607</v>
      </c>
      <c r="AA44" s="28">
        <f t="shared" si="23"/>
        <v>45607</v>
      </c>
      <c r="AB44" s="22" t="str">
        <f t="shared" si="24"/>
        <v/>
      </c>
      <c r="AC44" s="22" t="str">
        <f t="shared" si="25"/>
        <v/>
      </c>
      <c r="AD44" s="9" t="s">
        <v>511</v>
      </c>
      <c r="AE44" s="16" t="s">
        <v>4</v>
      </c>
      <c r="AF44" s="14">
        <v>45903</v>
      </c>
      <c r="AG44" s="25"/>
      <c r="AH44" s="9"/>
      <c r="AI44" s="11"/>
      <c r="AJ44" s="11"/>
      <c r="AK44" s="14"/>
      <c r="AL44" s="14"/>
      <c r="AM44" s="9" t="s">
        <v>500</v>
      </c>
      <c r="AN44" s="21" t="str">
        <f>IF(COUNTA(AE44:AL44)=0,"",IF(AE44="","E_MISSING_INPUT",IF(AE44="TIMESTAMP",IF(OR(AF44="",AG44="",AH44=""),"E_MISSING_INPUT",IF(OR(NOT(ISNUMBER(AF44)),NOT(ISNUMBER(AG44))),"E_INVALID_DATE",IF(OR(AF44&lt;&gt;INT(AF44),AG44&lt;0,AG44&gt;=1),"E_INVALID_DATE",IF(ISNA(MATCH(AH44,nLIST_Offset,0)),"E_INVALID_DATE","")))),IF(AE44="DATE",IF(AF44="","E_MISSING_INPUT",IF(NOT(ISNUMBER(AF44)),"E_INVALID_DATE",IF(AF44&lt;&gt;INT(AF44),"E_INVALID_DATE",""))),IF(AE44="MONTH",IF(OR(AI44="",AJ44=""),"E_MISSING_INPUT",IF(OR(NOT(ISNUMBER(AI44)),NOT(ISNUMBER(AJ44))),"E_INVALID_DATE",IF(OR(AI44&lt;1900,AI44&gt;9999,AI44&lt;&gt;INT(AI44),AJ44&lt;1,AJ44&gt;12,AJ44&lt;&gt;INT(AJ44)),"E_INVALID_DATE",""))),IF(AE44="YEAR",IF(AI44="","E_MISSING_INPUT",IF(NOT(ISNUMBER(AI44)),"E_INVALID_DATE",IF(OR(AI44&lt;1900,AI44&gt;9999,AI44&lt;&gt;INT(AI44)),"E_INVALID_DATE",""))),IF(AE44="RANGE",IF(OR(AK44="",AL44=""),"E_MISSING_INPUT",IF(OR(NOT(ISNUMBER(AK44)),NOT(ISNUMBER(AL44))),"E_INVALID_DATE",IF(OR(AK44&lt;&gt;INT(AK44),AL44&lt;&gt;INT(AL44)),"E_INVALID_DATE",IF(AK44&gt;AL44,"E_REVERSED_BOUNDS","")))),"E_MISSING_INPUT")))))))</f>
        <v/>
      </c>
      <c r="AO44" s="22">
        <f t="shared" si="26"/>
        <v>0</v>
      </c>
      <c r="AP44" s="22">
        <f t="shared" si="27"/>
        <v>0</v>
      </c>
      <c r="AQ44" s="28">
        <f t="shared" si="28"/>
        <v>45903</v>
      </c>
      <c r="AR44" s="28">
        <f t="shared" si="29"/>
        <v>45903</v>
      </c>
      <c r="AS44" s="22" t="str">
        <f t="shared" si="30"/>
        <v/>
      </c>
      <c r="AT44" s="22" t="str">
        <f t="shared" si="31"/>
        <v/>
      </c>
      <c r="AU44" s="9"/>
      <c r="AV44" s="16"/>
      <c r="AW44" s="14"/>
      <c r="AX44" s="25"/>
      <c r="AY44" s="9"/>
      <c r="AZ44" s="11"/>
      <c r="BA44" s="11"/>
      <c r="BB44" s="14"/>
      <c r="BC44" s="14"/>
      <c r="BD44" s="9"/>
      <c r="BE44" s="21" t="str">
        <f>IF(COUNTA(AV44:BC44)=0,"",IF(AV44="","E_MISSING_INPUT",IF(AV44="TIMESTAMP",IF(OR(AW44="",AX44="",AY44=""),"E_MISSING_INPUT",IF(OR(NOT(ISNUMBER(AW44)),NOT(ISNUMBER(AX44))),"E_INVALID_DATE",IF(OR(AW44&lt;&gt;INT(AW44),AX44&lt;0,AX44&gt;=1),"E_INVALID_DATE",IF(ISNA(MATCH(AY44,nLIST_Offset,0)),"E_INVALID_DATE","")))),IF(AV44="DATE",IF(AW44="","E_MISSING_INPUT",IF(NOT(ISNUMBER(AW44)),"E_INVALID_DATE",IF(AW44&lt;&gt;INT(AW44),"E_INVALID_DATE",""))),IF(AV44="MONTH",IF(OR(AZ44="",BA44=""),"E_MISSING_INPUT",IF(OR(NOT(ISNUMBER(AZ44)),NOT(ISNUMBER(BA44))),"E_INVALID_DATE",IF(OR(AZ44&lt;1900,AZ44&gt;9999,AZ44&lt;&gt;INT(AZ44),BA44&lt;1,BA44&gt;12,BA44&lt;&gt;INT(BA44)),"E_INVALID_DATE",""))),IF(AV44="YEAR",IF(AZ44="","E_MISSING_INPUT",IF(NOT(ISNUMBER(AZ44)),"E_INVALID_DATE",IF(OR(AZ44&lt;1900,AZ44&gt;9999,AZ44&lt;&gt;INT(AZ44)),"E_INVALID_DATE",""))),IF(AV44="RANGE",IF(OR(BB44="",BC44=""),"E_MISSING_INPUT",IF(OR(NOT(ISNUMBER(BB44)),NOT(ISNUMBER(BC44))),"E_INVALID_DATE",IF(OR(BB44&lt;&gt;INT(BB44),BC44&lt;&gt;INT(BC44)),"E_INVALID_DATE",IF(BB44&gt;BC44,"E_REVERSED_BOUNDS","")))),"E_MISSING_INPUT")))))))</f>
        <v/>
      </c>
      <c r="BF44" s="22">
        <f t="shared" si="32"/>
        <v>0</v>
      </c>
      <c r="BG44" s="22">
        <f t="shared" si="33"/>
        <v>0</v>
      </c>
      <c r="BH44" s="28" t="str">
        <f t="shared" si="34"/>
        <v/>
      </c>
      <c r="BI44" s="28" t="str">
        <f t="shared" si="35"/>
        <v/>
      </c>
      <c r="BJ44" s="22" t="str">
        <f t="shared" si="36"/>
        <v/>
      </c>
      <c r="BK44" s="22" t="str">
        <f t="shared" si="37"/>
        <v/>
      </c>
      <c r="BL44" s="21" t="str">
        <f t="shared" si="38"/>
        <v>EX-C28|2|EX-AVA</v>
      </c>
      <c r="BM44" s="22">
        <f>IF(BL44="",0,COUNTIF(nEXP_Key,BL44))</f>
        <v>1</v>
      </c>
      <c r="BN44" s="21" t="str">
        <f t="shared" si="39"/>
        <v/>
      </c>
      <c r="BO44" s="21" t="str">
        <f>IF(BN44="","",BN44&amp;": "&amp;SUBSTITUTE(IFERROR(INDEX(nMSG_Text,MATCH(BN44,nMSG_Code,0)),""),"[input]",IF(D44="","an Exposure_Episode_ID","the date fields required by the selected precision")))</f>
        <v/>
      </c>
    </row>
    <row r="45" spans="1:67" x14ac:dyDescent="0.2">
      <c r="A45" s="9" t="s">
        <v>305</v>
      </c>
      <c r="B45" s="11">
        <v>2</v>
      </c>
      <c r="C45" s="9" t="s">
        <v>513</v>
      </c>
      <c r="D45" s="9" t="s">
        <v>512</v>
      </c>
      <c r="E45" s="9" t="s">
        <v>514</v>
      </c>
      <c r="F45" s="16" t="s">
        <v>115</v>
      </c>
      <c r="G45" s="9" t="s">
        <v>478</v>
      </c>
      <c r="H45" s="16"/>
      <c r="I45" s="16"/>
      <c r="J45" s="9"/>
      <c r="K45" s="16" t="s">
        <v>153</v>
      </c>
      <c r="L45" s="9" t="s">
        <v>515</v>
      </c>
      <c r="M45" s="9" t="s">
        <v>516</v>
      </c>
      <c r="N45" s="16" t="s">
        <v>4</v>
      </c>
      <c r="O45" s="14">
        <v>46083</v>
      </c>
      <c r="P45" s="25"/>
      <c r="Q45" s="9"/>
      <c r="R45" s="11"/>
      <c r="S45" s="11"/>
      <c r="T45" s="14"/>
      <c r="U45" s="14"/>
      <c r="V45" s="9" t="s">
        <v>517</v>
      </c>
      <c r="W45" s="21" t="str">
        <f>IF(COUNTA(N45:U45)=0,"",IF(N45="","E_MISSING_INPUT",IF(N45="TIMESTAMP",IF(OR(O45="",P45="",Q45=""),"E_MISSING_INPUT",IF(OR(NOT(ISNUMBER(O45)),NOT(ISNUMBER(P45))),"E_INVALID_DATE",IF(OR(O45&lt;&gt;INT(O45),P45&lt;0,P45&gt;=1),"E_INVALID_DATE",IF(ISNA(MATCH(Q45,nLIST_Offset,0)),"E_INVALID_DATE","")))),IF(N45="DATE",IF(O45="","E_MISSING_INPUT",IF(NOT(ISNUMBER(O45)),"E_INVALID_DATE",IF(O45&lt;&gt;INT(O45),"E_INVALID_DATE",""))),IF(N45="MONTH",IF(OR(R45="",S45=""),"E_MISSING_INPUT",IF(OR(NOT(ISNUMBER(R45)),NOT(ISNUMBER(S45))),"E_INVALID_DATE",IF(OR(R45&lt;1900,R45&gt;9999,R45&lt;&gt;INT(R45),S45&lt;1,S45&gt;12,S45&lt;&gt;INT(S45)),"E_INVALID_DATE",""))),IF(N45="YEAR",IF(R45="","E_MISSING_INPUT",IF(NOT(ISNUMBER(R45)),"E_INVALID_DATE",IF(OR(R45&lt;1900,R45&gt;9999,R45&lt;&gt;INT(R45)),"E_INVALID_DATE",""))),IF(N45="RANGE",IF(OR(T45="",U45=""),"E_MISSING_INPUT",IF(OR(NOT(ISNUMBER(T45)),NOT(ISNUMBER(U45))),"E_INVALID_DATE",IF(OR(T45&lt;&gt;INT(T45),U45&lt;&gt;INT(U45)),"E_INVALID_DATE",IF(T45&gt;U45,"E_REVERSED_BOUNDS","")))),"E_MISSING_INPUT")))))))</f>
        <v/>
      </c>
      <c r="X45" s="22">
        <f t="shared" si="20"/>
        <v>0</v>
      </c>
      <c r="Y45" s="22">
        <f t="shared" si="21"/>
        <v>0</v>
      </c>
      <c r="Z45" s="28">
        <f t="shared" si="22"/>
        <v>46083</v>
      </c>
      <c r="AA45" s="28">
        <f t="shared" si="23"/>
        <v>46083</v>
      </c>
      <c r="AB45" s="22" t="str">
        <f t="shared" si="24"/>
        <v/>
      </c>
      <c r="AC45" s="22" t="str">
        <f t="shared" si="25"/>
        <v/>
      </c>
      <c r="AD45" s="9" t="s">
        <v>516</v>
      </c>
      <c r="AE45" s="16" t="s">
        <v>4</v>
      </c>
      <c r="AF45" s="14">
        <v>46092</v>
      </c>
      <c r="AG45" s="25"/>
      <c r="AH45" s="9"/>
      <c r="AI45" s="11"/>
      <c r="AJ45" s="11"/>
      <c r="AK45" s="14"/>
      <c r="AL45" s="14"/>
      <c r="AM45" s="9" t="s">
        <v>517</v>
      </c>
      <c r="AN45" s="21" t="str">
        <f>IF(COUNTA(AE45:AL45)=0,"",IF(AE45="","E_MISSING_INPUT",IF(AE45="TIMESTAMP",IF(OR(AF45="",AG45="",AH45=""),"E_MISSING_INPUT",IF(OR(NOT(ISNUMBER(AF45)),NOT(ISNUMBER(AG45))),"E_INVALID_DATE",IF(OR(AF45&lt;&gt;INT(AF45),AG45&lt;0,AG45&gt;=1),"E_INVALID_DATE",IF(ISNA(MATCH(AH45,nLIST_Offset,0)),"E_INVALID_DATE","")))),IF(AE45="DATE",IF(AF45="","E_MISSING_INPUT",IF(NOT(ISNUMBER(AF45)),"E_INVALID_DATE",IF(AF45&lt;&gt;INT(AF45),"E_INVALID_DATE",""))),IF(AE45="MONTH",IF(OR(AI45="",AJ45=""),"E_MISSING_INPUT",IF(OR(NOT(ISNUMBER(AI45)),NOT(ISNUMBER(AJ45))),"E_INVALID_DATE",IF(OR(AI45&lt;1900,AI45&gt;9999,AI45&lt;&gt;INT(AI45),AJ45&lt;1,AJ45&gt;12,AJ45&lt;&gt;INT(AJ45)),"E_INVALID_DATE",""))),IF(AE45="YEAR",IF(AI45="","E_MISSING_INPUT",IF(NOT(ISNUMBER(AI45)),"E_INVALID_DATE",IF(OR(AI45&lt;1900,AI45&gt;9999,AI45&lt;&gt;INT(AI45)),"E_INVALID_DATE",""))),IF(AE45="RANGE",IF(OR(AK45="",AL45=""),"E_MISSING_INPUT",IF(OR(NOT(ISNUMBER(AK45)),NOT(ISNUMBER(AL45))),"E_INVALID_DATE",IF(OR(AK45&lt;&gt;INT(AK45),AL45&lt;&gt;INT(AL45)),"E_INVALID_DATE",IF(AK45&gt;AL45,"E_REVERSED_BOUNDS","")))),"E_MISSING_INPUT")))))))</f>
        <v/>
      </c>
      <c r="AO45" s="22">
        <f t="shared" si="26"/>
        <v>0</v>
      </c>
      <c r="AP45" s="22">
        <f t="shared" si="27"/>
        <v>0</v>
      </c>
      <c r="AQ45" s="28">
        <f t="shared" si="28"/>
        <v>46092</v>
      </c>
      <c r="AR45" s="28">
        <f t="shared" si="29"/>
        <v>46092</v>
      </c>
      <c r="AS45" s="22" t="str">
        <f t="shared" si="30"/>
        <v/>
      </c>
      <c r="AT45" s="22" t="str">
        <f t="shared" si="31"/>
        <v/>
      </c>
      <c r="AU45" s="9"/>
      <c r="AV45" s="16"/>
      <c r="AW45" s="14"/>
      <c r="AX45" s="25"/>
      <c r="AY45" s="9"/>
      <c r="AZ45" s="11"/>
      <c r="BA45" s="11"/>
      <c r="BB45" s="14"/>
      <c r="BC45" s="14"/>
      <c r="BD45" s="9"/>
      <c r="BE45" s="21" t="str">
        <f>IF(COUNTA(AV45:BC45)=0,"",IF(AV45="","E_MISSING_INPUT",IF(AV45="TIMESTAMP",IF(OR(AW45="",AX45="",AY45=""),"E_MISSING_INPUT",IF(OR(NOT(ISNUMBER(AW45)),NOT(ISNUMBER(AX45))),"E_INVALID_DATE",IF(OR(AW45&lt;&gt;INT(AW45),AX45&lt;0,AX45&gt;=1),"E_INVALID_DATE",IF(ISNA(MATCH(AY45,nLIST_Offset,0)),"E_INVALID_DATE","")))),IF(AV45="DATE",IF(AW45="","E_MISSING_INPUT",IF(NOT(ISNUMBER(AW45)),"E_INVALID_DATE",IF(AW45&lt;&gt;INT(AW45),"E_INVALID_DATE",""))),IF(AV45="MONTH",IF(OR(AZ45="",BA45=""),"E_MISSING_INPUT",IF(OR(NOT(ISNUMBER(AZ45)),NOT(ISNUMBER(BA45))),"E_INVALID_DATE",IF(OR(AZ45&lt;1900,AZ45&gt;9999,AZ45&lt;&gt;INT(AZ45),BA45&lt;1,BA45&gt;12,BA45&lt;&gt;INT(BA45)),"E_INVALID_DATE",""))),IF(AV45="YEAR",IF(AZ45="","E_MISSING_INPUT",IF(NOT(ISNUMBER(AZ45)),"E_INVALID_DATE",IF(OR(AZ45&lt;1900,AZ45&gt;9999,AZ45&lt;&gt;INT(AZ45)),"E_INVALID_DATE",""))),IF(AV45="RANGE",IF(OR(BB45="",BC45=""),"E_MISSING_INPUT",IF(OR(NOT(ISNUMBER(BB45)),NOT(ISNUMBER(BC45))),"E_INVALID_DATE",IF(OR(BB45&lt;&gt;INT(BB45),BC45&lt;&gt;INT(BC45)),"E_INVALID_DATE",IF(BB45&gt;BC45,"E_REVERSED_BOUNDS","")))),"E_MISSING_INPUT")))))))</f>
        <v/>
      </c>
      <c r="BF45" s="22">
        <f t="shared" si="32"/>
        <v>0</v>
      </c>
      <c r="BG45" s="22">
        <f t="shared" si="33"/>
        <v>0</v>
      </c>
      <c r="BH45" s="28" t="str">
        <f t="shared" si="34"/>
        <v/>
      </c>
      <c r="BI45" s="28" t="str">
        <f t="shared" si="35"/>
        <v/>
      </c>
      <c r="BJ45" s="22" t="str">
        <f t="shared" si="36"/>
        <v/>
      </c>
      <c r="BK45" s="22" t="str">
        <f t="shared" si="37"/>
        <v/>
      </c>
      <c r="BL45" s="21" t="str">
        <f t="shared" si="38"/>
        <v>EX-C28|2|EX-PRED</v>
      </c>
      <c r="BM45" s="22">
        <f>IF(BL45="",0,COUNTIF(nEXP_Key,BL45))</f>
        <v>1</v>
      </c>
      <c r="BN45" s="21" t="str">
        <f t="shared" si="39"/>
        <v/>
      </c>
      <c r="BO45" s="21" t="str">
        <f>IF(BN45="","",BN45&amp;": "&amp;SUBSTITUTE(IFERROR(INDEX(nMSG_Text,MATCH(BN45,nMSG_Code,0)),""),"[input]",IF(D45="","an Exposure_Episode_ID","the date fields required by the selected precision")))</f>
        <v/>
      </c>
    </row>
    <row r="46" spans="1:67" x14ac:dyDescent="0.2">
      <c r="A46" s="9" t="s">
        <v>305</v>
      </c>
      <c r="B46" s="11">
        <v>2</v>
      </c>
      <c r="C46" s="9" t="s">
        <v>507</v>
      </c>
      <c r="D46" s="9" t="s">
        <v>518</v>
      </c>
      <c r="E46" s="9" t="s">
        <v>519</v>
      </c>
      <c r="F46" s="16" t="s">
        <v>118</v>
      </c>
      <c r="G46" s="9" t="s">
        <v>478</v>
      </c>
      <c r="H46" s="16"/>
      <c r="I46" s="16"/>
      <c r="J46" s="9"/>
      <c r="K46" s="16"/>
      <c r="L46" s="9"/>
      <c r="M46" s="9" t="s">
        <v>520</v>
      </c>
      <c r="N46" s="16" t="s">
        <v>4</v>
      </c>
      <c r="O46" s="14">
        <v>46169</v>
      </c>
      <c r="P46" s="25"/>
      <c r="Q46" s="9"/>
      <c r="R46" s="11"/>
      <c r="S46" s="11"/>
      <c r="T46" s="14"/>
      <c r="U46" s="14"/>
      <c r="V46" s="9" t="s">
        <v>517</v>
      </c>
      <c r="W46" s="21" t="str">
        <f>IF(COUNTA(N46:U46)=0,"",IF(N46="","E_MISSING_INPUT",IF(N46="TIMESTAMP",IF(OR(O46="",P46="",Q46=""),"E_MISSING_INPUT",IF(OR(NOT(ISNUMBER(O46)),NOT(ISNUMBER(P46))),"E_INVALID_DATE",IF(OR(O46&lt;&gt;INT(O46),P46&lt;0,P46&gt;=1),"E_INVALID_DATE",IF(ISNA(MATCH(Q46,nLIST_Offset,0)),"E_INVALID_DATE","")))),IF(N46="DATE",IF(O46="","E_MISSING_INPUT",IF(NOT(ISNUMBER(O46)),"E_INVALID_DATE",IF(O46&lt;&gt;INT(O46),"E_INVALID_DATE",""))),IF(N46="MONTH",IF(OR(R46="",S46=""),"E_MISSING_INPUT",IF(OR(NOT(ISNUMBER(R46)),NOT(ISNUMBER(S46))),"E_INVALID_DATE",IF(OR(R46&lt;1900,R46&gt;9999,R46&lt;&gt;INT(R46),S46&lt;1,S46&gt;12,S46&lt;&gt;INT(S46)),"E_INVALID_DATE",""))),IF(N46="YEAR",IF(R46="","E_MISSING_INPUT",IF(NOT(ISNUMBER(R46)),"E_INVALID_DATE",IF(OR(R46&lt;1900,R46&gt;9999,R46&lt;&gt;INT(R46)),"E_INVALID_DATE",""))),IF(N46="RANGE",IF(OR(T46="",U46=""),"E_MISSING_INPUT",IF(OR(NOT(ISNUMBER(T46)),NOT(ISNUMBER(U46))),"E_INVALID_DATE",IF(OR(T46&lt;&gt;INT(T46),U46&lt;&gt;INT(U46)),"E_INVALID_DATE",IF(T46&gt;U46,"E_REVERSED_BOUNDS","")))),"E_MISSING_INPUT")))))))</f>
        <v/>
      </c>
      <c r="X46" s="22">
        <f t="shared" si="20"/>
        <v>0</v>
      </c>
      <c r="Y46" s="22">
        <f t="shared" si="21"/>
        <v>0</v>
      </c>
      <c r="Z46" s="28">
        <f t="shared" si="22"/>
        <v>46169</v>
      </c>
      <c r="AA46" s="28">
        <f t="shared" si="23"/>
        <v>46169</v>
      </c>
      <c r="AB46" s="22" t="str">
        <f t="shared" si="24"/>
        <v/>
      </c>
      <c r="AC46" s="22" t="str">
        <f t="shared" si="25"/>
        <v/>
      </c>
      <c r="AD46" s="9"/>
      <c r="AE46" s="16"/>
      <c r="AF46" s="14"/>
      <c r="AG46" s="25"/>
      <c r="AH46" s="9"/>
      <c r="AI46" s="11"/>
      <c r="AJ46" s="11"/>
      <c r="AK46" s="14"/>
      <c r="AL46" s="14"/>
      <c r="AM46" s="9"/>
      <c r="AN46" s="21" t="str">
        <f>IF(COUNTA(AE46:AL46)=0,"",IF(AE46="","E_MISSING_INPUT",IF(AE46="TIMESTAMP",IF(OR(AF46="",AG46="",AH46=""),"E_MISSING_INPUT",IF(OR(NOT(ISNUMBER(AF46)),NOT(ISNUMBER(AG46))),"E_INVALID_DATE",IF(OR(AF46&lt;&gt;INT(AF46),AG46&lt;0,AG46&gt;=1),"E_INVALID_DATE",IF(ISNA(MATCH(AH46,nLIST_Offset,0)),"E_INVALID_DATE","")))),IF(AE46="DATE",IF(AF46="","E_MISSING_INPUT",IF(NOT(ISNUMBER(AF46)),"E_INVALID_DATE",IF(AF46&lt;&gt;INT(AF46),"E_INVALID_DATE",""))),IF(AE46="MONTH",IF(OR(AI46="",AJ46=""),"E_MISSING_INPUT",IF(OR(NOT(ISNUMBER(AI46)),NOT(ISNUMBER(AJ46))),"E_INVALID_DATE",IF(OR(AI46&lt;1900,AI46&gt;9999,AI46&lt;&gt;INT(AI46),AJ46&lt;1,AJ46&gt;12,AJ46&lt;&gt;INT(AJ46)),"E_INVALID_DATE",""))),IF(AE46="YEAR",IF(AI46="","E_MISSING_INPUT",IF(NOT(ISNUMBER(AI46)),"E_INVALID_DATE",IF(OR(AI46&lt;1900,AI46&gt;9999,AI46&lt;&gt;INT(AI46)),"E_INVALID_DATE",""))),IF(AE46="RANGE",IF(OR(AK46="",AL46=""),"E_MISSING_INPUT",IF(OR(NOT(ISNUMBER(AK46)),NOT(ISNUMBER(AL46))),"E_INVALID_DATE",IF(OR(AK46&lt;&gt;INT(AK46),AL46&lt;&gt;INT(AL46)),"E_INVALID_DATE",IF(AK46&gt;AL46,"E_REVERSED_BOUNDS","")))),"E_MISSING_INPUT")))))))</f>
        <v/>
      </c>
      <c r="AO46" s="22">
        <f t="shared" si="26"/>
        <v>0</v>
      </c>
      <c r="AP46" s="22">
        <f t="shared" si="27"/>
        <v>0</v>
      </c>
      <c r="AQ46" s="28" t="str">
        <f t="shared" si="28"/>
        <v/>
      </c>
      <c r="AR46" s="28" t="str">
        <f t="shared" si="29"/>
        <v/>
      </c>
      <c r="AS46" s="22" t="str">
        <f t="shared" si="30"/>
        <v/>
      </c>
      <c r="AT46" s="22" t="str">
        <f t="shared" si="31"/>
        <v/>
      </c>
      <c r="AU46" s="9"/>
      <c r="AV46" s="16"/>
      <c r="AW46" s="14"/>
      <c r="AX46" s="25"/>
      <c r="AY46" s="9"/>
      <c r="AZ46" s="11"/>
      <c r="BA46" s="11"/>
      <c r="BB46" s="14"/>
      <c r="BC46" s="14"/>
      <c r="BD46" s="9"/>
      <c r="BE46" s="21" t="str">
        <f>IF(COUNTA(AV46:BC46)=0,"",IF(AV46="","E_MISSING_INPUT",IF(AV46="TIMESTAMP",IF(OR(AW46="",AX46="",AY46=""),"E_MISSING_INPUT",IF(OR(NOT(ISNUMBER(AW46)),NOT(ISNUMBER(AX46))),"E_INVALID_DATE",IF(OR(AW46&lt;&gt;INT(AW46),AX46&lt;0,AX46&gt;=1),"E_INVALID_DATE",IF(ISNA(MATCH(AY46,nLIST_Offset,0)),"E_INVALID_DATE","")))),IF(AV46="DATE",IF(AW46="","E_MISSING_INPUT",IF(NOT(ISNUMBER(AW46)),"E_INVALID_DATE",IF(AW46&lt;&gt;INT(AW46),"E_INVALID_DATE",""))),IF(AV46="MONTH",IF(OR(AZ46="",BA46=""),"E_MISSING_INPUT",IF(OR(NOT(ISNUMBER(AZ46)),NOT(ISNUMBER(BA46))),"E_INVALID_DATE",IF(OR(AZ46&lt;1900,AZ46&gt;9999,AZ46&lt;&gt;INT(AZ46),BA46&lt;1,BA46&gt;12,BA46&lt;&gt;INT(BA46)),"E_INVALID_DATE",""))),IF(AV46="YEAR",IF(AZ46="","E_MISSING_INPUT",IF(NOT(ISNUMBER(AZ46)),"E_INVALID_DATE",IF(OR(AZ46&lt;1900,AZ46&gt;9999,AZ46&lt;&gt;INT(AZ46)),"E_INVALID_DATE",""))),IF(AV46="RANGE",IF(OR(BB46="",BC46=""),"E_MISSING_INPUT",IF(OR(NOT(ISNUMBER(BB46)),NOT(ISNUMBER(BC46))),"E_INVALID_DATE",IF(OR(BB46&lt;&gt;INT(BB46),BC46&lt;&gt;INT(BC46)),"E_INVALID_DATE",IF(BB46&gt;BC46,"E_REVERSED_BOUNDS","")))),"E_MISSING_INPUT")))))))</f>
        <v/>
      </c>
      <c r="BF46" s="22">
        <f t="shared" si="32"/>
        <v>0</v>
      </c>
      <c r="BG46" s="22">
        <f t="shared" si="33"/>
        <v>0</v>
      </c>
      <c r="BH46" s="28" t="str">
        <f t="shared" si="34"/>
        <v/>
      </c>
      <c r="BI46" s="28" t="str">
        <f t="shared" si="35"/>
        <v/>
      </c>
      <c r="BJ46" s="22" t="str">
        <f t="shared" si="36"/>
        <v/>
      </c>
      <c r="BK46" s="22" t="str">
        <f t="shared" si="37"/>
        <v/>
      </c>
      <c r="BL46" s="21" t="str">
        <f t="shared" si="38"/>
        <v>EX-C28|2|EX-AVA2</v>
      </c>
      <c r="BM46" s="22">
        <f>IF(BL46="",0,COUNTIF(nEXP_Key,BL46))</f>
        <v>1</v>
      </c>
      <c r="BN46" s="21" t="str">
        <f t="shared" si="39"/>
        <v/>
      </c>
      <c r="BO46" s="21" t="str">
        <f>IF(BN46="","",BN46&amp;": "&amp;SUBSTITUTE(IFERROR(INDEX(nMSG_Text,MATCH(BN46,nMSG_Code,0)),""),"[input]",IF(D46="","an Exposure_Episode_ID","the date fields required by the selected precision")))</f>
        <v/>
      </c>
    </row>
    <row r="47" spans="1:67" x14ac:dyDescent="0.2">
      <c r="A47" s="24" t="s">
        <v>295</v>
      </c>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row>
    <row r="48" spans="1:67" x14ac:dyDescent="0.2">
      <c r="A48" s="9" t="s">
        <v>308</v>
      </c>
      <c r="B48" s="11">
        <v>1</v>
      </c>
      <c r="C48" s="9" t="s">
        <v>521</v>
      </c>
      <c r="D48" s="9" t="s">
        <v>522</v>
      </c>
      <c r="E48" s="9" t="s">
        <v>523</v>
      </c>
      <c r="F48" s="16"/>
      <c r="G48" s="9"/>
      <c r="H48" s="16"/>
      <c r="I48" s="16"/>
      <c r="J48" s="9"/>
      <c r="K48" s="16"/>
      <c r="L48" s="9"/>
      <c r="M48" s="9" t="s">
        <v>524</v>
      </c>
      <c r="N48" s="16" t="s">
        <v>3</v>
      </c>
      <c r="O48" s="14">
        <v>46032</v>
      </c>
      <c r="P48" s="25">
        <v>0.375</v>
      </c>
      <c r="Q48" s="9" t="s">
        <v>20</v>
      </c>
      <c r="R48" s="11"/>
      <c r="S48" s="11"/>
      <c r="T48" s="14"/>
      <c r="U48" s="14"/>
      <c r="V48" s="9" t="s">
        <v>525</v>
      </c>
      <c r="W48" s="21" t="str">
        <f>IF(COUNTA(N48:U48)=0,"",IF(N48="","E_MISSING_INPUT",IF(N48="TIMESTAMP",IF(OR(O48="",P48="",Q48=""),"E_MISSING_INPUT",IF(OR(NOT(ISNUMBER(O48)),NOT(ISNUMBER(P48))),"E_INVALID_DATE",IF(OR(O48&lt;&gt;INT(O48),P48&lt;0,P48&gt;=1),"E_INVALID_DATE",IF(ISNA(MATCH(Q48,nLIST_Offset,0)),"E_INVALID_DATE","")))),IF(N48="DATE",IF(O48="","E_MISSING_INPUT",IF(NOT(ISNUMBER(O48)),"E_INVALID_DATE",IF(O48&lt;&gt;INT(O48),"E_INVALID_DATE",""))),IF(N48="MONTH",IF(OR(R48="",S48=""),"E_MISSING_INPUT",IF(OR(NOT(ISNUMBER(R48)),NOT(ISNUMBER(S48))),"E_INVALID_DATE",IF(OR(R48&lt;1900,R48&gt;9999,R48&lt;&gt;INT(R48),S48&lt;1,S48&gt;12,S48&lt;&gt;INT(S48)),"E_INVALID_DATE",""))),IF(N48="YEAR",IF(R48="","E_MISSING_INPUT",IF(NOT(ISNUMBER(R48)),"E_INVALID_DATE",IF(OR(R48&lt;1900,R48&gt;9999,R48&lt;&gt;INT(R48)),"E_INVALID_DATE",""))),IF(N48="RANGE",IF(OR(T48="",U48=""),"E_MISSING_INPUT",IF(OR(NOT(ISNUMBER(T48)),NOT(ISNUMBER(U48))),"E_INVALID_DATE",IF(OR(T48&lt;&gt;INT(T48),U48&lt;&gt;INT(U48)),"E_INVALID_DATE",IF(T48&gt;U48,"E_REVERSED_BOUNDS","")))),"E_MISSING_INPUT")))))))</f>
        <v/>
      </c>
      <c r="X48" s="22">
        <f t="shared" ref="X48:X76" si="40">IF(AND(W48="",N48="TIMESTAMP"),1,0)</f>
        <v>1</v>
      </c>
      <c r="Y48" s="22">
        <f t="shared" ref="Y48:Y76" si="41">IF(AND(X48=1,Q48&lt;&gt;"unknown"),1,0)</f>
        <v>1</v>
      </c>
      <c r="Z48" s="28">
        <f t="shared" ref="Z48:Z76" si="42">IF(OR(W48&lt;&gt;"",N48=""),"",IF(OR(N48="TIMESTAMP",N48="DATE"),O48,IF(N48="MONTH",DATE(R48,S48,1),IF(N48="YEAR",DATE(R48,1,1),T48))))</f>
        <v>46032</v>
      </c>
      <c r="AA48" s="28">
        <f t="shared" ref="AA48:AA76" si="43">IF(OR(W48&lt;&gt;"",N48=""),"",IF(OR(N48="TIMESTAMP",N48="DATE"),O48,IF(N48="MONTH",EOMONTH(DATE(R48,S48,1),0),IF(N48="YEAR",DATE(R48,12,31),U48))))</f>
        <v>46032</v>
      </c>
      <c r="AB48" s="22">
        <f t="shared" ref="AB48:AB76" si="44">IF(X48=1,O48*1440+ROUND(P48*1440,0),"")</f>
        <v>66286620</v>
      </c>
      <c r="AC48" s="22">
        <f t="shared" ref="AC48:AC76" si="45">IF(Y48=1,AB48-(IF(LEFT(Q48,1)="-",-1,1)*(VALUE(MID(Q48,2,2))*60+VALUE(MID(Q48,5,2)))),"")</f>
        <v>66286920</v>
      </c>
      <c r="AD48" s="9"/>
      <c r="AE48" s="16"/>
      <c r="AF48" s="14"/>
      <c r="AG48" s="25"/>
      <c r="AH48" s="9"/>
      <c r="AI48" s="11"/>
      <c r="AJ48" s="11"/>
      <c r="AK48" s="14"/>
      <c r="AL48" s="14"/>
      <c r="AM48" s="9"/>
      <c r="AN48" s="21" t="str">
        <f>IF(COUNTA(AE48:AL48)=0,"",IF(AE48="","E_MISSING_INPUT",IF(AE48="TIMESTAMP",IF(OR(AF48="",AG48="",AH48=""),"E_MISSING_INPUT",IF(OR(NOT(ISNUMBER(AF48)),NOT(ISNUMBER(AG48))),"E_INVALID_DATE",IF(OR(AF48&lt;&gt;INT(AF48),AG48&lt;0,AG48&gt;=1),"E_INVALID_DATE",IF(ISNA(MATCH(AH48,nLIST_Offset,0)),"E_INVALID_DATE","")))),IF(AE48="DATE",IF(AF48="","E_MISSING_INPUT",IF(NOT(ISNUMBER(AF48)),"E_INVALID_DATE",IF(AF48&lt;&gt;INT(AF48),"E_INVALID_DATE",""))),IF(AE48="MONTH",IF(OR(AI48="",AJ48=""),"E_MISSING_INPUT",IF(OR(NOT(ISNUMBER(AI48)),NOT(ISNUMBER(AJ48))),"E_INVALID_DATE",IF(OR(AI48&lt;1900,AI48&gt;9999,AI48&lt;&gt;INT(AI48),AJ48&lt;1,AJ48&gt;12,AJ48&lt;&gt;INT(AJ48)),"E_INVALID_DATE",""))),IF(AE48="YEAR",IF(AI48="","E_MISSING_INPUT",IF(NOT(ISNUMBER(AI48)),"E_INVALID_DATE",IF(OR(AI48&lt;1900,AI48&gt;9999,AI48&lt;&gt;INT(AI48)),"E_INVALID_DATE",""))),IF(AE48="RANGE",IF(OR(AK48="",AL48=""),"E_MISSING_INPUT",IF(OR(NOT(ISNUMBER(AK48)),NOT(ISNUMBER(AL48))),"E_INVALID_DATE",IF(OR(AK48&lt;&gt;INT(AK48),AL48&lt;&gt;INT(AL48)),"E_INVALID_DATE",IF(AK48&gt;AL48,"E_REVERSED_BOUNDS","")))),"E_MISSING_INPUT")))))))</f>
        <v/>
      </c>
      <c r="AO48" s="22">
        <f t="shared" ref="AO48:AO76" si="46">IF(AND(AN48="",AE48="TIMESTAMP"),1,0)</f>
        <v>0</v>
      </c>
      <c r="AP48" s="22">
        <f t="shared" ref="AP48:AP76" si="47">IF(AND(AO48=1,AH48&lt;&gt;"unknown"),1,0)</f>
        <v>0</v>
      </c>
      <c r="AQ48" s="28" t="str">
        <f t="shared" ref="AQ48:AQ76" si="48">IF(OR(AN48&lt;&gt;"",AE48=""),"",IF(OR(AE48="TIMESTAMP",AE48="DATE"),AF48,IF(AE48="MONTH",DATE(AI48,AJ48,1),IF(AE48="YEAR",DATE(AI48,1,1),AK48))))</f>
        <v/>
      </c>
      <c r="AR48" s="28" t="str">
        <f t="shared" ref="AR48:AR76" si="49">IF(OR(AN48&lt;&gt;"",AE48=""),"",IF(OR(AE48="TIMESTAMP",AE48="DATE"),AF48,IF(AE48="MONTH",EOMONTH(DATE(AI48,AJ48,1),0),IF(AE48="YEAR",DATE(AI48,12,31),AL48))))</f>
        <v/>
      </c>
      <c r="AS48" s="22" t="str">
        <f t="shared" ref="AS48:AS76" si="50">IF(AO48=1,AF48*1440+ROUND(AG48*1440,0),"")</f>
        <v/>
      </c>
      <c r="AT48" s="22" t="str">
        <f t="shared" ref="AT48:AT76" si="51">IF(AP48=1,AS48-(IF(LEFT(AH48,1)="-",-1,1)*(VALUE(MID(AH48,2,2))*60+VALUE(MID(AH48,5,2)))),"")</f>
        <v/>
      </c>
      <c r="AU48" s="9"/>
      <c r="AV48" s="16"/>
      <c r="AW48" s="14"/>
      <c r="AX48" s="25"/>
      <c r="AY48" s="9"/>
      <c r="AZ48" s="11"/>
      <c r="BA48" s="11"/>
      <c r="BB48" s="14"/>
      <c r="BC48" s="14"/>
      <c r="BD48" s="9"/>
      <c r="BE48" s="21" t="str">
        <f>IF(COUNTA(AV48:BC48)=0,"",IF(AV48="","E_MISSING_INPUT",IF(AV48="TIMESTAMP",IF(OR(AW48="",AX48="",AY48=""),"E_MISSING_INPUT",IF(OR(NOT(ISNUMBER(AW48)),NOT(ISNUMBER(AX48))),"E_INVALID_DATE",IF(OR(AW48&lt;&gt;INT(AW48),AX48&lt;0,AX48&gt;=1),"E_INVALID_DATE",IF(ISNA(MATCH(AY48,nLIST_Offset,0)),"E_INVALID_DATE","")))),IF(AV48="DATE",IF(AW48="","E_MISSING_INPUT",IF(NOT(ISNUMBER(AW48)),"E_INVALID_DATE",IF(AW48&lt;&gt;INT(AW48),"E_INVALID_DATE",""))),IF(AV48="MONTH",IF(OR(AZ48="",BA48=""),"E_MISSING_INPUT",IF(OR(NOT(ISNUMBER(AZ48)),NOT(ISNUMBER(BA48))),"E_INVALID_DATE",IF(OR(AZ48&lt;1900,AZ48&gt;9999,AZ48&lt;&gt;INT(AZ48),BA48&lt;1,BA48&gt;12,BA48&lt;&gt;INT(BA48)),"E_INVALID_DATE",""))),IF(AV48="YEAR",IF(AZ48="","E_MISSING_INPUT",IF(NOT(ISNUMBER(AZ48)),"E_INVALID_DATE",IF(OR(AZ48&lt;1900,AZ48&gt;9999,AZ48&lt;&gt;INT(AZ48)),"E_INVALID_DATE",""))),IF(AV48="RANGE",IF(OR(BB48="",BC48=""),"E_MISSING_INPUT",IF(OR(NOT(ISNUMBER(BB48)),NOT(ISNUMBER(BC48))),"E_INVALID_DATE",IF(OR(BB48&lt;&gt;INT(BB48),BC48&lt;&gt;INT(BC48)),"E_INVALID_DATE",IF(BB48&gt;BC48,"E_REVERSED_BOUNDS","")))),"E_MISSING_INPUT")))))))</f>
        <v/>
      </c>
      <c r="BF48" s="22">
        <f t="shared" ref="BF48:BF76" si="52">IF(AND(BE48="",AV48="TIMESTAMP"),1,0)</f>
        <v>0</v>
      </c>
      <c r="BG48" s="22">
        <f t="shared" ref="BG48:BG76" si="53">IF(AND(BF48=1,AY48&lt;&gt;"unknown"),1,0)</f>
        <v>0</v>
      </c>
      <c r="BH48" s="28" t="str">
        <f t="shared" ref="BH48:BH76" si="54">IF(OR(BE48&lt;&gt;"",AV48=""),"",IF(OR(AV48="TIMESTAMP",AV48="DATE"),AW48,IF(AV48="MONTH",DATE(AZ48,BA48,1),IF(AV48="YEAR",DATE(AZ48,1,1),BB48))))</f>
        <v/>
      </c>
      <c r="BI48" s="28" t="str">
        <f t="shared" ref="BI48:BI76" si="55">IF(OR(BE48&lt;&gt;"",AV48=""),"",IF(OR(AV48="TIMESTAMP",AV48="DATE"),AW48,IF(AV48="MONTH",EOMONTH(DATE(AZ48,BA48,1),0),IF(AV48="YEAR",DATE(AZ48,12,31),BC48))))</f>
        <v/>
      </c>
      <c r="BJ48" s="22" t="str">
        <f t="shared" ref="BJ48:BJ76" si="56">IF(BF48=1,AW48*1440+ROUND(AX48*1440,0),"")</f>
        <v/>
      </c>
      <c r="BK48" s="22" t="str">
        <f t="shared" ref="BK48:BK76" si="57">IF(BG48=1,BJ48-(IF(LEFT(AY48,1)="-",-1,1)*(VALUE(MID(AY48,2,2))*60+VALUE(MID(AY48,5,2)))),"")</f>
        <v/>
      </c>
      <c r="BL48" s="21" t="str">
        <f t="shared" ref="BL48:BL76" si="58">IF(D48="","",A48&amp;"|"&amp;B48&amp;"|"&amp;D48)</f>
        <v>VEC-V01|1|EX1</v>
      </c>
      <c r="BM48" s="22">
        <f>IF(BL48="",0,COUNTIF(nEXP_Key,BL48))</f>
        <v>1</v>
      </c>
      <c r="BN48" s="21" t="str">
        <f t="shared" ref="BN48:BN76" si="59">IF(D48="",IF(COUNTA(C48,E48,N48,O48)&gt;0,"E_MISSING_INPUT",""),IF(BM48&gt;1,"E_DUPLICATE_ID",IF(W48&lt;&gt;"",W48,IF(AN48&lt;&gt;"",AN48,BE48))))</f>
        <v/>
      </c>
      <c r="BO48" s="21" t="str">
        <f>IF(BN48="","",BN48&amp;": "&amp;SUBSTITUTE(IFERROR(INDEX(nMSG_Text,MATCH(BN48,nMSG_Code,0)),""),"[input]",IF(D48="","an Exposure_Episode_ID","the date fields required by the selected precision")))</f>
        <v/>
      </c>
    </row>
    <row r="49" spans="1:67" x14ac:dyDescent="0.2">
      <c r="A49" s="9" t="s">
        <v>311</v>
      </c>
      <c r="B49" s="11">
        <v>1</v>
      </c>
      <c r="C49" s="9" t="s">
        <v>521</v>
      </c>
      <c r="D49" s="9" t="s">
        <v>522</v>
      </c>
      <c r="E49" s="9" t="s">
        <v>523</v>
      </c>
      <c r="F49" s="16"/>
      <c r="G49" s="9"/>
      <c r="H49" s="16"/>
      <c r="I49" s="16"/>
      <c r="J49" s="9"/>
      <c r="K49" s="16"/>
      <c r="L49" s="9"/>
      <c r="M49" s="9" t="s">
        <v>526</v>
      </c>
      <c r="N49" s="16" t="s">
        <v>4</v>
      </c>
      <c r="O49" s="14">
        <v>46023</v>
      </c>
      <c r="P49" s="25"/>
      <c r="Q49" s="9"/>
      <c r="R49" s="11"/>
      <c r="S49" s="11"/>
      <c r="T49" s="14"/>
      <c r="U49" s="14"/>
      <c r="V49" s="9" t="s">
        <v>527</v>
      </c>
      <c r="W49" s="21" t="str">
        <f>IF(COUNTA(N49:U49)=0,"",IF(N49="","E_MISSING_INPUT",IF(N49="TIMESTAMP",IF(OR(O49="",P49="",Q49=""),"E_MISSING_INPUT",IF(OR(NOT(ISNUMBER(O49)),NOT(ISNUMBER(P49))),"E_INVALID_DATE",IF(OR(O49&lt;&gt;INT(O49),P49&lt;0,P49&gt;=1),"E_INVALID_DATE",IF(ISNA(MATCH(Q49,nLIST_Offset,0)),"E_INVALID_DATE","")))),IF(N49="DATE",IF(O49="","E_MISSING_INPUT",IF(NOT(ISNUMBER(O49)),"E_INVALID_DATE",IF(O49&lt;&gt;INT(O49),"E_INVALID_DATE",""))),IF(N49="MONTH",IF(OR(R49="",S49=""),"E_MISSING_INPUT",IF(OR(NOT(ISNUMBER(R49)),NOT(ISNUMBER(S49))),"E_INVALID_DATE",IF(OR(R49&lt;1900,R49&gt;9999,R49&lt;&gt;INT(R49),S49&lt;1,S49&gt;12,S49&lt;&gt;INT(S49)),"E_INVALID_DATE",""))),IF(N49="YEAR",IF(R49="","E_MISSING_INPUT",IF(NOT(ISNUMBER(R49)),"E_INVALID_DATE",IF(OR(R49&lt;1900,R49&gt;9999,R49&lt;&gt;INT(R49)),"E_INVALID_DATE",""))),IF(N49="RANGE",IF(OR(T49="",U49=""),"E_MISSING_INPUT",IF(OR(NOT(ISNUMBER(T49)),NOT(ISNUMBER(U49))),"E_INVALID_DATE",IF(OR(T49&lt;&gt;INT(T49),U49&lt;&gt;INT(U49)),"E_INVALID_DATE",IF(T49&gt;U49,"E_REVERSED_BOUNDS","")))),"E_MISSING_INPUT")))))))</f>
        <v/>
      </c>
      <c r="X49" s="22">
        <f t="shared" si="40"/>
        <v>0</v>
      </c>
      <c r="Y49" s="22">
        <f t="shared" si="41"/>
        <v>0</v>
      </c>
      <c r="Z49" s="28">
        <f t="shared" si="42"/>
        <v>46023</v>
      </c>
      <c r="AA49" s="28">
        <f t="shared" si="43"/>
        <v>46023</v>
      </c>
      <c r="AB49" s="22" t="str">
        <f t="shared" si="44"/>
        <v/>
      </c>
      <c r="AC49" s="22" t="str">
        <f t="shared" si="45"/>
        <v/>
      </c>
      <c r="AD49" s="9"/>
      <c r="AE49" s="16"/>
      <c r="AF49" s="14"/>
      <c r="AG49" s="25"/>
      <c r="AH49" s="9"/>
      <c r="AI49" s="11"/>
      <c r="AJ49" s="11"/>
      <c r="AK49" s="14"/>
      <c r="AL49" s="14"/>
      <c r="AM49" s="9"/>
      <c r="AN49" s="21" t="str">
        <f>IF(COUNTA(AE49:AL49)=0,"",IF(AE49="","E_MISSING_INPUT",IF(AE49="TIMESTAMP",IF(OR(AF49="",AG49="",AH49=""),"E_MISSING_INPUT",IF(OR(NOT(ISNUMBER(AF49)),NOT(ISNUMBER(AG49))),"E_INVALID_DATE",IF(OR(AF49&lt;&gt;INT(AF49),AG49&lt;0,AG49&gt;=1),"E_INVALID_DATE",IF(ISNA(MATCH(AH49,nLIST_Offset,0)),"E_INVALID_DATE","")))),IF(AE49="DATE",IF(AF49="","E_MISSING_INPUT",IF(NOT(ISNUMBER(AF49)),"E_INVALID_DATE",IF(AF49&lt;&gt;INT(AF49),"E_INVALID_DATE",""))),IF(AE49="MONTH",IF(OR(AI49="",AJ49=""),"E_MISSING_INPUT",IF(OR(NOT(ISNUMBER(AI49)),NOT(ISNUMBER(AJ49))),"E_INVALID_DATE",IF(OR(AI49&lt;1900,AI49&gt;9999,AI49&lt;&gt;INT(AI49),AJ49&lt;1,AJ49&gt;12,AJ49&lt;&gt;INT(AJ49)),"E_INVALID_DATE",""))),IF(AE49="YEAR",IF(AI49="","E_MISSING_INPUT",IF(NOT(ISNUMBER(AI49)),"E_INVALID_DATE",IF(OR(AI49&lt;1900,AI49&gt;9999,AI49&lt;&gt;INT(AI49)),"E_INVALID_DATE",""))),IF(AE49="RANGE",IF(OR(AK49="",AL49=""),"E_MISSING_INPUT",IF(OR(NOT(ISNUMBER(AK49)),NOT(ISNUMBER(AL49))),"E_INVALID_DATE",IF(OR(AK49&lt;&gt;INT(AK49),AL49&lt;&gt;INT(AL49)),"E_INVALID_DATE",IF(AK49&gt;AL49,"E_REVERSED_BOUNDS","")))),"E_MISSING_INPUT")))))))</f>
        <v/>
      </c>
      <c r="AO49" s="22">
        <f t="shared" si="46"/>
        <v>0</v>
      </c>
      <c r="AP49" s="22">
        <f t="shared" si="47"/>
        <v>0</v>
      </c>
      <c r="AQ49" s="28" t="str">
        <f t="shared" si="48"/>
        <v/>
      </c>
      <c r="AR49" s="28" t="str">
        <f t="shared" si="49"/>
        <v/>
      </c>
      <c r="AS49" s="22" t="str">
        <f t="shared" si="50"/>
        <v/>
      </c>
      <c r="AT49" s="22" t="str">
        <f t="shared" si="51"/>
        <v/>
      </c>
      <c r="AU49" s="9"/>
      <c r="AV49" s="16"/>
      <c r="AW49" s="14"/>
      <c r="AX49" s="25"/>
      <c r="AY49" s="9"/>
      <c r="AZ49" s="11"/>
      <c r="BA49" s="11"/>
      <c r="BB49" s="14"/>
      <c r="BC49" s="14"/>
      <c r="BD49" s="9"/>
      <c r="BE49" s="21" t="str">
        <f>IF(COUNTA(AV49:BC49)=0,"",IF(AV49="","E_MISSING_INPUT",IF(AV49="TIMESTAMP",IF(OR(AW49="",AX49="",AY49=""),"E_MISSING_INPUT",IF(OR(NOT(ISNUMBER(AW49)),NOT(ISNUMBER(AX49))),"E_INVALID_DATE",IF(OR(AW49&lt;&gt;INT(AW49),AX49&lt;0,AX49&gt;=1),"E_INVALID_DATE",IF(ISNA(MATCH(AY49,nLIST_Offset,0)),"E_INVALID_DATE","")))),IF(AV49="DATE",IF(AW49="","E_MISSING_INPUT",IF(NOT(ISNUMBER(AW49)),"E_INVALID_DATE",IF(AW49&lt;&gt;INT(AW49),"E_INVALID_DATE",""))),IF(AV49="MONTH",IF(OR(AZ49="",BA49=""),"E_MISSING_INPUT",IF(OR(NOT(ISNUMBER(AZ49)),NOT(ISNUMBER(BA49))),"E_INVALID_DATE",IF(OR(AZ49&lt;1900,AZ49&gt;9999,AZ49&lt;&gt;INT(AZ49),BA49&lt;1,BA49&gt;12,BA49&lt;&gt;INT(BA49)),"E_INVALID_DATE",""))),IF(AV49="YEAR",IF(AZ49="","E_MISSING_INPUT",IF(NOT(ISNUMBER(AZ49)),"E_INVALID_DATE",IF(OR(AZ49&lt;1900,AZ49&gt;9999,AZ49&lt;&gt;INT(AZ49)),"E_INVALID_DATE",""))),IF(AV49="RANGE",IF(OR(BB49="",BC49=""),"E_MISSING_INPUT",IF(OR(NOT(ISNUMBER(BB49)),NOT(ISNUMBER(BC49))),"E_INVALID_DATE",IF(OR(BB49&lt;&gt;INT(BB49),BC49&lt;&gt;INT(BC49)),"E_INVALID_DATE",IF(BB49&gt;BC49,"E_REVERSED_BOUNDS","")))),"E_MISSING_INPUT")))))))</f>
        <v/>
      </c>
      <c r="BF49" s="22">
        <f t="shared" si="52"/>
        <v>0</v>
      </c>
      <c r="BG49" s="22">
        <f t="shared" si="53"/>
        <v>0</v>
      </c>
      <c r="BH49" s="28" t="str">
        <f t="shared" si="54"/>
        <v/>
      </c>
      <c r="BI49" s="28" t="str">
        <f t="shared" si="55"/>
        <v/>
      </c>
      <c r="BJ49" s="22" t="str">
        <f t="shared" si="56"/>
        <v/>
      </c>
      <c r="BK49" s="22" t="str">
        <f t="shared" si="57"/>
        <v/>
      </c>
      <c r="BL49" s="21" t="str">
        <f t="shared" si="58"/>
        <v>VEC-V02|1|EX1</v>
      </c>
      <c r="BM49" s="22">
        <f>IF(BL49="",0,COUNTIF(nEXP_Key,BL49))</f>
        <v>1</v>
      </c>
      <c r="BN49" s="21" t="str">
        <f t="shared" si="59"/>
        <v/>
      </c>
      <c r="BO49" s="21" t="str">
        <f>IF(BN49="","",BN49&amp;": "&amp;SUBSTITUTE(IFERROR(INDEX(nMSG_Text,MATCH(BN49,nMSG_Code,0)),""),"[input]",IF(D49="","an Exposure_Episode_ID","the date fields required by the selected precision")))</f>
        <v/>
      </c>
    </row>
    <row r="50" spans="1:67" x14ac:dyDescent="0.2">
      <c r="A50" s="9" t="s">
        <v>313</v>
      </c>
      <c r="B50" s="11">
        <v>1</v>
      </c>
      <c r="C50" s="9" t="s">
        <v>521</v>
      </c>
      <c r="D50" s="9" t="s">
        <v>522</v>
      </c>
      <c r="E50" s="9" t="s">
        <v>523</v>
      </c>
      <c r="F50" s="16"/>
      <c r="G50" s="9"/>
      <c r="H50" s="16"/>
      <c r="I50" s="16"/>
      <c r="J50" s="9"/>
      <c r="K50" s="16"/>
      <c r="L50" s="9"/>
      <c r="M50" s="9" t="s">
        <v>528</v>
      </c>
      <c r="N50" s="16" t="s">
        <v>4</v>
      </c>
      <c r="O50" s="14">
        <v>46027</v>
      </c>
      <c r="P50" s="25"/>
      <c r="Q50" s="9"/>
      <c r="R50" s="11"/>
      <c r="S50" s="11"/>
      <c r="T50" s="14"/>
      <c r="U50" s="14"/>
      <c r="V50" s="9" t="s">
        <v>529</v>
      </c>
      <c r="W50" s="21" t="str">
        <f>IF(COUNTA(N50:U50)=0,"",IF(N50="","E_MISSING_INPUT",IF(N50="TIMESTAMP",IF(OR(O50="",P50="",Q50=""),"E_MISSING_INPUT",IF(OR(NOT(ISNUMBER(O50)),NOT(ISNUMBER(P50))),"E_INVALID_DATE",IF(OR(O50&lt;&gt;INT(O50),P50&lt;0,P50&gt;=1),"E_INVALID_DATE",IF(ISNA(MATCH(Q50,nLIST_Offset,0)),"E_INVALID_DATE","")))),IF(N50="DATE",IF(O50="","E_MISSING_INPUT",IF(NOT(ISNUMBER(O50)),"E_INVALID_DATE",IF(O50&lt;&gt;INT(O50),"E_INVALID_DATE",""))),IF(N50="MONTH",IF(OR(R50="",S50=""),"E_MISSING_INPUT",IF(OR(NOT(ISNUMBER(R50)),NOT(ISNUMBER(S50))),"E_INVALID_DATE",IF(OR(R50&lt;1900,R50&gt;9999,R50&lt;&gt;INT(R50),S50&lt;1,S50&gt;12,S50&lt;&gt;INT(S50)),"E_INVALID_DATE",""))),IF(N50="YEAR",IF(R50="","E_MISSING_INPUT",IF(NOT(ISNUMBER(R50)),"E_INVALID_DATE",IF(OR(R50&lt;1900,R50&gt;9999,R50&lt;&gt;INT(R50)),"E_INVALID_DATE",""))),IF(N50="RANGE",IF(OR(T50="",U50=""),"E_MISSING_INPUT",IF(OR(NOT(ISNUMBER(T50)),NOT(ISNUMBER(U50))),"E_INVALID_DATE",IF(OR(T50&lt;&gt;INT(T50),U50&lt;&gt;INT(U50)),"E_INVALID_DATE",IF(T50&gt;U50,"E_REVERSED_BOUNDS","")))),"E_MISSING_INPUT")))))))</f>
        <v/>
      </c>
      <c r="X50" s="22">
        <f t="shared" si="40"/>
        <v>0</v>
      </c>
      <c r="Y50" s="22">
        <f t="shared" si="41"/>
        <v>0</v>
      </c>
      <c r="Z50" s="28">
        <f t="shared" si="42"/>
        <v>46027</v>
      </c>
      <c r="AA50" s="28">
        <f t="shared" si="43"/>
        <v>46027</v>
      </c>
      <c r="AB50" s="22" t="str">
        <f t="shared" si="44"/>
        <v/>
      </c>
      <c r="AC50" s="22" t="str">
        <f t="shared" si="45"/>
        <v/>
      </c>
      <c r="AD50" s="9"/>
      <c r="AE50" s="16"/>
      <c r="AF50" s="14"/>
      <c r="AG50" s="25"/>
      <c r="AH50" s="9"/>
      <c r="AI50" s="11"/>
      <c r="AJ50" s="11"/>
      <c r="AK50" s="14"/>
      <c r="AL50" s="14"/>
      <c r="AM50" s="9"/>
      <c r="AN50" s="21" t="str">
        <f>IF(COUNTA(AE50:AL50)=0,"",IF(AE50="","E_MISSING_INPUT",IF(AE50="TIMESTAMP",IF(OR(AF50="",AG50="",AH50=""),"E_MISSING_INPUT",IF(OR(NOT(ISNUMBER(AF50)),NOT(ISNUMBER(AG50))),"E_INVALID_DATE",IF(OR(AF50&lt;&gt;INT(AF50),AG50&lt;0,AG50&gt;=1),"E_INVALID_DATE",IF(ISNA(MATCH(AH50,nLIST_Offset,0)),"E_INVALID_DATE","")))),IF(AE50="DATE",IF(AF50="","E_MISSING_INPUT",IF(NOT(ISNUMBER(AF50)),"E_INVALID_DATE",IF(AF50&lt;&gt;INT(AF50),"E_INVALID_DATE",""))),IF(AE50="MONTH",IF(OR(AI50="",AJ50=""),"E_MISSING_INPUT",IF(OR(NOT(ISNUMBER(AI50)),NOT(ISNUMBER(AJ50))),"E_INVALID_DATE",IF(OR(AI50&lt;1900,AI50&gt;9999,AI50&lt;&gt;INT(AI50),AJ50&lt;1,AJ50&gt;12,AJ50&lt;&gt;INT(AJ50)),"E_INVALID_DATE",""))),IF(AE50="YEAR",IF(AI50="","E_MISSING_INPUT",IF(NOT(ISNUMBER(AI50)),"E_INVALID_DATE",IF(OR(AI50&lt;1900,AI50&gt;9999,AI50&lt;&gt;INT(AI50)),"E_INVALID_DATE",""))),IF(AE50="RANGE",IF(OR(AK50="",AL50=""),"E_MISSING_INPUT",IF(OR(NOT(ISNUMBER(AK50)),NOT(ISNUMBER(AL50))),"E_INVALID_DATE",IF(OR(AK50&lt;&gt;INT(AK50),AL50&lt;&gt;INT(AL50)),"E_INVALID_DATE",IF(AK50&gt;AL50,"E_REVERSED_BOUNDS","")))),"E_MISSING_INPUT")))))))</f>
        <v/>
      </c>
      <c r="AO50" s="22">
        <f t="shared" si="46"/>
        <v>0</v>
      </c>
      <c r="AP50" s="22">
        <f t="shared" si="47"/>
        <v>0</v>
      </c>
      <c r="AQ50" s="28" t="str">
        <f t="shared" si="48"/>
        <v/>
      </c>
      <c r="AR50" s="28" t="str">
        <f t="shared" si="49"/>
        <v/>
      </c>
      <c r="AS50" s="22" t="str">
        <f t="shared" si="50"/>
        <v/>
      </c>
      <c r="AT50" s="22" t="str">
        <f t="shared" si="51"/>
        <v/>
      </c>
      <c r="AU50" s="9"/>
      <c r="AV50" s="16"/>
      <c r="AW50" s="14"/>
      <c r="AX50" s="25"/>
      <c r="AY50" s="9"/>
      <c r="AZ50" s="11"/>
      <c r="BA50" s="11"/>
      <c r="BB50" s="14"/>
      <c r="BC50" s="14"/>
      <c r="BD50" s="9"/>
      <c r="BE50" s="21" t="str">
        <f>IF(COUNTA(AV50:BC50)=0,"",IF(AV50="","E_MISSING_INPUT",IF(AV50="TIMESTAMP",IF(OR(AW50="",AX50="",AY50=""),"E_MISSING_INPUT",IF(OR(NOT(ISNUMBER(AW50)),NOT(ISNUMBER(AX50))),"E_INVALID_DATE",IF(OR(AW50&lt;&gt;INT(AW50),AX50&lt;0,AX50&gt;=1),"E_INVALID_DATE",IF(ISNA(MATCH(AY50,nLIST_Offset,0)),"E_INVALID_DATE","")))),IF(AV50="DATE",IF(AW50="","E_MISSING_INPUT",IF(NOT(ISNUMBER(AW50)),"E_INVALID_DATE",IF(AW50&lt;&gt;INT(AW50),"E_INVALID_DATE",""))),IF(AV50="MONTH",IF(OR(AZ50="",BA50=""),"E_MISSING_INPUT",IF(OR(NOT(ISNUMBER(AZ50)),NOT(ISNUMBER(BA50))),"E_INVALID_DATE",IF(OR(AZ50&lt;1900,AZ50&gt;9999,AZ50&lt;&gt;INT(AZ50),BA50&lt;1,BA50&gt;12,BA50&lt;&gt;INT(BA50)),"E_INVALID_DATE",""))),IF(AV50="YEAR",IF(AZ50="","E_MISSING_INPUT",IF(NOT(ISNUMBER(AZ50)),"E_INVALID_DATE",IF(OR(AZ50&lt;1900,AZ50&gt;9999,AZ50&lt;&gt;INT(AZ50)),"E_INVALID_DATE",""))),IF(AV50="RANGE",IF(OR(BB50="",BC50=""),"E_MISSING_INPUT",IF(OR(NOT(ISNUMBER(BB50)),NOT(ISNUMBER(BC50))),"E_INVALID_DATE",IF(OR(BB50&lt;&gt;INT(BB50),BC50&lt;&gt;INT(BC50)),"E_INVALID_DATE",IF(BB50&gt;BC50,"E_REVERSED_BOUNDS","")))),"E_MISSING_INPUT")))))))</f>
        <v/>
      </c>
      <c r="BF50" s="22">
        <f t="shared" si="52"/>
        <v>0</v>
      </c>
      <c r="BG50" s="22">
        <f t="shared" si="53"/>
        <v>0</v>
      </c>
      <c r="BH50" s="28" t="str">
        <f t="shared" si="54"/>
        <v/>
      </c>
      <c r="BI50" s="28" t="str">
        <f t="shared" si="55"/>
        <v/>
      </c>
      <c r="BJ50" s="22" t="str">
        <f t="shared" si="56"/>
        <v/>
      </c>
      <c r="BK50" s="22" t="str">
        <f t="shared" si="57"/>
        <v/>
      </c>
      <c r="BL50" s="21" t="str">
        <f t="shared" si="58"/>
        <v>VEC-V03|1|EX1</v>
      </c>
      <c r="BM50" s="22">
        <f>IF(BL50="",0,COUNTIF(nEXP_Key,BL50))</f>
        <v>1</v>
      </c>
      <c r="BN50" s="21" t="str">
        <f t="shared" si="59"/>
        <v/>
      </c>
      <c r="BO50" s="21" t="str">
        <f>IF(BN50="","",BN50&amp;": "&amp;SUBSTITUTE(IFERROR(INDEX(nMSG_Text,MATCH(BN50,nMSG_Code,0)),""),"[input]",IF(D50="","an Exposure_Episode_ID","the date fields required by the selected precision")))</f>
        <v/>
      </c>
    </row>
    <row r="51" spans="1:67" x14ac:dyDescent="0.2">
      <c r="A51" s="9" t="s">
        <v>315</v>
      </c>
      <c r="B51" s="11">
        <v>1</v>
      </c>
      <c r="C51" s="9" t="s">
        <v>521</v>
      </c>
      <c r="D51" s="9" t="s">
        <v>522</v>
      </c>
      <c r="E51" s="9" t="s">
        <v>523</v>
      </c>
      <c r="F51" s="16"/>
      <c r="G51" s="9"/>
      <c r="H51" s="16"/>
      <c r="I51" s="16"/>
      <c r="J51" s="9"/>
      <c r="K51" s="16"/>
      <c r="L51" s="9"/>
      <c r="M51" s="9" t="s">
        <v>530</v>
      </c>
      <c r="N51" s="16" t="s">
        <v>4</v>
      </c>
      <c r="O51" s="14">
        <v>45350</v>
      </c>
      <c r="P51" s="25"/>
      <c r="Q51" s="9"/>
      <c r="R51" s="11"/>
      <c r="S51" s="11"/>
      <c r="T51" s="14"/>
      <c r="U51" s="14"/>
      <c r="V51" s="9" t="s">
        <v>531</v>
      </c>
      <c r="W51" s="21" t="str">
        <f>IF(COUNTA(N51:U51)=0,"",IF(N51="","E_MISSING_INPUT",IF(N51="TIMESTAMP",IF(OR(O51="",P51="",Q51=""),"E_MISSING_INPUT",IF(OR(NOT(ISNUMBER(O51)),NOT(ISNUMBER(P51))),"E_INVALID_DATE",IF(OR(O51&lt;&gt;INT(O51),P51&lt;0,P51&gt;=1),"E_INVALID_DATE",IF(ISNA(MATCH(Q51,nLIST_Offset,0)),"E_INVALID_DATE","")))),IF(N51="DATE",IF(O51="","E_MISSING_INPUT",IF(NOT(ISNUMBER(O51)),"E_INVALID_DATE",IF(O51&lt;&gt;INT(O51),"E_INVALID_DATE",""))),IF(N51="MONTH",IF(OR(R51="",S51=""),"E_MISSING_INPUT",IF(OR(NOT(ISNUMBER(R51)),NOT(ISNUMBER(S51))),"E_INVALID_DATE",IF(OR(R51&lt;1900,R51&gt;9999,R51&lt;&gt;INT(R51),S51&lt;1,S51&gt;12,S51&lt;&gt;INT(S51)),"E_INVALID_DATE",""))),IF(N51="YEAR",IF(R51="","E_MISSING_INPUT",IF(NOT(ISNUMBER(R51)),"E_INVALID_DATE",IF(OR(R51&lt;1900,R51&gt;9999,R51&lt;&gt;INT(R51)),"E_INVALID_DATE",""))),IF(N51="RANGE",IF(OR(T51="",U51=""),"E_MISSING_INPUT",IF(OR(NOT(ISNUMBER(T51)),NOT(ISNUMBER(U51))),"E_INVALID_DATE",IF(OR(T51&lt;&gt;INT(T51),U51&lt;&gt;INT(U51)),"E_INVALID_DATE",IF(T51&gt;U51,"E_REVERSED_BOUNDS","")))),"E_MISSING_INPUT")))))))</f>
        <v/>
      </c>
      <c r="X51" s="22">
        <f t="shared" si="40"/>
        <v>0</v>
      </c>
      <c r="Y51" s="22">
        <f t="shared" si="41"/>
        <v>0</v>
      </c>
      <c r="Z51" s="28">
        <f t="shared" si="42"/>
        <v>45350</v>
      </c>
      <c r="AA51" s="28">
        <f t="shared" si="43"/>
        <v>45350</v>
      </c>
      <c r="AB51" s="22" t="str">
        <f t="shared" si="44"/>
        <v/>
      </c>
      <c r="AC51" s="22" t="str">
        <f t="shared" si="45"/>
        <v/>
      </c>
      <c r="AD51" s="9"/>
      <c r="AE51" s="16"/>
      <c r="AF51" s="14"/>
      <c r="AG51" s="25"/>
      <c r="AH51" s="9"/>
      <c r="AI51" s="11"/>
      <c r="AJ51" s="11"/>
      <c r="AK51" s="14"/>
      <c r="AL51" s="14"/>
      <c r="AM51" s="9"/>
      <c r="AN51" s="21" t="str">
        <f>IF(COUNTA(AE51:AL51)=0,"",IF(AE51="","E_MISSING_INPUT",IF(AE51="TIMESTAMP",IF(OR(AF51="",AG51="",AH51=""),"E_MISSING_INPUT",IF(OR(NOT(ISNUMBER(AF51)),NOT(ISNUMBER(AG51))),"E_INVALID_DATE",IF(OR(AF51&lt;&gt;INT(AF51),AG51&lt;0,AG51&gt;=1),"E_INVALID_DATE",IF(ISNA(MATCH(AH51,nLIST_Offset,0)),"E_INVALID_DATE","")))),IF(AE51="DATE",IF(AF51="","E_MISSING_INPUT",IF(NOT(ISNUMBER(AF51)),"E_INVALID_DATE",IF(AF51&lt;&gt;INT(AF51),"E_INVALID_DATE",""))),IF(AE51="MONTH",IF(OR(AI51="",AJ51=""),"E_MISSING_INPUT",IF(OR(NOT(ISNUMBER(AI51)),NOT(ISNUMBER(AJ51))),"E_INVALID_DATE",IF(OR(AI51&lt;1900,AI51&gt;9999,AI51&lt;&gt;INT(AI51),AJ51&lt;1,AJ51&gt;12,AJ51&lt;&gt;INT(AJ51)),"E_INVALID_DATE",""))),IF(AE51="YEAR",IF(AI51="","E_MISSING_INPUT",IF(NOT(ISNUMBER(AI51)),"E_INVALID_DATE",IF(OR(AI51&lt;1900,AI51&gt;9999,AI51&lt;&gt;INT(AI51)),"E_INVALID_DATE",""))),IF(AE51="RANGE",IF(OR(AK51="",AL51=""),"E_MISSING_INPUT",IF(OR(NOT(ISNUMBER(AK51)),NOT(ISNUMBER(AL51))),"E_INVALID_DATE",IF(OR(AK51&lt;&gt;INT(AK51),AL51&lt;&gt;INT(AL51)),"E_INVALID_DATE",IF(AK51&gt;AL51,"E_REVERSED_BOUNDS","")))),"E_MISSING_INPUT")))))))</f>
        <v/>
      </c>
      <c r="AO51" s="22">
        <f t="shared" si="46"/>
        <v>0</v>
      </c>
      <c r="AP51" s="22">
        <f t="shared" si="47"/>
        <v>0</v>
      </c>
      <c r="AQ51" s="28" t="str">
        <f t="shared" si="48"/>
        <v/>
      </c>
      <c r="AR51" s="28" t="str">
        <f t="shared" si="49"/>
        <v/>
      </c>
      <c r="AS51" s="22" t="str">
        <f t="shared" si="50"/>
        <v/>
      </c>
      <c r="AT51" s="22" t="str">
        <f t="shared" si="51"/>
        <v/>
      </c>
      <c r="AU51" s="9"/>
      <c r="AV51" s="16"/>
      <c r="AW51" s="14"/>
      <c r="AX51" s="25"/>
      <c r="AY51" s="9"/>
      <c r="AZ51" s="11"/>
      <c r="BA51" s="11"/>
      <c r="BB51" s="14"/>
      <c r="BC51" s="14"/>
      <c r="BD51" s="9"/>
      <c r="BE51" s="21" t="str">
        <f>IF(COUNTA(AV51:BC51)=0,"",IF(AV51="","E_MISSING_INPUT",IF(AV51="TIMESTAMP",IF(OR(AW51="",AX51="",AY51=""),"E_MISSING_INPUT",IF(OR(NOT(ISNUMBER(AW51)),NOT(ISNUMBER(AX51))),"E_INVALID_DATE",IF(OR(AW51&lt;&gt;INT(AW51),AX51&lt;0,AX51&gt;=1),"E_INVALID_DATE",IF(ISNA(MATCH(AY51,nLIST_Offset,0)),"E_INVALID_DATE","")))),IF(AV51="DATE",IF(AW51="","E_MISSING_INPUT",IF(NOT(ISNUMBER(AW51)),"E_INVALID_DATE",IF(AW51&lt;&gt;INT(AW51),"E_INVALID_DATE",""))),IF(AV51="MONTH",IF(OR(AZ51="",BA51=""),"E_MISSING_INPUT",IF(OR(NOT(ISNUMBER(AZ51)),NOT(ISNUMBER(BA51))),"E_INVALID_DATE",IF(OR(AZ51&lt;1900,AZ51&gt;9999,AZ51&lt;&gt;INT(AZ51),BA51&lt;1,BA51&gt;12,BA51&lt;&gt;INT(BA51)),"E_INVALID_DATE",""))),IF(AV51="YEAR",IF(AZ51="","E_MISSING_INPUT",IF(NOT(ISNUMBER(AZ51)),"E_INVALID_DATE",IF(OR(AZ51&lt;1900,AZ51&gt;9999,AZ51&lt;&gt;INT(AZ51)),"E_INVALID_DATE",""))),IF(AV51="RANGE",IF(OR(BB51="",BC51=""),"E_MISSING_INPUT",IF(OR(NOT(ISNUMBER(BB51)),NOT(ISNUMBER(BC51))),"E_INVALID_DATE",IF(OR(BB51&lt;&gt;INT(BB51),BC51&lt;&gt;INT(BC51)),"E_INVALID_DATE",IF(BB51&gt;BC51,"E_REVERSED_BOUNDS","")))),"E_MISSING_INPUT")))))))</f>
        <v/>
      </c>
      <c r="BF51" s="22">
        <f t="shared" si="52"/>
        <v>0</v>
      </c>
      <c r="BG51" s="22">
        <f t="shared" si="53"/>
        <v>0</v>
      </c>
      <c r="BH51" s="28" t="str">
        <f t="shared" si="54"/>
        <v/>
      </c>
      <c r="BI51" s="28" t="str">
        <f t="shared" si="55"/>
        <v/>
      </c>
      <c r="BJ51" s="22" t="str">
        <f t="shared" si="56"/>
        <v/>
      </c>
      <c r="BK51" s="22" t="str">
        <f t="shared" si="57"/>
        <v/>
      </c>
      <c r="BL51" s="21" t="str">
        <f t="shared" si="58"/>
        <v>VEC-V04|1|EX1</v>
      </c>
      <c r="BM51" s="22">
        <f>IF(BL51="",0,COUNTIF(nEXP_Key,BL51))</f>
        <v>1</v>
      </c>
      <c r="BN51" s="21" t="str">
        <f t="shared" si="59"/>
        <v/>
      </c>
      <c r="BO51" s="21" t="str">
        <f>IF(BN51="","",BN51&amp;": "&amp;SUBSTITUTE(IFERROR(INDEX(nMSG_Text,MATCH(BN51,nMSG_Code,0)),""),"[input]",IF(D51="","an Exposure_Episode_ID","the date fields required by the selected precision")))</f>
        <v/>
      </c>
    </row>
    <row r="52" spans="1:67" x14ac:dyDescent="0.2">
      <c r="A52" s="9" t="s">
        <v>317</v>
      </c>
      <c r="B52" s="11">
        <v>1</v>
      </c>
      <c r="C52" s="9" t="s">
        <v>521</v>
      </c>
      <c r="D52" s="9" t="s">
        <v>522</v>
      </c>
      <c r="E52" s="9" t="s">
        <v>523</v>
      </c>
      <c r="F52" s="16"/>
      <c r="G52" s="9"/>
      <c r="H52" s="16"/>
      <c r="I52" s="16"/>
      <c r="J52" s="9"/>
      <c r="K52" s="16"/>
      <c r="L52" s="9"/>
      <c r="M52" s="9" t="s">
        <v>532</v>
      </c>
      <c r="N52" s="16" t="s">
        <v>7</v>
      </c>
      <c r="O52" s="14"/>
      <c r="P52" s="25"/>
      <c r="Q52" s="9"/>
      <c r="R52" s="11"/>
      <c r="S52" s="11"/>
      <c r="T52" s="14">
        <v>46023</v>
      </c>
      <c r="U52" s="14">
        <v>46032</v>
      </c>
      <c r="V52" s="9" t="s">
        <v>533</v>
      </c>
      <c r="W52" s="21" t="str">
        <f>IF(COUNTA(N52:U52)=0,"",IF(N52="","E_MISSING_INPUT",IF(N52="TIMESTAMP",IF(OR(O52="",P52="",Q52=""),"E_MISSING_INPUT",IF(OR(NOT(ISNUMBER(O52)),NOT(ISNUMBER(P52))),"E_INVALID_DATE",IF(OR(O52&lt;&gt;INT(O52),P52&lt;0,P52&gt;=1),"E_INVALID_DATE",IF(ISNA(MATCH(Q52,nLIST_Offset,0)),"E_INVALID_DATE","")))),IF(N52="DATE",IF(O52="","E_MISSING_INPUT",IF(NOT(ISNUMBER(O52)),"E_INVALID_DATE",IF(O52&lt;&gt;INT(O52),"E_INVALID_DATE",""))),IF(N52="MONTH",IF(OR(R52="",S52=""),"E_MISSING_INPUT",IF(OR(NOT(ISNUMBER(R52)),NOT(ISNUMBER(S52))),"E_INVALID_DATE",IF(OR(R52&lt;1900,R52&gt;9999,R52&lt;&gt;INT(R52),S52&lt;1,S52&gt;12,S52&lt;&gt;INT(S52)),"E_INVALID_DATE",""))),IF(N52="YEAR",IF(R52="","E_MISSING_INPUT",IF(NOT(ISNUMBER(R52)),"E_INVALID_DATE",IF(OR(R52&lt;1900,R52&gt;9999,R52&lt;&gt;INT(R52)),"E_INVALID_DATE",""))),IF(N52="RANGE",IF(OR(T52="",U52=""),"E_MISSING_INPUT",IF(OR(NOT(ISNUMBER(T52)),NOT(ISNUMBER(U52))),"E_INVALID_DATE",IF(OR(T52&lt;&gt;INT(T52),U52&lt;&gt;INT(U52)),"E_INVALID_DATE",IF(T52&gt;U52,"E_REVERSED_BOUNDS","")))),"E_MISSING_INPUT")))))))</f>
        <v/>
      </c>
      <c r="X52" s="22">
        <f t="shared" si="40"/>
        <v>0</v>
      </c>
      <c r="Y52" s="22">
        <f t="shared" si="41"/>
        <v>0</v>
      </c>
      <c r="Z52" s="28">
        <f t="shared" si="42"/>
        <v>46023</v>
      </c>
      <c r="AA52" s="28">
        <f t="shared" si="43"/>
        <v>46032</v>
      </c>
      <c r="AB52" s="22" t="str">
        <f t="shared" si="44"/>
        <v/>
      </c>
      <c r="AC52" s="22" t="str">
        <f t="shared" si="45"/>
        <v/>
      </c>
      <c r="AD52" s="9"/>
      <c r="AE52" s="16"/>
      <c r="AF52" s="14"/>
      <c r="AG52" s="25"/>
      <c r="AH52" s="9"/>
      <c r="AI52" s="11"/>
      <c r="AJ52" s="11"/>
      <c r="AK52" s="14"/>
      <c r="AL52" s="14"/>
      <c r="AM52" s="9"/>
      <c r="AN52" s="21" t="str">
        <f>IF(COUNTA(AE52:AL52)=0,"",IF(AE52="","E_MISSING_INPUT",IF(AE52="TIMESTAMP",IF(OR(AF52="",AG52="",AH52=""),"E_MISSING_INPUT",IF(OR(NOT(ISNUMBER(AF52)),NOT(ISNUMBER(AG52))),"E_INVALID_DATE",IF(OR(AF52&lt;&gt;INT(AF52),AG52&lt;0,AG52&gt;=1),"E_INVALID_DATE",IF(ISNA(MATCH(AH52,nLIST_Offset,0)),"E_INVALID_DATE","")))),IF(AE52="DATE",IF(AF52="","E_MISSING_INPUT",IF(NOT(ISNUMBER(AF52)),"E_INVALID_DATE",IF(AF52&lt;&gt;INT(AF52),"E_INVALID_DATE",""))),IF(AE52="MONTH",IF(OR(AI52="",AJ52=""),"E_MISSING_INPUT",IF(OR(NOT(ISNUMBER(AI52)),NOT(ISNUMBER(AJ52))),"E_INVALID_DATE",IF(OR(AI52&lt;1900,AI52&gt;9999,AI52&lt;&gt;INT(AI52),AJ52&lt;1,AJ52&gt;12,AJ52&lt;&gt;INT(AJ52)),"E_INVALID_DATE",""))),IF(AE52="YEAR",IF(AI52="","E_MISSING_INPUT",IF(NOT(ISNUMBER(AI52)),"E_INVALID_DATE",IF(OR(AI52&lt;1900,AI52&gt;9999,AI52&lt;&gt;INT(AI52)),"E_INVALID_DATE",""))),IF(AE52="RANGE",IF(OR(AK52="",AL52=""),"E_MISSING_INPUT",IF(OR(NOT(ISNUMBER(AK52)),NOT(ISNUMBER(AL52))),"E_INVALID_DATE",IF(OR(AK52&lt;&gt;INT(AK52),AL52&lt;&gt;INT(AL52)),"E_INVALID_DATE",IF(AK52&gt;AL52,"E_REVERSED_BOUNDS","")))),"E_MISSING_INPUT")))))))</f>
        <v/>
      </c>
      <c r="AO52" s="22">
        <f t="shared" si="46"/>
        <v>0</v>
      </c>
      <c r="AP52" s="22">
        <f t="shared" si="47"/>
        <v>0</v>
      </c>
      <c r="AQ52" s="28" t="str">
        <f t="shared" si="48"/>
        <v/>
      </c>
      <c r="AR52" s="28" t="str">
        <f t="shared" si="49"/>
        <v/>
      </c>
      <c r="AS52" s="22" t="str">
        <f t="shared" si="50"/>
        <v/>
      </c>
      <c r="AT52" s="22" t="str">
        <f t="shared" si="51"/>
        <v/>
      </c>
      <c r="AU52" s="9"/>
      <c r="AV52" s="16"/>
      <c r="AW52" s="14"/>
      <c r="AX52" s="25"/>
      <c r="AY52" s="9"/>
      <c r="AZ52" s="11"/>
      <c r="BA52" s="11"/>
      <c r="BB52" s="14"/>
      <c r="BC52" s="14"/>
      <c r="BD52" s="9"/>
      <c r="BE52" s="21" t="str">
        <f>IF(COUNTA(AV52:BC52)=0,"",IF(AV52="","E_MISSING_INPUT",IF(AV52="TIMESTAMP",IF(OR(AW52="",AX52="",AY52=""),"E_MISSING_INPUT",IF(OR(NOT(ISNUMBER(AW52)),NOT(ISNUMBER(AX52))),"E_INVALID_DATE",IF(OR(AW52&lt;&gt;INT(AW52),AX52&lt;0,AX52&gt;=1),"E_INVALID_DATE",IF(ISNA(MATCH(AY52,nLIST_Offset,0)),"E_INVALID_DATE","")))),IF(AV52="DATE",IF(AW52="","E_MISSING_INPUT",IF(NOT(ISNUMBER(AW52)),"E_INVALID_DATE",IF(AW52&lt;&gt;INT(AW52),"E_INVALID_DATE",""))),IF(AV52="MONTH",IF(OR(AZ52="",BA52=""),"E_MISSING_INPUT",IF(OR(NOT(ISNUMBER(AZ52)),NOT(ISNUMBER(BA52))),"E_INVALID_DATE",IF(OR(AZ52&lt;1900,AZ52&gt;9999,AZ52&lt;&gt;INT(AZ52),BA52&lt;1,BA52&gt;12,BA52&lt;&gt;INT(BA52)),"E_INVALID_DATE",""))),IF(AV52="YEAR",IF(AZ52="","E_MISSING_INPUT",IF(NOT(ISNUMBER(AZ52)),"E_INVALID_DATE",IF(OR(AZ52&lt;1900,AZ52&gt;9999,AZ52&lt;&gt;INT(AZ52)),"E_INVALID_DATE",""))),IF(AV52="RANGE",IF(OR(BB52="",BC52=""),"E_MISSING_INPUT",IF(OR(NOT(ISNUMBER(BB52)),NOT(ISNUMBER(BC52))),"E_INVALID_DATE",IF(OR(BB52&lt;&gt;INT(BB52),BC52&lt;&gt;INT(BC52)),"E_INVALID_DATE",IF(BB52&gt;BC52,"E_REVERSED_BOUNDS","")))),"E_MISSING_INPUT")))))))</f>
        <v/>
      </c>
      <c r="BF52" s="22">
        <f t="shared" si="52"/>
        <v>0</v>
      </c>
      <c r="BG52" s="22">
        <f t="shared" si="53"/>
        <v>0</v>
      </c>
      <c r="BH52" s="28" t="str">
        <f t="shared" si="54"/>
        <v/>
      </c>
      <c r="BI52" s="28" t="str">
        <f t="shared" si="55"/>
        <v/>
      </c>
      <c r="BJ52" s="22" t="str">
        <f t="shared" si="56"/>
        <v/>
      </c>
      <c r="BK52" s="22" t="str">
        <f t="shared" si="57"/>
        <v/>
      </c>
      <c r="BL52" s="21" t="str">
        <f t="shared" si="58"/>
        <v>VEC-V05|1|EX1</v>
      </c>
      <c r="BM52" s="22">
        <f>IF(BL52="",0,COUNTIF(nEXP_Key,BL52))</f>
        <v>1</v>
      </c>
      <c r="BN52" s="21" t="str">
        <f t="shared" si="59"/>
        <v/>
      </c>
      <c r="BO52" s="21" t="str">
        <f>IF(BN52="","",BN52&amp;": "&amp;SUBSTITUTE(IFERROR(INDEX(nMSG_Text,MATCH(BN52,nMSG_Code,0)),""),"[input]",IF(D52="","an Exposure_Episode_ID","the date fields required by the selected precision")))</f>
        <v/>
      </c>
    </row>
    <row r="53" spans="1:67" x14ac:dyDescent="0.2">
      <c r="A53" s="9" t="s">
        <v>319</v>
      </c>
      <c r="B53" s="11">
        <v>1</v>
      </c>
      <c r="C53" s="9" t="s">
        <v>521</v>
      </c>
      <c r="D53" s="9" t="s">
        <v>522</v>
      </c>
      <c r="E53" s="9" t="s">
        <v>523</v>
      </c>
      <c r="F53" s="16"/>
      <c r="G53" s="9"/>
      <c r="H53" s="16"/>
      <c r="I53" s="16"/>
      <c r="J53" s="9"/>
      <c r="K53" s="16"/>
      <c r="L53" s="9"/>
      <c r="M53" s="9" t="s">
        <v>532</v>
      </c>
      <c r="N53" s="16" t="s">
        <v>7</v>
      </c>
      <c r="O53" s="14"/>
      <c r="P53" s="25"/>
      <c r="Q53" s="9"/>
      <c r="R53" s="11"/>
      <c r="S53" s="11"/>
      <c r="T53" s="14">
        <v>46023</v>
      </c>
      <c r="U53" s="14">
        <v>46032</v>
      </c>
      <c r="V53" s="9" t="s">
        <v>534</v>
      </c>
      <c r="W53" s="21" t="str">
        <f>IF(COUNTA(N53:U53)=0,"",IF(N53="","E_MISSING_INPUT",IF(N53="TIMESTAMP",IF(OR(O53="",P53="",Q53=""),"E_MISSING_INPUT",IF(OR(NOT(ISNUMBER(O53)),NOT(ISNUMBER(P53))),"E_INVALID_DATE",IF(OR(O53&lt;&gt;INT(O53),P53&lt;0,P53&gt;=1),"E_INVALID_DATE",IF(ISNA(MATCH(Q53,nLIST_Offset,0)),"E_INVALID_DATE","")))),IF(N53="DATE",IF(O53="","E_MISSING_INPUT",IF(NOT(ISNUMBER(O53)),"E_INVALID_DATE",IF(O53&lt;&gt;INT(O53),"E_INVALID_DATE",""))),IF(N53="MONTH",IF(OR(R53="",S53=""),"E_MISSING_INPUT",IF(OR(NOT(ISNUMBER(R53)),NOT(ISNUMBER(S53))),"E_INVALID_DATE",IF(OR(R53&lt;1900,R53&gt;9999,R53&lt;&gt;INT(R53),S53&lt;1,S53&gt;12,S53&lt;&gt;INT(S53)),"E_INVALID_DATE",""))),IF(N53="YEAR",IF(R53="","E_MISSING_INPUT",IF(NOT(ISNUMBER(R53)),"E_INVALID_DATE",IF(OR(R53&lt;1900,R53&gt;9999,R53&lt;&gt;INT(R53)),"E_INVALID_DATE",""))),IF(N53="RANGE",IF(OR(T53="",U53=""),"E_MISSING_INPUT",IF(OR(NOT(ISNUMBER(T53)),NOT(ISNUMBER(U53))),"E_INVALID_DATE",IF(OR(T53&lt;&gt;INT(T53),U53&lt;&gt;INT(U53)),"E_INVALID_DATE",IF(T53&gt;U53,"E_REVERSED_BOUNDS","")))),"E_MISSING_INPUT")))))))</f>
        <v/>
      </c>
      <c r="X53" s="22">
        <f t="shared" si="40"/>
        <v>0</v>
      </c>
      <c r="Y53" s="22">
        <f t="shared" si="41"/>
        <v>0</v>
      </c>
      <c r="Z53" s="28">
        <f t="shared" si="42"/>
        <v>46023</v>
      </c>
      <c r="AA53" s="28">
        <f t="shared" si="43"/>
        <v>46032</v>
      </c>
      <c r="AB53" s="22" t="str">
        <f t="shared" si="44"/>
        <v/>
      </c>
      <c r="AC53" s="22" t="str">
        <f t="shared" si="45"/>
        <v/>
      </c>
      <c r="AD53" s="9"/>
      <c r="AE53" s="16"/>
      <c r="AF53" s="14"/>
      <c r="AG53" s="25"/>
      <c r="AH53" s="9"/>
      <c r="AI53" s="11"/>
      <c r="AJ53" s="11"/>
      <c r="AK53" s="14"/>
      <c r="AL53" s="14"/>
      <c r="AM53" s="9"/>
      <c r="AN53" s="21" t="str">
        <f>IF(COUNTA(AE53:AL53)=0,"",IF(AE53="","E_MISSING_INPUT",IF(AE53="TIMESTAMP",IF(OR(AF53="",AG53="",AH53=""),"E_MISSING_INPUT",IF(OR(NOT(ISNUMBER(AF53)),NOT(ISNUMBER(AG53))),"E_INVALID_DATE",IF(OR(AF53&lt;&gt;INT(AF53),AG53&lt;0,AG53&gt;=1),"E_INVALID_DATE",IF(ISNA(MATCH(AH53,nLIST_Offset,0)),"E_INVALID_DATE","")))),IF(AE53="DATE",IF(AF53="","E_MISSING_INPUT",IF(NOT(ISNUMBER(AF53)),"E_INVALID_DATE",IF(AF53&lt;&gt;INT(AF53),"E_INVALID_DATE",""))),IF(AE53="MONTH",IF(OR(AI53="",AJ53=""),"E_MISSING_INPUT",IF(OR(NOT(ISNUMBER(AI53)),NOT(ISNUMBER(AJ53))),"E_INVALID_DATE",IF(OR(AI53&lt;1900,AI53&gt;9999,AI53&lt;&gt;INT(AI53),AJ53&lt;1,AJ53&gt;12,AJ53&lt;&gt;INT(AJ53)),"E_INVALID_DATE",""))),IF(AE53="YEAR",IF(AI53="","E_MISSING_INPUT",IF(NOT(ISNUMBER(AI53)),"E_INVALID_DATE",IF(OR(AI53&lt;1900,AI53&gt;9999,AI53&lt;&gt;INT(AI53)),"E_INVALID_DATE",""))),IF(AE53="RANGE",IF(OR(AK53="",AL53=""),"E_MISSING_INPUT",IF(OR(NOT(ISNUMBER(AK53)),NOT(ISNUMBER(AL53))),"E_INVALID_DATE",IF(OR(AK53&lt;&gt;INT(AK53),AL53&lt;&gt;INT(AL53)),"E_INVALID_DATE",IF(AK53&gt;AL53,"E_REVERSED_BOUNDS","")))),"E_MISSING_INPUT")))))))</f>
        <v/>
      </c>
      <c r="AO53" s="22">
        <f t="shared" si="46"/>
        <v>0</v>
      </c>
      <c r="AP53" s="22">
        <f t="shared" si="47"/>
        <v>0</v>
      </c>
      <c r="AQ53" s="28" t="str">
        <f t="shared" si="48"/>
        <v/>
      </c>
      <c r="AR53" s="28" t="str">
        <f t="shared" si="49"/>
        <v/>
      </c>
      <c r="AS53" s="22" t="str">
        <f t="shared" si="50"/>
        <v/>
      </c>
      <c r="AT53" s="22" t="str">
        <f t="shared" si="51"/>
        <v/>
      </c>
      <c r="AU53" s="9"/>
      <c r="AV53" s="16"/>
      <c r="AW53" s="14"/>
      <c r="AX53" s="25"/>
      <c r="AY53" s="9"/>
      <c r="AZ53" s="11"/>
      <c r="BA53" s="11"/>
      <c r="BB53" s="14"/>
      <c r="BC53" s="14"/>
      <c r="BD53" s="9"/>
      <c r="BE53" s="21" t="str">
        <f>IF(COUNTA(AV53:BC53)=0,"",IF(AV53="","E_MISSING_INPUT",IF(AV53="TIMESTAMP",IF(OR(AW53="",AX53="",AY53=""),"E_MISSING_INPUT",IF(OR(NOT(ISNUMBER(AW53)),NOT(ISNUMBER(AX53))),"E_INVALID_DATE",IF(OR(AW53&lt;&gt;INT(AW53),AX53&lt;0,AX53&gt;=1),"E_INVALID_DATE",IF(ISNA(MATCH(AY53,nLIST_Offset,0)),"E_INVALID_DATE","")))),IF(AV53="DATE",IF(AW53="","E_MISSING_INPUT",IF(NOT(ISNUMBER(AW53)),"E_INVALID_DATE",IF(AW53&lt;&gt;INT(AW53),"E_INVALID_DATE",""))),IF(AV53="MONTH",IF(OR(AZ53="",BA53=""),"E_MISSING_INPUT",IF(OR(NOT(ISNUMBER(AZ53)),NOT(ISNUMBER(BA53))),"E_INVALID_DATE",IF(OR(AZ53&lt;1900,AZ53&gt;9999,AZ53&lt;&gt;INT(AZ53),BA53&lt;1,BA53&gt;12,BA53&lt;&gt;INT(BA53)),"E_INVALID_DATE",""))),IF(AV53="YEAR",IF(AZ53="","E_MISSING_INPUT",IF(NOT(ISNUMBER(AZ53)),"E_INVALID_DATE",IF(OR(AZ53&lt;1900,AZ53&gt;9999,AZ53&lt;&gt;INT(AZ53)),"E_INVALID_DATE",""))),IF(AV53="RANGE",IF(OR(BB53="",BC53=""),"E_MISSING_INPUT",IF(OR(NOT(ISNUMBER(BB53)),NOT(ISNUMBER(BC53))),"E_INVALID_DATE",IF(OR(BB53&lt;&gt;INT(BB53),BC53&lt;&gt;INT(BC53)),"E_INVALID_DATE",IF(BB53&gt;BC53,"E_REVERSED_BOUNDS","")))),"E_MISSING_INPUT")))))))</f>
        <v/>
      </c>
      <c r="BF53" s="22">
        <f t="shared" si="52"/>
        <v>0</v>
      </c>
      <c r="BG53" s="22">
        <f t="shared" si="53"/>
        <v>0</v>
      </c>
      <c r="BH53" s="28" t="str">
        <f t="shared" si="54"/>
        <v/>
      </c>
      <c r="BI53" s="28" t="str">
        <f t="shared" si="55"/>
        <v/>
      </c>
      <c r="BJ53" s="22" t="str">
        <f t="shared" si="56"/>
        <v/>
      </c>
      <c r="BK53" s="22" t="str">
        <f t="shared" si="57"/>
        <v/>
      </c>
      <c r="BL53" s="21" t="str">
        <f t="shared" si="58"/>
        <v>VEC-V06|1|EX1</v>
      </c>
      <c r="BM53" s="22">
        <f>IF(BL53="",0,COUNTIF(nEXP_Key,BL53))</f>
        <v>1</v>
      </c>
      <c r="BN53" s="21" t="str">
        <f t="shared" si="59"/>
        <v/>
      </c>
      <c r="BO53" s="21" t="str">
        <f>IF(BN53="","",BN53&amp;": "&amp;SUBSTITUTE(IFERROR(INDEX(nMSG_Text,MATCH(BN53,nMSG_Code,0)),""),"[input]",IF(D53="","an Exposure_Episode_ID","the date fields required by the selected precision")))</f>
        <v/>
      </c>
    </row>
    <row r="54" spans="1:67" x14ac:dyDescent="0.2">
      <c r="A54" s="9" t="s">
        <v>321</v>
      </c>
      <c r="B54" s="11">
        <v>1</v>
      </c>
      <c r="C54" s="9" t="s">
        <v>521</v>
      </c>
      <c r="D54" s="9" t="s">
        <v>522</v>
      </c>
      <c r="E54" s="9" t="s">
        <v>523</v>
      </c>
      <c r="F54" s="16"/>
      <c r="G54" s="9"/>
      <c r="H54" s="16"/>
      <c r="I54" s="16"/>
      <c r="J54" s="9"/>
      <c r="K54" s="16"/>
      <c r="L54" s="9"/>
      <c r="M54" s="9" t="s">
        <v>535</v>
      </c>
      <c r="N54" s="16" t="s">
        <v>3</v>
      </c>
      <c r="O54" s="14">
        <v>46082</v>
      </c>
      <c r="P54" s="25">
        <v>0.33333333333333298</v>
      </c>
      <c r="Q54" s="9" t="s">
        <v>20</v>
      </c>
      <c r="R54" s="11"/>
      <c r="S54" s="11"/>
      <c r="T54" s="14"/>
      <c r="U54" s="14"/>
      <c r="V54" s="9" t="s">
        <v>536</v>
      </c>
      <c r="W54" s="21" t="str">
        <f>IF(COUNTA(N54:U54)=0,"",IF(N54="","E_MISSING_INPUT",IF(N54="TIMESTAMP",IF(OR(O54="",P54="",Q54=""),"E_MISSING_INPUT",IF(OR(NOT(ISNUMBER(O54)),NOT(ISNUMBER(P54))),"E_INVALID_DATE",IF(OR(O54&lt;&gt;INT(O54),P54&lt;0,P54&gt;=1),"E_INVALID_DATE",IF(ISNA(MATCH(Q54,nLIST_Offset,0)),"E_INVALID_DATE","")))),IF(N54="DATE",IF(O54="","E_MISSING_INPUT",IF(NOT(ISNUMBER(O54)),"E_INVALID_DATE",IF(O54&lt;&gt;INT(O54),"E_INVALID_DATE",""))),IF(N54="MONTH",IF(OR(R54="",S54=""),"E_MISSING_INPUT",IF(OR(NOT(ISNUMBER(R54)),NOT(ISNUMBER(S54))),"E_INVALID_DATE",IF(OR(R54&lt;1900,R54&gt;9999,R54&lt;&gt;INT(R54),S54&lt;1,S54&gt;12,S54&lt;&gt;INT(S54)),"E_INVALID_DATE",""))),IF(N54="YEAR",IF(R54="","E_MISSING_INPUT",IF(NOT(ISNUMBER(R54)),"E_INVALID_DATE",IF(OR(R54&lt;1900,R54&gt;9999,R54&lt;&gt;INT(R54)),"E_INVALID_DATE",""))),IF(N54="RANGE",IF(OR(T54="",U54=""),"E_MISSING_INPUT",IF(OR(NOT(ISNUMBER(T54)),NOT(ISNUMBER(U54))),"E_INVALID_DATE",IF(OR(T54&lt;&gt;INT(T54),U54&lt;&gt;INT(U54)),"E_INVALID_DATE",IF(T54&gt;U54,"E_REVERSED_BOUNDS","")))),"E_MISSING_INPUT")))))))</f>
        <v/>
      </c>
      <c r="X54" s="22">
        <f t="shared" si="40"/>
        <v>1</v>
      </c>
      <c r="Y54" s="22">
        <f t="shared" si="41"/>
        <v>1</v>
      </c>
      <c r="Z54" s="28">
        <f t="shared" si="42"/>
        <v>46082</v>
      </c>
      <c r="AA54" s="28">
        <f t="shared" si="43"/>
        <v>46082</v>
      </c>
      <c r="AB54" s="22">
        <f t="shared" si="44"/>
        <v>66358560</v>
      </c>
      <c r="AC54" s="22">
        <f t="shared" si="45"/>
        <v>66358860</v>
      </c>
      <c r="AD54" s="9"/>
      <c r="AE54" s="16"/>
      <c r="AF54" s="14"/>
      <c r="AG54" s="25"/>
      <c r="AH54" s="9"/>
      <c r="AI54" s="11"/>
      <c r="AJ54" s="11"/>
      <c r="AK54" s="14"/>
      <c r="AL54" s="14"/>
      <c r="AM54" s="9"/>
      <c r="AN54" s="21" t="str">
        <f>IF(COUNTA(AE54:AL54)=0,"",IF(AE54="","E_MISSING_INPUT",IF(AE54="TIMESTAMP",IF(OR(AF54="",AG54="",AH54=""),"E_MISSING_INPUT",IF(OR(NOT(ISNUMBER(AF54)),NOT(ISNUMBER(AG54))),"E_INVALID_DATE",IF(OR(AF54&lt;&gt;INT(AF54),AG54&lt;0,AG54&gt;=1),"E_INVALID_DATE",IF(ISNA(MATCH(AH54,nLIST_Offset,0)),"E_INVALID_DATE","")))),IF(AE54="DATE",IF(AF54="","E_MISSING_INPUT",IF(NOT(ISNUMBER(AF54)),"E_INVALID_DATE",IF(AF54&lt;&gt;INT(AF54),"E_INVALID_DATE",""))),IF(AE54="MONTH",IF(OR(AI54="",AJ54=""),"E_MISSING_INPUT",IF(OR(NOT(ISNUMBER(AI54)),NOT(ISNUMBER(AJ54))),"E_INVALID_DATE",IF(OR(AI54&lt;1900,AI54&gt;9999,AI54&lt;&gt;INT(AI54),AJ54&lt;1,AJ54&gt;12,AJ54&lt;&gt;INT(AJ54)),"E_INVALID_DATE",""))),IF(AE54="YEAR",IF(AI54="","E_MISSING_INPUT",IF(NOT(ISNUMBER(AI54)),"E_INVALID_DATE",IF(OR(AI54&lt;1900,AI54&gt;9999,AI54&lt;&gt;INT(AI54)),"E_INVALID_DATE",""))),IF(AE54="RANGE",IF(OR(AK54="",AL54=""),"E_MISSING_INPUT",IF(OR(NOT(ISNUMBER(AK54)),NOT(ISNUMBER(AL54))),"E_INVALID_DATE",IF(OR(AK54&lt;&gt;INT(AK54),AL54&lt;&gt;INT(AL54)),"E_INVALID_DATE",IF(AK54&gt;AL54,"E_REVERSED_BOUNDS","")))),"E_MISSING_INPUT")))))))</f>
        <v/>
      </c>
      <c r="AO54" s="22">
        <f t="shared" si="46"/>
        <v>0</v>
      </c>
      <c r="AP54" s="22">
        <f t="shared" si="47"/>
        <v>0</v>
      </c>
      <c r="AQ54" s="28" t="str">
        <f t="shared" si="48"/>
        <v/>
      </c>
      <c r="AR54" s="28" t="str">
        <f t="shared" si="49"/>
        <v/>
      </c>
      <c r="AS54" s="22" t="str">
        <f t="shared" si="50"/>
        <v/>
      </c>
      <c r="AT54" s="22" t="str">
        <f t="shared" si="51"/>
        <v/>
      </c>
      <c r="AU54" s="9"/>
      <c r="AV54" s="16"/>
      <c r="AW54" s="14"/>
      <c r="AX54" s="25"/>
      <c r="AY54" s="9"/>
      <c r="AZ54" s="11"/>
      <c r="BA54" s="11"/>
      <c r="BB54" s="14"/>
      <c r="BC54" s="14"/>
      <c r="BD54" s="9"/>
      <c r="BE54" s="21" t="str">
        <f>IF(COUNTA(AV54:BC54)=0,"",IF(AV54="","E_MISSING_INPUT",IF(AV54="TIMESTAMP",IF(OR(AW54="",AX54="",AY54=""),"E_MISSING_INPUT",IF(OR(NOT(ISNUMBER(AW54)),NOT(ISNUMBER(AX54))),"E_INVALID_DATE",IF(OR(AW54&lt;&gt;INT(AW54),AX54&lt;0,AX54&gt;=1),"E_INVALID_DATE",IF(ISNA(MATCH(AY54,nLIST_Offset,0)),"E_INVALID_DATE","")))),IF(AV54="DATE",IF(AW54="","E_MISSING_INPUT",IF(NOT(ISNUMBER(AW54)),"E_INVALID_DATE",IF(AW54&lt;&gt;INT(AW54),"E_INVALID_DATE",""))),IF(AV54="MONTH",IF(OR(AZ54="",BA54=""),"E_MISSING_INPUT",IF(OR(NOT(ISNUMBER(AZ54)),NOT(ISNUMBER(BA54))),"E_INVALID_DATE",IF(OR(AZ54&lt;1900,AZ54&gt;9999,AZ54&lt;&gt;INT(AZ54),BA54&lt;1,BA54&gt;12,BA54&lt;&gt;INT(BA54)),"E_INVALID_DATE",""))),IF(AV54="YEAR",IF(AZ54="","E_MISSING_INPUT",IF(NOT(ISNUMBER(AZ54)),"E_INVALID_DATE",IF(OR(AZ54&lt;1900,AZ54&gt;9999,AZ54&lt;&gt;INT(AZ54)),"E_INVALID_DATE",""))),IF(AV54="RANGE",IF(OR(BB54="",BC54=""),"E_MISSING_INPUT",IF(OR(NOT(ISNUMBER(BB54)),NOT(ISNUMBER(BC54))),"E_INVALID_DATE",IF(OR(BB54&lt;&gt;INT(BB54),BC54&lt;&gt;INT(BC54)),"E_INVALID_DATE",IF(BB54&gt;BC54,"E_REVERSED_BOUNDS","")))),"E_MISSING_INPUT")))))))</f>
        <v/>
      </c>
      <c r="BF54" s="22">
        <f t="shared" si="52"/>
        <v>0</v>
      </c>
      <c r="BG54" s="22">
        <f t="shared" si="53"/>
        <v>0</v>
      </c>
      <c r="BH54" s="28" t="str">
        <f t="shared" si="54"/>
        <v/>
      </c>
      <c r="BI54" s="28" t="str">
        <f t="shared" si="55"/>
        <v/>
      </c>
      <c r="BJ54" s="22" t="str">
        <f t="shared" si="56"/>
        <v/>
      </c>
      <c r="BK54" s="22" t="str">
        <f t="shared" si="57"/>
        <v/>
      </c>
      <c r="BL54" s="21" t="str">
        <f t="shared" si="58"/>
        <v>VEC-V07|1|EX1</v>
      </c>
      <c r="BM54" s="22">
        <f>IF(BL54="",0,COUNTIF(nEXP_Key,BL54))</f>
        <v>1</v>
      </c>
      <c r="BN54" s="21" t="str">
        <f t="shared" si="59"/>
        <v/>
      </c>
      <c r="BO54" s="21" t="str">
        <f>IF(BN54="","",BN54&amp;": "&amp;SUBSTITUTE(IFERROR(INDEX(nMSG_Text,MATCH(BN54,nMSG_Code,0)),""),"[input]",IF(D54="","an Exposure_Episode_ID","the date fields required by the selected precision")))</f>
        <v/>
      </c>
    </row>
    <row r="55" spans="1:67" x14ac:dyDescent="0.2">
      <c r="A55" s="9" t="s">
        <v>323</v>
      </c>
      <c r="B55" s="11">
        <v>1</v>
      </c>
      <c r="C55" s="9" t="s">
        <v>521</v>
      </c>
      <c r="D55" s="9" t="s">
        <v>522</v>
      </c>
      <c r="E55" s="9" t="s">
        <v>523</v>
      </c>
      <c r="F55" s="16"/>
      <c r="G55" s="9"/>
      <c r="H55" s="16"/>
      <c r="I55" s="16"/>
      <c r="J55" s="9"/>
      <c r="K55" s="16"/>
      <c r="L55" s="9"/>
      <c r="M55" s="9" t="s">
        <v>537</v>
      </c>
      <c r="N55" s="16" t="s">
        <v>4</v>
      </c>
      <c r="O55" s="14">
        <v>46023</v>
      </c>
      <c r="P55" s="25"/>
      <c r="Q55" s="9"/>
      <c r="R55" s="11"/>
      <c r="S55" s="11"/>
      <c r="T55" s="14"/>
      <c r="U55" s="14"/>
      <c r="V55" s="9" t="s">
        <v>538</v>
      </c>
      <c r="W55" s="21" t="str">
        <f>IF(COUNTA(N55:U55)=0,"",IF(N55="","E_MISSING_INPUT",IF(N55="TIMESTAMP",IF(OR(O55="",P55="",Q55=""),"E_MISSING_INPUT",IF(OR(NOT(ISNUMBER(O55)),NOT(ISNUMBER(P55))),"E_INVALID_DATE",IF(OR(O55&lt;&gt;INT(O55),P55&lt;0,P55&gt;=1),"E_INVALID_DATE",IF(ISNA(MATCH(Q55,nLIST_Offset,0)),"E_INVALID_DATE","")))),IF(N55="DATE",IF(O55="","E_MISSING_INPUT",IF(NOT(ISNUMBER(O55)),"E_INVALID_DATE",IF(O55&lt;&gt;INT(O55),"E_INVALID_DATE",""))),IF(N55="MONTH",IF(OR(R55="",S55=""),"E_MISSING_INPUT",IF(OR(NOT(ISNUMBER(R55)),NOT(ISNUMBER(S55))),"E_INVALID_DATE",IF(OR(R55&lt;1900,R55&gt;9999,R55&lt;&gt;INT(R55),S55&lt;1,S55&gt;12,S55&lt;&gt;INT(S55)),"E_INVALID_DATE",""))),IF(N55="YEAR",IF(R55="","E_MISSING_INPUT",IF(NOT(ISNUMBER(R55)),"E_INVALID_DATE",IF(OR(R55&lt;1900,R55&gt;9999,R55&lt;&gt;INT(R55)),"E_INVALID_DATE",""))),IF(N55="RANGE",IF(OR(T55="",U55=""),"E_MISSING_INPUT",IF(OR(NOT(ISNUMBER(T55)),NOT(ISNUMBER(U55))),"E_INVALID_DATE",IF(OR(T55&lt;&gt;INT(T55),U55&lt;&gt;INT(U55)),"E_INVALID_DATE",IF(T55&gt;U55,"E_REVERSED_BOUNDS","")))),"E_MISSING_INPUT")))))))</f>
        <v/>
      </c>
      <c r="X55" s="22">
        <f t="shared" si="40"/>
        <v>0</v>
      </c>
      <c r="Y55" s="22">
        <f t="shared" si="41"/>
        <v>0</v>
      </c>
      <c r="Z55" s="28">
        <f t="shared" si="42"/>
        <v>46023</v>
      </c>
      <c r="AA55" s="28">
        <f t="shared" si="43"/>
        <v>46023</v>
      </c>
      <c r="AB55" s="22" t="str">
        <f t="shared" si="44"/>
        <v/>
      </c>
      <c r="AC55" s="22" t="str">
        <f t="shared" si="45"/>
        <v/>
      </c>
      <c r="AD55" s="9" t="s">
        <v>539</v>
      </c>
      <c r="AE55" s="16" t="s">
        <v>4</v>
      </c>
      <c r="AF55" s="14">
        <v>46042</v>
      </c>
      <c r="AG55" s="25"/>
      <c r="AH55" s="9"/>
      <c r="AI55" s="11"/>
      <c r="AJ55" s="11"/>
      <c r="AK55" s="14"/>
      <c r="AL55" s="14"/>
      <c r="AM55" s="9" t="s">
        <v>538</v>
      </c>
      <c r="AN55" s="21" t="str">
        <f>IF(COUNTA(AE55:AL55)=0,"",IF(AE55="","E_MISSING_INPUT",IF(AE55="TIMESTAMP",IF(OR(AF55="",AG55="",AH55=""),"E_MISSING_INPUT",IF(OR(NOT(ISNUMBER(AF55)),NOT(ISNUMBER(AG55))),"E_INVALID_DATE",IF(OR(AF55&lt;&gt;INT(AF55),AG55&lt;0,AG55&gt;=1),"E_INVALID_DATE",IF(ISNA(MATCH(AH55,nLIST_Offset,0)),"E_INVALID_DATE","")))),IF(AE55="DATE",IF(AF55="","E_MISSING_INPUT",IF(NOT(ISNUMBER(AF55)),"E_INVALID_DATE",IF(AF55&lt;&gt;INT(AF55),"E_INVALID_DATE",""))),IF(AE55="MONTH",IF(OR(AI55="",AJ55=""),"E_MISSING_INPUT",IF(OR(NOT(ISNUMBER(AI55)),NOT(ISNUMBER(AJ55))),"E_INVALID_DATE",IF(OR(AI55&lt;1900,AI55&gt;9999,AI55&lt;&gt;INT(AI55),AJ55&lt;1,AJ55&gt;12,AJ55&lt;&gt;INT(AJ55)),"E_INVALID_DATE",""))),IF(AE55="YEAR",IF(AI55="","E_MISSING_INPUT",IF(NOT(ISNUMBER(AI55)),"E_INVALID_DATE",IF(OR(AI55&lt;1900,AI55&gt;9999,AI55&lt;&gt;INT(AI55)),"E_INVALID_DATE",""))),IF(AE55="RANGE",IF(OR(AK55="",AL55=""),"E_MISSING_INPUT",IF(OR(NOT(ISNUMBER(AK55)),NOT(ISNUMBER(AL55))),"E_INVALID_DATE",IF(OR(AK55&lt;&gt;INT(AK55),AL55&lt;&gt;INT(AL55)),"E_INVALID_DATE",IF(AK55&gt;AL55,"E_REVERSED_BOUNDS","")))),"E_MISSING_INPUT")))))))</f>
        <v/>
      </c>
      <c r="AO55" s="22">
        <f t="shared" si="46"/>
        <v>0</v>
      </c>
      <c r="AP55" s="22">
        <f t="shared" si="47"/>
        <v>0</v>
      </c>
      <c r="AQ55" s="28">
        <f t="shared" si="48"/>
        <v>46042</v>
      </c>
      <c r="AR55" s="28">
        <f t="shared" si="49"/>
        <v>46042</v>
      </c>
      <c r="AS55" s="22" t="str">
        <f t="shared" si="50"/>
        <v/>
      </c>
      <c r="AT55" s="22" t="str">
        <f t="shared" si="51"/>
        <v/>
      </c>
      <c r="AU55" s="9" t="s">
        <v>540</v>
      </c>
      <c r="AV55" s="16" t="s">
        <v>4</v>
      </c>
      <c r="AW55" s="14">
        <v>46063</v>
      </c>
      <c r="AX55" s="25"/>
      <c r="AY55" s="9"/>
      <c r="AZ55" s="11"/>
      <c r="BA55" s="11"/>
      <c r="BB55" s="14"/>
      <c r="BC55" s="14"/>
      <c r="BD55" s="9" t="s">
        <v>538</v>
      </c>
      <c r="BE55" s="21" t="str">
        <f>IF(COUNTA(AV55:BC55)=0,"",IF(AV55="","E_MISSING_INPUT",IF(AV55="TIMESTAMP",IF(OR(AW55="",AX55="",AY55=""),"E_MISSING_INPUT",IF(OR(NOT(ISNUMBER(AW55)),NOT(ISNUMBER(AX55))),"E_INVALID_DATE",IF(OR(AW55&lt;&gt;INT(AW55),AX55&lt;0,AX55&gt;=1),"E_INVALID_DATE",IF(ISNA(MATCH(AY55,nLIST_Offset,0)),"E_INVALID_DATE","")))),IF(AV55="DATE",IF(AW55="","E_MISSING_INPUT",IF(NOT(ISNUMBER(AW55)),"E_INVALID_DATE",IF(AW55&lt;&gt;INT(AW55),"E_INVALID_DATE",""))),IF(AV55="MONTH",IF(OR(AZ55="",BA55=""),"E_MISSING_INPUT",IF(OR(NOT(ISNUMBER(AZ55)),NOT(ISNUMBER(BA55))),"E_INVALID_DATE",IF(OR(AZ55&lt;1900,AZ55&gt;9999,AZ55&lt;&gt;INT(AZ55),BA55&lt;1,BA55&gt;12,BA55&lt;&gt;INT(BA55)),"E_INVALID_DATE",""))),IF(AV55="YEAR",IF(AZ55="","E_MISSING_INPUT",IF(NOT(ISNUMBER(AZ55)),"E_INVALID_DATE",IF(OR(AZ55&lt;1900,AZ55&gt;9999,AZ55&lt;&gt;INT(AZ55)),"E_INVALID_DATE",""))),IF(AV55="RANGE",IF(OR(BB55="",BC55=""),"E_MISSING_INPUT",IF(OR(NOT(ISNUMBER(BB55)),NOT(ISNUMBER(BC55))),"E_INVALID_DATE",IF(OR(BB55&lt;&gt;INT(BB55),BC55&lt;&gt;INT(BC55)),"E_INVALID_DATE",IF(BB55&gt;BC55,"E_REVERSED_BOUNDS","")))),"E_MISSING_INPUT")))))))</f>
        <v/>
      </c>
      <c r="BF55" s="22">
        <f t="shared" si="52"/>
        <v>0</v>
      </c>
      <c r="BG55" s="22">
        <f t="shared" si="53"/>
        <v>0</v>
      </c>
      <c r="BH55" s="28">
        <f t="shared" si="54"/>
        <v>46063</v>
      </c>
      <c r="BI55" s="28">
        <f t="shared" si="55"/>
        <v>46063</v>
      </c>
      <c r="BJ55" s="22" t="str">
        <f t="shared" si="56"/>
        <v/>
      </c>
      <c r="BK55" s="22" t="str">
        <f t="shared" si="57"/>
        <v/>
      </c>
      <c r="BL55" s="21" t="str">
        <f t="shared" si="58"/>
        <v>VEC-V08|1|EX1</v>
      </c>
      <c r="BM55" s="22">
        <f>IF(BL55="",0,COUNTIF(nEXP_Key,BL55))</f>
        <v>1</v>
      </c>
      <c r="BN55" s="21" t="str">
        <f t="shared" si="59"/>
        <v/>
      </c>
      <c r="BO55" s="21" t="str">
        <f>IF(BN55="","",BN55&amp;": "&amp;SUBSTITUTE(IFERROR(INDEX(nMSG_Text,MATCH(BN55,nMSG_Code,0)),""),"[input]",IF(D55="","an Exposure_Episode_ID","the date fields required by the selected precision")))</f>
        <v/>
      </c>
    </row>
    <row r="56" spans="1:67" x14ac:dyDescent="0.2">
      <c r="A56" s="9" t="s">
        <v>325</v>
      </c>
      <c r="B56" s="11">
        <v>1</v>
      </c>
      <c r="C56" s="9" t="s">
        <v>521</v>
      </c>
      <c r="D56" s="9" t="s">
        <v>522</v>
      </c>
      <c r="E56" s="9" t="s">
        <v>523</v>
      </c>
      <c r="F56" s="16"/>
      <c r="G56" s="9"/>
      <c r="H56" s="16"/>
      <c r="I56" s="16"/>
      <c r="J56" s="9"/>
      <c r="K56" s="16"/>
      <c r="L56" s="9"/>
      <c r="M56" s="9" t="s">
        <v>541</v>
      </c>
      <c r="N56" s="16" t="s">
        <v>3</v>
      </c>
      <c r="O56" s="14">
        <v>46327</v>
      </c>
      <c r="P56" s="25">
        <v>6.25E-2</v>
      </c>
      <c r="Q56" s="9" t="s">
        <v>21</v>
      </c>
      <c r="R56" s="11"/>
      <c r="S56" s="11"/>
      <c r="T56" s="14"/>
      <c r="U56" s="14"/>
      <c r="V56" s="9" t="s">
        <v>542</v>
      </c>
      <c r="W56" s="21" t="str">
        <f>IF(COUNTA(N56:U56)=0,"",IF(N56="","E_MISSING_INPUT",IF(N56="TIMESTAMP",IF(OR(O56="",P56="",Q56=""),"E_MISSING_INPUT",IF(OR(NOT(ISNUMBER(O56)),NOT(ISNUMBER(P56))),"E_INVALID_DATE",IF(OR(O56&lt;&gt;INT(O56),P56&lt;0,P56&gt;=1),"E_INVALID_DATE",IF(ISNA(MATCH(Q56,nLIST_Offset,0)),"E_INVALID_DATE","")))),IF(N56="DATE",IF(O56="","E_MISSING_INPUT",IF(NOT(ISNUMBER(O56)),"E_INVALID_DATE",IF(O56&lt;&gt;INT(O56),"E_INVALID_DATE",""))),IF(N56="MONTH",IF(OR(R56="",S56=""),"E_MISSING_INPUT",IF(OR(NOT(ISNUMBER(R56)),NOT(ISNUMBER(S56))),"E_INVALID_DATE",IF(OR(R56&lt;1900,R56&gt;9999,R56&lt;&gt;INT(R56),S56&lt;1,S56&gt;12,S56&lt;&gt;INT(S56)),"E_INVALID_DATE",""))),IF(N56="YEAR",IF(R56="","E_MISSING_INPUT",IF(NOT(ISNUMBER(R56)),"E_INVALID_DATE",IF(OR(R56&lt;1900,R56&gt;9999,R56&lt;&gt;INT(R56)),"E_INVALID_DATE",""))),IF(N56="RANGE",IF(OR(T56="",U56=""),"E_MISSING_INPUT",IF(OR(NOT(ISNUMBER(T56)),NOT(ISNUMBER(U56))),"E_INVALID_DATE",IF(OR(T56&lt;&gt;INT(T56),U56&lt;&gt;INT(U56)),"E_INVALID_DATE",IF(T56&gt;U56,"E_REVERSED_BOUNDS","")))),"E_MISSING_INPUT")))))))</f>
        <v/>
      </c>
      <c r="X56" s="22">
        <f t="shared" si="40"/>
        <v>1</v>
      </c>
      <c r="Y56" s="22">
        <f t="shared" si="41"/>
        <v>1</v>
      </c>
      <c r="Z56" s="28">
        <f t="shared" si="42"/>
        <v>46327</v>
      </c>
      <c r="AA56" s="28">
        <f t="shared" si="43"/>
        <v>46327</v>
      </c>
      <c r="AB56" s="22">
        <f t="shared" si="44"/>
        <v>66710970</v>
      </c>
      <c r="AC56" s="22">
        <f t="shared" si="45"/>
        <v>66711210</v>
      </c>
      <c r="AD56" s="9"/>
      <c r="AE56" s="16"/>
      <c r="AF56" s="14"/>
      <c r="AG56" s="25"/>
      <c r="AH56" s="9"/>
      <c r="AI56" s="11"/>
      <c r="AJ56" s="11"/>
      <c r="AK56" s="14"/>
      <c r="AL56" s="14"/>
      <c r="AM56" s="9"/>
      <c r="AN56" s="21" t="str">
        <f>IF(COUNTA(AE56:AL56)=0,"",IF(AE56="","E_MISSING_INPUT",IF(AE56="TIMESTAMP",IF(OR(AF56="",AG56="",AH56=""),"E_MISSING_INPUT",IF(OR(NOT(ISNUMBER(AF56)),NOT(ISNUMBER(AG56))),"E_INVALID_DATE",IF(OR(AF56&lt;&gt;INT(AF56),AG56&lt;0,AG56&gt;=1),"E_INVALID_DATE",IF(ISNA(MATCH(AH56,nLIST_Offset,0)),"E_INVALID_DATE","")))),IF(AE56="DATE",IF(AF56="","E_MISSING_INPUT",IF(NOT(ISNUMBER(AF56)),"E_INVALID_DATE",IF(AF56&lt;&gt;INT(AF56),"E_INVALID_DATE",""))),IF(AE56="MONTH",IF(OR(AI56="",AJ56=""),"E_MISSING_INPUT",IF(OR(NOT(ISNUMBER(AI56)),NOT(ISNUMBER(AJ56))),"E_INVALID_DATE",IF(OR(AI56&lt;1900,AI56&gt;9999,AI56&lt;&gt;INT(AI56),AJ56&lt;1,AJ56&gt;12,AJ56&lt;&gt;INT(AJ56)),"E_INVALID_DATE",""))),IF(AE56="YEAR",IF(AI56="","E_MISSING_INPUT",IF(NOT(ISNUMBER(AI56)),"E_INVALID_DATE",IF(OR(AI56&lt;1900,AI56&gt;9999,AI56&lt;&gt;INT(AI56)),"E_INVALID_DATE",""))),IF(AE56="RANGE",IF(OR(AK56="",AL56=""),"E_MISSING_INPUT",IF(OR(NOT(ISNUMBER(AK56)),NOT(ISNUMBER(AL56))),"E_INVALID_DATE",IF(OR(AK56&lt;&gt;INT(AK56),AL56&lt;&gt;INT(AL56)),"E_INVALID_DATE",IF(AK56&gt;AL56,"E_REVERSED_BOUNDS","")))),"E_MISSING_INPUT")))))))</f>
        <v/>
      </c>
      <c r="AO56" s="22">
        <f t="shared" si="46"/>
        <v>0</v>
      </c>
      <c r="AP56" s="22">
        <f t="shared" si="47"/>
        <v>0</v>
      </c>
      <c r="AQ56" s="28" t="str">
        <f t="shared" si="48"/>
        <v/>
      </c>
      <c r="AR56" s="28" t="str">
        <f t="shared" si="49"/>
        <v/>
      </c>
      <c r="AS56" s="22" t="str">
        <f t="shared" si="50"/>
        <v/>
      </c>
      <c r="AT56" s="22" t="str">
        <f t="shared" si="51"/>
        <v/>
      </c>
      <c r="AU56" s="9"/>
      <c r="AV56" s="16"/>
      <c r="AW56" s="14"/>
      <c r="AX56" s="25"/>
      <c r="AY56" s="9"/>
      <c r="AZ56" s="11"/>
      <c r="BA56" s="11"/>
      <c r="BB56" s="14"/>
      <c r="BC56" s="14"/>
      <c r="BD56" s="9"/>
      <c r="BE56" s="21" t="str">
        <f>IF(COUNTA(AV56:BC56)=0,"",IF(AV56="","E_MISSING_INPUT",IF(AV56="TIMESTAMP",IF(OR(AW56="",AX56="",AY56=""),"E_MISSING_INPUT",IF(OR(NOT(ISNUMBER(AW56)),NOT(ISNUMBER(AX56))),"E_INVALID_DATE",IF(OR(AW56&lt;&gt;INT(AW56),AX56&lt;0,AX56&gt;=1),"E_INVALID_DATE",IF(ISNA(MATCH(AY56,nLIST_Offset,0)),"E_INVALID_DATE","")))),IF(AV56="DATE",IF(AW56="","E_MISSING_INPUT",IF(NOT(ISNUMBER(AW56)),"E_INVALID_DATE",IF(AW56&lt;&gt;INT(AW56),"E_INVALID_DATE",""))),IF(AV56="MONTH",IF(OR(AZ56="",BA56=""),"E_MISSING_INPUT",IF(OR(NOT(ISNUMBER(AZ56)),NOT(ISNUMBER(BA56))),"E_INVALID_DATE",IF(OR(AZ56&lt;1900,AZ56&gt;9999,AZ56&lt;&gt;INT(AZ56),BA56&lt;1,BA56&gt;12,BA56&lt;&gt;INT(BA56)),"E_INVALID_DATE",""))),IF(AV56="YEAR",IF(AZ56="","E_MISSING_INPUT",IF(NOT(ISNUMBER(AZ56)),"E_INVALID_DATE",IF(OR(AZ56&lt;1900,AZ56&gt;9999,AZ56&lt;&gt;INT(AZ56)),"E_INVALID_DATE",""))),IF(AV56="RANGE",IF(OR(BB56="",BC56=""),"E_MISSING_INPUT",IF(OR(NOT(ISNUMBER(BB56)),NOT(ISNUMBER(BC56))),"E_INVALID_DATE",IF(OR(BB56&lt;&gt;INT(BB56),BC56&lt;&gt;INT(BC56)),"E_INVALID_DATE",IF(BB56&gt;BC56,"E_REVERSED_BOUNDS","")))),"E_MISSING_INPUT")))))))</f>
        <v/>
      </c>
      <c r="BF56" s="22">
        <f t="shared" si="52"/>
        <v>0</v>
      </c>
      <c r="BG56" s="22">
        <f t="shared" si="53"/>
        <v>0</v>
      </c>
      <c r="BH56" s="28" t="str">
        <f t="shared" si="54"/>
        <v/>
      </c>
      <c r="BI56" s="28" t="str">
        <f t="shared" si="55"/>
        <v/>
      </c>
      <c r="BJ56" s="22" t="str">
        <f t="shared" si="56"/>
        <v/>
      </c>
      <c r="BK56" s="22" t="str">
        <f t="shared" si="57"/>
        <v/>
      </c>
      <c r="BL56" s="21" t="str">
        <f t="shared" si="58"/>
        <v>VEC-V09|1|EX1</v>
      </c>
      <c r="BM56" s="22">
        <f>IF(BL56="",0,COUNTIF(nEXP_Key,BL56))</f>
        <v>1</v>
      </c>
      <c r="BN56" s="21" t="str">
        <f t="shared" si="59"/>
        <v/>
      </c>
      <c r="BO56" s="21" t="str">
        <f>IF(BN56="","",BN56&amp;": "&amp;SUBSTITUTE(IFERROR(INDEX(nMSG_Text,MATCH(BN56,nMSG_Code,0)),""),"[input]",IF(D56="","an Exposure_Episode_ID","the date fields required by the selected precision")))</f>
        <v/>
      </c>
    </row>
    <row r="57" spans="1:67" x14ac:dyDescent="0.2">
      <c r="A57" s="9" t="s">
        <v>327</v>
      </c>
      <c r="B57" s="11">
        <v>1</v>
      </c>
      <c r="C57" s="9" t="s">
        <v>521</v>
      </c>
      <c r="D57" s="9" t="s">
        <v>522</v>
      </c>
      <c r="E57" s="9" t="s">
        <v>523</v>
      </c>
      <c r="F57" s="16"/>
      <c r="G57" s="9"/>
      <c r="H57" s="16"/>
      <c r="I57" s="16"/>
      <c r="J57" s="9"/>
      <c r="K57" s="16"/>
      <c r="L57" s="9"/>
      <c r="M57" s="9" t="s">
        <v>543</v>
      </c>
      <c r="N57" s="16" t="s">
        <v>3</v>
      </c>
      <c r="O57" s="14">
        <v>46089</v>
      </c>
      <c r="P57" s="25">
        <v>6.25E-2</v>
      </c>
      <c r="Q57" s="9" t="s">
        <v>11</v>
      </c>
      <c r="R57" s="11"/>
      <c r="S57" s="11"/>
      <c r="T57" s="14"/>
      <c r="U57" s="14"/>
      <c r="V57" s="9" t="s">
        <v>544</v>
      </c>
      <c r="W57" s="21" t="str">
        <f>IF(COUNTA(N57:U57)=0,"",IF(N57="","E_MISSING_INPUT",IF(N57="TIMESTAMP",IF(OR(O57="",P57="",Q57=""),"E_MISSING_INPUT",IF(OR(NOT(ISNUMBER(O57)),NOT(ISNUMBER(P57))),"E_INVALID_DATE",IF(OR(O57&lt;&gt;INT(O57),P57&lt;0,P57&gt;=1),"E_INVALID_DATE",IF(ISNA(MATCH(Q57,nLIST_Offset,0)),"E_INVALID_DATE","")))),IF(N57="DATE",IF(O57="","E_MISSING_INPUT",IF(NOT(ISNUMBER(O57)),"E_INVALID_DATE",IF(O57&lt;&gt;INT(O57),"E_INVALID_DATE",""))),IF(N57="MONTH",IF(OR(R57="",S57=""),"E_MISSING_INPUT",IF(OR(NOT(ISNUMBER(R57)),NOT(ISNUMBER(S57))),"E_INVALID_DATE",IF(OR(R57&lt;1900,R57&gt;9999,R57&lt;&gt;INT(R57),S57&lt;1,S57&gt;12,S57&lt;&gt;INT(S57)),"E_INVALID_DATE",""))),IF(N57="YEAR",IF(R57="","E_MISSING_INPUT",IF(NOT(ISNUMBER(R57)),"E_INVALID_DATE",IF(OR(R57&lt;1900,R57&gt;9999,R57&lt;&gt;INT(R57)),"E_INVALID_DATE",""))),IF(N57="RANGE",IF(OR(T57="",U57=""),"E_MISSING_INPUT",IF(OR(NOT(ISNUMBER(T57)),NOT(ISNUMBER(U57))),"E_INVALID_DATE",IF(OR(T57&lt;&gt;INT(T57),U57&lt;&gt;INT(U57)),"E_INVALID_DATE",IF(T57&gt;U57,"E_REVERSED_BOUNDS","")))),"E_MISSING_INPUT")))))))</f>
        <v/>
      </c>
      <c r="X57" s="22">
        <f t="shared" si="40"/>
        <v>1</v>
      </c>
      <c r="Y57" s="22">
        <f t="shared" si="41"/>
        <v>0</v>
      </c>
      <c r="Z57" s="28">
        <f t="shared" si="42"/>
        <v>46089</v>
      </c>
      <c r="AA57" s="28">
        <f t="shared" si="43"/>
        <v>46089</v>
      </c>
      <c r="AB57" s="22">
        <f t="shared" si="44"/>
        <v>66368250</v>
      </c>
      <c r="AC57" s="22" t="str">
        <f t="shared" si="45"/>
        <v/>
      </c>
      <c r="AD57" s="9"/>
      <c r="AE57" s="16"/>
      <c r="AF57" s="14"/>
      <c r="AG57" s="25"/>
      <c r="AH57" s="9"/>
      <c r="AI57" s="11"/>
      <c r="AJ57" s="11"/>
      <c r="AK57" s="14"/>
      <c r="AL57" s="14"/>
      <c r="AM57" s="9"/>
      <c r="AN57" s="21" t="str">
        <f>IF(COUNTA(AE57:AL57)=0,"",IF(AE57="","E_MISSING_INPUT",IF(AE57="TIMESTAMP",IF(OR(AF57="",AG57="",AH57=""),"E_MISSING_INPUT",IF(OR(NOT(ISNUMBER(AF57)),NOT(ISNUMBER(AG57))),"E_INVALID_DATE",IF(OR(AF57&lt;&gt;INT(AF57),AG57&lt;0,AG57&gt;=1),"E_INVALID_DATE",IF(ISNA(MATCH(AH57,nLIST_Offset,0)),"E_INVALID_DATE","")))),IF(AE57="DATE",IF(AF57="","E_MISSING_INPUT",IF(NOT(ISNUMBER(AF57)),"E_INVALID_DATE",IF(AF57&lt;&gt;INT(AF57),"E_INVALID_DATE",""))),IF(AE57="MONTH",IF(OR(AI57="",AJ57=""),"E_MISSING_INPUT",IF(OR(NOT(ISNUMBER(AI57)),NOT(ISNUMBER(AJ57))),"E_INVALID_DATE",IF(OR(AI57&lt;1900,AI57&gt;9999,AI57&lt;&gt;INT(AI57),AJ57&lt;1,AJ57&gt;12,AJ57&lt;&gt;INT(AJ57)),"E_INVALID_DATE",""))),IF(AE57="YEAR",IF(AI57="","E_MISSING_INPUT",IF(NOT(ISNUMBER(AI57)),"E_INVALID_DATE",IF(OR(AI57&lt;1900,AI57&gt;9999,AI57&lt;&gt;INT(AI57)),"E_INVALID_DATE",""))),IF(AE57="RANGE",IF(OR(AK57="",AL57=""),"E_MISSING_INPUT",IF(OR(NOT(ISNUMBER(AK57)),NOT(ISNUMBER(AL57))),"E_INVALID_DATE",IF(OR(AK57&lt;&gt;INT(AK57),AL57&lt;&gt;INT(AL57)),"E_INVALID_DATE",IF(AK57&gt;AL57,"E_REVERSED_BOUNDS","")))),"E_MISSING_INPUT")))))))</f>
        <v/>
      </c>
      <c r="AO57" s="22">
        <f t="shared" si="46"/>
        <v>0</v>
      </c>
      <c r="AP57" s="22">
        <f t="shared" si="47"/>
        <v>0</v>
      </c>
      <c r="AQ57" s="28" t="str">
        <f t="shared" si="48"/>
        <v/>
      </c>
      <c r="AR57" s="28" t="str">
        <f t="shared" si="49"/>
        <v/>
      </c>
      <c r="AS57" s="22" t="str">
        <f t="shared" si="50"/>
        <v/>
      </c>
      <c r="AT57" s="22" t="str">
        <f t="shared" si="51"/>
        <v/>
      </c>
      <c r="AU57" s="9"/>
      <c r="AV57" s="16"/>
      <c r="AW57" s="14"/>
      <c r="AX57" s="25"/>
      <c r="AY57" s="9"/>
      <c r="AZ57" s="11"/>
      <c r="BA57" s="11"/>
      <c r="BB57" s="14"/>
      <c r="BC57" s="14"/>
      <c r="BD57" s="9"/>
      <c r="BE57" s="21" t="str">
        <f>IF(COUNTA(AV57:BC57)=0,"",IF(AV57="","E_MISSING_INPUT",IF(AV57="TIMESTAMP",IF(OR(AW57="",AX57="",AY57=""),"E_MISSING_INPUT",IF(OR(NOT(ISNUMBER(AW57)),NOT(ISNUMBER(AX57))),"E_INVALID_DATE",IF(OR(AW57&lt;&gt;INT(AW57),AX57&lt;0,AX57&gt;=1),"E_INVALID_DATE",IF(ISNA(MATCH(AY57,nLIST_Offset,0)),"E_INVALID_DATE","")))),IF(AV57="DATE",IF(AW57="","E_MISSING_INPUT",IF(NOT(ISNUMBER(AW57)),"E_INVALID_DATE",IF(AW57&lt;&gt;INT(AW57),"E_INVALID_DATE",""))),IF(AV57="MONTH",IF(OR(AZ57="",BA57=""),"E_MISSING_INPUT",IF(OR(NOT(ISNUMBER(AZ57)),NOT(ISNUMBER(BA57))),"E_INVALID_DATE",IF(OR(AZ57&lt;1900,AZ57&gt;9999,AZ57&lt;&gt;INT(AZ57),BA57&lt;1,BA57&gt;12,BA57&lt;&gt;INT(BA57)),"E_INVALID_DATE",""))),IF(AV57="YEAR",IF(AZ57="","E_MISSING_INPUT",IF(NOT(ISNUMBER(AZ57)),"E_INVALID_DATE",IF(OR(AZ57&lt;1900,AZ57&gt;9999,AZ57&lt;&gt;INT(AZ57)),"E_INVALID_DATE",""))),IF(AV57="RANGE",IF(OR(BB57="",BC57=""),"E_MISSING_INPUT",IF(OR(NOT(ISNUMBER(BB57)),NOT(ISNUMBER(BC57))),"E_INVALID_DATE",IF(OR(BB57&lt;&gt;INT(BB57),BC57&lt;&gt;INT(BC57)),"E_INVALID_DATE",IF(BB57&gt;BC57,"E_REVERSED_BOUNDS","")))),"E_MISSING_INPUT")))))))</f>
        <v/>
      </c>
      <c r="BF57" s="22">
        <f t="shared" si="52"/>
        <v>0</v>
      </c>
      <c r="BG57" s="22">
        <f t="shared" si="53"/>
        <v>0</v>
      </c>
      <c r="BH57" s="28" t="str">
        <f t="shared" si="54"/>
        <v/>
      </c>
      <c r="BI57" s="28" t="str">
        <f t="shared" si="55"/>
        <v/>
      </c>
      <c r="BJ57" s="22" t="str">
        <f t="shared" si="56"/>
        <v/>
      </c>
      <c r="BK57" s="22" t="str">
        <f t="shared" si="57"/>
        <v/>
      </c>
      <c r="BL57" s="21" t="str">
        <f t="shared" si="58"/>
        <v>VEC-V10|1|EX1</v>
      </c>
      <c r="BM57" s="22">
        <f>IF(BL57="",0,COUNTIF(nEXP_Key,BL57))</f>
        <v>1</v>
      </c>
      <c r="BN57" s="21" t="str">
        <f t="shared" si="59"/>
        <v/>
      </c>
      <c r="BO57" s="21" t="str">
        <f>IF(BN57="","",BN57&amp;": "&amp;SUBSTITUTE(IFERROR(INDEX(nMSG_Text,MATCH(BN57,nMSG_Code,0)),""),"[input]",IF(D57="","an Exposure_Episode_ID","the date fields required by the selected precision")))</f>
        <v/>
      </c>
    </row>
    <row r="58" spans="1:67" x14ac:dyDescent="0.2">
      <c r="A58" s="9" t="s">
        <v>329</v>
      </c>
      <c r="B58" s="11">
        <v>1</v>
      </c>
      <c r="C58" s="9" t="s">
        <v>521</v>
      </c>
      <c r="D58" s="9" t="s">
        <v>522</v>
      </c>
      <c r="E58" s="9" t="s">
        <v>523</v>
      </c>
      <c r="F58" s="16"/>
      <c r="G58" s="9"/>
      <c r="H58" s="16"/>
      <c r="I58" s="16"/>
      <c r="J58" s="9"/>
      <c r="K58" s="16"/>
      <c r="L58" s="9"/>
      <c r="M58" s="9" t="s">
        <v>545</v>
      </c>
      <c r="N58" s="16" t="s">
        <v>3</v>
      </c>
      <c r="O58" s="14">
        <v>46113</v>
      </c>
      <c r="P58" s="25">
        <v>0.33333333333333298</v>
      </c>
      <c r="Q58" s="9" t="s">
        <v>20</v>
      </c>
      <c r="R58" s="11"/>
      <c r="S58" s="11"/>
      <c r="T58" s="14"/>
      <c r="U58" s="14"/>
      <c r="V58" s="9" t="s">
        <v>546</v>
      </c>
      <c r="W58" s="21" t="str">
        <f>IF(COUNTA(N58:U58)=0,"",IF(N58="","E_MISSING_INPUT",IF(N58="TIMESTAMP",IF(OR(O58="",P58="",Q58=""),"E_MISSING_INPUT",IF(OR(NOT(ISNUMBER(O58)),NOT(ISNUMBER(P58))),"E_INVALID_DATE",IF(OR(O58&lt;&gt;INT(O58),P58&lt;0,P58&gt;=1),"E_INVALID_DATE",IF(ISNA(MATCH(Q58,nLIST_Offset,0)),"E_INVALID_DATE","")))),IF(N58="DATE",IF(O58="","E_MISSING_INPUT",IF(NOT(ISNUMBER(O58)),"E_INVALID_DATE",IF(O58&lt;&gt;INT(O58),"E_INVALID_DATE",""))),IF(N58="MONTH",IF(OR(R58="",S58=""),"E_MISSING_INPUT",IF(OR(NOT(ISNUMBER(R58)),NOT(ISNUMBER(S58))),"E_INVALID_DATE",IF(OR(R58&lt;1900,R58&gt;9999,R58&lt;&gt;INT(R58),S58&lt;1,S58&gt;12,S58&lt;&gt;INT(S58)),"E_INVALID_DATE",""))),IF(N58="YEAR",IF(R58="","E_MISSING_INPUT",IF(NOT(ISNUMBER(R58)),"E_INVALID_DATE",IF(OR(R58&lt;1900,R58&gt;9999,R58&lt;&gt;INT(R58)),"E_INVALID_DATE",""))),IF(N58="RANGE",IF(OR(T58="",U58=""),"E_MISSING_INPUT",IF(OR(NOT(ISNUMBER(T58)),NOT(ISNUMBER(U58))),"E_INVALID_DATE",IF(OR(T58&lt;&gt;INT(T58),U58&lt;&gt;INT(U58)),"E_INVALID_DATE",IF(T58&gt;U58,"E_REVERSED_BOUNDS","")))),"E_MISSING_INPUT")))))))</f>
        <v/>
      </c>
      <c r="X58" s="22">
        <f t="shared" si="40"/>
        <v>1</v>
      </c>
      <c r="Y58" s="22">
        <f t="shared" si="41"/>
        <v>1</v>
      </c>
      <c r="Z58" s="28">
        <f t="shared" si="42"/>
        <v>46113</v>
      </c>
      <c r="AA58" s="28">
        <f t="shared" si="43"/>
        <v>46113</v>
      </c>
      <c r="AB58" s="22">
        <f t="shared" si="44"/>
        <v>66403200</v>
      </c>
      <c r="AC58" s="22">
        <f t="shared" si="45"/>
        <v>66403500</v>
      </c>
      <c r="AD58" s="9"/>
      <c r="AE58" s="16"/>
      <c r="AF58" s="14"/>
      <c r="AG58" s="25"/>
      <c r="AH58" s="9"/>
      <c r="AI58" s="11"/>
      <c r="AJ58" s="11"/>
      <c r="AK58" s="14"/>
      <c r="AL58" s="14"/>
      <c r="AM58" s="9"/>
      <c r="AN58" s="21" t="str">
        <f>IF(COUNTA(AE58:AL58)=0,"",IF(AE58="","E_MISSING_INPUT",IF(AE58="TIMESTAMP",IF(OR(AF58="",AG58="",AH58=""),"E_MISSING_INPUT",IF(OR(NOT(ISNUMBER(AF58)),NOT(ISNUMBER(AG58))),"E_INVALID_DATE",IF(OR(AF58&lt;&gt;INT(AF58),AG58&lt;0,AG58&gt;=1),"E_INVALID_DATE",IF(ISNA(MATCH(AH58,nLIST_Offset,0)),"E_INVALID_DATE","")))),IF(AE58="DATE",IF(AF58="","E_MISSING_INPUT",IF(NOT(ISNUMBER(AF58)),"E_INVALID_DATE",IF(AF58&lt;&gt;INT(AF58),"E_INVALID_DATE",""))),IF(AE58="MONTH",IF(OR(AI58="",AJ58=""),"E_MISSING_INPUT",IF(OR(NOT(ISNUMBER(AI58)),NOT(ISNUMBER(AJ58))),"E_INVALID_DATE",IF(OR(AI58&lt;1900,AI58&gt;9999,AI58&lt;&gt;INT(AI58),AJ58&lt;1,AJ58&gt;12,AJ58&lt;&gt;INT(AJ58)),"E_INVALID_DATE",""))),IF(AE58="YEAR",IF(AI58="","E_MISSING_INPUT",IF(NOT(ISNUMBER(AI58)),"E_INVALID_DATE",IF(OR(AI58&lt;1900,AI58&gt;9999,AI58&lt;&gt;INT(AI58)),"E_INVALID_DATE",""))),IF(AE58="RANGE",IF(OR(AK58="",AL58=""),"E_MISSING_INPUT",IF(OR(NOT(ISNUMBER(AK58)),NOT(ISNUMBER(AL58))),"E_INVALID_DATE",IF(OR(AK58&lt;&gt;INT(AK58),AL58&lt;&gt;INT(AL58)),"E_INVALID_DATE",IF(AK58&gt;AL58,"E_REVERSED_BOUNDS","")))),"E_MISSING_INPUT")))))))</f>
        <v/>
      </c>
      <c r="AO58" s="22">
        <f t="shared" si="46"/>
        <v>0</v>
      </c>
      <c r="AP58" s="22">
        <f t="shared" si="47"/>
        <v>0</v>
      </c>
      <c r="AQ58" s="28" t="str">
        <f t="shared" si="48"/>
        <v/>
      </c>
      <c r="AR58" s="28" t="str">
        <f t="shared" si="49"/>
        <v/>
      </c>
      <c r="AS58" s="22" t="str">
        <f t="shared" si="50"/>
        <v/>
      </c>
      <c r="AT58" s="22" t="str">
        <f t="shared" si="51"/>
        <v/>
      </c>
      <c r="AU58" s="9"/>
      <c r="AV58" s="16"/>
      <c r="AW58" s="14"/>
      <c r="AX58" s="25"/>
      <c r="AY58" s="9"/>
      <c r="AZ58" s="11"/>
      <c r="BA58" s="11"/>
      <c r="BB58" s="14"/>
      <c r="BC58" s="14"/>
      <c r="BD58" s="9"/>
      <c r="BE58" s="21" t="str">
        <f>IF(COUNTA(AV58:BC58)=0,"",IF(AV58="","E_MISSING_INPUT",IF(AV58="TIMESTAMP",IF(OR(AW58="",AX58="",AY58=""),"E_MISSING_INPUT",IF(OR(NOT(ISNUMBER(AW58)),NOT(ISNUMBER(AX58))),"E_INVALID_DATE",IF(OR(AW58&lt;&gt;INT(AW58),AX58&lt;0,AX58&gt;=1),"E_INVALID_DATE",IF(ISNA(MATCH(AY58,nLIST_Offset,0)),"E_INVALID_DATE","")))),IF(AV58="DATE",IF(AW58="","E_MISSING_INPUT",IF(NOT(ISNUMBER(AW58)),"E_INVALID_DATE",IF(AW58&lt;&gt;INT(AW58),"E_INVALID_DATE",""))),IF(AV58="MONTH",IF(OR(AZ58="",BA58=""),"E_MISSING_INPUT",IF(OR(NOT(ISNUMBER(AZ58)),NOT(ISNUMBER(BA58))),"E_INVALID_DATE",IF(OR(AZ58&lt;1900,AZ58&gt;9999,AZ58&lt;&gt;INT(AZ58),BA58&lt;1,BA58&gt;12,BA58&lt;&gt;INT(BA58)),"E_INVALID_DATE",""))),IF(AV58="YEAR",IF(AZ58="","E_MISSING_INPUT",IF(NOT(ISNUMBER(AZ58)),"E_INVALID_DATE",IF(OR(AZ58&lt;1900,AZ58&gt;9999,AZ58&lt;&gt;INT(AZ58)),"E_INVALID_DATE",""))),IF(AV58="RANGE",IF(OR(BB58="",BC58=""),"E_MISSING_INPUT",IF(OR(NOT(ISNUMBER(BB58)),NOT(ISNUMBER(BC58))),"E_INVALID_DATE",IF(OR(BB58&lt;&gt;INT(BB58),BC58&lt;&gt;INT(BC58)),"E_INVALID_DATE",IF(BB58&gt;BC58,"E_REVERSED_BOUNDS","")))),"E_MISSING_INPUT")))))))</f>
        <v/>
      </c>
      <c r="BF58" s="22">
        <f t="shared" si="52"/>
        <v>0</v>
      </c>
      <c r="BG58" s="22">
        <f t="shared" si="53"/>
        <v>0</v>
      </c>
      <c r="BH58" s="28" t="str">
        <f t="shared" si="54"/>
        <v/>
      </c>
      <c r="BI58" s="28" t="str">
        <f t="shared" si="55"/>
        <v/>
      </c>
      <c r="BJ58" s="22" t="str">
        <f t="shared" si="56"/>
        <v/>
      </c>
      <c r="BK58" s="22" t="str">
        <f t="shared" si="57"/>
        <v/>
      </c>
      <c r="BL58" s="21" t="str">
        <f t="shared" si="58"/>
        <v>VEC-V11|1|EX1</v>
      </c>
      <c r="BM58" s="22">
        <f>IF(BL58="",0,COUNTIF(nEXP_Key,BL58))</f>
        <v>1</v>
      </c>
      <c r="BN58" s="21" t="str">
        <f t="shared" si="59"/>
        <v/>
      </c>
      <c r="BO58" s="21" t="str">
        <f>IF(BN58="","",BN58&amp;": "&amp;SUBSTITUTE(IFERROR(INDEX(nMSG_Text,MATCH(BN58,nMSG_Code,0)),""),"[input]",IF(D58="","an Exposure_Episode_ID","the date fields required by the selected precision")))</f>
        <v/>
      </c>
    </row>
    <row r="59" spans="1:67" x14ac:dyDescent="0.2">
      <c r="A59" s="9" t="s">
        <v>331</v>
      </c>
      <c r="B59" s="11">
        <v>1</v>
      </c>
      <c r="C59" s="9" t="s">
        <v>521</v>
      </c>
      <c r="D59" s="9" t="s">
        <v>522</v>
      </c>
      <c r="E59" s="9" t="s">
        <v>523</v>
      </c>
      <c r="F59" s="16"/>
      <c r="G59" s="9"/>
      <c r="H59" s="16"/>
      <c r="I59" s="16"/>
      <c r="J59" s="9"/>
      <c r="K59" s="16"/>
      <c r="L59" s="9"/>
      <c r="M59" s="9" t="s">
        <v>547</v>
      </c>
      <c r="N59" s="16" t="s">
        <v>4</v>
      </c>
      <c r="O59" s="14">
        <v>46143</v>
      </c>
      <c r="P59" s="25"/>
      <c r="Q59" s="9"/>
      <c r="R59" s="11"/>
      <c r="S59" s="11"/>
      <c r="T59" s="14"/>
      <c r="U59" s="14"/>
      <c r="V59" s="9" t="s">
        <v>548</v>
      </c>
      <c r="W59" s="21" t="str">
        <f>IF(COUNTA(N59:U59)=0,"",IF(N59="","E_MISSING_INPUT",IF(N59="TIMESTAMP",IF(OR(O59="",P59="",Q59=""),"E_MISSING_INPUT",IF(OR(NOT(ISNUMBER(O59)),NOT(ISNUMBER(P59))),"E_INVALID_DATE",IF(OR(O59&lt;&gt;INT(O59),P59&lt;0,P59&gt;=1),"E_INVALID_DATE",IF(ISNA(MATCH(Q59,nLIST_Offset,0)),"E_INVALID_DATE","")))),IF(N59="DATE",IF(O59="","E_MISSING_INPUT",IF(NOT(ISNUMBER(O59)),"E_INVALID_DATE",IF(O59&lt;&gt;INT(O59),"E_INVALID_DATE",""))),IF(N59="MONTH",IF(OR(R59="",S59=""),"E_MISSING_INPUT",IF(OR(NOT(ISNUMBER(R59)),NOT(ISNUMBER(S59))),"E_INVALID_DATE",IF(OR(R59&lt;1900,R59&gt;9999,R59&lt;&gt;INT(R59),S59&lt;1,S59&gt;12,S59&lt;&gt;INT(S59)),"E_INVALID_DATE",""))),IF(N59="YEAR",IF(R59="","E_MISSING_INPUT",IF(NOT(ISNUMBER(R59)),"E_INVALID_DATE",IF(OR(R59&lt;1900,R59&gt;9999,R59&lt;&gt;INT(R59)),"E_INVALID_DATE",""))),IF(N59="RANGE",IF(OR(T59="",U59=""),"E_MISSING_INPUT",IF(OR(NOT(ISNUMBER(T59)),NOT(ISNUMBER(U59))),"E_INVALID_DATE",IF(OR(T59&lt;&gt;INT(T59),U59&lt;&gt;INT(U59)),"E_INVALID_DATE",IF(T59&gt;U59,"E_REVERSED_BOUNDS","")))),"E_MISSING_INPUT")))))))</f>
        <v/>
      </c>
      <c r="X59" s="22">
        <f t="shared" si="40"/>
        <v>0</v>
      </c>
      <c r="Y59" s="22">
        <f t="shared" si="41"/>
        <v>0</v>
      </c>
      <c r="Z59" s="28">
        <f t="shared" si="42"/>
        <v>46143</v>
      </c>
      <c r="AA59" s="28">
        <f t="shared" si="43"/>
        <v>46143</v>
      </c>
      <c r="AB59" s="22" t="str">
        <f t="shared" si="44"/>
        <v/>
      </c>
      <c r="AC59" s="22" t="str">
        <f t="shared" si="45"/>
        <v/>
      </c>
      <c r="AD59" s="9"/>
      <c r="AE59" s="16"/>
      <c r="AF59" s="14"/>
      <c r="AG59" s="25"/>
      <c r="AH59" s="9"/>
      <c r="AI59" s="11"/>
      <c r="AJ59" s="11"/>
      <c r="AK59" s="14"/>
      <c r="AL59" s="14"/>
      <c r="AM59" s="9"/>
      <c r="AN59" s="21" t="str">
        <f>IF(COUNTA(AE59:AL59)=0,"",IF(AE59="","E_MISSING_INPUT",IF(AE59="TIMESTAMP",IF(OR(AF59="",AG59="",AH59=""),"E_MISSING_INPUT",IF(OR(NOT(ISNUMBER(AF59)),NOT(ISNUMBER(AG59))),"E_INVALID_DATE",IF(OR(AF59&lt;&gt;INT(AF59),AG59&lt;0,AG59&gt;=1),"E_INVALID_DATE",IF(ISNA(MATCH(AH59,nLIST_Offset,0)),"E_INVALID_DATE","")))),IF(AE59="DATE",IF(AF59="","E_MISSING_INPUT",IF(NOT(ISNUMBER(AF59)),"E_INVALID_DATE",IF(AF59&lt;&gt;INT(AF59),"E_INVALID_DATE",""))),IF(AE59="MONTH",IF(OR(AI59="",AJ59=""),"E_MISSING_INPUT",IF(OR(NOT(ISNUMBER(AI59)),NOT(ISNUMBER(AJ59))),"E_INVALID_DATE",IF(OR(AI59&lt;1900,AI59&gt;9999,AI59&lt;&gt;INT(AI59),AJ59&lt;1,AJ59&gt;12,AJ59&lt;&gt;INT(AJ59)),"E_INVALID_DATE",""))),IF(AE59="YEAR",IF(AI59="","E_MISSING_INPUT",IF(NOT(ISNUMBER(AI59)),"E_INVALID_DATE",IF(OR(AI59&lt;1900,AI59&gt;9999,AI59&lt;&gt;INT(AI59)),"E_INVALID_DATE",""))),IF(AE59="RANGE",IF(OR(AK59="",AL59=""),"E_MISSING_INPUT",IF(OR(NOT(ISNUMBER(AK59)),NOT(ISNUMBER(AL59))),"E_INVALID_DATE",IF(OR(AK59&lt;&gt;INT(AK59),AL59&lt;&gt;INT(AL59)),"E_INVALID_DATE",IF(AK59&gt;AL59,"E_REVERSED_BOUNDS","")))),"E_MISSING_INPUT")))))))</f>
        <v/>
      </c>
      <c r="AO59" s="22">
        <f t="shared" si="46"/>
        <v>0</v>
      </c>
      <c r="AP59" s="22">
        <f t="shared" si="47"/>
        <v>0</v>
      </c>
      <c r="AQ59" s="28" t="str">
        <f t="shared" si="48"/>
        <v/>
      </c>
      <c r="AR59" s="28" t="str">
        <f t="shared" si="49"/>
        <v/>
      </c>
      <c r="AS59" s="22" t="str">
        <f t="shared" si="50"/>
        <v/>
      </c>
      <c r="AT59" s="22" t="str">
        <f t="shared" si="51"/>
        <v/>
      </c>
      <c r="AU59" s="9"/>
      <c r="AV59" s="16"/>
      <c r="AW59" s="14"/>
      <c r="AX59" s="25"/>
      <c r="AY59" s="9"/>
      <c r="AZ59" s="11"/>
      <c r="BA59" s="11"/>
      <c r="BB59" s="14"/>
      <c r="BC59" s="14"/>
      <c r="BD59" s="9"/>
      <c r="BE59" s="21" t="str">
        <f>IF(COUNTA(AV59:BC59)=0,"",IF(AV59="","E_MISSING_INPUT",IF(AV59="TIMESTAMP",IF(OR(AW59="",AX59="",AY59=""),"E_MISSING_INPUT",IF(OR(NOT(ISNUMBER(AW59)),NOT(ISNUMBER(AX59))),"E_INVALID_DATE",IF(OR(AW59&lt;&gt;INT(AW59),AX59&lt;0,AX59&gt;=1),"E_INVALID_DATE",IF(ISNA(MATCH(AY59,nLIST_Offset,0)),"E_INVALID_DATE","")))),IF(AV59="DATE",IF(AW59="","E_MISSING_INPUT",IF(NOT(ISNUMBER(AW59)),"E_INVALID_DATE",IF(AW59&lt;&gt;INT(AW59),"E_INVALID_DATE",""))),IF(AV59="MONTH",IF(OR(AZ59="",BA59=""),"E_MISSING_INPUT",IF(OR(NOT(ISNUMBER(AZ59)),NOT(ISNUMBER(BA59))),"E_INVALID_DATE",IF(OR(AZ59&lt;1900,AZ59&gt;9999,AZ59&lt;&gt;INT(AZ59),BA59&lt;1,BA59&gt;12,BA59&lt;&gt;INT(BA59)),"E_INVALID_DATE",""))),IF(AV59="YEAR",IF(AZ59="","E_MISSING_INPUT",IF(NOT(ISNUMBER(AZ59)),"E_INVALID_DATE",IF(OR(AZ59&lt;1900,AZ59&gt;9999,AZ59&lt;&gt;INT(AZ59)),"E_INVALID_DATE",""))),IF(AV59="RANGE",IF(OR(BB59="",BC59=""),"E_MISSING_INPUT",IF(OR(NOT(ISNUMBER(BB59)),NOT(ISNUMBER(BC59))),"E_INVALID_DATE",IF(OR(BB59&lt;&gt;INT(BB59),BC59&lt;&gt;INT(BC59)),"E_INVALID_DATE",IF(BB59&gt;BC59,"E_REVERSED_BOUNDS","")))),"E_MISSING_INPUT")))))))</f>
        <v/>
      </c>
      <c r="BF59" s="22">
        <f t="shared" si="52"/>
        <v>0</v>
      </c>
      <c r="BG59" s="22">
        <f t="shared" si="53"/>
        <v>0</v>
      </c>
      <c r="BH59" s="28" t="str">
        <f t="shared" si="54"/>
        <v/>
      </c>
      <c r="BI59" s="28" t="str">
        <f t="shared" si="55"/>
        <v/>
      </c>
      <c r="BJ59" s="22" t="str">
        <f t="shared" si="56"/>
        <v/>
      </c>
      <c r="BK59" s="22" t="str">
        <f t="shared" si="57"/>
        <v/>
      </c>
      <c r="BL59" s="21" t="str">
        <f t="shared" si="58"/>
        <v>VEC-V12|1|EX1</v>
      </c>
      <c r="BM59" s="22">
        <f>IF(BL59="",0,COUNTIF(nEXP_Key,BL59))</f>
        <v>1</v>
      </c>
      <c r="BN59" s="21" t="str">
        <f t="shared" si="59"/>
        <v/>
      </c>
      <c r="BO59" s="21" t="str">
        <f>IF(BN59="","",BN59&amp;": "&amp;SUBSTITUTE(IFERROR(INDEX(nMSG_Text,MATCH(BN59,nMSG_Code,0)),""),"[input]",IF(D59="","an Exposure_Episode_ID","the date fields required by the selected precision")))</f>
        <v/>
      </c>
    </row>
    <row r="60" spans="1:67" x14ac:dyDescent="0.2">
      <c r="A60" s="9" t="s">
        <v>331</v>
      </c>
      <c r="B60" s="11">
        <v>2</v>
      </c>
      <c r="C60" s="9" t="s">
        <v>521</v>
      </c>
      <c r="D60" s="9" t="s">
        <v>522</v>
      </c>
      <c r="E60" s="9" t="s">
        <v>523</v>
      </c>
      <c r="F60" s="16"/>
      <c r="G60" s="9"/>
      <c r="H60" s="16"/>
      <c r="I60" s="16"/>
      <c r="J60" s="9"/>
      <c r="K60" s="16"/>
      <c r="L60" s="9"/>
      <c r="M60" s="9" t="s">
        <v>547</v>
      </c>
      <c r="N60" s="16" t="s">
        <v>4</v>
      </c>
      <c r="O60" s="14">
        <v>46143</v>
      </c>
      <c r="P60" s="25"/>
      <c r="Q60" s="9"/>
      <c r="R60" s="11"/>
      <c r="S60" s="11"/>
      <c r="T60" s="14"/>
      <c r="U60" s="14"/>
      <c r="V60" s="9" t="s">
        <v>548</v>
      </c>
      <c r="W60" s="21" t="str">
        <f>IF(COUNTA(N60:U60)=0,"",IF(N60="","E_MISSING_INPUT",IF(N60="TIMESTAMP",IF(OR(O60="",P60="",Q60=""),"E_MISSING_INPUT",IF(OR(NOT(ISNUMBER(O60)),NOT(ISNUMBER(P60))),"E_INVALID_DATE",IF(OR(O60&lt;&gt;INT(O60),P60&lt;0,P60&gt;=1),"E_INVALID_DATE",IF(ISNA(MATCH(Q60,nLIST_Offset,0)),"E_INVALID_DATE","")))),IF(N60="DATE",IF(O60="","E_MISSING_INPUT",IF(NOT(ISNUMBER(O60)),"E_INVALID_DATE",IF(O60&lt;&gt;INT(O60),"E_INVALID_DATE",""))),IF(N60="MONTH",IF(OR(R60="",S60=""),"E_MISSING_INPUT",IF(OR(NOT(ISNUMBER(R60)),NOT(ISNUMBER(S60))),"E_INVALID_DATE",IF(OR(R60&lt;1900,R60&gt;9999,R60&lt;&gt;INT(R60),S60&lt;1,S60&gt;12,S60&lt;&gt;INT(S60)),"E_INVALID_DATE",""))),IF(N60="YEAR",IF(R60="","E_MISSING_INPUT",IF(NOT(ISNUMBER(R60)),"E_INVALID_DATE",IF(OR(R60&lt;1900,R60&gt;9999,R60&lt;&gt;INT(R60)),"E_INVALID_DATE",""))),IF(N60="RANGE",IF(OR(T60="",U60=""),"E_MISSING_INPUT",IF(OR(NOT(ISNUMBER(T60)),NOT(ISNUMBER(U60))),"E_INVALID_DATE",IF(OR(T60&lt;&gt;INT(T60),U60&lt;&gt;INT(U60)),"E_INVALID_DATE",IF(T60&gt;U60,"E_REVERSED_BOUNDS","")))),"E_MISSING_INPUT")))))))</f>
        <v/>
      </c>
      <c r="X60" s="22">
        <f t="shared" si="40"/>
        <v>0</v>
      </c>
      <c r="Y60" s="22">
        <f t="shared" si="41"/>
        <v>0</v>
      </c>
      <c r="Z60" s="28">
        <f t="shared" si="42"/>
        <v>46143</v>
      </c>
      <c r="AA60" s="28">
        <f t="shared" si="43"/>
        <v>46143</v>
      </c>
      <c r="AB60" s="22" t="str">
        <f t="shared" si="44"/>
        <v/>
      </c>
      <c r="AC60" s="22" t="str">
        <f t="shared" si="45"/>
        <v/>
      </c>
      <c r="AD60" s="9"/>
      <c r="AE60" s="16"/>
      <c r="AF60" s="14"/>
      <c r="AG60" s="25"/>
      <c r="AH60" s="9"/>
      <c r="AI60" s="11"/>
      <c r="AJ60" s="11"/>
      <c r="AK60" s="14"/>
      <c r="AL60" s="14"/>
      <c r="AM60" s="9"/>
      <c r="AN60" s="21" t="str">
        <f>IF(COUNTA(AE60:AL60)=0,"",IF(AE60="","E_MISSING_INPUT",IF(AE60="TIMESTAMP",IF(OR(AF60="",AG60="",AH60=""),"E_MISSING_INPUT",IF(OR(NOT(ISNUMBER(AF60)),NOT(ISNUMBER(AG60))),"E_INVALID_DATE",IF(OR(AF60&lt;&gt;INT(AF60),AG60&lt;0,AG60&gt;=1),"E_INVALID_DATE",IF(ISNA(MATCH(AH60,nLIST_Offset,0)),"E_INVALID_DATE","")))),IF(AE60="DATE",IF(AF60="","E_MISSING_INPUT",IF(NOT(ISNUMBER(AF60)),"E_INVALID_DATE",IF(AF60&lt;&gt;INT(AF60),"E_INVALID_DATE",""))),IF(AE60="MONTH",IF(OR(AI60="",AJ60=""),"E_MISSING_INPUT",IF(OR(NOT(ISNUMBER(AI60)),NOT(ISNUMBER(AJ60))),"E_INVALID_DATE",IF(OR(AI60&lt;1900,AI60&gt;9999,AI60&lt;&gt;INT(AI60),AJ60&lt;1,AJ60&gt;12,AJ60&lt;&gt;INT(AJ60)),"E_INVALID_DATE",""))),IF(AE60="YEAR",IF(AI60="","E_MISSING_INPUT",IF(NOT(ISNUMBER(AI60)),"E_INVALID_DATE",IF(OR(AI60&lt;1900,AI60&gt;9999,AI60&lt;&gt;INT(AI60)),"E_INVALID_DATE",""))),IF(AE60="RANGE",IF(OR(AK60="",AL60=""),"E_MISSING_INPUT",IF(OR(NOT(ISNUMBER(AK60)),NOT(ISNUMBER(AL60))),"E_INVALID_DATE",IF(OR(AK60&lt;&gt;INT(AK60),AL60&lt;&gt;INT(AL60)),"E_INVALID_DATE",IF(AK60&gt;AL60,"E_REVERSED_BOUNDS","")))),"E_MISSING_INPUT")))))))</f>
        <v/>
      </c>
      <c r="AO60" s="22">
        <f t="shared" si="46"/>
        <v>0</v>
      </c>
      <c r="AP60" s="22">
        <f t="shared" si="47"/>
        <v>0</v>
      </c>
      <c r="AQ60" s="28" t="str">
        <f t="shared" si="48"/>
        <v/>
      </c>
      <c r="AR60" s="28" t="str">
        <f t="shared" si="49"/>
        <v/>
      </c>
      <c r="AS60" s="22" t="str">
        <f t="shared" si="50"/>
        <v/>
      </c>
      <c r="AT60" s="22" t="str">
        <f t="shared" si="51"/>
        <v/>
      </c>
      <c r="AU60" s="9"/>
      <c r="AV60" s="16"/>
      <c r="AW60" s="14"/>
      <c r="AX60" s="25"/>
      <c r="AY60" s="9"/>
      <c r="AZ60" s="11"/>
      <c r="BA60" s="11"/>
      <c r="BB60" s="14"/>
      <c r="BC60" s="14"/>
      <c r="BD60" s="9"/>
      <c r="BE60" s="21" t="str">
        <f>IF(COUNTA(AV60:BC60)=0,"",IF(AV60="","E_MISSING_INPUT",IF(AV60="TIMESTAMP",IF(OR(AW60="",AX60="",AY60=""),"E_MISSING_INPUT",IF(OR(NOT(ISNUMBER(AW60)),NOT(ISNUMBER(AX60))),"E_INVALID_DATE",IF(OR(AW60&lt;&gt;INT(AW60),AX60&lt;0,AX60&gt;=1),"E_INVALID_DATE",IF(ISNA(MATCH(AY60,nLIST_Offset,0)),"E_INVALID_DATE","")))),IF(AV60="DATE",IF(AW60="","E_MISSING_INPUT",IF(NOT(ISNUMBER(AW60)),"E_INVALID_DATE",IF(AW60&lt;&gt;INT(AW60),"E_INVALID_DATE",""))),IF(AV60="MONTH",IF(OR(AZ60="",BA60=""),"E_MISSING_INPUT",IF(OR(NOT(ISNUMBER(AZ60)),NOT(ISNUMBER(BA60))),"E_INVALID_DATE",IF(OR(AZ60&lt;1900,AZ60&gt;9999,AZ60&lt;&gt;INT(AZ60),BA60&lt;1,BA60&gt;12,BA60&lt;&gt;INT(BA60)),"E_INVALID_DATE",""))),IF(AV60="YEAR",IF(AZ60="","E_MISSING_INPUT",IF(NOT(ISNUMBER(AZ60)),"E_INVALID_DATE",IF(OR(AZ60&lt;1900,AZ60&gt;9999,AZ60&lt;&gt;INT(AZ60)),"E_INVALID_DATE",""))),IF(AV60="RANGE",IF(OR(BB60="",BC60=""),"E_MISSING_INPUT",IF(OR(NOT(ISNUMBER(BB60)),NOT(ISNUMBER(BC60))),"E_INVALID_DATE",IF(OR(BB60&lt;&gt;INT(BB60),BC60&lt;&gt;INT(BC60)),"E_INVALID_DATE",IF(BB60&gt;BC60,"E_REVERSED_BOUNDS","")))),"E_MISSING_INPUT")))))))</f>
        <v/>
      </c>
      <c r="BF60" s="22">
        <f t="shared" si="52"/>
        <v>0</v>
      </c>
      <c r="BG60" s="22">
        <f t="shared" si="53"/>
        <v>0</v>
      </c>
      <c r="BH60" s="28" t="str">
        <f t="shared" si="54"/>
        <v/>
      </c>
      <c r="BI60" s="28" t="str">
        <f t="shared" si="55"/>
        <v/>
      </c>
      <c r="BJ60" s="22" t="str">
        <f t="shared" si="56"/>
        <v/>
      </c>
      <c r="BK60" s="22" t="str">
        <f t="shared" si="57"/>
        <v/>
      </c>
      <c r="BL60" s="21" t="str">
        <f t="shared" si="58"/>
        <v>VEC-V12|2|EX1</v>
      </c>
      <c r="BM60" s="22">
        <f>IF(BL60="",0,COUNTIF(nEXP_Key,BL60))</f>
        <v>1</v>
      </c>
      <c r="BN60" s="21" t="str">
        <f t="shared" si="59"/>
        <v/>
      </c>
      <c r="BO60" s="21" t="str">
        <f>IF(BN60="","",BN60&amp;": "&amp;SUBSTITUTE(IFERROR(INDEX(nMSG_Text,MATCH(BN60,nMSG_Code,0)),""),"[input]",IF(D60="","an Exposure_Episode_ID","the date fields required by the selected precision")))</f>
        <v/>
      </c>
    </row>
    <row r="61" spans="1:67" x14ac:dyDescent="0.2">
      <c r="A61" s="9" t="s">
        <v>335</v>
      </c>
      <c r="B61" s="11">
        <v>1</v>
      </c>
      <c r="C61" s="9" t="s">
        <v>521</v>
      </c>
      <c r="D61" s="9" t="s">
        <v>522</v>
      </c>
      <c r="E61" s="9" t="s">
        <v>523</v>
      </c>
      <c r="F61" s="16"/>
      <c r="G61" s="9"/>
      <c r="H61" s="16"/>
      <c r="I61" s="16"/>
      <c r="J61" s="9"/>
      <c r="K61" s="16"/>
      <c r="L61" s="9"/>
      <c r="M61" s="9" t="s">
        <v>549</v>
      </c>
      <c r="N61" s="16" t="s">
        <v>4</v>
      </c>
      <c r="O61" s="14">
        <v>46023</v>
      </c>
      <c r="P61" s="25"/>
      <c r="Q61" s="9"/>
      <c r="R61" s="11"/>
      <c r="S61" s="11"/>
      <c r="T61" s="14"/>
      <c r="U61" s="14"/>
      <c r="V61" s="9" t="s">
        <v>550</v>
      </c>
      <c r="W61" s="21" t="str">
        <f>IF(COUNTA(N61:U61)=0,"",IF(N61="","E_MISSING_INPUT",IF(N61="TIMESTAMP",IF(OR(O61="",P61="",Q61=""),"E_MISSING_INPUT",IF(OR(NOT(ISNUMBER(O61)),NOT(ISNUMBER(P61))),"E_INVALID_DATE",IF(OR(O61&lt;&gt;INT(O61),P61&lt;0,P61&gt;=1),"E_INVALID_DATE",IF(ISNA(MATCH(Q61,nLIST_Offset,0)),"E_INVALID_DATE","")))),IF(N61="DATE",IF(O61="","E_MISSING_INPUT",IF(NOT(ISNUMBER(O61)),"E_INVALID_DATE",IF(O61&lt;&gt;INT(O61),"E_INVALID_DATE",""))),IF(N61="MONTH",IF(OR(R61="",S61=""),"E_MISSING_INPUT",IF(OR(NOT(ISNUMBER(R61)),NOT(ISNUMBER(S61))),"E_INVALID_DATE",IF(OR(R61&lt;1900,R61&gt;9999,R61&lt;&gt;INT(R61),S61&lt;1,S61&gt;12,S61&lt;&gt;INT(S61)),"E_INVALID_DATE",""))),IF(N61="YEAR",IF(R61="","E_MISSING_INPUT",IF(NOT(ISNUMBER(R61)),"E_INVALID_DATE",IF(OR(R61&lt;1900,R61&gt;9999,R61&lt;&gt;INT(R61)),"E_INVALID_DATE",""))),IF(N61="RANGE",IF(OR(T61="",U61=""),"E_MISSING_INPUT",IF(OR(NOT(ISNUMBER(T61)),NOT(ISNUMBER(U61))),"E_INVALID_DATE",IF(OR(T61&lt;&gt;INT(T61),U61&lt;&gt;INT(U61)),"E_INVALID_DATE",IF(T61&gt;U61,"E_REVERSED_BOUNDS","")))),"E_MISSING_INPUT")))))))</f>
        <v/>
      </c>
      <c r="X61" s="22">
        <f t="shared" si="40"/>
        <v>0</v>
      </c>
      <c r="Y61" s="22">
        <f t="shared" si="41"/>
        <v>0</v>
      </c>
      <c r="Z61" s="28">
        <f t="shared" si="42"/>
        <v>46023</v>
      </c>
      <c r="AA61" s="28">
        <f t="shared" si="43"/>
        <v>46023</v>
      </c>
      <c r="AB61" s="22" t="str">
        <f t="shared" si="44"/>
        <v/>
      </c>
      <c r="AC61" s="22" t="str">
        <f t="shared" si="45"/>
        <v/>
      </c>
      <c r="AD61" s="9"/>
      <c r="AE61" s="16"/>
      <c r="AF61" s="14"/>
      <c r="AG61" s="25"/>
      <c r="AH61" s="9"/>
      <c r="AI61" s="11"/>
      <c r="AJ61" s="11"/>
      <c r="AK61" s="14"/>
      <c r="AL61" s="14"/>
      <c r="AM61" s="9"/>
      <c r="AN61" s="21" t="str">
        <f>IF(COUNTA(AE61:AL61)=0,"",IF(AE61="","E_MISSING_INPUT",IF(AE61="TIMESTAMP",IF(OR(AF61="",AG61="",AH61=""),"E_MISSING_INPUT",IF(OR(NOT(ISNUMBER(AF61)),NOT(ISNUMBER(AG61))),"E_INVALID_DATE",IF(OR(AF61&lt;&gt;INT(AF61),AG61&lt;0,AG61&gt;=1),"E_INVALID_DATE",IF(ISNA(MATCH(AH61,nLIST_Offset,0)),"E_INVALID_DATE","")))),IF(AE61="DATE",IF(AF61="","E_MISSING_INPUT",IF(NOT(ISNUMBER(AF61)),"E_INVALID_DATE",IF(AF61&lt;&gt;INT(AF61),"E_INVALID_DATE",""))),IF(AE61="MONTH",IF(OR(AI61="",AJ61=""),"E_MISSING_INPUT",IF(OR(NOT(ISNUMBER(AI61)),NOT(ISNUMBER(AJ61))),"E_INVALID_DATE",IF(OR(AI61&lt;1900,AI61&gt;9999,AI61&lt;&gt;INT(AI61),AJ61&lt;1,AJ61&gt;12,AJ61&lt;&gt;INT(AJ61)),"E_INVALID_DATE",""))),IF(AE61="YEAR",IF(AI61="","E_MISSING_INPUT",IF(NOT(ISNUMBER(AI61)),"E_INVALID_DATE",IF(OR(AI61&lt;1900,AI61&gt;9999,AI61&lt;&gt;INT(AI61)),"E_INVALID_DATE",""))),IF(AE61="RANGE",IF(OR(AK61="",AL61=""),"E_MISSING_INPUT",IF(OR(NOT(ISNUMBER(AK61)),NOT(ISNUMBER(AL61))),"E_INVALID_DATE",IF(OR(AK61&lt;&gt;INT(AK61),AL61&lt;&gt;INT(AL61)),"E_INVALID_DATE",IF(AK61&gt;AL61,"E_REVERSED_BOUNDS","")))),"E_MISSING_INPUT")))))))</f>
        <v/>
      </c>
      <c r="AO61" s="22">
        <f t="shared" si="46"/>
        <v>0</v>
      </c>
      <c r="AP61" s="22">
        <f t="shared" si="47"/>
        <v>0</v>
      </c>
      <c r="AQ61" s="28" t="str">
        <f t="shared" si="48"/>
        <v/>
      </c>
      <c r="AR61" s="28" t="str">
        <f t="shared" si="49"/>
        <v/>
      </c>
      <c r="AS61" s="22" t="str">
        <f t="shared" si="50"/>
        <v/>
      </c>
      <c r="AT61" s="22" t="str">
        <f t="shared" si="51"/>
        <v/>
      </c>
      <c r="AU61" s="9"/>
      <c r="AV61" s="16"/>
      <c r="AW61" s="14"/>
      <c r="AX61" s="25"/>
      <c r="AY61" s="9"/>
      <c r="AZ61" s="11"/>
      <c r="BA61" s="11"/>
      <c r="BB61" s="14"/>
      <c r="BC61" s="14"/>
      <c r="BD61" s="9"/>
      <c r="BE61" s="21" t="str">
        <f>IF(COUNTA(AV61:BC61)=0,"",IF(AV61="","E_MISSING_INPUT",IF(AV61="TIMESTAMP",IF(OR(AW61="",AX61="",AY61=""),"E_MISSING_INPUT",IF(OR(NOT(ISNUMBER(AW61)),NOT(ISNUMBER(AX61))),"E_INVALID_DATE",IF(OR(AW61&lt;&gt;INT(AW61),AX61&lt;0,AX61&gt;=1),"E_INVALID_DATE",IF(ISNA(MATCH(AY61,nLIST_Offset,0)),"E_INVALID_DATE","")))),IF(AV61="DATE",IF(AW61="","E_MISSING_INPUT",IF(NOT(ISNUMBER(AW61)),"E_INVALID_DATE",IF(AW61&lt;&gt;INT(AW61),"E_INVALID_DATE",""))),IF(AV61="MONTH",IF(OR(AZ61="",BA61=""),"E_MISSING_INPUT",IF(OR(NOT(ISNUMBER(AZ61)),NOT(ISNUMBER(BA61))),"E_INVALID_DATE",IF(OR(AZ61&lt;1900,AZ61&gt;9999,AZ61&lt;&gt;INT(AZ61),BA61&lt;1,BA61&gt;12,BA61&lt;&gt;INT(BA61)),"E_INVALID_DATE",""))),IF(AV61="YEAR",IF(AZ61="","E_MISSING_INPUT",IF(NOT(ISNUMBER(AZ61)),"E_INVALID_DATE",IF(OR(AZ61&lt;1900,AZ61&gt;9999,AZ61&lt;&gt;INT(AZ61)),"E_INVALID_DATE",""))),IF(AV61="RANGE",IF(OR(BB61="",BC61=""),"E_MISSING_INPUT",IF(OR(NOT(ISNUMBER(BB61)),NOT(ISNUMBER(BC61))),"E_INVALID_DATE",IF(OR(BB61&lt;&gt;INT(BB61),BC61&lt;&gt;INT(BC61)),"E_INVALID_DATE",IF(BB61&gt;BC61,"E_REVERSED_BOUNDS","")))),"E_MISSING_INPUT")))))))</f>
        <v/>
      </c>
      <c r="BF61" s="22">
        <f t="shared" si="52"/>
        <v>0</v>
      </c>
      <c r="BG61" s="22">
        <f t="shared" si="53"/>
        <v>0</v>
      </c>
      <c r="BH61" s="28" t="str">
        <f t="shared" si="54"/>
        <v/>
      </c>
      <c r="BI61" s="28" t="str">
        <f t="shared" si="55"/>
        <v/>
      </c>
      <c r="BJ61" s="22" t="str">
        <f t="shared" si="56"/>
        <v/>
      </c>
      <c r="BK61" s="22" t="str">
        <f t="shared" si="57"/>
        <v/>
      </c>
      <c r="BL61" s="21" t="str">
        <f t="shared" si="58"/>
        <v>VEC-V13|1|EX1</v>
      </c>
      <c r="BM61" s="22">
        <f>IF(BL61="",0,COUNTIF(nEXP_Key,BL61))</f>
        <v>2</v>
      </c>
      <c r="BN61" s="21" t="str">
        <f t="shared" si="59"/>
        <v>E_DUPLICATE_ID</v>
      </c>
      <c r="BO61" s="21" t="str">
        <f>IF(BN61="","",BN61&amp;": "&amp;SUBSTITUTE(IFERROR(INDEX(nMSG_Text,MATCH(BN61,nMSG_Code,0)),""),"[input]",IF(D61="","an Exposure_Episode_ID","the date fields required by the selected precision")))</f>
        <v>E_DUPLICATE_ID: This identifier is already used in this case. Each episode needs its own ID.</v>
      </c>
    </row>
    <row r="62" spans="1:67" x14ac:dyDescent="0.2">
      <c r="A62" s="9" t="s">
        <v>335</v>
      </c>
      <c r="B62" s="11">
        <v>1</v>
      </c>
      <c r="C62" s="9" t="s">
        <v>521</v>
      </c>
      <c r="D62" s="9" t="s">
        <v>522</v>
      </c>
      <c r="E62" s="9" t="s">
        <v>523</v>
      </c>
      <c r="F62" s="16"/>
      <c r="G62" s="9"/>
      <c r="H62" s="16"/>
      <c r="I62" s="16"/>
      <c r="J62" s="9"/>
      <c r="K62" s="16"/>
      <c r="L62" s="9"/>
      <c r="M62" s="9" t="s">
        <v>551</v>
      </c>
      <c r="N62" s="16" t="s">
        <v>4</v>
      </c>
      <c r="O62" s="14">
        <v>46024</v>
      </c>
      <c r="P62" s="25"/>
      <c r="Q62" s="9"/>
      <c r="R62" s="11"/>
      <c r="S62" s="11"/>
      <c r="T62" s="14"/>
      <c r="U62" s="14"/>
      <c r="V62" s="9" t="s">
        <v>550</v>
      </c>
      <c r="W62" s="21" t="str">
        <f>IF(COUNTA(N62:U62)=0,"",IF(N62="","E_MISSING_INPUT",IF(N62="TIMESTAMP",IF(OR(O62="",P62="",Q62=""),"E_MISSING_INPUT",IF(OR(NOT(ISNUMBER(O62)),NOT(ISNUMBER(P62))),"E_INVALID_DATE",IF(OR(O62&lt;&gt;INT(O62),P62&lt;0,P62&gt;=1),"E_INVALID_DATE",IF(ISNA(MATCH(Q62,nLIST_Offset,0)),"E_INVALID_DATE","")))),IF(N62="DATE",IF(O62="","E_MISSING_INPUT",IF(NOT(ISNUMBER(O62)),"E_INVALID_DATE",IF(O62&lt;&gt;INT(O62),"E_INVALID_DATE",""))),IF(N62="MONTH",IF(OR(R62="",S62=""),"E_MISSING_INPUT",IF(OR(NOT(ISNUMBER(R62)),NOT(ISNUMBER(S62))),"E_INVALID_DATE",IF(OR(R62&lt;1900,R62&gt;9999,R62&lt;&gt;INT(R62),S62&lt;1,S62&gt;12,S62&lt;&gt;INT(S62)),"E_INVALID_DATE",""))),IF(N62="YEAR",IF(R62="","E_MISSING_INPUT",IF(NOT(ISNUMBER(R62)),"E_INVALID_DATE",IF(OR(R62&lt;1900,R62&gt;9999,R62&lt;&gt;INT(R62)),"E_INVALID_DATE",""))),IF(N62="RANGE",IF(OR(T62="",U62=""),"E_MISSING_INPUT",IF(OR(NOT(ISNUMBER(T62)),NOT(ISNUMBER(U62))),"E_INVALID_DATE",IF(OR(T62&lt;&gt;INT(T62),U62&lt;&gt;INT(U62)),"E_INVALID_DATE",IF(T62&gt;U62,"E_REVERSED_BOUNDS","")))),"E_MISSING_INPUT")))))))</f>
        <v/>
      </c>
      <c r="X62" s="22">
        <f t="shared" si="40"/>
        <v>0</v>
      </c>
      <c r="Y62" s="22">
        <f t="shared" si="41"/>
        <v>0</v>
      </c>
      <c r="Z62" s="28">
        <f t="shared" si="42"/>
        <v>46024</v>
      </c>
      <c r="AA62" s="28">
        <f t="shared" si="43"/>
        <v>46024</v>
      </c>
      <c r="AB62" s="22" t="str">
        <f t="shared" si="44"/>
        <v/>
      </c>
      <c r="AC62" s="22" t="str">
        <f t="shared" si="45"/>
        <v/>
      </c>
      <c r="AD62" s="9"/>
      <c r="AE62" s="16"/>
      <c r="AF62" s="14"/>
      <c r="AG62" s="25"/>
      <c r="AH62" s="9"/>
      <c r="AI62" s="11"/>
      <c r="AJ62" s="11"/>
      <c r="AK62" s="14"/>
      <c r="AL62" s="14"/>
      <c r="AM62" s="9"/>
      <c r="AN62" s="21" t="str">
        <f>IF(COUNTA(AE62:AL62)=0,"",IF(AE62="","E_MISSING_INPUT",IF(AE62="TIMESTAMP",IF(OR(AF62="",AG62="",AH62=""),"E_MISSING_INPUT",IF(OR(NOT(ISNUMBER(AF62)),NOT(ISNUMBER(AG62))),"E_INVALID_DATE",IF(OR(AF62&lt;&gt;INT(AF62),AG62&lt;0,AG62&gt;=1),"E_INVALID_DATE",IF(ISNA(MATCH(AH62,nLIST_Offset,0)),"E_INVALID_DATE","")))),IF(AE62="DATE",IF(AF62="","E_MISSING_INPUT",IF(NOT(ISNUMBER(AF62)),"E_INVALID_DATE",IF(AF62&lt;&gt;INT(AF62),"E_INVALID_DATE",""))),IF(AE62="MONTH",IF(OR(AI62="",AJ62=""),"E_MISSING_INPUT",IF(OR(NOT(ISNUMBER(AI62)),NOT(ISNUMBER(AJ62))),"E_INVALID_DATE",IF(OR(AI62&lt;1900,AI62&gt;9999,AI62&lt;&gt;INT(AI62),AJ62&lt;1,AJ62&gt;12,AJ62&lt;&gt;INT(AJ62)),"E_INVALID_DATE",""))),IF(AE62="YEAR",IF(AI62="","E_MISSING_INPUT",IF(NOT(ISNUMBER(AI62)),"E_INVALID_DATE",IF(OR(AI62&lt;1900,AI62&gt;9999,AI62&lt;&gt;INT(AI62)),"E_INVALID_DATE",""))),IF(AE62="RANGE",IF(OR(AK62="",AL62=""),"E_MISSING_INPUT",IF(OR(NOT(ISNUMBER(AK62)),NOT(ISNUMBER(AL62))),"E_INVALID_DATE",IF(OR(AK62&lt;&gt;INT(AK62),AL62&lt;&gt;INT(AL62)),"E_INVALID_DATE",IF(AK62&gt;AL62,"E_REVERSED_BOUNDS","")))),"E_MISSING_INPUT")))))))</f>
        <v/>
      </c>
      <c r="AO62" s="22">
        <f t="shared" si="46"/>
        <v>0</v>
      </c>
      <c r="AP62" s="22">
        <f t="shared" si="47"/>
        <v>0</v>
      </c>
      <c r="AQ62" s="28" t="str">
        <f t="shared" si="48"/>
        <v/>
      </c>
      <c r="AR62" s="28" t="str">
        <f t="shared" si="49"/>
        <v/>
      </c>
      <c r="AS62" s="22" t="str">
        <f t="shared" si="50"/>
        <v/>
      </c>
      <c r="AT62" s="22" t="str">
        <f t="shared" si="51"/>
        <v/>
      </c>
      <c r="AU62" s="9"/>
      <c r="AV62" s="16"/>
      <c r="AW62" s="14"/>
      <c r="AX62" s="25"/>
      <c r="AY62" s="9"/>
      <c r="AZ62" s="11"/>
      <c r="BA62" s="11"/>
      <c r="BB62" s="14"/>
      <c r="BC62" s="14"/>
      <c r="BD62" s="9"/>
      <c r="BE62" s="21" t="str">
        <f>IF(COUNTA(AV62:BC62)=0,"",IF(AV62="","E_MISSING_INPUT",IF(AV62="TIMESTAMP",IF(OR(AW62="",AX62="",AY62=""),"E_MISSING_INPUT",IF(OR(NOT(ISNUMBER(AW62)),NOT(ISNUMBER(AX62))),"E_INVALID_DATE",IF(OR(AW62&lt;&gt;INT(AW62),AX62&lt;0,AX62&gt;=1),"E_INVALID_DATE",IF(ISNA(MATCH(AY62,nLIST_Offset,0)),"E_INVALID_DATE","")))),IF(AV62="DATE",IF(AW62="","E_MISSING_INPUT",IF(NOT(ISNUMBER(AW62)),"E_INVALID_DATE",IF(AW62&lt;&gt;INT(AW62),"E_INVALID_DATE",""))),IF(AV62="MONTH",IF(OR(AZ62="",BA62=""),"E_MISSING_INPUT",IF(OR(NOT(ISNUMBER(AZ62)),NOT(ISNUMBER(BA62))),"E_INVALID_DATE",IF(OR(AZ62&lt;1900,AZ62&gt;9999,AZ62&lt;&gt;INT(AZ62),BA62&lt;1,BA62&gt;12,BA62&lt;&gt;INT(BA62)),"E_INVALID_DATE",""))),IF(AV62="YEAR",IF(AZ62="","E_MISSING_INPUT",IF(NOT(ISNUMBER(AZ62)),"E_INVALID_DATE",IF(OR(AZ62&lt;1900,AZ62&gt;9999,AZ62&lt;&gt;INT(AZ62)),"E_INVALID_DATE",""))),IF(AV62="RANGE",IF(OR(BB62="",BC62=""),"E_MISSING_INPUT",IF(OR(NOT(ISNUMBER(BB62)),NOT(ISNUMBER(BC62))),"E_INVALID_DATE",IF(OR(BB62&lt;&gt;INT(BB62),BC62&lt;&gt;INT(BC62)),"E_INVALID_DATE",IF(BB62&gt;BC62,"E_REVERSED_BOUNDS","")))),"E_MISSING_INPUT")))))))</f>
        <v/>
      </c>
      <c r="BF62" s="22">
        <f t="shared" si="52"/>
        <v>0</v>
      </c>
      <c r="BG62" s="22">
        <f t="shared" si="53"/>
        <v>0</v>
      </c>
      <c r="BH62" s="28" t="str">
        <f t="shared" si="54"/>
        <v/>
      </c>
      <c r="BI62" s="28" t="str">
        <f t="shared" si="55"/>
        <v/>
      </c>
      <c r="BJ62" s="22" t="str">
        <f t="shared" si="56"/>
        <v/>
      </c>
      <c r="BK62" s="22" t="str">
        <f t="shared" si="57"/>
        <v/>
      </c>
      <c r="BL62" s="21" t="str">
        <f t="shared" si="58"/>
        <v>VEC-V13|1|EX1</v>
      </c>
      <c r="BM62" s="22">
        <f>IF(BL62="",0,COUNTIF(nEXP_Key,BL62))</f>
        <v>2</v>
      </c>
      <c r="BN62" s="21" t="str">
        <f t="shared" si="59"/>
        <v>E_DUPLICATE_ID</v>
      </c>
      <c r="BO62" s="21" t="str">
        <f>IF(BN62="","",BN62&amp;": "&amp;SUBSTITUTE(IFERROR(INDEX(nMSG_Text,MATCH(BN62,nMSG_Code,0)),""),"[input]",IF(D62="","an Exposure_Episode_ID","the date fields required by the selected precision")))</f>
        <v>E_DUPLICATE_ID: This identifier is already used in this case. Each episode needs its own ID.</v>
      </c>
    </row>
    <row r="63" spans="1:67" x14ac:dyDescent="0.2">
      <c r="A63" s="9" t="s">
        <v>335</v>
      </c>
      <c r="B63" s="11">
        <v>1</v>
      </c>
      <c r="C63" s="9" t="s">
        <v>521</v>
      </c>
      <c r="D63" s="9" t="s">
        <v>552</v>
      </c>
      <c r="E63" s="9" t="s">
        <v>523</v>
      </c>
      <c r="F63" s="16"/>
      <c r="G63" s="9"/>
      <c r="H63" s="16"/>
      <c r="I63" s="16"/>
      <c r="J63" s="9"/>
      <c r="K63" s="16"/>
      <c r="L63" s="9"/>
      <c r="M63" s="9" t="s">
        <v>553</v>
      </c>
      <c r="N63" s="16" t="s">
        <v>7</v>
      </c>
      <c r="O63" s="14"/>
      <c r="P63" s="25"/>
      <c r="Q63" s="9"/>
      <c r="R63" s="11"/>
      <c r="S63" s="11"/>
      <c r="T63" s="14">
        <v>46032</v>
      </c>
      <c r="U63" s="14">
        <v>46023</v>
      </c>
      <c r="V63" s="9" t="s">
        <v>550</v>
      </c>
      <c r="W63" s="21" t="str">
        <f>IF(COUNTA(N63:U63)=0,"",IF(N63="","E_MISSING_INPUT",IF(N63="TIMESTAMP",IF(OR(O63="",P63="",Q63=""),"E_MISSING_INPUT",IF(OR(NOT(ISNUMBER(O63)),NOT(ISNUMBER(P63))),"E_INVALID_DATE",IF(OR(O63&lt;&gt;INT(O63),P63&lt;0,P63&gt;=1),"E_INVALID_DATE",IF(ISNA(MATCH(Q63,nLIST_Offset,0)),"E_INVALID_DATE","")))),IF(N63="DATE",IF(O63="","E_MISSING_INPUT",IF(NOT(ISNUMBER(O63)),"E_INVALID_DATE",IF(O63&lt;&gt;INT(O63),"E_INVALID_DATE",""))),IF(N63="MONTH",IF(OR(R63="",S63=""),"E_MISSING_INPUT",IF(OR(NOT(ISNUMBER(R63)),NOT(ISNUMBER(S63))),"E_INVALID_DATE",IF(OR(R63&lt;1900,R63&gt;9999,R63&lt;&gt;INT(R63),S63&lt;1,S63&gt;12,S63&lt;&gt;INT(S63)),"E_INVALID_DATE",""))),IF(N63="YEAR",IF(R63="","E_MISSING_INPUT",IF(NOT(ISNUMBER(R63)),"E_INVALID_DATE",IF(OR(R63&lt;1900,R63&gt;9999,R63&lt;&gt;INT(R63)),"E_INVALID_DATE",""))),IF(N63="RANGE",IF(OR(T63="",U63=""),"E_MISSING_INPUT",IF(OR(NOT(ISNUMBER(T63)),NOT(ISNUMBER(U63))),"E_INVALID_DATE",IF(OR(T63&lt;&gt;INT(T63),U63&lt;&gt;INT(U63)),"E_INVALID_DATE",IF(T63&gt;U63,"E_REVERSED_BOUNDS","")))),"E_MISSING_INPUT")))))))</f>
        <v>E_REVERSED_BOUNDS</v>
      </c>
      <c r="X63" s="22">
        <f t="shared" si="40"/>
        <v>0</v>
      </c>
      <c r="Y63" s="22">
        <f t="shared" si="41"/>
        <v>0</v>
      </c>
      <c r="Z63" s="28" t="str">
        <f t="shared" si="42"/>
        <v/>
      </c>
      <c r="AA63" s="28" t="str">
        <f t="shared" si="43"/>
        <v/>
      </c>
      <c r="AB63" s="22" t="str">
        <f t="shared" si="44"/>
        <v/>
      </c>
      <c r="AC63" s="22" t="str">
        <f t="shared" si="45"/>
        <v/>
      </c>
      <c r="AD63" s="9"/>
      <c r="AE63" s="16"/>
      <c r="AF63" s="14"/>
      <c r="AG63" s="25"/>
      <c r="AH63" s="9"/>
      <c r="AI63" s="11"/>
      <c r="AJ63" s="11"/>
      <c r="AK63" s="14"/>
      <c r="AL63" s="14"/>
      <c r="AM63" s="9"/>
      <c r="AN63" s="21" t="str">
        <f>IF(COUNTA(AE63:AL63)=0,"",IF(AE63="","E_MISSING_INPUT",IF(AE63="TIMESTAMP",IF(OR(AF63="",AG63="",AH63=""),"E_MISSING_INPUT",IF(OR(NOT(ISNUMBER(AF63)),NOT(ISNUMBER(AG63))),"E_INVALID_DATE",IF(OR(AF63&lt;&gt;INT(AF63),AG63&lt;0,AG63&gt;=1),"E_INVALID_DATE",IF(ISNA(MATCH(AH63,nLIST_Offset,0)),"E_INVALID_DATE","")))),IF(AE63="DATE",IF(AF63="","E_MISSING_INPUT",IF(NOT(ISNUMBER(AF63)),"E_INVALID_DATE",IF(AF63&lt;&gt;INT(AF63),"E_INVALID_DATE",""))),IF(AE63="MONTH",IF(OR(AI63="",AJ63=""),"E_MISSING_INPUT",IF(OR(NOT(ISNUMBER(AI63)),NOT(ISNUMBER(AJ63))),"E_INVALID_DATE",IF(OR(AI63&lt;1900,AI63&gt;9999,AI63&lt;&gt;INT(AI63),AJ63&lt;1,AJ63&gt;12,AJ63&lt;&gt;INT(AJ63)),"E_INVALID_DATE",""))),IF(AE63="YEAR",IF(AI63="","E_MISSING_INPUT",IF(NOT(ISNUMBER(AI63)),"E_INVALID_DATE",IF(OR(AI63&lt;1900,AI63&gt;9999,AI63&lt;&gt;INT(AI63)),"E_INVALID_DATE",""))),IF(AE63="RANGE",IF(OR(AK63="",AL63=""),"E_MISSING_INPUT",IF(OR(NOT(ISNUMBER(AK63)),NOT(ISNUMBER(AL63))),"E_INVALID_DATE",IF(OR(AK63&lt;&gt;INT(AK63),AL63&lt;&gt;INT(AL63)),"E_INVALID_DATE",IF(AK63&gt;AL63,"E_REVERSED_BOUNDS","")))),"E_MISSING_INPUT")))))))</f>
        <v/>
      </c>
      <c r="AO63" s="22">
        <f t="shared" si="46"/>
        <v>0</v>
      </c>
      <c r="AP63" s="22">
        <f t="shared" si="47"/>
        <v>0</v>
      </c>
      <c r="AQ63" s="28" t="str">
        <f t="shared" si="48"/>
        <v/>
      </c>
      <c r="AR63" s="28" t="str">
        <f t="shared" si="49"/>
        <v/>
      </c>
      <c r="AS63" s="22" t="str">
        <f t="shared" si="50"/>
        <v/>
      </c>
      <c r="AT63" s="22" t="str">
        <f t="shared" si="51"/>
        <v/>
      </c>
      <c r="AU63" s="9"/>
      <c r="AV63" s="16"/>
      <c r="AW63" s="14"/>
      <c r="AX63" s="25"/>
      <c r="AY63" s="9"/>
      <c r="AZ63" s="11"/>
      <c r="BA63" s="11"/>
      <c r="BB63" s="14"/>
      <c r="BC63" s="14"/>
      <c r="BD63" s="9"/>
      <c r="BE63" s="21" t="str">
        <f>IF(COUNTA(AV63:BC63)=0,"",IF(AV63="","E_MISSING_INPUT",IF(AV63="TIMESTAMP",IF(OR(AW63="",AX63="",AY63=""),"E_MISSING_INPUT",IF(OR(NOT(ISNUMBER(AW63)),NOT(ISNUMBER(AX63))),"E_INVALID_DATE",IF(OR(AW63&lt;&gt;INT(AW63),AX63&lt;0,AX63&gt;=1),"E_INVALID_DATE",IF(ISNA(MATCH(AY63,nLIST_Offset,0)),"E_INVALID_DATE","")))),IF(AV63="DATE",IF(AW63="","E_MISSING_INPUT",IF(NOT(ISNUMBER(AW63)),"E_INVALID_DATE",IF(AW63&lt;&gt;INT(AW63),"E_INVALID_DATE",""))),IF(AV63="MONTH",IF(OR(AZ63="",BA63=""),"E_MISSING_INPUT",IF(OR(NOT(ISNUMBER(AZ63)),NOT(ISNUMBER(BA63))),"E_INVALID_DATE",IF(OR(AZ63&lt;1900,AZ63&gt;9999,AZ63&lt;&gt;INT(AZ63),BA63&lt;1,BA63&gt;12,BA63&lt;&gt;INT(BA63)),"E_INVALID_DATE",""))),IF(AV63="YEAR",IF(AZ63="","E_MISSING_INPUT",IF(NOT(ISNUMBER(AZ63)),"E_INVALID_DATE",IF(OR(AZ63&lt;1900,AZ63&gt;9999,AZ63&lt;&gt;INT(AZ63)),"E_INVALID_DATE",""))),IF(AV63="RANGE",IF(OR(BB63="",BC63=""),"E_MISSING_INPUT",IF(OR(NOT(ISNUMBER(BB63)),NOT(ISNUMBER(BC63))),"E_INVALID_DATE",IF(OR(BB63&lt;&gt;INT(BB63),BC63&lt;&gt;INT(BC63)),"E_INVALID_DATE",IF(BB63&gt;BC63,"E_REVERSED_BOUNDS","")))),"E_MISSING_INPUT")))))))</f>
        <v/>
      </c>
      <c r="BF63" s="22">
        <f t="shared" si="52"/>
        <v>0</v>
      </c>
      <c r="BG63" s="22">
        <f t="shared" si="53"/>
        <v>0</v>
      </c>
      <c r="BH63" s="28" t="str">
        <f t="shared" si="54"/>
        <v/>
      </c>
      <c r="BI63" s="28" t="str">
        <f t="shared" si="55"/>
        <v/>
      </c>
      <c r="BJ63" s="22" t="str">
        <f t="shared" si="56"/>
        <v/>
      </c>
      <c r="BK63" s="22" t="str">
        <f t="shared" si="57"/>
        <v/>
      </c>
      <c r="BL63" s="21" t="str">
        <f t="shared" si="58"/>
        <v>VEC-V13|1|EX2</v>
      </c>
      <c r="BM63" s="22">
        <f>IF(BL63="",0,COUNTIF(nEXP_Key,BL63))</f>
        <v>1</v>
      </c>
      <c r="BN63" s="21" t="str">
        <f t="shared" si="59"/>
        <v>E_REVERSED_BOUNDS</v>
      </c>
      <c r="BO63" s="21" t="str">
        <f>IF(BN63="","",BN63&amp;": "&amp;SUBSTITUTE(IFERROR(INDEX(nMSG_Text,MATCH(BN63,nMSG_Code,0)),""),"[input]",IF(D63="","an Exposure_Episode_ID","the date fields required by the selected precision")))</f>
        <v>E_REVERSED_BOUNDS: The earliest value is after the latest value. Check the order of the bounds.</v>
      </c>
    </row>
    <row r="64" spans="1:67" x14ac:dyDescent="0.2">
      <c r="A64" s="9" t="s">
        <v>335</v>
      </c>
      <c r="B64" s="11">
        <v>1</v>
      </c>
      <c r="C64" s="9" t="s">
        <v>521</v>
      </c>
      <c r="D64" s="9" t="s">
        <v>554</v>
      </c>
      <c r="E64" s="9" t="s">
        <v>523</v>
      </c>
      <c r="F64" s="16"/>
      <c r="G64" s="9"/>
      <c r="H64" s="16"/>
      <c r="I64" s="16"/>
      <c r="J64" s="9"/>
      <c r="K64" s="16"/>
      <c r="L64" s="9"/>
      <c r="M64" s="9" t="s">
        <v>555</v>
      </c>
      <c r="N64" s="16" t="s">
        <v>4</v>
      </c>
      <c r="O64" s="14">
        <v>46037</v>
      </c>
      <c r="P64" s="25"/>
      <c r="Q64" s="9"/>
      <c r="R64" s="11"/>
      <c r="S64" s="11"/>
      <c r="T64" s="14"/>
      <c r="U64" s="14"/>
      <c r="V64" s="9" t="s">
        <v>550</v>
      </c>
      <c r="W64" s="21" t="str">
        <f>IF(COUNTA(N64:U64)=0,"",IF(N64="","E_MISSING_INPUT",IF(N64="TIMESTAMP",IF(OR(O64="",P64="",Q64=""),"E_MISSING_INPUT",IF(OR(NOT(ISNUMBER(O64)),NOT(ISNUMBER(P64))),"E_INVALID_DATE",IF(OR(O64&lt;&gt;INT(O64),P64&lt;0,P64&gt;=1),"E_INVALID_DATE",IF(ISNA(MATCH(Q64,nLIST_Offset,0)),"E_INVALID_DATE","")))),IF(N64="DATE",IF(O64="","E_MISSING_INPUT",IF(NOT(ISNUMBER(O64)),"E_INVALID_DATE",IF(O64&lt;&gt;INT(O64),"E_INVALID_DATE",""))),IF(N64="MONTH",IF(OR(R64="",S64=""),"E_MISSING_INPUT",IF(OR(NOT(ISNUMBER(R64)),NOT(ISNUMBER(S64))),"E_INVALID_DATE",IF(OR(R64&lt;1900,R64&gt;9999,R64&lt;&gt;INT(R64),S64&lt;1,S64&gt;12,S64&lt;&gt;INT(S64)),"E_INVALID_DATE",""))),IF(N64="YEAR",IF(R64="","E_MISSING_INPUT",IF(NOT(ISNUMBER(R64)),"E_INVALID_DATE",IF(OR(R64&lt;1900,R64&gt;9999,R64&lt;&gt;INT(R64)),"E_INVALID_DATE",""))),IF(N64="RANGE",IF(OR(T64="",U64=""),"E_MISSING_INPUT",IF(OR(NOT(ISNUMBER(T64)),NOT(ISNUMBER(U64))),"E_INVALID_DATE",IF(OR(T64&lt;&gt;INT(T64),U64&lt;&gt;INT(U64)),"E_INVALID_DATE",IF(T64&gt;U64,"E_REVERSED_BOUNDS","")))),"E_MISSING_INPUT")))))))</f>
        <v/>
      </c>
      <c r="X64" s="22">
        <f t="shared" si="40"/>
        <v>0</v>
      </c>
      <c r="Y64" s="22">
        <f t="shared" si="41"/>
        <v>0</v>
      </c>
      <c r="Z64" s="28">
        <f t="shared" si="42"/>
        <v>46037</v>
      </c>
      <c r="AA64" s="28">
        <f t="shared" si="43"/>
        <v>46037</v>
      </c>
      <c r="AB64" s="22" t="str">
        <f t="shared" si="44"/>
        <v/>
      </c>
      <c r="AC64" s="22" t="str">
        <f t="shared" si="45"/>
        <v/>
      </c>
      <c r="AD64" s="9"/>
      <c r="AE64" s="16"/>
      <c r="AF64" s="14"/>
      <c r="AG64" s="25"/>
      <c r="AH64" s="9"/>
      <c r="AI64" s="11"/>
      <c r="AJ64" s="11"/>
      <c r="AK64" s="14"/>
      <c r="AL64" s="14"/>
      <c r="AM64" s="9"/>
      <c r="AN64" s="21" t="str">
        <f>IF(COUNTA(AE64:AL64)=0,"",IF(AE64="","E_MISSING_INPUT",IF(AE64="TIMESTAMP",IF(OR(AF64="",AG64="",AH64=""),"E_MISSING_INPUT",IF(OR(NOT(ISNUMBER(AF64)),NOT(ISNUMBER(AG64))),"E_INVALID_DATE",IF(OR(AF64&lt;&gt;INT(AF64),AG64&lt;0,AG64&gt;=1),"E_INVALID_DATE",IF(ISNA(MATCH(AH64,nLIST_Offset,0)),"E_INVALID_DATE","")))),IF(AE64="DATE",IF(AF64="","E_MISSING_INPUT",IF(NOT(ISNUMBER(AF64)),"E_INVALID_DATE",IF(AF64&lt;&gt;INT(AF64),"E_INVALID_DATE",""))),IF(AE64="MONTH",IF(OR(AI64="",AJ64=""),"E_MISSING_INPUT",IF(OR(NOT(ISNUMBER(AI64)),NOT(ISNUMBER(AJ64))),"E_INVALID_DATE",IF(OR(AI64&lt;1900,AI64&gt;9999,AI64&lt;&gt;INT(AI64),AJ64&lt;1,AJ64&gt;12,AJ64&lt;&gt;INT(AJ64)),"E_INVALID_DATE",""))),IF(AE64="YEAR",IF(AI64="","E_MISSING_INPUT",IF(NOT(ISNUMBER(AI64)),"E_INVALID_DATE",IF(OR(AI64&lt;1900,AI64&gt;9999,AI64&lt;&gt;INT(AI64)),"E_INVALID_DATE",""))),IF(AE64="RANGE",IF(OR(AK64="",AL64=""),"E_MISSING_INPUT",IF(OR(NOT(ISNUMBER(AK64)),NOT(ISNUMBER(AL64))),"E_INVALID_DATE",IF(OR(AK64&lt;&gt;INT(AK64),AL64&lt;&gt;INT(AL64)),"E_INVALID_DATE",IF(AK64&gt;AL64,"E_REVERSED_BOUNDS","")))),"E_MISSING_INPUT")))))))</f>
        <v/>
      </c>
      <c r="AO64" s="22">
        <f t="shared" si="46"/>
        <v>0</v>
      </c>
      <c r="AP64" s="22">
        <f t="shared" si="47"/>
        <v>0</v>
      </c>
      <c r="AQ64" s="28" t="str">
        <f t="shared" si="48"/>
        <v/>
      </c>
      <c r="AR64" s="28" t="str">
        <f t="shared" si="49"/>
        <v/>
      </c>
      <c r="AS64" s="22" t="str">
        <f t="shared" si="50"/>
        <v/>
      </c>
      <c r="AT64" s="22" t="str">
        <f t="shared" si="51"/>
        <v/>
      </c>
      <c r="AU64" s="9"/>
      <c r="AV64" s="16"/>
      <c r="AW64" s="14"/>
      <c r="AX64" s="25"/>
      <c r="AY64" s="9"/>
      <c r="AZ64" s="11"/>
      <c r="BA64" s="11"/>
      <c r="BB64" s="14"/>
      <c r="BC64" s="14"/>
      <c r="BD64" s="9"/>
      <c r="BE64" s="21" t="str">
        <f>IF(COUNTA(AV64:BC64)=0,"",IF(AV64="","E_MISSING_INPUT",IF(AV64="TIMESTAMP",IF(OR(AW64="",AX64="",AY64=""),"E_MISSING_INPUT",IF(OR(NOT(ISNUMBER(AW64)),NOT(ISNUMBER(AX64))),"E_INVALID_DATE",IF(OR(AW64&lt;&gt;INT(AW64),AX64&lt;0,AX64&gt;=1),"E_INVALID_DATE",IF(ISNA(MATCH(AY64,nLIST_Offset,0)),"E_INVALID_DATE","")))),IF(AV64="DATE",IF(AW64="","E_MISSING_INPUT",IF(NOT(ISNUMBER(AW64)),"E_INVALID_DATE",IF(AW64&lt;&gt;INT(AW64),"E_INVALID_DATE",""))),IF(AV64="MONTH",IF(OR(AZ64="",BA64=""),"E_MISSING_INPUT",IF(OR(NOT(ISNUMBER(AZ64)),NOT(ISNUMBER(BA64))),"E_INVALID_DATE",IF(OR(AZ64&lt;1900,AZ64&gt;9999,AZ64&lt;&gt;INT(AZ64),BA64&lt;1,BA64&gt;12,BA64&lt;&gt;INT(BA64)),"E_INVALID_DATE",""))),IF(AV64="YEAR",IF(AZ64="","E_MISSING_INPUT",IF(NOT(ISNUMBER(AZ64)),"E_INVALID_DATE",IF(OR(AZ64&lt;1900,AZ64&gt;9999,AZ64&lt;&gt;INT(AZ64)),"E_INVALID_DATE",""))),IF(AV64="RANGE",IF(OR(BB64="",BC64=""),"E_MISSING_INPUT",IF(OR(NOT(ISNUMBER(BB64)),NOT(ISNUMBER(BC64))),"E_INVALID_DATE",IF(OR(BB64&lt;&gt;INT(BB64),BC64&lt;&gt;INT(BC64)),"E_INVALID_DATE",IF(BB64&gt;BC64,"E_REVERSED_BOUNDS","")))),"E_MISSING_INPUT")))))))</f>
        <v/>
      </c>
      <c r="BF64" s="22">
        <f t="shared" si="52"/>
        <v>0</v>
      </c>
      <c r="BG64" s="22">
        <f t="shared" si="53"/>
        <v>0</v>
      </c>
      <c r="BH64" s="28" t="str">
        <f t="shared" si="54"/>
        <v/>
      </c>
      <c r="BI64" s="28" t="str">
        <f t="shared" si="55"/>
        <v/>
      </c>
      <c r="BJ64" s="22" t="str">
        <f t="shared" si="56"/>
        <v/>
      </c>
      <c r="BK64" s="22" t="str">
        <f t="shared" si="57"/>
        <v/>
      </c>
      <c r="BL64" s="21" t="str">
        <f t="shared" si="58"/>
        <v>VEC-V13|1|EX3</v>
      </c>
      <c r="BM64" s="22">
        <f>IF(BL64="",0,COUNTIF(nEXP_Key,BL64))</f>
        <v>1</v>
      </c>
      <c r="BN64" s="21" t="str">
        <f t="shared" si="59"/>
        <v/>
      </c>
      <c r="BO64" s="21" t="str">
        <f>IF(BN64="","",BN64&amp;": "&amp;SUBSTITUTE(IFERROR(INDEX(nMSG_Text,MATCH(BN64,nMSG_Code,0)),""),"[input]",IF(D64="","an Exposure_Episode_ID","the date fields required by the selected precision")))</f>
        <v/>
      </c>
    </row>
    <row r="65" spans="1:67" x14ac:dyDescent="0.2">
      <c r="A65" s="9" t="s">
        <v>337</v>
      </c>
      <c r="B65" s="11">
        <v>1</v>
      </c>
      <c r="C65" s="9" t="s">
        <v>521</v>
      </c>
      <c r="D65" s="9" t="s">
        <v>522</v>
      </c>
      <c r="E65" s="9" t="s">
        <v>523</v>
      </c>
      <c r="F65" s="16"/>
      <c r="G65" s="9"/>
      <c r="H65" s="16"/>
      <c r="I65" s="16"/>
      <c r="J65" s="9"/>
      <c r="K65" s="16"/>
      <c r="L65" s="9" t="s">
        <v>556</v>
      </c>
      <c r="M65" s="9"/>
      <c r="N65" s="16"/>
      <c r="O65" s="14"/>
      <c r="P65" s="25"/>
      <c r="Q65" s="9"/>
      <c r="R65" s="11"/>
      <c r="S65" s="11"/>
      <c r="T65" s="14"/>
      <c r="U65" s="14"/>
      <c r="V65" s="9"/>
      <c r="W65" s="21" t="str">
        <f>IF(COUNTA(N65:U65)=0,"",IF(N65="","E_MISSING_INPUT",IF(N65="TIMESTAMP",IF(OR(O65="",P65="",Q65=""),"E_MISSING_INPUT",IF(OR(NOT(ISNUMBER(O65)),NOT(ISNUMBER(P65))),"E_INVALID_DATE",IF(OR(O65&lt;&gt;INT(O65),P65&lt;0,P65&gt;=1),"E_INVALID_DATE",IF(ISNA(MATCH(Q65,nLIST_Offset,0)),"E_INVALID_DATE","")))),IF(N65="DATE",IF(O65="","E_MISSING_INPUT",IF(NOT(ISNUMBER(O65)),"E_INVALID_DATE",IF(O65&lt;&gt;INT(O65),"E_INVALID_DATE",""))),IF(N65="MONTH",IF(OR(R65="",S65=""),"E_MISSING_INPUT",IF(OR(NOT(ISNUMBER(R65)),NOT(ISNUMBER(S65))),"E_INVALID_DATE",IF(OR(R65&lt;1900,R65&gt;9999,R65&lt;&gt;INT(R65),S65&lt;1,S65&gt;12,S65&lt;&gt;INT(S65)),"E_INVALID_DATE",""))),IF(N65="YEAR",IF(R65="","E_MISSING_INPUT",IF(NOT(ISNUMBER(R65)),"E_INVALID_DATE",IF(OR(R65&lt;1900,R65&gt;9999,R65&lt;&gt;INT(R65)),"E_INVALID_DATE",""))),IF(N65="RANGE",IF(OR(T65="",U65=""),"E_MISSING_INPUT",IF(OR(NOT(ISNUMBER(T65)),NOT(ISNUMBER(U65))),"E_INVALID_DATE",IF(OR(T65&lt;&gt;INT(T65),U65&lt;&gt;INT(U65)),"E_INVALID_DATE",IF(T65&gt;U65,"E_REVERSED_BOUNDS","")))),"E_MISSING_INPUT")))))))</f>
        <v/>
      </c>
      <c r="X65" s="22">
        <f t="shared" si="40"/>
        <v>0</v>
      </c>
      <c r="Y65" s="22">
        <f t="shared" si="41"/>
        <v>0</v>
      </c>
      <c r="Z65" s="28" t="str">
        <f t="shared" si="42"/>
        <v/>
      </c>
      <c r="AA65" s="28" t="str">
        <f t="shared" si="43"/>
        <v/>
      </c>
      <c r="AB65" s="22" t="str">
        <f t="shared" si="44"/>
        <v/>
      </c>
      <c r="AC65" s="22" t="str">
        <f t="shared" si="45"/>
        <v/>
      </c>
      <c r="AD65" s="9"/>
      <c r="AE65" s="16"/>
      <c r="AF65" s="14"/>
      <c r="AG65" s="25"/>
      <c r="AH65" s="9"/>
      <c r="AI65" s="11"/>
      <c r="AJ65" s="11"/>
      <c r="AK65" s="14"/>
      <c r="AL65" s="14"/>
      <c r="AM65" s="9"/>
      <c r="AN65" s="21" t="str">
        <f>IF(COUNTA(AE65:AL65)=0,"",IF(AE65="","E_MISSING_INPUT",IF(AE65="TIMESTAMP",IF(OR(AF65="",AG65="",AH65=""),"E_MISSING_INPUT",IF(OR(NOT(ISNUMBER(AF65)),NOT(ISNUMBER(AG65))),"E_INVALID_DATE",IF(OR(AF65&lt;&gt;INT(AF65),AG65&lt;0,AG65&gt;=1),"E_INVALID_DATE",IF(ISNA(MATCH(AH65,nLIST_Offset,0)),"E_INVALID_DATE","")))),IF(AE65="DATE",IF(AF65="","E_MISSING_INPUT",IF(NOT(ISNUMBER(AF65)),"E_INVALID_DATE",IF(AF65&lt;&gt;INT(AF65),"E_INVALID_DATE",""))),IF(AE65="MONTH",IF(OR(AI65="",AJ65=""),"E_MISSING_INPUT",IF(OR(NOT(ISNUMBER(AI65)),NOT(ISNUMBER(AJ65))),"E_INVALID_DATE",IF(OR(AI65&lt;1900,AI65&gt;9999,AI65&lt;&gt;INT(AI65),AJ65&lt;1,AJ65&gt;12,AJ65&lt;&gt;INT(AJ65)),"E_INVALID_DATE",""))),IF(AE65="YEAR",IF(AI65="","E_MISSING_INPUT",IF(NOT(ISNUMBER(AI65)),"E_INVALID_DATE",IF(OR(AI65&lt;1900,AI65&gt;9999,AI65&lt;&gt;INT(AI65)),"E_INVALID_DATE",""))),IF(AE65="RANGE",IF(OR(AK65="",AL65=""),"E_MISSING_INPUT",IF(OR(NOT(ISNUMBER(AK65)),NOT(ISNUMBER(AL65))),"E_INVALID_DATE",IF(OR(AK65&lt;&gt;INT(AK65),AL65&lt;&gt;INT(AL65)),"E_INVALID_DATE",IF(AK65&gt;AL65,"E_REVERSED_BOUNDS","")))),"E_MISSING_INPUT")))))))</f>
        <v/>
      </c>
      <c r="AO65" s="22">
        <f t="shared" si="46"/>
        <v>0</v>
      </c>
      <c r="AP65" s="22">
        <f t="shared" si="47"/>
        <v>0</v>
      </c>
      <c r="AQ65" s="28" t="str">
        <f t="shared" si="48"/>
        <v/>
      </c>
      <c r="AR65" s="28" t="str">
        <f t="shared" si="49"/>
        <v/>
      </c>
      <c r="AS65" s="22" t="str">
        <f t="shared" si="50"/>
        <v/>
      </c>
      <c r="AT65" s="22" t="str">
        <f t="shared" si="51"/>
        <v/>
      </c>
      <c r="AU65" s="9"/>
      <c r="AV65" s="16"/>
      <c r="AW65" s="14"/>
      <c r="AX65" s="25"/>
      <c r="AY65" s="9"/>
      <c r="AZ65" s="11"/>
      <c r="BA65" s="11"/>
      <c r="BB65" s="14"/>
      <c r="BC65" s="14"/>
      <c r="BD65" s="9"/>
      <c r="BE65" s="21" t="str">
        <f>IF(COUNTA(AV65:BC65)=0,"",IF(AV65="","E_MISSING_INPUT",IF(AV65="TIMESTAMP",IF(OR(AW65="",AX65="",AY65=""),"E_MISSING_INPUT",IF(OR(NOT(ISNUMBER(AW65)),NOT(ISNUMBER(AX65))),"E_INVALID_DATE",IF(OR(AW65&lt;&gt;INT(AW65),AX65&lt;0,AX65&gt;=1),"E_INVALID_DATE",IF(ISNA(MATCH(AY65,nLIST_Offset,0)),"E_INVALID_DATE","")))),IF(AV65="DATE",IF(AW65="","E_MISSING_INPUT",IF(NOT(ISNUMBER(AW65)),"E_INVALID_DATE",IF(AW65&lt;&gt;INT(AW65),"E_INVALID_DATE",""))),IF(AV65="MONTH",IF(OR(AZ65="",BA65=""),"E_MISSING_INPUT",IF(OR(NOT(ISNUMBER(AZ65)),NOT(ISNUMBER(BA65))),"E_INVALID_DATE",IF(OR(AZ65&lt;1900,AZ65&gt;9999,AZ65&lt;&gt;INT(AZ65),BA65&lt;1,BA65&gt;12,BA65&lt;&gt;INT(BA65)),"E_INVALID_DATE",""))),IF(AV65="YEAR",IF(AZ65="","E_MISSING_INPUT",IF(NOT(ISNUMBER(AZ65)),"E_INVALID_DATE",IF(OR(AZ65&lt;1900,AZ65&gt;9999,AZ65&lt;&gt;INT(AZ65)),"E_INVALID_DATE",""))),IF(AV65="RANGE",IF(OR(BB65="",BC65=""),"E_MISSING_INPUT",IF(OR(NOT(ISNUMBER(BB65)),NOT(ISNUMBER(BC65))),"E_INVALID_DATE",IF(OR(BB65&lt;&gt;INT(BB65),BC65&lt;&gt;INT(BC65)),"E_INVALID_DATE",IF(BB65&gt;BC65,"E_REVERSED_BOUNDS","")))),"E_MISSING_INPUT")))))))</f>
        <v/>
      </c>
      <c r="BF65" s="22">
        <f t="shared" si="52"/>
        <v>0</v>
      </c>
      <c r="BG65" s="22">
        <f t="shared" si="53"/>
        <v>0</v>
      </c>
      <c r="BH65" s="28" t="str">
        <f t="shared" si="54"/>
        <v/>
      </c>
      <c r="BI65" s="28" t="str">
        <f t="shared" si="55"/>
        <v/>
      </c>
      <c r="BJ65" s="22" t="str">
        <f t="shared" si="56"/>
        <v/>
      </c>
      <c r="BK65" s="22" t="str">
        <f t="shared" si="57"/>
        <v/>
      </c>
      <c r="BL65" s="21" t="str">
        <f t="shared" si="58"/>
        <v>VEC-V15|1|EX1</v>
      </c>
      <c r="BM65" s="22">
        <f>IF(BL65="",0,COUNTIF(nEXP_Key,BL65))</f>
        <v>1</v>
      </c>
      <c r="BN65" s="21" t="str">
        <f t="shared" si="59"/>
        <v/>
      </c>
      <c r="BO65" s="21" t="str">
        <f>IF(BN65="","",BN65&amp;": "&amp;SUBSTITUTE(IFERROR(INDEX(nMSG_Text,MATCH(BN65,nMSG_Code,0)),""),"[input]",IF(D65="","an Exposure_Episode_ID","the date fields required by the selected precision")))</f>
        <v/>
      </c>
    </row>
    <row r="66" spans="1:67" x14ac:dyDescent="0.2">
      <c r="A66" s="9" t="s">
        <v>357</v>
      </c>
      <c r="B66" s="11">
        <v>1</v>
      </c>
      <c r="C66" s="9" t="s">
        <v>521</v>
      </c>
      <c r="D66" s="9" t="s">
        <v>522</v>
      </c>
      <c r="E66" s="9" t="s">
        <v>523</v>
      </c>
      <c r="F66" s="16"/>
      <c r="G66" s="9"/>
      <c r="H66" s="16"/>
      <c r="I66" s="16"/>
      <c r="J66" s="9"/>
      <c r="K66" s="16"/>
      <c r="L66" s="9"/>
      <c r="M66" s="9" t="s">
        <v>557</v>
      </c>
      <c r="N66" s="16" t="s">
        <v>3</v>
      </c>
      <c r="O66" s="14">
        <v>46032</v>
      </c>
      <c r="P66" s="25">
        <v>0.375</v>
      </c>
      <c r="Q66" s="9" t="s">
        <v>20</v>
      </c>
      <c r="R66" s="11"/>
      <c r="S66" s="11"/>
      <c r="T66" s="14"/>
      <c r="U66" s="14"/>
      <c r="V66" s="9" t="s">
        <v>558</v>
      </c>
      <c r="W66" s="21" t="str">
        <f>IF(COUNTA(N66:U66)=0,"",IF(N66="","E_MISSING_INPUT",IF(N66="TIMESTAMP",IF(OR(O66="",P66="",Q66=""),"E_MISSING_INPUT",IF(OR(NOT(ISNUMBER(O66)),NOT(ISNUMBER(P66))),"E_INVALID_DATE",IF(OR(O66&lt;&gt;INT(O66),P66&lt;0,P66&gt;=1),"E_INVALID_DATE",IF(ISNA(MATCH(Q66,nLIST_Offset,0)),"E_INVALID_DATE","")))),IF(N66="DATE",IF(O66="","E_MISSING_INPUT",IF(NOT(ISNUMBER(O66)),"E_INVALID_DATE",IF(O66&lt;&gt;INT(O66),"E_INVALID_DATE",""))),IF(N66="MONTH",IF(OR(R66="",S66=""),"E_MISSING_INPUT",IF(OR(NOT(ISNUMBER(R66)),NOT(ISNUMBER(S66))),"E_INVALID_DATE",IF(OR(R66&lt;1900,R66&gt;9999,R66&lt;&gt;INT(R66),S66&lt;1,S66&gt;12,S66&lt;&gt;INT(S66)),"E_INVALID_DATE",""))),IF(N66="YEAR",IF(R66="","E_MISSING_INPUT",IF(NOT(ISNUMBER(R66)),"E_INVALID_DATE",IF(OR(R66&lt;1900,R66&gt;9999,R66&lt;&gt;INT(R66)),"E_INVALID_DATE",""))),IF(N66="RANGE",IF(OR(T66="",U66=""),"E_MISSING_INPUT",IF(OR(NOT(ISNUMBER(T66)),NOT(ISNUMBER(U66))),"E_INVALID_DATE",IF(OR(T66&lt;&gt;INT(T66),U66&lt;&gt;INT(U66)),"E_INVALID_DATE",IF(T66&gt;U66,"E_REVERSED_BOUNDS","")))),"E_MISSING_INPUT")))))))</f>
        <v/>
      </c>
      <c r="X66" s="22">
        <f t="shared" si="40"/>
        <v>1</v>
      </c>
      <c r="Y66" s="22">
        <f t="shared" si="41"/>
        <v>1</v>
      </c>
      <c r="Z66" s="28">
        <f t="shared" si="42"/>
        <v>46032</v>
      </c>
      <c r="AA66" s="28">
        <f t="shared" si="43"/>
        <v>46032</v>
      </c>
      <c r="AB66" s="22">
        <f t="shared" si="44"/>
        <v>66286620</v>
      </c>
      <c r="AC66" s="22">
        <f t="shared" si="45"/>
        <v>66286920</v>
      </c>
      <c r="AD66" s="9"/>
      <c r="AE66" s="16"/>
      <c r="AF66" s="14"/>
      <c r="AG66" s="25"/>
      <c r="AH66" s="9"/>
      <c r="AI66" s="11"/>
      <c r="AJ66" s="11"/>
      <c r="AK66" s="14"/>
      <c r="AL66" s="14"/>
      <c r="AM66" s="9"/>
      <c r="AN66" s="21" t="str">
        <f>IF(COUNTA(AE66:AL66)=0,"",IF(AE66="","E_MISSING_INPUT",IF(AE66="TIMESTAMP",IF(OR(AF66="",AG66="",AH66=""),"E_MISSING_INPUT",IF(OR(NOT(ISNUMBER(AF66)),NOT(ISNUMBER(AG66))),"E_INVALID_DATE",IF(OR(AF66&lt;&gt;INT(AF66),AG66&lt;0,AG66&gt;=1),"E_INVALID_DATE",IF(ISNA(MATCH(AH66,nLIST_Offset,0)),"E_INVALID_DATE","")))),IF(AE66="DATE",IF(AF66="","E_MISSING_INPUT",IF(NOT(ISNUMBER(AF66)),"E_INVALID_DATE",IF(AF66&lt;&gt;INT(AF66),"E_INVALID_DATE",""))),IF(AE66="MONTH",IF(OR(AI66="",AJ66=""),"E_MISSING_INPUT",IF(OR(NOT(ISNUMBER(AI66)),NOT(ISNUMBER(AJ66))),"E_INVALID_DATE",IF(OR(AI66&lt;1900,AI66&gt;9999,AI66&lt;&gt;INT(AI66),AJ66&lt;1,AJ66&gt;12,AJ66&lt;&gt;INT(AJ66)),"E_INVALID_DATE",""))),IF(AE66="YEAR",IF(AI66="","E_MISSING_INPUT",IF(NOT(ISNUMBER(AI66)),"E_INVALID_DATE",IF(OR(AI66&lt;1900,AI66&gt;9999,AI66&lt;&gt;INT(AI66)),"E_INVALID_DATE",""))),IF(AE66="RANGE",IF(OR(AK66="",AL66=""),"E_MISSING_INPUT",IF(OR(NOT(ISNUMBER(AK66)),NOT(ISNUMBER(AL66))),"E_INVALID_DATE",IF(OR(AK66&lt;&gt;INT(AK66),AL66&lt;&gt;INT(AL66)),"E_INVALID_DATE",IF(AK66&gt;AL66,"E_REVERSED_BOUNDS","")))),"E_MISSING_INPUT")))))))</f>
        <v/>
      </c>
      <c r="AO66" s="22">
        <f t="shared" si="46"/>
        <v>0</v>
      </c>
      <c r="AP66" s="22">
        <f t="shared" si="47"/>
        <v>0</v>
      </c>
      <c r="AQ66" s="28" t="str">
        <f t="shared" si="48"/>
        <v/>
      </c>
      <c r="AR66" s="28" t="str">
        <f t="shared" si="49"/>
        <v/>
      </c>
      <c r="AS66" s="22" t="str">
        <f t="shared" si="50"/>
        <v/>
      </c>
      <c r="AT66" s="22" t="str">
        <f t="shared" si="51"/>
        <v/>
      </c>
      <c r="AU66" s="9"/>
      <c r="AV66" s="16"/>
      <c r="AW66" s="14"/>
      <c r="AX66" s="25"/>
      <c r="AY66" s="9"/>
      <c r="AZ66" s="11"/>
      <c r="BA66" s="11"/>
      <c r="BB66" s="14"/>
      <c r="BC66" s="14"/>
      <c r="BD66" s="9"/>
      <c r="BE66" s="21" t="str">
        <f>IF(COUNTA(AV66:BC66)=0,"",IF(AV66="","E_MISSING_INPUT",IF(AV66="TIMESTAMP",IF(OR(AW66="",AX66="",AY66=""),"E_MISSING_INPUT",IF(OR(NOT(ISNUMBER(AW66)),NOT(ISNUMBER(AX66))),"E_INVALID_DATE",IF(OR(AW66&lt;&gt;INT(AW66),AX66&lt;0,AX66&gt;=1),"E_INVALID_DATE",IF(ISNA(MATCH(AY66,nLIST_Offset,0)),"E_INVALID_DATE","")))),IF(AV66="DATE",IF(AW66="","E_MISSING_INPUT",IF(NOT(ISNUMBER(AW66)),"E_INVALID_DATE",IF(AW66&lt;&gt;INT(AW66),"E_INVALID_DATE",""))),IF(AV66="MONTH",IF(OR(AZ66="",BA66=""),"E_MISSING_INPUT",IF(OR(NOT(ISNUMBER(AZ66)),NOT(ISNUMBER(BA66))),"E_INVALID_DATE",IF(OR(AZ66&lt;1900,AZ66&gt;9999,AZ66&lt;&gt;INT(AZ66),BA66&lt;1,BA66&gt;12,BA66&lt;&gt;INT(BA66)),"E_INVALID_DATE",""))),IF(AV66="YEAR",IF(AZ66="","E_MISSING_INPUT",IF(NOT(ISNUMBER(AZ66)),"E_INVALID_DATE",IF(OR(AZ66&lt;1900,AZ66&gt;9999,AZ66&lt;&gt;INT(AZ66)),"E_INVALID_DATE",""))),IF(AV66="RANGE",IF(OR(BB66="",BC66=""),"E_MISSING_INPUT",IF(OR(NOT(ISNUMBER(BB66)),NOT(ISNUMBER(BC66))),"E_INVALID_DATE",IF(OR(BB66&lt;&gt;INT(BB66),BC66&lt;&gt;INT(BC66)),"E_INVALID_DATE",IF(BB66&gt;BC66,"E_REVERSED_BOUNDS","")))),"E_MISSING_INPUT")))))))</f>
        <v/>
      </c>
      <c r="BF66" s="22">
        <f t="shared" si="52"/>
        <v>0</v>
      </c>
      <c r="BG66" s="22">
        <f t="shared" si="53"/>
        <v>0</v>
      </c>
      <c r="BH66" s="28" t="str">
        <f t="shared" si="54"/>
        <v/>
      </c>
      <c r="BI66" s="28" t="str">
        <f t="shared" si="55"/>
        <v/>
      </c>
      <c r="BJ66" s="22" t="str">
        <f t="shared" si="56"/>
        <v/>
      </c>
      <c r="BK66" s="22" t="str">
        <f t="shared" si="57"/>
        <v/>
      </c>
      <c r="BL66" s="21" t="str">
        <f t="shared" si="58"/>
        <v>VEC-V25|1|EX1</v>
      </c>
      <c r="BM66" s="22">
        <f>IF(BL66="",0,COUNTIF(nEXP_Key,BL66))</f>
        <v>1</v>
      </c>
      <c r="BN66" s="21" t="str">
        <f t="shared" si="59"/>
        <v/>
      </c>
      <c r="BO66" s="21" t="str">
        <f>IF(BN66="","",BN66&amp;": "&amp;SUBSTITUTE(IFERROR(INDEX(nMSG_Text,MATCH(BN66,nMSG_Code,0)),""),"[input]",IF(D66="","an Exposure_Episode_ID","the date fields required by the selected precision")))</f>
        <v/>
      </c>
    </row>
    <row r="67" spans="1:67" x14ac:dyDescent="0.2">
      <c r="A67" s="9" t="s">
        <v>359</v>
      </c>
      <c r="B67" s="11">
        <v>1</v>
      </c>
      <c r="C67" s="9" t="s">
        <v>521</v>
      </c>
      <c r="D67" s="9" t="s">
        <v>522</v>
      </c>
      <c r="E67" s="9" t="s">
        <v>523</v>
      </c>
      <c r="F67" s="16"/>
      <c r="G67" s="9"/>
      <c r="H67" s="16"/>
      <c r="I67" s="16"/>
      <c r="J67" s="9"/>
      <c r="K67" s="16"/>
      <c r="L67" s="9" t="s">
        <v>559</v>
      </c>
      <c r="M67" s="9"/>
      <c r="N67" s="16"/>
      <c r="O67" s="14"/>
      <c r="P67" s="25"/>
      <c r="Q67" s="9"/>
      <c r="R67" s="11"/>
      <c r="S67" s="11"/>
      <c r="T67" s="14"/>
      <c r="U67" s="14"/>
      <c r="V67" s="9"/>
      <c r="W67" s="21" t="str">
        <f>IF(COUNTA(N67:U67)=0,"",IF(N67="","E_MISSING_INPUT",IF(N67="TIMESTAMP",IF(OR(O67="",P67="",Q67=""),"E_MISSING_INPUT",IF(OR(NOT(ISNUMBER(O67)),NOT(ISNUMBER(P67))),"E_INVALID_DATE",IF(OR(O67&lt;&gt;INT(O67),P67&lt;0,P67&gt;=1),"E_INVALID_DATE",IF(ISNA(MATCH(Q67,nLIST_Offset,0)),"E_INVALID_DATE","")))),IF(N67="DATE",IF(O67="","E_MISSING_INPUT",IF(NOT(ISNUMBER(O67)),"E_INVALID_DATE",IF(O67&lt;&gt;INT(O67),"E_INVALID_DATE",""))),IF(N67="MONTH",IF(OR(R67="",S67=""),"E_MISSING_INPUT",IF(OR(NOT(ISNUMBER(R67)),NOT(ISNUMBER(S67))),"E_INVALID_DATE",IF(OR(R67&lt;1900,R67&gt;9999,R67&lt;&gt;INT(R67),S67&lt;1,S67&gt;12,S67&lt;&gt;INT(S67)),"E_INVALID_DATE",""))),IF(N67="YEAR",IF(R67="","E_MISSING_INPUT",IF(NOT(ISNUMBER(R67)),"E_INVALID_DATE",IF(OR(R67&lt;1900,R67&gt;9999,R67&lt;&gt;INT(R67)),"E_INVALID_DATE",""))),IF(N67="RANGE",IF(OR(T67="",U67=""),"E_MISSING_INPUT",IF(OR(NOT(ISNUMBER(T67)),NOT(ISNUMBER(U67))),"E_INVALID_DATE",IF(OR(T67&lt;&gt;INT(T67),U67&lt;&gt;INT(U67)),"E_INVALID_DATE",IF(T67&gt;U67,"E_REVERSED_BOUNDS","")))),"E_MISSING_INPUT")))))))</f>
        <v/>
      </c>
      <c r="X67" s="22">
        <f t="shared" si="40"/>
        <v>0</v>
      </c>
      <c r="Y67" s="22">
        <f t="shared" si="41"/>
        <v>0</v>
      </c>
      <c r="Z67" s="28" t="str">
        <f t="shared" si="42"/>
        <v/>
      </c>
      <c r="AA67" s="28" t="str">
        <f t="shared" si="43"/>
        <v/>
      </c>
      <c r="AB67" s="22" t="str">
        <f t="shared" si="44"/>
        <v/>
      </c>
      <c r="AC67" s="22" t="str">
        <f t="shared" si="45"/>
        <v/>
      </c>
      <c r="AD67" s="9"/>
      <c r="AE67" s="16"/>
      <c r="AF67" s="14"/>
      <c r="AG67" s="25"/>
      <c r="AH67" s="9"/>
      <c r="AI67" s="11"/>
      <c r="AJ67" s="11"/>
      <c r="AK67" s="14"/>
      <c r="AL67" s="14"/>
      <c r="AM67" s="9"/>
      <c r="AN67" s="21" t="str">
        <f>IF(COUNTA(AE67:AL67)=0,"",IF(AE67="","E_MISSING_INPUT",IF(AE67="TIMESTAMP",IF(OR(AF67="",AG67="",AH67=""),"E_MISSING_INPUT",IF(OR(NOT(ISNUMBER(AF67)),NOT(ISNUMBER(AG67))),"E_INVALID_DATE",IF(OR(AF67&lt;&gt;INT(AF67),AG67&lt;0,AG67&gt;=1),"E_INVALID_DATE",IF(ISNA(MATCH(AH67,nLIST_Offset,0)),"E_INVALID_DATE","")))),IF(AE67="DATE",IF(AF67="","E_MISSING_INPUT",IF(NOT(ISNUMBER(AF67)),"E_INVALID_DATE",IF(AF67&lt;&gt;INT(AF67),"E_INVALID_DATE",""))),IF(AE67="MONTH",IF(OR(AI67="",AJ67=""),"E_MISSING_INPUT",IF(OR(NOT(ISNUMBER(AI67)),NOT(ISNUMBER(AJ67))),"E_INVALID_DATE",IF(OR(AI67&lt;1900,AI67&gt;9999,AI67&lt;&gt;INT(AI67),AJ67&lt;1,AJ67&gt;12,AJ67&lt;&gt;INT(AJ67)),"E_INVALID_DATE",""))),IF(AE67="YEAR",IF(AI67="","E_MISSING_INPUT",IF(NOT(ISNUMBER(AI67)),"E_INVALID_DATE",IF(OR(AI67&lt;1900,AI67&gt;9999,AI67&lt;&gt;INT(AI67)),"E_INVALID_DATE",""))),IF(AE67="RANGE",IF(OR(AK67="",AL67=""),"E_MISSING_INPUT",IF(OR(NOT(ISNUMBER(AK67)),NOT(ISNUMBER(AL67))),"E_INVALID_DATE",IF(OR(AK67&lt;&gt;INT(AK67),AL67&lt;&gt;INT(AL67)),"E_INVALID_DATE",IF(AK67&gt;AL67,"E_REVERSED_BOUNDS","")))),"E_MISSING_INPUT")))))))</f>
        <v/>
      </c>
      <c r="AO67" s="22">
        <f t="shared" si="46"/>
        <v>0</v>
      </c>
      <c r="AP67" s="22">
        <f t="shared" si="47"/>
        <v>0</v>
      </c>
      <c r="AQ67" s="28" t="str">
        <f t="shared" si="48"/>
        <v/>
      </c>
      <c r="AR67" s="28" t="str">
        <f t="shared" si="49"/>
        <v/>
      </c>
      <c r="AS67" s="22" t="str">
        <f t="shared" si="50"/>
        <v/>
      </c>
      <c r="AT67" s="22" t="str">
        <f t="shared" si="51"/>
        <v/>
      </c>
      <c r="AU67" s="9"/>
      <c r="AV67" s="16"/>
      <c r="AW67" s="14"/>
      <c r="AX67" s="25"/>
      <c r="AY67" s="9"/>
      <c r="AZ67" s="11"/>
      <c r="BA67" s="11"/>
      <c r="BB67" s="14"/>
      <c r="BC67" s="14"/>
      <c r="BD67" s="9"/>
      <c r="BE67" s="21" t="str">
        <f>IF(COUNTA(AV67:BC67)=0,"",IF(AV67="","E_MISSING_INPUT",IF(AV67="TIMESTAMP",IF(OR(AW67="",AX67="",AY67=""),"E_MISSING_INPUT",IF(OR(NOT(ISNUMBER(AW67)),NOT(ISNUMBER(AX67))),"E_INVALID_DATE",IF(OR(AW67&lt;&gt;INT(AW67),AX67&lt;0,AX67&gt;=1),"E_INVALID_DATE",IF(ISNA(MATCH(AY67,nLIST_Offset,0)),"E_INVALID_DATE","")))),IF(AV67="DATE",IF(AW67="","E_MISSING_INPUT",IF(NOT(ISNUMBER(AW67)),"E_INVALID_DATE",IF(AW67&lt;&gt;INT(AW67),"E_INVALID_DATE",""))),IF(AV67="MONTH",IF(OR(AZ67="",BA67=""),"E_MISSING_INPUT",IF(OR(NOT(ISNUMBER(AZ67)),NOT(ISNUMBER(BA67))),"E_INVALID_DATE",IF(OR(AZ67&lt;1900,AZ67&gt;9999,AZ67&lt;&gt;INT(AZ67),BA67&lt;1,BA67&gt;12,BA67&lt;&gt;INT(BA67)),"E_INVALID_DATE",""))),IF(AV67="YEAR",IF(AZ67="","E_MISSING_INPUT",IF(NOT(ISNUMBER(AZ67)),"E_INVALID_DATE",IF(OR(AZ67&lt;1900,AZ67&gt;9999,AZ67&lt;&gt;INT(AZ67)),"E_INVALID_DATE",""))),IF(AV67="RANGE",IF(OR(BB67="",BC67=""),"E_MISSING_INPUT",IF(OR(NOT(ISNUMBER(BB67)),NOT(ISNUMBER(BC67))),"E_INVALID_DATE",IF(OR(BB67&lt;&gt;INT(BB67),BC67&lt;&gt;INT(BC67)),"E_INVALID_DATE",IF(BB67&gt;BC67,"E_REVERSED_BOUNDS","")))),"E_MISSING_INPUT")))))))</f>
        <v/>
      </c>
      <c r="BF67" s="22">
        <f t="shared" si="52"/>
        <v>0</v>
      </c>
      <c r="BG67" s="22">
        <f t="shared" si="53"/>
        <v>0</v>
      </c>
      <c r="BH67" s="28" t="str">
        <f t="shared" si="54"/>
        <v/>
      </c>
      <c r="BI67" s="28" t="str">
        <f t="shared" si="55"/>
        <v/>
      </c>
      <c r="BJ67" s="22" t="str">
        <f t="shared" si="56"/>
        <v/>
      </c>
      <c r="BK67" s="22" t="str">
        <f t="shared" si="57"/>
        <v/>
      </c>
      <c r="BL67" s="21" t="str">
        <f t="shared" si="58"/>
        <v>VEC-V26|1|EX1</v>
      </c>
      <c r="BM67" s="22">
        <f>IF(BL67="",0,COUNTIF(nEXP_Key,BL67))</f>
        <v>1</v>
      </c>
      <c r="BN67" s="21" t="str">
        <f t="shared" si="59"/>
        <v/>
      </c>
      <c r="BO67" s="21" t="str">
        <f>IF(BN67="","",BN67&amp;": "&amp;SUBSTITUTE(IFERROR(INDEX(nMSG_Text,MATCH(BN67,nMSG_Code,0)),""),"[input]",IF(D67="","an Exposure_Episode_ID","the date fields required by the selected precision")))</f>
        <v/>
      </c>
    </row>
    <row r="68" spans="1:67" x14ac:dyDescent="0.2">
      <c r="A68" s="9" t="s">
        <v>363</v>
      </c>
      <c r="B68" s="11">
        <v>1</v>
      </c>
      <c r="C68" s="9" t="s">
        <v>521</v>
      </c>
      <c r="D68" s="9" t="s">
        <v>522</v>
      </c>
      <c r="E68" s="9" t="s">
        <v>523</v>
      </c>
      <c r="F68" s="16"/>
      <c r="G68" s="9"/>
      <c r="H68" s="16"/>
      <c r="I68" s="16"/>
      <c r="J68" s="9"/>
      <c r="K68" s="16"/>
      <c r="L68" s="9"/>
      <c r="M68" s="9"/>
      <c r="N68" s="16"/>
      <c r="O68" s="14"/>
      <c r="P68" s="25"/>
      <c r="Q68" s="9"/>
      <c r="R68" s="11"/>
      <c r="S68" s="11"/>
      <c r="T68" s="14"/>
      <c r="U68" s="14"/>
      <c r="V68" s="9"/>
      <c r="W68" s="21" t="str">
        <f>IF(COUNTA(N68:U68)=0,"",IF(N68="","E_MISSING_INPUT",IF(N68="TIMESTAMP",IF(OR(O68="",P68="",Q68=""),"E_MISSING_INPUT",IF(OR(NOT(ISNUMBER(O68)),NOT(ISNUMBER(P68))),"E_INVALID_DATE",IF(OR(O68&lt;&gt;INT(O68),P68&lt;0,P68&gt;=1),"E_INVALID_DATE",IF(ISNA(MATCH(Q68,nLIST_Offset,0)),"E_INVALID_DATE","")))),IF(N68="DATE",IF(O68="","E_MISSING_INPUT",IF(NOT(ISNUMBER(O68)),"E_INVALID_DATE",IF(O68&lt;&gt;INT(O68),"E_INVALID_DATE",""))),IF(N68="MONTH",IF(OR(R68="",S68=""),"E_MISSING_INPUT",IF(OR(NOT(ISNUMBER(R68)),NOT(ISNUMBER(S68))),"E_INVALID_DATE",IF(OR(R68&lt;1900,R68&gt;9999,R68&lt;&gt;INT(R68),S68&lt;1,S68&gt;12,S68&lt;&gt;INT(S68)),"E_INVALID_DATE",""))),IF(N68="YEAR",IF(R68="","E_MISSING_INPUT",IF(NOT(ISNUMBER(R68)),"E_INVALID_DATE",IF(OR(R68&lt;1900,R68&gt;9999,R68&lt;&gt;INT(R68)),"E_INVALID_DATE",""))),IF(N68="RANGE",IF(OR(T68="",U68=""),"E_MISSING_INPUT",IF(OR(NOT(ISNUMBER(T68)),NOT(ISNUMBER(U68))),"E_INVALID_DATE",IF(OR(T68&lt;&gt;INT(T68),U68&lt;&gt;INT(U68)),"E_INVALID_DATE",IF(T68&gt;U68,"E_REVERSED_BOUNDS","")))),"E_MISSING_INPUT")))))))</f>
        <v/>
      </c>
      <c r="X68" s="22">
        <f t="shared" si="40"/>
        <v>0</v>
      </c>
      <c r="Y68" s="22">
        <f t="shared" si="41"/>
        <v>0</v>
      </c>
      <c r="Z68" s="28" t="str">
        <f t="shared" si="42"/>
        <v/>
      </c>
      <c r="AA68" s="28" t="str">
        <f t="shared" si="43"/>
        <v/>
      </c>
      <c r="AB68" s="22" t="str">
        <f t="shared" si="44"/>
        <v/>
      </c>
      <c r="AC68" s="22" t="str">
        <f t="shared" si="45"/>
        <v/>
      </c>
      <c r="AD68" s="9" t="s">
        <v>561</v>
      </c>
      <c r="AE68" s="16" t="s">
        <v>3</v>
      </c>
      <c r="AF68" s="14">
        <v>46032</v>
      </c>
      <c r="AG68" s="25">
        <v>0.38611111111111102</v>
      </c>
      <c r="AH68" s="9" t="s">
        <v>20</v>
      </c>
      <c r="AI68" s="11"/>
      <c r="AJ68" s="11"/>
      <c r="AK68" s="14"/>
      <c r="AL68" s="14"/>
      <c r="AM68" s="9" t="s">
        <v>560</v>
      </c>
      <c r="AN68" s="21" t="str">
        <f>IF(COUNTA(AE68:AL68)=0,"",IF(AE68="","E_MISSING_INPUT",IF(AE68="TIMESTAMP",IF(OR(AF68="",AG68="",AH68=""),"E_MISSING_INPUT",IF(OR(NOT(ISNUMBER(AF68)),NOT(ISNUMBER(AG68))),"E_INVALID_DATE",IF(OR(AF68&lt;&gt;INT(AF68),AG68&lt;0,AG68&gt;=1),"E_INVALID_DATE",IF(ISNA(MATCH(AH68,nLIST_Offset,0)),"E_INVALID_DATE","")))),IF(AE68="DATE",IF(AF68="","E_MISSING_INPUT",IF(NOT(ISNUMBER(AF68)),"E_INVALID_DATE",IF(AF68&lt;&gt;INT(AF68),"E_INVALID_DATE",""))),IF(AE68="MONTH",IF(OR(AI68="",AJ68=""),"E_MISSING_INPUT",IF(OR(NOT(ISNUMBER(AI68)),NOT(ISNUMBER(AJ68))),"E_INVALID_DATE",IF(OR(AI68&lt;1900,AI68&gt;9999,AI68&lt;&gt;INT(AI68),AJ68&lt;1,AJ68&gt;12,AJ68&lt;&gt;INT(AJ68)),"E_INVALID_DATE",""))),IF(AE68="YEAR",IF(AI68="","E_MISSING_INPUT",IF(NOT(ISNUMBER(AI68)),"E_INVALID_DATE",IF(OR(AI68&lt;1900,AI68&gt;9999,AI68&lt;&gt;INT(AI68)),"E_INVALID_DATE",""))),IF(AE68="RANGE",IF(OR(AK68="",AL68=""),"E_MISSING_INPUT",IF(OR(NOT(ISNUMBER(AK68)),NOT(ISNUMBER(AL68))),"E_INVALID_DATE",IF(OR(AK68&lt;&gt;INT(AK68),AL68&lt;&gt;INT(AL68)),"E_INVALID_DATE",IF(AK68&gt;AL68,"E_REVERSED_BOUNDS","")))),"E_MISSING_INPUT")))))))</f>
        <v/>
      </c>
      <c r="AO68" s="22">
        <f t="shared" si="46"/>
        <v>1</v>
      </c>
      <c r="AP68" s="22">
        <f t="shared" si="47"/>
        <v>1</v>
      </c>
      <c r="AQ68" s="28">
        <f t="shared" si="48"/>
        <v>46032</v>
      </c>
      <c r="AR68" s="28">
        <f t="shared" si="49"/>
        <v>46032</v>
      </c>
      <c r="AS68" s="22">
        <f t="shared" si="50"/>
        <v>66286636</v>
      </c>
      <c r="AT68" s="22">
        <f t="shared" si="51"/>
        <v>66286936</v>
      </c>
      <c r="AU68" s="9"/>
      <c r="AV68" s="16"/>
      <c r="AW68" s="14"/>
      <c r="AX68" s="25"/>
      <c r="AY68" s="9"/>
      <c r="AZ68" s="11"/>
      <c r="BA68" s="11"/>
      <c r="BB68" s="14"/>
      <c r="BC68" s="14"/>
      <c r="BD68" s="9"/>
      <c r="BE68" s="21" t="str">
        <f>IF(COUNTA(AV68:BC68)=0,"",IF(AV68="","E_MISSING_INPUT",IF(AV68="TIMESTAMP",IF(OR(AW68="",AX68="",AY68=""),"E_MISSING_INPUT",IF(OR(NOT(ISNUMBER(AW68)),NOT(ISNUMBER(AX68))),"E_INVALID_DATE",IF(OR(AW68&lt;&gt;INT(AW68),AX68&lt;0,AX68&gt;=1),"E_INVALID_DATE",IF(ISNA(MATCH(AY68,nLIST_Offset,0)),"E_INVALID_DATE","")))),IF(AV68="DATE",IF(AW68="","E_MISSING_INPUT",IF(NOT(ISNUMBER(AW68)),"E_INVALID_DATE",IF(AW68&lt;&gt;INT(AW68),"E_INVALID_DATE",""))),IF(AV68="MONTH",IF(OR(AZ68="",BA68=""),"E_MISSING_INPUT",IF(OR(NOT(ISNUMBER(AZ68)),NOT(ISNUMBER(BA68))),"E_INVALID_DATE",IF(OR(AZ68&lt;1900,AZ68&gt;9999,AZ68&lt;&gt;INT(AZ68),BA68&lt;1,BA68&gt;12,BA68&lt;&gt;INT(BA68)),"E_INVALID_DATE",""))),IF(AV68="YEAR",IF(AZ68="","E_MISSING_INPUT",IF(NOT(ISNUMBER(AZ68)),"E_INVALID_DATE",IF(OR(AZ68&lt;1900,AZ68&gt;9999,AZ68&lt;&gt;INT(AZ68)),"E_INVALID_DATE",""))),IF(AV68="RANGE",IF(OR(BB68="",BC68=""),"E_MISSING_INPUT",IF(OR(NOT(ISNUMBER(BB68)),NOT(ISNUMBER(BC68))),"E_INVALID_DATE",IF(OR(BB68&lt;&gt;INT(BB68),BC68&lt;&gt;INT(BC68)),"E_INVALID_DATE",IF(BB68&gt;BC68,"E_REVERSED_BOUNDS","")))),"E_MISSING_INPUT")))))))</f>
        <v/>
      </c>
      <c r="BF68" s="22">
        <f t="shared" si="52"/>
        <v>0</v>
      </c>
      <c r="BG68" s="22">
        <f t="shared" si="53"/>
        <v>0</v>
      </c>
      <c r="BH68" s="28" t="str">
        <f t="shared" si="54"/>
        <v/>
      </c>
      <c r="BI68" s="28" t="str">
        <f t="shared" si="55"/>
        <v/>
      </c>
      <c r="BJ68" s="22" t="str">
        <f t="shared" si="56"/>
        <v/>
      </c>
      <c r="BK68" s="22" t="str">
        <f t="shared" si="57"/>
        <v/>
      </c>
      <c r="BL68" s="21" t="str">
        <f t="shared" si="58"/>
        <v>VEC-V28|1|EX1</v>
      </c>
      <c r="BM68" s="22">
        <f>IF(BL68="",0,COUNTIF(nEXP_Key,BL68))</f>
        <v>1</v>
      </c>
      <c r="BN68" s="21" t="str">
        <f t="shared" si="59"/>
        <v/>
      </c>
      <c r="BO68" s="21" t="str">
        <f>IF(BN68="","",BN68&amp;": "&amp;SUBSTITUTE(IFERROR(INDEX(nMSG_Text,MATCH(BN68,nMSG_Code,0)),""),"[input]",IF(D68="","an Exposure_Episode_ID","the date fields required by the selected precision")))</f>
        <v/>
      </c>
    </row>
    <row r="69" spans="1:67" x14ac:dyDescent="0.2">
      <c r="A69" s="9" t="s">
        <v>365</v>
      </c>
      <c r="B69" s="11">
        <v>1</v>
      </c>
      <c r="C69" s="9" t="s">
        <v>521</v>
      </c>
      <c r="D69" s="9" t="s">
        <v>522</v>
      </c>
      <c r="E69" s="9" t="s">
        <v>523</v>
      </c>
      <c r="F69" s="16"/>
      <c r="G69" s="9"/>
      <c r="H69" s="16"/>
      <c r="I69" s="16"/>
      <c r="J69" s="9"/>
      <c r="K69" s="16"/>
      <c r="L69" s="9"/>
      <c r="M69" s="9"/>
      <c r="N69" s="16"/>
      <c r="O69" s="14"/>
      <c r="P69" s="25"/>
      <c r="Q69" s="9"/>
      <c r="R69" s="11"/>
      <c r="S69" s="11"/>
      <c r="T69" s="14"/>
      <c r="U69" s="14"/>
      <c r="V69" s="9"/>
      <c r="W69" s="21" t="str">
        <f>IF(COUNTA(N69:U69)=0,"",IF(N69="","E_MISSING_INPUT",IF(N69="TIMESTAMP",IF(OR(O69="",P69="",Q69=""),"E_MISSING_INPUT",IF(OR(NOT(ISNUMBER(O69)),NOT(ISNUMBER(P69))),"E_INVALID_DATE",IF(OR(O69&lt;&gt;INT(O69),P69&lt;0,P69&gt;=1),"E_INVALID_DATE",IF(ISNA(MATCH(Q69,nLIST_Offset,0)),"E_INVALID_DATE","")))),IF(N69="DATE",IF(O69="","E_MISSING_INPUT",IF(NOT(ISNUMBER(O69)),"E_INVALID_DATE",IF(O69&lt;&gt;INT(O69),"E_INVALID_DATE",""))),IF(N69="MONTH",IF(OR(R69="",S69=""),"E_MISSING_INPUT",IF(OR(NOT(ISNUMBER(R69)),NOT(ISNUMBER(S69))),"E_INVALID_DATE",IF(OR(R69&lt;1900,R69&gt;9999,R69&lt;&gt;INT(R69),S69&lt;1,S69&gt;12,S69&lt;&gt;INT(S69)),"E_INVALID_DATE",""))),IF(N69="YEAR",IF(R69="","E_MISSING_INPUT",IF(NOT(ISNUMBER(R69)),"E_INVALID_DATE",IF(OR(R69&lt;1900,R69&gt;9999,R69&lt;&gt;INT(R69)),"E_INVALID_DATE",""))),IF(N69="RANGE",IF(OR(T69="",U69=""),"E_MISSING_INPUT",IF(OR(NOT(ISNUMBER(T69)),NOT(ISNUMBER(U69))),"E_INVALID_DATE",IF(OR(T69&lt;&gt;INT(T69),U69&lt;&gt;INT(U69)),"E_INVALID_DATE",IF(T69&gt;U69,"E_REVERSED_BOUNDS","")))),"E_MISSING_INPUT")))))))</f>
        <v/>
      </c>
      <c r="X69" s="22">
        <f t="shared" si="40"/>
        <v>0</v>
      </c>
      <c r="Y69" s="22">
        <f t="shared" si="41"/>
        <v>0</v>
      </c>
      <c r="Z69" s="28" t="str">
        <f t="shared" si="42"/>
        <v/>
      </c>
      <c r="AA69" s="28" t="str">
        <f t="shared" si="43"/>
        <v/>
      </c>
      <c r="AB69" s="22" t="str">
        <f t="shared" si="44"/>
        <v/>
      </c>
      <c r="AC69" s="22" t="str">
        <f t="shared" si="45"/>
        <v/>
      </c>
      <c r="AD69" s="9" t="s">
        <v>562</v>
      </c>
      <c r="AE69" s="16" t="s">
        <v>4</v>
      </c>
      <c r="AF69" s="14">
        <v>46208</v>
      </c>
      <c r="AG69" s="25"/>
      <c r="AH69" s="9"/>
      <c r="AI69" s="11"/>
      <c r="AJ69" s="11"/>
      <c r="AK69" s="14"/>
      <c r="AL69" s="14"/>
      <c r="AM69" s="9" t="s">
        <v>563</v>
      </c>
      <c r="AN69" s="21" t="str">
        <f>IF(COUNTA(AE69:AL69)=0,"",IF(AE69="","E_MISSING_INPUT",IF(AE69="TIMESTAMP",IF(OR(AF69="",AG69="",AH69=""),"E_MISSING_INPUT",IF(OR(NOT(ISNUMBER(AF69)),NOT(ISNUMBER(AG69))),"E_INVALID_DATE",IF(OR(AF69&lt;&gt;INT(AF69),AG69&lt;0,AG69&gt;=1),"E_INVALID_DATE",IF(ISNA(MATCH(AH69,nLIST_Offset,0)),"E_INVALID_DATE","")))),IF(AE69="DATE",IF(AF69="","E_MISSING_INPUT",IF(NOT(ISNUMBER(AF69)),"E_INVALID_DATE",IF(AF69&lt;&gt;INT(AF69),"E_INVALID_DATE",""))),IF(AE69="MONTH",IF(OR(AI69="",AJ69=""),"E_MISSING_INPUT",IF(OR(NOT(ISNUMBER(AI69)),NOT(ISNUMBER(AJ69))),"E_INVALID_DATE",IF(OR(AI69&lt;1900,AI69&gt;9999,AI69&lt;&gt;INT(AI69),AJ69&lt;1,AJ69&gt;12,AJ69&lt;&gt;INT(AJ69)),"E_INVALID_DATE",""))),IF(AE69="YEAR",IF(AI69="","E_MISSING_INPUT",IF(NOT(ISNUMBER(AI69)),"E_INVALID_DATE",IF(OR(AI69&lt;1900,AI69&gt;9999,AI69&lt;&gt;INT(AI69)),"E_INVALID_DATE",""))),IF(AE69="RANGE",IF(OR(AK69="",AL69=""),"E_MISSING_INPUT",IF(OR(NOT(ISNUMBER(AK69)),NOT(ISNUMBER(AL69))),"E_INVALID_DATE",IF(OR(AK69&lt;&gt;INT(AK69),AL69&lt;&gt;INT(AL69)),"E_INVALID_DATE",IF(AK69&gt;AL69,"E_REVERSED_BOUNDS","")))),"E_MISSING_INPUT")))))))</f>
        <v/>
      </c>
      <c r="AO69" s="22">
        <f t="shared" si="46"/>
        <v>0</v>
      </c>
      <c r="AP69" s="22">
        <f t="shared" si="47"/>
        <v>0</v>
      </c>
      <c r="AQ69" s="28">
        <f t="shared" si="48"/>
        <v>46208</v>
      </c>
      <c r="AR69" s="28">
        <f t="shared" si="49"/>
        <v>46208</v>
      </c>
      <c r="AS69" s="22" t="str">
        <f t="shared" si="50"/>
        <v/>
      </c>
      <c r="AT69" s="22" t="str">
        <f t="shared" si="51"/>
        <v/>
      </c>
      <c r="AU69" s="9"/>
      <c r="AV69" s="16"/>
      <c r="AW69" s="14"/>
      <c r="AX69" s="25"/>
      <c r="AY69" s="9"/>
      <c r="AZ69" s="11"/>
      <c r="BA69" s="11"/>
      <c r="BB69" s="14"/>
      <c r="BC69" s="14"/>
      <c r="BD69" s="9"/>
      <c r="BE69" s="21" t="str">
        <f>IF(COUNTA(AV69:BC69)=0,"",IF(AV69="","E_MISSING_INPUT",IF(AV69="TIMESTAMP",IF(OR(AW69="",AX69="",AY69=""),"E_MISSING_INPUT",IF(OR(NOT(ISNUMBER(AW69)),NOT(ISNUMBER(AX69))),"E_INVALID_DATE",IF(OR(AW69&lt;&gt;INT(AW69),AX69&lt;0,AX69&gt;=1),"E_INVALID_DATE",IF(ISNA(MATCH(AY69,nLIST_Offset,0)),"E_INVALID_DATE","")))),IF(AV69="DATE",IF(AW69="","E_MISSING_INPUT",IF(NOT(ISNUMBER(AW69)),"E_INVALID_DATE",IF(AW69&lt;&gt;INT(AW69),"E_INVALID_DATE",""))),IF(AV69="MONTH",IF(OR(AZ69="",BA69=""),"E_MISSING_INPUT",IF(OR(NOT(ISNUMBER(AZ69)),NOT(ISNUMBER(BA69))),"E_INVALID_DATE",IF(OR(AZ69&lt;1900,AZ69&gt;9999,AZ69&lt;&gt;INT(AZ69),BA69&lt;1,BA69&gt;12,BA69&lt;&gt;INT(BA69)),"E_INVALID_DATE",""))),IF(AV69="YEAR",IF(AZ69="","E_MISSING_INPUT",IF(NOT(ISNUMBER(AZ69)),"E_INVALID_DATE",IF(OR(AZ69&lt;1900,AZ69&gt;9999,AZ69&lt;&gt;INT(AZ69)),"E_INVALID_DATE",""))),IF(AV69="RANGE",IF(OR(BB69="",BC69=""),"E_MISSING_INPUT",IF(OR(NOT(ISNUMBER(BB69)),NOT(ISNUMBER(BC69))),"E_INVALID_DATE",IF(OR(BB69&lt;&gt;INT(BB69),BC69&lt;&gt;INT(BC69)),"E_INVALID_DATE",IF(BB69&gt;BC69,"E_REVERSED_BOUNDS","")))),"E_MISSING_INPUT")))))))</f>
        <v/>
      </c>
      <c r="BF69" s="22">
        <f t="shared" si="52"/>
        <v>0</v>
      </c>
      <c r="BG69" s="22">
        <f t="shared" si="53"/>
        <v>0</v>
      </c>
      <c r="BH69" s="28" t="str">
        <f t="shared" si="54"/>
        <v/>
      </c>
      <c r="BI69" s="28" t="str">
        <f t="shared" si="55"/>
        <v/>
      </c>
      <c r="BJ69" s="22" t="str">
        <f t="shared" si="56"/>
        <v/>
      </c>
      <c r="BK69" s="22" t="str">
        <f t="shared" si="57"/>
        <v/>
      </c>
      <c r="BL69" s="21" t="str">
        <f t="shared" si="58"/>
        <v>VEC-V29|1|EX1</v>
      </c>
      <c r="BM69" s="22">
        <f>IF(BL69="",0,COUNTIF(nEXP_Key,BL69))</f>
        <v>1</v>
      </c>
      <c r="BN69" s="21" t="str">
        <f t="shared" si="59"/>
        <v/>
      </c>
      <c r="BO69" s="21" t="str">
        <f>IF(BN69="","",BN69&amp;": "&amp;SUBSTITUTE(IFERROR(INDEX(nMSG_Text,MATCH(BN69,nMSG_Code,0)),""),"[input]",IF(D69="","an Exposure_Episode_ID","the date fields required by the selected precision")))</f>
        <v/>
      </c>
    </row>
    <row r="70" spans="1:67" x14ac:dyDescent="0.2">
      <c r="A70" s="9" t="s">
        <v>367</v>
      </c>
      <c r="B70" s="11">
        <v>1</v>
      </c>
      <c r="C70" s="9" t="s">
        <v>521</v>
      </c>
      <c r="D70" s="9" t="s">
        <v>522</v>
      </c>
      <c r="E70" s="9" t="s">
        <v>523</v>
      </c>
      <c r="F70" s="16"/>
      <c r="G70" s="9"/>
      <c r="H70" s="16"/>
      <c r="I70" s="16"/>
      <c r="J70" s="9"/>
      <c r="K70" s="16"/>
      <c r="L70" s="9"/>
      <c r="M70" s="9"/>
      <c r="N70" s="16"/>
      <c r="O70" s="14"/>
      <c r="P70" s="25"/>
      <c r="Q70" s="9"/>
      <c r="R70" s="11"/>
      <c r="S70" s="11"/>
      <c r="T70" s="14"/>
      <c r="U70" s="14"/>
      <c r="V70" s="9"/>
      <c r="W70" s="21" t="str">
        <f>IF(COUNTA(N70:U70)=0,"",IF(N70="","E_MISSING_INPUT",IF(N70="TIMESTAMP",IF(OR(O70="",P70="",Q70=""),"E_MISSING_INPUT",IF(OR(NOT(ISNUMBER(O70)),NOT(ISNUMBER(P70))),"E_INVALID_DATE",IF(OR(O70&lt;&gt;INT(O70),P70&lt;0,P70&gt;=1),"E_INVALID_DATE",IF(ISNA(MATCH(Q70,nLIST_Offset,0)),"E_INVALID_DATE","")))),IF(N70="DATE",IF(O70="","E_MISSING_INPUT",IF(NOT(ISNUMBER(O70)),"E_INVALID_DATE",IF(O70&lt;&gt;INT(O70),"E_INVALID_DATE",""))),IF(N70="MONTH",IF(OR(R70="",S70=""),"E_MISSING_INPUT",IF(OR(NOT(ISNUMBER(R70)),NOT(ISNUMBER(S70))),"E_INVALID_DATE",IF(OR(R70&lt;1900,R70&gt;9999,R70&lt;&gt;INT(R70),S70&lt;1,S70&gt;12,S70&lt;&gt;INT(S70)),"E_INVALID_DATE",""))),IF(N70="YEAR",IF(R70="","E_MISSING_INPUT",IF(NOT(ISNUMBER(R70)),"E_INVALID_DATE",IF(OR(R70&lt;1900,R70&gt;9999,R70&lt;&gt;INT(R70)),"E_INVALID_DATE",""))),IF(N70="RANGE",IF(OR(T70="",U70=""),"E_MISSING_INPUT",IF(OR(NOT(ISNUMBER(T70)),NOT(ISNUMBER(U70))),"E_INVALID_DATE",IF(OR(T70&lt;&gt;INT(T70),U70&lt;&gt;INT(U70)),"E_INVALID_DATE",IF(T70&gt;U70,"E_REVERSED_BOUNDS","")))),"E_MISSING_INPUT")))))))</f>
        <v/>
      </c>
      <c r="X70" s="22">
        <f t="shared" si="40"/>
        <v>0</v>
      </c>
      <c r="Y70" s="22">
        <f t="shared" si="41"/>
        <v>0</v>
      </c>
      <c r="Z70" s="28" t="str">
        <f t="shared" si="42"/>
        <v/>
      </c>
      <c r="AA70" s="28" t="str">
        <f t="shared" si="43"/>
        <v/>
      </c>
      <c r="AB70" s="22" t="str">
        <f t="shared" si="44"/>
        <v/>
      </c>
      <c r="AC70" s="22" t="str">
        <f t="shared" si="45"/>
        <v/>
      </c>
      <c r="AD70" s="9" t="s">
        <v>562</v>
      </c>
      <c r="AE70" s="16" t="s">
        <v>4</v>
      </c>
      <c r="AF70" s="14">
        <v>46208</v>
      </c>
      <c r="AG70" s="25"/>
      <c r="AH70" s="9"/>
      <c r="AI70" s="11"/>
      <c r="AJ70" s="11"/>
      <c r="AK70" s="14"/>
      <c r="AL70" s="14"/>
      <c r="AM70" s="9" t="s">
        <v>564</v>
      </c>
      <c r="AN70" s="21" t="str">
        <f>IF(COUNTA(AE70:AL70)=0,"",IF(AE70="","E_MISSING_INPUT",IF(AE70="TIMESTAMP",IF(OR(AF70="",AG70="",AH70=""),"E_MISSING_INPUT",IF(OR(NOT(ISNUMBER(AF70)),NOT(ISNUMBER(AG70))),"E_INVALID_DATE",IF(OR(AF70&lt;&gt;INT(AF70),AG70&lt;0,AG70&gt;=1),"E_INVALID_DATE",IF(ISNA(MATCH(AH70,nLIST_Offset,0)),"E_INVALID_DATE","")))),IF(AE70="DATE",IF(AF70="","E_MISSING_INPUT",IF(NOT(ISNUMBER(AF70)),"E_INVALID_DATE",IF(AF70&lt;&gt;INT(AF70),"E_INVALID_DATE",""))),IF(AE70="MONTH",IF(OR(AI70="",AJ70=""),"E_MISSING_INPUT",IF(OR(NOT(ISNUMBER(AI70)),NOT(ISNUMBER(AJ70))),"E_INVALID_DATE",IF(OR(AI70&lt;1900,AI70&gt;9999,AI70&lt;&gt;INT(AI70),AJ70&lt;1,AJ70&gt;12,AJ70&lt;&gt;INT(AJ70)),"E_INVALID_DATE",""))),IF(AE70="YEAR",IF(AI70="","E_MISSING_INPUT",IF(NOT(ISNUMBER(AI70)),"E_INVALID_DATE",IF(OR(AI70&lt;1900,AI70&gt;9999,AI70&lt;&gt;INT(AI70)),"E_INVALID_DATE",""))),IF(AE70="RANGE",IF(OR(AK70="",AL70=""),"E_MISSING_INPUT",IF(OR(NOT(ISNUMBER(AK70)),NOT(ISNUMBER(AL70))),"E_INVALID_DATE",IF(OR(AK70&lt;&gt;INT(AK70),AL70&lt;&gt;INT(AL70)),"E_INVALID_DATE",IF(AK70&gt;AL70,"E_REVERSED_BOUNDS","")))),"E_MISSING_INPUT")))))))</f>
        <v/>
      </c>
      <c r="AO70" s="22">
        <f t="shared" si="46"/>
        <v>0</v>
      </c>
      <c r="AP70" s="22">
        <f t="shared" si="47"/>
        <v>0</v>
      </c>
      <c r="AQ70" s="28">
        <f t="shared" si="48"/>
        <v>46208</v>
      </c>
      <c r="AR70" s="28">
        <f t="shared" si="49"/>
        <v>46208</v>
      </c>
      <c r="AS70" s="22" t="str">
        <f t="shared" si="50"/>
        <v/>
      </c>
      <c r="AT70" s="22" t="str">
        <f t="shared" si="51"/>
        <v/>
      </c>
      <c r="AU70" s="9"/>
      <c r="AV70" s="16"/>
      <c r="AW70" s="14"/>
      <c r="AX70" s="25"/>
      <c r="AY70" s="9"/>
      <c r="AZ70" s="11"/>
      <c r="BA70" s="11"/>
      <c r="BB70" s="14"/>
      <c r="BC70" s="14"/>
      <c r="BD70" s="9"/>
      <c r="BE70" s="21" t="str">
        <f>IF(COUNTA(AV70:BC70)=0,"",IF(AV70="","E_MISSING_INPUT",IF(AV70="TIMESTAMP",IF(OR(AW70="",AX70="",AY70=""),"E_MISSING_INPUT",IF(OR(NOT(ISNUMBER(AW70)),NOT(ISNUMBER(AX70))),"E_INVALID_DATE",IF(OR(AW70&lt;&gt;INT(AW70),AX70&lt;0,AX70&gt;=1),"E_INVALID_DATE",IF(ISNA(MATCH(AY70,nLIST_Offset,0)),"E_INVALID_DATE","")))),IF(AV70="DATE",IF(AW70="","E_MISSING_INPUT",IF(NOT(ISNUMBER(AW70)),"E_INVALID_DATE",IF(AW70&lt;&gt;INT(AW70),"E_INVALID_DATE",""))),IF(AV70="MONTH",IF(OR(AZ70="",BA70=""),"E_MISSING_INPUT",IF(OR(NOT(ISNUMBER(AZ70)),NOT(ISNUMBER(BA70))),"E_INVALID_DATE",IF(OR(AZ70&lt;1900,AZ70&gt;9999,AZ70&lt;&gt;INT(AZ70),BA70&lt;1,BA70&gt;12,BA70&lt;&gt;INT(BA70)),"E_INVALID_DATE",""))),IF(AV70="YEAR",IF(AZ70="","E_MISSING_INPUT",IF(NOT(ISNUMBER(AZ70)),"E_INVALID_DATE",IF(OR(AZ70&lt;1900,AZ70&gt;9999,AZ70&lt;&gt;INT(AZ70)),"E_INVALID_DATE",""))),IF(AV70="RANGE",IF(OR(BB70="",BC70=""),"E_MISSING_INPUT",IF(OR(NOT(ISNUMBER(BB70)),NOT(ISNUMBER(BC70))),"E_INVALID_DATE",IF(OR(BB70&lt;&gt;INT(BB70),BC70&lt;&gt;INT(BC70)),"E_INVALID_DATE",IF(BB70&gt;BC70,"E_REVERSED_BOUNDS","")))),"E_MISSING_INPUT")))))))</f>
        <v/>
      </c>
      <c r="BF70" s="22">
        <f t="shared" si="52"/>
        <v>0</v>
      </c>
      <c r="BG70" s="22">
        <f t="shared" si="53"/>
        <v>0</v>
      </c>
      <c r="BH70" s="28" t="str">
        <f t="shared" si="54"/>
        <v/>
      </c>
      <c r="BI70" s="28" t="str">
        <f t="shared" si="55"/>
        <v/>
      </c>
      <c r="BJ70" s="22" t="str">
        <f t="shared" si="56"/>
        <v/>
      </c>
      <c r="BK70" s="22" t="str">
        <f t="shared" si="57"/>
        <v/>
      </c>
      <c r="BL70" s="21" t="str">
        <f t="shared" si="58"/>
        <v>VEC-V30|1|EX1</v>
      </c>
      <c r="BM70" s="22">
        <f>IF(BL70="",0,COUNTIF(nEXP_Key,BL70))</f>
        <v>1</v>
      </c>
      <c r="BN70" s="21" t="str">
        <f t="shared" si="59"/>
        <v/>
      </c>
      <c r="BO70" s="21" t="str">
        <f>IF(BN70="","",BN70&amp;": "&amp;SUBSTITUTE(IFERROR(INDEX(nMSG_Text,MATCH(BN70,nMSG_Code,0)),""),"[input]",IF(D70="","an Exposure_Episode_ID","the date fields required by the selected precision")))</f>
        <v/>
      </c>
    </row>
    <row r="71" spans="1:67" x14ac:dyDescent="0.2">
      <c r="A71" s="9" t="s">
        <v>367</v>
      </c>
      <c r="B71" s="11">
        <v>1</v>
      </c>
      <c r="C71" s="9" t="s">
        <v>565</v>
      </c>
      <c r="D71" s="9" t="s">
        <v>567</v>
      </c>
      <c r="E71" s="9" t="s">
        <v>568</v>
      </c>
      <c r="F71" s="16" t="s">
        <v>118</v>
      </c>
      <c r="G71" s="9"/>
      <c r="H71" s="16"/>
      <c r="I71" s="16"/>
      <c r="J71" s="9"/>
      <c r="K71" s="16"/>
      <c r="L71" s="9" t="s">
        <v>566</v>
      </c>
      <c r="M71" s="9" t="s">
        <v>569</v>
      </c>
      <c r="N71" s="16" t="s">
        <v>4</v>
      </c>
      <c r="O71" s="14">
        <v>46209</v>
      </c>
      <c r="P71" s="25"/>
      <c r="Q71" s="9"/>
      <c r="R71" s="11"/>
      <c r="S71" s="11"/>
      <c r="T71" s="14"/>
      <c r="U71" s="14"/>
      <c r="V71" s="9" t="s">
        <v>564</v>
      </c>
      <c r="W71" s="21" t="str">
        <f>IF(COUNTA(N71:U71)=0,"",IF(N71="","E_MISSING_INPUT",IF(N71="TIMESTAMP",IF(OR(O71="",P71="",Q71=""),"E_MISSING_INPUT",IF(OR(NOT(ISNUMBER(O71)),NOT(ISNUMBER(P71))),"E_INVALID_DATE",IF(OR(O71&lt;&gt;INT(O71),P71&lt;0,P71&gt;=1),"E_INVALID_DATE",IF(ISNA(MATCH(Q71,nLIST_Offset,0)),"E_INVALID_DATE","")))),IF(N71="DATE",IF(O71="","E_MISSING_INPUT",IF(NOT(ISNUMBER(O71)),"E_INVALID_DATE",IF(O71&lt;&gt;INT(O71),"E_INVALID_DATE",""))),IF(N71="MONTH",IF(OR(R71="",S71=""),"E_MISSING_INPUT",IF(OR(NOT(ISNUMBER(R71)),NOT(ISNUMBER(S71))),"E_INVALID_DATE",IF(OR(R71&lt;1900,R71&gt;9999,R71&lt;&gt;INT(R71),S71&lt;1,S71&gt;12,S71&lt;&gt;INT(S71)),"E_INVALID_DATE",""))),IF(N71="YEAR",IF(R71="","E_MISSING_INPUT",IF(NOT(ISNUMBER(R71)),"E_INVALID_DATE",IF(OR(R71&lt;1900,R71&gt;9999,R71&lt;&gt;INT(R71)),"E_INVALID_DATE",""))),IF(N71="RANGE",IF(OR(T71="",U71=""),"E_MISSING_INPUT",IF(OR(NOT(ISNUMBER(T71)),NOT(ISNUMBER(U71))),"E_INVALID_DATE",IF(OR(T71&lt;&gt;INT(T71),U71&lt;&gt;INT(U71)),"E_INVALID_DATE",IF(T71&gt;U71,"E_REVERSED_BOUNDS","")))),"E_MISSING_INPUT")))))))</f>
        <v/>
      </c>
      <c r="X71" s="22">
        <f t="shared" si="40"/>
        <v>0</v>
      </c>
      <c r="Y71" s="22">
        <f t="shared" si="41"/>
        <v>0</v>
      </c>
      <c r="Z71" s="28">
        <f t="shared" si="42"/>
        <v>46209</v>
      </c>
      <c r="AA71" s="28">
        <f t="shared" si="43"/>
        <v>46209</v>
      </c>
      <c r="AB71" s="22" t="str">
        <f t="shared" si="44"/>
        <v/>
      </c>
      <c r="AC71" s="22" t="str">
        <f t="shared" si="45"/>
        <v/>
      </c>
      <c r="AD71" s="9"/>
      <c r="AE71" s="16"/>
      <c r="AF71" s="14"/>
      <c r="AG71" s="25"/>
      <c r="AH71" s="9"/>
      <c r="AI71" s="11"/>
      <c r="AJ71" s="11"/>
      <c r="AK71" s="14"/>
      <c r="AL71" s="14"/>
      <c r="AM71" s="9"/>
      <c r="AN71" s="21" t="str">
        <f>IF(COUNTA(AE71:AL71)=0,"",IF(AE71="","E_MISSING_INPUT",IF(AE71="TIMESTAMP",IF(OR(AF71="",AG71="",AH71=""),"E_MISSING_INPUT",IF(OR(NOT(ISNUMBER(AF71)),NOT(ISNUMBER(AG71))),"E_INVALID_DATE",IF(OR(AF71&lt;&gt;INT(AF71),AG71&lt;0,AG71&gt;=1),"E_INVALID_DATE",IF(ISNA(MATCH(AH71,nLIST_Offset,0)),"E_INVALID_DATE","")))),IF(AE71="DATE",IF(AF71="","E_MISSING_INPUT",IF(NOT(ISNUMBER(AF71)),"E_INVALID_DATE",IF(AF71&lt;&gt;INT(AF71),"E_INVALID_DATE",""))),IF(AE71="MONTH",IF(OR(AI71="",AJ71=""),"E_MISSING_INPUT",IF(OR(NOT(ISNUMBER(AI71)),NOT(ISNUMBER(AJ71))),"E_INVALID_DATE",IF(OR(AI71&lt;1900,AI71&gt;9999,AI71&lt;&gt;INT(AI71),AJ71&lt;1,AJ71&gt;12,AJ71&lt;&gt;INT(AJ71)),"E_INVALID_DATE",""))),IF(AE71="YEAR",IF(AI71="","E_MISSING_INPUT",IF(NOT(ISNUMBER(AI71)),"E_INVALID_DATE",IF(OR(AI71&lt;1900,AI71&gt;9999,AI71&lt;&gt;INT(AI71)),"E_INVALID_DATE",""))),IF(AE71="RANGE",IF(OR(AK71="",AL71=""),"E_MISSING_INPUT",IF(OR(NOT(ISNUMBER(AK71)),NOT(ISNUMBER(AL71))),"E_INVALID_DATE",IF(OR(AK71&lt;&gt;INT(AK71),AL71&lt;&gt;INT(AL71)),"E_INVALID_DATE",IF(AK71&gt;AL71,"E_REVERSED_BOUNDS","")))),"E_MISSING_INPUT")))))))</f>
        <v/>
      </c>
      <c r="AO71" s="22">
        <f t="shared" si="46"/>
        <v>0</v>
      </c>
      <c r="AP71" s="22">
        <f t="shared" si="47"/>
        <v>0</v>
      </c>
      <c r="AQ71" s="28" t="str">
        <f t="shared" si="48"/>
        <v/>
      </c>
      <c r="AR71" s="28" t="str">
        <f t="shared" si="49"/>
        <v/>
      </c>
      <c r="AS71" s="22" t="str">
        <f t="shared" si="50"/>
        <v/>
      </c>
      <c r="AT71" s="22" t="str">
        <f t="shared" si="51"/>
        <v/>
      </c>
      <c r="AU71" s="9"/>
      <c r="AV71" s="16"/>
      <c r="AW71" s="14"/>
      <c r="AX71" s="25"/>
      <c r="AY71" s="9"/>
      <c r="AZ71" s="11"/>
      <c r="BA71" s="11"/>
      <c r="BB71" s="14"/>
      <c r="BC71" s="14"/>
      <c r="BD71" s="9"/>
      <c r="BE71" s="21" t="str">
        <f>IF(COUNTA(AV71:BC71)=0,"",IF(AV71="","E_MISSING_INPUT",IF(AV71="TIMESTAMP",IF(OR(AW71="",AX71="",AY71=""),"E_MISSING_INPUT",IF(OR(NOT(ISNUMBER(AW71)),NOT(ISNUMBER(AX71))),"E_INVALID_DATE",IF(OR(AW71&lt;&gt;INT(AW71),AX71&lt;0,AX71&gt;=1),"E_INVALID_DATE",IF(ISNA(MATCH(AY71,nLIST_Offset,0)),"E_INVALID_DATE","")))),IF(AV71="DATE",IF(AW71="","E_MISSING_INPUT",IF(NOT(ISNUMBER(AW71)),"E_INVALID_DATE",IF(AW71&lt;&gt;INT(AW71),"E_INVALID_DATE",""))),IF(AV71="MONTH",IF(OR(AZ71="",BA71=""),"E_MISSING_INPUT",IF(OR(NOT(ISNUMBER(AZ71)),NOT(ISNUMBER(BA71))),"E_INVALID_DATE",IF(OR(AZ71&lt;1900,AZ71&gt;9999,AZ71&lt;&gt;INT(AZ71),BA71&lt;1,BA71&gt;12,BA71&lt;&gt;INT(BA71)),"E_INVALID_DATE",""))),IF(AV71="YEAR",IF(AZ71="","E_MISSING_INPUT",IF(NOT(ISNUMBER(AZ71)),"E_INVALID_DATE",IF(OR(AZ71&lt;1900,AZ71&gt;9999,AZ71&lt;&gt;INT(AZ71)),"E_INVALID_DATE",""))),IF(AV71="RANGE",IF(OR(BB71="",BC71=""),"E_MISSING_INPUT",IF(OR(NOT(ISNUMBER(BB71)),NOT(ISNUMBER(BC71))),"E_INVALID_DATE",IF(OR(BB71&lt;&gt;INT(BB71),BC71&lt;&gt;INT(BC71)),"E_INVALID_DATE",IF(BB71&gt;BC71,"E_REVERSED_BOUNDS","")))),"E_MISSING_INPUT")))))))</f>
        <v/>
      </c>
      <c r="BF71" s="22">
        <f t="shared" si="52"/>
        <v>0</v>
      </c>
      <c r="BG71" s="22">
        <f t="shared" si="53"/>
        <v>0</v>
      </c>
      <c r="BH71" s="28" t="str">
        <f t="shared" si="54"/>
        <v/>
      </c>
      <c r="BI71" s="28" t="str">
        <f t="shared" si="55"/>
        <v/>
      </c>
      <c r="BJ71" s="22" t="str">
        <f t="shared" si="56"/>
        <v/>
      </c>
      <c r="BK71" s="22" t="str">
        <f t="shared" si="57"/>
        <v/>
      </c>
      <c r="BL71" s="21" t="str">
        <f t="shared" si="58"/>
        <v>VEC-V30|1|EXO1</v>
      </c>
      <c r="BM71" s="22">
        <f>IF(BL71="",0,COUNTIF(nEXP_Key,BL71))</f>
        <v>1</v>
      </c>
      <c r="BN71" s="21" t="str">
        <f t="shared" si="59"/>
        <v/>
      </c>
      <c r="BO71" s="21" t="str">
        <f>IF(BN71="","",BN71&amp;": "&amp;SUBSTITUTE(IFERROR(INDEX(nMSG_Text,MATCH(BN71,nMSG_Code,0)),""),"[input]",IF(D71="","an Exposure_Episode_ID","the date fields required by the selected precision")))</f>
        <v/>
      </c>
    </row>
    <row r="72" spans="1:67" x14ac:dyDescent="0.2">
      <c r="A72" s="9" t="s">
        <v>369</v>
      </c>
      <c r="B72" s="11">
        <v>1</v>
      </c>
      <c r="C72" s="9" t="s">
        <v>521</v>
      </c>
      <c r="D72" s="9" t="s">
        <v>522</v>
      </c>
      <c r="E72" s="9" t="s">
        <v>523</v>
      </c>
      <c r="F72" s="16"/>
      <c r="G72" s="9"/>
      <c r="H72" s="16"/>
      <c r="I72" s="16"/>
      <c r="J72" s="9"/>
      <c r="K72" s="16"/>
      <c r="L72" s="9"/>
      <c r="M72" s="9" t="s">
        <v>570</v>
      </c>
      <c r="N72" s="16" t="s">
        <v>4</v>
      </c>
      <c r="O72" s="14">
        <v>46082</v>
      </c>
      <c r="P72" s="25"/>
      <c r="Q72" s="9"/>
      <c r="R72" s="11"/>
      <c r="S72" s="11"/>
      <c r="T72" s="14"/>
      <c r="U72" s="14"/>
      <c r="V72" s="9" t="s">
        <v>571</v>
      </c>
      <c r="W72" s="21" t="str">
        <f>IF(COUNTA(N72:U72)=0,"",IF(N72="","E_MISSING_INPUT",IF(N72="TIMESTAMP",IF(OR(O72="",P72="",Q72=""),"E_MISSING_INPUT",IF(OR(NOT(ISNUMBER(O72)),NOT(ISNUMBER(P72))),"E_INVALID_DATE",IF(OR(O72&lt;&gt;INT(O72),P72&lt;0,P72&gt;=1),"E_INVALID_DATE",IF(ISNA(MATCH(Q72,nLIST_Offset,0)),"E_INVALID_DATE","")))),IF(N72="DATE",IF(O72="","E_MISSING_INPUT",IF(NOT(ISNUMBER(O72)),"E_INVALID_DATE",IF(O72&lt;&gt;INT(O72),"E_INVALID_DATE",""))),IF(N72="MONTH",IF(OR(R72="",S72=""),"E_MISSING_INPUT",IF(OR(NOT(ISNUMBER(R72)),NOT(ISNUMBER(S72))),"E_INVALID_DATE",IF(OR(R72&lt;1900,R72&gt;9999,R72&lt;&gt;INT(R72),S72&lt;1,S72&gt;12,S72&lt;&gt;INT(S72)),"E_INVALID_DATE",""))),IF(N72="YEAR",IF(R72="","E_MISSING_INPUT",IF(NOT(ISNUMBER(R72)),"E_INVALID_DATE",IF(OR(R72&lt;1900,R72&gt;9999,R72&lt;&gt;INT(R72)),"E_INVALID_DATE",""))),IF(N72="RANGE",IF(OR(T72="",U72=""),"E_MISSING_INPUT",IF(OR(NOT(ISNUMBER(T72)),NOT(ISNUMBER(U72))),"E_INVALID_DATE",IF(OR(T72&lt;&gt;INT(T72),U72&lt;&gt;INT(U72)),"E_INVALID_DATE",IF(T72&gt;U72,"E_REVERSED_BOUNDS","")))),"E_MISSING_INPUT")))))))</f>
        <v/>
      </c>
      <c r="X72" s="22">
        <f t="shared" si="40"/>
        <v>0</v>
      </c>
      <c r="Y72" s="22">
        <f t="shared" si="41"/>
        <v>0</v>
      </c>
      <c r="Z72" s="28">
        <f t="shared" si="42"/>
        <v>46082</v>
      </c>
      <c r="AA72" s="28">
        <f t="shared" si="43"/>
        <v>46082</v>
      </c>
      <c r="AB72" s="22" t="str">
        <f t="shared" si="44"/>
        <v/>
      </c>
      <c r="AC72" s="22" t="str">
        <f t="shared" si="45"/>
        <v/>
      </c>
      <c r="AD72" s="9"/>
      <c r="AE72" s="16"/>
      <c r="AF72" s="14"/>
      <c r="AG72" s="25"/>
      <c r="AH72" s="9"/>
      <c r="AI72" s="11"/>
      <c r="AJ72" s="11"/>
      <c r="AK72" s="14"/>
      <c r="AL72" s="14"/>
      <c r="AM72" s="9"/>
      <c r="AN72" s="21" t="str">
        <f>IF(COUNTA(AE72:AL72)=0,"",IF(AE72="","E_MISSING_INPUT",IF(AE72="TIMESTAMP",IF(OR(AF72="",AG72="",AH72=""),"E_MISSING_INPUT",IF(OR(NOT(ISNUMBER(AF72)),NOT(ISNUMBER(AG72))),"E_INVALID_DATE",IF(OR(AF72&lt;&gt;INT(AF72),AG72&lt;0,AG72&gt;=1),"E_INVALID_DATE",IF(ISNA(MATCH(AH72,nLIST_Offset,0)),"E_INVALID_DATE","")))),IF(AE72="DATE",IF(AF72="","E_MISSING_INPUT",IF(NOT(ISNUMBER(AF72)),"E_INVALID_DATE",IF(AF72&lt;&gt;INT(AF72),"E_INVALID_DATE",""))),IF(AE72="MONTH",IF(OR(AI72="",AJ72=""),"E_MISSING_INPUT",IF(OR(NOT(ISNUMBER(AI72)),NOT(ISNUMBER(AJ72))),"E_INVALID_DATE",IF(OR(AI72&lt;1900,AI72&gt;9999,AI72&lt;&gt;INT(AI72),AJ72&lt;1,AJ72&gt;12,AJ72&lt;&gt;INT(AJ72)),"E_INVALID_DATE",""))),IF(AE72="YEAR",IF(AI72="","E_MISSING_INPUT",IF(NOT(ISNUMBER(AI72)),"E_INVALID_DATE",IF(OR(AI72&lt;1900,AI72&gt;9999,AI72&lt;&gt;INT(AI72)),"E_INVALID_DATE",""))),IF(AE72="RANGE",IF(OR(AK72="",AL72=""),"E_MISSING_INPUT",IF(OR(NOT(ISNUMBER(AK72)),NOT(ISNUMBER(AL72))),"E_INVALID_DATE",IF(OR(AK72&lt;&gt;INT(AK72),AL72&lt;&gt;INT(AL72)),"E_INVALID_DATE",IF(AK72&gt;AL72,"E_REVERSED_BOUNDS","")))),"E_MISSING_INPUT")))))))</f>
        <v/>
      </c>
      <c r="AO72" s="22">
        <f t="shared" si="46"/>
        <v>0</v>
      </c>
      <c r="AP72" s="22">
        <f t="shared" si="47"/>
        <v>0</v>
      </c>
      <c r="AQ72" s="28" t="str">
        <f t="shared" si="48"/>
        <v/>
      </c>
      <c r="AR72" s="28" t="str">
        <f t="shared" si="49"/>
        <v/>
      </c>
      <c r="AS72" s="22" t="str">
        <f t="shared" si="50"/>
        <v/>
      </c>
      <c r="AT72" s="22" t="str">
        <f t="shared" si="51"/>
        <v/>
      </c>
      <c r="AU72" s="9"/>
      <c r="AV72" s="16"/>
      <c r="AW72" s="14"/>
      <c r="AX72" s="25"/>
      <c r="AY72" s="9"/>
      <c r="AZ72" s="11"/>
      <c r="BA72" s="11"/>
      <c r="BB72" s="14"/>
      <c r="BC72" s="14"/>
      <c r="BD72" s="9"/>
      <c r="BE72" s="21" t="str">
        <f>IF(COUNTA(AV72:BC72)=0,"",IF(AV72="","E_MISSING_INPUT",IF(AV72="TIMESTAMP",IF(OR(AW72="",AX72="",AY72=""),"E_MISSING_INPUT",IF(OR(NOT(ISNUMBER(AW72)),NOT(ISNUMBER(AX72))),"E_INVALID_DATE",IF(OR(AW72&lt;&gt;INT(AW72),AX72&lt;0,AX72&gt;=1),"E_INVALID_DATE",IF(ISNA(MATCH(AY72,nLIST_Offset,0)),"E_INVALID_DATE","")))),IF(AV72="DATE",IF(AW72="","E_MISSING_INPUT",IF(NOT(ISNUMBER(AW72)),"E_INVALID_DATE",IF(AW72&lt;&gt;INT(AW72),"E_INVALID_DATE",""))),IF(AV72="MONTH",IF(OR(AZ72="",BA72=""),"E_MISSING_INPUT",IF(OR(NOT(ISNUMBER(AZ72)),NOT(ISNUMBER(BA72))),"E_INVALID_DATE",IF(OR(AZ72&lt;1900,AZ72&gt;9999,AZ72&lt;&gt;INT(AZ72),BA72&lt;1,BA72&gt;12,BA72&lt;&gt;INT(BA72)),"E_INVALID_DATE",""))),IF(AV72="YEAR",IF(AZ72="","E_MISSING_INPUT",IF(NOT(ISNUMBER(AZ72)),"E_INVALID_DATE",IF(OR(AZ72&lt;1900,AZ72&gt;9999,AZ72&lt;&gt;INT(AZ72)),"E_INVALID_DATE",""))),IF(AV72="RANGE",IF(OR(BB72="",BC72=""),"E_MISSING_INPUT",IF(OR(NOT(ISNUMBER(BB72)),NOT(ISNUMBER(BC72))),"E_INVALID_DATE",IF(OR(BB72&lt;&gt;INT(BB72),BC72&lt;&gt;INT(BC72)),"E_INVALID_DATE",IF(BB72&gt;BC72,"E_REVERSED_BOUNDS","")))),"E_MISSING_INPUT")))))))</f>
        <v/>
      </c>
      <c r="BF72" s="22">
        <f t="shared" si="52"/>
        <v>0</v>
      </c>
      <c r="BG72" s="22">
        <f t="shared" si="53"/>
        <v>0</v>
      </c>
      <c r="BH72" s="28" t="str">
        <f t="shared" si="54"/>
        <v/>
      </c>
      <c r="BI72" s="28" t="str">
        <f t="shared" si="55"/>
        <v/>
      </c>
      <c r="BJ72" s="22" t="str">
        <f t="shared" si="56"/>
        <v/>
      </c>
      <c r="BK72" s="22" t="str">
        <f t="shared" si="57"/>
        <v/>
      </c>
      <c r="BL72" s="21" t="str">
        <f t="shared" si="58"/>
        <v>VEC-V31|1|EX1</v>
      </c>
      <c r="BM72" s="22">
        <f>IF(BL72="",0,COUNTIF(nEXP_Key,BL72))</f>
        <v>1</v>
      </c>
      <c r="BN72" s="21" t="str">
        <f t="shared" si="59"/>
        <v/>
      </c>
      <c r="BO72" s="21" t="str">
        <f>IF(BN72="","",BN72&amp;": "&amp;SUBSTITUTE(IFERROR(INDEX(nMSG_Text,MATCH(BN72,nMSG_Code,0)),""),"[input]",IF(D72="","an Exposure_Episode_ID","the date fields required by the selected precision")))</f>
        <v/>
      </c>
    </row>
    <row r="73" spans="1:67" x14ac:dyDescent="0.2">
      <c r="A73" s="9" t="s">
        <v>373</v>
      </c>
      <c r="B73" s="11">
        <v>1</v>
      </c>
      <c r="C73" s="9" t="s">
        <v>521</v>
      </c>
      <c r="D73" s="9" t="s">
        <v>522</v>
      </c>
      <c r="E73" s="9" t="s">
        <v>523</v>
      </c>
      <c r="F73" s="16"/>
      <c r="G73" s="9"/>
      <c r="H73" s="16"/>
      <c r="I73" s="16"/>
      <c r="J73" s="9"/>
      <c r="K73" s="16"/>
      <c r="L73" s="9"/>
      <c r="M73" s="9" t="s">
        <v>572</v>
      </c>
      <c r="N73" s="16" t="s">
        <v>3</v>
      </c>
      <c r="O73" s="14">
        <v>46083</v>
      </c>
      <c r="P73" s="25">
        <v>0.33333333333333298</v>
      </c>
      <c r="Q73" s="9" t="s">
        <v>20</v>
      </c>
      <c r="R73" s="11"/>
      <c r="S73" s="11"/>
      <c r="T73" s="14"/>
      <c r="U73" s="14"/>
      <c r="V73" s="9" t="s">
        <v>573</v>
      </c>
      <c r="W73" s="21" t="str">
        <f>IF(COUNTA(N73:U73)=0,"",IF(N73="","E_MISSING_INPUT",IF(N73="TIMESTAMP",IF(OR(O73="",P73="",Q73=""),"E_MISSING_INPUT",IF(OR(NOT(ISNUMBER(O73)),NOT(ISNUMBER(P73))),"E_INVALID_DATE",IF(OR(O73&lt;&gt;INT(O73),P73&lt;0,P73&gt;=1),"E_INVALID_DATE",IF(ISNA(MATCH(Q73,nLIST_Offset,0)),"E_INVALID_DATE","")))),IF(N73="DATE",IF(O73="","E_MISSING_INPUT",IF(NOT(ISNUMBER(O73)),"E_INVALID_DATE",IF(O73&lt;&gt;INT(O73),"E_INVALID_DATE",""))),IF(N73="MONTH",IF(OR(R73="",S73=""),"E_MISSING_INPUT",IF(OR(NOT(ISNUMBER(R73)),NOT(ISNUMBER(S73))),"E_INVALID_DATE",IF(OR(R73&lt;1900,R73&gt;9999,R73&lt;&gt;INT(R73),S73&lt;1,S73&gt;12,S73&lt;&gt;INT(S73)),"E_INVALID_DATE",""))),IF(N73="YEAR",IF(R73="","E_MISSING_INPUT",IF(NOT(ISNUMBER(R73)),"E_INVALID_DATE",IF(OR(R73&lt;1900,R73&gt;9999,R73&lt;&gt;INT(R73)),"E_INVALID_DATE",""))),IF(N73="RANGE",IF(OR(T73="",U73=""),"E_MISSING_INPUT",IF(OR(NOT(ISNUMBER(T73)),NOT(ISNUMBER(U73))),"E_INVALID_DATE",IF(OR(T73&lt;&gt;INT(T73),U73&lt;&gt;INT(U73)),"E_INVALID_DATE",IF(T73&gt;U73,"E_REVERSED_BOUNDS","")))),"E_MISSING_INPUT")))))))</f>
        <v/>
      </c>
      <c r="X73" s="22">
        <f t="shared" si="40"/>
        <v>1</v>
      </c>
      <c r="Y73" s="22">
        <f t="shared" si="41"/>
        <v>1</v>
      </c>
      <c r="Z73" s="28">
        <f t="shared" si="42"/>
        <v>46083</v>
      </c>
      <c r="AA73" s="28">
        <f t="shared" si="43"/>
        <v>46083</v>
      </c>
      <c r="AB73" s="22">
        <f t="shared" si="44"/>
        <v>66360000</v>
      </c>
      <c r="AC73" s="22">
        <f t="shared" si="45"/>
        <v>66360300</v>
      </c>
      <c r="AD73" s="9"/>
      <c r="AE73" s="16"/>
      <c r="AF73" s="14"/>
      <c r="AG73" s="25"/>
      <c r="AH73" s="9"/>
      <c r="AI73" s="11"/>
      <c r="AJ73" s="11"/>
      <c r="AK73" s="14"/>
      <c r="AL73" s="14"/>
      <c r="AM73" s="9"/>
      <c r="AN73" s="21" t="str">
        <f>IF(COUNTA(AE73:AL73)=0,"",IF(AE73="","E_MISSING_INPUT",IF(AE73="TIMESTAMP",IF(OR(AF73="",AG73="",AH73=""),"E_MISSING_INPUT",IF(OR(NOT(ISNUMBER(AF73)),NOT(ISNUMBER(AG73))),"E_INVALID_DATE",IF(OR(AF73&lt;&gt;INT(AF73),AG73&lt;0,AG73&gt;=1),"E_INVALID_DATE",IF(ISNA(MATCH(AH73,nLIST_Offset,0)),"E_INVALID_DATE","")))),IF(AE73="DATE",IF(AF73="","E_MISSING_INPUT",IF(NOT(ISNUMBER(AF73)),"E_INVALID_DATE",IF(AF73&lt;&gt;INT(AF73),"E_INVALID_DATE",""))),IF(AE73="MONTH",IF(OR(AI73="",AJ73=""),"E_MISSING_INPUT",IF(OR(NOT(ISNUMBER(AI73)),NOT(ISNUMBER(AJ73))),"E_INVALID_DATE",IF(OR(AI73&lt;1900,AI73&gt;9999,AI73&lt;&gt;INT(AI73),AJ73&lt;1,AJ73&gt;12,AJ73&lt;&gt;INT(AJ73)),"E_INVALID_DATE",""))),IF(AE73="YEAR",IF(AI73="","E_MISSING_INPUT",IF(NOT(ISNUMBER(AI73)),"E_INVALID_DATE",IF(OR(AI73&lt;1900,AI73&gt;9999,AI73&lt;&gt;INT(AI73)),"E_INVALID_DATE",""))),IF(AE73="RANGE",IF(OR(AK73="",AL73=""),"E_MISSING_INPUT",IF(OR(NOT(ISNUMBER(AK73)),NOT(ISNUMBER(AL73))),"E_INVALID_DATE",IF(OR(AK73&lt;&gt;INT(AK73),AL73&lt;&gt;INT(AL73)),"E_INVALID_DATE",IF(AK73&gt;AL73,"E_REVERSED_BOUNDS","")))),"E_MISSING_INPUT")))))))</f>
        <v/>
      </c>
      <c r="AO73" s="22">
        <f t="shared" si="46"/>
        <v>0</v>
      </c>
      <c r="AP73" s="22">
        <f t="shared" si="47"/>
        <v>0</v>
      </c>
      <c r="AQ73" s="28" t="str">
        <f t="shared" si="48"/>
        <v/>
      </c>
      <c r="AR73" s="28" t="str">
        <f t="shared" si="49"/>
        <v/>
      </c>
      <c r="AS73" s="22" t="str">
        <f t="shared" si="50"/>
        <v/>
      </c>
      <c r="AT73" s="22" t="str">
        <f t="shared" si="51"/>
        <v/>
      </c>
      <c r="AU73" s="9"/>
      <c r="AV73" s="16"/>
      <c r="AW73" s="14"/>
      <c r="AX73" s="25"/>
      <c r="AY73" s="9"/>
      <c r="AZ73" s="11"/>
      <c r="BA73" s="11"/>
      <c r="BB73" s="14"/>
      <c r="BC73" s="14"/>
      <c r="BD73" s="9"/>
      <c r="BE73" s="21" t="str">
        <f>IF(COUNTA(AV73:BC73)=0,"",IF(AV73="","E_MISSING_INPUT",IF(AV73="TIMESTAMP",IF(OR(AW73="",AX73="",AY73=""),"E_MISSING_INPUT",IF(OR(NOT(ISNUMBER(AW73)),NOT(ISNUMBER(AX73))),"E_INVALID_DATE",IF(OR(AW73&lt;&gt;INT(AW73),AX73&lt;0,AX73&gt;=1),"E_INVALID_DATE",IF(ISNA(MATCH(AY73,nLIST_Offset,0)),"E_INVALID_DATE","")))),IF(AV73="DATE",IF(AW73="","E_MISSING_INPUT",IF(NOT(ISNUMBER(AW73)),"E_INVALID_DATE",IF(AW73&lt;&gt;INT(AW73),"E_INVALID_DATE",""))),IF(AV73="MONTH",IF(OR(AZ73="",BA73=""),"E_MISSING_INPUT",IF(OR(NOT(ISNUMBER(AZ73)),NOT(ISNUMBER(BA73))),"E_INVALID_DATE",IF(OR(AZ73&lt;1900,AZ73&gt;9999,AZ73&lt;&gt;INT(AZ73),BA73&lt;1,BA73&gt;12,BA73&lt;&gt;INT(BA73)),"E_INVALID_DATE",""))),IF(AV73="YEAR",IF(AZ73="","E_MISSING_INPUT",IF(NOT(ISNUMBER(AZ73)),"E_INVALID_DATE",IF(OR(AZ73&lt;1900,AZ73&gt;9999,AZ73&lt;&gt;INT(AZ73)),"E_INVALID_DATE",""))),IF(AV73="RANGE",IF(OR(BB73="",BC73=""),"E_MISSING_INPUT",IF(OR(NOT(ISNUMBER(BB73)),NOT(ISNUMBER(BC73))),"E_INVALID_DATE",IF(OR(BB73&lt;&gt;INT(BB73),BC73&lt;&gt;INT(BC73)),"E_INVALID_DATE",IF(BB73&gt;BC73,"E_REVERSED_BOUNDS","")))),"E_MISSING_INPUT")))))))</f>
        <v/>
      </c>
      <c r="BF73" s="22">
        <f t="shared" si="52"/>
        <v>0</v>
      </c>
      <c r="BG73" s="22">
        <f t="shared" si="53"/>
        <v>0</v>
      </c>
      <c r="BH73" s="28" t="str">
        <f t="shared" si="54"/>
        <v/>
      </c>
      <c r="BI73" s="28" t="str">
        <f t="shared" si="55"/>
        <v/>
      </c>
      <c r="BJ73" s="22" t="str">
        <f t="shared" si="56"/>
        <v/>
      </c>
      <c r="BK73" s="22" t="str">
        <f t="shared" si="57"/>
        <v/>
      </c>
      <c r="BL73" s="21" t="str">
        <f t="shared" si="58"/>
        <v>VEC-V33|1|EX1</v>
      </c>
      <c r="BM73" s="22">
        <f>IF(BL73="",0,COUNTIF(nEXP_Key,BL73))</f>
        <v>1</v>
      </c>
      <c r="BN73" s="21" t="str">
        <f t="shared" si="59"/>
        <v/>
      </c>
      <c r="BO73" s="21" t="str">
        <f>IF(BN73="","",BN73&amp;": "&amp;SUBSTITUTE(IFERROR(INDEX(nMSG_Text,MATCH(BN73,nMSG_Code,0)),""),"[input]",IF(D73="","an Exposure_Episode_ID","the date fields required by the selected precision")))</f>
        <v/>
      </c>
    </row>
    <row r="74" spans="1:67" x14ac:dyDescent="0.2">
      <c r="A74" s="9" t="s">
        <v>375</v>
      </c>
      <c r="B74" s="11">
        <v>1</v>
      </c>
      <c r="C74" s="9" t="s">
        <v>521</v>
      </c>
      <c r="D74" s="9" t="s">
        <v>522</v>
      </c>
      <c r="E74" s="9" t="s">
        <v>523</v>
      </c>
      <c r="F74" s="16"/>
      <c r="G74" s="9"/>
      <c r="H74" s="16"/>
      <c r="I74" s="16"/>
      <c r="J74" s="9"/>
      <c r="K74" s="16"/>
      <c r="L74" s="9"/>
      <c r="M74" s="9" t="s">
        <v>570</v>
      </c>
      <c r="N74" s="16" t="s">
        <v>4</v>
      </c>
      <c r="O74" s="14">
        <v>46082</v>
      </c>
      <c r="P74" s="25"/>
      <c r="Q74" s="9"/>
      <c r="R74" s="11"/>
      <c r="S74" s="11"/>
      <c r="T74" s="14"/>
      <c r="U74" s="14"/>
      <c r="V74" s="9" t="s">
        <v>574</v>
      </c>
      <c r="W74" s="21" t="str">
        <f>IF(COUNTA(N74:U74)=0,"",IF(N74="","E_MISSING_INPUT",IF(N74="TIMESTAMP",IF(OR(O74="",P74="",Q74=""),"E_MISSING_INPUT",IF(OR(NOT(ISNUMBER(O74)),NOT(ISNUMBER(P74))),"E_INVALID_DATE",IF(OR(O74&lt;&gt;INT(O74),P74&lt;0,P74&gt;=1),"E_INVALID_DATE",IF(ISNA(MATCH(Q74,nLIST_Offset,0)),"E_INVALID_DATE","")))),IF(N74="DATE",IF(O74="","E_MISSING_INPUT",IF(NOT(ISNUMBER(O74)),"E_INVALID_DATE",IF(O74&lt;&gt;INT(O74),"E_INVALID_DATE",""))),IF(N74="MONTH",IF(OR(R74="",S74=""),"E_MISSING_INPUT",IF(OR(NOT(ISNUMBER(R74)),NOT(ISNUMBER(S74))),"E_INVALID_DATE",IF(OR(R74&lt;1900,R74&gt;9999,R74&lt;&gt;INT(R74),S74&lt;1,S74&gt;12,S74&lt;&gt;INT(S74)),"E_INVALID_DATE",""))),IF(N74="YEAR",IF(R74="","E_MISSING_INPUT",IF(NOT(ISNUMBER(R74)),"E_INVALID_DATE",IF(OR(R74&lt;1900,R74&gt;9999,R74&lt;&gt;INT(R74)),"E_INVALID_DATE",""))),IF(N74="RANGE",IF(OR(T74="",U74=""),"E_MISSING_INPUT",IF(OR(NOT(ISNUMBER(T74)),NOT(ISNUMBER(U74))),"E_INVALID_DATE",IF(OR(T74&lt;&gt;INT(T74),U74&lt;&gt;INT(U74)),"E_INVALID_DATE",IF(T74&gt;U74,"E_REVERSED_BOUNDS","")))),"E_MISSING_INPUT")))))))</f>
        <v/>
      </c>
      <c r="X74" s="22">
        <f t="shared" si="40"/>
        <v>0</v>
      </c>
      <c r="Y74" s="22">
        <f t="shared" si="41"/>
        <v>0</v>
      </c>
      <c r="Z74" s="28">
        <f t="shared" si="42"/>
        <v>46082</v>
      </c>
      <c r="AA74" s="28">
        <f t="shared" si="43"/>
        <v>46082</v>
      </c>
      <c r="AB74" s="22" t="str">
        <f t="shared" si="44"/>
        <v/>
      </c>
      <c r="AC74" s="22" t="str">
        <f t="shared" si="45"/>
        <v/>
      </c>
      <c r="AD74" s="9"/>
      <c r="AE74" s="16"/>
      <c r="AF74" s="14"/>
      <c r="AG74" s="25"/>
      <c r="AH74" s="9"/>
      <c r="AI74" s="11"/>
      <c r="AJ74" s="11"/>
      <c r="AK74" s="14"/>
      <c r="AL74" s="14"/>
      <c r="AM74" s="9"/>
      <c r="AN74" s="21" t="str">
        <f>IF(COUNTA(AE74:AL74)=0,"",IF(AE74="","E_MISSING_INPUT",IF(AE74="TIMESTAMP",IF(OR(AF74="",AG74="",AH74=""),"E_MISSING_INPUT",IF(OR(NOT(ISNUMBER(AF74)),NOT(ISNUMBER(AG74))),"E_INVALID_DATE",IF(OR(AF74&lt;&gt;INT(AF74),AG74&lt;0,AG74&gt;=1),"E_INVALID_DATE",IF(ISNA(MATCH(AH74,nLIST_Offset,0)),"E_INVALID_DATE","")))),IF(AE74="DATE",IF(AF74="","E_MISSING_INPUT",IF(NOT(ISNUMBER(AF74)),"E_INVALID_DATE",IF(AF74&lt;&gt;INT(AF74),"E_INVALID_DATE",""))),IF(AE74="MONTH",IF(OR(AI74="",AJ74=""),"E_MISSING_INPUT",IF(OR(NOT(ISNUMBER(AI74)),NOT(ISNUMBER(AJ74))),"E_INVALID_DATE",IF(OR(AI74&lt;1900,AI74&gt;9999,AI74&lt;&gt;INT(AI74),AJ74&lt;1,AJ74&gt;12,AJ74&lt;&gt;INT(AJ74)),"E_INVALID_DATE",""))),IF(AE74="YEAR",IF(AI74="","E_MISSING_INPUT",IF(NOT(ISNUMBER(AI74)),"E_INVALID_DATE",IF(OR(AI74&lt;1900,AI74&gt;9999,AI74&lt;&gt;INT(AI74)),"E_INVALID_DATE",""))),IF(AE74="RANGE",IF(OR(AK74="",AL74=""),"E_MISSING_INPUT",IF(OR(NOT(ISNUMBER(AK74)),NOT(ISNUMBER(AL74))),"E_INVALID_DATE",IF(OR(AK74&lt;&gt;INT(AK74),AL74&lt;&gt;INT(AL74)),"E_INVALID_DATE",IF(AK74&gt;AL74,"E_REVERSED_BOUNDS","")))),"E_MISSING_INPUT")))))))</f>
        <v/>
      </c>
      <c r="AO74" s="22">
        <f t="shared" si="46"/>
        <v>0</v>
      </c>
      <c r="AP74" s="22">
        <f t="shared" si="47"/>
        <v>0</v>
      </c>
      <c r="AQ74" s="28" t="str">
        <f t="shared" si="48"/>
        <v/>
      </c>
      <c r="AR74" s="28" t="str">
        <f t="shared" si="49"/>
        <v/>
      </c>
      <c r="AS74" s="22" t="str">
        <f t="shared" si="50"/>
        <v/>
      </c>
      <c r="AT74" s="22" t="str">
        <f t="shared" si="51"/>
        <v/>
      </c>
      <c r="AU74" s="9"/>
      <c r="AV74" s="16"/>
      <c r="AW74" s="14"/>
      <c r="AX74" s="25"/>
      <c r="AY74" s="9"/>
      <c r="AZ74" s="11"/>
      <c r="BA74" s="11"/>
      <c r="BB74" s="14"/>
      <c r="BC74" s="14"/>
      <c r="BD74" s="9"/>
      <c r="BE74" s="21" t="str">
        <f>IF(COUNTA(AV74:BC74)=0,"",IF(AV74="","E_MISSING_INPUT",IF(AV74="TIMESTAMP",IF(OR(AW74="",AX74="",AY74=""),"E_MISSING_INPUT",IF(OR(NOT(ISNUMBER(AW74)),NOT(ISNUMBER(AX74))),"E_INVALID_DATE",IF(OR(AW74&lt;&gt;INT(AW74),AX74&lt;0,AX74&gt;=1),"E_INVALID_DATE",IF(ISNA(MATCH(AY74,nLIST_Offset,0)),"E_INVALID_DATE","")))),IF(AV74="DATE",IF(AW74="","E_MISSING_INPUT",IF(NOT(ISNUMBER(AW74)),"E_INVALID_DATE",IF(AW74&lt;&gt;INT(AW74),"E_INVALID_DATE",""))),IF(AV74="MONTH",IF(OR(AZ74="",BA74=""),"E_MISSING_INPUT",IF(OR(NOT(ISNUMBER(AZ74)),NOT(ISNUMBER(BA74))),"E_INVALID_DATE",IF(OR(AZ74&lt;1900,AZ74&gt;9999,AZ74&lt;&gt;INT(AZ74),BA74&lt;1,BA74&gt;12,BA74&lt;&gt;INT(BA74)),"E_INVALID_DATE",""))),IF(AV74="YEAR",IF(AZ74="","E_MISSING_INPUT",IF(NOT(ISNUMBER(AZ74)),"E_INVALID_DATE",IF(OR(AZ74&lt;1900,AZ74&gt;9999,AZ74&lt;&gt;INT(AZ74)),"E_INVALID_DATE",""))),IF(AV74="RANGE",IF(OR(BB74="",BC74=""),"E_MISSING_INPUT",IF(OR(NOT(ISNUMBER(BB74)),NOT(ISNUMBER(BC74))),"E_INVALID_DATE",IF(OR(BB74&lt;&gt;INT(BB74),BC74&lt;&gt;INT(BC74)),"E_INVALID_DATE",IF(BB74&gt;BC74,"E_REVERSED_BOUNDS","")))),"E_MISSING_INPUT")))))))</f>
        <v/>
      </c>
      <c r="BF74" s="22">
        <f t="shared" si="52"/>
        <v>0</v>
      </c>
      <c r="BG74" s="22">
        <f t="shared" si="53"/>
        <v>0</v>
      </c>
      <c r="BH74" s="28" t="str">
        <f t="shared" si="54"/>
        <v/>
      </c>
      <c r="BI74" s="28" t="str">
        <f t="shared" si="55"/>
        <v/>
      </c>
      <c r="BJ74" s="22" t="str">
        <f t="shared" si="56"/>
        <v/>
      </c>
      <c r="BK74" s="22" t="str">
        <f t="shared" si="57"/>
        <v/>
      </c>
      <c r="BL74" s="21" t="str">
        <f t="shared" si="58"/>
        <v>VEC-V34|1|EX1</v>
      </c>
      <c r="BM74" s="22">
        <f>IF(BL74="",0,COUNTIF(nEXP_Key,BL74))</f>
        <v>1</v>
      </c>
      <c r="BN74" s="21" t="str">
        <f t="shared" si="59"/>
        <v/>
      </c>
      <c r="BO74" s="21" t="str">
        <f>IF(BN74="","",BN74&amp;": "&amp;SUBSTITUTE(IFERROR(INDEX(nMSG_Text,MATCH(BN74,nMSG_Code,0)),""),"[input]",IF(D74="","an Exposure_Episode_ID","the date fields required by the selected precision")))</f>
        <v/>
      </c>
    </row>
    <row r="75" spans="1:67" x14ac:dyDescent="0.2">
      <c r="A75" s="9" t="s">
        <v>377</v>
      </c>
      <c r="B75" s="11">
        <v>1</v>
      </c>
      <c r="C75" s="9" t="s">
        <v>521</v>
      </c>
      <c r="D75" s="9" t="s">
        <v>522</v>
      </c>
      <c r="E75" s="9" t="s">
        <v>523</v>
      </c>
      <c r="F75" s="16"/>
      <c r="G75" s="9"/>
      <c r="H75" s="16"/>
      <c r="I75" s="16"/>
      <c r="J75" s="9"/>
      <c r="K75" s="16"/>
      <c r="L75" s="9"/>
      <c r="M75" s="9" t="s">
        <v>526</v>
      </c>
      <c r="N75" s="16" t="s">
        <v>4</v>
      </c>
      <c r="O75" s="14">
        <v>46023</v>
      </c>
      <c r="P75" s="25"/>
      <c r="Q75" s="9"/>
      <c r="R75" s="11"/>
      <c r="S75" s="11"/>
      <c r="T75" s="14"/>
      <c r="U75" s="14"/>
      <c r="V75" s="9" t="s">
        <v>575</v>
      </c>
      <c r="W75" s="21" t="str">
        <f>IF(COUNTA(N75:U75)=0,"",IF(N75="","E_MISSING_INPUT",IF(N75="TIMESTAMP",IF(OR(O75="",P75="",Q75=""),"E_MISSING_INPUT",IF(OR(NOT(ISNUMBER(O75)),NOT(ISNUMBER(P75))),"E_INVALID_DATE",IF(OR(O75&lt;&gt;INT(O75),P75&lt;0,P75&gt;=1),"E_INVALID_DATE",IF(ISNA(MATCH(Q75,nLIST_Offset,0)),"E_INVALID_DATE","")))),IF(N75="DATE",IF(O75="","E_MISSING_INPUT",IF(NOT(ISNUMBER(O75)),"E_INVALID_DATE",IF(O75&lt;&gt;INT(O75),"E_INVALID_DATE",""))),IF(N75="MONTH",IF(OR(R75="",S75=""),"E_MISSING_INPUT",IF(OR(NOT(ISNUMBER(R75)),NOT(ISNUMBER(S75))),"E_INVALID_DATE",IF(OR(R75&lt;1900,R75&gt;9999,R75&lt;&gt;INT(R75),S75&lt;1,S75&gt;12,S75&lt;&gt;INT(S75)),"E_INVALID_DATE",""))),IF(N75="YEAR",IF(R75="","E_MISSING_INPUT",IF(NOT(ISNUMBER(R75)),"E_INVALID_DATE",IF(OR(R75&lt;1900,R75&gt;9999,R75&lt;&gt;INT(R75)),"E_INVALID_DATE",""))),IF(N75="RANGE",IF(OR(T75="",U75=""),"E_MISSING_INPUT",IF(OR(NOT(ISNUMBER(T75)),NOT(ISNUMBER(U75))),"E_INVALID_DATE",IF(OR(T75&lt;&gt;INT(T75),U75&lt;&gt;INT(U75)),"E_INVALID_DATE",IF(T75&gt;U75,"E_REVERSED_BOUNDS","")))),"E_MISSING_INPUT")))))))</f>
        <v/>
      </c>
      <c r="X75" s="22">
        <f t="shared" si="40"/>
        <v>0</v>
      </c>
      <c r="Y75" s="22">
        <f t="shared" si="41"/>
        <v>0</v>
      </c>
      <c r="Z75" s="28">
        <f t="shared" si="42"/>
        <v>46023</v>
      </c>
      <c r="AA75" s="28">
        <f t="shared" si="43"/>
        <v>46023</v>
      </c>
      <c r="AB75" s="22" t="str">
        <f t="shared" si="44"/>
        <v/>
      </c>
      <c r="AC75" s="22" t="str">
        <f t="shared" si="45"/>
        <v/>
      </c>
      <c r="AD75" s="9"/>
      <c r="AE75" s="16"/>
      <c r="AF75" s="14"/>
      <c r="AG75" s="25"/>
      <c r="AH75" s="9"/>
      <c r="AI75" s="11"/>
      <c r="AJ75" s="11"/>
      <c r="AK75" s="14"/>
      <c r="AL75" s="14"/>
      <c r="AM75" s="9"/>
      <c r="AN75" s="21" t="str">
        <f>IF(COUNTA(AE75:AL75)=0,"",IF(AE75="","E_MISSING_INPUT",IF(AE75="TIMESTAMP",IF(OR(AF75="",AG75="",AH75=""),"E_MISSING_INPUT",IF(OR(NOT(ISNUMBER(AF75)),NOT(ISNUMBER(AG75))),"E_INVALID_DATE",IF(OR(AF75&lt;&gt;INT(AF75),AG75&lt;0,AG75&gt;=1),"E_INVALID_DATE",IF(ISNA(MATCH(AH75,nLIST_Offset,0)),"E_INVALID_DATE","")))),IF(AE75="DATE",IF(AF75="","E_MISSING_INPUT",IF(NOT(ISNUMBER(AF75)),"E_INVALID_DATE",IF(AF75&lt;&gt;INT(AF75),"E_INVALID_DATE",""))),IF(AE75="MONTH",IF(OR(AI75="",AJ75=""),"E_MISSING_INPUT",IF(OR(NOT(ISNUMBER(AI75)),NOT(ISNUMBER(AJ75))),"E_INVALID_DATE",IF(OR(AI75&lt;1900,AI75&gt;9999,AI75&lt;&gt;INT(AI75),AJ75&lt;1,AJ75&gt;12,AJ75&lt;&gt;INT(AJ75)),"E_INVALID_DATE",""))),IF(AE75="YEAR",IF(AI75="","E_MISSING_INPUT",IF(NOT(ISNUMBER(AI75)),"E_INVALID_DATE",IF(OR(AI75&lt;1900,AI75&gt;9999,AI75&lt;&gt;INT(AI75)),"E_INVALID_DATE",""))),IF(AE75="RANGE",IF(OR(AK75="",AL75=""),"E_MISSING_INPUT",IF(OR(NOT(ISNUMBER(AK75)),NOT(ISNUMBER(AL75))),"E_INVALID_DATE",IF(OR(AK75&lt;&gt;INT(AK75),AL75&lt;&gt;INT(AL75)),"E_INVALID_DATE",IF(AK75&gt;AL75,"E_REVERSED_BOUNDS","")))),"E_MISSING_INPUT")))))))</f>
        <v/>
      </c>
      <c r="AO75" s="22">
        <f t="shared" si="46"/>
        <v>0</v>
      </c>
      <c r="AP75" s="22">
        <f t="shared" si="47"/>
        <v>0</v>
      </c>
      <c r="AQ75" s="28" t="str">
        <f t="shared" si="48"/>
        <v/>
      </c>
      <c r="AR75" s="28" t="str">
        <f t="shared" si="49"/>
        <v/>
      </c>
      <c r="AS75" s="22" t="str">
        <f t="shared" si="50"/>
        <v/>
      </c>
      <c r="AT75" s="22" t="str">
        <f t="shared" si="51"/>
        <v/>
      </c>
      <c r="AU75" s="9"/>
      <c r="AV75" s="16"/>
      <c r="AW75" s="14"/>
      <c r="AX75" s="25"/>
      <c r="AY75" s="9"/>
      <c r="AZ75" s="11"/>
      <c r="BA75" s="11"/>
      <c r="BB75" s="14"/>
      <c r="BC75" s="14"/>
      <c r="BD75" s="9"/>
      <c r="BE75" s="21" t="str">
        <f>IF(COUNTA(AV75:BC75)=0,"",IF(AV75="","E_MISSING_INPUT",IF(AV75="TIMESTAMP",IF(OR(AW75="",AX75="",AY75=""),"E_MISSING_INPUT",IF(OR(NOT(ISNUMBER(AW75)),NOT(ISNUMBER(AX75))),"E_INVALID_DATE",IF(OR(AW75&lt;&gt;INT(AW75),AX75&lt;0,AX75&gt;=1),"E_INVALID_DATE",IF(ISNA(MATCH(AY75,nLIST_Offset,0)),"E_INVALID_DATE","")))),IF(AV75="DATE",IF(AW75="","E_MISSING_INPUT",IF(NOT(ISNUMBER(AW75)),"E_INVALID_DATE",IF(AW75&lt;&gt;INT(AW75),"E_INVALID_DATE",""))),IF(AV75="MONTH",IF(OR(AZ75="",BA75=""),"E_MISSING_INPUT",IF(OR(NOT(ISNUMBER(AZ75)),NOT(ISNUMBER(BA75))),"E_INVALID_DATE",IF(OR(AZ75&lt;1900,AZ75&gt;9999,AZ75&lt;&gt;INT(AZ75),BA75&lt;1,BA75&gt;12,BA75&lt;&gt;INT(BA75)),"E_INVALID_DATE",""))),IF(AV75="YEAR",IF(AZ75="","E_MISSING_INPUT",IF(NOT(ISNUMBER(AZ75)),"E_INVALID_DATE",IF(OR(AZ75&lt;1900,AZ75&gt;9999,AZ75&lt;&gt;INT(AZ75)),"E_INVALID_DATE",""))),IF(AV75="RANGE",IF(OR(BB75="",BC75=""),"E_MISSING_INPUT",IF(OR(NOT(ISNUMBER(BB75)),NOT(ISNUMBER(BC75))),"E_INVALID_DATE",IF(OR(BB75&lt;&gt;INT(BB75),BC75&lt;&gt;INT(BC75)),"E_INVALID_DATE",IF(BB75&gt;BC75,"E_REVERSED_BOUNDS","")))),"E_MISSING_INPUT")))))))</f>
        <v/>
      </c>
      <c r="BF75" s="22">
        <f t="shared" si="52"/>
        <v>0</v>
      </c>
      <c r="BG75" s="22">
        <f t="shared" si="53"/>
        <v>0</v>
      </c>
      <c r="BH75" s="28" t="str">
        <f t="shared" si="54"/>
        <v/>
      </c>
      <c r="BI75" s="28" t="str">
        <f t="shared" si="55"/>
        <v/>
      </c>
      <c r="BJ75" s="22" t="str">
        <f t="shared" si="56"/>
        <v/>
      </c>
      <c r="BK75" s="22" t="str">
        <f t="shared" si="57"/>
        <v/>
      </c>
      <c r="BL75" s="21" t="str">
        <f t="shared" si="58"/>
        <v>VEC-V35|1|EX1</v>
      </c>
      <c r="BM75" s="22">
        <f>IF(BL75="",0,COUNTIF(nEXP_Key,BL75))</f>
        <v>1</v>
      </c>
      <c r="BN75" s="21" t="str">
        <f t="shared" si="59"/>
        <v/>
      </c>
      <c r="BO75" s="21" t="str">
        <f>IF(BN75="","",BN75&amp;": "&amp;SUBSTITUTE(IFERROR(INDEX(nMSG_Text,MATCH(BN75,nMSG_Code,0)),""),"[input]",IF(D75="","an Exposure_Episode_ID","the date fields required by the selected precision")))</f>
        <v/>
      </c>
    </row>
    <row r="76" spans="1:67" x14ac:dyDescent="0.2">
      <c r="A76" s="9" t="s">
        <v>383</v>
      </c>
      <c r="B76" s="11">
        <v>1</v>
      </c>
      <c r="C76" s="9" t="s">
        <v>521</v>
      </c>
      <c r="D76" s="9" t="s">
        <v>522</v>
      </c>
      <c r="E76" s="9" t="s">
        <v>523</v>
      </c>
      <c r="F76" s="16"/>
      <c r="G76" s="9"/>
      <c r="H76" s="16"/>
      <c r="I76" s="16"/>
      <c r="J76" s="9"/>
      <c r="K76" s="16"/>
      <c r="L76" s="9" t="s">
        <v>576</v>
      </c>
      <c r="M76" s="9"/>
      <c r="N76" s="16"/>
      <c r="O76" s="14"/>
      <c r="P76" s="25"/>
      <c r="Q76" s="9"/>
      <c r="R76" s="11"/>
      <c r="S76" s="11"/>
      <c r="T76" s="14"/>
      <c r="U76" s="14"/>
      <c r="V76" s="9"/>
      <c r="W76" s="21" t="str">
        <f>IF(COUNTA(N76:U76)=0,"",IF(N76="","E_MISSING_INPUT",IF(N76="TIMESTAMP",IF(OR(O76="",P76="",Q76=""),"E_MISSING_INPUT",IF(OR(NOT(ISNUMBER(O76)),NOT(ISNUMBER(P76))),"E_INVALID_DATE",IF(OR(O76&lt;&gt;INT(O76),P76&lt;0,P76&gt;=1),"E_INVALID_DATE",IF(ISNA(MATCH(Q76,nLIST_Offset,0)),"E_INVALID_DATE","")))),IF(N76="DATE",IF(O76="","E_MISSING_INPUT",IF(NOT(ISNUMBER(O76)),"E_INVALID_DATE",IF(O76&lt;&gt;INT(O76),"E_INVALID_DATE",""))),IF(N76="MONTH",IF(OR(R76="",S76=""),"E_MISSING_INPUT",IF(OR(NOT(ISNUMBER(R76)),NOT(ISNUMBER(S76))),"E_INVALID_DATE",IF(OR(R76&lt;1900,R76&gt;9999,R76&lt;&gt;INT(R76),S76&lt;1,S76&gt;12,S76&lt;&gt;INT(S76)),"E_INVALID_DATE",""))),IF(N76="YEAR",IF(R76="","E_MISSING_INPUT",IF(NOT(ISNUMBER(R76)),"E_INVALID_DATE",IF(OR(R76&lt;1900,R76&gt;9999,R76&lt;&gt;INT(R76)),"E_INVALID_DATE",""))),IF(N76="RANGE",IF(OR(T76="",U76=""),"E_MISSING_INPUT",IF(OR(NOT(ISNUMBER(T76)),NOT(ISNUMBER(U76))),"E_INVALID_DATE",IF(OR(T76&lt;&gt;INT(T76),U76&lt;&gt;INT(U76)),"E_INVALID_DATE",IF(T76&gt;U76,"E_REVERSED_BOUNDS","")))),"E_MISSING_INPUT")))))))</f>
        <v/>
      </c>
      <c r="X76" s="22">
        <f t="shared" si="40"/>
        <v>0</v>
      </c>
      <c r="Y76" s="22">
        <f t="shared" si="41"/>
        <v>0</v>
      </c>
      <c r="Z76" s="28" t="str">
        <f t="shared" si="42"/>
        <v/>
      </c>
      <c r="AA76" s="28" t="str">
        <f t="shared" si="43"/>
        <v/>
      </c>
      <c r="AB76" s="22" t="str">
        <f t="shared" si="44"/>
        <v/>
      </c>
      <c r="AC76" s="22" t="str">
        <f t="shared" si="45"/>
        <v/>
      </c>
      <c r="AD76" s="9"/>
      <c r="AE76" s="16"/>
      <c r="AF76" s="14"/>
      <c r="AG76" s="25"/>
      <c r="AH76" s="9"/>
      <c r="AI76" s="11"/>
      <c r="AJ76" s="11"/>
      <c r="AK76" s="14"/>
      <c r="AL76" s="14"/>
      <c r="AM76" s="9"/>
      <c r="AN76" s="21" t="str">
        <f>IF(COUNTA(AE76:AL76)=0,"",IF(AE76="","E_MISSING_INPUT",IF(AE76="TIMESTAMP",IF(OR(AF76="",AG76="",AH76=""),"E_MISSING_INPUT",IF(OR(NOT(ISNUMBER(AF76)),NOT(ISNUMBER(AG76))),"E_INVALID_DATE",IF(OR(AF76&lt;&gt;INT(AF76),AG76&lt;0,AG76&gt;=1),"E_INVALID_DATE",IF(ISNA(MATCH(AH76,nLIST_Offset,0)),"E_INVALID_DATE","")))),IF(AE76="DATE",IF(AF76="","E_MISSING_INPUT",IF(NOT(ISNUMBER(AF76)),"E_INVALID_DATE",IF(AF76&lt;&gt;INT(AF76),"E_INVALID_DATE",""))),IF(AE76="MONTH",IF(OR(AI76="",AJ76=""),"E_MISSING_INPUT",IF(OR(NOT(ISNUMBER(AI76)),NOT(ISNUMBER(AJ76))),"E_INVALID_DATE",IF(OR(AI76&lt;1900,AI76&gt;9999,AI76&lt;&gt;INT(AI76),AJ76&lt;1,AJ76&gt;12,AJ76&lt;&gt;INT(AJ76)),"E_INVALID_DATE",""))),IF(AE76="YEAR",IF(AI76="","E_MISSING_INPUT",IF(NOT(ISNUMBER(AI76)),"E_INVALID_DATE",IF(OR(AI76&lt;1900,AI76&gt;9999,AI76&lt;&gt;INT(AI76)),"E_INVALID_DATE",""))),IF(AE76="RANGE",IF(OR(AK76="",AL76=""),"E_MISSING_INPUT",IF(OR(NOT(ISNUMBER(AK76)),NOT(ISNUMBER(AL76))),"E_INVALID_DATE",IF(OR(AK76&lt;&gt;INT(AK76),AL76&lt;&gt;INT(AL76)),"E_INVALID_DATE",IF(AK76&gt;AL76,"E_REVERSED_BOUNDS","")))),"E_MISSING_INPUT")))))))</f>
        <v/>
      </c>
      <c r="AO76" s="22">
        <f t="shared" si="46"/>
        <v>0</v>
      </c>
      <c r="AP76" s="22">
        <f t="shared" si="47"/>
        <v>0</v>
      </c>
      <c r="AQ76" s="28" t="str">
        <f t="shared" si="48"/>
        <v/>
      </c>
      <c r="AR76" s="28" t="str">
        <f t="shared" si="49"/>
        <v/>
      </c>
      <c r="AS76" s="22" t="str">
        <f t="shared" si="50"/>
        <v/>
      </c>
      <c r="AT76" s="22" t="str">
        <f t="shared" si="51"/>
        <v/>
      </c>
      <c r="AU76" s="9"/>
      <c r="AV76" s="16"/>
      <c r="AW76" s="14"/>
      <c r="AX76" s="25"/>
      <c r="AY76" s="9"/>
      <c r="AZ76" s="11"/>
      <c r="BA76" s="11"/>
      <c r="BB76" s="14"/>
      <c r="BC76" s="14"/>
      <c r="BD76" s="9"/>
      <c r="BE76" s="21" t="str">
        <f>IF(COUNTA(AV76:BC76)=0,"",IF(AV76="","E_MISSING_INPUT",IF(AV76="TIMESTAMP",IF(OR(AW76="",AX76="",AY76=""),"E_MISSING_INPUT",IF(OR(NOT(ISNUMBER(AW76)),NOT(ISNUMBER(AX76))),"E_INVALID_DATE",IF(OR(AW76&lt;&gt;INT(AW76),AX76&lt;0,AX76&gt;=1),"E_INVALID_DATE",IF(ISNA(MATCH(AY76,nLIST_Offset,0)),"E_INVALID_DATE","")))),IF(AV76="DATE",IF(AW76="","E_MISSING_INPUT",IF(NOT(ISNUMBER(AW76)),"E_INVALID_DATE",IF(AW76&lt;&gt;INT(AW76),"E_INVALID_DATE",""))),IF(AV76="MONTH",IF(OR(AZ76="",BA76=""),"E_MISSING_INPUT",IF(OR(NOT(ISNUMBER(AZ76)),NOT(ISNUMBER(BA76))),"E_INVALID_DATE",IF(OR(AZ76&lt;1900,AZ76&gt;9999,AZ76&lt;&gt;INT(AZ76),BA76&lt;1,BA76&gt;12,BA76&lt;&gt;INT(BA76)),"E_INVALID_DATE",""))),IF(AV76="YEAR",IF(AZ76="","E_MISSING_INPUT",IF(NOT(ISNUMBER(AZ76)),"E_INVALID_DATE",IF(OR(AZ76&lt;1900,AZ76&gt;9999,AZ76&lt;&gt;INT(AZ76)),"E_INVALID_DATE",""))),IF(AV76="RANGE",IF(OR(BB76="",BC76=""),"E_MISSING_INPUT",IF(OR(NOT(ISNUMBER(BB76)),NOT(ISNUMBER(BC76))),"E_INVALID_DATE",IF(OR(BB76&lt;&gt;INT(BB76),BC76&lt;&gt;INT(BC76)),"E_INVALID_DATE",IF(BB76&gt;BC76,"E_REVERSED_BOUNDS","")))),"E_MISSING_INPUT")))))))</f>
        <v/>
      </c>
      <c r="BF76" s="22">
        <f t="shared" si="52"/>
        <v>0</v>
      </c>
      <c r="BG76" s="22">
        <f t="shared" si="53"/>
        <v>0</v>
      </c>
      <c r="BH76" s="28" t="str">
        <f t="shared" si="54"/>
        <v/>
      </c>
      <c r="BI76" s="28" t="str">
        <f t="shared" si="55"/>
        <v/>
      </c>
      <c r="BJ76" s="22" t="str">
        <f t="shared" si="56"/>
        <v/>
      </c>
      <c r="BK76" s="22" t="str">
        <f t="shared" si="57"/>
        <v/>
      </c>
      <c r="BL76" s="21" t="str">
        <f t="shared" si="58"/>
        <v>VEC-V38|1|EX1</v>
      </c>
      <c r="BM76" s="22">
        <f>IF(BL76="",0,COUNTIF(nEXP_Key,BL76))</f>
        <v>1</v>
      </c>
      <c r="BN76" s="21" t="str">
        <f t="shared" si="59"/>
        <v/>
      </c>
      <c r="BO76" s="21" t="str">
        <f>IF(BN76="","",BN76&amp;": "&amp;SUBSTITUTE(IFERROR(INDEX(nMSG_Text,MATCH(BN76,nMSG_Code,0)),""),"[input]",IF(D76="","an Exposure_Episode_ID","the date fields required by the selected precision")))</f>
        <v/>
      </c>
    </row>
  </sheetData>
  <sheetProtection sheet="1" objects="1" scenarios="1" formatColumns="0" formatRows="0" autoFilter="0"/>
  <autoFilter ref="A4:BO76" xr:uid="{68E05D77-E984-42D4-8D0D-1FE6AD1797FF}"/>
  <dataValidations count="13">
    <dataValidation type="whole" operator="greaterThanOrEqual" allowBlank="1" showInputMessage="1" showErrorMessage="1" sqref="B5:B34" xr:uid="{3CEFD72A-053B-4618-92BB-4E57A398B313}">
      <formula1>1</formula1>
    </dataValidation>
    <dataValidation type="list" allowBlank="1" showInputMessage="1" showErrorMessage="1" sqref="F5:F34" xr:uid="{04A9A011-5BE0-4FA3-9DB9-0360DD464109}">
      <formula1>nLIST_Role</formula1>
    </dataValidation>
    <dataValidation type="decimal" allowBlank="1" showInputMessage="1" showErrorMessage="1" sqref="H5:H34" xr:uid="{130E34DE-AE03-489A-8B03-2D08A6EF700A}">
      <formula1>-1000000000000</formula1>
      <formula2>1000000000000</formula2>
    </dataValidation>
    <dataValidation type="list" allowBlank="1" showInputMessage="1" showErrorMessage="1" sqref="I5:I34" xr:uid="{9C0B1967-EACB-46FF-9433-FE72B231CFBD}">
      <formula1>nLIST_DoseUnit</formula1>
    </dataValidation>
    <dataValidation type="list" errorStyle="information" allowBlank="1" showInputMessage="1" showErrorMessage="1" sqref="K5:K34" xr:uid="{02BE6829-C50B-4825-ADCD-8762289A5CB0}">
      <formula1>nLIST_MissingReason</formula1>
    </dataValidation>
    <dataValidation type="list" allowBlank="1" showInputMessage="1" showErrorMessage="1" prompt="TIMESTAMP: Date + Time + UTC offset (choose unknown if not recorded). DATE: Date only. MONTH: Year + Month. YEAR: Year. RANGE: earliest and latest dates as stated, with the source." sqref="N5:N34" xr:uid="{60D50EAB-67B2-419F-8364-16AFD27DABE7}">
      <formula1>nLIST_Precision</formula1>
    </dataValidation>
    <dataValidation type="date" allowBlank="1" showInputMessage="1" showErrorMessage="1" sqref="O5:O34 T5:T34 U5:U34 AF5:AF34 AK5:AK34 AL5:AL34 AW5:AW34 BB5:BB34 BC5:BC34" xr:uid="{C9F47ABB-8F37-4D20-B295-838BE6F24A45}">
      <formula1>1</formula1>
      <formula2>2958465</formula2>
    </dataValidation>
    <dataValidation type="time" allowBlank="1" showInputMessage="1" showErrorMessage="1" sqref="P5:P34" xr:uid="{02C22FF3-8BFF-4A7B-A897-D74DB0442EEA}">
      <formula1>0</formula1>
      <formula2>0.9993055</formula2>
    </dataValidation>
    <dataValidation type="list" allowBlank="1" showInputMessage="1" showErrorMessage="1" sqref="Q5:Q34 AH5:AH34 AY5:AY34" xr:uid="{1376409E-6ECA-4176-97E0-84E958A948BA}">
      <formula1>nLIST_Offset</formula1>
    </dataValidation>
    <dataValidation type="whole" allowBlank="1" showInputMessage="1" showErrorMessage="1" sqref="R5:R34 AI5:AI34 AZ5:AZ34" xr:uid="{1DF0F735-385C-4404-9678-43FFE21ADCAB}">
      <formula1>1900</formula1>
      <formula2>9999</formula2>
    </dataValidation>
    <dataValidation type="whole" allowBlank="1" showInputMessage="1" showErrorMessage="1" sqref="S5:S34 AJ5:AJ34 BA5:BA34" xr:uid="{472D12C8-B683-40D4-8A72-2221D0235CA2}">
      <formula1>1</formula1>
      <formula2>12</formula2>
    </dataValidation>
    <dataValidation type="list" allowBlank="1" showInputMessage="1" showErrorMessage="1" sqref="AE5:AE34 AV5:AV34" xr:uid="{B745C552-ED61-4CF7-BF50-63DCA2D5EBB4}">
      <formula1>nLIST_Precision</formula1>
    </dataValidation>
    <dataValidation type="time" allowBlank="1" showInputMessage="1" showErrorMessage="1" sqref="AG5:AG34 AX5:AX34" xr:uid="{D3CCEDCB-FA46-4304-A509-3CA6EF0D9717}">
      <formula1>0</formula1>
      <formula2>0.999305555555556</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B3F06-C734-44EF-AEA4-67660E823CC8}">
  <dimension ref="A1:BT83"/>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2" width="7.7109375" style="1" customWidth="1"/>
    <col min="3" max="3" width="12.7109375" style="1" customWidth="1"/>
    <col min="4" max="4" width="11.7109375" style="1" customWidth="1"/>
    <col min="5" max="5" width="13.7109375" style="1" customWidth="1"/>
    <col min="6" max="6" width="8.7109375" style="1" customWidth="1"/>
    <col min="7" max="7" width="9.7109375" style="1" customWidth="1"/>
    <col min="8" max="8" width="8.7109375" style="1" customWidth="1"/>
    <col min="9" max="9" width="9.7109375" style="1" customWidth="1"/>
    <col min="10" max="10" width="8.7109375" style="1" customWidth="1"/>
    <col min="11" max="11" width="12.7109375" style="1" customWidth="1"/>
    <col min="12" max="12" width="24.7109375" style="1" customWidth="1"/>
    <col min="13" max="13" width="26.7109375" style="1" customWidth="1"/>
    <col min="14" max="14" width="11.7109375" style="1" customWidth="1"/>
    <col min="15" max="15" width="15.7109375" style="1" customWidth="1"/>
    <col min="16" max="17" width="9.7109375" style="1" customWidth="1"/>
    <col min="18" max="19" width="7.7109375" style="1" customWidth="1"/>
    <col min="20" max="21" width="15.7109375" style="1" customWidth="1"/>
    <col min="22" max="22" width="22.7109375" style="1" customWidth="1"/>
    <col min="23" max="23" width="12.7109375" style="1" customWidth="1"/>
    <col min="24" max="25" width="6.7109375" style="1" customWidth="1"/>
    <col min="26" max="27" width="14.7109375" style="1" customWidth="1"/>
    <col min="28" max="29" width="11.7109375" style="1" customWidth="1"/>
    <col min="30" max="30" width="15.7109375" style="1" customWidth="1"/>
    <col min="31" max="32" width="9.7109375" style="1" customWidth="1"/>
    <col min="33" max="33" width="18.7109375" style="1" customWidth="1"/>
    <col min="34" max="35" width="10.7109375" style="1" customWidth="1"/>
    <col min="36" max="36" width="5.7109375" style="1" customWidth="1"/>
    <col min="37" max="37" width="10.7109375" style="1" customWidth="1"/>
    <col min="38" max="38" width="14.7109375" style="1" customWidth="1"/>
    <col min="39" max="39" width="5.7109375" style="1" customWidth="1"/>
    <col min="40" max="40" width="14.7109375" style="1" customWidth="1"/>
    <col min="41" max="42" width="5.7109375" style="1" customWidth="1"/>
    <col min="43" max="44" width="9.7109375" style="1" customWidth="1"/>
    <col min="45" max="45" width="7.7109375" style="1" customWidth="1"/>
    <col min="46" max="49" width="6.7109375" style="1" customWidth="1"/>
    <col min="50" max="50" width="5.7109375" style="1" customWidth="1"/>
    <col min="51" max="52" width="6.7109375" style="1" customWidth="1"/>
    <col min="53" max="55" width="5.7109375" style="1" customWidth="1"/>
    <col min="56" max="56" width="8.7109375" style="1" customWidth="1"/>
    <col min="57" max="57" width="14.7109375" style="1" customWidth="1"/>
    <col min="58" max="58" width="10.7109375" style="1" customWidth="1"/>
    <col min="59" max="60" width="5.7109375" style="1" customWidth="1"/>
    <col min="61" max="64" width="9.7109375" style="1" customWidth="1"/>
    <col min="65" max="66" width="4.7109375" style="1" customWidth="1"/>
    <col min="67" max="68" width="5.7109375" style="1" customWidth="1"/>
    <col min="69" max="69" width="14.7109375" style="1" customWidth="1"/>
    <col min="70" max="70" width="5.7109375" style="1" customWidth="1"/>
    <col min="71" max="71" width="14.7109375" style="1" customWidth="1"/>
    <col min="72" max="72" width="40.7109375" style="1" customWidth="1"/>
    <col min="73" max="16384" width="9.140625" style="1"/>
  </cols>
  <sheetData>
    <row r="1" spans="1:72" ht="17.25" x14ac:dyDescent="0.3">
      <c r="A1" s="6" t="s">
        <v>577</v>
      </c>
    </row>
    <row r="2" spans="1:72" x14ac:dyDescent="0.2">
      <c r="A2" s="7" t="s">
        <v>278</v>
      </c>
    </row>
    <row r="3" spans="1:72" x14ac:dyDescent="0.2">
      <c r="A3" s="2" t="s">
        <v>578</v>
      </c>
      <c r="M3" s="2" t="s">
        <v>586</v>
      </c>
      <c r="AD3" s="2" t="s">
        <v>604</v>
      </c>
      <c r="AL3" s="2" t="s">
        <v>613</v>
      </c>
    </row>
    <row r="4" spans="1:72" ht="66" customHeight="1" x14ac:dyDescent="0.2">
      <c r="A4" s="8" t="s">
        <v>280</v>
      </c>
      <c r="B4" s="8" t="s">
        <v>281</v>
      </c>
      <c r="C4" s="8" t="s">
        <v>579</v>
      </c>
      <c r="D4" s="8" t="s">
        <v>580</v>
      </c>
      <c r="E4" s="8" t="s">
        <v>581</v>
      </c>
      <c r="F4" s="8" t="s">
        <v>582</v>
      </c>
      <c r="G4" s="8" t="s">
        <v>392</v>
      </c>
      <c r="H4" s="8" t="s">
        <v>583</v>
      </c>
      <c r="I4" s="8" t="s">
        <v>584</v>
      </c>
      <c r="J4" s="8" t="s">
        <v>585</v>
      </c>
      <c r="K4" s="8" t="s">
        <v>394</v>
      </c>
      <c r="L4" s="8" t="s">
        <v>395</v>
      </c>
      <c r="M4" s="8" t="s">
        <v>587</v>
      </c>
      <c r="N4" s="8" t="s">
        <v>588</v>
      </c>
      <c r="O4" s="8" t="s">
        <v>589</v>
      </c>
      <c r="P4" s="8" t="s">
        <v>590</v>
      </c>
      <c r="Q4" s="8" t="s">
        <v>591</v>
      </c>
      <c r="R4" s="8" t="s">
        <v>592</v>
      </c>
      <c r="S4" s="8" t="s">
        <v>593</v>
      </c>
      <c r="T4" s="8" t="s">
        <v>594</v>
      </c>
      <c r="U4" s="8" t="s">
        <v>595</v>
      </c>
      <c r="V4" s="8" t="s">
        <v>596</v>
      </c>
      <c r="W4" s="19" t="s">
        <v>597</v>
      </c>
      <c r="X4" s="19" t="s">
        <v>598</v>
      </c>
      <c r="Y4" s="19" t="s">
        <v>599</v>
      </c>
      <c r="Z4" s="19" t="s">
        <v>600</v>
      </c>
      <c r="AA4" s="19" t="s">
        <v>601</v>
      </c>
      <c r="AB4" s="19" t="s">
        <v>602</v>
      </c>
      <c r="AC4" s="19" t="s">
        <v>603</v>
      </c>
      <c r="AD4" s="8" t="s">
        <v>605</v>
      </c>
      <c r="AE4" s="8" t="s">
        <v>606</v>
      </c>
      <c r="AF4" s="8" t="s">
        <v>607</v>
      </c>
      <c r="AG4" s="8" t="s">
        <v>608</v>
      </c>
      <c r="AH4" s="19" t="s">
        <v>609</v>
      </c>
      <c r="AI4" s="19" t="s">
        <v>610</v>
      </c>
      <c r="AJ4" s="19" t="s">
        <v>611</v>
      </c>
      <c r="AK4" s="19" t="s">
        <v>612</v>
      </c>
      <c r="AL4" s="19" t="s">
        <v>614</v>
      </c>
      <c r="AM4" s="19" t="s">
        <v>291</v>
      </c>
      <c r="AN4" s="19" t="s">
        <v>615</v>
      </c>
      <c r="AO4" s="19" t="s">
        <v>616</v>
      </c>
      <c r="AP4" s="19" t="s">
        <v>617</v>
      </c>
      <c r="AQ4" s="19" t="s">
        <v>618</v>
      </c>
      <c r="AR4" s="19" t="s">
        <v>619</v>
      </c>
      <c r="AS4" s="19" t="s">
        <v>620</v>
      </c>
      <c r="AT4" s="19" t="s">
        <v>621</v>
      </c>
      <c r="AU4" s="19" t="s">
        <v>622</v>
      </c>
      <c r="AV4" s="19" t="s">
        <v>623</v>
      </c>
      <c r="AW4" s="19" t="s">
        <v>624</v>
      </c>
      <c r="AX4" s="19" t="s">
        <v>625</v>
      </c>
      <c r="AY4" s="19" t="s">
        <v>626</v>
      </c>
      <c r="AZ4" s="19" t="s">
        <v>627</v>
      </c>
      <c r="BA4" s="19" t="s">
        <v>628</v>
      </c>
      <c r="BB4" s="19" t="s">
        <v>629</v>
      </c>
      <c r="BC4" s="19" t="s">
        <v>630</v>
      </c>
      <c r="BD4" s="19" t="s">
        <v>631</v>
      </c>
      <c r="BE4" s="19" t="s">
        <v>632</v>
      </c>
      <c r="BF4" s="19" t="s">
        <v>633</v>
      </c>
      <c r="BG4" s="19" t="s">
        <v>634</v>
      </c>
      <c r="BH4" s="19" t="s">
        <v>635</v>
      </c>
      <c r="BI4" s="19" t="s">
        <v>636</v>
      </c>
      <c r="BJ4" s="19" t="s">
        <v>637</v>
      </c>
      <c r="BK4" s="19" t="s">
        <v>638</v>
      </c>
      <c r="BL4" s="19" t="s">
        <v>639</v>
      </c>
      <c r="BM4" s="19" t="s">
        <v>640</v>
      </c>
      <c r="BN4" s="19" t="s">
        <v>641</v>
      </c>
      <c r="BO4" s="19" t="s">
        <v>642</v>
      </c>
      <c r="BP4" s="19" t="s">
        <v>643</v>
      </c>
      <c r="BQ4" s="19" t="s">
        <v>644</v>
      </c>
      <c r="BR4" s="19" t="s">
        <v>645</v>
      </c>
      <c r="BS4" s="19" t="s">
        <v>646</v>
      </c>
      <c r="BT4" s="19" t="s">
        <v>293</v>
      </c>
    </row>
    <row r="5" spans="1:72" x14ac:dyDescent="0.2">
      <c r="A5" s="10"/>
      <c r="B5" s="12"/>
      <c r="C5" s="10"/>
      <c r="D5" s="10"/>
      <c r="E5" s="17"/>
      <c r="F5" s="17"/>
      <c r="G5" s="17"/>
      <c r="H5" s="17"/>
      <c r="I5" s="17"/>
      <c r="J5" s="17"/>
      <c r="K5" s="17"/>
      <c r="L5" s="10"/>
      <c r="M5" s="10"/>
      <c r="N5" s="17"/>
      <c r="O5" s="15"/>
      <c r="P5" s="26"/>
      <c r="Q5" s="10"/>
      <c r="R5" s="12"/>
      <c r="S5" s="12"/>
      <c r="T5" s="15"/>
      <c r="U5" s="15"/>
      <c r="V5" s="10"/>
      <c r="W5" s="21" t="str">
        <f>IF(COUNTA(N5:U5)=0,"",IF(N5="","E_MISSING_INPUT",IF(N5="TIMESTAMP",IF(OR(O5="",P5="",Q5=""),"E_MISSING_INPUT",IF(OR(NOT(ISNUMBER(O5)),NOT(ISNUMBER(P5))),"E_INVALID_DATE",IF(OR(O5&lt;&gt;INT(O5),P5&lt;0,P5&gt;=1),"E_INVALID_DATE",IF(ISNA(MATCH(Q5,nLIST_Offset,0)),"E_INVALID_DATE","")))),IF(N5="DATE",IF(O5="","E_MISSING_INPUT",IF(NOT(ISNUMBER(O5)),"E_INVALID_DATE",IF(O5&lt;&gt;INT(O5),"E_INVALID_DATE",""))),IF(N5="MONTH",IF(OR(R5="",S5=""),"E_MISSING_INPUT",IF(OR(NOT(ISNUMBER(R5)),NOT(ISNUMBER(S5))),"E_INVALID_DATE",IF(OR(R5&lt;1900,R5&gt;9999,R5&lt;&gt;INT(R5),S5&lt;1,S5&gt;12,S5&lt;&gt;INT(S5)),"E_INVALID_DATE",""))),IF(N5="YEAR",IF(R5="","E_MISSING_INPUT",IF(NOT(ISNUMBER(R5)),"E_INVALID_DATE",IF(OR(R5&lt;1900,R5&gt;9999,R5&lt;&gt;INT(R5)),"E_INVALID_DATE",""))),IF(N5="RANGE",IF(OR(T5="",U5=""),"E_MISSING_INPUT",IF(OR(NOT(ISNUMBER(T5)),NOT(ISNUMBER(U5))),"E_INVALID_DATE",IF(OR(T5&lt;&gt;INT(T5),U5&lt;&gt;INT(U5)),"E_INVALID_DATE",IF(T5&gt;U5,"E_REVERSED_BOUNDS","")))),"E_MISSING_INPUT")))))))</f>
        <v/>
      </c>
      <c r="X5" s="22">
        <f t="shared" ref="X5:X36" si="0">IF(AND(W5="",N5="TIMESTAMP"),1,0)</f>
        <v>0</v>
      </c>
      <c r="Y5" s="22">
        <f t="shared" ref="Y5:Y36" si="1">IF(AND(X5=1,Q5&lt;&gt;"unknown"),1,0)</f>
        <v>0</v>
      </c>
      <c r="Z5" s="28" t="str">
        <f t="shared" ref="Z5:Z36" si="2">IF(OR(W5&lt;&gt;"",N5=""),"",IF(OR(N5="TIMESTAMP",N5="DATE"),O5,IF(N5="MONTH",DATE(R5,S5,1),IF(N5="YEAR",DATE(R5,1,1),T5))))</f>
        <v/>
      </c>
      <c r="AA5" s="28" t="str">
        <f t="shared" ref="AA5:AA36" si="3">IF(OR(W5&lt;&gt;"",N5=""),"",IF(OR(N5="TIMESTAMP",N5="DATE"),O5,IF(N5="MONTH",EOMONTH(DATE(R5,S5,1),0),IF(N5="YEAR",DATE(R5,12,31),U5))))</f>
        <v/>
      </c>
      <c r="AB5" s="22" t="str">
        <f t="shared" ref="AB5:AB36" si="4">IF(X5=1,O5*1440+ROUND(P5*1440,0),"")</f>
        <v/>
      </c>
      <c r="AC5" s="22" t="str">
        <f t="shared" ref="AC5:AC36" si="5">IF(Y5=1,AB5-(IF(LEFT(Q5,1)="-",-1,1)*(VALUE(MID(Q5,2,2))*60+VALUE(MID(Q5,5,2)))),"")</f>
        <v/>
      </c>
      <c r="AD5" s="15"/>
      <c r="AE5" s="26"/>
      <c r="AF5" s="10"/>
      <c r="AG5" s="10"/>
      <c r="AH5" s="21" t="str">
        <f>IF(COUNTA(AD5:AF5)=0,"",IF(OR(AD5="",AE5="",AF5=""),"E_MISSING_INPUT",IF(OR(NOT(ISNUMBER(AD5)),NOT(ISNUMBER(AE5))),"E_INVALID_DATE",IF(OR(AD5&lt;&gt;INT(AD5),AE5&lt;0,AE5&gt;=1),"E_INVALID_DATE",IF(ISNA(MATCH(AF5,nLIST_Offset,0)),"E_INVALID_DATE","")))))</f>
        <v/>
      </c>
      <c r="AI5" s="22" t="str">
        <f t="shared" ref="AI5:AI36" si="6">IF(AND(AH5="",ISNUMBER(AD5),ISNUMBER(AE5)),AD5*1440+ROUND(AE5*1440,0),"")</f>
        <v/>
      </c>
      <c r="AJ5" s="22">
        <f t="shared" ref="AJ5:AJ36" si="7">IF(AND(AI5&lt;&gt;"",AF5&lt;&gt;"unknown"),1,0)</f>
        <v>0</v>
      </c>
      <c r="AK5" s="22" t="str">
        <f t="shared" ref="AK5:AK36" si="8">IF(AJ5=1,AI5-(IF(LEFT(AF5,1)="-",-1,1)*(VALUE(MID(AF5,2,2))*60+VALUE(MID(AF5,5,2)))),"")</f>
        <v/>
      </c>
      <c r="AL5" s="21" t="str">
        <f t="shared" ref="AL5:AL36" si="9">IF(C5="","",A5&amp;"|"&amp;B5&amp;"|"&amp;C5)</f>
        <v/>
      </c>
      <c r="AM5" s="22">
        <f>IF(AL5="",0,COUNTIF(nADM_Key,AL5))</f>
        <v>0</v>
      </c>
      <c r="AN5" s="21" t="str">
        <f t="shared" ref="AN5:AN36" si="10">IF(C5="","",A5&amp;"|"&amp;B5&amp;"|"&amp;D5)</f>
        <v/>
      </c>
      <c r="AO5" s="22">
        <f t="shared" ref="AO5:AO36" si="11">IF(AND(C5&lt;&gt;"",W5="",Z5&lt;&gt;"",OR(N5="TIMESTAMP",N5="DATE")),1,0)</f>
        <v>0</v>
      </c>
      <c r="AP5" s="22">
        <f t="shared" ref="AP5:AP36" si="12">IF(AND(C5&lt;&gt;"",COUNTA(N5:U5)&gt;0),1,0)</f>
        <v>0</v>
      </c>
      <c r="AQ5" s="22">
        <f t="shared" ref="AQ5:AQ36" si="13">IF(X5=1,AB5,0)</f>
        <v>0</v>
      </c>
      <c r="AR5" s="22">
        <f t="shared" ref="AR5:AR36" si="14">IF(Y5=1,AC5,0)</f>
        <v>0</v>
      </c>
      <c r="AS5" s="22">
        <f t="shared" ref="AS5:AS36" si="15">IF(AO5=1,Z5,0)</f>
        <v>0</v>
      </c>
      <c r="AT5" s="22">
        <f>ROW()</f>
        <v>5</v>
      </c>
      <c r="AU5" s="21">
        <f t="shared" ref="AU5:AU36" si="16">IF(ISNUMBER(H5),H5,0)</f>
        <v>0</v>
      </c>
      <c r="AV5" s="21">
        <f t="shared" ref="AV5:AV36" si="17">IF(ISNUMBER(F5),F5,0)</f>
        <v>0</v>
      </c>
      <c r="AW5" s="21">
        <f t="shared" ref="AW5:AW36" si="18">IF(AND(ISNUMBER(F5),F5&gt;0),F5,0)</f>
        <v>0</v>
      </c>
      <c r="AX5" s="22">
        <f t="shared" ref="AX5:AX36" si="19">IF(AND(C5&lt;&gt;"",ISNUMBER(F5)),1,0)</f>
        <v>0</v>
      </c>
      <c r="AY5" s="21">
        <f t="shared" ref="AY5:AY36" si="20">IF(ISNUMBER(J5),J5,0)</f>
        <v>0</v>
      </c>
      <c r="AZ5" s="21">
        <f t="shared" ref="AZ5:AZ36" si="21">IF(ISNUMBER(J5),J5,IF(J5="",-1,-2))</f>
        <v>-1</v>
      </c>
      <c r="BA5" s="22">
        <f t="shared" ref="BA5:BA36" si="22">IF(AND(C5&lt;&gt;"",ISNUMBER(J5)),1,0)</f>
        <v>0</v>
      </c>
      <c r="BB5" s="22">
        <f t="shared" ref="BB5:BB36" si="23">IF(AND(C5&lt;&gt;"",J5=""),1,0)</f>
        <v>0</v>
      </c>
      <c r="BC5" s="22">
        <f t="shared" ref="BC5:BC36" si="24">IF(AND(C5&lt;&gt;"",ISNUMBER(F5),ISNUMBER(J5)),IF(J5&gt;0,1,0),0)</f>
        <v>0</v>
      </c>
      <c r="BD5" s="21">
        <f t="shared" ref="BD5:BD36" si="25">IF(BC5=1,AV5/J5,0)</f>
        <v>0</v>
      </c>
      <c r="BE5" s="21" t="str">
        <f t="shared" ref="BE5:BE36" si="26">IF(OR(C5="",E5="INFUSION_SEGMENT"),"",IF(G5="","; E_MISSING_INPUT",IF(G5&lt;&gt;"mg","; E_INVALID_UNIT",""))&amp;IF(NOT(ISNUMBER(F5)),"; E_MISSING_INPUT",IF(F5&lt;=0,"; E_NONPOSITIVE_PARAMETER",""))&amp;IF(AND(J5&lt;&gt;"",NOT(ISNUMBER(J5))),"; E_MISSING_INPUT",IF(AND(ISNUMBER(J5),J5&lt;=0),"; E_NONPOSITIVE_PARAMETER","")))</f>
        <v/>
      </c>
      <c r="BF5" s="21" t="str">
        <f t="shared" ref="BF5:BF36" si="27">IF(OR(C5="",E5="INFUSION_SEGMENT",AP5=0,AO5=1),"",IF(W5&lt;&gt;"",W5,"E_MISSING_INPUT"))</f>
        <v/>
      </c>
      <c r="BG5" s="22">
        <f t="shared" ref="BG5:BG36" si="28">IF(AND(E5="INFUSION_SEGMENT",W5="",X5=1,AH5="",AI5&lt;&gt;""),1,0)</f>
        <v>0</v>
      </c>
      <c r="BH5" s="22">
        <f t="shared" ref="BH5:BH36" si="29">IF(AND(BG5=1,Y5=1,AJ5=1),1,0)</f>
        <v>0</v>
      </c>
      <c r="BI5" s="22">
        <f t="shared" ref="BI5:BI36" si="30">IF(BH5=1,AC5,0)</f>
        <v>0</v>
      </c>
      <c r="BJ5" s="22">
        <f t="shared" ref="BJ5:BJ36" si="31">IF(BH5=1,AK5,0)</f>
        <v>0</v>
      </c>
      <c r="BK5" s="22">
        <f t="shared" ref="BK5:BK36" si="32">IF(BG5=1,AB5,0)</f>
        <v>0</v>
      </c>
      <c r="BL5" s="22">
        <f t="shared" ref="BL5:BL36" si="33">IF(BG5=1,AI5,0)</f>
        <v>0</v>
      </c>
      <c r="BM5" s="22">
        <f t="shared" ref="BM5:BM36" si="34">IF(AND(BG5=1,BL5&lt;BK5),1,0)</f>
        <v>0</v>
      </c>
      <c r="BN5" s="22">
        <f t="shared" ref="BN5:BN36" si="35">IF(AND(BH5=1,BJ5&lt;BI5),1,0)</f>
        <v>0</v>
      </c>
      <c r="BO5" s="22">
        <f>IF(BG5=0,0,COUNTIFS(nADM_SelKey,AN5,nADM_SegValid,1,nADM_SegS_Loc_n,"&lt;"&amp;BL5,nADM_SegE_Loc_n,"&gt;"&amp;BK5)-IF(BL5&gt;BK5,1,0))</f>
        <v>0</v>
      </c>
      <c r="BP5" s="22">
        <f>IF(BH5=0,0,COUNTIFS(nADM_SelKey,AN5,nADM_SegOK,1,nADM_SegS_UTC_n,"&lt;"&amp;BJ5,nADM_SegE_UTC_n,"&gt;"&amp;BI5)-IF(BJ5&gt;BI5,1,0))</f>
        <v>0</v>
      </c>
      <c r="BQ5" s="21" t="str">
        <f t="shared" ref="BQ5:BQ36" si="36">IF(E5&lt;&gt;"INFUSION_SEGMENT","",IF(W5&lt;&gt;"","; "&amp;W5,IF(X5=0,"; E_MISSING_INPUT",""))&amp;IF(AH5&lt;&gt;"","; "&amp;AH5,IF(AI5="","; E_MISSING_INPUT",""))&amp;IF(I5="","; E_MISSING_INPUT",IF(I5&lt;&gt;"mg/hour","; E_INVALID_UNIT",""))&amp;IF(NOT(ISNUMBER(H5)),"; E_MISSING_INPUT",IF(H5&lt;=0,"; E_NONPOSITIVE_PARAMETER","")))</f>
        <v/>
      </c>
      <c r="BR5" s="22">
        <f>IF(C5="",1,IF(COUNTIF(nEXP_Key,AN5)&gt;0,1,0))</f>
        <v>1</v>
      </c>
      <c r="BS5" s="21" t="str">
        <f t="shared" ref="BS5:BS36" si="37">IF(C5="",IF(COUNTA(D5,F5,H5,N5,O5)&gt;0,"E_MISSING_INPUT",""),IF(AM5&gt;1,"E_DUPLICATE_ID",IF(BR5=0,"E_MISSING_INPUT",IF(W5&lt;&gt;"",W5,IF(BQ5&lt;&gt;"",IFERROR(LEFT(MID(BQ5,3,999),FIND(";",MID(BQ5,3,999))-1),MID(BQ5,3,999)),IF(AND(ISNUMBER(F5),F5&lt;=0),"E_NONPOSITIVE_PARAMETER",IF(AND(ISNUMBER(J5),J5&lt;=0),"E_NONPOSITIVE_PARAMETER","")))))))</f>
        <v/>
      </c>
      <c r="BT5" s="21" t="str">
        <f>IF(BS5="","",BS5&amp;": "&amp;SUBSTITUTE(IFERROR(INDEX(nMSG_Text,MATCH(BS5,nMSG_Code,0)),""),"[input]",IF(C5="","an Admin_ID",IF(BR5=0,"an Exposures row for episode "&amp;D5,IF(BQ5&lt;&gt;"","segment start and end timestamps and a rate in mg/hour","the date fields required by the selected precision")))))</f>
        <v/>
      </c>
    </row>
    <row r="6" spans="1:72" x14ac:dyDescent="0.2">
      <c r="A6" s="10"/>
      <c r="B6" s="12"/>
      <c r="C6" s="10"/>
      <c r="D6" s="10"/>
      <c r="E6" s="17"/>
      <c r="F6" s="17"/>
      <c r="G6" s="17"/>
      <c r="H6" s="17"/>
      <c r="I6" s="17"/>
      <c r="J6" s="17"/>
      <c r="K6" s="17"/>
      <c r="L6" s="10"/>
      <c r="M6" s="10"/>
      <c r="N6" s="17"/>
      <c r="O6" s="15"/>
      <c r="P6" s="26"/>
      <c r="Q6" s="10"/>
      <c r="R6" s="12"/>
      <c r="S6" s="12"/>
      <c r="T6" s="15"/>
      <c r="U6" s="15"/>
      <c r="V6" s="10"/>
      <c r="W6" s="21" t="str">
        <f>IF(COUNTA(N6:U6)=0,"",IF(N6="","E_MISSING_INPUT",IF(N6="TIMESTAMP",IF(OR(O6="",P6="",Q6=""),"E_MISSING_INPUT",IF(OR(NOT(ISNUMBER(O6)),NOT(ISNUMBER(P6))),"E_INVALID_DATE",IF(OR(O6&lt;&gt;INT(O6),P6&lt;0,P6&gt;=1),"E_INVALID_DATE",IF(ISNA(MATCH(Q6,nLIST_Offset,0)),"E_INVALID_DATE","")))),IF(N6="DATE",IF(O6="","E_MISSING_INPUT",IF(NOT(ISNUMBER(O6)),"E_INVALID_DATE",IF(O6&lt;&gt;INT(O6),"E_INVALID_DATE",""))),IF(N6="MONTH",IF(OR(R6="",S6=""),"E_MISSING_INPUT",IF(OR(NOT(ISNUMBER(R6)),NOT(ISNUMBER(S6))),"E_INVALID_DATE",IF(OR(R6&lt;1900,R6&gt;9999,R6&lt;&gt;INT(R6),S6&lt;1,S6&gt;12,S6&lt;&gt;INT(S6)),"E_INVALID_DATE",""))),IF(N6="YEAR",IF(R6="","E_MISSING_INPUT",IF(NOT(ISNUMBER(R6)),"E_INVALID_DATE",IF(OR(R6&lt;1900,R6&gt;9999,R6&lt;&gt;INT(R6)),"E_INVALID_DATE",""))),IF(N6="RANGE",IF(OR(T6="",U6=""),"E_MISSING_INPUT",IF(OR(NOT(ISNUMBER(T6)),NOT(ISNUMBER(U6))),"E_INVALID_DATE",IF(OR(T6&lt;&gt;INT(T6),U6&lt;&gt;INT(U6)),"E_INVALID_DATE",IF(T6&gt;U6,"E_REVERSED_BOUNDS","")))),"E_MISSING_INPUT")))))))</f>
        <v/>
      </c>
      <c r="X6" s="22">
        <f t="shared" si="0"/>
        <v>0</v>
      </c>
      <c r="Y6" s="22">
        <f t="shared" si="1"/>
        <v>0</v>
      </c>
      <c r="Z6" s="28" t="str">
        <f t="shared" si="2"/>
        <v/>
      </c>
      <c r="AA6" s="28" t="str">
        <f t="shared" si="3"/>
        <v/>
      </c>
      <c r="AB6" s="22" t="str">
        <f t="shared" si="4"/>
        <v/>
      </c>
      <c r="AC6" s="22" t="str">
        <f t="shared" si="5"/>
        <v/>
      </c>
      <c r="AD6" s="15"/>
      <c r="AE6" s="26"/>
      <c r="AF6" s="10"/>
      <c r="AG6" s="10"/>
      <c r="AH6" s="21" t="str">
        <f>IF(COUNTA(AD6:AF6)=0,"",IF(OR(AD6="",AE6="",AF6=""),"E_MISSING_INPUT",IF(OR(NOT(ISNUMBER(AD6)),NOT(ISNUMBER(AE6))),"E_INVALID_DATE",IF(OR(AD6&lt;&gt;INT(AD6),AE6&lt;0,AE6&gt;=1),"E_INVALID_DATE",IF(ISNA(MATCH(AF6,nLIST_Offset,0)),"E_INVALID_DATE","")))))</f>
        <v/>
      </c>
      <c r="AI6" s="22" t="str">
        <f t="shared" si="6"/>
        <v/>
      </c>
      <c r="AJ6" s="22">
        <f t="shared" si="7"/>
        <v>0</v>
      </c>
      <c r="AK6" s="22" t="str">
        <f t="shared" si="8"/>
        <v/>
      </c>
      <c r="AL6" s="21" t="str">
        <f t="shared" si="9"/>
        <v/>
      </c>
      <c r="AM6" s="22">
        <f>IF(AL6="",0,COUNTIF(nADM_Key,AL6))</f>
        <v>0</v>
      </c>
      <c r="AN6" s="21" t="str">
        <f t="shared" si="10"/>
        <v/>
      </c>
      <c r="AO6" s="22">
        <f t="shared" si="11"/>
        <v>0</v>
      </c>
      <c r="AP6" s="22">
        <f t="shared" si="12"/>
        <v>0</v>
      </c>
      <c r="AQ6" s="22">
        <f t="shared" si="13"/>
        <v>0</v>
      </c>
      <c r="AR6" s="22">
        <f t="shared" si="14"/>
        <v>0</v>
      </c>
      <c r="AS6" s="22">
        <f t="shared" si="15"/>
        <v>0</v>
      </c>
      <c r="AT6" s="22">
        <f>ROW()</f>
        <v>6</v>
      </c>
      <c r="AU6" s="21">
        <f t="shared" si="16"/>
        <v>0</v>
      </c>
      <c r="AV6" s="21">
        <f t="shared" si="17"/>
        <v>0</v>
      </c>
      <c r="AW6" s="21">
        <f t="shared" si="18"/>
        <v>0</v>
      </c>
      <c r="AX6" s="22">
        <f t="shared" si="19"/>
        <v>0</v>
      </c>
      <c r="AY6" s="21">
        <f t="shared" si="20"/>
        <v>0</v>
      </c>
      <c r="AZ6" s="21">
        <f t="shared" si="21"/>
        <v>-1</v>
      </c>
      <c r="BA6" s="22">
        <f t="shared" si="22"/>
        <v>0</v>
      </c>
      <c r="BB6" s="22">
        <f t="shared" si="23"/>
        <v>0</v>
      </c>
      <c r="BC6" s="22">
        <f t="shared" si="24"/>
        <v>0</v>
      </c>
      <c r="BD6" s="21">
        <f t="shared" si="25"/>
        <v>0</v>
      </c>
      <c r="BE6" s="21" t="str">
        <f t="shared" si="26"/>
        <v/>
      </c>
      <c r="BF6" s="21" t="str">
        <f t="shared" si="27"/>
        <v/>
      </c>
      <c r="BG6" s="22">
        <f t="shared" si="28"/>
        <v>0</v>
      </c>
      <c r="BH6" s="22">
        <f t="shared" si="29"/>
        <v>0</v>
      </c>
      <c r="BI6" s="22">
        <f t="shared" si="30"/>
        <v>0</v>
      </c>
      <c r="BJ6" s="22">
        <f t="shared" si="31"/>
        <v>0</v>
      </c>
      <c r="BK6" s="22">
        <f t="shared" si="32"/>
        <v>0</v>
      </c>
      <c r="BL6" s="22">
        <f t="shared" si="33"/>
        <v>0</v>
      </c>
      <c r="BM6" s="22">
        <f t="shared" si="34"/>
        <v>0</v>
      </c>
      <c r="BN6" s="22">
        <f t="shared" si="35"/>
        <v>0</v>
      </c>
      <c r="BO6" s="22">
        <f>IF(BG6=0,0,COUNTIFS(nADM_SelKey,AN6,nADM_SegValid,1,nADM_SegS_Loc_n,"&lt;"&amp;BL6,nADM_SegE_Loc_n,"&gt;"&amp;BK6)-IF(BL6&gt;BK6,1,0))</f>
        <v>0</v>
      </c>
      <c r="BP6" s="22">
        <f>IF(BH6=0,0,COUNTIFS(nADM_SelKey,AN6,nADM_SegOK,1,nADM_SegS_UTC_n,"&lt;"&amp;BJ6,nADM_SegE_UTC_n,"&gt;"&amp;BI6)-IF(BJ6&gt;BI6,1,0))</f>
        <v>0</v>
      </c>
      <c r="BQ6" s="21" t="str">
        <f t="shared" si="36"/>
        <v/>
      </c>
      <c r="BR6" s="22">
        <f>IF(C6="",1,IF(COUNTIF(nEXP_Key,AN6)&gt;0,1,0))</f>
        <v>1</v>
      </c>
      <c r="BS6" s="21" t="str">
        <f t="shared" si="37"/>
        <v/>
      </c>
      <c r="BT6" s="21" t="str">
        <f>IF(BS6="","",BS6&amp;": "&amp;SUBSTITUTE(IFERROR(INDEX(nMSG_Text,MATCH(BS6,nMSG_Code,0)),""),"[input]",IF(C6="","an Admin_ID",IF(BR6=0,"an Exposures row for episode "&amp;D6,IF(BQ6&lt;&gt;"","segment start and end timestamps and a rate in mg/hour","the date fields required by the selected precision")))))</f>
        <v/>
      </c>
    </row>
    <row r="7" spans="1:72" x14ac:dyDescent="0.2">
      <c r="A7" s="10"/>
      <c r="B7" s="12"/>
      <c r="C7" s="10"/>
      <c r="D7" s="10"/>
      <c r="E7" s="17"/>
      <c r="F7" s="17"/>
      <c r="G7" s="17"/>
      <c r="H7" s="17"/>
      <c r="I7" s="17"/>
      <c r="J7" s="17"/>
      <c r="K7" s="17"/>
      <c r="L7" s="10"/>
      <c r="M7" s="10"/>
      <c r="N7" s="17"/>
      <c r="O7" s="15"/>
      <c r="P7" s="26"/>
      <c r="Q7" s="10"/>
      <c r="R7" s="12"/>
      <c r="S7" s="12"/>
      <c r="T7" s="15"/>
      <c r="U7" s="15"/>
      <c r="V7" s="10"/>
      <c r="W7" s="21" t="str">
        <f>IF(COUNTA(N7:U7)=0,"",IF(N7="","E_MISSING_INPUT",IF(N7="TIMESTAMP",IF(OR(O7="",P7="",Q7=""),"E_MISSING_INPUT",IF(OR(NOT(ISNUMBER(O7)),NOT(ISNUMBER(P7))),"E_INVALID_DATE",IF(OR(O7&lt;&gt;INT(O7),P7&lt;0,P7&gt;=1),"E_INVALID_DATE",IF(ISNA(MATCH(Q7,nLIST_Offset,0)),"E_INVALID_DATE","")))),IF(N7="DATE",IF(O7="","E_MISSING_INPUT",IF(NOT(ISNUMBER(O7)),"E_INVALID_DATE",IF(O7&lt;&gt;INT(O7),"E_INVALID_DATE",""))),IF(N7="MONTH",IF(OR(R7="",S7=""),"E_MISSING_INPUT",IF(OR(NOT(ISNUMBER(R7)),NOT(ISNUMBER(S7))),"E_INVALID_DATE",IF(OR(R7&lt;1900,R7&gt;9999,R7&lt;&gt;INT(R7),S7&lt;1,S7&gt;12,S7&lt;&gt;INT(S7)),"E_INVALID_DATE",""))),IF(N7="YEAR",IF(R7="","E_MISSING_INPUT",IF(NOT(ISNUMBER(R7)),"E_INVALID_DATE",IF(OR(R7&lt;1900,R7&gt;9999,R7&lt;&gt;INT(R7)),"E_INVALID_DATE",""))),IF(N7="RANGE",IF(OR(T7="",U7=""),"E_MISSING_INPUT",IF(OR(NOT(ISNUMBER(T7)),NOT(ISNUMBER(U7))),"E_INVALID_DATE",IF(OR(T7&lt;&gt;INT(T7),U7&lt;&gt;INT(U7)),"E_INVALID_DATE",IF(T7&gt;U7,"E_REVERSED_BOUNDS","")))),"E_MISSING_INPUT")))))))</f>
        <v/>
      </c>
      <c r="X7" s="22">
        <f t="shared" si="0"/>
        <v>0</v>
      </c>
      <c r="Y7" s="22">
        <f t="shared" si="1"/>
        <v>0</v>
      </c>
      <c r="Z7" s="28" t="str">
        <f t="shared" si="2"/>
        <v/>
      </c>
      <c r="AA7" s="28" t="str">
        <f t="shared" si="3"/>
        <v/>
      </c>
      <c r="AB7" s="22" t="str">
        <f t="shared" si="4"/>
        <v/>
      </c>
      <c r="AC7" s="22" t="str">
        <f t="shared" si="5"/>
        <v/>
      </c>
      <c r="AD7" s="15"/>
      <c r="AE7" s="26"/>
      <c r="AF7" s="10"/>
      <c r="AG7" s="10"/>
      <c r="AH7" s="21" t="str">
        <f>IF(COUNTA(AD7:AF7)=0,"",IF(OR(AD7="",AE7="",AF7=""),"E_MISSING_INPUT",IF(OR(NOT(ISNUMBER(AD7)),NOT(ISNUMBER(AE7))),"E_INVALID_DATE",IF(OR(AD7&lt;&gt;INT(AD7),AE7&lt;0,AE7&gt;=1),"E_INVALID_DATE",IF(ISNA(MATCH(AF7,nLIST_Offset,0)),"E_INVALID_DATE","")))))</f>
        <v/>
      </c>
      <c r="AI7" s="22" t="str">
        <f t="shared" si="6"/>
        <v/>
      </c>
      <c r="AJ7" s="22">
        <f t="shared" si="7"/>
        <v>0</v>
      </c>
      <c r="AK7" s="22" t="str">
        <f t="shared" si="8"/>
        <v/>
      </c>
      <c r="AL7" s="21" t="str">
        <f t="shared" si="9"/>
        <v/>
      </c>
      <c r="AM7" s="22">
        <f>IF(AL7="",0,COUNTIF(nADM_Key,AL7))</f>
        <v>0</v>
      </c>
      <c r="AN7" s="21" t="str">
        <f t="shared" si="10"/>
        <v/>
      </c>
      <c r="AO7" s="22">
        <f t="shared" si="11"/>
        <v>0</v>
      </c>
      <c r="AP7" s="22">
        <f t="shared" si="12"/>
        <v>0</v>
      </c>
      <c r="AQ7" s="22">
        <f t="shared" si="13"/>
        <v>0</v>
      </c>
      <c r="AR7" s="22">
        <f t="shared" si="14"/>
        <v>0</v>
      </c>
      <c r="AS7" s="22">
        <f t="shared" si="15"/>
        <v>0</v>
      </c>
      <c r="AT7" s="22">
        <f>ROW()</f>
        <v>7</v>
      </c>
      <c r="AU7" s="21">
        <f t="shared" si="16"/>
        <v>0</v>
      </c>
      <c r="AV7" s="21">
        <f t="shared" si="17"/>
        <v>0</v>
      </c>
      <c r="AW7" s="21">
        <f t="shared" si="18"/>
        <v>0</v>
      </c>
      <c r="AX7" s="22">
        <f t="shared" si="19"/>
        <v>0</v>
      </c>
      <c r="AY7" s="21">
        <f t="shared" si="20"/>
        <v>0</v>
      </c>
      <c r="AZ7" s="21">
        <f t="shared" si="21"/>
        <v>-1</v>
      </c>
      <c r="BA7" s="22">
        <f t="shared" si="22"/>
        <v>0</v>
      </c>
      <c r="BB7" s="22">
        <f t="shared" si="23"/>
        <v>0</v>
      </c>
      <c r="BC7" s="22">
        <f t="shared" si="24"/>
        <v>0</v>
      </c>
      <c r="BD7" s="21">
        <f t="shared" si="25"/>
        <v>0</v>
      </c>
      <c r="BE7" s="21" t="str">
        <f t="shared" si="26"/>
        <v/>
      </c>
      <c r="BF7" s="21" t="str">
        <f t="shared" si="27"/>
        <v/>
      </c>
      <c r="BG7" s="22">
        <f t="shared" si="28"/>
        <v>0</v>
      </c>
      <c r="BH7" s="22">
        <f t="shared" si="29"/>
        <v>0</v>
      </c>
      <c r="BI7" s="22">
        <f t="shared" si="30"/>
        <v>0</v>
      </c>
      <c r="BJ7" s="22">
        <f t="shared" si="31"/>
        <v>0</v>
      </c>
      <c r="BK7" s="22">
        <f t="shared" si="32"/>
        <v>0</v>
      </c>
      <c r="BL7" s="22">
        <f t="shared" si="33"/>
        <v>0</v>
      </c>
      <c r="BM7" s="22">
        <f t="shared" si="34"/>
        <v>0</v>
      </c>
      <c r="BN7" s="22">
        <f t="shared" si="35"/>
        <v>0</v>
      </c>
      <c r="BO7" s="22">
        <f>IF(BG7=0,0,COUNTIFS(nADM_SelKey,AN7,nADM_SegValid,1,nADM_SegS_Loc_n,"&lt;"&amp;BL7,nADM_SegE_Loc_n,"&gt;"&amp;BK7)-IF(BL7&gt;BK7,1,0))</f>
        <v>0</v>
      </c>
      <c r="BP7" s="22">
        <f>IF(BH7=0,0,COUNTIFS(nADM_SelKey,AN7,nADM_SegOK,1,nADM_SegS_UTC_n,"&lt;"&amp;BJ7,nADM_SegE_UTC_n,"&gt;"&amp;BI7)-IF(BJ7&gt;BI7,1,0))</f>
        <v>0</v>
      </c>
      <c r="BQ7" s="21" t="str">
        <f t="shared" si="36"/>
        <v/>
      </c>
      <c r="BR7" s="22">
        <f>IF(C7="",1,IF(COUNTIF(nEXP_Key,AN7)&gt;0,1,0))</f>
        <v>1</v>
      </c>
      <c r="BS7" s="21" t="str">
        <f t="shared" si="37"/>
        <v/>
      </c>
      <c r="BT7" s="21" t="str">
        <f>IF(BS7="","",BS7&amp;": "&amp;SUBSTITUTE(IFERROR(INDEX(nMSG_Text,MATCH(BS7,nMSG_Code,0)),""),"[input]",IF(C7="","an Admin_ID",IF(BR7=0,"an Exposures row for episode "&amp;D7,IF(BQ7&lt;&gt;"","segment start and end timestamps and a rate in mg/hour","the date fields required by the selected precision")))))</f>
        <v/>
      </c>
    </row>
    <row r="8" spans="1:72" x14ac:dyDescent="0.2">
      <c r="A8" s="10"/>
      <c r="B8" s="12"/>
      <c r="C8" s="10"/>
      <c r="D8" s="10"/>
      <c r="E8" s="17"/>
      <c r="F8" s="17"/>
      <c r="G8" s="17"/>
      <c r="H8" s="17"/>
      <c r="I8" s="17"/>
      <c r="J8" s="17"/>
      <c r="K8" s="17"/>
      <c r="L8" s="10"/>
      <c r="M8" s="10"/>
      <c r="N8" s="17"/>
      <c r="O8" s="15"/>
      <c r="P8" s="26"/>
      <c r="Q8" s="10"/>
      <c r="R8" s="12"/>
      <c r="S8" s="12"/>
      <c r="T8" s="15"/>
      <c r="U8" s="15"/>
      <c r="V8" s="10"/>
      <c r="W8" s="21" t="str">
        <f>IF(COUNTA(N8:U8)=0,"",IF(N8="","E_MISSING_INPUT",IF(N8="TIMESTAMP",IF(OR(O8="",P8="",Q8=""),"E_MISSING_INPUT",IF(OR(NOT(ISNUMBER(O8)),NOT(ISNUMBER(P8))),"E_INVALID_DATE",IF(OR(O8&lt;&gt;INT(O8),P8&lt;0,P8&gt;=1),"E_INVALID_DATE",IF(ISNA(MATCH(Q8,nLIST_Offset,0)),"E_INVALID_DATE","")))),IF(N8="DATE",IF(O8="","E_MISSING_INPUT",IF(NOT(ISNUMBER(O8)),"E_INVALID_DATE",IF(O8&lt;&gt;INT(O8),"E_INVALID_DATE",""))),IF(N8="MONTH",IF(OR(R8="",S8=""),"E_MISSING_INPUT",IF(OR(NOT(ISNUMBER(R8)),NOT(ISNUMBER(S8))),"E_INVALID_DATE",IF(OR(R8&lt;1900,R8&gt;9999,R8&lt;&gt;INT(R8),S8&lt;1,S8&gt;12,S8&lt;&gt;INT(S8)),"E_INVALID_DATE",""))),IF(N8="YEAR",IF(R8="","E_MISSING_INPUT",IF(NOT(ISNUMBER(R8)),"E_INVALID_DATE",IF(OR(R8&lt;1900,R8&gt;9999,R8&lt;&gt;INT(R8)),"E_INVALID_DATE",""))),IF(N8="RANGE",IF(OR(T8="",U8=""),"E_MISSING_INPUT",IF(OR(NOT(ISNUMBER(T8)),NOT(ISNUMBER(U8))),"E_INVALID_DATE",IF(OR(T8&lt;&gt;INT(T8),U8&lt;&gt;INT(U8)),"E_INVALID_DATE",IF(T8&gt;U8,"E_REVERSED_BOUNDS","")))),"E_MISSING_INPUT")))))))</f>
        <v/>
      </c>
      <c r="X8" s="22">
        <f t="shared" si="0"/>
        <v>0</v>
      </c>
      <c r="Y8" s="22">
        <f t="shared" si="1"/>
        <v>0</v>
      </c>
      <c r="Z8" s="28" t="str">
        <f t="shared" si="2"/>
        <v/>
      </c>
      <c r="AA8" s="28" t="str">
        <f t="shared" si="3"/>
        <v/>
      </c>
      <c r="AB8" s="22" t="str">
        <f t="shared" si="4"/>
        <v/>
      </c>
      <c r="AC8" s="22" t="str">
        <f t="shared" si="5"/>
        <v/>
      </c>
      <c r="AD8" s="15"/>
      <c r="AE8" s="26"/>
      <c r="AF8" s="10"/>
      <c r="AG8" s="10"/>
      <c r="AH8" s="21" t="str">
        <f>IF(COUNTA(AD8:AF8)=0,"",IF(OR(AD8="",AE8="",AF8=""),"E_MISSING_INPUT",IF(OR(NOT(ISNUMBER(AD8)),NOT(ISNUMBER(AE8))),"E_INVALID_DATE",IF(OR(AD8&lt;&gt;INT(AD8),AE8&lt;0,AE8&gt;=1),"E_INVALID_DATE",IF(ISNA(MATCH(AF8,nLIST_Offset,0)),"E_INVALID_DATE","")))))</f>
        <v/>
      </c>
      <c r="AI8" s="22" t="str">
        <f t="shared" si="6"/>
        <v/>
      </c>
      <c r="AJ8" s="22">
        <f t="shared" si="7"/>
        <v>0</v>
      </c>
      <c r="AK8" s="22" t="str">
        <f t="shared" si="8"/>
        <v/>
      </c>
      <c r="AL8" s="21" t="str">
        <f t="shared" si="9"/>
        <v/>
      </c>
      <c r="AM8" s="22">
        <f>IF(AL8="",0,COUNTIF(nADM_Key,AL8))</f>
        <v>0</v>
      </c>
      <c r="AN8" s="21" t="str">
        <f t="shared" si="10"/>
        <v/>
      </c>
      <c r="AO8" s="22">
        <f t="shared" si="11"/>
        <v>0</v>
      </c>
      <c r="AP8" s="22">
        <f t="shared" si="12"/>
        <v>0</v>
      </c>
      <c r="AQ8" s="22">
        <f t="shared" si="13"/>
        <v>0</v>
      </c>
      <c r="AR8" s="22">
        <f t="shared" si="14"/>
        <v>0</v>
      </c>
      <c r="AS8" s="22">
        <f t="shared" si="15"/>
        <v>0</v>
      </c>
      <c r="AT8" s="22">
        <f>ROW()</f>
        <v>8</v>
      </c>
      <c r="AU8" s="21">
        <f t="shared" si="16"/>
        <v>0</v>
      </c>
      <c r="AV8" s="21">
        <f t="shared" si="17"/>
        <v>0</v>
      </c>
      <c r="AW8" s="21">
        <f t="shared" si="18"/>
        <v>0</v>
      </c>
      <c r="AX8" s="22">
        <f t="shared" si="19"/>
        <v>0</v>
      </c>
      <c r="AY8" s="21">
        <f t="shared" si="20"/>
        <v>0</v>
      </c>
      <c r="AZ8" s="21">
        <f t="shared" si="21"/>
        <v>-1</v>
      </c>
      <c r="BA8" s="22">
        <f t="shared" si="22"/>
        <v>0</v>
      </c>
      <c r="BB8" s="22">
        <f t="shared" si="23"/>
        <v>0</v>
      </c>
      <c r="BC8" s="22">
        <f t="shared" si="24"/>
        <v>0</v>
      </c>
      <c r="BD8" s="21">
        <f t="shared" si="25"/>
        <v>0</v>
      </c>
      <c r="BE8" s="21" t="str">
        <f t="shared" si="26"/>
        <v/>
      </c>
      <c r="BF8" s="21" t="str">
        <f t="shared" si="27"/>
        <v/>
      </c>
      <c r="BG8" s="22">
        <f t="shared" si="28"/>
        <v>0</v>
      </c>
      <c r="BH8" s="22">
        <f t="shared" si="29"/>
        <v>0</v>
      </c>
      <c r="BI8" s="22">
        <f t="shared" si="30"/>
        <v>0</v>
      </c>
      <c r="BJ8" s="22">
        <f t="shared" si="31"/>
        <v>0</v>
      </c>
      <c r="BK8" s="22">
        <f t="shared" si="32"/>
        <v>0</v>
      </c>
      <c r="BL8" s="22">
        <f t="shared" si="33"/>
        <v>0</v>
      </c>
      <c r="BM8" s="22">
        <f t="shared" si="34"/>
        <v>0</v>
      </c>
      <c r="BN8" s="22">
        <f t="shared" si="35"/>
        <v>0</v>
      </c>
      <c r="BO8" s="22">
        <f>IF(BG8=0,0,COUNTIFS(nADM_SelKey,AN8,nADM_SegValid,1,nADM_SegS_Loc_n,"&lt;"&amp;BL8,nADM_SegE_Loc_n,"&gt;"&amp;BK8)-IF(BL8&gt;BK8,1,0))</f>
        <v>0</v>
      </c>
      <c r="BP8" s="22">
        <f>IF(BH8=0,0,COUNTIFS(nADM_SelKey,AN8,nADM_SegOK,1,nADM_SegS_UTC_n,"&lt;"&amp;BJ8,nADM_SegE_UTC_n,"&gt;"&amp;BI8)-IF(BJ8&gt;BI8,1,0))</f>
        <v>0</v>
      </c>
      <c r="BQ8" s="21" t="str">
        <f t="shared" si="36"/>
        <v/>
      </c>
      <c r="BR8" s="22">
        <f>IF(C8="",1,IF(COUNTIF(nEXP_Key,AN8)&gt;0,1,0))</f>
        <v>1</v>
      </c>
      <c r="BS8" s="21" t="str">
        <f t="shared" si="37"/>
        <v/>
      </c>
      <c r="BT8" s="21" t="str">
        <f>IF(BS8="","",BS8&amp;": "&amp;SUBSTITUTE(IFERROR(INDEX(nMSG_Text,MATCH(BS8,nMSG_Code,0)),""),"[input]",IF(C8="","an Admin_ID",IF(BR8=0,"an Exposures row for episode "&amp;D8,IF(BQ8&lt;&gt;"","segment start and end timestamps and a rate in mg/hour","the date fields required by the selected precision")))))</f>
        <v/>
      </c>
    </row>
    <row r="9" spans="1:72" x14ac:dyDescent="0.2">
      <c r="A9" s="10"/>
      <c r="B9" s="12"/>
      <c r="C9" s="10"/>
      <c r="D9" s="10"/>
      <c r="E9" s="17"/>
      <c r="F9" s="17"/>
      <c r="G9" s="17"/>
      <c r="H9" s="17"/>
      <c r="I9" s="17"/>
      <c r="J9" s="17"/>
      <c r="K9" s="17"/>
      <c r="L9" s="10"/>
      <c r="M9" s="10"/>
      <c r="N9" s="17"/>
      <c r="O9" s="15"/>
      <c r="P9" s="26"/>
      <c r="Q9" s="10"/>
      <c r="R9" s="12"/>
      <c r="S9" s="12"/>
      <c r="T9" s="15"/>
      <c r="U9" s="15"/>
      <c r="V9" s="10"/>
      <c r="W9" s="21" t="str">
        <f>IF(COUNTA(N9:U9)=0,"",IF(N9="","E_MISSING_INPUT",IF(N9="TIMESTAMP",IF(OR(O9="",P9="",Q9=""),"E_MISSING_INPUT",IF(OR(NOT(ISNUMBER(O9)),NOT(ISNUMBER(P9))),"E_INVALID_DATE",IF(OR(O9&lt;&gt;INT(O9),P9&lt;0,P9&gt;=1),"E_INVALID_DATE",IF(ISNA(MATCH(Q9,nLIST_Offset,0)),"E_INVALID_DATE","")))),IF(N9="DATE",IF(O9="","E_MISSING_INPUT",IF(NOT(ISNUMBER(O9)),"E_INVALID_DATE",IF(O9&lt;&gt;INT(O9),"E_INVALID_DATE",""))),IF(N9="MONTH",IF(OR(R9="",S9=""),"E_MISSING_INPUT",IF(OR(NOT(ISNUMBER(R9)),NOT(ISNUMBER(S9))),"E_INVALID_DATE",IF(OR(R9&lt;1900,R9&gt;9999,R9&lt;&gt;INT(R9),S9&lt;1,S9&gt;12,S9&lt;&gt;INT(S9)),"E_INVALID_DATE",""))),IF(N9="YEAR",IF(R9="","E_MISSING_INPUT",IF(NOT(ISNUMBER(R9)),"E_INVALID_DATE",IF(OR(R9&lt;1900,R9&gt;9999,R9&lt;&gt;INT(R9)),"E_INVALID_DATE",""))),IF(N9="RANGE",IF(OR(T9="",U9=""),"E_MISSING_INPUT",IF(OR(NOT(ISNUMBER(T9)),NOT(ISNUMBER(U9))),"E_INVALID_DATE",IF(OR(T9&lt;&gt;INT(T9),U9&lt;&gt;INT(U9)),"E_INVALID_DATE",IF(T9&gt;U9,"E_REVERSED_BOUNDS","")))),"E_MISSING_INPUT")))))))</f>
        <v/>
      </c>
      <c r="X9" s="22">
        <f t="shared" si="0"/>
        <v>0</v>
      </c>
      <c r="Y9" s="22">
        <f t="shared" si="1"/>
        <v>0</v>
      </c>
      <c r="Z9" s="28" t="str">
        <f t="shared" si="2"/>
        <v/>
      </c>
      <c r="AA9" s="28" t="str">
        <f t="shared" si="3"/>
        <v/>
      </c>
      <c r="AB9" s="22" t="str">
        <f t="shared" si="4"/>
        <v/>
      </c>
      <c r="AC9" s="22" t="str">
        <f t="shared" si="5"/>
        <v/>
      </c>
      <c r="AD9" s="15"/>
      <c r="AE9" s="26"/>
      <c r="AF9" s="10"/>
      <c r="AG9" s="10"/>
      <c r="AH9" s="21" t="str">
        <f>IF(COUNTA(AD9:AF9)=0,"",IF(OR(AD9="",AE9="",AF9=""),"E_MISSING_INPUT",IF(OR(NOT(ISNUMBER(AD9)),NOT(ISNUMBER(AE9))),"E_INVALID_DATE",IF(OR(AD9&lt;&gt;INT(AD9),AE9&lt;0,AE9&gt;=1),"E_INVALID_DATE",IF(ISNA(MATCH(AF9,nLIST_Offset,0)),"E_INVALID_DATE","")))))</f>
        <v/>
      </c>
      <c r="AI9" s="22" t="str">
        <f t="shared" si="6"/>
        <v/>
      </c>
      <c r="AJ9" s="22">
        <f t="shared" si="7"/>
        <v>0</v>
      </c>
      <c r="AK9" s="22" t="str">
        <f t="shared" si="8"/>
        <v/>
      </c>
      <c r="AL9" s="21" t="str">
        <f t="shared" si="9"/>
        <v/>
      </c>
      <c r="AM9" s="22">
        <f>IF(AL9="",0,COUNTIF(nADM_Key,AL9))</f>
        <v>0</v>
      </c>
      <c r="AN9" s="21" t="str">
        <f t="shared" si="10"/>
        <v/>
      </c>
      <c r="AO9" s="22">
        <f t="shared" si="11"/>
        <v>0</v>
      </c>
      <c r="AP9" s="22">
        <f t="shared" si="12"/>
        <v>0</v>
      </c>
      <c r="AQ9" s="22">
        <f t="shared" si="13"/>
        <v>0</v>
      </c>
      <c r="AR9" s="22">
        <f t="shared" si="14"/>
        <v>0</v>
      </c>
      <c r="AS9" s="22">
        <f t="shared" si="15"/>
        <v>0</v>
      </c>
      <c r="AT9" s="22">
        <f>ROW()</f>
        <v>9</v>
      </c>
      <c r="AU9" s="21">
        <f t="shared" si="16"/>
        <v>0</v>
      </c>
      <c r="AV9" s="21">
        <f t="shared" si="17"/>
        <v>0</v>
      </c>
      <c r="AW9" s="21">
        <f t="shared" si="18"/>
        <v>0</v>
      </c>
      <c r="AX9" s="22">
        <f t="shared" si="19"/>
        <v>0</v>
      </c>
      <c r="AY9" s="21">
        <f t="shared" si="20"/>
        <v>0</v>
      </c>
      <c r="AZ9" s="21">
        <f t="shared" si="21"/>
        <v>-1</v>
      </c>
      <c r="BA9" s="22">
        <f t="shared" si="22"/>
        <v>0</v>
      </c>
      <c r="BB9" s="22">
        <f t="shared" si="23"/>
        <v>0</v>
      </c>
      <c r="BC9" s="22">
        <f t="shared" si="24"/>
        <v>0</v>
      </c>
      <c r="BD9" s="21">
        <f t="shared" si="25"/>
        <v>0</v>
      </c>
      <c r="BE9" s="21" t="str">
        <f t="shared" si="26"/>
        <v/>
      </c>
      <c r="BF9" s="21" t="str">
        <f t="shared" si="27"/>
        <v/>
      </c>
      <c r="BG9" s="22">
        <f t="shared" si="28"/>
        <v>0</v>
      </c>
      <c r="BH9" s="22">
        <f t="shared" si="29"/>
        <v>0</v>
      </c>
      <c r="BI9" s="22">
        <f t="shared" si="30"/>
        <v>0</v>
      </c>
      <c r="BJ9" s="22">
        <f t="shared" si="31"/>
        <v>0</v>
      </c>
      <c r="BK9" s="22">
        <f t="shared" si="32"/>
        <v>0</v>
      </c>
      <c r="BL9" s="22">
        <f t="shared" si="33"/>
        <v>0</v>
      </c>
      <c r="BM9" s="22">
        <f t="shared" si="34"/>
        <v>0</v>
      </c>
      <c r="BN9" s="22">
        <f t="shared" si="35"/>
        <v>0</v>
      </c>
      <c r="BO9" s="22">
        <f>IF(BG9=0,0,COUNTIFS(nADM_SelKey,AN9,nADM_SegValid,1,nADM_SegS_Loc_n,"&lt;"&amp;BL9,nADM_SegE_Loc_n,"&gt;"&amp;BK9)-IF(BL9&gt;BK9,1,0))</f>
        <v>0</v>
      </c>
      <c r="BP9" s="22">
        <f>IF(BH9=0,0,COUNTIFS(nADM_SelKey,AN9,nADM_SegOK,1,nADM_SegS_UTC_n,"&lt;"&amp;BJ9,nADM_SegE_UTC_n,"&gt;"&amp;BI9)-IF(BJ9&gt;BI9,1,0))</f>
        <v>0</v>
      </c>
      <c r="BQ9" s="21" t="str">
        <f t="shared" si="36"/>
        <v/>
      </c>
      <c r="BR9" s="22">
        <f>IF(C9="",1,IF(COUNTIF(nEXP_Key,AN9)&gt;0,1,0))</f>
        <v>1</v>
      </c>
      <c r="BS9" s="21" t="str">
        <f t="shared" si="37"/>
        <v/>
      </c>
      <c r="BT9" s="21" t="str">
        <f>IF(BS9="","",BS9&amp;": "&amp;SUBSTITUTE(IFERROR(INDEX(nMSG_Text,MATCH(BS9,nMSG_Code,0)),""),"[input]",IF(C9="","an Admin_ID",IF(BR9=0,"an Exposures row for episode "&amp;D9,IF(BQ9&lt;&gt;"","segment start and end timestamps and a rate in mg/hour","the date fields required by the selected precision")))))</f>
        <v/>
      </c>
    </row>
    <row r="10" spans="1:72" x14ac:dyDescent="0.2">
      <c r="A10" s="10"/>
      <c r="B10" s="12"/>
      <c r="C10" s="10"/>
      <c r="D10" s="10"/>
      <c r="E10" s="17"/>
      <c r="F10" s="17"/>
      <c r="G10" s="17"/>
      <c r="H10" s="17"/>
      <c r="I10" s="17"/>
      <c r="J10" s="17"/>
      <c r="K10" s="17"/>
      <c r="L10" s="10"/>
      <c r="M10" s="10"/>
      <c r="N10" s="17"/>
      <c r="O10" s="15"/>
      <c r="P10" s="26"/>
      <c r="Q10" s="10"/>
      <c r="R10" s="12"/>
      <c r="S10" s="12"/>
      <c r="T10" s="15"/>
      <c r="U10" s="15"/>
      <c r="V10" s="10"/>
      <c r="W10" s="21" t="str">
        <f>IF(COUNTA(N10:U10)=0,"",IF(N10="","E_MISSING_INPUT",IF(N10="TIMESTAMP",IF(OR(O10="",P10="",Q10=""),"E_MISSING_INPUT",IF(OR(NOT(ISNUMBER(O10)),NOT(ISNUMBER(P10))),"E_INVALID_DATE",IF(OR(O10&lt;&gt;INT(O10),P10&lt;0,P10&gt;=1),"E_INVALID_DATE",IF(ISNA(MATCH(Q10,nLIST_Offset,0)),"E_INVALID_DATE","")))),IF(N10="DATE",IF(O10="","E_MISSING_INPUT",IF(NOT(ISNUMBER(O10)),"E_INVALID_DATE",IF(O10&lt;&gt;INT(O10),"E_INVALID_DATE",""))),IF(N10="MONTH",IF(OR(R10="",S10=""),"E_MISSING_INPUT",IF(OR(NOT(ISNUMBER(R10)),NOT(ISNUMBER(S10))),"E_INVALID_DATE",IF(OR(R10&lt;1900,R10&gt;9999,R10&lt;&gt;INT(R10),S10&lt;1,S10&gt;12,S10&lt;&gt;INT(S10)),"E_INVALID_DATE",""))),IF(N10="YEAR",IF(R10="","E_MISSING_INPUT",IF(NOT(ISNUMBER(R10)),"E_INVALID_DATE",IF(OR(R10&lt;1900,R10&gt;9999,R10&lt;&gt;INT(R10)),"E_INVALID_DATE",""))),IF(N10="RANGE",IF(OR(T10="",U10=""),"E_MISSING_INPUT",IF(OR(NOT(ISNUMBER(T10)),NOT(ISNUMBER(U10))),"E_INVALID_DATE",IF(OR(T10&lt;&gt;INT(T10),U10&lt;&gt;INT(U10)),"E_INVALID_DATE",IF(T10&gt;U10,"E_REVERSED_BOUNDS","")))),"E_MISSING_INPUT")))))))</f>
        <v/>
      </c>
      <c r="X10" s="22">
        <f t="shared" si="0"/>
        <v>0</v>
      </c>
      <c r="Y10" s="22">
        <f t="shared" si="1"/>
        <v>0</v>
      </c>
      <c r="Z10" s="28" t="str">
        <f t="shared" si="2"/>
        <v/>
      </c>
      <c r="AA10" s="28" t="str">
        <f t="shared" si="3"/>
        <v/>
      </c>
      <c r="AB10" s="22" t="str">
        <f t="shared" si="4"/>
        <v/>
      </c>
      <c r="AC10" s="22" t="str">
        <f t="shared" si="5"/>
        <v/>
      </c>
      <c r="AD10" s="15"/>
      <c r="AE10" s="26"/>
      <c r="AF10" s="10"/>
      <c r="AG10" s="10"/>
      <c r="AH10" s="21" t="str">
        <f>IF(COUNTA(AD10:AF10)=0,"",IF(OR(AD10="",AE10="",AF10=""),"E_MISSING_INPUT",IF(OR(NOT(ISNUMBER(AD10)),NOT(ISNUMBER(AE10))),"E_INVALID_DATE",IF(OR(AD10&lt;&gt;INT(AD10),AE10&lt;0,AE10&gt;=1),"E_INVALID_DATE",IF(ISNA(MATCH(AF10,nLIST_Offset,0)),"E_INVALID_DATE","")))))</f>
        <v/>
      </c>
      <c r="AI10" s="22" t="str">
        <f t="shared" si="6"/>
        <v/>
      </c>
      <c r="AJ10" s="22">
        <f t="shared" si="7"/>
        <v>0</v>
      </c>
      <c r="AK10" s="22" t="str">
        <f t="shared" si="8"/>
        <v/>
      </c>
      <c r="AL10" s="21" t="str">
        <f t="shared" si="9"/>
        <v/>
      </c>
      <c r="AM10" s="22">
        <f>IF(AL10="",0,COUNTIF(nADM_Key,AL10))</f>
        <v>0</v>
      </c>
      <c r="AN10" s="21" t="str">
        <f t="shared" si="10"/>
        <v/>
      </c>
      <c r="AO10" s="22">
        <f t="shared" si="11"/>
        <v>0</v>
      </c>
      <c r="AP10" s="22">
        <f t="shared" si="12"/>
        <v>0</v>
      </c>
      <c r="AQ10" s="22">
        <f t="shared" si="13"/>
        <v>0</v>
      </c>
      <c r="AR10" s="22">
        <f t="shared" si="14"/>
        <v>0</v>
      </c>
      <c r="AS10" s="22">
        <f t="shared" si="15"/>
        <v>0</v>
      </c>
      <c r="AT10" s="22">
        <f>ROW()</f>
        <v>10</v>
      </c>
      <c r="AU10" s="21">
        <f t="shared" si="16"/>
        <v>0</v>
      </c>
      <c r="AV10" s="21">
        <f t="shared" si="17"/>
        <v>0</v>
      </c>
      <c r="AW10" s="21">
        <f t="shared" si="18"/>
        <v>0</v>
      </c>
      <c r="AX10" s="22">
        <f t="shared" si="19"/>
        <v>0</v>
      </c>
      <c r="AY10" s="21">
        <f t="shared" si="20"/>
        <v>0</v>
      </c>
      <c r="AZ10" s="21">
        <f t="shared" si="21"/>
        <v>-1</v>
      </c>
      <c r="BA10" s="22">
        <f t="shared" si="22"/>
        <v>0</v>
      </c>
      <c r="BB10" s="22">
        <f t="shared" si="23"/>
        <v>0</v>
      </c>
      <c r="BC10" s="22">
        <f t="shared" si="24"/>
        <v>0</v>
      </c>
      <c r="BD10" s="21">
        <f t="shared" si="25"/>
        <v>0</v>
      </c>
      <c r="BE10" s="21" t="str">
        <f t="shared" si="26"/>
        <v/>
      </c>
      <c r="BF10" s="21" t="str">
        <f t="shared" si="27"/>
        <v/>
      </c>
      <c r="BG10" s="22">
        <f t="shared" si="28"/>
        <v>0</v>
      </c>
      <c r="BH10" s="22">
        <f t="shared" si="29"/>
        <v>0</v>
      </c>
      <c r="BI10" s="22">
        <f t="shared" si="30"/>
        <v>0</v>
      </c>
      <c r="BJ10" s="22">
        <f t="shared" si="31"/>
        <v>0</v>
      </c>
      <c r="BK10" s="22">
        <f t="shared" si="32"/>
        <v>0</v>
      </c>
      <c r="BL10" s="22">
        <f t="shared" si="33"/>
        <v>0</v>
      </c>
      <c r="BM10" s="22">
        <f t="shared" si="34"/>
        <v>0</v>
      </c>
      <c r="BN10" s="22">
        <f t="shared" si="35"/>
        <v>0</v>
      </c>
      <c r="BO10" s="22">
        <f>IF(BG10=0,0,COUNTIFS(nADM_SelKey,AN10,nADM_SegValid,1,nADM_SegS_Loc_n,"&lt;"&amp;BL10,nADM_SegE_Loc_n,"&gt;"&amp;BK10)-IF(BL10&gt;BK10,1,0))</f>
        <v>0</v>
      </c>
      <c r="BP10" s="22">
        <f>IF(BH10=0,0,COUNTIFS(nADM_SelKey,AN10,nADM_SegOK,1,nADM_SegS_UTC_n,"&lt;"&amp;BJ10,nADM_SegE_UTC_n,"&gt;"&amp;BI10)-IF(BJ10&gt;BI10,1,0))</f>
        <v>0</v>
      </c>
      <c r="BQ10" s="21" t="str">
        <f t="shared" si="36"/>
        <v/>
      </c>
      <c r="BR10" s="22">
        <f>IF(C10="",1,IF(COUNTIF(nEXP_Key,AN10)&gt;0,1,0))</f>
        <v>1</v>
      </c>
      <c r="BS10" s="21" t="str">
        <f t="shared" si="37"/>
        <v/>
      </c>
      <c r="BT10" s="21" t="str">
        <f>IF(BS10="","",BS10&amp;": "&amp;SUBSTITUTE(IFERROR(INDEX(nMSG_Text,MATCH(BS10,nMSG_Code,0)),""),"[input]",IF(C10="","an Admin_ID",IF(BR10=0,"an Exposures row for episode "&amp;D10,IF(BQ10&lt;&gt;"","segment start and end timestamps and a rate in mg/hour","the date fields required by the selected precision")))))</f>
        <v/>
      </c>
    </row>
    <row r="11" spans="1:72" x14ac:dyDescent="0.2">
      <c r="A11" s="10"/>
      <c r="B11" s="12"/>
      <c r="C11" s="10"/>
      <c r="D11" s="10"/>
      <c r="E11" s="17"/>
      <c r="F11" s="17"/>
      <c r="G11" s="17"/>
      <c r="H11" s="17"/>
      <c r="I11" s="17"/>
      <c r="J11" s="17"/>
      <c r="K11" s="17"/>
      <c r="L11" s="10"/>
      <c r="M11" s="10"/>
      <c r="N11" s="17"/>
      <c r="O11" s="15"/>
      <c r="P11" s="26"/>
      <c r="Q11" s="10"/>
      <c r="R11" s="12"/>
      <c r="S11" s="12"/>
      <c r="T11" s="15"/>
      <c r="U11" s="15"/>
      <c r="V11" s="10"/>
      <c r="W11" s="21" t="str">
        <f>IF(COUNTA(N11:U11)=0,"",IF(N11="","E_MISSING_INPUT",IF(N11="TIMESTAMP",IF(OR(O11="",P11="",Q11=""),"E_MISSING_INPUT",IF(OR(NOT(ISNUMBER(O11)),NOT(ISNUMBER(P11))),"E_INVALID_DATE",IF(OR(O11&lt;&gt;INT(O11),P11&lt;0,P11&gt;=1),"E_INVALID_DATE",IF(ISNA(MATCH(Q11,nLIST_Offset,0)),"E_INVALID_DATE","")))),IF(N11="DATE",IF(O11="","E_MISSING_INPUT",IF(NOT(ISNUMBER(O11)),"E_INVALID_DATE",IF(O11&lt;&gt;INT(O11),"E_INVALID_DATE",""))),IF(N11="MONTH",IF(OR(R11="",S11=""),"E_MISSING_INPUT",IF(OR(NOT(ISNUMBER(R11)),NOT(ISNUMBER(S11))),"E_INVALID_DATE",IF(OR(R11&lt;1900,R11&gt;9999,R11&lt;&gt;INT(R11),S11&lt;1,S11&gt;12,S11&lt;&gt;INT(S11)),"E_INVALID_DATE",""))),IF(N11="YEAR",IF(R11="","E_MISSING_INPUT",IF(NOT(ISNUMBER(R11)),"E_INVALID_DATE",IF(OR(R11&lt;1900,R11&gt;9999,R11&lt;&gt;INT(R11)),"E_INVALID_DATE",""))),IF(N11="RANGE",IF(OR(T11="",U11=""),"E_MISSING_INPUT",IF(OR(NOT(ISNUMBER(T11)),NOT(ISNUMBER(U11))),"E_INVALID_DATE",IF(OR(T11&lt;&gt;INT(T11),U11&lt;&gt;INT(U11)),"E_INVALID_DATE",IF(T11&gt;U11,"E_REVERSED_BOUNDS","")))),"E_MISSING_INPUT")))))))</f>
        <v/>
      </c>
      <c r="X11" s="22">
        <f t="shared" si="0"/>
        <v>0</v>
      </c>
      <c r="Y11" s="22">
        <f t="shared" si="1"/>
        <v>0</v>
      </c>
      <c r="Z11" s="28" t="str">
        <f t="shared" si="2"/>
        <v/>
      </c>
      <c r="AA11" s="28" t="str">
        <f t="shared" si="3"/>
        <v/>
      </c>
      <c r="AB11" s="22" t="str">
        <f t="shared" si="4"/>
        <v/>
      </c>
      <c r="AC11" s="22" t="str">
        <f t="shared" si="5"/>
        <v/>
      </c>
      <c r="AD11" s="15"/>
      <c r="AE11" s="26"/>
      <c r="AF11" s="10"/>
      <c r="AG11" s="10"/>
      <c r="AH11" s="21" t="str">
        <f>IF(COUNTA(AD11:AF11)=0,"",IF(OR(AD11="",AE11="",AF11=""),"E_MISSING_INPUT",IF(OR(NOT(ISNUMBER(AD11)),NOT(ISNUMBER(AE11))),"E_INVALID_DATE",IF(OR(AD11&lt;&gt;INT(AD11),AE11&lt;0,AE11&gt;=1),"E_INVALID_DATE",IF(ISNA(MATCH(AF11,nLIST_Offset,0)),"E_INVALID_DATE","")))))</f>
        <v/>
      </c>
      <c r="AI11" s="22" t="str">
        <f t="shared" si="6"/>
        <v/>
      </c>
      <c r="AJ11" s="22">
        <f t="shared" si="7"/>
        <v>0</v>
      </c>
      <c r="AK11" s="22" t="str">
        <f t="shared" si="8"/>
        <v/>
      </c>
      <c r="AL11" s="21" t="str">
        <f t="shared" si="9"/>
        <v/>
      </c>
      <c r="AM11" s="22">
        <f>IF(AL11="",0,COUNTIF(nADM_Key,AL11))</f>
        <v>0</v>
      </c>
      <c r="AN11" s="21" t="str">
        <f t="shared" si="10"/>
        <v/>
      </c>
      <c r="AO11" s="22">
        <f t="shared" si="11"/>
        <v>0</v>
      </c>
      <c r="AP11" s="22">
        <f t="shared" si="12"/>
        <v>0</v>
      </c>
      <c r="AQ11" s="22">
        <f t="shared" si="13"/>
        <v>0</v>
      </c>
      <c r="AR11" s="22">
        <f t="shared" si="14"/>
        <v>0</v>
      </c>
      <c r="AS11" s="22">
        <f t="shared" si="15"/>
        <v>0</v>
      </c>
      <c r="AT11" s="22">
        <f>ROW()</f>
        <v>11</v>
      </c>
      <c r="AU11" s="21">
        <f t="shared" si="16"/>
        <v>0</v>
      </c>
      <c r="AV11" s="21">
        <f t="shared" si="17"/>
        <v>0</v>
      </c>
      <c r="AW11" s="21">
        <f t="shared" si="18"/>
        <v>0</v>
      </c>
      <c r="AX11" s="22">
        <f t="shared" si="19"/>
        <v>0</v>
      </c>
      <c r="AY11" s="21">
        <f t="shared" si="20"/>
        <v>0</v>
      </c>
      <c r="AZ11" s="21">
        <f t="shared" si="21"/>
        <v>-1</v>
      </c>
      <c r="BA11" s="22">
        <f t="shared" si="22"/>
        <v>0</v>
      </c>
      <c r="BB11" s="22">
        <f t="shared" si="23"/>
        <v>0</v>
      </c>
      <c r="BC11" s="22">
        <f t="shared" si="24"/>
        <v>0</v>
      </c>
      <c r="BD11" s="21">
        <f t="shared" si="25"/>
        <v>0</v>
      </c>
      <c r="BE11" s="21" t="str">
        <f t="shared" si="26"/>
        <v/>
      </c>
      <c r="BF11" s="21" t="str">
        <f t="shared" si="27"/>
        <v/>
      </c>
      <c r="BG11" s="22">
        <f t="shared" si="28"/>
        <v>0</v>
      </c>
      <c r="BH11" s="22">
        <f t="shared" si="29"/>
        <v>0</v>
      </c>
      <c r="BI11" s="22">
        <f t="shared" si="30"/>
        <v>0</v>
      </c>
      <c r="BJ11" s="22">
        <f t="shared" si="31"/>
        <v>0</v>
      </c>
      <c r="BK11" s="22">
        <f t="shared" si="32"/>
        <v>0</v>
      </c>
      <c r="BL11" s="22">
        <f t="shared" si="33"/>
        <v>0</v>
      </c>
      <c r="BM11" s="22">
        <f t="shared" si="34"/>
        <v>0</v>
      </c>
      <c r="BN11" s="22">
        <f t="shared" si="35"/>
        <v>0</v>
      </c>
      <c r="BO11" s="22">
        <f>IF(BG11=0,0,COUNTIFS(nADM_SelKey,AN11,nADM_SegValid,1,nADM_SegS_Loc_n,"&lt;"&amp;BL11,nADM_SegE_Loc_n,"&gt;"&amp;BK11)-IF(BL11&gt;BK11,1,0))</f>
        <v>0</v>
      </c>
      <c r="BP11" s="22">
        <f>IF(BH11=0,0,COUNTIFS(nADM_SelKey,AN11,nADM_SegOK,1,nADM_SegS_UTC_n,"&lt;"&amp;BJ11,nADM_SegE_UTC_n,"&gt;"&amp;BI11)-IF(BJ11&gt;BI11,1,0))</f>
        <v>0</v>
      </c>
      <c r="BQ11" s="21" t="str">
        <f t="shared" si="36"/>
        <v/>
      </c>
      <c r="BR11" s="22">
        <f>IF(C11="",1,IF(COUNTIF(nEXP_Key,AN11)&gt;0,1,0))</f>
        <v>1</v>
      </c>
      <c r="BS11" s="21" t="str">
        <f t="shared" si="37"/>
        <v/>
      </c>
      <c r="BT11" s="21" t="str">
        <f>IF(BS11="","",BS11&amp;": "&amp;SUBSTITUTE(IFERROR(INDEX(nMSG_Text,MATCH(BS11,nMSG_Code,0)),""),"[input]",IF(C11="","an Admin_ID",IF(BR11=0,"an Exposures row for episode "&amp;D11,IF(BQ11&lt;&gt;"","segment start and end timestamps and a rate in mg/hour","the date fields required by the selected precision")))))</f>
        <v/>
      </c>
    </row>
    <row r="12" spans="1:72" x14ac:dyDescent="0.2">
      <c r="A12" s="10"/>
      <c r="B12" s="12"/>
      <c r="C12" s="10"/>
      <c r="D12" s="10"/>
      <c r="E12" s="17"/>
      <c r="F12" s="17"/>
      <c r="G12" s="17"/>
      <c r="H12" s="17"/>
      <c r="I12" s="17"/>
      <c r="J12" s="17"/>
      <c r="K12" s="17"/>
      <c r="L12" s="10"/>
      <c r="M12" s="10"/>
      <c r="N12" s="17"/>
      <c r="O12" s="15"/>
      <c r="P12" s="26"/>
      <c r="Q12" s="10"/>
      <c r="R12" s="12"/>
      <c r="S12" s="12"/>
      <c r="T12" s="15"/>
      <c r="U12" s="15"/>
      <c r="V12" s="10"/>
      <c r="W12" s="21" t="str">
        <f>IF(COUNTA(N12:U12)=0,"",IF(N12="","E_MISSING_INPUT",IF(N12="TIMESTAMP",IF(OR(O12="",P12="",Q12=""),"E_MISSING_INPUT",IF(OR(NOT(ISNUMBER(O12)),NOT(ISNUMBER(P12))),"E_INVALID_DATE",IF(OR(O12&lt;&gt;INT(O12),P12&lt;0,P12&gt;=1),"E_INVALID_DATE",IF(ISNA(MATCH(Q12,nLIST_Offset,0)),"E_INVALID_DATE","")))),IF(N12="DATE",IF(O12="","E_MISSING_INPUT",IF(NOT(ISNUMBER(O12)),"E_INVALID_DATE",IF(O12&lt;&gt;INT(O12),"E_INVALID_DATE",""))),IF(N12="MONTH",IF(OR(R12="",S12=""),"E_MISSING_INPUT",IF(OR(NOT(ISNUMBER(R12)),NOT(ISNUMBER(S12))),"E_INVALID_DATE",IF(OR(R12&lt;1900,R12&gt;9999,R12&lt;&gt;INT(R12),S12&lt;1,S12&gt;12,S12&lt;&gt;INT(S12)),"E_INVALID_DATE",""))),IF(N12="YEAR",IF(R12="","E_MISSING_INPUT",IF(NOT(ISNUMBER(R12)),"E_INVALID_DATE",IF(OR(R12&lt;1900,R12&gt;9999,R12&lt;&gt;INT(R12)),"E_INVALID_DATE",""))),IF(N12="RANGE",IF(OR(T12="",U12=""),"E_MISSING_INPUT",IF(OR(NOT(ISNUMBER(T12)),NOT(ISNUMBER(U12))),"E_INVALID_DATE",IF(OR(T12&lt;&gt;INT(T12),U12&lt;&gt;INT(U12)),"E_INVALID_DATE",IF(T12&gt;U12,"E_REVERSED_BOUNDS","")))),"E_MISSING_INPUT")))))))</f>
        <v/>
      </c>
      <c r="X12" s="22">
        <f t="shared" si="0"/>
        <v>0</v>
      </c>
      <c r="Y12" s="22">
        <f t="shared" si="1"/>
        <v>0</v>
      </c>
      <c r="Z12" s="28" t="str">
        <f t="shared" si="2"/>
        <v/>
      </c>
      <c r="AA12" s="28" t="str">
        <f t="shared" si="3"/>
        <v/>
      </c>
      <c r="AB12" s="22" t="str">
        <f t="shared" si="4"/>
        <v/>
      </c>
      <c r="AC12" s="22" t="str">
        <f t="shared" si="5"/>
        <v/>
      </c>
      <c r="AD12" s="15"/>
      <c r="AE12" s="26"/>
      <c r="AF12" s="10"/>
      <c r="AG12" s="10"/>
      <c r="AH12" s="21" t="str">
        <f>IF(COUNTA(AD12:AF12)=0,"",IF(OR(AD12="",AE12="",AF12=""),"E_MISSING_INPUT",IF(OR(NOT(ISNUMBER(AD12)),NOT(ISNUMBER(AE12))),"E_INVALID_DATE",IF(OR(AD12&lt;&gt;INT(AD12),AE12&lt;0,AE12&gt;=1),"E_INVALID_DATE",IF(ISNA(MATCH(AF12,nLIST_Offset,0)),"E_INVALID_DATE","")))))</f>
        <v/>
      </c>
      <c r="AI12" s="22" t="str">
        <f t="shared" si="6"/>
        <v/>
      </c>
      <c r="AJ12" s="22">
        <f t="shared" si="7"/>
        <v>0</v>
      </c>
      <c r="AK12" s="22" t="str">
        <f t="shared" si="8"/>
        <v/>
      </c>
      <c r="AL12" s="21" t="str">
        <f t="shared" si="9"/>
        <v/>
      </c>
      <c r="AM12" s="22">
        <f>IF(AL12="",0,COUNTIF(nADM_Key,AL12))</f>
        <v>0</v>
      </c>
      <c r="AN12" s="21" t="str">
        <f t="shared" si="10"/>
        <v/>
      </c>
      <c r="AO12" s="22">
        <f t="shared" si="11"/>
        <v>0</v>
      </c>
      <c r="AP12" s="22">
        <f t="shared" si="12"/>
        <v>0</v>
      </c>
      <c r="AQ12" s="22">
        <f t="shared" si="13"/>
        <v>0</v>
      </c>
      <c r="AR12" s="22">
        <f t="shared" si="14"/>
        <v>0</v>
      </c>
      <c r="AS12" s="22">
        <f t="shared" si="15"/>
        <v>0</v>
      </c>
      <c r="AT12" s="22">
        <f>ROW()</f>
        <v>12</v>
      </c>
      <c r="AU12" s="21">
        <f t="shared" si="16"/>
        <v>0</v>
      </c>
      <c r="AV12" s="21">
        <f t="shared" si="17"/>
        <v>0</v>
      </c>
      <c r="AW12" s="21">
        <f t="shared" si="18"/>
        <v>0</v>
      </c>
      <c r="AX12" s="22">
        <f t="shared" si="19"/>
        <v>0</v>
      </c>
      <c r="AY12" s="21">
        <f t="shared" si="20"/>
        <v>0</v>
      </c>
      <c r="AZ12" s="21">
        <f t="shared" si="21"/>
        <v>-1</v>
      </c>
      <c r="BA12" s="22">
        <f t="shared" si="22"/>
        <v>0</v>
      </c>
      <c r="BB12" s="22">
        <f t="shared" si="23"/>
        <v>0</v>
      </c>
      <c r="BC12" s="22">
        <f t="shared" si="24"/>
        <v>0</v>
      </c>
      <c r="BD12" s="21">
        <f t="shared" si="25"/>
        <v>0</v>
      </c>
      <c r="BE12" s="21" t="str">
        <f t="shared" si="26"/>
        <v/>
      </c>
      <c r="BF12" s="21" t="str">
        <f t="shared" si="27"/>
        <v/>
      </c>
      <c r="BG12" s="22">
        <f t="shared" si="28"/>
        <v>0</v>
      </c>
      <c r="BH12" s="22">
        <f t="shared" si="29"/>
        <v>0</v>
      </c>
      <c r="BI12" s="22">
        <f t="shared" si="30"/>
        <v>0</v>
      </c>
      <c r="BJ12" s="22">
        <f t="shared" si="31"/>
        <v>0</v>
      </c>
      <c r="BK12" s="22">
        <f t="shared" si="32"/>
        <v>0</v>
      </c>
      <c r="BL12" s="22">
        <f t="shared" si="33"/>
        <v>0</v>
      </c>
      <c r="BM12" s="22">
        <f t="shared" si="34"/>
        <v>0</v>
      </c>
      <c r="BN12" s="22">
        <f t="shared" si="35"/>
        <v>0</v>
      </c>
      <c r="BO12" s="22">
        <f>IF(BG12=0,0,COUNTIFS(nADM_SelKey,AN12,nADM_SegValid,1,nADM_SegS_Loc_n,"&lt;"&amp;BL12,nADM_SegE_Loc_n,"&gt;"&amp;BK12)-IF(BL12&gt;BK12,1,0))</f>
        <v>0</v>
      </c>
      <c r="BP12" s="22">
        <f>IF(BH12=0,0,COUNTIFS(nADM_SelKey,AN12,nADM_SegOK,1,nADM_SegS_UTC_n,"&lt;"&amp;BJ12,nADM_SegE_UTC_n,"&gt;"&amp;BI12)-IF(BJ12&gt;BI12,1,0))</f>
        <v>0</v>
      </c>
      <c r="BQ12" s="21" t="str">
        <f t="shared" si="36"/>
        <v/>
      </c>
      <c r="BR12" s="22">
        <f>IF(C12="",1,IF(COUNTIF(nEXP_Key,AN12)&gt;0,1,0))</f>
        <v>1</v>
      </c>
      <c r="BS12" s="21" t="str">
        <f t="shared" si="37"/>
        <v/>
      </c>
      <c r="BT12" s="21" t="str">
        <f>IF(BS12="","",BS12&amp;": "&amp;SUBSTITUTE(IFERROR(INDEX(nMSG_Text,MATCH(BS12,nMSG_Code,0)),""),"[input]",IF(C12="","an Admin_ID",IF(BR12=0,"an Exposures row for episode "&amp;D12,IF(BQ12&lt;&gt;"","segment start and end timestamps and a rate in mg/hour","the date fields required by the selected precision")))))</f>
        <v/>
      </c>
    </row>
    <row r="13" spans="1:72" x14ac:dyDescent="0.2">
      <c r="A13" s="10"/>
      <c r="B13" s="12"/>
      <c r="C13" s="10"/>
      <c r="D13" s="10"/>
      <c r="E13" s="17"/>
      <c r="F13" s="17"/>
      <c r="G13" s="17"/>
      <c r="H13" s="17"/>
      <c r="I13" s="17"/>
      <c r="J13" s="17"/>
      <c r="K13" s="17"/>
      <c r="L13" s="10"/>
      <c r="M13" s="10"/>
      <c r="N13" s="17"/>
      <c r="O13" s="15"/>
      <c r="P13" s="26"/>
      <c r="Q13" s="10"/>
      <c r="R13" s="12"/>
      <c r="S13" s="12"/>
      <c r="T13" s="15"/>
      <c r="U13" s="15"/>
      <c r="V13" s="10"/>
      <c r="W13" s="21" t="str">
        <f>IF(COUNTA(N13:U13)=0,"",IF(N13="","E_MISSING_INPUT",IF(N13="TIMESTAMP",IF(OR(O13="",P13="",Q13=""),"E_MISSING_INPUT",IF(OR(NOT(ISNUMBER(O13)),NOT(ISNUMBER(P13))),"E_INVALID_DATE",IF(OR(O13&lt;&gt;INT(O13),P13&lt;0,P13&gt;=1),"E_INVALID_DATE",IF(ISNA(MATCH(Q13,nLIST_Offset,0)),"E_INVALID_DATE","")))),IF(N13="DATE",IF(O13="","E_MISSING_INPUT",IF(NOT(ISNUMBER(O13)),"E_INVALID_DATE",IF(O13&lt;&gt;INT(O13),"E_INVALID_DATE",""))),IF(N13="MONTH",IF(OR(R13="",S13=""),"E_MISSING_INPUT",IF(OR(NOT(ISNUMBER(R13)),NOT(ISNUMBER(S13))),"E_INVALID_DATE",IF(OR(R13&lt;1900,R13&gt;9999,R13&lt;&gt;INT(R13),S13&lt;1,S13&gt;12,S13&lt;&gt;INT(S13)),"E_INVALID_DATE",""))),IF(N13="YEAR",IF(R13="","E_MISSING_INPUT",IF(NOT(ISNUMBER(R13)),"E_INVALID_DATE",IF(OR(R13&lt;1900,R13&gt;9999,R13&lt;&gt;INT(R13)),"E_INVALID_DATE",""))),IF(N13="RANGE",IF(OR(T13="",U13=""),"E_MISSING_INPUT",IF(OR(NOT(ISNUMBER(T13)),NOT(ISNUMBER(U13))),"E_INVALID_DATE",IF(OR(T13&lt;&gt;INT(T13),U13&lt;&gt;INT(U13)),"E_INVALID_DATE",IF(T13&gt;U13,"E_REVERSED_BOUNDS","")))),"E_MISSING_INPUT")))))))</f>
        <v/>
      </c>
      <c r="X13" s="22">
        <f t="shared" si="0"/>
        <v>0</v>
      </c>
      <c r="Y13" s="22">
        <f t="shared" si="1"/>
        <v>0</v>
      </c>
      <c r="Z13" s="28" t="str">
        <f t="shared" si="2"/>
        <v/>
      </c>
      <c r="AA13" s="28" t="str">
        <f t="shared" si="3"/>
        <v/>
      </c>
      <c r="AB13" s="22" t="str">
        <f t="shared" si="4"/>
        <v/>
      </c>
      <c r="AC13" s="22" t="str">
        <f t="shared" si="5"/>
        <v/>
      </c>
      <c r="AD13" s="15"/>
      <c r="AE13" s="26"/>
      <c r="AF13" s="10"/>
      <c r="AG13" s="10"/>
      <c r="AH13" s="21" t="str">
        <f>IF(COUNTA(AD13:AF13)=0,"",IF(OR(AD13="",AE13="",AF13=""),"E_MISSING_INPUT",IF(OR(NOT(ISNUMBER(AD13)),NOT(ISNUMBER(AE13))),"E_INVALID_DATE",IF(OR(AD13&lt;&gt;INT(AD13),AE13&lt;0,AE13&gt;=1),"E_INVALID_DATE",IF(ISNA(MATCH(AF13,nLIST_Offset,0)),"E_INVALID_DATE","")))))</f>
        <v/>
      </c>
      <c r="AI13" s="22" t="str">
        <f t="shared" si="6"/>
        <v/>
      </c>
      <c r="AJ13" s="22">
        <f t="shared" si="7"/>
        <v>0</v>
      </c>
      <c r="AK13" s="22" t="str">
        <f t="shared" si="8"/>
        <v/>
      </c>
      <c r="AL13" s="21" t="str">
        <f t="shared" si="9"/>
        <v/>
      </c>
      <c r="AM13" s="22">
        <f>IF(AL13="",0,COUNTIF(nADM_Key,AL13))</f>
        <v>0</v>
      </c>
      <c r="AN13" s="21" t="str">
        <f t="shared" si="10"/>
        <v/>
      </c>
      <c r="AO13" s="22">
        <f t="shared" si="11"/>
        <v>0</v>
      </c>
      <c r="AP13" s="22">
        <f t="shared" si="12"/>
        <v>0</v>
      </c>
      <c r="AQ13" s="22">
        <f t="shared" si="13"/>
        <v>0</v>
      </c>
      <c r="AR13" s="22">
        <f t="shared" si="14"/>
        <v>0</v>
      </c>
      <c r="AS13" s="22">
        <f t="shared" si="15"/>
        <v>0</v>
      </c>
      <c r="AT13" s="22">
        <f>ROW()</f>
        <v>13</v>
      </c>
      <c r="AU13" s="21">
        <f t="shared" si="16"/>
        <v>0</v>
      </c>
      <c r="AV13" s="21">
        <f t="shared" si="17"/>
        <v>0</v>
      </c>
      <c r="AW13" s="21">
        <f t="shared" si="18"/>
        <v>0</v>
      </c>
      <c r="AX13" s="22">
        <f t="shared" si="19"/>
        <v>0</v>
      </c>
      <c r="AY13" s="21">
        <f t="shared" si="20"/>
        <v>0</v>
      </c>
      <c r="AZ13" s="21">
        <f t="shared" si="21"/>
        <v>-1</v>
      </c>
      <c r="BA13" s="22">
        <f t="shared" si="22"/>
        <v>0</v>
      </c>
      <c r="BB13" s="22">
        <f t="shared" si="23"/>
        <v>0</v>
      </c>
      <c r="BC13" s="22">
        <f t="shared" si="24"/>
        <v>0</v>
      </c>
      <c r="BD13" s="21">
        <f t="shared" si="25"/>
        <v>0</v>
      </c>
      <c r="BE13" s="21" t="str">
        <f t="shared" si="26"/>
        <v/>
      </c>
      <c r="BF13" s="21" t="str">
        <f t="shared" si="27"/>
        <v/>
      </c>
      <c r="BG13" s="22">
        <f t="shared" si="28"/>
        <v>0</v>
      </c>
      <c r="BH13" s="22">
        <f t="shared" si="29"/>
        <v>0</v>
      </c>
      <c r="BI13" s="22">
        <f t="shared" si="30"/>
        <v>0</v>
      </c>
      <c r="BJ13" s="22">
        <f t="shared" si="31"/>
        <v>0</v>
      </c>
      <c r="BK13" s="22">
        <f t="shared" si="32"/>
        <v>0</v>
      </c>
      <c r="BL13" s="22">
        <f t="shared" si="33"/>
        <v>0</v>
      </c>
      <c r="BM13" s="22">
        <f t="shared" si="34"/>
        <v>0</v>
      </c>
      <c r="BN13" s="22">
        <f t="shared" si="35"/>
        <v>0</v>
      </c>
      <c r="BO13" s="22">
        <f>IF(BG13=0,0,COUNTIFS(nADM_SelKey,AN13,nADM_SegValid,1,nADM_SegS_Loc_n,"&lt;"&amp;BL13,nADM_SegE_Loc_n,"&gt;"&amp;BK13)-IF(BL13&gt;BK13,1,0))</f>
        <v>0</v>
      </c>
      <c r="BP13" s="22">
        <f>IF(BH13=0,0,COUNTIFS(nADM_SelKey,AN13,nADM_SegOK,1,nADM_SegS_UTC_n,"&lt;"&amp;BJ13,nADM_SegE_UTC_n,"&gt;"&amp;BI13)-IF(BJ13&gt;BI13,1,0))</f>
        <v>0</v>
      </c>
      <c r="BQ13" s="21" t="str">
        <f t="shared" si="36"/>
        <v/>
      </c>
      <c r="BR13" s="22">
        <f>IF(C13="",1,IF(COUNTIF(nEXP_Key,AN13)&gt;0,1,0))</f>
        <v>1</v>
      </c>
      <c r="BS13" s="21" t="str">
        <f t="shared" si="37"/>
        <v/>
      </c>
      <c r="BT13" s="21" t="str">
        <f>IF(BS13="","",BS13&amp;": "&amp;SUBSTITUTE(IFERROR(INDEX(nMSG_Text,MATCH(BS13,nMSG_Code,0)),""),"[input]",IF(C13="","an Admin_ID",IF(BR13=0,"an Exposures row for episode "&amp;D13,IF(BQ13&lt;&gt;"","segment start and end timestamps and a rate in mg/hour","the date fields required by the selected precision")))))</f>
        <v/>
      </c>
    </row>
    <row r="14" spans="1:72" x14ac:dyDescent="0.2">
      <c r="A14" s="10"/>
      <c r="B14" s="12"/>
      <c r="C14" s="10"/>
      <c r="D14" s="10"/>
      <c r="E14" s="17"/>
      <c r="F14" s="17"/>
      <c r="G14" s="17"/>
      <c r="H14" s="17"/>
      <c r="I14" s="17"/>
      <c r="J14" s="17"/>
      <c r="K14" s="17"/>
      <c r="L14" s="10"/>
      <c r="M14" s="10"/>
      <c r="N14" s="17"/>
      <c r="O14" s="15"/>
      <c r="P14" s="26"/>
      <c r="Q14" s="10"/>
      <c r="R14" s="12"/>
      <c r="S14" s="12"/>
      <c r="T14" s="15"/>
      <c r="U14" s="15"/>
      <c r="V14" s="10"/>
      <c r="W14" s="21" t="str">
        <f>IF(COUNTA(N14:U14)=0,"",IF(N14="","E_MISSING_INPUT",IF(N14="TIMESTAMP",IF(OR(O14="",P14="",Q14=""),"E_MISSING_INPUT",IF(OR(NOT(ISNUMBER(O14)),NOT(ISNUMBER(P14))),"E_INVALID_DATE",IF(OR(O14&lt;&gt;INT(O14),P14&lt;0,P14&gt;=1),"E_INVALID_DATE",IF(ISNA(MATCH(Q14,nLIST_Offset,0)),"E_INVALID_DATE","")))),IF(N14="DATE",IF(O14="","E_MISSING_INPUT",IF(NOT(ISNUMBER(O14)),"E_INVALID_DATE",IF(O14&lt;&gt;INT(O14),"E_INVALID_DATE",""))),IF(N14="MONTH",IF(OR(R14="",S14=""),"E_MISSING_INPUT",IF(OR(NOT(ISNUMBER(R14)),NOT(ISNUMBER(S14))),"E_INVALID_DATE",IF(OR(R14&lt;1900,R14&gt;9999,R14&lt;&gt;INT(R14),S14&lt;1,S14&gt;12,S14&lt;&gt;INT(S14)),"E_INVALID_DATE",""))),IF(N14="YEAR",IF(R14="","E_MISSING_INPUT",IF(NOT(ISNUMBER(R14)),"E_INVALID_DATE",IF(OR(R14&lt;1900,R14&gt;9999,R14&lt;&gt;INT(R14)),"E_INVALID_DATE",""))),IF(N14="RANGE",IF(OR(T14="",U14=""),"E_MISSING_INPUT",IF(OR(NOT(ISNUMBER(T14)),NOT(ISNUMBER(U14))),"E_INVALID_DATE",IF(OR(T14&lt;&gt;INT(T14),U14&lt;&gt;INT(U14)),"E_INVALID_DATE",IF(T14&gt;U14,"E_REVERSED_BOUNDS","")))),"E_MISSING_INPUT")))))))</f>
        <v/>
      </c>
      <c r="X14" s="22">
        <f t="shared" si="0"/>
        <v>0</v>
      </c>
      <c r="Y14" s="22">
        <f t="shared" si="1"/>
        <v>0</v>
      </c>
      <c r="Z14" s="28" t="str">
        <f t="shared" si="2"/>
        <v/>
      </c>
      <c r="AA14" s="28" t="str">
        <f t="shared" si="3"/>
        <v/>
      </c>
      <c r="AB14" s="22" t="str">
        <f t="shared" si="4"/>
        <v/>
      </c>
      <c r="AC14" s="22" t="str">
        <f t="shared" si="5"/>
        <v/>
      </c>
      <c r="AD14" s="15"/>
      <c r="AE14" s="26"/>
      <c r="AF14" s="10"/>
      <c r="AG14" s="10"/>
      <c r="AH14" s="21" t="str">
        <f>IF(COUNTA(AD14:AF14)=0,"",IF(OR(AD14="",AE14="",AF14=""),"E_MISSING_INPUT",IF(OR(NOT(ISNUMBER(AD14)),NOT(ISNUMBER(AE14))),"E_INVALID_DATE",IF(OR(AD14&lt;&gt;INT(AD14),AE14&lt;0,AE14&gt;=1),"E_INVALID_DATE",IF(ISNA(MATCH(AF14,nLIST_Offset,0)),"E_INVALID_DATE","")))))</f>
        <v/>
      </c>
      <c r="AI14" s="22" t="str">
        <f t="shared" si="6"/>
        <v/>
      </c>
      <c r="AJ14" s="22">
        <f t="shared" si="7"/>
        <v>0</v>
      </c>
      <c r="AK14" s="22" t="str">
        <f t="shared" si="8"/>
        <v/>
      </c>
      <c r="AL14" s="21" t="str">
        <f t="shared" si="9"/>
        <v/>
      </c>
      <c r="AM14" s="22">
        <f>IF(AL14="",0,COUNTIF(nADM_Key,AL14))</f>
        <v>0</v>
      </c>
      <c r="AN14" s="21" t="str">
        <f t="shared" si="10"/>
        <v/>
      </c>
      <c r="AO14" s="22">
        <f t="shared" si="11"/>
        <v>0</v>
      </c>
      <c r="AP14" s="22">
        <f t="shared" si="12"/>
        <v>0</v>
      </c>
      <c r="AQ14" s="22">
        <f t="shared" si="13"/>
        <v>0</v>
      </c>
      <c r="AR14" s="22">
        <f t="shared" si="14"/>
        <v>0</v>
      </c>
      <c r="AS14" s="22">
        <f t="shared" si="15"/>
        <v>0</v>
      </c>
      <c r="AT14" s="22">
        <f>ROW()</f>
        <v>14</v>
      </c>
      <c r="AU14" s="21">
        <f t="shared" si="16"/>
        <v>0</v>
      </c>
      <c r="AV14" s="21">
        <f t="shared" si="17"/>
        <v>0</v>
      </c>
      <c r="AW14" s="21">
        <f t="shared" si="18"/>
        <v>0</v>
      </c>
      <c r="AX14" s="22">
        <f t="shared" si="19"/>
        <v>0</v>
      </c>
      <c r="AY14" s="21">
        <f t="shared" si="20"/>
        <v>0</v>
      </c>
      <c r="AZ14" s="21">
        <f t="shared" si="21"/>
        <v>-1</v>
      </c>
      <c r="BA14" s="22">
        <f t="shared" si="22"/>
        <v>0</v>
      </c>
      <c r="BB14" s="22">
        <f t="shared" si="23"/>
        <v>0</v>
      </c>
      <c r="BC14" s="22">
        <f t="shared" si="24"/>
        <v>0</v>
      </c>
      <c r="BD14" s="21">
        <f t="shared" si="25"/>
        <v>0</v>
      </c>
      <c r="BE14" s="21" t="str">
        <f t="shared" si="26"/>
        <v/>
      </c>
      <c r="BF14" s="21" t="str">
        <f t="shared" si="27"/>
        <v/>
      </c>
      <c r="BG14" s="22">
        <f t="shared" si="28"/>
        <v>0</v>
      </c>
      <c r="BH14" s="22">
        <f t="shared" si="29"/>
        <v>0</v>
      </c>
      <c r="BI14" s="22">
        <f t="shared" si="30"/>
        <v>0</v>
      </c>
      <c r="BJ14" s="22">
        <f t="shared" si="31"/>
        <v>0</v>
      </c>
      <c r="BK14" s="22">
        <f t="shared" si="32"/>
        <v>0</v>
      </c>
      <c r="BL14" s="22">
        <f t="shared" si="33"/>
        <v>0</v>
      </c>
      <c r="BM14" s="22">
        <f t="shared" si="34"/>
        <v>0</v>
      </c>
      <c r="BN14" s="22">
        <f t="shared" si="35"/>
        <v>0</v>
      </c>
      <c r="BO14" s="22">
        <f>IF(BG14=0,0,COUNTIFS(nADM_SelKey,AN14,nADM_SegValid,1,nADM_SegS_Loc_n,"&lt;"&amp;BL14,nADM_SegE_Loc_n,"&gt;"&amp;BK14)-IF(BL14&gt;BK14,1,0))</f>
        <v>0</v>
      </c>
      <c r="BP14" s="22">
        <f>IF(BH14=0,0,COUNTIFS(nADM_SelKey,AN14,nADM_SegOK,1,nADM_SegS_UTC_n,"&lt;"&amp;BJ14,nADM_SegE_UTC_n,"&gt;"&amp;BI14)-IF(BJ14&gt;BI14,1,0))</f>
        <v>0</v>
      </c>
      <c r="BQ14" s="21" t="str">
        <f t="shared" si="36"/>
        <v/>
      </c>
      <c r="BR14" s="22">
        <f>IF(C14="",1,IF(COUNTIF(nEXP_Key,AN14)&gt;0,1,0))</f>
        <v>1</v>
      </c>
      <c r="BS14" s="21" t="str">
        <f t="shared" si="37"/>
        <v/>
      </c>
      <c r="BT14" s="21" t="str">
        <f>IF(BS14="","",BS14&amp;": "&amp;SUBSTITUTE(IFERROR(INDEX(nMSG_Text,MATCH(BS14,nMSG_Code,0)),""),"[input]",IF(C14="","an Admin_ID",IF(BR14=0,"an Exposures row for episode "&amp;D14,IF(BQ14&lt;&gt;"","segment start and end timestamps and a rate in mg/hour","the date fields required by the selected precision")))))</f>
        <v/>
      </c>
    </row>
    <row r="15" spans="1:72" x14ac:dyDescent="0.2">
      <c r="A15" s="10"/>
      <c r="B15" s="12"/>
      <c r="C15" s="10"/>
      <c r="D15" s="10"/>
      <c r="E15" s="17"/>
      <c r="F15" s="17"/>
      <c r="G15" s="17"/>
      <c r="H15" s="17"/>
      <c r="I15" s="17"/>
      <c r="J15" s="17"/>
      <c r="K15" s="17"/>
      <c r="L15" s="10"/>
      <c r="M15" s="10"/>
      <c r="N15" s="17"/>
      <c r="O15" s="15"/>
      <c r="P15" s="26"/>
      <c r="Q15" s="10"/>
      <c r="R15" s="12"/>
      <c r="S15" s="12"/>
      <c r="T15" s="15"/>
      <c r="U15" s="15"/>
      <c r="V15" s="10"/>
      <c r="W15" s="21" t="str">
        <f>IF(COUNTA(N15:U15)=0,"",IF(N15="","E_MISSING_INPUT",IF(N15="TIMESTAMP",IF(OR(O15="",P15="",Q15=""),"E_MISSING_INPUT",IF(OR(NOT(ISNUMBER(O15)),NOT(ISNUMBER(P15))),"E_INVALID_DATE",IF(OR(O15&lt;&gt;INT(O15),P15&lt;0,P15&gt;=1),"E_INVALID_DATE",IF(ISNA(MATCH(Q15,nLIST_Offset,0)),"E_INVALID_DATE","")))),IF(N15="DATE",IF(O15="","E_MISSING_INPUT",IF(NOT(ISNUMBER(O15)),"E_INVALID_DATE",IF(O15&lt;&gt;INT(O15),"E_INVALID_DATE",""))),IF(N15="MONTH",IF(OR(R15="",S15=""),"E_MISSING_INPUT",IF(OR(NOT(ISNUMBER(R15)),NOT(ISNUMBER(S15))),"E_INVALID_DATE",IF(OR(R15&lt;1900,R15&gt;9999,R15&lt;&gt;INT(R15),S15&lt;1,S15&gt;12,S15&lt;&gt;INT(S15)),"E_INVALID_DATE",""))),IF(N15="YEAR",IF(R15="","E_MISSING_INPUT",IF(NOT(ISNUMBER(R15)),"E_INVALID_DATE",IF(OR(R15&lt;1900,R15&gt;9999,R15&lt;&gt;INT(R15)),"E_INVALID_DATE",""))),IF(N15="RANGE",IF(OR(T15="",U15=""),"E_MISSING_INPUT",IF(OR(NOT(ISNUMBER(T15)),NOT(ISNUMBER(U15))),"E_INVALID_DATE",IF(OR(T15&lt;&gt;INT(T15),U15&lt;&gt;INT(U15)),"E_INVALID_DATE",IF(T15&gt;U15,"E_REVERSED_BOUNDS","")))),"E_MISSING_INPUT")))))))</f>
        <v/>
      </c>
      <c r="X15" s="22">
        <f t="shared" si="0"/>
        <v>0</v>
      </c>
      <c r="Y15" s="22">
        <f t="shared" si="1"/>
        <v>0</v>
      </c>
      <c r="Z15" s="28" t="str">
        <f t="shared" si="2"/>
        <v/>
      </c>
      <c r="AA15" s="28" t="str">
        <f t="shared" si="3"/>
        <v/>
      </c>
      <c r="AB15" s="22" t="str">
        <f t="shared" si="4"/>
        <v/>
      </c>
      <c r="AC15" s="22" t="str">
        <f t="shared" si="5"/>
        <v/>
      </c>
      <c r="AD15" s="15"/>
      <c r="AE15" s="26"/>
      <c r="AF15" s="10"/>
      <c r="AG15" s="10"/>
      <c r="AH15" s="21" t="str">
        <f>IF(COUNTA(AD15:AF15)=0,"",IF(OR(AD15="",AE15="",AF15=""),"E_MISSING_INPUT",IF(OR(NOT(ISNUMBER(AD15)),NOT(ISNUMBER(AE15))),"E_INVALID_DATE",IF(OR(AD15&lt;&gt;INT(AD15),AE15&lt;0,AE15&gt;=1),"E_INVALID_DATE",IF(ISNA(MATCH(AF15,nLIST_Offset,0)),"E_INVALID_DATE","")))))</f>
        <v/>
      </c>
      <c r="AI15" s="22" t="str">
        <f t="shared" si="6"/>
        <v/>
      </c>
      <c r="AJ15" s="22">
        <f t="shared" si="7"/>
        <v>0</v>
      </c>
      <c r="AK15" s="22" t="str">
        <f t="shared" si="8"/>
        <v/>
      </c>
      <c r="AL15" s="21" t="str">
        <f t="shared" si="9"/>
        <v/>
      </c>
      <c r="AM15" s="22">
        <f>IF(AL15="",0,COUNTIF(nADM_Key,AL15))</f>
        <v>0</v>
      </c>
      <c r="AN15" s="21" t="str">
        <f t="shared" si="10"/>
        <v/>
      </c>
      <c r="AO15" s="22">
        <f t="shared" si="11"/>
        <v>0</v>
      </c>
      <c r="AP15" s="22">
        <f t="shared" si="12"/>
        <v>0</v>
      </c>
      <c r="AQ15" s="22">
        <f t="shared" si="13"/>
        <v>0</v>
      </c>
      <c r="AR15" s="22">
        <f t="shared" si="14"/>
        <v>0</v>
      </c>
      <c r="AS15" s="22">
        <f t="shared" si="15"/>
        <v>0</v>
      </c>
      <c r="AT15" s="22">
        <f>ROW()</f>
        <v>15</v>
      </c>
      <c r="AU15" s="21">
        <f t="shared" si="16"/>
        <v>0</v>
      </c>
      <c r="AV15" s="21">
        <f t="shared" si="17"/>
        <v>0</v>
      </c>
      <c r="AW15" s="21">
        <f t="shared" si="18"/>
        <v>0</v>
      </c>
      <c r="AX15" s="22">
        <f t="shared" si="19"/>
        <v>0</v>
      </c>
      <c r="AY15" s="21">
        <f t="shared" si="20"/>
        <v>0</v>
      </c>
      <c r="AZ15" s="21">
        <f t="shared" si="21"/>
        <v>-1</v>
      </c>
      <c r="BA15" s="22">
        <f t="shared" si="22"/>
        <v>0</v>
      </c>
      <c r="BB15" s="22">
        <f t="shared" si="23"/>
        <v>0</v>
      </c>
      <c r="BC15" s="22">
        <f t="shared" si="24"/>
        <v>0</v>
      </c>
      <c r="BD15" s="21">
        <f t="shared" si="25"/>
        <v>0</v>
      </c>
      <c r="BE15" s="21" t="str">
        <f t="shared" si="26"/>
        <v/>
      </c>
      <c r="BF15" s="21" t="str">
        <f t="shared" si="27"/>
        <v/>
      </c>
      <c r="BG15" s="22">
        <f t="shared" si="28"/>
        <v>0</v>
      </c>
      <c r="BH15" s="22">
        <f t="shared" si="29"/>
        <v>0</v>
      </c>
      <c r="BI15" s="22">
        <f t="shared" si="30"/>
        <v>0</v>
      </c>
      <c r="BJ15" s="22">
        <f t="shared" si="31"/>
        <v>0</v>
      </c>
      <c r="BK15" s="22">
        <f t="shared" si="32"/>
        <v>0</v>
      </c>
      <c r="BL15" s="22">
        <f t="shared" si="33"/>
        <v>0</v>
      </c>
      <c r="BM15" s="22">
        <f t="shared" si="34"/>
        <v>0</v>
      </c>
      <c r="BN15" s="22">
        <f t="shared" si="35"/>
        <v>0</v>
      </c>
      <c r="BO15" s="22">
        <f>IF(BG15=0,0,COUNTIFS(nADM_SelKey,AN15,nADM_SegValid,1,nADM_SegS_Loc_n,"&lt;"&amp;BL15,nADM_SegE_Loc_n,"&gt;"&amp;BK15)-IF(BL15&gt;BK15,1,0))</f>
        <v>0</v>
      </c>
      <c r="BP15" s="22">
        <f>IF(BH15=0,0,COUNTIFS(nADM_SelKey,AN15,nADM_SegOK,1,nADM_SegS_UTC_n,"&lt;"&amp;BJ15,nADM_SegE_UTC_n,"&gt;"&amp;BI15)-IF(BJ15&gt;BI15,1,0))</f>
        <v>0</v>
      </c>
      <c r="BQ15" s="21" t="str">
        <f t="shared" si="36"/>
        <v/>
      </c>
      <c r="BR15" s="22">
        <f>IF(C15="",1,IF(COUNTIF(nEXP_Key,AN15)&gt;0,1,0))</f>
        <v>1</v>
      </c>
      <c r="BS15" s="21" t="str">
        <f t="shared" si="37"/>
        <v/>
      </c>
      <c r="BT15" s="21" t="str">
        <f>IF(BS15="","",BS15&amp;": "&amp;SUBSTITUTE(IFERROR(INDEX(nMSG_Text,MATCH(BS15,nMSG_Code,0)),""),"[input]",IF(C15="","an Admin_ID",IF(BR15=0,"an Exposures row for episode "&amp;D15,IF(BQ15&lt;&gt;"","segment start and end timestamps and a rate in mg/hour","the date fields required by the selected precision")))))</f>
        <v/>
      </c>
    </row>
    <row r="16" spans="1:72" x14ac:dyDescent="0.2">
      <c r="A16" s="10"/>
      <c r="B16" s="12"/>
      <c r="C16" s="10"/>
      <c r="D16" s="10"/>
      <c r="E16" s="17"/>
      <c r="F16" s="17"/>
      <c r="G16" s="17"/>
      <c r="H16" s="17"/>
      <c r="I16" s="17"/>
      <c r="J16" s="17"/>
      <c r="K16" s="17"/>
      <c r="L16" s="10"/>
      <c r="M16" s="10"/>
      <c r="N16" s="17"/>
      <c r="O16" s="15"/>
      <c r="P16" s="26"/>
      <c r="Q16" s="10"/>
      <c r="R16" s="12"/>
      <c r="S16" s="12"/>
      <c r="T16" s="15"/>
      <c r="U16" s="15"/>
      <c r="V16" s="10"/>
      <c r="W16" s="21" t="str">
        <f>IF(COUNTA(N16:U16)=0,"",IF(N16="","E_MISSING_INPUT",IF(N16="TIMESTAMP",IF(OR(O16="",P16="",Q16=""),"E_MISSING_INPUT",IF(OR(NOT(ISNUMBER(O16)),NOT(ISNUMBER(P16))),"E_INVALID_DATE",IF(OR(O16&lt;&gt;INT(O16),P16&lt;0,P16&gt;=1),"E_INVALID_DATE",IF(ISNA(MATCH(Q16,nLIST_Offset,0)),"E_INVALID_DATE","")))),IF(N16="DATE",IF(O16="","E_MISSING_INPUT",IF(NOT(ISNUMBER(O16)),"E_INVALID_DATE",IF(O16&lt;&gt;INT(O16),"E_INVALID_DATE",""))),IF(N16="MONTH",IF(OR(R16="",S16=""),"E_MISSING_INPUT",IF(OR(NOT(ISNUMBER(R16)),NOT(ISNUMBER(S16))),"E_INVALID_DATE",IF(OR(R16&lt;1900,R16&gt;9999,R16&lt;&gt;INT(R16),S16&lt;1,S16&gt;12,S16&lt;&gt;INT(S16)),"E_INVALID_DATE",""))),IF(N16="YEAR",IF(R16="","E_MISSING_INPUT",IF(NOT(ISNUMBER(R16)),"E_INVALID_DATE",IF(OR(R16&lt;1900,R16&gt;9999,R16&lt;&gt;INT(R16)),"E_INVALID_DATE",""))),IF(N16="RANGE",IF(OR(T16="",U16=""),"E_MISSING_INPUT",IF(OR(NOT(ISNUMBER(T16)),NOT(ISNUMBER(U16))),"E_INVALID_DATE",IF(OR(T16&lt;&gt;INT(T16),U16&lt;&gt;INT(U16)),"E_INVALID_DATE",IF(T16&gt;U16,"E_REVERSED_BOUNDS","")))),"E_MISSING_INPUT")))))))</f>
        <v/>
      </c>
      <c r="X16" s="22">
        <f t="shared" si="0"/>
        <v>0</v>
      </c>
      <c r="Y16" s="22">
        <f t="shared" si="1"/>
        <v>0</v>
      </c>
      <c r="Z16" s="28" t="str">
        <f t="shared" si="2"/>
        <v/>
      </c>
      <c r="AA16" s="28" t="str">
        <f t="shared" si="3"/>
        <v/>
      </c>
      <c r="AB16" s="22" t="str">
        <f t="shared" si="4"/>
        <v/>
      </c>
      <c r="AC16" s="22" t="str">
        <f t="shared" si="5"/>
        <v/>
      </c>
      <c r="AD16" s="15"/>
      <c r="AE16" s="26"/>
      <c r="AF16" s="10"/>
      <c r="AG16" s="10"/>
      <c r="AH16" s="21" t="str">
        <f>IF(COUNTA(AD16:AF16)=0,"",IF(OR(AD16="",AE16="",AF16=""),"E_MISSING_INPUT",IF(OR(NOT(ISNUMBER(AD16)),NOT(ISNUMBER(AE16))),"E_INVALID_DATE",IF(OR(AD16&lt;&gt;INT(AD16),AE16&lt;0,AE16&gt;=1),"E_INVALID_DATE",IF(ISNA(MATCH(AF16,nLIST_Offset,0)),"E_INVALID_DATE","")))))</f>
        <v/>
      </c>
      <c r="AI16" s="22" t="str">
        <f t="shared" si="6"/>
        <v/>
      </c>
      <c r="AJ16" s="22">
        <f t="shared" si="7"/>
        <v>0</v>
      </c>
      <c r="AK16" s="22" t="str">
        <f t="shared" si="8"/>
        <v/>
      </c>
      <c r="AL16" s="21" t="str">
        <f t="shared" si="9"/>
        <v/>
      </c>
      <c r="AM16" s="22">
        <f>IF(AL16="",0,COUNTIF(nADM_Key,AL16))</f>
        <v>0</v>
      </c>
      <c r="AN16" s="21" t="str">
        <f t="shared" si="10"/>
        <v/>
      </c>
      <c r="AO16" s="22">
        <f t="shared" si="11"/>
        <v>0</v>
      </c>
      <c r="AP16" s="22">
        <f t="shared" si="12"/>
        <v>0</v>
      </c>
      <c r="AQ16" s="22">
        <f t="shared" si="13"/>
        <v>0</v>
      </c>
      <c r="AR16" s="22">
        <f t="shared" si="14"/>
        <v>0</v>
      </c>
      <c r="AS16" s="22">
        <f t="shared" si="15"/>
        <v>0</v>
      </c>
      <c r="AT16" s="22">
        <f>ROW()</f>
        <v>16</v>
      </c>
      <c r="AU16" s="21">
        <f t="shared" si="16"/>
        <v>0</v>
      </c>
      <c r="AV16" s="21">
        <f t="shared" si="17"/>
        <v>0</v>
      </c>
      <c r="AW16" s="21">
        <f t="shared" si="18"/>
        <v>0</v>
      </c>
      <c r="AX16" s="22">
        <f t="shared" si="19"/>
        <v>0</v>
      </c>
      <c r="AY16" s="21">
        <f t="shared" si="20"/>
        <v>0</v>
      </c>
      <c r="AZ16" s="21">
        <f t="shared" si="21"/>
        <v>-1</v>
      </c>
      <c r="BA16" s="22">
        <f t="shared" si="22"/>
        <v>0</v>
      </c>
      <c r="BB16" s="22">
        <f t="shared" si="23"/>
        <v>0</v>
      </c>
      <c r="BC16" s="22">
        <f t="shared" si="24"/>
        <v>0</v>
      </c>
      <c r="BD16" s="21">
        <f t="shared" si="25"/>
        <v>0</v>
      </c>
      <c r="BE16" s="21" t="str">
        <f t="shared" si="26"/>
        <v/>
      </c>
      <c r="BF16" s="21" t="str">
        <f t="shared" si="27"/>
        <v/>
      </c>
      <c r="BG16" s="22">
        <f t="shared" si="28"/>
        <v>0</v>
      </c>
      <c r="BH16" s="22">
        <f t="shared" si="29"/>
        <v>0</v>
      </c>
      <c r="BI16" s="22">
        <f t="shared" si="30"/>
        <v>0</v>
      </c>
      <c r="BJ16" s="22">
        <f t="shared" si="31"/>
        <v>0</v>
      </c>
      <c r="BK16" s="22">
        <f t="shared" si="32"/>
        <v>0</v>
      </c>
      <c r="BL16" s="22">
        <f t="shared" si="33"/>
        <v>0</v>
      </c>
      <c r="BM16" s="22">
        <f t="shared" si="34"/>
        <v>0</v>
      </c>
      <c r="BN16" s="22">
        <f t="shared" si="35"/>
        <v>0</v>
      </c>
      <c r="BO16" s="22">
        <f>IF(BG16=0,0,COUNTIFS(nADM_SelKey,AN16,nADM_SegValid,1,nADM_SegS_Loc_n,"&lt;"&amp;BL16,nADM_SegE_Loc_n,"&gt;"&amp;BK16)-IF(BL16&gt;BK16,1,0))</f>
        <v>0</v>
      </c>
      <c r="BP16" s="22">
        <f>IF(BH16=0,0,COUNTIFS(nADM_SelKey,AN16,nADM_SegOK,1,nADM_SegS_UTC_n,"&lt;"&amp;BJ16,nADM_SegE_UTC_n,"&gt;"&amp;BI16)-IF(BJ16&gt;BI16,1,0))</f>
        <v>0</v>
      </c>
      <c r="BQ16" s="21" t="str">
        <f t="shared" si="36"/>
        <v/>
      </c>
      <c r="BR16" s="22">
        <f>IF(C16="",1,IF(COUNTIF(nEXP_Key,AN16)&gt;0,1,0))</f>
        <v>1</v>
      </c>
      <c r="BS16" s="21" t="str">
        <f t="shared" si="37"/>
        <v/>
      </c>
      <c r="BT16" s="21" t="str">
        <f>IF(BS16="","",BS16&amp;": "&amp;SUBSTITUTE(IFERROR(INDEX(nMSG_Text,MATCH(BS16,nMSG_Code,0)),""),"[input]",IF(C16="","an Admin_ID",IF(BR16=0,"an Exposures row for episode "&amp;D16,IF(BQ16&lt;&gt;"","segment start and end timestamps and a rate in mg/hour","the date fields required by the selected precision")))))</f>
        <v/>
      </c>
    </row>
    <row r="17" spans="1:72" x14ac:dyDescent="0.2">
      <c r="A17" s="10"/>
      <c r="B17" s="12"/>
      <c r="C17" s="10"/>
      <c r="D17" s="10"/>
      <c r="E17" s="17"/>
      <c r="F17" s="17"/>
      <c r="G17" s="17"/>
      <c r="H17" s="17"/>
      <c r="I17" s="17"/>
      <c r="J17" s="17"/>
      <c r="K17" s="17"/>
      <c r="L17" s="10"/>
      <c r="M17" s="10"/>
      <c r="N17" s="17"/>
      <c r="O17" s="15"/>
      <c r="P17" s="26"/>
      <c r="Q17" s="10"/>
      <c r="R17" s="12"/>
      <c r="S17" s="12"/>
      <c r="T17" s="15"/>
      <c r="U17" s="15"/>
      <c r="V17" s="10"/>
      <c r="W17" s="21" t="str">
        <f>IF(COUNTA(N17:U17)=0,"",IF(N17="","E_MISSING_INPUT",IF(N17="TIMESTAMP",IF(OR(O17="",P17="",Q17=""),"E_MISSING_INPUT",IF(OR(NOT(ISNUMBER(O17)),NOT(ISNUMBER(P17))),"E_INVALID_DATE",IF(OR(O17&lt;&gt;INT(O17),P17&lt;0,P17&gt;=1),"E_INVALID_DATE",IF(ISNA(MATCH(Q17,nLIST_Offset,0)),"E_INVALID_DATE","")))),IF(N17="DATE",IF(O17="","E_MISSING_INPUT",IF(NOT(ISNUMBER(O17)),"E_INVALID_DATE",IF(O17&lt;&gt;INT(O17),"E_INVALID_DATE",""))),IF(N17="MONTH",IF(OR(R17="",S17=""),"E_MISSING_INPUT",IF(OR(NOT(ISNUMBER(R17)),NOT(ISNUMBER(S17))),"E_INVALID_DATE",IF(OR(R17&lt;1900,R17&gt;9999,R17&lt;&gt;INT(R17),S17&lt;1,S17&gt;12,S17&lt;&gt;INT(S17)),"E_INVALID_DATE",""))),IF(N17="YEAR",IF(R17="","E_MISSING_INPUT",IF(NOT(ISNUMBER(R17)),"E_INVALID_DATE",IF(OR(R17&lt;1900,R17&gt;9999,R17&lt;&gt;INT(R17)),"E_INVALID_DATE",""))),IF(N17="RANGE",IF(OR(T17="",U17=""),"E_MISSING_INPUT",IF(OR(NOT(ISNUMBER(T17)),NOT(ISNUMBER(U17))),"E_INVALID_DATE",IF(OR(T17&lt;&gt;INT(T17),U17&lt;&gt;INT(U17)),"E_INVALID_DATE",IF(T17&gt;U17,"E_REVERSED_BOUNDS","")))),"E_MISSING_INPUT")))))))</f>
        <v/>
      </c>
      <c r="X17" s="22">
        <f t="shared" si="0"/>
        <v>0</v>
      </c>
      <c r="Y17" s="22">
        <f t="shared" si="1"/>
        <v>0</v>
      </c>
      <c r="Z17" s="28" t="str">
        <f t="shared" si="2"/>
        <v/>
      </c>
      <c r="AA17" s="28" t="str">
        <f t="shared" si="3"/>
        <v/>
      </c>
      <c r="AB17" s="22" t="str">
        <f t="shared" si="4"/>
        <v/>
      </c>
      <c r="AC17" s="22" t="str">
        <f t="shared" si="5"/>
        <v/>
      </c>
      <c r="AD17" s="15"/>
      <c r="AE17" s="26"/>
      <c r="AF17" s="10"/>
      <c r="AG17" s="10"/>
      <c r="AH17" s="21" t="str">
        <f>IF(COUNTA(AD17:AF17)=0,"",IF(OR(AD17="",AE17="",AF17=""),"E_MISSING_INPUT",IF(OR(NOT(ISNUMBER(AD17)),NOT(ISNUMBER(AE17))),"E_INVALID_DATE",IF(OR(AD17&lt;&gt;INT(AD17),AE17&lt;0,AE17&gt;=1),"E_INVALID_DATE",IF(ISNA(MATCH(AF17,nLIST_Offset,0)),"E_INVALID_DATE","")))))</f>
        <v/>
      </c>
      <c r="AI17" s="22" t="str">
        <f t="shared" si="6"/>
        <v/>
      </c>
      <c r="AJ17" s="22">
        <f t="shared" si="7"/>
        <v>0</v>
      </c>
      <c r="AK17" s="22" t="str">
        <f t="shared" si="8"/>
        <v/>
      </c>
      <c r="AL17" s="21" t="str">
        <f t="shared" si="9"/>
        <v/>
      </c>
      <c r="AM17" s="22">
        <f>IF(AL17="",0,COUNTIF(nADM_Key,AL17))</f>
        <v>0</v>
      </c>
      <c r="AN17" s="21" t="str">
        <f t="shared" si="10"/>
        <v/>
      </c>
      <c r="AO17" s="22">
        <f t="shared" si="11"/>
        <v>0</v>
      </c>
      <c r="AP17" s="22">
        <f t="shared" si="12"/>
        <v>0</v>
      </c>
      <c r="AQ17" s="22">
        <f t="shared" si="13"/>
        <v>0</v>
      </c>
      <c r="AR17" s="22">
        <f t="shared" si="14"/>
        <v>0</v>
      </c>
      <c r="AS17" s="22">
        <f t="shared" si="15"/>
        <v>0</v>
      </c>
      <c r="AT17" s="22">
        <f>ROW()</f>
        <v>17</v>
      </c>
      <c r="AU17" s="21">
        <f t="shared" si="16"/>
        <v>0</v>
      </c>
      <c r="AV17" s="21">
        <f t="shared" si="17"/>
        <v>0</v>
      </c>
      <c r="AW17" s="21">
        <f t="shared" si="18"/>
        <v>0</v>
      </c>
      <c r="AX17" s="22">
        <f t="shared" si="19"/>
        <v>0</v>
      </c>
      <c r="AY17" s="21">
        <f t="shared" si="20"/>
        <v>0</v>
      </c>
      <c r="AZ17" s="21">
        <f t="shared" si="21"/>
        <v>-1</v>
      </c>
      <c r="BA17" s="22">
        <f t="shared" si="22"/>
        <v>0</v>
      </c>
      <c r="BB17" s="22">
        <f t="shared" si="23"/>
        <v>0</v>
      </c>
      <c r="BC17" s="22">
        <f t="shared" si="24"/>
        <v>0</v>
      </c>
      <c r="BD17" s="21">
        <f t="shared" si="25"/>
        <v>0</v>
      </c>
      <c r="BE17" s="21" t="str">
        <f t="shared" si="26"/>
        <v/>
      </c>
      <c r="BF17" s="21" t="str">
        <f t="shared" si="27"/>
        <v/>
      </c>
      <c r="BG17" s="22">
        <f t="shared" si="28"/>
        <v>0</v>
      </c>
      <c r="BH17" s="22">
        <f t="shared" si="29"/>
        <v>0</v>
      </c>
      <c r="BI17" s="22">
        <f t="shared" si="30"/>
        <v>0</v>
      </c>
      <c r="BJ17" s="22">
        <f t="shared" si="31"/>
        <v>0</v>
      </c>
      <c r="BK17" s="22">
        <f t="shared" si="32"/>
        <v>0</v>
      </c>
      <c r="BL17" s="22">
        <f t="shared" si="33"/>
        <v>0</v>
      </c>
      <c r="BM17" s="22">
        <f t="shared" si="34"/>
        <v>0</v>
      </c>
      <c r="BN17" s="22">
        <f t="shared" si="35"/>
        <v>0</v>
      </c>
      <c r="BO17" s="22">
        <f>IF(BG17=0,0,COUNTIFS(nADM_SelKey,AN17,nADM_SegValid,1,nADM_SegS_Loc_n,"&lt;"&amp;BL17,nADM_SegE_Loc_n,"&gt;"&amp;BK17)-IF(BL17&gt;BK17,1,0))</f>
        <v>0</v>
      </c>
      <c r="BP17" s="22">
        <f>IF(BH17=0,0,COUNTIFS(nADM_SelKey,AN17,nADM_SegOK,1,nADM_SegS_UTC_n,"&lt;"&amp;BJ17,nADM_SegE_UTC_n,"&gt;"&amp;BI17)-IF(BJ17&gt;BI17,1,0))</f>
        <v>0</v>
      </c>
      <c r="BQ17" s="21" t="str">
        <f t="shared" si="36"/>
        <v/>
      </c>
      <c r="BR17" s="22">
        <f>IF(C17="",1,IF(COUNTIF(nEXP_Key,AN17)&gt;0,1,0))</f>
        <v>1</v>
      </c>
      <c r="BS17" s="21" t="str">
        <f t="shared" si="37"/>
        <v/>
      </c>
      <c r="BT17" s="21" t="str">
        <f>IF(BS17="","",BS17&amp;": "&amp;SUBSTITUTE(IFERROR(INDEX(nMSG_Text,MATCH(BS17,nMSG_Code,0)),""),"[input]",IF(C17="","an Admin_ID",IF(BR17=0,"an Exposures row for episode "&amp;D17,IF(BQ17&lt;&gt;"","segment start and end timestamps and a rate in mg/hour","the date fields required by the selected precision")))))</f>
        <v/>
      </c>
    </row>
    <row r="18" spans="1:72" x14ac:dyDescent="0.2">
      <c r="A18" s="10"/>
      <c r="B18" s="12"/>
      <c r="C18" s="10"/>
      <c r="D18" s="10"/>
      <c r="E18" s="17"/>
      <c r="F18" s="17"/>
      <c r="G18" s="17"/>
      <c r="H18" s="17"/>
      <c r="I18" s="17"/>
      <c r="J18" s="17"/>
      <c r="K18" s="17"/>
      <c r="L18" s="10"/>
      <c r="M18" s="10"/>
      <c r="N18" s="17"/>
      <c r="O18" s="15"/>
      <c r="P18" s="26"/>
      <c r="Q18" s="10"/>
      <c r="R18" s="12"/>
      <c r="S18" s="12"/>
      <c r="T18" s="15"/>
      <c r="U18" s="15"/>
      <c r="V18" s="10"/>
      <c r="W18" s="21" t="str">
        <f>IF(COUNTA(N18:U18)=0,"",IF(N18="","E_MISSING_INPUT",IF(N18="TIMESTAMP",IF(OR(O18="",P18="",Q18=""),"E_MISSING_INPUT",IF(OR(NOT(ISNUMBER(O18)),NOT(ISNUMBER(P18))),"E_INVALID_DATE",IF(OR(O18&lt;&gt;INT(O18),P18&lt;0,P18&gt;=1),"E_INVALID_DATE",IF(ISNA(MATCH(Q18,nLIST_Offset,0)),"E_INVALID_DATE","")))),IF(N18="DATE",IF(O18="","E_MISSING_INPUT",IF(NOT(ISNUMBER(O18)),"E_INVALID_DATE",IF(O18&lt;&gt;INT(O18),"E_INVALID_DATE",""))),IF(N18="MONTH",IF(OR(R18="",S18=""),"E_MISSING_INPUT",IF(OR(NOT(ISNUMBER(R18)),NOT(ISNUMBER(S18))),"E_INVALID_DATE",IF(OR(R18&lt;1900,R18&gt;9999,R18&lt;&gt;INT(R18),S18&lt;1,S18&gt;12,S18&lt;&gt;INT(S18)),"E_INVALID_DATE",""))),IF(N18="YEAR",IF(R18="","E_MISSING_INPUT",IF(NOT(ISNUMBER(R18)),"E_INVALID_DATE",IF(OR(R18&lt;1900,R18&gt;9999,R18&lt;&gt;INT(R18)),"E_INVALID_DATE",""))),IF(N18="RANGE",IF(OR(T18="",U18=""),"E_MISSING_INPUT",IF(OR(NOT(ISNUMBER(T18)),NOT(ISNUMBER(U18))),"E_INVALID_DATE",IF(OR(T18&lt;&gt;INT(T18),U18&lt;&gt;INT(U18)),"E_INVALID_DATE",IF(T18&gt;U18,"E_REVERSED_BOUNDS","")))),"E_MISSING_INPUT")))))))</f>
        <v/>
      </c>
      <c r="X18" s="22">
        <f t="shared" si="0"/>
        <v>0</v>
      </c>
      <c r="Y18" s="22">
        <f t="shared" si="1"/>
        <v>0</v>
      </c>
      <c r="Z18" s="28" t="str">
        <f t="shared" si="2"/>
        <v/>
      </c>
      <c r="AA18" s="28" t="str">
        <f t="shared" si="3"/>
        <v/>
      </c>
      <c r="AB18" s="22" t="str">
        <f t="shared" si="4"/>
        <v/>
      </c>
      <c r="AC18" s="22" t="str">
        <f t="shared" si="5"/>
        <v/>
      </c>
      <c r="AD18" s="15"/>
      <c r="AE18" s="26"/>
      <c r="AF18" s="10"/>
      <c r="AG18" s="10"/>
      <c r="AH18" s="21" t="str">
        <f>IF(COUNTA(AD18:AF18)=0,"",IF(OR(AD18="",AE18="",AF18=""),"E_MISSING_INPUT",IF(OR(NOT(ISNUMBER(AD18)),NOT(ISNUMBER(AE18))),"E_INVALID_DATE",IF(OR(AD18&lt;&gt;INT(AD18),AE18&lt;0,AE18&gt;=1),"E_INVALID_DATE",IF(ISNA(MATCH(AF18,nLIST_Offset,0)),"E_INVALID_DATE","")))))</f>
        <v/>
      </c>
      <c r="AI18" s="22" t="str">
        <f t="shared" si="6"/>
        <v/>
      </c>
      <c r="AJ18" s="22">
        <f t="shared" si="7"/>
        <v>0</v>
      </c>
      <c r="AK18" s="22" t="str">
        <f t="shared" si="8"/>
        <v/>
      </c>
      <c r="AL18" s="21" t="str">
        <f t="shared" si="9"/>
        <v/>
      </c>
      <c r="AM18" s="22">
        <f>IF(AL18="",0,COUNTIF(nADM_Key,AL18))</f>
        <v>0</v>
      </c>
      <c r="AN18" s="21" t="str">
        <f t="shared" si="10"/>
        <v/>
      </c>
      <c r="AO18" s="22">
        <f t="shared" si="11"/>
        <v>0</v>
      </c>
      <c r="AP18" s="22">
        <f t="shared" si="12"/>
        <v>0</v>
      </c>
      <c r="AQ18" s="22">
        <f t="shared" si="13"/>
        <v>0</v>
      </c>
      <c r="AR18" s="22">
        <f t="shared" si="14"/>
        <v>0</v>
      </c>
      <c r="AS18" s="22">
        <f t="shared" si="15"/>
        <v>0</v>
      </c>
      <c r="AT18" s="22">
        <f>ROW()</f>
        <v>18</v>
      </c>
      <c r="AU18" s="21">
        <f t="shared" si="16"/>
        <v>0</v>
      </c>
      <c r="AV18" s="21">
        <f t="shared" si="17"/>
        <v>0</v>
      </c>
      <c r="AW18" s="21">
        <f t="shared" si="18"/>
        <v>0</v>
      </c>
      <c r="AX18" s="22">
        <f t="shared" si="19"/>
        <v>0</v>
      </c>
      <c r="AY18" s="21">
        <f t="shared" si="20"/>
        <v>0</v>
      </c>
      <c r="AZ18" s="21">
        <f t="shared" si="21"/>
        <v>-1</v>
      </c>
      <c r="BA18" s="22">
        <f t="shared" si="22"/>
        <v>0</v>
      </c>
      <c r="BB18" s="22">
        <f t="shared" si="23"/>
        <v>0</v>
      </c>
      <c r="BC18" s="22">
        <f t="shared" si="24"/>
        <v>0</v>
      </c>
      <c r="BD18" s="21">
        <f t="shared" si="25"/>
        <v>0</v>
      </c>
      <c r="BE18" s="21" t="str">
        <f t="shared" si="26"/>
        <v/>
      </c>
      <c r="BF18" s="21" t="str">
        <f t="shared" si="27"/>
        <v/>
      </c>
      <c r="BG18" s="22">
        <f t="shared" si="28"/>
        <v>0</v>
      </c>
      <c r="BH18" s="22">
        <f t="shared" si="29"/>
        <v>0</v>
      </c>
      <c r="BI18" s="22">
        <f t="shared" si="30"/>
        <v>0</v>
      </c>
      <c r="BJ18" s="22">
        <f t="shared" si="31"/>
        <v>0</v>
      </c>
      <c r="BK18" s="22">
        <f t="shared" si="32"/>
        <v>0</v>
      </c>
      <c r="BL18" s="22">
        <f t="shared" si="33"/>
        <v>0</v>
      </c>
      <c r="BM18" s="22">
        <f t="shared" si="34"/>
        <v>0</v>
      </c>
      <c r="BN18" s="22">
        <f t="shared" si="35"/>
        <v>0</v>
      </c>
      <c r="BO18" s="22">
        <f>IF(BG18=0,0,COUNTIFS(nADM_SelKey,AN18,nADM_SegValid,1,nADM_SegS_Loc_n,"&lt;"&amp;BL18,nADM_SegE_Loc_n,"&gt;"&amp;BK18)-IF(BL18&gt;BK18,1,0))</f>
        <v>0</v>
      </c>
      <c r="BP18" s="22">
        <f>IF(BH18=0,0,COUNTIFS(nADM_SelKey,AN18,nADM_SegOK,1,nADM_SegS_UTC_n,"&lt;"&amp;BJ18,nADM_SegE_UTC_n,"&gt;"&amp;BI18)-IF(BJ18&gt;BI18,1,0))</f>
        <v>0</v>
      </c>
      <c r="BQ18" s="21" t="str">
        <f t="shared" si="36"/>
        <v/>
      </c>
      <c r="BR18" s="22">
        <f>IF(C18="",1,IF(COUNTIF(nEXP_Key,AN18)&gt;0,1,0))</f>
        <v>1</v>
      </c>
      <c r="BS18" s="21" t="str">
        <f t="shared" si="37"/>
        <v/>
      </c>
      <c r="BT18" s="21" t="str">
        <f>IF(BS18="","",BS18&amp;": "&amp;SUBSTITUTE(IFERROR(INDEX(nMSG_Text,MATCH(BS18,nMSG_Code,0)),""),"[input]",IF(C18="","an Admin_ID",IF(BR18=0,"an Exposures row for episode "&amp;D18,IF(BQ18&lt;&gt;"","segment start and end timestamps and a rate in mg/hour","the date fields required by the selected precision")))))</f>
        <v/>
      </c>
    </row>
    <row r="19" spans="1:72" x14ac:dyDescent="0.2">
      <c r="A19" s="10"/>
      <c r="B19" s="12"/>
      <c r="C19" s="10"/>
      <c r="D19" s="10"/>
      <c r="E19" s="17"/>
      <c r="F19" s="17"/>
      <c r="G19" s="17"/>
      <c r="H19" s="17"/>
      <c r="I19" s="17"/>
      <c r="J19" s="17"/>
      <c r="K19" s="17"/>
      <c r="L19" s="10"/>
      <c r="M19" s="10"/>
      <c r="N19" s="17"/>
      <c r="O19" s="15"/>
      <c r="P19" s="26"/>
      <c r="Q19" s="10"/>
      <c r="R19" s="12"/>
      <c r="S19" s="12"/>
      <c r="T19" s="15"/>
      <c r="U19" s="15"/>
      <c r="V19" s="10"/>
      <c r="W19" s="21" t="str">
        <f>IF(COUNTA(N19:U19)=0,"",IF(N19="","E_MISSING_INPUT",IF(N19="TIMESTAMP",IF(OR(O19="",P19="",Q19=""),"E_MISSING_INPUT",IF(OR(NOT(ISNUMBER(O19)),NOT(ISNUMBER(P19))),"E_INVALID_DATE",IF(OR(O19&lt;&gt;INT(O19),P19&lt;0,P19&gt;=1),"E_INVALID_DATE",IF(ISNA(MATCH(Q19,nLIST_Offset,0)),"E_INVALID_DATE","")))),IF(N19="DATE",IF(O19="","E_MISSING_INPUT",IF(NOT(ISNUMBER(O19)),"E_INVALID_DATE",IF(O19&lt;&gt;INT(O19),"E_INVALID_DATE",""))),IF(N19="MONTH",IF(OR(R19="",S19=""),"E_MISSING_INPUT",IF(OR(NOT(ISNUMBER(R19)),NOT(ISNUMBER(S19))),"E_INVALID_DATE",IF(OR(R19&lt;1900,R19&gt;9999,R19&lt;&gt;INT(R19),S19&lt;1,S19&gt;12,S19&lt;&gt;INT(S19)),"E_INVALID_DATE",""))),IF(N19="YEAR",IF(R19="","E_MISSING_INPUT",IF(NOT(ISNUMBER(R19)),"E_INVALID_DATE",IF(OR(R19&lt;1900,R19&gt;9999,R19&lt;&gt;INT(R19)),"E_INVALID_DATE",""))),IF(N19="RANGE",IF(OR(T19="",U19=""),"E_MISSING_INPUT",IF(OR(NOT(ISNUMBER(T19)),NOT(ISNUMBER(U19))),"E_INVALID_DATE",IF(OR(T19&lt;&gt;INT(T19),U19&lt;&gt;INT(U19)),"E_INVALID_DATE",IF(T19&gt;U19,"E_REVERSED_BOUNDS","")))),"E_MISSING_INPUT")))))))</f>
        <v/>
      </c>
      <c r="X19" s="22">
        <f t="shared" si="0"/>
        <v>0</v>
      </c>
      <c r="Y19" s="22">
        <f t="shared" si="1"/>
        <v>0</v>
      </c>
      <c r="Z19" s="28" t="str">
        <f t="shared" si="2"/>
        <v/>
      </c>
      <c r="AA19" s="28" t="str">
        <f t="shared" si="3"/>
        <v/>
      </c>
      <c r="AB19" s="22" t="str">
        <f t="shared" si="4"/>
        <v/>
      </c>
      <c r="AC19" s="22" t="str">
        <f t="shared" si="5"/>
        <v/>
      </c>
      <c r="AD19" s="15"/>
      <c r="AE19" s="26"/>
      <c r="AF19" s="10"/>
      <c r="AG19" s="10"/>
      <c r="AH19" s="21" t="str">
        <f>IF(COUNTA(AD19:AF19)=0,"",IF(OR(AD19="",AE19="",AF19=""),"E_MISSING_INPUT",IF(OR(NOT(ISNUMBER(AD19)),NOT(ISNUMBER(AE19))),"E_INVALID_DATE",IF(OR(AD19&lt;&gt;INT(AD19),AE19&lt;0,AE19&gt;=1),"E_INVALID_DATE",IF(ISNA(MATCH(AF19,nLIST_Offset,0)),"E_INVALID_DATE","")))))</f>
        <v/>
      </c>
      <c r="AI19" s="22" t="str">
        <f t="shared" si="6"/>
        <v/>
      </c>
      <c r="AJ19" s="22">
        <f t="shared" si="7"/>
        <v>0</v>
      </c>
      <c r="AK19" s="22" t="str">
        <f t="shared" si="8"/>
        <v/>
      </c>
      <c r="AL19" s="21" t="str">
        <f t="shared" si="9"/>
        <v/>
      </c>
      <c r="AM19" s="22">
        <f>IF(AL19="",0,COUNTIF(nADM_Key,AL19))</f>
        <v>0</v>
      </c>
      <c r="AN19" s="21" t="str">
        <f t="shared" si="10"/>
        <v/>
      </c>
      <c r="AO19" s="22">
        <f t="shared" si="11"/>
        <v>0</v>
      </c>
      <c r="AP19" s="22">
        <f t="shared" si="12"/>
        <v>0</v>
      </c>
      <c r="AQ19" s="22">
        <f t="shared" si="13"/>
        <v>0</v>
      </c>
      <c r="AR19" s="22">
        <f t="shared" si="14"/>
        <v>0</v>
      </c>
      <c r="AS19" s="22">
        <f t="shared" si="15"/>
        <v>0</v>
      </c>
      <c r="AT19" s="22">
        <f>ROW()</f>
        <v>19</v>
      </c>
      <c r="AU19" s="21">
        <f t="shared" si="16"/>
        <v>0</v>
      </c>
      <c r="AV19" s="21">
        <f t="shared" si="17"/>
        <v>0</v>
      </c>
      <c r="AW19" s="21">
        <f t="shared" si="18"/>
        <v>0</v>
      </c>
      <c r="AX19" s="22">
        <f t="shared" si="19"/>
        <v>0</v>
      </c>
      <c r="AY19" s="21">
        <f t="shared" si="20"/>
        <v>0</v>
      </c>
      <c r="AZ19" s="21">
        <f t="shared" si="21"/>
        <v>-1</v>
      </c>
      <c r="BA19" s="22">
        <f t="shared" si="22"/>
        <v>0</v>
      </c>
      <c r="BB19" s="22">
        <f t="shared" si="23"/>
        <v>0</v>
      </c>
      <c r="BC19" s="22">
        <f t="shared" si="24"/>
        <v>0</v>
      </c>
      <c r="BD19" s="21">
        <f t="shared" si="25"/>
        <v>0</v>
      </c>
      <c r="BE19" s="21" t="str">
        <f t="shared" si="26"/>
        <v/>
      </c>
      <c r="BF19" s="21" t="str">
        <f t="shared" si="27"/>
        <v/>
      </c>
      <c r="BG19" s="22">
        <f t="shared" si="28"/>
        <v>0</v>
      </c>
      <c r="BH19" s="22">
        <f t="shared" si="29"/>
        <v>0</v>
      </c>
      <c r="BI19" s="22">
        <f t="shared" si="30"/>
        <v>0</v>
      </c>
      <c r="BJ19" s="22">
        <f t="shared" si="31"/>
        <v>0</v>
      </c>
      <c r="BK19" s="22">
        <f t="shared" si="32"/>
        <v>0</v>
      </c>
      <c r="BL19" s="22">
        <f t="shared" si="33"/>
        <v>0</v>
      </c>
      <c r="BM19" s="22">
        <f t="shared" si="34"/>
        <v>0</v>
      </c>
      <c r="BN19" s="22">
        <f t="shared" si="35"/>
        <v>0</v>
      </c>
      <c r="BO19" s="22">
        <f>IF(BG19=0,0,COUNTIFS(nADM_SelKey,AN19,nADM_SegValid,1,nADM_SegS_Loc_n,"&lt;"&amp;BL19,nADM_SegE_Loc_n,"&gt;"&amp;BK19)-IF(BL19&gt;BK19,1,0))</f>
        <v>0</v>
      </c>
      <c r="BP19" s="22">
        <f>IF(BH19=0,0,COUNTIFS(nADM_SelKey,AN19,nADM_SegOK,1,nADM_SegS_UTC_n,"&lt;"&amp;BJ19,nADM_SegE_UTC_n,"&gt;"&amp;BI19)-IF(BJ19&gt;BI19,1,0))</f>
        <v>0</v>
      </c>
      <c r="BQ19" s="21" t="str">
        <f t="shared" si="36"/>
        <v/>
      </c>
      <c r="BR19" s="22">
        <f>IF(C19="",1,IF(COUNTIF(nEXP_Key,AN19)&gt;0,1,0))</f>
        <v>1</v>
      </c>
      <c r="BS19" s="21" t="str">
        <f t="shared" si="37"/>
        <v/>
      </c>
      <c r="BT19" s="21" t="str">
        <f>IF(BS19="","",BS19&amp;": "&amp;SUBSTITUTE(IFERROR(INDEX(nMSG_Text,MATCH(BS19,nMSG_Code,0)),""),"[input]",IF(C19="","an Admin_ID",IF(BR19=0,"an Exposures row for episode "&amp;D19,IF(BQ19&lt;&gt;"","segment start and end timestamps and a rate in mg/hour","the date fields required by the selected precision")))))</f>
        <v/>
      </c>
    </row>
    <row r="20" spans="1:72" x14ac:dyDescent="0.2">
      <c r="A20" s="10"/>
      <c r="B20" s="12"/>
      <c r="C20" s="10"/>
      <c r="D20" s="10"/>
      <c r="E20" s="17"/>
      <c r="F20" s="17"/>
      <c r="G20" s="17"/>
      <c r="H20" s="17"/>
      <c r="I20" s="17"/>
      <c r="J20" s="17"/>
      <c r="K20" s="17"/>
      <c r="L20" s="10"/>
      <c r="M20" s="10"/>
      <c r="N20" s="17"/>
      <c r="O20" s="15"/>
      <c r="P20" s="26"/>
      <c r="Q20" s="10"/>
      <c r="R20" s="12"/>
      <c r="S20" s="12"/>
      <c r="T20" s="15"/>
      <c r="U20" s="15"/>
      <c r="V20" s="10"/>
      <c r="W20" s="21" t="str">
        <f>IF(COUNTA(N20:U20)=0,"",IF(N20="","E_MISSING_INPUT",IF(N20="TIMESTAMP",IF(OR(O20="",P20="",Q20=""),"E_MISSING_INPUT",IF(OR(NOT(ISNUMBER(O20)),NOT(ISNUMBER(P20))),"E_INVALID_DATE",IF(OR(O20&lt;&gt;INT(O20),P20&lt;0,P20&gt;=1),"E_INVALID_DATE",IF(ISNA(MATCH(Q20,nLIST_Offset,0)),"E_INVALID_DATE","")))),IF(N20="DATE",IF(O20="","E_MISSING_INPUT",IF(NOT(ISNUMBER(O20)),"E_INVALID_DATE",IF(O20&lt;&gt;INT(O20),"E_INVALID_DATE",""))),IF(N20="MONTH",IF(OR(R20="",S20=""),"E_MISSING_INPUT",IF(OR(NOT(ISNUMBER(R20)),NOT(ISNUMBER(S20))),"E_INVALID_DATE",IF(OR(R20&lt;1900,R20&gt;9999,R20&lt;&gt;INT(R20),S20&lt;1,S20&gt;12,S20&lt;&gt;INT(S20)),"E_INVALID_DATE",""))),IF(N20="YEAR",IF(R20="","E_MISSING_INPUT",IF(NOT(ISNUMBER(R20)),"E_INVALID_DATE",IF(OR(R20&lt;1900,R20&gt;9999,R20&lt;&gt;INT(R20)),"E_INVALID_DATE",""))),IF(N20="RANGE",IF(OR(T20="",U20=""),"E_MISSING_INPUT",IF(OR(NOT(ISNUMBER(T20)),NOT(ISNUMBER(U20))),"E_INVALID_DATE",IF(OR(T20&lt;&gt;INT(T20),U20&lt;&gt;INT(U20)),"E_INVALID_DATE",IF(T20&gt;U20,"E_REVERSED_BOUNDS","")))),"E_MISSING_INPUT")))))))</f>
        <v/>
      </c>
      <c r="X20" s="22">
        <f t="shared" si="0"/>
        <v>0</v>
      </c>
      <c r="Y20" s="22">
        <f t="shared" si="1"/>
        <v>0</v>
      </c>
      <c r="Z20" s="28" t="str">
        <f t="shared" si="2"/>
        <v/>
      </c>
      <c r="AA20" s="28" t="str">
        <f t="shared" si="3"/>
        <v/>
      </c>
      <c r="AB20" s="22" t="str">
        <f t="shared" si="4"/>
        <v/>
      </c>
      <c r="AC20" s="22" t="str">
        <f t="shared" si="5"/>
        <v/>
      </c>
      <c r="AD20" s="15"/>
      <c r="AE20" s="26"/>
      <c r="AF20" s="10"/>
      <c r="AG20" s="10"/>
      <c r="AH20" s="21" t="str">
        <f>IF(COUNTA(AD20:AF20)=0,"",IF(OR(AD20="",AE20="",AF20=""),"E_MISSING_INPUT",IF(OR(NOT(ISNUMBER(AD20)),NOT(ISNUMBER(AE20))),"E_INVALID_DATE",IF(OR(AD20&lt;&gt;INT(AD20),AE20&lt;0,AE20&gt;=1),"E_INVALID_DATE",IF(ISNA(MATCH(AF20,nLIST_Offset,0)),"E_INVALID_DATE","")))))</f>
        <v/>
      </c>
      <c r="AI20" s="22" t="str">
        <f t="shared" si="6"/>
        <v/>
      </c>
      <c r="AJ20" s="22">
        <f t="shared" si="7"/>
        <v>0</v>
      </c>
      <c r="AK20" s="22" t="str">
        <f t="shared" si="8"/>
        <v/>
      </c>
      <c r="AL20" s="21" t="str">
        <f t="shared" si="9"/>
        <v/>
      </c>
      <c r="AM20" s="22">
        <f>IF(AL20="",0,COUNTIF(nADM_Key,AL20))</f>
        <v>0</v>
      </c>
      <c r="AN20" s="21" t="str">
        <f t="shared" si="10"/>
        <v/>
      </c>
      <c r="AO20" s="22">
        <f t="shared" si="11"/>
        <v>0</v>
      </c>
      <c r="AP20" s="22">
        <f t="shared" si="12"/>
        <v>0</v>
      </c>
      <c r="AQ20" s="22">
        <f t="shared" si="13"/>
        <v>0</v>
      </c>
      <c r="AR20" s="22">
        <f t="shared" si="14"/>
        <v>0</v>
      </c>
      <c r="AS20" s="22">
        <f t="shared" si="15"/>
        <v>0</v>
      </c>
      <c r="AT20" s="22">
        <f>ROW()</f>
        <v>20</v>
      </c>
      <c r="AU20" s="21">
        <f t="shared" si="16"/>
        <v>0</v>
      </c>
      <c r="AV20" s="21">
        <f t="shared" si="17"/>
        <v>0</v>
      </c>
      <c r="AW20" s="21">
        <f t="shared" si="18"/>
        <v>0</v>
      </c>
      <c r="AX20" s="22">
        <f t="shared" si="19"/>
        <v>0</v>
      </c>
      <c r="AY20" s="21">
        <f t="shared" si="20"/>
        <v>0</v>
      </c>
      <c r="AZ20" s="21">
        <f t="shared" si="21"/>
        <v>-1</v>
      </c>
      <c r="BA20" s="22">
        <f t="shared" si="22"/>
        <v>0</v>
      </c>
      <c r="BB20" s="22">
        <f t="shared" si="23"/>
        <v>0</v>
      </c>
      <c r="BC20" s="22">
        <f t="shared" si="24"/>
        <v>0</v>
      </c>
      <c r="BD20" s="21">
        <f t="shared" si="25"/>
        <v>0</v>
      </c>
      <c r="BE20" s="21" t="str">
        <f t="shared" si="26"/>
        <v/>
      </c>
      <c r="BF20" s="21" t="str">
        <f t="shared" si="27"/>
        <v/>
      </c>
      <c r="BG20" s="22">
        <f t="shared" si="28"/>
        <v>0</v>
      </c>
      <c r="BH20" s="22">
        <f t="shared" si="29"/>
        <v>0</v>
      </c>
      <c r="BI20" s="22">
        <f t="shared" si="30"/>
        <v>0</v>
      </c>
      <c r="BJ20" s="22">
        <f t="shared" si="31"/>
        <v>0</v>
      </c>
      <c r="BK20" s="22">
        <f t="shared" si="32"/>
        <v>0</v>
      </c>
      <c r="BL20" s="22">
        <f t="shared" si="33"/>
        <v>0</v>
      </c>
      <c r="BM20" s="22">
        <f t="shared" si="34"/>
        <v>0</v>
      </c>
      <c r="BN20" s="22">
        <f t="shared" si="35"/>
        <v>0</v>
      </c>
      <c r="BO20" s="22">
        <f>IF(BG20=0,0,COUNTIFS(nADM_SelKey,AN20,nADM_SegValid,1,nADM_SegS_Loc_n,"&lt;"&amp;BL20,nADM_SegE_Loc_n,"&gt;"&amp;BK20)-IF(BL20&gt;BK20,1,0))</f>
        <v>0</v>
      </c>
      <c r="BP20" s="22">
        <f>IF(BH20=0,0,COUNTIFS(nADM_SelKey,AN20,nADM_SegOK,1,nADM_SegS_UTC_n,"&lt;"&amp;BJ20,nADM_SegE_UTC_n,"&gt;"&amp;BI20)-IF(BJ20&gt;BI20,1,0))</f>
        <v>0</v>
      </c>
      <c r="BQ20" s="21" t="str">
        <f t="shared" si="36"/>
        <v/>
      </c>
      <c r="BR20" s="22">
        <f>IF(C20="",1,IF(COUNTIF(nEXP_Key,AN20)&gt;0,1,0))</f>
        <v>1</v>
      </c>
      <c r="BS20" s="21" t="str">
        <f t="shared" si="37"/>
        <v/>
      </c>
      <c r="BT20" s="21" t="str">
        <f>IF(BS20="","",BS20&amp;": "&amp;SUBSTITUTE(IFERROR(INDEX(nMSG_Text,MATCH(BS20,nMSG_Code,0)),""),"[input]",IF(C20="","an Admin_ID",IF(BR20=0,"an Exposures row for episode "&amp;D20,IF(BQ20&lt;&gt;"","segment start and end timestamps and a rate in mg/hour","the date fields required by the selected precision")))))</f>
        <v/>
      </c>
    </row>
    <row r="21" spans="1:72" x14ac:dyDescent="0.2">
      <c r="A21" s="10"/>
      <c r="B21" s="12"/>
      <c r="C21" s="10"/>
      <c r="D21" s="10"/>
      <c r="E21" s="17"/>
      <c r="F21" s="17"/>
      <c r="G21" s="17"/>
      <c r="H21" s="17"/>
      <c r="I21" s="17"/>
      <c r="J21" s="17"/>
      <c r="K21" s="17"/>
      <c r="L21" s="10"/>
      <c r="M21" s="10"/>
      <c r="N21" s="17"/>
      <c r="O21" s="15"/>
      <c r="P21" s="26"/>
      <c r="Q21" s="10"/>
      <c r="R21" s="12"/>
      <c r="S21" s="12"/>
      <c r="T21" s="15"/>
      <c r="U21" s="15"/>
      <c r="V21" s="10"/>
      <c r="W21" s="21" t="str">
        <f>IF(COUNTA(N21:U21)=0,"",IF(N21="","E_MISSING_INPUT",IF(N21="TIMESTAMP",IF(OR(O21="",P21="",Q21=""),"E_MISSING_INPUT",IF(OR(NOT(ISNUMBER(O21)),NOT(ISNUMBER(P21))),"E_INVALID_DATE",IF(OR(O21&lt;&gt;INT(O21),P21&lt;0,P21&gt;=1),"E_INVALID_DATE",IF(ISNA(MATCH(Q21,nLIST_Offset,0)),"E_INVALID_DATE","")))),IF(N21="DATE",IF(O21="","E_MISSING_INPUT",IF(NOT(ISNUMBER(O21)),"E_INVALID_DATE",IF(O21&lt;&gt;INT(O21),"E_INVALID_DATE",""))),IF(N21="MONTH",IF(OR(R21="",S21=""),"E_MISSING_INPUT",IF(OR(NOT(ISNUMBER(R21)),NOT(ISNUMBER(S21))),"E_INVALID_DATE",IF(OR(R21&lt;1900,R21&gt;9999,R21&lt;&gt;INT(R21),S21&lt;1,S21&gt;12,S21&lt;&gt;INT(S21)),"E_INVALID_DATE",""))),IF(N21="YEAR",IF(R21="","E_MISSING_INPUT",IF(NOT(ISNUMBER(R21)),"E_INVALID_DATE",IF(OR(R21&lt;1900,R21&gt;9999,R21&lt;&gt;INT(R21)),"E_INVALID_DATE",""))),IF(N21="RANGE",IF(OR(T21="",U21=""),"E_MISSING_INPUT",IF(OR(NOT(ISNUMBER(T21)),NOT(ISNUMBER(U21))),"E_INVALID_DATE",IF(OR(T21&lt;&gt;INT(T21),U21&lt;&gt;INT(U21)),"E_INVALID_DATE",IF(T21&gt;U21,"E_REVERSED_BOUNDS","")))),"E_MISSING_INPUT")))))))</f>
        <v/>
      </c>
      <c r="X21" s="22">
        <f t="shared" si="0"/>
        <v>0</v>
      </c>
      <c r="Y21" s="22">
        <f t="shared" si="1"/>
        <v>0</v>
      </c>
      <c r="Z21" s="28" t="str">
        <f t="shared" si="2"/>
        <v/>
      </c>
      <c r="AA21" s="28" t="str">
        <f t="shared" si="3"/>
        <v/>
      </c>
      <c r="AB21" s="22" t="str">
        <f t="shared" si="4"/>
        <v/>
      </c>
      <c r="AC21" s="22" t="str">
        <f t="shared" si="5"/>
        <v/>
      </c>
      <c r="AD21" s="15"/>
      <c r="AE21" s="26"/>
      <c r="AF21" s="10"/>
      <c r="AG21" s="10"/>
      <c r="AH21" s="21" t="str">
        <f>IF(COUNTA(AD21:AF21)=0,"",IF(OR(AD21="",AE21="",AF21=""),"E_MISSING_INPUT",IF(OR(NOT(ISNUMBER(AD21)),NOT(ISNUMBER(AE21))),"E_INVALID_DATE",IF(OR(AD21&lt;&gt;INT(AD21),AE21&lt;0,AE21&gt;=1),"E_INVALID_DATE",IF(ISNA(MATCH(AF21,nLIST_Offset,0)),"E_INVALID_DATE","")))))</f>
        <v/>
      </c>
      <c r="AI21" s="22" t="str">
        <f t="shared" si="6"/>
        <v/>
      </c>
      <c r="AJ21" s="22">
        <f t="shared" si="7"/>
        <v>0</v>
      </c>
      <c r="AK21" s="22" t="str">
        <f t="shared" si="8"/>
        <v/>
      </c>
      <c r="AL21" s="21" t="str">
        <f t="shared" si="9"/>
        <v/>
      </c>
      <c r="AM21" s="22">
        <f>IF(AL21="",0,COUNTIF(nADM_Key,AL21))</f>
        <v>0</v>
      </c>
      <c r="AN21" s="21" t="str">
        <f t="shared" si="10"/>
        <v/>
      </c>
      <c r="AO21" s="22">
        <f t="shared" si="11"/>
        <v>0</v>
      </c>
      <c r="AP21" s="22">
        <f t="shared" si="12"/>
        <v>0</v>
      </c>
      <c r="AQ21" s="22">
        <f t="shared" si="13"/>
        <v>0</v>
      </c>
      <c r="AR21" s="22">
        <f t="shared" si="14"/>
        <v>0</v>
      </c>
      <c r="AS21" s="22">
        <f t="shared" si="15"/>
        <v>0</v>
      </c>
      <c r="AT21" s="22">
        <f>ROW()</f>
        <v>21</v>
      </c>
      <c r="AU21" s="21">
        <f t="shared" si="16"/>
        <v>0</v>
      </c>
      <c r="AV21" s="21">
        <f t="shared" si="17"/>
        <v>0</v>
      </c>
      <c r="AW21" s="21">
        <f t="shared" si="18"/>
        <v>0</v>
      </c>
      <c r="AX21" s="22">
        <f t="shared" si="19"/>
        <v>0</v>
      </c>
      <c r="AY21" s="21">
        <f t="shared" si="20"/>
        <v>0</v>
      </c>
      <c r="AZ21" s="21">
        <f t="shared" si="21"/>
        <v>-1</v>
      </c>
      <c r="BA21" s="22">
        <f t="shared" si="22"/>
        <v>0</v>
      </c>
      <c r="BB21" s="22">
        <f t="shared" si="23"/>
        <v>0</v>
      </c>
      <c r="BC21" s="22">
        <f t="shared" si="24"/>
        <v>0</v>
      </c>
      <c r="BD21" s="21">
        <f t="shared" si="25"/>
        <v>0</v>
      </c>
      <c r="BE21" s="21" t="str">
        <f t="shared" si="26"/>
        <v/>
      </c>
      <c r="BF21" s="21" t="str">
        <f t="shared" si="27"/>
        <v/>
      </c>
      <c r="BG21" s="22">
        <f t="shared" si="28"/>
        <v>0</v>
      </c>
      <c r="BH21" s="22">
        <f t="shared" si="29"/>
        <v>0</v>
      </c>
      <c r="BI21" s="22">
        <f t="shared" si="30"/>
        <v>0</v>
      </c>
      <c r="BJ21" s="22">
        <f t="shared" si="31"/>
        <v>0</v>
      </c>
      <c r="BK21" s="22">
        <f t="shared" si="32"/>
        <v>0</v>
      </c>
      <c r="BL21" s="22">
        <f t="shared" si="33"/>
        <v>0</v>
      </c>
      <c r="BM21" s="22">
        <f t="shared" si="34"/>
        <v>0</v>
      </c>
      <c r="BN21" s="22">
        <f t="shared" si="35"/>
        <v>0</v>
      </c>
      <c r="BO21" s="22">
        <f>IF(BG21=0,0,COUNTIFS(nADM_SelKey,AN21,nADM_SegValid,1,nADM_SegS_Loc_n,"&lt;"&amp;BL21,nADM_SegE_Loc_n,"&gt;"&amp;BK21)-IF(BL21&gt;BK21,1,0))</f>
        <v>0</v>
      </c>
      <c r="BP21" s="22">
        <f>IF(BH21=0,0,COUNTIFS(nADM_SelKey,AN21,nADM_SegOK,1,nADM_SegS_UTC_n,"&lt;"&amp;BJ21,nADM_SegE_UTC_n,"&gt;"&amp;BI21)-IF(BJ21&gt;BI21,1,0))</f>
        <v>0</v>
      </c>
      <c r="BQ21" s="21" t="str">
        <f t="shared" si="36"/>
        <v/>
      </c>
      <c r="BR21" s="22">
        <f>IF(C21="",1,IF(COUNTIF(nEXP_Key,AN21)&gt;0,1,0))</f>
        <v>1</v>
      </c>
      <c r="BS21" s="21" t="str">
        <f t="shared" si="37"/>
        <v/>
      </c>
      <c r="BT21" s="21" t="str">
        <f>IF(BS21="","",BS21&amp;": "&amp;SUBSTITUTE(IFERROR(INDEX(nMSG_Text,MATCH(BS21,nMSG_Code,0)),""),"[input]",IF(C21="","an Admin_ID",IF(BR21=0,"an Exposures row for episode "&amp;D21,IF(BQ21&lt;&gt;"","segment start and end timestamps and a rate in mg/hour","the date fields required by the selected precision")))))</f>
        <v/>
      </c>
    </row>
    <row r="22" spans="1:72" x14ac:dyDescent="0.2">
      <c r="A22" s="10"/>
      <c r="B22" s="12"/>
      <c r="C22" s="10"/>
      <c r="D22" s="10"/>
      <c r="E22" s="17"/>
      <c r="F22" s="17"/>
      <c r="G22" s="17"/>
      <c r="H22" s="17"/>
      <c r="I22" s="17"/>
      <c r="J22" s="17"/>
      <c r="K22" s="17"/>
      <c r="L22" s="10"/>
      <c r="M22" s="10"/>
      <c r="N22" s="17"/>
      <c r="O22" s="15"/>
      <c r="P22" s="26"/>
      <c r="Q22" s="10"/>
      <c r="R22" s="12"/>
      <c r="S22" s="12"/>
      <c r="T22" s="15"/>
      <c r="U22" s="15"/>
      <c r="V22" s="10"/>
      <c r="W22" s="21" t="str">
        <f>IF(COUNTA(N22:U22)=0,"",IF(N22="","E_MISSING_INPUT",IF(N22="TIMESTAMP",IF(OR(O22="",P22="",Q22=""),"E_MISSING_INPUT",IF(OR(NOT(ISNUMBER(O22)),NOT(ISNUMBER(P22))),"E_INVALID_DATE",IF(OR(O22&lt;&gt;INT(O22),P22&lt;0,P22&gt;=1),"E_INVALID_DATE",IF(ISNA(MATCH(Q22,nLIST_Offset,0)),"E_INVALID_DATE","")))),IF(N22="DATE",IF(O22="","E_MISSING_INPUT",IF(NOT(ISNUMBER(O22)),"E_INVALID_DATE",IF(O22&lt;&gt;INT(O22),"E_INVALID_DATE",""))),IF(N22="MONTH",IF(OR(R22="",S22=""),"E_MISSING_INPUT",IF(OR(NOT(ISNUMBER(R22)),NOT(ISNUMBER(S22))),"E_INVALID_DATE",IF(OR(R22&lt;1900,R22&gt;9999,R22&lt;&gt;INT(R22),S22&lt;1,S22&gt;12,S22&lt;&gt;INT(S22)),"E_INVALID_DATE",""))),IF(N22="YEAR",IF(R22="","E_MISSING_INPUT",IF(NOT(ISNUMBER(R22)),"E_INVALID_DATE",IF(OR(R22&lt;1900,R22&gt;9999,R22&lt;&gt;INT(R22)),"E_INVALID_DATE",""))),IF(N22="RANGE",IF(OR(T22="",U22=""),"E_MISSING_INPUT",IF(OR(NOT(ISNUMBER(T22)),NOT(ISNUMBER(U22))),"E_INVALID_DATE",IF(OR(T22&lt;&gt;INT(T22),U22&lt;&gt;INT(U22)),"E_INVALID_DATE",IF(T22&gt;U22,"E_REVERSED_BOUNDS","")))),"E_MISSING_INPUT")))))))</f>
        <v/>
      </c>
      <c r="X22" s="22">
        <f t="shared" si="0"/>
        <v>0</v>
      </c>
      <c r="Y22" s="22">
        <f t="shared" si="1"/>
        <v>0</v>
      </c>
      <c r="Z22" s="28" t="str">
        <f t="shared" si="2"/>
        <v/>
      </c>
      <c r="AA22" s="28" t="str">
        <f t="shared" si="3"/>
        <v/>
      </c>
      <c r="AB22" s="22" t="str">
        <f t="shared" si="4"/>
        <v/>
      </c>
      <c r="AC22" s="22" t="str">
        <f t="shared" si="5"/>
        <v/>
      </c>
      <c r="AD22" s="15"/>
      <c r="AE22" s="26"/>
      <c r="AF22" s="10"/>
      <c r="AG22" s="10"/>
      <c r="AH22" s="21" t="str">
        <f>IF(COUNTA(AD22:AF22)=0,"",IF(OR(AD22="",AE22="",AF22=""),"E_MISSING_INPUT",IF(OR(NOT(ISNUMBER(AD22)),NOT(ISNUMBER(AE22))),"E_INVALID_DATE",IF(OR(AD22&lt;&gt;INT(AD22),AE22&lt;0,AE22&gt;=1),"E_INVALID_DATE",IF(ISNA(MATCH(AF22,nLIST_Offset,0)),"E_INVALID_DATE","")))))</f>
        <v/>
      </c>
      <c r="AI22" s="22" t="str">
        <f t="shared" si="6"/>
        <v/>
      </c>
      <c r="AJ22" s="22">
        <f t="shared" si="7"/>
        <v>0</v>
      </c>
      <c r="AK22" s="22" t="str">
        <f t="shared" si="8"/>
        <v/>
      </c>
      <c r="AL22" s="21" t="str">
        <f t="shared" si="9"/>
        <v/>
      </c>
      <c r="AM22" s="22">
        <f>IF(AL22="",0,COUNTIF(nADM_Key,AL22))</f>
        <v>0</v>
      </c>
      <c r="AN22" s="21" t="str">
        <f t="shared" si="10"/>
        <v/>
      </c>
      <c r="AO22" s="22">
        <f t="shared" si="11"/>
        <v>0</v>
      </c>
      <c r="AP22" s="22">
        <f t="shared" si="12"/>
        <v>0</v>
      </c>
      <c r="AQ22" s="22">
        <f t="shared" si="13"/>
        <v>0</v>
      </c>
      <c r="AR22" s="22">
        <f t="shared" si="14"/>
        <v>0</v>
      </c>
      <c r="AS22" s="22">
        <f t="shared" si="15"/>
        <v>0</v>
      </c>
      <c r="AT22" s="22">
        <f>ROW()</f>
        <v>22</v>
      </c>
      <c r="AU22" s="21">
        <f t="shared" si="16"/>
        <v>0</v>
      </c>
      <c r="AV22" s="21">
        <f t="shared" si="17"/>
        <v>0</v>
      </c>
      <c r="AW22" s="21">
        <f t="shared" si="18"/>
        <v>0</v>
      </c>
      <c r="AX22" s="22">
        <f t="shared" si="19"/>
        <v>0</v>
      </c>
      <c r="AY22" s="21">
        <f t="shared" si="20"/>
        <v>0</v>
      </c>
      <c r="AZ22" s="21">
        <f t="shared" si="21"/>
        <v>-1</v>
      </c>
      <c r="BA22" s="22">
        <f t="shared" si="22"/>
        <v>0</v>
      </c>
      <c r="BB22" s="22">
        <f t="shared" si="23"/>
        <v>0</v>
      </c>
      <c r="BC22" s="22">
        <f t="shared" si="24"/>
        <v>0</v>
      </c>
      <c r="BD22" s="21">
        <f t="shared" si="25"/>
        <v>0</v>
      </c>
      <c r="BE22" s="21" t="str">
        <f t="shared" si="26"/>
        <v/>
      </c>
      <c r="BF22" s="21" t="str">
        <f t="shared" si="27"/>
        <v/>
      </c>
      <c r="BG22" s="22">
        <f t="shared" si="28"/>
        <v>0</v>
      </c>
      <c r="BH22" s="22">
        <f t="shared" si="29"/>
        <v>0</v>
      </c>
      <c r="BI22" s="22">
        <f t="shared" si="30"/>
        <v>0</v>
      </c>
      <c r="BJ22" s="22">
        <f t="shared" si="31"/>
        <v>0</v>
      </c>
      <c r="BK22" s="22">
        <f t="shared" si="32"/>
        <v>0</v>
      </c>
      <c r="BL22" s="22">
        <f t="shared" si="33"/>
        <v>0</v>
      </c>
      <c r="BM22" s="22">
        <f t="shared" si="34"/>
        <v>0</v>
      </c>
      <c r="BN22" s="22">
        <f t="shared" si="35"/>
        <v>0</v>
      </c>
      <c r="BO22" s="22">
        <f>IF(BG22=0,0,COUNTIFS(nADM_SelKey,AN22,nADM_SegValid,1,nADM_SegS_Loc_n,"&lt;"&amp;BL22,nADM_SegE_Loc_n,"&gt;"&amp;BK22)-IF(BL22&gt;BK22,1,0))</f>
        <v>0</v>
      </c>
      <c r="BP22" s="22">
        <f>IF(BH22=0,0,COUNTIFS(nADM_SelKey,AN22,nADM_SegOK,1,nADM_SegS_UTC_n,"&lt;"&amp;BJ22,nADM_SegE_UTC_n,"&gt;"&amp;BI22)-IF(BJ22&gt;BI22,1,0))</f>
        <v>0</v>
      </c>
      <c r="BQ22" s="21" t="str">
        <f t="shared" si="36"/>
        <v/>
      </c>
      <c r="BR22" s="22">
        <f>IF(C22="",1,IF(COUNTIF(nEXP_Key,AN22)&gt;0,1,0))</f>
        <v>1</v>
      </c>
      <c r="BS22" s="21" t="str">
        <f t="shared" si="37"/>
        <v/>
      </c>
      <c r="BT22" s="21" t="str">
        <f>IF(BS22="","",BS22&amp;": "&amp;SUBSTITUTE(IFERROR(INDEX(nMSG_Text,MATCH(BS22,nMSG_Code,0)),""),"[input]",IF(C22="","an Admin_ID",IF(BR22=0,"an Exposures row for episode "&amp;D22,IF(BQ22&lt;&gt;"","segment start and end timestamps and a rate in mg/hour","the date fields required by the selected precision")))))</f>
        <v/>
      </c>
    </row>
    <row r="23" spans="1:72" x14ac:dyDescent="0.2">
      <c r="A23" s="10"/>
      <c r="B23" s="12"/>
      <c r="C23" s="10"/>
      <c r="D23" s="10"/>
      <c r="E23" s="17"/>
      <c r="F23" s="17"/>
      <c r="G23" s="17"/>
      <c r="H23" s="17"/>
      <c r="I23" s="17"/>
      <c r="J23" s="17"/>
      <c r="K23" s="17"/>
      <c r="L23" s="10"/>
      <c r="M23" s="10"/>
      <c r="N23" s="17"/>
      <c r="O23" s="15"/>
      <c r="P23" s="26"/>
      <c r="Q23" s="10"/>
      <c r="R23" s="12"/>
      <c r="S23" s="12"/>
      <c r="T23" s="15"/>
      <c r="U23" s="15"/>
      <c r="V23" s="10"/>
      <c r="W23" s="21" t="str">
        <f>IF(COUNTA(N23:U23)=0,"",IF(N23="","E_MISSING_INPUT",IF(N23="TIMESTAMP",IF(OR(O23="",P23="",Q23=""),"E_MISSING_INPUT",IF(OR(NOT(ISNUMBER(O23)),NOT(ISNUMBER(P23))),"E_INVALID_DATE",IF(OR(O23&lt;&gt;INT(O23),P23&lt;0,P23&gt;=1),"E_INVALID_DATE",IF(ISNA(MATCH(Q23,nLIST_Offset,0)),"E_INVALID_DATE","")))),IF(N23="DATE",IF(O23="","E_MISSING_INPUT",IF(NOT(ISNUMBER(O23)),"E_INVALID_DATE",IF(O23&lt;&gt;INT(O23),"E_INVALID_DATE",""))),IF(N23="MONTH",IF(OR(R23="",S23=""),"E_MISSING_INPUT",IF(OR(NOT(ISNUMBER(R23)),NOT(ISNUMBER(S23))),"E_INVALID_DATE",IF(OR(R23&lt;1900,R23&gt;9999,R23&lt;&gt;INT(R23),S23&lt;1,S23&gt;12,S23&lt;&gt;INT(S23)),"E_INVALID_DATE",""))),IF(N23="YEAR",IF(R23="","E_MISSING_INPUT",IF(NOT(ISNUMBER(R23)),"E_INVALID_DATE",IF(OR(R23&lt;1900,R23&gt;9999,R23&lt;&gt;INT(R23)),"E_INVALID_DATE",""))),IF(N23="RANGE",IF(OR(T23="",U23=""),"E_MISSING_INPUT",IF(OR(NOT(ISNUMBER(T23)),NOT(ISNUMBER(U23))),"E_INVALID_DATE",IF(OR(T23&lt;&gt;INT(T23),U23&lt;&gt;INT(U23)),"E_INVALID_DATE",IF(T23&gt;U23,"E_REVERSED_BOUNDS","")))),"E_MISSING_INPUT")))))))</f>
        <v/>
      </c>
      <c r="X23" s="22">
        <f t="shared" si="0"/>
        <v>0</v>
      </c>
      <c r="Y23" s="22">
        <f t="shared" si="1"/>
        <v>0</v>
      </c>
      <c r="Z23" s="28" t="str">
        <f t="shared" si="2"/>
        <v/>
      </c>
      <c r="AA23" s="28" t="str">
        <f t="shared" si="3"/>
        <v/>
      </c>
      <c r="AB23" s="22" t="str">
        <f t="shared" si="4"/>
        <v/>
      </c>
      <c r="AC23" s="22" t="str">
        <f t="shared" si="5"/>
        <v/>
      </c>
      <c r="AD23" s="15"/>
      <c r="AE23" s="26"/>
      <c r="AF23" s="10"/>
      <c r="AG23" s="10"/>
      <c r="AH23" s="21" t="str">
        <f>IF(COUNTA(AD23:AF23)=0,"",IF(OR(AD23="",AE23="",AF23=""),"E_MISSING_INPUT",IF(OR(NOT(ISNUMBER(AD23)),NOT(ISNUMBER(AE23))),"E_INVALID_DATE",IF(OR(AD23&lt;&gt;INT(AD23),AE23&lt;0,AE23&gt;=1),"E_INVALID_DATE",IF(ISNA(MATCH(AF23,nLIST_Offset,0)),"E_INVALID_DATE","")))))</f>
        <v/>
      </c>
      <c r="AI23" s="22" t="str">
        <f t="shared" si="6"/>
        <v/>
      </c>
      <c r="AJ23" s="22">
        <f t="shared" si="7"/>
        <v>0</v>
      </c>
      <c r="AK23" s="22" t="str">
        <f t="shared" si="8"/>
        <v/>
      </c>
      <c r="AL23" s="21" t="str">
        <f t="shared" si="9"/>
        <v/>
      </c>
      <c r="AM23" s="22">
        <f>IF(AL23="",0,COUNTIF(nADM_Key,AL23))</f>
        <v>0</v>
      </c>
      <c r="AN23" s="21" t="str">
        <f t="shared" si="10"/>
        <v/>
      </c>
      <c r="AO23" s="22">
        <f t="shared" si="11"/>
        <v>0</v>
      </c>
      <c r="AP23" s="22">
        <f t="shared" si="12"/>
        <v>0</v>
      </c>
      <c r="AQ23" s="22">
        <f t="shared" si="13"/>
        <v>0</v>
      </c>
      <c r="AR23" s="22">
        <f t="shared" si="14"/>
        <v>0</v>
      </c>
      <c r="AS23" s="22">
        <f t="shared" si="15"/>
        <v>0</v>
      </c>
      <c r="AT23" s="22">
        <f>ROW()</f>
        <v>23</v>
      </c>
      <c r="AU23" s="21">
        <f t="shared" si="16"/>
        <v>0</v>
      </c>
      <c r="AV23" s="21">
        <f t="shared" si="17"/>
        <v>0</v>
      </c>
      <c r="AW23" s="21">
        <f t="shared" si="18"/>
        <v>0</v>
      </c>
      <c r="AX23" s="22">
        <f t="shared" si="19"/>
        <v>0</v>
      </c>
      <c r="AY23" s="21">
        <f t="shared" si="20"/>
        <v>0</v>
      </c>
      <c r="AZ23" s="21">
        <f t="shared" si="21"/>
        <v>-1</v>
      </c>
      <c r="BA23" s="22">
        <f t="shared" si="22"/>
        <v>0</v>
      </c>
      <c r="BB23" s="22">
        <f t="shared" si="23"/>
        <v>0</v>
      </c>
      <c r="BC23" s="22">
        <f t="shared" si="24"/>
        <v>0</v>
      </c>
      <c r="BD23" s="21">
        <f t="shared" si="25"/>
        <v>0</v>
      </c>
      <c r="BE23" s="21" t="str">
        <f t="shared" si="26"/>
        <v/>
      </c>
      <c r="BF23" s="21" t="str">
        <f t="shared" si="27"/>
        <v/>
      </c>
      <c r="BG23" s="22">
        <f t="shared" si="28"/>
        <v>0</v>
      </c>
      <c r="BH23" s="22">
        <f t="shared" si="29"/>
        <v>0</v>
      </c>
      <c r="BI23" s="22">
        <f t="shared" si="30"/>
        <v>0</v>
      </c>
      <c r="BJ23" s="22">
        <f t="shared" si="31"/>
        <v>0</v>
      </c>
      <c r="BK23" s="22">
        <f t="shared" si="32"/>
        <v>0</v>
      </c>
      <c r="BL23" s="22">
        <f t="shared" si="33"/>
        <v>0</v>
      </c>
      <c r="BM23" s="22">
        <f t="shared" si="34"/>
        <v>0</v>
      </c>
      <c r="BN23" s="22">
        <f t="shared" si="35"/>
        <v>0</v>
      </c>
      <c r="BO23" s="22">
        <f>IF(BG23=0,0,COUNTIFS(nADM_SelKey,AN23,nADM_SegValid,1,nADM_SegS_Loc_n,"&lt;"&amp;BL23,nADM_SegE_Loc_n,"&gt;"&amp;BK23)-IF(BL23&gt;BK23,1,0))</f>
        <v>0</v>
      </c>
      <c r="BP23" s="22">
        <f>IF(BH23=0,0,COUNTIFS(nADM_SelKey,AN23,nADM_SegOK,1,nADM_SegS_UTC_n,"&lt;"&amp;BJ23,nADM_SegE_UTC_n,"&gt;"&amp;BI23)-IF(BJ23&gt;BI23,1,0))</f>
        <v>0</v>
      </c>
      <c r="BQ23" s="21" t="str">
        <f t="shared" si="36"/>
        <v/>
      </c>
      <c r="BR23" s="22">
        <f>IF(C23="",1,IF(COUNTIF(nEXP_Key,AN23)&gt;0,1,0))</f>
        <v>1</v>
      </c>
      <c r="BS23" s="21" t="str">
        <f t="shared" si="37"/>
        <v/>
      </c>
      <c r="BT23" s="21" t="str">
        <f>IF(BS23="","",BS23&amp;": "&amp;SUBSTITUTE(IFERROR(INDEX(nMSG_Text,MATCH(BS23,nMSG_Code,0)),""),"[input]",IF(C23="","an Admin_ID",IF(BR23=0,"an Exposures row for episode "&amp;D23,IF(BQ23&lt;&gt;"","segment start and end timestamps and a rate in mg/hour","the date fields required by the selected precision")))))</f>
        <v/>
      </c>
    </row>
    <row r="24" spans="1:72" x14ac:dyDescent="0.2">
      <c r="A24" s="10"/>
      <c r="B24" s="12"/>
      <c r="C24" s="10"/>
      <c r="D24" s="10"/>
      <c r="E24" s="17"/>
      <c r="F24" s="17"/>
      <c r="G24" s="17"/>
      <c r="H24" s="17"/>
      <c r="I24" s="17"/>
      <c r="J24" s="17"/>
      <c r="K24" s="17"/>
      <c r="L24" s="10"/>
      <c r="M24" s="10"/>
      <c r="N24" s="17"/>
      <c r="O24" s="15"/>
      <c r="P24" s="26"/>
      <c r="Q24" s="10"/>
      <c r="R24" s="12"/>
      <c r="S24" s="12"/>
      <c r="T24" s="15"/>
      <c r="U24" s="15"/>
      <c r="V24" s="10"/>
      <c r="W24" s="21" t="str">
        <f>IF(COUNTA(N24:U24)=0,"",IF(N24="","E_MISSING_INPUT",IF(N24="TIMESTAMP",IF(OR(O24="",P24="",Q24=""),"E_MISSING_INPUT",IF(OR(NOT(ISNUMBER(O24)),NOT(ISNUMBER(P24))),"E_INVALID_DATE",IF(OR(O24&lt;&gt;INT(O24),P24&lt;0,P24&gt;=1),"E_INVALID_DATE",IF(ISNA(MATCH(Q24,nLIST_Offset,0)),"E_INVALID_DATE","")))),IF(N24="DATE",IF(O24="","E_MISSING_INPUT",IF(NOT(ISNUMBER(O24)),"E_INVALID_DATE",IF(O24&lt;&gt;INT(O24),"E_INVALID_DATE",""))),IF(N24="MONTH",IF(OR(R24="",S24=""),"E_MISSING_INPUT",IF(OR(NOT(ISNUMBER(R24)),NOT(ISNUMBER(S24))),"E_INVALID_DATE",IF(OR(R24&lt;1900,R24&gt;9999,R24&lt;&gt;INT(R24),S24&lt;1,S24&gt;12,S24&lt;&gt;INT(S24)),"E_INVALID_DATE",""))),IF(N24="YEAR",IF(R24="","E_MISSING_INPUT",IF(NOT(ISNUMBER(R24)),"E_INVALID_DATE",IF(OR(R24&lt;1900,R24&gt;9999,R24&lt;&gt;INT(R24)),"E_INVALID_DATE",""))),IF(N24="RANGE",IF(OR(T24="",U24=""),"E_MISSING_INPUT",IF(OR(NOT(ISNUMBER(T24)),NOT(ISNUMBER(U24))),"E_INVALID_DATE",IF(OR(T24&lt;&gt;INT(T24),U24&lt;&gt;INT(U24)),"E_INVALID_DATE",IF(T24&gt;U24,"E_REVERSED_BOUNDS","")))),"E_MISSING_INPUT")))))))</f>
        <v/>
      </c>
      <c r="X24" s="22">
        <f t="shared" si="0"/>
        <v>0</v>
      </c>
      <c r="Y24" s="22">
        <f t="shared" si="1"/>
        <v>0</v>
      </c>
      <c r="Z24" s="28" t="str">
        <f t="shared" si="2"/>
        <v/>
      </c>
      <c r="AA24" s="28" t="str">
        <f t="shared" si="3"/>
        <v/>
      </c>
      <c r="AB24" s="22" t="str">
        <f t="shared" si="4"/>
        <v/>
      </c>
      <c r="AC24" s="22" t="str">
        <f t="shared" si="5"/>
        <v/>
      </c>
      <c r="AD24" s="15"/>
      <c r="AE24" s="26"/>
      <c r="AF24" s="10"/>
      <c r="AG24" s="10"/>
      <c r="AH24" s="21" t="str">
        <f>IF(COUNTA(AD24:AF24)=0,"",IF(OR(AD24="",AE24="",AF24=""),"E_MISSING_INPUT",IF(OR(NOT(ISNUMBER(AD24)),NOT(ISNUMBER(AE24))),"E_INVALID_DATE",IF(OR(AD24&lt;&gt;INT(AD24),AE24&lt;0,AE24&gt;=1),"E_INVALID_DATE",IF(ISNA(MATCH(AF24,nLIST_Offset,0)),"E_INVALID_DATE","")))))</f>
        <v/>
      </c>
      <c r="AI24" s="22" t="str">
        <f t="shared" si="6"/>
        <v/>
      </c>
      <c r="AJ24" s="22">
        <f t="shared" si="7"/>
        <v>0</v>
      </c>
      <c r="AK24" s="22" t="str">
        <f t="shared" si="8"/>
        <v/>
      </c>
      <c r="AL24" s="21" t="str">
        <f t="shared" si="9"/>
        <v/>
      </c>
      <c r="AM24" s="22">
        <f>IF(AL24="",0,COUNTIF(nADM_Key,AL24))</f>
        <v>0</v>
      </c>
      <c r="AN24" s="21" t="str">
        <f t="shared" si="10"/>
        <v/>
      </c>
      <c r="AO24" s="22">
        <f t="shared" si="11"/>
        <v>0</v>
      </c>
      <c r="AP24" s="22">
        <f t="shared" si="12"/>
        <v>0</v>
      </c>
      <c r="AQ24" s="22">
        <f t="shared" si="13"/>
        <v>0</v>
      </c>
      <c r="AR24" s="22">
        <f t="shared" si="14"/>
        <v>0</v>
      </c>
      <c r="AS24" s="22">
        <f t="shared" si="15"/>
        <v>0</v>
      </c>
      <c r="AT24" s="22">
        <f>ROW()</f>
        <v>24</v>
      </c>
      <c r="AU24" s="21">
        <f t="shared" si="16"/>
        <v>0</v>
      </c>
      <c r="AV24" s="21">
        <f t="shared" si="17"/>
        <v>0</v>
      </c>
      <c r="AW24" s="21">
        <f t="shared" si="18"/>
        <v>0</v>
      </c>
      <c r="AX24" s="22">
        <f t="shared" si="19"/>
        <v>0</v>
      </c>
      <c r="AY24" s="21">
        <f t="shared" si="20"/>
        <v>0</v>
      </c>
      <c r="AZ24" s="21">
        <f t="shared" si="21"/>
        <v>-1</v>
      </c>
      <c r="BA24" s="22">
        <f t="shared" si="22"/>
        <v>0</v>
      </c>
      <c r="BB24" s="22">
        <f t="shared" si="23"/>
        <v>0</v>
      </c>
      <c r="BC24" s="22">
        <f t="shared" si="24"/>
        <v>0</v>
      </c>
      <c r="BD24" s="21">
        <f t="shared" si="25"/>
        <v>0</v>
      </c>
      <c r="BE24" s="21" t="str">
        <f t="shared" si="26"/>
        <v/>
      </c>
      <c r="BF24" s="21" t="str">
        <f t="shared" si="27"/>
        <v/>
      </c>
      <c r="BG24" s="22">
        <f t="shared" si="28"/>
        <v>0</v>
      </c>
      <c r="BH24" s="22">
        <f t="shared" si="29"/>
        <v>0</v>
      </c>
      <c r="BI24" s="22">
        <f t="shared" si="30"/>
        <v>0</v>
      </c>
      <c r="BJ24" s="22">
        <f t="shared" si="31"/>
        <v>0</v>
      </c>
      <c r="BK24" s="22">
        <f t="shared" si="32"/>
        <v>0</v>
      </c>
      <c r="BL24" s="22">
        <f t="shared" si="33"/>
        <v>0</v>
      </c>
      <c r="BM24" s="22">
        <f t="shared" si="34"/>
        <v>0</v>
      </c>
      <c r="BN24" s="22">
        <f t="shared" si="35"/>
        <v>0</v>
      </c>
      <c r="BO24" s="22">
        <f>IF(BG24=0,0,COUNTIFS(nADM_SelKey,AN24,nADM_SegValid,1,nADM_SegS_Loc_n,"&lt;"&amp;BL24,nADM_SegE_Loc_n,"&gt;"&amp;BK24)-IF(BL24&gt;BK24,1,0))</f>
        <v>0</v>
      </c>
      <c r="BP24" s="22">
        <f>IF(BH24=0,0,COUNTIFS(nADM_SelKey,AN24,nADM_SegOK,1,nADM_SegS_UTC_n,"&lt;"&amp;BJ24,nADM_SegE_UTC_n,"&gt;"&amp;BI24)-IF(BJ24&gt;BI24,1,0))</f>
        <v>0</v>
      </c>
      <c r="BQ24" s="21" t="str">
        <f t="shared" si="36"/>
        <v/>
      </c>
      <c r="BR24" s="22">
        <f>IF(C24="",1,IF(COUNTIF(nEXP_Key,AN24)&gt;0,1,0))</f>
        <v>1</v>
      </c>
      <c r="BS24" s="21" t="str">
        <f t="shared" si="37"/>
        <v/>
      </c>
      <c r="BT24" s="21" t="str">
        <f>IF(BS24="","",BS24&amp;": "&amp;SUBSTITUTE(IFERROR(INDEX(nMSG_Text,MATCH(BS24,nMSG_Code,0)),""),"[input]",IF(C24="","an Admin_ID",IF(BR24=0,"an Exposures row for episode "&amp;D24,IF(BQ24&lt;&gt;"","segment start and end timestamps and a rate in mg/hour","the date fields required by the selected precision")))))</f>
        <v/>
      </c>
    </row>
    <row r="25" spans="1:72" x14ac:dyDescent="0.2">
      <c r="A25" s="10"/>
      <c r="B25" s="12"/>
      <c r="C25" s="10"/>
      <c r="D25" s="10"/>
      <c r="E25" s="17"/>
      <c r="F25" s="17"/>
      <c r="G25" s="17"/>
      <c r="H25" s="17"/>
      <c r="I25" s="17"/>
      <c r="J25" s="17"/>
      <c r="K25" s="17"/>
      <c r="L25" s="10"/>
      <c r="M25" s="10"/>
      <c r="N25" s="17"/>
      <c r="O25" s="15"/>
      <c r="P25" s="26"/>
      <c r="Q25" s="10"/>
      <c r="R25" s="12"/>
      <c r="S25" s="12"/>
      <c r="T25" s="15"/>
      <c r="U25" s="15"/>
      <c r="V25" s="10"/>
      <c r="W25" s="21" t="str">
        <f>IF(COUNTA(N25:U25)=0,"",IF(N25="","E_MISSING_INPUT",IF(N25="TIMESTAMP",IF(OR(O25="",P25="",Q25=""),"E_MISSING_INPUT",IF(OR(NOT(ISNUMBER(O25)),NOT(ISNUMBER(P25))),"E_INVALID_DATE",IF(OR(O25&lt;&gt;INT(O25),P25&lt;0,P25&gt;=1),"E_INVALID_DATE",IF(ISNA(MATCH(Q25,nLIST_Offset,0)),"E_INVALID_DATE","")))),IF(N25="DATE",IF(O25="","E_MISSING_INPUT",IF(NOT(ISNUMBER(O25)),"E_INVALID_DATE",IF(O25&lt;&gt;INT(O25),"E_INVALID_DATE",""))),IF(N25="MONTH",IF(OR(R25="",S25=""),"E_MISSING_INPUT",IF(OR(NOT(ISNUMBER(R25)),NOT(ISNUMBER(S25))),"E_INVALID_DATE",IF(OR(R25&lt;1900,R25&gt;9999,R25&lt;&gt;INT(R25),S25&lt;1,S25&gt;12,S25&lt;&gt;INT(S25)),"E_INVALID_DATE",""))),IF(N25="YEAR",IF(R25="","E_MISSING_INPUT",IF(NOT(ISNUMBER(R25)),"E_INVALID_DATE",IF(OR(R25&lt;1900,R25&gt;9999,R25&lt;&gt;INT(R25)),"E_INVALID_DATE",""))),IF(N25="RANGE",IF(OR(T25="",U25=""),"E_MISSING_INPUT",IF(OR(NOT(ISNUMBER(T25)),NOT(ISNUMBER(U25))),"E_INVALID_DATE",IF(OR(T25&lt;&gt;INT(T25),U25&lt;&gt;INT(U25)),"E_INVALID_DATE",IF(T25&gt;U25,"E_REVERSED_BOUNDS","")))),"E_MISSING_INPUT")))))))</f>
        <v/>
      </c>
      <c r="X25" s="22">
        <f t="shared" si="0"/>
        <v>0</v>
      </c>
      <c r="Y25" s="22">
        <f t="shared" si="1"/>
        <v>0</v>
      </c>
      <c r="Z25" s="28" t="str">
        <f t="shared" si="2"/>
        <v/>
      </c>
      <c r="AA25" s="28" t="str">
        <f t="shared" si="3"/>
        <v/>
      </c>
      <c r="AB25" s="22" t="str">
        <f t="shared" si="4"/>
        <v/>
      </c>
      <c r="AC25" s="22" t="str">
        <f t="shared" si="5"/>
        <v/>
      </c>
      <c r="AD25" s="15"/>
      <c r="AE25" s="26"/>
      <c r="AF25" s="10"/>
      <c r="AG25" s="10"/>
      <c r="AH25" s="21" t="str">
        <f>IF(COUNTA(AD25:AF25)=0,"",IF(OR(AD25="",AE25="",AF25=""),"E_MISSING_INPUT",IF(OR(NOT(ISNUMBER(AD25)),NOT(ISNUMBER(AE25))),"E_INVALID_DATE",IF(OR(AD25&lt;&gt;INT(AD25),AE25&lt;0,AE25&gt;=1),"E_INVALID_DATE",IF(ISNA(MATCH(AF25,nLIST_Offset,0)),"E_INVALID_DATE","")))))</f>
        <v/>
      </c>
      <c r="AI25" s="22" t="str">
        <f t="shared" si="6"/>
        <v/>
      </c>
      <c r="AJ25" s="22">
        <f t="shared" si="7"/>
        <v>0</v>
      </c>
      <c r="AK25" s="22" t="str">
        <f t="shared" si="8"/>
        <v/>
      </c>
      <c r="AL25" s="21" t="str">
        <f t="shared" si="9"/>
        <v/>
      </c>
      <c r="AM25" s="22">
        <f>IF(AL25="",0,COUNTIF(nADM_Key,AL25))</f>
        <v>0</v>
      </c>
      <c r="AN25" s="21" t="str">
        <f t="shared" si="10"/>
        <v/>
      </c>
      <c r="AO25" s="22">
        <f t="shared" si="11"/>
        <v>0</v>
      </c>
      <c r="AP25" s="22">
        <f t="shared" si="12"/>
        <v>0</v>
      </c>
      <c r="AQ25" s="22">
        <f t="shared" si="13"/>
        <v>0</v>
      </c>
      <c r="AR25" s="22">
        <f t="shared" si="14"/>
        <v>0</v>
      </c>
      <c r="AS25" s="22">
        <f t="shared" si="15"/>
        <v>0</v>
      </c>
      <c r="AT25" s="22">
        <f>ROW()</f>
        <v>25</v>
      </c>
      <c r="AU25" s="21">
        <f t="shared" si="16"/>
        <v>0</v>
      </c>
      <c r="AV25" s="21">
        <f t="shared" si="17"/>
        <v>0</v>
      </c>
      <c r="AW25" s="21">
        <f t="shared" si="18"/>
        <v>0</v>
      </c>
      <c r="AX25" s="22">
        <f t="shared" si="19"/>
        <v>0</v>
      </c>
      <c r="AY25" s="21">
        <f t="shared" si="20"/>
        <v>0</v>
      </c>
      <c r="AZ25" s="21">
        <f t="shared" si="21"/>
        <v>-1</v>
      </c>
      <c r="BA25" s="22">
        <f t="shared" si="22"/>
        <v>0</v>
      </c>
      <c r="BB25" s="22">
        <f t="shared" si="23"/>
        <v>0</v>
      </c>
      <c r="BC25" s="22">
        <f t="shared" si="24"/>
        <v>0</v>
      </c>
      <c r="BD25" s="21">
        <f t="shared" si="25"/>
        <v>0</v>
      </c>
      <c r="BE25" s="21" t="str">
        <f t="shared" si="26"/>
        <v/>
      </c>
      <c r="BF25" s="21" t="str">
        <f t="shared" si="27"/>
        <v/>
      </c>
      <c r="BG25" s="22">
        <f t="shared" si="28"/>
        <v>0</v>
      </c>
      <c r="BH25" s="22">
        <f t="shared" si="29"/>
        <v>0</v>
      </c>
      <c r="BI25" s="22">
        <f t="shared" si="30"/>
        <v>0</v>
      </c>
      <c r="BJ25" s="22">
        <f t="shared" si="31"/>
        <v>0</v>
      </c>
      <c r="BK25" s="22">
        <f t="shared" si="32"/>
        <v>0</v>
      </c>
      <c r="BL25" s="22">
        <f t="shared" si="33"/>
        <v>0</v>
      </c>
      <c r="BM25" s="22">
        <f t="shared" si="34"/>
        <v>0</v>
      </c>
      <c r="BN25" s="22">
        <f t="shared" si="35"/>
        <v>0</v>
      </c>
      <c r="BO25" s="22">
        <f>IF(BG25=0,0,COUNTIFS(nADM_SelKey,AN25,nADM_SegValid,1,nADM_SegS_Loc_n,"&lt;"&amp;BL25,nADM_SegE_Loc_n,"&gt;"&amp;BK25)-IF(BL25&gt;BK25,1,0))</f>
        <v>0</v>
      </c>
      <c r="BP25" s="22">
        <f>IF(BH25=0,0,COUNTIFS(nADM_SelKey,AN25,nADM_SegOK,1,nADM_SegS_UTC_n,"&lt;"&amp;BJ25,nADM_SegE_UTC_n,"&gt;"&amp;BI25)-IF(BJ25&gt;BI25,1,0))</f>
        <v>0</v>
      </c>
      <c r="BQ25" s="21" t="str">
        <f t="shared" si="36"/>
        <v/>
      </c>
      <c r="BR25" s="22">
        <f>IF(C25="",1,IF(COUNTIF(nEXP_Key,AN25)&gt;0,1,0))</f>
        <v>1</v>
      </c>
      <c r="BS25" s="21" t="str">
        <f t="shared" si="37"/>
        <v/>
      </c>
      <c r="BT25" s="21" t="str">
        <f>IF(BS25="","",BS25&amp;": "&amp;SUBSTITUTE(IFERROR(INDEX(nMSG_Text,MATCH(BS25,nMSG_Code,0)),""),"[input]",IF(C25="","an Admin_ID",IF(BR25=0,"an Exposures row for episode "&amp;D25,IF(BQ25&lt;&gt;"","segment start and end timestamps and a rate in mg/hour","the date fields required by the selected precision")))))</f>
        <v/>
      </c>
    </row>
    <row r="26" spans="1:72" x14ac:dyDescent="0.2">
      <c r="A26" s="10"/>
      <c r="B26" s="12"/>
      <c r="C26" s="10"/>
      <c r="D26" s="10"/>
      <c r="E26" s="17"/>
      <c r="F26" s="17"/>
      <c r="G26" s="17"/>
      <c r="H26" s="17"/>
      <c r="I26" s="17"/>
      <c r="J26" s="17"/>
      <c r="K26" s="17"/>
      <c r="L26" s="10"/>
      <c r="M26" s="10"/>
      <c r="N26" s="17"/>
      <c r="O26" s="15"/>
      <c r="P26" s="26"/>
      <c r="Q26" s="10"/>
      <c r="R26" s="12"/>
      <c r="S26" s="12"/>
      <c r="T26" s="15"/>
      <c r="U26" s="15"/>
      <c r="V26" s="10"/>
      <c r="W26" s="21" t="str">
        <f>IF(COUNTA(N26:U26)=0,"",IF(N26="","E_MISSING_INPUT",IF(N26="TIMESTAMP",IF(OR(O26="",P26="",Q26=""),"E_MISSING_INPUT",IF(OR(NOT(ISNUMBER(O26)),NOT(ISNUMBER(P26))),"E_INVALID_DATE",IF(OR(O26&lt;&gt;INT(O26),P26&lt;0,P26&gt;=1),"E_INVALID_DATE",IF(ISNA(MATCH(Q26,nLIST_Offset,0)),"E_INVALID_DATE","")))),IF(N26="DATE",IF(O26="","E_MISSING_INPUT",IF(NOT(ISNUMBER(O26)),"E_INVALID_DATE",IF(O26&lt;&gt;INT(O26),"E_INVALID_DATE",""))),IF(N26="MONTH",IF(OR(R26="",S26=""),"E_MISSING_INPUT",IF(OR(NOT(ISNUMBER(R26)),NOT(ISNUMBER(S26))),"E_INVALID_DATE",IF(OR(R26&lt;1900,R26&gt;9999,R26&lt;&gt;INT(R26),S26&lt;1,S26&gt;12,S26&lt;&gt;INT(S26)),"E_INVALID_DATE",""))),IF(N26="YEAR",IF(R26="","E_MISSING_INPUT",IF(NOT(ISNUMBER(R26)),"E_INVALID_DATE",IF(OR(R26&lt;1900,R26&gt;9999,R26&lt;&gt;INT(R26)),"E_INVALID_DATE",""))),IF(N26="RANGE",IF(OR(T26="",U26=""),"E_MISSING_INPUT",IF(OR(NOT(ISNUMBER(T26)),NOT(ISNUMBER(U26))),"E_INVALID_DATE",IF(OR(T26&lt;&gt;INT(T26),U26&lt;&gt;INT(U26)),"E_INVALID_DATE",IF(T26&gt;U26,"E_REVERSED_BOUNDS","")))),"E_MISSING_INPUT")))))))</f>
        <v/>
      </c>
      <c r="X26" s="22">
        <f t="shared" si="0"/>
        <v>0</v>
      </c>
      <c r="Y26" s="22">
        <f t="shared" si="1"/>
        <v>0</v>
      </c>
      <c r="Z26" s="28" t="str">
        <f t="shared" si="2"/>
        <v/>
      </c>
      <c r="AA26" s="28" t="str">
        <f t="shared" si="3"/>
        <v/>
      </c>
      <c r="AB26" s="22" t="str">
        <f t="shared" si="4"/>
        <v/>
      </c>
      <c r="AC26" s="22" t="str">
        <f t="shared" si="5"/>
        <v/>
      </c>
      <c r="AD26" s="15"/>
      <c r="AE26" s="26"/>
      <c r="AF26" s="10"/>
      <c r="AG26" s="10"/>
      <c r="AH26" s="21" t="str">
        <f>IF(COUNTA(AD26:AF26)=0,"",IF(OR(AD26="",AE26="",AF26=""),"E_MISSING_INPUT",IF(OR(NOT(ISNUMBER(AD26)),NOT(ISNUMBER(AE26))),"E_INVALID_DATE",IF(OR(AD26&lt;&gt;INT(AD26),AE26&lt;0,AE26&gt;=1),"E_INVALID_DATE",IF(ISNA(MATCH(AF26,nLIST_Offset,0)),"E_INVALID_DATE","")))))</f>
        <v/>
      </c>
      <c r="AI26" s="22" t="str">
        <f t="shared" si="6"/>
        <v/>
      </c>
      <c r="AJ26" s="22">
        <f t="shared" si="7"/>
        <v>0</v>
      </c>
      <c r="AK26" s="22" t="str">
        <f t="shared" si="8"/>
        <v/>
      </c>
      <c r="AL26" s="21" t="str">
        <f t="shared" si="9"/>
        <v/>
      </c>
      <c r="AM26" s="22">
        <f>IF(AL26="",0,COUNTIF(nADM_Key,AL26))</f>
        <v>0</v>
      </c>
      <c r="AN26" s="21" t="str">
        <f t="shared" si="10"/>
        <v/>
      </c>
      <c r="AO26" s="22">
        <f t="shared" si="11"/>
        <v>0</v>
      </c>
      <c r="AP26" s="22">
        <f t="shared" si="12"/>
        <v>0</v>
      </c>
      <c r="AQ26" s="22">
        <f t="shared" si="13"/>
        <v>0</v>
      </c>
      <c r="AR26" s="22">
        <f t="shared" si="14"/>
        <v>0</v>
      </c>
      <c r="AS26" s="22">
        <f t="shared" si="15"/>
        <v>0</v>
      </c>
      <c r="AT26" s="22">
        <f>ROW()</f>
        <v>26</v>
      </c>
      <c r="AU26" s="21">
        <f t="shared" si="16"/>
        <v>0</v>
      </c>
      <c r="AV26" s="21">
        <f t="shared" si="17"/>
        <v>0</v>
      </c>
      <c r="AW26" s="21">
        <f t="shared" si="18"/>
        <v>0</v>
      </c>
      <c r="AX26" s="22">
        <f t="shared" si="19"/>
        <v>0</v>
      </c>
      <c r="AY26" s="21">
        <f t="shared" si="20"/>
        <v>0</v>
      </c>
      <c r="AZ26" s="21">
        <f t="shared" si="21"/>
        <v>-1</v>
      </c>
      <c r="BA26" s="22">
        <f t="shared" si="22"/>
        <v>0</v>
      </c>
      <c r="BB26" s="22">
        <f t="shared" si="23"/>
        <v>0</v>
      </c>
      <c r="BC26" s="22">
        <f t="shared" si="24"/>
        <v>0</v>
      </c>
      <c r="BD26" s="21">
        <f t="shared" si="25"/>
        <v>0</v>
      </c>
      <c r="BE26" s="21" t="str">
        <f t="shared" si="26"/>
        <v/>
      </c>
      <c r="BF26" s="21" t="str">
        <f t="shared" si="27"/>
        <v/>
      </c>
      <c r="BG26" s="22">
        <f t="shared" si="28"/>
        <v>0</v>
      </c>
      <c r="BH26" s="22">
        <f t="shared" si="29"/>
        <v>0</v>
      </c>
      <c r="BI26" s="22">
        <f t="shared" si="30"/>
        <v>0</v>
      </c>
      <c r="BJ26" s="22">
        <f t="shared" si="31"/>
        <v>0</v>
      </c>
      <c r="BK26" s="22">
        <f t="shared" si="32"/>
        <v>0</v>
      </c>
      <c r="BL26" s="22">
        <f t="shared" si="33"/>
        <v>0</v>
      </c>
      <c r="BM26" s="22">
        <f t="shared" si="34"/>
        <v>0</v>
      </c>
      <c r="BN26" s="22">
        <f t="shared" si="35"/>
        <v>0</v>
      </c>
      <c r="BO26" s="22">
        <f>IF(BG26=0,0,COUNTIFS(nADM_SelKey,AN26,nADM_SegValid,1,nADM_SegS_Loc_n,"&lt;"&amp;BL26,nADM_SegE_Loc_n,"&gt;"&amp;BK26)-IF(BL26&gt;BK26,1,0))</f>
        <v>0</v>
      </c>
      <c r="BP26" s="22">
        <f>IF(BH26=0,0,COUNTIFS(nADM_SelKey,AN26,nADM_SegOK,1,nADM_SegS_UTC_n,"&lt;"&amp;BJ26,nADM_SegE_UTC_n,"&gt;"&amp;BI26)-IF(BJ26&gt;BI26,1,0))</f>
        <v>0</v>
      </c>
      <c r="BQ26" s="21" t="str">
        <f t="shared" si="36"/>
        <v/>
      </c>
      <c r="BR26" s="22">
        <f>IF(C26="",1,IF(COUNTIF(nEXP_Key,AN26)&gt;0,1,0))</f>
        <v>1</v>
      </c>
      <c r="BS26" s="21" t="str">
        <f t="shared" si="37"/>
        <v/>
      </c>
      <c r="BT26" s="21" t="str">
        <f>IF(BS26="","",BS26&amp;": "&amp;SUBSTITUTE(IFERROR(INDEX(nMSG_Text,MATCH(BS26,nMSG_Code,0)),""),"[input]",IF(C26="","an Admin_ID",IF(BR26=0,"an Exposures row for episode "&amp;D26,IF(BQ26&lt;&gt;"","segment start and end timestamps and a rate in mg/hour","the date fields required by the selected precision")))))</f>
        <v/>
      </c>
    </row>
    <row r="27" spans="1:72" x14ac:dyDescent="0.2">
      <c r="A27" s="10"/>
      <c r="B27" s="12"/>
      <c r="C27" s="10"/>
      <c r="D27" s="10"/>
      <c r="E27" s="17"/>
      <c r="F27" s="17"/>
      <c r="G27" s="17"/>
      <c r="H27" s="17"/>
      <c r="I27" s="17"/>
      <c r="J27" s="17"/>
      <c r="K27" s="17"/>
      <c r="L27" s="10"/>
      <c r="M27" s="10"/>
      <c r="N27" s="17"/>
      <c r="O27" s="15"/>
      <c r="P27" s="26"/>
      <c r="Q27" s="10"/>
      <c r="R27" s="12"/>
      <c r="S27" s="12"/>
      <c r="T27" s="15"/>
      <c r="U27" s="15"/>
      <c r="V27" s="10"/>
      <c r="W27" s="21" t="str">
        <f>IF(COUNTA(N27:U27)=0,"",IF(N27="","E_MISSING_INPUT",IF(N27="TIMESTAMP",IF(OR(O27="",P27="",Q27=""),"E_MISSING_INPUT",IF(OR(NOT(ISNUMBER(O27)),NOT(ISNUMBER(P27))),"E_INVALID_DATE",IF(OR(O27&lt;&gt;INT(O27),P27&lt;0,P27&gt;=1),"E_INVALID_DATE",IF(ISNA(MATCH(Q27,nLIST_Offset,0)),"E_INVALID_DATE","")))),IF(N27="DATE",IF(O27="","E_MISSING_INPUT",IF(NOT(ISNUMBER(O27)),"E_INVALID_DATE",IF(O27&lt;&gt;INT(O27),"E_INVALID_DATE",""))),IF(N27="MONTH",IF(OR(R27="",S27=""),"E_MISSING_INPUT",IF(OR(NOT(ISNUMBER(R27)),NOT(ISNUMBER(S27))),"E_INVALID_DATE",IF(OR(R27&lt;1900,R27&gt;9999,R27&lt;&gt;INT(R27),S27&lt;1,S27&gt;12,S27&lt;&gt;INT(S27)),"E_INVALID_DATE",""))),IF(N27="YEAR",IF(R27="","E_MISSING_INPUT",IF(NOT(ISNUMBER(R27)),"E_INVALID_DATE",IF(OR(R27&lt;1900,R27&gt;9999,R27&lt;&gt;INT(R27)),"E_INVALID_DATE",""))),IF(N27="RANGE",IF(OR(T27="",U27=""),"E_MISSING_INPUT",IF(OR(NOT(ISNUMBER(T27)),NOT(ISNUMBER(U27))),"E_INVALID_DATE",IF(OR(T27&lt;&gt;INT(T27),U27&lt;&gt;INT(U27)),"E_INVALID_DATE",IF(T27&gt;U27,"E_REVERSED_BOUNDS","")))),"E_MISSING_INPUT")))))))</f>
        <v/>
      </c>
      <c r="X27" s="22">
        <f t="shared" si="0"/>
        <v>0</v>
      </c>
      <c r="Y27" s="22">
        <f t="shared" si="1"/>
        <v>0</v>
      </c>
      <c r="Z27" s="28" t="str">
        <f t="shared" si="2"/>
        <v/>
      </c>
      <c r="AA27" s="28" t="str">
        <f t="shared" si="3"/>
        <v/>
      </c>
      <c r="AB27" s="22" t="str">
        <f t="shared" si="4"/>
        <v/>
      </c>
      <c r="AC27" s="22" t="str">
        <f t="shared" si="5"/>
        <v/>
      </c>
      <c r="AD27" s="15"/>
      <c r="AE27" s="26"/>
      <c r="AF27" s="10"/>
      <c r="AG27" s="10"/>
      <c r="AH27" s="21" t="str">
        <f>IF(COUNTA(AD27:AF27)=0,"",IF(OR(AD27="",AE27="",AF27=""),"E_MISSING_INPUT",IF(OR(NOT(ISNUMBER(AD27)),NOT(ISNUMBER(AE27))),"E_INVALID_DATE",IF(OR(AD27&lt;&gt;INT(AD27),AE27&lt;0,AE27&gt;=1),"E_INVALID_DATE",IF(ISNA(MATCH(AF27,nLIST_Offset,0)),"E_INVALID_DATE","")))))</f>
        <v/>
      </c>
      <c r="AI27" s="22" t="str">
        <f t="shared" si="6"/>
        <v/>
      </c>
      <c r="AJ27" s="22">
        <f t="shared" si="7"/>
        <v>0</v>
      </c>
      <c r="AK27" s="22" t="str">
        <f t="shared" si="8"/>
        <v/>
      </c>
      <c r="AL27" s="21" t="str">
        <f t="shared" si="9"/>
        <v/>
      </c>
      <c r="AM27" s="22">
        <f>IF(AL27="",0,COUNTIF(nADM_Key,AL27))</f>
        <v>0</v>
      </c>
      <c r="AN27" s="21" t="str">
        <f t="shared" si="10"/>
        <v/>
      </c>
      <c r="AO27" s="22">
        <f t="shared" si="11"/>
        <v>0</v>
      </c>
      <c r="AP27" s="22">
        <f t="shared" si="12"/>
        <v>0</v>
      </c>
      <c r="AQ27" s="22">
        <f t="shared" si="13"/>
        <v>0</v>
      </c>
      <c r="AR27" s="22">
        <f t="shared" si="14"/>
        <v>0</v>
      </c>
      <c r="AS27" s="22">
        <f t="shared" si="15"/>
        <v>0</v>
      </c>
      <c r="AT27" s="22">
        <f>ROW()</f>
        <v>27</v>
      </c>
      <c r="AU27" s="21">
        <f t="shared" si="16"/>
        <v>0</v>
      </c>
      <c r="AV27" s="21">
        <f t="shared" si="17"/>
        <v>0</v>
      </c>
      <c r="AW27" s="21">
        <f t="shared" si="18"/>
        <v>0</v>
      </c>
      <c r="AX27" s="22">
        <f t="shared" si="19"/>
        <v>0</v>
      </c>
      <c r="AY27" s="21">
        <f t="shared" si="20"/>
        <v>0</v>
      </c>
      <c r="AZ27" s="21">
        <f t="shared" si="21"/>
        <v>-1</v>
      </c>
      <c r="BA27" s="22">
        <f t="shared" si="22"/>
        <v>0</v>
      </c>
      <c r="BB27" s="22">
        <f t="shared" si="23"/>
        <v>0</v>
      </c>
      <c r="BC27" s="22">
        <f t="shared" si="24"/>
        <v>0</v>
      </c>
      <c r="BD27" s="21">
        <f t="shared" si="25"/>
        <v>0</v>
      </c>
      <c r="BE27" s="21" t="str">
        <f t="shared" si="26"/>
        <v/>
      </c>
      <c r="BF27" s="21" t="str">
        <f t="shared" si="27"/>
        <v/>
      </c>
      <c r="BG27" s="22">
        <f t="shared" si="28"/>
        <v>0</v>
      </c>
      <c r="BH27" s="22">
        <f t="shared" si="29"/>
        <v>0</v>
      </c>
      <c r="BI27" s="22">
        <f t="shared" si="30"/>
        <v>0</v>
      </c>
      <c r="BJ27" s="22">
        <f t="shared" si="31"/>
        <v>0</v>
      </c>
      <c r="BK27" s="22">
        <f t="shared" si="32"/>
        <v>0</v>
      </c>
      <c r="BL27" s="22">
        <f t="shared" si="33"/>
        <v>0</v>
      </c>
      <c r="BM27" s="22">
        <f t="shared" si="34"/>
        <v>0</v>
      </c>
      <c r="BN27" s="22">
        <f t="shared" si="35"/>
        <v>0</v>
      </c>
      <c r="BO27" s="22">
        <f>IF(BG27=0,0,COUNTIFS(nADM_SelKey,AN27,nADM_SegValid,1,nADM_SegS_Loc_n,"&lt;"&amp;BL27,nADM_SegE_Loc_n,"&gt;"&amp;BK27)-IF(BL27&gt;BK27,1,0))</f>
        <v>0</v>
      </c>
      <c r="BP27" s="22">
        <f>IF(BH27=0,0,COUNTIFS(nADM_SelKey,AN27,nADM_SegOK,1,nADM_SegS_UTC_n,"&lt;"&amp;BJ27,nADM_SegE_UTC_n,"&gt;"&amp;BI27)-IF(BJ27&gt;BI27,1,0))</f>
        <v>0</v>
      </c>
      <c r="BQ27" s="21" t="str">
        <f t="shared" si="36"/>
        <v/>
      </c>
      <c r="BR27" s="22">
        <f>IF(C27="",1,IF(COUNTIF(nEXP_Key,AN27)&gt;0,1,0))</f>
        <v>1</v>
      </c>
      <c r="BS27" s="21" t="str">
        <f t="shared" si="37"/>
        <v/>
      </c>
      <c r="BT27" s="21" t="str">
        <f>IF(BS27="","",BS27&amp;": "&amp;SUBSTITUTE(IFERROR(INDEX(nMSG_Text,MATCH(BS27,nMSG_Code,0)),""),"[input]",IF(C27="","an Admin_ID",IF(BR27=0,"an Exposures row for episode "&amp;D27,IF(BQ27&lt;&gt;"","segment start and end timestamps and a rate in mg/hour","the date fields required by the selected precision")))))</f>
        <v/>
      </c>
    </row>
    <row r="28" spans="1:72" x14ac:dyDescent="0.2">
      <c r="A28" s="10"/>
      <c r="B28" s="12"/>
      <c r="C28" s="10"/>
      <c r="D28" s="10"/>
      <c r="E28" s="17"/>
      <c r="F28" s="17"/>
      <c r="G28" s="17"/>
      <c r="H28" s="17"/>
      <c r="I28" s="17"/>
      <c r="J28" s="17"/>
      <c r="K28" s="17"/>
      <c r="L28" s="10"/>
      <c r="M28" s="10"/>
      <c r="N28" s="17"/>
      <c r="O28" s="15"/>
      <c r="P28" s="26"/>
      <c r="Q28" s="10"/>
      <c r="R28" s="12"/>
      <c r="S28" s="12"/>
      <c r="T28" s="15"/>
      <c r="U28" s="15"/>
      <c r="V28" s="10"/>
      <c r="W28" s="21" t="str">
        <f>IF(COUNTA(N28:U28)=0,"",IF(N28="","E_MISSING_INPUT",IF(N28="TIMESTAMP",IF(OR(O28="",P28="",Q28=""),"E_MISSING_INPUT",IF(OR(NOT(ISNUMBER(O28)),NOT(ISNUMBER(P28))),"E_INVALID_DATE",IF(OR(O28&lt;&gt;INT(O28),P28&lt;0,P28&gt;=1),"E_INVALID_DATE",IF(ISNA(MATCH(Q28,nLIST_Offset,0)),"E_INVALID_DATE","")))),IF(N28="DATE",IF(O28="","E_MISSING_INPUT",IF(NOT(ISNUMBER(O28)),"E_INVALID_DATE",IF(O28&lt;&gt;INT(O28),"E_INVALID_DATE",""))),IF(N28="MONTH",IF(OR(R28="",S28=""),"E_MISSING_INPUT",IF(OR(NOT(ISNUMBER(R28)),NOT(ISNUMBER(S28))),"E_INVALID_DATE",IF(OR(R28&lt;1900,R28&gt;9999,R28&lt;&gt;INT(R28),S28&lt;1,S28&gt;12,S28&lt;&gt;INT(S28)),"E_INVALID_DATE",""))),IF(N28="YEAR",IF(R28="","E_MISSING_INPUT",IF(NOT(ISNUMBER(R28)),"E_INVALID_DATE",IF(OR(R28&lt;1900,R28&gt;9999,R28&lt;&gt;INT(R28)),"E_INVALID_DATE",""))),IF(N28="RANGE",IF(OR(T28="",U28=""),"E_MISSING_INPUT",IF(OR(NOT(ISNUMBER(T28)),NOT(ISNUMBER(U28))),"E_INVALID_DATE",IF(OR(T28&lt;&gt;INT(T28),U28&lt;&gt;INT(U28)),"E_INVALID_DATE",IF(T28&gt;U28,"E_REVERSED_BOUNDS","")))),"E_MISSING_INPUT")))))))</f>
        <v/>
      </c>
      <c r="X28" s="22">
        <f t="shared" si="0"/>
        <v>0</v>
      </c>
      <c r="Y28" s="22">
        <f t="shared" si="1"/>
        <v>0</v>
      </c>
      <c r="Z28" s="28" t="str">
        <f t="shared" si="2"/>
        <v/>
      </c>
      <c r="AA28" s="28" t="str">
        <f t="shared" si="3"/>
        <v/>
      </c>
      <c r="AB28" s="22" t="str">
        <f t="shared" si="4"/>
        <v/>
      </c>
      <c r="AC28" s="22" t="str">
        <f t="shared" si="5"/>
        <v/>
      </c>
      <c r="AD28" s="15"/>
      <c r="AE28" s="26"/>
      <c r="AF28" s="10"/>
      <c r="AG28" s="10"/>
      <c r="AH28" s="21" t="str">
        <f>IF(COUNTA(AD28:AF28)=0,"",IF(OR(AD28="",AE28="",AF28=""),"E_MISSING_INPUT",IF(OR(NOT(ISNUMBER(AD28)),NOT(ISNUMBER(AE28))),"E_INVALID_DATE",IF(OR(AD28&lt;&gt;INT(AD28),AE28&lt;0,AE28&gt;=1),"E_INVALID_DATE",IF(ISNA(MATCH(AF28,nLIST_Offset,0)),"E_INVALID_DATE","")))))</f>
        <v/>
      </c>
      <c r="AI28" s="22" t="str">
        <f t="shared" si="6"/>
        <v/>
      </c>
      <c r="AJ28" s="22">
        <f t="shared" si="7"/>
        <v>0</v>
      </c>
      <c r="AK28" s="22" t="str">
        <f t="shared" si="8"/>
        <v/>
      </c>
      <c r="AL28" s="21" t="str">
        <f t="shared" si="9"/>
        <v/>
      </c>
      <c r="AM28" s="22">
        <f>IF(AL28="",0,COUNTIF(nADM_Key,AL28))</f>
        <v>0</v>
      </c>
      <c r="AN28" s="21" t="str">
        <f t="shared" si="10"/>
        <v/>
      </c>
      <c r="AO28" s="22">
        <f t="shared" si="11"/>
        <v>0</v>
      </c>
      <c r="AP28" s="22">
        <f t="shared" si="12"/>
        <v>0</v>
      </c>
      <c r="AQ28" s="22">
        <f t="shared" si="13"/>
        <v>0</v>
      </c>
      <c r="AR28" s="22">
        <f t="shared" si="14"/>
        <v>0</v>
      </c>
      <c r="AS28" s="22">
        <f t="shared" si="15"/>
        <v>0</v>
      </c>
      <c r="AT28" s="22">
        <f>ROW()</f>
        <v>28</v>
      </c>
      <c r="AU28" s="21">
        <f t="shared" si="16"/>
        <v>0</v>
      </c>
      <c r="AV28" s="21">
        <f t="shared" si="17"/>
        <v>0</v>
      </c>
      <c r="AW28" s="21">
        <f t="shared" si="18"/>
        <v>0</v>
      </c>
      <c r="AX28" s="22">
        <f t="shared" si="19"/>
        <v>0</v>
      </c>
      <c r="AY28" s="21">
        <f t="shared" si="20"/>
        <v>0</v>
      </c>
      <c r="AZ28" s="21">
        <f t="shared" si="21"/>
        <v>-1</v>
      </c>
      <c r="BA28" s="22">
        <f t="shared" si="22"/>
        <v>0</v>
      </c>
      <c r="BB28" s="22">
        <f t="shared" si="23"/>
        <v>0</v>
      </c>
      <c r="BC28" s="22">
        <f t="shared" si="24"/>
        <v>0</v>
      </c>
      <c r="BD28" s="21">
        <f t="shared" si="25"/>
        <v>0</v>
      </c>
      <c r="BE28" s="21" t="str">
        <f t="shared" si="26"/>
        <v/>
      </c>
      <c r="BF28" s="21" t="str">
        <f t="shared" si="27"/>
        <v/>
      </c>
      <c r="BG28" s="22">
        <f t="shared" si="28"/>
        <v>0</v>
      </c>
      <c r="BH28" s="22">
        <f t="shared" si="29"/>
        <v>0</v>
      </c>
      <c r="BI28" s="22">
        <f t="shared" si="30"/>
        <v>0</v>
      </c>
      <c r="BJ28" s="22">
        <f t="shared" si="31"/>
        <v>0</v>
      </c>
      <c r="BK28" s="22">
        <f t="shared" si="32"/>
        <v>0</v>
      </c>
      <c r="BL28" s="22">
        <f t="shared" si="33"/>
        <v>0</v>
      </c>
      <c r="BM28" s="22">
        <f t="shared" si="34"/>
        <v>0</v>
      </c>
      <c r="BN28" s="22">
        <f t="shared" si="35"/>
        <v>0</v>
      </c>
      <c r="BO28" s="22">
        <f>IF(BG28=0,0,COUNTIFS(nADM_SelKey,AN28,nADM_SegValid,1,nADM_SegS_Loc_n,"&lt;"&amp;BL28,nADM_SegE_Loc_n,"&gt;"&amp;BK28)-IF(BL28&gt;BK28,1,0))</f>
        <v>0</v>
      </c>
      <c r="BP28" s="22">
        <f>IF(BH28=0,0,COUNTIFS(nADM_SelKey,AN28,nADM_SegOK,1,nADM_SegS_UTC_n,"&lt;"&amp;BJ28,nADM_SegE_UTC_n,"&gt;"&amp;BI28)-IF(BJ28&gt;BI28,1,0))</f>
        <v>0</v>
      </c>
      <c r="BQ28" s="21" t="str">
        <f t="shared" si="36"/>
        <v/>
      </c>
      <c r="BR28" s="22">
        <f>IF(C28="",1,IF(COUNTIF(nEXP_Key,AN28)&gt;0,1,0))</f>
        <v>1</v>
      </c>
      <c r="BS28" s="21" t="str">
        <f t="shared" si="37"/>
        <v/>
      </c>
      <c r="BT28" s="21" t="str">
        <f>IF(BS28="","",BS28&amp;": "&amp;SUBSTITUTE(IFERROR(INDEX(nMSG_Text,MATCH(BS28,nMSG_Code,0)),""),"[input]",IF(C28="","an Admin_ID",IF(BR28=0,"an Exposures row for episode "&amp;D28,IF(BQ28&lt;&gt;"","segment start and end timestamps and a rate in mg/hour","the date fields required by the selected precision")))))</f>
        <v/>
      </c>
    </row>
    <row r="29" spans="1:72" x14ac:dyDescent="0.2">
      <c r="A29" s="10"/>
      <c r="B29" s="12"/>
      <c r="C29" s="10"/>
      <c r="D29" s="10"/>
      <c r="E29" s="17"/>
      <c r="F29" s="17"/>
      <c r="G29" s="17"/>
      <c r="H29" s="17"/>
      <c r="I29" s="17"/>
      <c r="J29" s="17"/>
      <c r="K29" s="17"/>
      <c r="L29" s="10"/>
      <c r="M29" s="10"/>
      <c r="N29" s="17"/>
      <c r="O29" s="15"/>
      <c r="P29" s="26"/>
      <c r="Q29" s="10"/>
      <c r="R29" s="12"/>
      <c r="S29" s="12"/>
      <c r="T29" s="15"/>
      <c r="U29" s="15"/>
      <c r="V29" s="10"/>
      <c r="W29" s="21" t="str">
        <f>IF(COUNTA(N29:U29)=0,"",IF(N29="","E_MISSING_INPUT",IF(N29="TIMESTAMP",IF(OR(O29="",P29="",Q29=""),"E_MISSING_INPUT",IF(OR(NOT(ISNUMBER(O29)),NOT(ISNUMBER(P29))),"E_INVALID_DATE",IF(OR(O29&lt;&gt;INT(O29),P29&lt;0,P29&gt;=1),"E_INVALID_DATE",IF(ISNA(MATCH(Q29,nLIST_Offset,0)),"E_INVALID_DATE","")))),IF(N29="DATE",IF(O29="","E_MISSING_INPUT",IF(NOT(ISNUMBER(O29)),"E_INVALID_DATE",IF(O29&lt;&gt;INT(O29),"E_INVALID_DATE",""))),IF(N29="MONTH",IF(OR(R29="",S29=""),"E_MISSING_INPUT",IF(OR(NOT(ISNUMBER(R29)),NOT(ISNUMBER(S29))),"E_INVALID_DATE",IF(OR(R29&lt;1900,R29&gt;9999,R29&lt;&gt;INT(R29),S29&lt;1,S29&gt;12,S29&lt;&gt;INT(S29)),"E_INVALID_DATE",""))),IF(N29="YEAR",IF(R29="","E_MISSING_INPUT",IF(NOT(ISNUMBER(R29)),"E_INVALID_DATE",IF(OR(R29&lt;1900,R29&gt;9999,R29&lt;&gt;INT(R29)),"E_INVALID_DATE",""))),IF(N29="RANGE",IF(OR(T29="",U29=""),"E_MISSING_INPUT",IF(OR(NOT(ISNUMBER(T29)),NOT(ISNUMBER(U29))),"E_INVALID_DATE",IF(OR(T29&lt;&gt;INT(T29),U29&lt;&gt;INT(U29)),"E_INVALID_DATE",IF(T29&gt;U29,"E_REVERSED_BOUNDS","")))),"E_MISSING_INPUT")))))))</f>
        <v/>
      </c>
      <c r="X29" s="22">
        <f t="shared" si="0"/>
        <v>0</v>
      </c>
      <c r="Y29" s="22">
        <f t="shared" si="1"/>
        <v>0</v>
      </c>
      <c r="Z29" s="28" t="str">
        <f t="shared" si="2"/>
        <v/>
      </c>
      <c r="AA29" s="28" t="str">
        <f t="shared" si="3"/>
        <v/>
      </c>
      <c r="AB29" s="22" t="str">
        <f t="shared" si="4"/>
        <v/>
      </c>
      <c r="AC29" s="22" t="str">
        <f t="shared" si="5"/>
        <v/>
      </c>
      <c r="AD29" s="15"/>
      <c r="AE29" s="26"/>
      <c r="AF29" s="10"/>
      <c r="AG29" s="10"/>
      <c r="AH29" s="21" t="str">
        <f>IF(COUNTA(AD29:AF29)=0,"",IF(OR(AD29="",AE29="",AF29=""),"E_MISSING_INPUT",IF(OR(NOT(ISNUMBER(AD29)),NOT(ISNUMBER(AE29))),"E_INVALID_DATE",IF(OR(AD29&lt;&gt;INT(AD29),AE29&lt;0,AE29&gt;=1),"E_INVALID_DATE",IF(ISNA(MATCH(AF29,nLIST_Offset,0)),"E_INVALID_DATE","")))))</f>
        <v/>
      </c>
      <c r="AI29" s="22" t="str">
        <f t="shared" si="6"/>
        <v/>
      </c>
      <c r="AJ29" s="22">
        <f t="shared" si="7"/>
        <v>0</v>
      </c>
      <c r="AK29" s="22" t="str">
        <f t="shared" si="8"/>
        <v/>
      </c>
      <c r="AL29" s="21" t="str">
        <f t="shared" si="9"/>
        <v/>
      </c>
      <c r="AM29" s="22">
        <f>IF(AL29="",0,COUNTIF(nADM_Key,AL29))</f>
        <v>0</v>
      </c>
      <c r="AN29" s="21" t="str">
        <f t="shared" si="10"/>
        <v/>
      </c>
      <c r="AO29" s="22">
        <f t="shared" si="11"/>
        <v>0</v>
      </c>
      <c r="AP29" s="22">
        <f t="shared" si="12"/>
        <v>0</v>
      </c>
      <c r="AQ29" s="22">
        <f t="shared" si="13"/>
        <v>0</v>
      </c>
      <c r="AR29" s="22">
        <f t="shared" si="14"/>
        <v>0</v>
      </c>
      <c r="AS29" s="22">
        <f t="shared" si="15"/>
        <v>0</v>
      </c>
      <c r="AT29" s="22">
        <f>ROW()</f>
        <v>29</v>
      </c>
      <c r="AU29" s="21">
        <f t="shared" si="16"/>
        <v>0</v>
      </c>
      <c r="AV29" s="21">
        <f t="shared" si="17"/>
        <v>0</v>
      </c>
      <c r="AW29" s="21">
        <f t="shared" si="18"/>
        <v>0</v>
      </c>
      <c r="AX29" s="22">
        <f t="shared" si="19"/>
        <v>0</v>
      </c>
      <c r="AY29" s="21">
        <f t="shared" si="20"/>
        <v>0</v>
      </c>
      <c r="AZ29" s="21">
        <f t="shared" si="21"/>
        <v>-1</v>
      </c>
      <c r="BA29" s="22">
        <f t="shared" si="22"/>
        <v>0</v>
      </c>
      <c r="BB29" s="22">
        <f t="shared" si="23"/>
        <v>0</v>
      </c>
      <c r="BC29" s="22">
        <f t="shared" si="24"/>
        <v>0</v>
      </c>
      <c r="BD29" s="21">
        <f t="shared" si="25"/>
        <v>0</v>
      </c>
      <c r="BE29" s="21" t="str">
        <f t="shared" si="26"/>
        <v/>
      </c>
      <c r="BF29" s="21" t="str">
        <f t="shared" si="27"/>
        <v/>
      </c>
      <c r="BG29" s="22">
        <f t="shared" si="28"/>
        <v>0</v>
      </c>
      <c r="BH29" s="22">
        <f t="shared" si="29"/>
        <v>0</v>
      </c>
      <c r="BI29" s="22">
        <f t="shared" si="30"/>
        <v>0</v>
      </c>
      <c r="BJ29" s="22">
        <f t="shared" si="31"/>
        <v>0</v>
      </c>
      <c r="BK29" s="22">
        <f t="shared" si="32"/>
        <v>0</v>
      </c>
      <c r="BL29" s="22">
        <f t="shared" si="33"/>
        <v>0</v>
      </c>
      <c r="BM29" s="22">
        <f t="shared" si="34"/>
        <v>0</v>
      </c>
      <c r="BN29" s="22">
        <f t="shared" si="35"/>
        <v>0</v>
      </c>
      <c r="BO29" s="22">
        <f>IF(BG29=0,0,COUNTIFS(nADM_SelKey,AN29,nADM_SegValid,1,nADM_SegS_Loc_n,"&lt;"&amp;BL29,nADM_SegE_Loc_n,"&gt;"&amp;BK29)-IF(BL29&gt;BK29,1,0))</f>
        <v>0</v>
      </c>
      <c r="BP29" s="22">
        <f>IF(BH29=0,0,COUNTIFS(nADM_SelKey,AN29,nADM_SegOK,1,nADM_SegS_UTC_n,"&lt;"&amp;BJ29,nADM_SegE_UTC_n,"&gt;"&amp;BI29)-IF(BJ29&gt;BI29,1,0))</f>
        <v>0</v>
      </c>
      <c r="BQ29" s="21" t="str">
        <f t="shared" si="36"/>
        <v/>
      </c>
      <c r="BR29" s="22">
        <f>IF(C29="",1,IF(COUNTIF(nEXP_Key,AN29)&gt;0,1,0))</f>
        <v>1</v>
      </c>
      <c r="BS29" s="21" t="str">
        <f t="shared" si="37"/>
        <v/>
      </c>
      <c r="BT29" s="21" t="str">
        <f>IF(BS29="","",BS29&amp;": "&amp;SUBSTITUTE(IFERROR(INDEX(nMSG_Text,MATCH(BS29,nMSG_Code,0)),""),"[input]",IF(C29="","an Admin_ID",IF(BR29=0,"an Exposures row for episode "&amp;D29,IF(BQ29&lt;&gt;"","segment start and end timestamps and a rate in mg/hour","the date fields required by the selected precision")))))</f>
        <v/>
      </c>
    </row>
    <row r="30" spans="1:72" x14ac:dyDescent="0.2">
      <c r="A30" s="10"/>
      <c r="B30" s="12"/>
      <c r="C30" s="10"/>
      <c r="D30" s="10"/>
      <c r="E30" s="17"/>
      <c r="F30" s="17"/>
      <c r="G30" s="17"/>
      <c r="H30" s="17"/>
      <c r="I30" s="17"/>
      <c r="J30" s="17"/>
      <c r="K30" s="17"/>
      <c r="L30" s="10"/>
      <c r="M30" s="10"/>
      <c r="N30" s="17"/>
      <c r="O30" s="15"/>
      <c r="P30" s="26"/>
      <c r="Q30" s="10"/>
      <c r="R30" s="12"/>
      <c r="S30" s="12"/>
      <c r="T30" s="15"/>
      <c r="U30" s="15"/>
      <c r="V30" s="10"/>
      <c r="W30" s="21" t="str">
        <f>IF(COUNTA(N30:U30)=0,"",IF(N30="","E_MISSING_INPUT",IF(N30="TIMESTAMP",IF(OR(O30="",P30="",Q30=""),"E_MISSING_INPUT",IF(OR(NOT(ISNUMBER(O30)),NOT(ISNUMBER(P30))),"E_INVALID_DATE",IF(OR(O30&lt;&gt;INT(O30),P30&lt;0,P30&gt;=1),"E_INVALID_DATE",IF(ISNA(MATCH(Q30,nLIST_Offset,0)),"E_INVALID_DATE","")))),IF(N30="DATE",IF(O30="","E_MISSING_INPUT",IF(NOT(ISNUMBER(O30)),"E_INVALID_DATE",IF(O30&lt;&gt;INT(O30),"E_INVALID_DATE",""))),IF(N30="MONTH",IF(OR(R30="",S30=""),"E_MISSING_INPUT",IF(OR(NOT(ISNUMBER(R30)),NOT(ISNUMBER(S30))),"E_INVALID_DATE",IF(OR(R30&lt;1900,R30&gt;9999,R30&lt;&gt;INT(R30),S30&lt;1,S30&gt;12,S30&lt;&gt;INT(S30)),"E_INVALID_DATE",""))),IF(N30="YEAR",IF(R30="","E_MISSING_INPUT",IF(NOT(ISNUMBER(R30)),"E_INVALID_DATE",IF(OR(R30&lt;1900,R30&gt;9999,R30&lt;&gt;INT(R30)),"E_INVALID_DATE",""))),IF(N30="RANGE",IF(OR(T30="",U30=""),"E_MISSING_INPUT",IF(OR(NOT(ISNUMBER(T30)),NOT(ISNUMBER(U30))),"E_INVALID_DATE",IF(OR(T30&lt;&gt;INT(T30),U30&lt;&gt;INT(U30)),"E_INVALID_DATE",IF(T30&gt;U30,"E_REVERSED_BOUNDS","")))),"E_MISSING_INPUT")))))))</f>
        <v/>
      </c>
      <c r="X30" s="22">
        <f t="shared" si="0"/>
        <v>0</v>
      </c>
      <c r="Y30" s="22">
        <f t="shared" si="1"/>
        <v>0</v>
      </c>
      <c r="Z30" s="28" t="str">
        <f t="shared" si="2"/>
        <v/>
      </c>
      <c r="AA30" s="28" t="str">
        <f t="shared" si="3"/>
        <v/>
      </c>
      <c r="AB30" s="22" t="str">
        <f t="shared" si="4"/>
        <v/>
      </c>
      <c r="AC30" s="22" t="str">
        <f t="shared" si="5"/>
        <v/>
      </c>
      <c r="AD30" s="15"/>
      <c r="AE30" s="26"/>
      <c r="AF30" s="10"/>
      <c r="AG30" s="10"/>
      <c r="AH30" s="21" t="str">
        <f>IF(COUNTA(AD30:AF30)=0,"",IF(OR(AD30="",AE30="",AF30=""),"E_MISSING_INPUT",IF(OR(NOT(ISNUMBER(AD30)),NOT(ISNUMBER(AE30))),"E_INVALID_DATE",IF(OR(AD30&lt;&gt;INT(AD30),AE30&lt;0,AE30&gt;=1),"E_INVALID_DATE",IF(ISNA(MATCH(AF30,nLIST_Offset,0)),"E_INVALID_DATE","")))))</f>
        <v/>
      </c>
      <c r="AI30" s="22" t="str">
        <f t="shared" si="6"/>
        <v/>
      </c>
      <c r="AJ30" s="22">
        <f t="shared" si="7"/>
        <v>0</v>
      </c>
      <c r="AK30" s="22" t="str">
        <f t="shared" si="8"/>
        <v/>
      </c>
      <c r="AL30" s="21" t="str">
        <f t="shared" si="9"/>
        <v/>
      </c>
      <c r="AM30" s="22">
        <f>IF(AL30="",0,COUNTIF(nADM_Key,AL30))</f>
        <v>0</v>
      </c>
      <c r="AN30" s="21" t="str">
        <f t="shared" si="10"/>
        <v/>
      </c>
      <c r="AO30" s="22">
        <f t="shared" si="11"/>
        <v>0</v>
      </c>
      <c r="AP30" s="22">
        <f t="shared" si="12"/>
        <v>0</v>
      </c>
      <c r="AQ30" s="22">
        <f t="shared" si="13"/>
        <v>0</v>
      </c>
      <c r="AR30" s="22">
        <f t="shared" si="14"/>
        <v>0</v>
      </c>
      <c r="AS30" s="22">
        <f t="shared" si="15"/>
        <v>0</v>
      </c>
      <c r="AT30" s="22">
        <f>ROW()</f>
        <v>30</v>
      </c>
      <c r="AU30" s="21">
        <f t="shared" si="16"/>
        <v>0</v>
      </c>
      <c r="AV30" s="21">
        <f t="shared" si="17"/>
        <v>0</v>
      </c>
      <c r="AW30" s="21">
        <f t="shared" si="18"/>
        <v>0</v>
      </c>
      <c r="AX30" s="22">
        <f t="shared" si="19"/>
        <v>0</v>
      </c>
      <c r="AY30" s="21">
        <f t="shared" si="20"/>
        <v>0</v>
      </c>
      <c r="AZ30" s="21">
        <f t="shared" si="21"/>
        <v>-1</v>
      </c>
      <c r="BA30" s="22">
        <f t="shared" si="22"/>
        <v>0</v>
      </c>
      <c r="BB30" s="22">
        <f t="shared" si="23"/>
        <v>0</v>
      </c>
      <c r="BC30" s="22">
        <f t="shared" si="24"/>
        <v>0</v>
      </c>
      <c r="BD30" s="21">
        <f t="shared" si="25"/>
        <v>0</v>
      </c>
      <c r="BE30" s="21" t="str">
        <f t="shared" si="26"/>
        <v/>
      </c>
      <c r="BF30" s="21" t="str">
        <f t="shared" si="27"/>
        <v/>
      </c>
      <c r="BG30" s="22">
        <f t="shared" si="28"/>
        <v>0</v>
      </c>
      <c r="BH30" s="22">
        <f t="shared" si="29"/>
        <v>0</v>
      </c>
      <c r="BI30" s="22">
        <f t="shared" si="30"/>
        <v>0</v>
      </c>
      <c r="BJ30" s="22">
        <f t="shared" si="31"/>
        <v>0</v>
      </c>
      <c r="BK30" s="22">
        <f t="shared" si="32"/>
        <v>0</v>
      </c>
      <c r="BL30" s="22">
        <f t="shared" si="33"/>
        <v>0</v>
      </c>
      <c r="BM30" s="22">
        <f t="shared" si="34"/>
        <v>0</v>
      </c>
      <c r="BN30" s="22">
        <f t="shared" si="35"/>
        <v>0</v>
      </c>
      <c r="BO30" s="22">
        <f>IF(BG30=0,0,COUNTIFS(nADM_SelKey,AN30,nADM_SegValid,1,nADM_SegS_Loc_n,"&lt;"&amp;BL30,nADM_SegE_Loc_n,"&gt;"&amp;BK30)-IF(BL30&gt;BK30,1,0))</f>
        <v>0</v>
      </c>
      <c r="BP30" s="22">
        <f>IF(BH30=0,0,COUNTIFS(nADM_SelKey,AN30,nADM_SegOK,1,nADM_SegS_UTC_n,"&lt;"&amp;BJ30,nADM_SegE_UTC_n,"&gt;"&amp;BI30)-IF(BJ30&gt;BI30,1,0))</f>
        <v>0</v>
      </c>
      <c r="BQ30" s="21" t="str">
        <f t="shared" si="36"/>
        <v/>
      </c>
      <c r="BR30" s="22">
        <f>IF(C30="",1,IF(COUNTIF(nEXP_Key,AN30)&gt;0,1,0))</f>
        <v>1</v>
      </c>
      <c r="BS30" s="21" t="str">
        <f t="shared" si="37"/>
        <v/>
      </c>
      <c r="BT30" s="21" t="str">
        <f>IF(BS30="","",BS30&amp;": "&amp;SUBSTITUTE(IFERROR(INDEX(nMSG_Text,MATCH(BS30,nMSG_Code,0)),""),"[input]",IF(C30="","an Admin_ID",IF(BR30=0,"an Exposures row for episode "&amp;D30,IF(BQ30&lt;&gt;"","segment start and end timestamps and a rate in mg/hour","the date fields required by the selected precision")))))</f>
        <v/>
      </c>
    </row>
    <row r="31" spans="1:72" x14ac:dyDescent="0.2">
      <c r="A31" s="10"/>
      <c r="B31" s="12"/>
      <c r="C31" s="10"/>
      <c r="D31" s="10"/>
      <c r="E31" s="17"/>
      <c r="F31" s="17"/>
      <c r="G31" s="17"/>
      <c r="H31" s="17"/>
      <c r="I31" s="17"/>
      <c r="J31" s="17"/>
      <c r="K31" s="17"/>
      <c r="L31" s="10"/>
      <c r="M31" s="10"/>
      <c r="N31" s="17"/>
      <c r="O31" s="15"/>
      <c r="P31" s="26"/>
      <c r="Q31" s="10"/>
      <c r="R31" s="12"/>
      <c r="S31" s="12"/>
      <c r="T31" s="15"/>
      <c r="U31" s="15"/>
      <c r="V31" s="10"/>
      <c r="W31" s="21" t="str">
        <f>IF(COUNTA(N31:U31)=0,"",IF(N31="","E_MISSING_INPUT",IF(N31="TIMESTAMP",IF(OR(O31="",P31="",Q31=""),"E_MISSING_INPUT",IF(OR(NOT(ISNUMBER(O31)),NOT(ISNUMBER(P31))),"E_INVALID_DATE",IF(OR(O31&lt;&gt;INT(O31),P31&lt;0,P31&gt;=1),"E_INVALID_DATE",IF(ISNA(MATCH(Q31,nLIST_Offset,0)),"E_INVALID_DATE","")))),IF(N31="DATE",IF(O31="","E_MISSING_INPUT",IF(NOT(ISNUMBER(O31)),"E_INVALID_DATE",IF(O31&lt;&gt;INT(O31),"E_INVALID_DATE",""))),IF(N31="MONTH",IF(OR(R31="",S31=""),"E_MISSING_INPUT",IF(OR(NOT(ISNUMBER(R31)),NOT(ISNUMBER(S31))),"E_INVALID_DATE",IF(OR(R31&lt;1900,R31&gt;9999,R31&lt;&gt;INT(R31),S31&lt;1,S31&gt;12,S31&lt;&gt;INT(S31)),"E_INVALID_DATE",""))),IF(N31="YEAR",IF(R31="","E_MISSING_INPUT",IF(NOT(ISNUMBER(R31)),"E_INVALID_DATE",IF(OR(R31&lt;1900,R31&gt;9999,R31&lt;&gt;INT(R31)),"E_INVALID_DATE",""))),IF(N31="RANGE",IF(OR(T31="",U31=""),"E_MISSING_INPUT",IF(OR(NOT(ISNUMBER(T31)),NOT(ISNUMBER(U31))),"E_INVALID_DATE",IF(OR(T31&lt;&gt;INT(T31),U31&lt;&gt;INT(U31)),"E_INVALID_DATE",IF(T31&gt;U31,"E_REVERSED_BOUNDS","")))),"E_MISSING_INPUT")))))))</f>
        <v/>
      </c>
      <c r="X31" s="22">
        <f t="shared" si="0"/>
        <v>0</v>
      </c>
      <c r="Y31" s="22">
        <f t="shared" si="1"/>
        <v>0</v>
      </c>
      <c r="Z31" s="28" t="str">
        <f t="shared" si="2"/>
        <v/>
      </c>
      <c r="AA31" s="28" t="str">
        <f t="shared" si="3"/>
        <v/>
      </c>
      <c r="AB31" s="22" t="str">
        <f t="shared" si="4"/>
        <v/>
      </c>
      <c r="AC31" s="22" t="str">
        <f t="shared" si="5"/>
        <v/>
      </c>
      <c r="AD31" s="15"/>
      <c r="AE31" s="26"/>
      <c r="AF31" s="10"/>
      <c r="AG31" s="10"/>
      <c r="AH31" s="21" t="str">
        <f>IF(COUNTA(AD31:AF31)=0,"",IF(OR(AD31="",AE31="",AF31=""),"E_MISSING_INPUT",IF(OR(NOT(ISNUMBER(AD31)),NOT(ISNUMBER(AE31))),"E_INVALID_DATE",IF(OR(AD31&lt;&gt;INT(AD31),AE31&lt;0,AE31&gt;=1),"E_INVALID_DATE",IF(ISNA(MATCH(AF31,nLIST_Offset,0)),"E_INVALID_DATE","")))))</f>
        <v/>
      </c>
      <c r="AI31" s="22" t="str">
        <f t="shared" si="6"/>
        <v/>
      </c>
      <c r="AJ31" s="22">
        <f t="shared" si="7"/>
        <v>0</v>
      </c>
      <c r="AK31" s="22" t="str">
        <f t="shared" si="8"/>
        <v/>
      </c>
      <c r="AL31" s="21" t="str">
        <f t="shared" si="9"/>
        <v/>
      </c>
      <c r="AM31" s="22">
        <f>IF(AL31="",0,COUNTIF(nADM_Key,AL31))</f>
        <v>0</v>
      </c>
      <c r="AN31" s="21" t="str">
        <f t="shared" si="10"/>
        <v/>
      </c>
      <c r="AO31" s="22">
        <f t="shared" si="11"/>
        <v>0</v>
      </c>
      <c r="AP31" s="22">
        <f t="shared" si="12"/>
        <v>0</v>
      </c>
      <c r="AQ31" s="22">
        <f t="shared" si="13"/>
        <v>0</v>
      </c>
      <c r="AR31" s="22">
        <f t="shared" si="14"/>
        <v>0</v>
      </c>
      <c r="AS31" s="22">
        <f t="shared" si="15"/>
        <v>0</v>
      </c>
      <c r="AT31" s="22">
        <f>ROW()</f>
        <v>31</v>
      </c>
      <c r="AU31" s="21">
        <f t="shared" si="16"/>
        <v>0</v>
      </c>
      <c r="AV31" s="21">
        <f t="shared" si="17"/>
        <v>0</v>
      </c>
      <c r="AW31" s="21">
        <f t="shared" si="18"/>
        <v>0</v>
      </c>
      <c r="AX31" s="22">
        <f t="shared" si="19"/>
        <v>0</v>
      </c>
      <c r="AY31" s="21">
        <f t="shared" si="20"/>
        <v>0</v>
      </c>
      <c r="AZ31" s="21">
        <f t="shared" si="21"/>
        <v>-1</v>
      </c>
      <c r="BA31" s="22">
        <f t="shared" si="22"/>
        <v>0</v>
      </c>
      <c r="BB31" s="22">
        <f t="shared" si="23"/>
        <v>0</v>
      </c>
      <c r="BC31" s="22">
        <f t="shared" si="24"/>
        <v>0</v>
      </c>
      <c r="BD31" s="21">
        <f t="shared" si="25"/>
        <v>0</v>
      </c>
      <c r="BE31" s="21" t="str">
        <f t="shared" si="26"/>
        <v/>
      </c>
      <c r="BF31" s="21" t="str">
        <f t="shared" si="27"/>
        <v/>
      </c>
      <c r="BG31" s="22">
        <f t="shared" si="28"/>
        <v>0</v>
      </c>
      <c r="BH31" s="22">
        <f t="shared" si="29"/>
        <v>0</v>
      </c>
      <c r="BI31" s="22">
        <f t="shared" si="30"/>
        <v>0</v>
      </c>
      <c r="BJ31" s="22">
        <f t="shared" si="31"/>
        <v>0</v>
      </c>
      <c r="BK31" s="22">
        <f t="shared" si="32"/>
        <v>0</v>
      </c>
      <c r="BL31" s="22">
        <f t="shared" si="33"/>
        <v>0</v>
      </c>
      <c r="BM31" s="22">
        <f t="shared" si="34"/>
        <v>0</v>
      </c>
      <c r="BN31" s="22">
        <f t="shared" si="35"/>
        <v>0</v>
      </c>
      <c r="BO31" s="22">
        <f>IF(BG31=0,0,COUNTIFS(nADM_SelKey,AN31,nADM_SegValid,1,nADM_SegS_Loc_n,"&lt;"&amp;BL31,nADM_SegE_Loc_n,"&gt;"&amp;BK31)-IF(BL31&gt;BK31,1,0))</f>
        <v>0</v>
      </c>
      <c r="BP31" s="22">
        <f>IF(BH31=0,0,COUNTIFS(nADM_SelKey,AN31,nADM_SegOK,1,nADM_SegS_UTC_n,"&lt;"&amp;BJ31,nADM_SegE_UTC_n,"&gt;"&amp;BI31)-IF(BJ31&gt;BI31,1,0))</f>
        <v>0</v>
      </c>
      <c r="BQ31" s="21" t="str">
        <f t="shared" si="36"/>
        <v/>
      </c>
      <c r="BR31" s="22">
        <f>IF(C31="",1,IF(COUNTIF(nEXP_Key,AN31)&gt;0,1,0))</f>
        <v>1</v>
      </c>
      <c r="BS31" s="21" t="str">
        <f t="shared" si="37"/>
        <v/>
      </c>
      <c r="BT31" s="21" t="str">
        <f>IF(BS31="","",BS31&amp;": "&amp;SUBSTITUTE(IFERROR(INDEX(nMSG_Text,MATCH(BS31,nMSG_Code,0)),""),"[input]",IF(C31="","an Admin_ID",IF(BR31=0,"an Exposures row for episode "&amp;D31,IF(BQ31&lt;&gt;"","segment start and end timestamps and a rate in mg/hour","the date fields required by the selected precision")))))</f>
        <v/>
      </c>
    </row>
    <row r="32" spans="1:72" x14ac:dyDescent="0.2">
      <c r="A32" s="10"/>
      <c r="B32" s="12"/>
      <c r="C32" s="10"/>
      <c r="D32" s="10"/>
      <c r="E32" s="17"/>
      <c r="F32" s="17"/>
      <c r="G32" s="17"/>
      <c r="H32" s="17"/>
      <c r="I32" s="17"/>
      <c r="J32" s="17"/>
      <c r="K32" s="17"/>
      <c r="L32" s="10"/>
      <c r="M32" s="10"/>
      <c r="N32" s="17"/>
      <c r="O32" s="15"/>
      <c r="P32" s="26"/>
      <c r="Q32" s="10"/>
      <c r="R32" s="12"/>
      <c r="S32" s="12"/>
      <c r="T32" s="15"/>
      <c r="U32" s="15"/>
      <c r="V32" s="10"/>
      <c r="W32" s="21" t="str">
        <f>IF(COUNTA(N32:U32)=0,"",IF(N32="","E_MISSING_INPUT",IF(N32="TIMESTAMP",IF(OR(O32="",P32="",Q32=""),"E_MISSING_INPUT",IF(OR(NOT(ISNUMBER(O32)),NOT(ISNUMBER(P32))),"E_INVALID_DATE",IF(OR(O32&lt;&gt;INT(O32),P32&lt;0,P32&gt;=1),"E_INVALID_DATE",IF(ISNA(MATCH(Q32,nLIST_Offset,0)),"E_INVALID_DATE","")))),IF(N32="DATE",IF(O32="","E_MISSING_INPUT",IF(NOT(ISNUMBER(O32)),"E_INVALID_DATE",IF(O32&lt;&gt;INT(O32),"E_INVALID_DATE",""))),IF(N32="MONTH",IF(OR(R32="",S32=""),"E_MISSING_INPUT",IF(OR(NOT(ISNUMBER(R32)),NOT(ISNUMBER(S32))),"E_INVALID_DATE",IF(OR(R32&lt;1900,R32&gt;9999,R32&lt;&gt;INT(R32),S32&lt;1,S32&gt;12,S32&lt;&gt;INT(S32)),"E_INVALID_DATE",""))),IF(N32="YEAR",IF(R32="","E_MISSING_INPUT",IF(NOT(ISNUMBER(R32)),"E_INVALID_DATE",IF(OR(R32&lt;1900,R32&gt;9999,R32&lt;&gt;INT(R32)),"E_INVALID_DATE",""))),IF(N32="RANGE",IF(OR(T32="",U32=""),"E_MISSING_INPUT",IF(OR(NOT(ISNUMBER(T32)),NOT(ISNUMBER(U32))),"E_INVALID_DATE",IF(OR(T32&lt;&gt;INT(T32),U32&lt;&gt;INT(U32)),"E_INVALID_DATE",IF(T32&gt;U32,"E_REVERSED_BOUNDS","")))),"E_MISSING_INPUT")))))))</f>
        <v/>
      </c>
      <c r="X32" s="22">
        <f t="shared" si="0"/>
        <v>0</v>
      </c>
      <c r="Y32" s="22">
        <f t="shared" si="1"/>
        <v>0</v>
      </c>
      <c r="Z32" s="28" t="str">
        <f t="shared" si="2"/>
        <v/>
      </c>
      <c r="AA32" s="28" t="str">
        <f t="shared" si="3"/>
        <v/>
      </c>
      <c r="AB32" s="22" t="str">
        <f t="shared" si="4"/>
        <v/>
      </c>
      <c r="AC32" s="22" t="str">
        <f t="shared" si="5"/>
        <v/>
      </c>
      <c r="AD32" s="15"/>
      <c r="AE32" s="26"/>
      <c r="AF32" s="10"/>
      <c r="AG32" s="10"/>
      <c r="AH32" s="21" t="str">
        <f>IF(COUNTA(AD32:AF32)=0,"",IF(OR(AD32="",AE32="",AF32=""),"E_MISSING_INPUT",IF(OR(NOT(ISNUMBER(AD32)),NOT(ISNUMBER(AE32))),"E_INVALID_DATE",IF(OR(AD32&lt;&gt;INT(AD32),AE32&lt;0,AE32&gt;=1),"E_INVALID_DATE",IF(ISNA(MATCH(AF32,nLIST_Offset,0)),"E_INVALID_DATE","")))))</f>
        <v/>
      </c>
      <c r="AI32" s="22" t="str">
        <f t="shared" si="6"/>
        <v/>
      </c>
      <c r="AJ32" s="22">
        <f t="shared" si="7"/>
        <v>0</v>
      </c>
      <c r="AK32" s="22" t="str">
        <f t="shared" si="8"/>
        <v/>
      </c>
      <c r="AL32" s="21" t="str">
        <f t="shared" si="9"/>
        <v/>
      </c>
      <c r="AM32" s="22">
        <f>IF(AL32="",0,COUNTIF(nADM_Key,AL32))</f>
        <v>0</v>
      </c>
      <c r="AN32" s="21" t="str">
        <f t="shared" si="10"/>
        <v/>
      </c>
      <c r="AO32" s="22">
        <f t="shared" si="11"/>
        <v>0</v>
      </c>
      <c r="AP32" s="22">
        <f t="shared" si="12"/>
        <v>0</v>
      </c>
      <c r="AQ32" s="22">
        <f t="shared" si="13"/>
        <v>0</v>
      </c>
      <c r="AR32" s="22">
        <f t="shared" si="14"/>
        <v>0</v>
      </c>
      <c r="AS32" s="22">
        <f t="shared" si="15"/>
        <v>0</v>
      </c>
      <c r="AT32" s="22">
        <f>ROW()</f>
        <v>32</v>
      </c>
      <c r="AU32" s="21">
        <f t="shared" si="16"/>
        <v>0</v>
      </c>
      <c r="AV32" s="21">
        <f t="shared" si="17"/>
        <v>0</v>
      </c>
      <c r="AW32" s="21">
        <f t="shared" si="18"/>
        <v>0</v>
      </c>
      <c r="AX32" s="22">
        <f t="shared" si="19"/>
        <v>0</v>
      </c>
      <c r="AY32" s="21">
        <f t="shared" si="20"/>
        <v>0</v>
      </c>
      <c r="AZ32" s="21">
        <f t="shared" si="21"/>
        <v>-1</v>
      </c>
      <c r="BA32" s="22">
        <f t="shared" si="22"/>
        <v>0</v>
      </c>
      <c r="BB32" s="22">
        <f t="shared" si="23"/>
        <v>0</v>
      </c>
      <c r="BC32" s="22">
        <f t="shared" si="24"/>
        <v>0</v>
      </c>
      <c r="BD32" s="21">
        <f t="shared" si="25"/>
        <v>0</v>
      </c>
      <c r="BE32" s="21" t="str">
        <f t="shared" si="26"/>
        <v/>
      </c>
      <c r="BF32" s="21" t="str">
        <f t="shared" si="27"/>
        <v/>
      </c>
      <c r="BG32" s="22">
        <f t="shared" si="28"/>
        <v>0</v>
      </c>
      <c r="BH32" s="22">
        <f t="shared" si="29"/>
        <v>0</v>
      </c>
      <c r="BI32" s="22">
        <f t="shared" si="30"/>
        <v>0</v>
      </c>
      <c r="BJ32" s="22">
        <f t="shared" si="31"/>
        <v>0</v>
      </c>
      <c r="BK32" s="22">
        <f t="shared" si="32"/>
        <v>0</v>
      </c>
      <c r="BL32" s="22">
        <f t="shared" si="33"/>
        <v>0</v>
      </c>
      <c r="BM32" s="22">
        <f t="shared" si="34"/>
        <v>0</v>
      </c>
      <c r="BN32" s="22">
        <f t="shared" si="35"/>
        <v>0</v>
      </c>
      <c r="BO32" s="22">
        <f>IF(BG32=0,0,COUNTIFS(nADM_SelKey,AN32,nADM_SegValid,1,nADM_SegS_Loc_n,"&lt;"&amp;BL32,nADM_SegE_Loc_n,"&gt;"&amp;BK32)-IF(BL32&gt;BK32,1,0))</f>
        <v>0</v>
      </c>
      <c r="BP32" s="22">
        <f>IF(BH32=0,0,COUNTIFS(nADM_SelKey,AN32,nADM_SegOK,1,nADM_SegS_UTC_n,"&lt;"&amp;BJ32,nADM_SegE_UTC_n,"&gt;"&amp;BI32)-IF(BJ32&gt;BI32,1,0))</f>
        <v>0</v>
      </c>
      <c r="BQ32" s="21" t="str">
        <f t="shared" si="36"/>
        <v/>
      </c>
      <c r="BR32" s="22">
        <f>IF(C32="",1,IF(COUNTIF(nEXP_Key,AN32)&gt;0,1,0))</f>
        <v>1</v>
      </c>
      <c r="BS32" s="21" t="str">
        <f t="shared" si="37"/>
        <v/>
      </c>
      <c r="BT32" s="21" t="str">
        <f>IF(BS32="","",BS32&amp;": "&amp;SUBSTITUTE(IFERROR(INDEX(nMSG_Text,MATCH(BS32,nMSG_Code,0)),""),"[input]",IF(C32="","an Admin_ID",IF(BR32=0,"an Exposures row for episode "&amp;D32,IF(BQ32&lt;&gt;"","segment start and end timestamps and a rate in mg/hour","the date fields required by the selected precision")))))</f>
        <v/>
      </c>
    </row>
    <row r="33" spans="1:72" x14ac:dyDescent="0.2">
      <c r="A33" s="10"/>
      <c r="B33" s="12"/>
      <c r="C33" s="10"/>
      <c r="D33" s="10"/>
      <c r="E33" s="17"/>
      <c r="F33" s="17"/>
      <c r="G33" s="17"/>
      <c r="H33" s="17"/>
      <c r="I33" s="17"/>
      <c r="J33" s="17"/>
      <c r="K33" s="17"/>
      <c r="L33" s="10"/>
      <c r="M33" s="10"/>
      <c r="N33" s="17"/>
      <c r="O33" s="15"/>
      <c r="P33" s="26"/>
      <c r="Q33" s="10"/>
      <c r="R33" s="12"/>
      <c r="S33" s="12"/>
      <c r="T33" s="15"/>
      <c r="U33" s="15"/>
      <c r="V33" s="10"/>
      <c r="W33" s="21" t="str">
        <f>IF(COUNTA(N33:U33)=0,"",IF(N33="","E_MISSING_INPUT",IF(N33="TIMESTAMP",IF(OR(O33="",P33="",Q33=""),"E_MISSING_INPUT",IF(OR(NOT(ISNUMBER(O33)),NOT(ISNUMBER(P33))),"E_INVALID_DATE",IF(OR(O33&lt;&gt;INT(O33),P33&lt;0,P33&gt;=1),"E_INVALID_DATE",IF(ISNA(MATCH(Q33,nLIST_Offset,0)),"E_INVALID_DATE","")))),IF(N33="DATE",IF(O33="","E_MISSING_INPUT",IF(NOT(ISNUMBER(O33)),"E_INVALID_DATE",IF(O33&lt;&gt;INT(O33),"E_INVALID_DATE",""))),IF(N33="MONTH",IF(OR(R33="",S33=""),"E_MISSING_INPUT",IF(OR(NOT(ISNUMBER(R33)),NOT(ISNUMBER(S33))),"E_INVALID_DATE",IF(OR(R33&lt;1900,R33&gt;9999,R33&lt;&gt;INT(R33),S33&lt;1,S33&gt;12,S33&lt;&gt;INT(S33)),"E_INVALID_DATE",""))),IF(N33="YEAR",IF(R33="","E_MISSING_INPUT",IF(NOT(ISNUMBER(R33)),"E_INVALID_DATE",IF(OR(R33&lt;1900,R33&gt;9999,R33&lt;&gt;INT(R33)),"E_INVALID_DATE",""))),IF(N33="RANGE",IF(OR(T33="",U33=""),"E_MISSING_INPUT",IF(OR(NOT(ISNUMBER(T33)),NOT(ISNUMBER(U33))),"E_INVALID_DATE",IF(OR(T33&lt;&gt;INT(T33),U33&lt;&gt;INT(U33)),"E_INVALID_DATE",IF(T33&gt;U33,"E_REVERSED_BOUNDS","")))),"E_MISSING_INPUT")))))))</f>
        <v/>
      </c>
      <c r="X33" s="22">
        <f t="shared" si="0"/>
        <v>0</v>
      </c>
      <c r="Y33" s="22">
        <f t="shared" si="1"/>
        <v>0</v>
      </c>
      <c r="Z33" s="28" t="str">
        <f t="shared" si="2"/>
        <v/>
      </c>
      <c r="AA33" s="28" t="str">
        <f t="shared" si="3"/>
        <v/>
      </c>
      <c r="AB33" s="22" t="str">
        <f t="shared" si="4"/>
        <v/>
      </c>
      <c r="AC33" s="22" t="str">
        <f t="shared" si="5"/>
        <v/>
      </c>
      <c r="AD33" s="15"/>
      <c r="AE33" s="26"/>
      <c r="AF33" s="10"/>
      <c r="AG33" s="10"/>
      <c r="AH33" s="21" t="str">
        <f>IF(COUNTA(AD33:AF33)=0,"",IF(OR(AD33="",AE33="",AF33=""),"E_MISSING_INPUT",IF(OR(NOT(ISNUMBER(AD33)),NOT(ISNUMBER(AE33))),"E_INVALID_DATE",IF(OR(AD33&lt;&gt;INT(AD33),AE33&lt;0,AE33&gt;=1),"E_INVALID_DATE",IF(ISNA(MATCH(AF33,nLIST_Offset,0)),"E_INVALID_DATE","")))))</f>
        <v/>
      </c>
      <c r="AI33" s="22" t="str">
        <f t="shared" si="6"/>
        <v/>
      </c>
      <c r="AJ33" s="22">
        <f t="shared" si="7"/>
        <v>0</v>
      </c>
      <c r="AK33" s="22" t="str">
        <f t="shared" si="8"/>
        <v/>
      </c>
      <c r="AL33" s="21" t="str">
        <f t="shared" si="9"/>
        <v/>
      </c>
      <c r="AM33" s="22">
        <f>IF(AL33="",0,COUNTIF(nADM_Key,AL33))</f>
        <v>0</v>
      </c>
      <c r="AN33" s="21" t="str">
        <f t="shared" si="10"/>
        <v/>
      </c>
      <c r="AO33" s="22">
        <f t="shared" si="11"/>
        <v>0</v>
      </c>
      <c r="AP33" s="22">
        <f t="shared" si="12"/>
        <v>0</v>
      </c>
      <c r="AQ33" s="22">
        <f t="shared" si="13"/>
        <v>0</v>
      </c>
      <c r="AR33" s="22">
        <f t="shared" si="14"/>
        <v>0</v>
      </c>
      <c r="AS33" s="22">
        <f t="shared" si="15"/>
        <v>0</v>
      </c>
      <c r="AT33" s="22">
        <f>ROW()</f>
        <v>33</v>
      </c>
      <c r="AU33" s="21">
        <f t="shared" si="16"/>
        <v>0</v>
      </c>
      <c r="AV33" s="21">
        <f t="shared" si="17"/>
        <v>0</v>
      </c>
      <c r="AW33" s="21">
        <f t="shared" si="18"/>
        <v>0</v>
      </c>
      <c r="AX33" s="22">
        <f t="shared" si="19"/>
        <v>0</v>
      </c>
      <c r="AY33" s="21">
        <f t="shared" si="20"/>
        <v>0</v>
      </c>
      <c r="AZ33" s="21">
        <f t="shared" si="21"/>
        <v>-1</v>
      </c>
      <c r="BA33" s="22">
        <f t="shared" si="22"/>
        <v>0</v>
      </c>
      <c r="BB33" s="22">
        <f t="shared" si="23"/>
        <v>0</v>
      </c>
      <c r="BC33" s="22">
        <f t="shared" si="24"/>
        <v>0</v>
      </c>
      <c r="BD33" s="21">
        <f t="shared" si="25"/>
        <v>0</v>
      </c>
      <c r="BE33" s="21" t="str">
        <f t="shared" si="26"/>
        <v/>
      </c>
      <c r="BF33" s="21" t="str">
        <f t="shared" si="27"/>
        <v/>
      </c>
      <c r="BG33" s="22">
        <f t="shared" si="28"/>
        <v>0</v>
      </c>
      <c r="BH33" s="22">
        <f t="shared" si="29"/>
        <v>0</v>
      </c>
      <c r="BI33" s="22">
        <f t="shared" si="30"/>
        <v>0</v>
      </c>
      <c r="BJ33" s="22">
        <f t="shared" si="31"/>
        <v>0</v>
      </c>
      <c r="BK33" s="22">
        <f t="shared" si="32"/>
        <v>0</v>
      </c>
      <c r="BL33" s="22">
        <f t="shared" si="33"/>
        <v>0</v>
      </c>
      <c r="BM33" s="22">
        <f t="shared" si="34"/>
        <v>0</v>
      </c>
      <c r="BN33" s="22">
        <f t="shared" si="35"/>
        <v>0</v>
      </c>
      <c r="BO33" s="22">
        <f>IF(BG33=0,0,COUNTIFS(nADM_SelKey,AN33,nADM_SegValid,1,nADM_SegS_Loc_n,"&lt;"&amp;BL33,nADM_SegE_Loc_n,"&gt;"&amp;BK33)-IF(BL33&gt;BK33,1,0))</f>
        <v>0</v>
      </c>
      <c r="BP33" s="22">
        <f>IF(BH33=0,0,COUNTIFS(nADM_SelKey,AN33,nADM_SegOK,1,nADM_SegS_UTC_n,"&lt;"&amp;BJ33,nADM_SegE_UTC_n,"&gt;"&amp;BI33)-IF(BJ33&gt;BI33,1,0))</f>
        <v>0</v>
      </c>
      <c r="BQ33" s="21" t="str">
        <f t="shared" si="36"/>
        <v/>
      </c>
      <c r="BR33" s="22">
        <f>IF(C33="",1,IF(COUNTIF(nEXP_Key,AN33)&gt;0,1,0))</f>
        <v>1</v>
      </c>
      <c r="BS33" s="21" t="str">
        <f t="shared" si="37"/>
        <v/>
      </c>
      <c r="BT33" s="21" t="str">
        <f>IF(BS33="","",BS33&amp;": "&amp;SUBSTITUTE(IFERROR(INDEX(nMSG_Text,MATCH(BS33,nMSG_Code,0)),""),"[input]",IF(C33="","an Admin_ID",IF(BR33=0,"an Exposures row for episode "&amp;D33,IF(BQ33&lt;&gt;"","segment start and end timestamps and a rate in mg/hour","the date fields required by the selected precision")))))</f>
        <v/>
      </c>
    </row>
    <row r="34" spans="1:72" x14ac:dyDescent="0.2">
      <c r="A34" s="10"/>
      <c r="B34" s="12"/>
      <c r="C34" s="10"/>
      <c r="D34" s="10"/>
      <c r="E34" s="17"/>
      <c r="F34" s="17"/>
      <c r="G34" s="17"/>
      <c r="H34" s="17"/>
      <c r="I34" s="17"/>
      <c r="J34" s="17"/>
      <c r="K34" s="17"/>
      <c r="L34" s="10"/>
      <c r="M34" s="10"/>
      <c r="N34" s="17"/>
      <c r="O34" s="15"/>
      <c r="P34" s="26"/>
      <c r="Q34" s="10"/>
      <c r="R34" s="12"/>
      <c r="S34" s="12"/>
      <c r="T34" s="15"/>
      <c r="U34" s="15"/>
      <c r="V34" s="10"/>
      <c r="W34" s="21" t="str">
        <f>IF(COUNTA(N34:U34)=0,"",IF(N34="","E_MISSING_INPUT",IF(N34="TIMESTAMP",IF(OR(O34="",P34="",Q34=""),"E_MISSING_INPUT",IF(OR(NOT(ISNUMBER(O34)),NOT(ISNUMBER(P34))),"E_INVALID_DATE",IF(OR(O34&lt;&gt;INT(O34),P34&lt;0,P34&gt;=1),"E_INVALID_DATE",IF(ISNA(MATCH(Q34,nLIST_Offset,0)),"E_INVALID_DATE","")))),IF(N34="DATE",IF(O34="","E_MISSING_INPUT",IF(NOT(ISNUMBER(O34)),"E_INVALID_DATE",IF(O34&lt;&gt;INT(O34),"E_INVALID_DATE",""))),IF(N34="MONTH",IF(OR(R34="",S34=""),"E_MISSING_INPUT",IF(OR(NOT(ISNUMBER(R34)),NOT(ISNUMBER(S34))),"E_INVALID_DATE",IF(OR(R34&lt;1900,R34&gt;9999,R34&lt;&gt;INT(R34),S34&lt;1,S34&gt;12,S34&lt;&gt;INT(S34)),"E_INVALID_DATE",""))),IF(N34="YEAR",IF(R34="","E_MISSING_INPUT",IF(NOT(ISNUMBER(R34)),"E_INVALID_DATE",IF(OR(R34&lt;1900,R34&gt;9999,R34&lt;&gt;INT(R34)),"E_INVALID_DATE",""))),IF(N34="RANGE",IF(OR(T34="",U34=""),"E_MISSING_INPUT",IF(OR(NOT(ISNUMBER(T34)),NOT(ISNUMBER(U34))),"E_INVALID_DATE",IF(OR(T34&lt;&gt;INT(T34),U34&lt;&gt;INT(U34)),"E_INVALID_DATE",IF(T34&gt;U34,"E_REVERSED_BOUNDS","")))),"E_MISSING_INPUT")))))))</f>
        <v/>
      </c>
      <c r="X34" s="22">
        <f t="shared" si="0"/>
        <v>0</v>
      </c>
      <c r="Y34" s="22">
        <f t="shared" si="1"/>
        <v>0</v>
      </c>
      <c r="Z34" s="28" t="str">
        <f t="shared" si="2"/>
        <v/>
      </c>
      <c r="AA34" s="28" t="str">
        <f t="shared" si="3"/>
        <v/>
      </c>
      <c r="AB34" s="22" t="str">
        <f t="shared" si="4"/>
        <v/>
      </c>
      <c r="AC34" s="22" t="str">
        <f t="shared" si="5"/>
        <v/>
      </c>
      <c r="AD34" s="15"/>
      <c r="AE34" s="26"/>
      <c r="AF34" s="10"/>
      <c r="AG34" s="10"/>
      <c r="AH34" s="21" t="str">
        <f>IF(COUNTA(AD34:AF34)=0,"",IF(OR(AD34="",AE34="",AF34=""),"E_MISSING_INPUT",IF(OR(NOT(ISNUMBER(AD34)),NOT(ISNUMBER(AE34))),"E_INVALID_DATE",IF(OR(AD34&lt;&gt;INT(AD34),AE34&lt;0,AE34&gt;=1),"E_INVALID_DATE",IF(ISNA(MATCH(AF34,nLIST_Offset,0)),"E_INVALID_DATE","")))))</f>
        <v/>
      </c>
      <c r="AI34" s="22" t="str">
        <f t="shared" si="6"/>
        <v/>
      </c>
      <c r="AJ34" s="22">
        <f t="shared" si="7"/>
        <v>0</v>
      </c>
      <c r="AK34" s="22" t="str">
        <f t="shared" si="8"/>
        <v/>
      </c>
      <c r="AL34" s="21" t="str">
        <f t="shared" si="9"/>
        <v/>
      </c>
      <c r="AM34" s="22">
        <f>IF(AL34="",0,COUNTIF(nADM_Key,AL34))</f>
        <v>0</v>
      </c>
      <c r="AN34" s="21" t="str">
        <f t="shared" si="10"/>
        <v/>
      </c>
      <c r="AO34" s="22">
        <f t="shared" si="11"/>
        <v>0</v>
      </c>
      <c r="AP34" s="22">
        <f t="shared" si="12"/>
        <v>0</v>
      </c>
      <c r="AQ34" s="22">
        <f t="shared" si="13"/>
        <v>0</v>
      </c>
      <c r="AR34" s="22">
        <f t="shared" si="14"/>
        <v>0</v>
      </c>
      <c r="AS34" s="22">
        <f t="shared" si="15"/>
        <v>0</v>
      </c>
      <c r="AT34" s="22">
        <f>ROW()</f>
        <v>34</v>
      </c>
      <c r="AU34" s="21">
        <f t="shared" si="16"/>
        <v>0</v>
      </c>
      <c r="AV34" s="21">
        <f t="shared" si="17"/>
        <v>0</v>
      </c>
      <c r="AW34" s="21">
        <f t="shared" si="18"/>
        <v>0</v>
      </c>
      <c r="AX34" s="22">
        <f t="shared" si="19"/>
        <v>0</v>
      </c>
      <c r="AY34" s="21">
        <f t="shared" si="20"/>
        <v>0</v>
      </c>
      <c r="AZ34" s="21">
        <f t="shared" si="21"/>
        <v>-1</v>
      </c>
      <c r="BA34" s="22">
        <f t="shared" si="22"/>
        <v>0</v>
      </c>
      <c r="BB34" s="22">
        <f t="shared" si="23"/>
        <v>0</v>
      </c>
      <c r="BC34" s="22">
        <f t="shared" si="24"/>
        <v>0</v>
      </c>
      <c r="BD34" s="21">
        <f t="shared" si="25"/>
        <v>0</v>
      </c>
      <c r="BE34" s="21" t="str">
        <f t="shared" si="26"/>
        <v/>
      </c>
      <c r="BF34" s="21" t="str">
        <f t="shared" si="27"/>
        <v/>
      </c>
      <c r="BG34" s="22">
        <f t="shared" si="28"/>
        <v>0</v>
      </c>
      <c r="BH34" s="22">
        <f t="shared" si="29"/>
        <v>0</v>
      </c>
      <c r="BI34" s="22">
        <f t="shared" si="30"/>
        <v>0</v>
      </c>
      <c r="BJ34" s="22">
        <f t="shared" si="31"/>
        <v>0</v>
      </c>
      <c r="BK34" s="22">
        <f t="shared" si="32"/>
        <v>0</v>
      </c>
      <c r="BL34" s="22">
        <f t="shared" si="33"/>
        <v>0</v>
      </c>
      <c r="BM34" s="22">
        <f t="shared" si="34"/>
        <v>0</v>
      </c>
      <c r="BN34" s="22">
        <f t="shared" si="35"/>
        <v>0</v>
      </c>
      <c r="BO34" s="22">
        <f>IF(BG34=0,0,COUNTIFS(nADM_SelKey,AN34,nADM_SegValid,1,nADM_SegS_Loc_n,"&lt;"&amp;BL34,nADM_SegE_Loc_n,"&gt;"&amp;BK34)-IF(BL34&gt;BK34,1,0))</f>
        <v>0</v>
      </c>
      <c r="BP34" s="22">
        <f>IF(BH34=0,0,COUNTIFS(nADM_SelKey,AN34,nADM_SegOK,1,nADM_SegS_UTC_n,"&lt;"&amp;BJ34,nADM_SegE_UTC_n,"&gt;"&amp;BI34)-IF(BJ34&gt;BI34,1,0))</f>
        <v>0</v>
      </c>
      <c r="BQ34" s="21" t="str">
        <f t="shared" si="36"/>
        <v/>
      </c>
      <c r="BR34" s="22">
        <f>IF(C34="",1,IF(COUNTIF(nEXP_Key,AN34)&gt;0,1,0))</f>
        <v>1</v>
      </c>
      <c r="BS34" s="21" t="str">
        <f t="shared" si="37"/>
        <v/>
      </c>
      <c r="BT34" s="21" t="str">
        <f>IF(BS34="","",BS34&amp;": "&amp;SUBSTITUTE(IFERROR(INDEX(nMSG_Text,MATCH(BS34,nMSG_Code,0)),""),"[input]",IF(C34="","an Admin_ID",IF(BR34=0,"an Exposures row for episode "&amp;D34,IF(BQ34&lt;&gt;"","segment start and end timestamps and a rate in mg/hour","the date fields required by the selected precision")))))</f>
        <v/>
      </c>
    </row>
    <row r="35" spans="1:72" x14ac:dyDescent="0.2">
      <c r="A35" s="10"/>
      <c r="B35" s="12"/>
      <c r="C35" s="10"/>
      <c r="D35" s="10"/>
      <c r="E35" s="17"/>
      <c r="F35" s="17"/>
      <c r="G35" s="17"/>
      <c r="H35" s="17"/>
      <c r="I35" s="17"/>
      <c r="J35" s="17"/>
      <c r="K35" s="17"/>
      <c r="L35" s="10"/>
      <c r="M35" s="10"/>
      <c r="N35" s="17"/>
      <c r="O35" s="15"/>
      <c r="P35" s="26"/>
      <c r="Q35" s="10"/>
      <c r="R35" s="12"/>
      <c r="S35" s="12"/>
      <c r="T35" s="15"/>
      <c r="U35" s="15"/>
      <c r="V35" s="10"/>
      <c r="W35" s="21" t="str">
        <f>IF(COUNTA(N35:U35)=0,"",IF(N35="","E_MISSING_INPUT",IF(N35="TIMESTAMP",IF(OR(O35="",P35="",Q35=""),"E_MISSING_INPUT",IF(OR(NOT(ISNUMBER(O35)),NOT(ISNUMBER(P35))),"E_INVALID_DATE",IF(OR(O35&lt;&gt;INT(O35),P35&lt;0,P35&gt;=1),"E_INVALID_DATE",IF(ISNA(MATCH(Q35,nLIST_Offset,0)),"E_INVALID_DATE","")))),IF(N35="DATE",IF(O35="","E_MISSING_INPUT",IF(NOT(ISNUMBER(O35)),"E_INVALID_DATE",IF(O35&lt;&gt;INT(O35),"E_INVALID_DATE",""))),IF(N35="MONTH",IF(OR(R35="",S35=""),"E_MISSING_INPUT",IF(OR(NOT(ISNUMBER(R35)),NOT(ISNUMBER(S35))),"E_INVALID_DATE",IF(OR(R35&lt;1900,R35&gt;9999,R35&lt;&gt;INT(R35),S35&lt;1,S35&gt;12,S35&lt;&gt;INT(S35)),"E_INVALID_DATE",""))),IF(N35="YEAR",IF(R35="","E_MISSING_INPUT",IF(NOT(ISNUMBER(R35)),"E_INVALID_DATE",IF(OR(R35&lt;1900,R35&gt;9999,R35&lt;&gt;INT(R35)),"E_INVALID_DATE",""))),IF(N35="RANGE",IF(OR(T35="",U35=""),"E_MISSING_INPUT",IF(OR(NOT(ISNUMBER(T35)),NOT(ISNUMBER(U35))),"E_INVALID_DATE",IF(OR(T35&lt;&gt;INT(T35),U35&lt;&gt;INT(U35)),"E_INVALID_DATE",IF(T35&gt;U35,"E_REVERSED_BOUNDS","")))),"E_MISSING_INPUT")))))))</f>
        <v/>
      </c>
      <c r="X35" s="22">
        <f t="shared" si="0"/>
        <v>0</v>
      </c>
      <c r="Y35" s="22">
        <f t="shared" si="1"/>
        <v>0</v>
      </c>
      <c r="Z35" s="28" t="str">
        <f t="shared" si="2"/>
        <v/>
      </c>
      <c r="AA35" s="28" t="str">
        <f t="shared" si="3"/>
        <v/>
      </c>
      <c r="AB35" s="22" t="str">
        <f t="shared" si="4"/>
        <v/>
      </c>
      <c r="AC35" s="22" t="str">
        <f t="shared" si="5"/>
        <v/>
      </c>
      <c r="AD35" s="15"/>
      <c r="AE35" s="26"/>
      <c r="AF35" s="10"/>
      <c r="AG35" s="10"/>
      <c r="AH35" s="21" t="str">
        <f>IF(COUNTA(AD35:AF35)=0,"",IF(OR(AD35="",AE35="",AF35=""),"E_MISSING_INPUT",IF(OR(NOT(ISNUMBER(AD35)),NOT(ISNUMBER(AE35))),"E_INVALID_DATE",IF(OR(AD35&lt;&gt;INT(AD35),AE35&lt;0,AE35&gt;=1),"E_INVALID_DATE",IF(ISNA(MATCH(AF35,nLIST_Offset,0)),"E_INVALID_DATE","")))))</f>
        <v/>
      </c>
      <c r="AI35" s="22" t="str">
        <f t="shared" si="6"/>
        <v/>
      </c>
      <c r="AJ35" s="22">
        <f t="shared" si="7"/>
        <v>0</v>
      </c>
      <c r="AK35" s="22" t="str">
        <f t="shared" si="8"/>
        <v/>
      </c>
      <c r="AL35" s="21" t="str">
        <f t="shared" si="9"/>
        <v/>
      </c>
      <c r="AM35" s="22">
        <f>IF(AL35="",0,COUNTIF(nADM_Key,AL35))</f>
        <v>0</v>
      </c>
      <c r="AN35" s="21" t="str">
        <f t="shared" si="10"/>
        <v/>
      </c>
      <c r="AO35" s="22">
        <f t="shared" si="11"/>
        <v>0</v>
      </c>
      <c r="AP35" s="22">
        <f t="shared" si="12"/>
        <v>0</v>
      </c>
      <c r="AQ35" s="22">
        <f t="shared" si="13"/>
        <v>0</v>
      </c>
      <c r="AR35" s="22">
        <f t="shared" si="14"/>
        <v>0</v>
      </c>
      <c r="AS35" s="22">
        <f t="shared" si="15"/>
        <v>0</v>
      </c>
      <c r="AT35" s="22">
        <f>ROW()</f>
        <v>35</v>
      </c>
      <c r="AU35" s="21">
        <f t="shared" si="16"/>
        <v>0</v>
      </c>
      <c r="AV35" s="21">
        <f t="shared" si="17"/>
        <v>0</v>
      </c>
      <c r="AW35" s="21">
        <f t="shared" si="18"/>
        <v>0</v>
      </c>
      <c r="AX35" s="22">
        <f t="shared" si="19"/>
        <v>0</v>
      </c>
      <c r="AY35" s="21">
        <f t="shared" si="20"/>
        <v>0</v>
      </c>
      <c r="AZ35" s="21">
        <f t="shared" si="21"/>
        <v>-1</v>
      </c>
      <c r="BA35" s="22">
        <f t="shared" si="22"/>
        <v>0</v>
      </c>
      <c r="BB35" s="22">
        <f t="shared" si="23"/>
        <v>0</v>
      </c>
      <c r="BC35" s="22">
        <f t="shared" si="24"/>
        <v>0</v>
      </c>
      <c r="BD35" s="21">
        <f t="shared" si="25"/>
        <v>0</v>
      </c>
      <c r="BE35" s="21" t="str">
        <f t="shared" si="26"/>
        <v/>
      </c>
      <c r="BF35" s="21" t="str">
        <f t="shared" si="27"/>
        <v/>
      </c>
      <c r="BG35" s="22">
        <f t="shared" si="28"/>
        <v>0</v>
      </c>
      <c r="BH35" s="22">
        <f t="shared" si="29"/>
        <v>0</v>
      </c>
      <c r="BI35" s="22">
        <f t="shared" si="30"/>
        <v>0</v>
      </c>
      <c r="BJ35" s="22">
        <f t="shared" si="31"/>
        <v>0</v>
      </c>
      <c r="BK35" s="22">
        <f t="shared" si="32"/>
        <v>0</v>
      </c>
      <c r="BL35" s="22">
        <f t="shared" si="33"/>
        <v>0</v>
      </c>
      <c r="BM35" s="22">
        <f t="shared" si="34"/>
        <v>0</v>
      </c>
      <c r="BN35" s="22">
        <f t="shared" si="35"/>
        <v>0</v>
      </c>
      <c r="BO35" s="22">
        <f>IF(BG35=0,0,COUNTIFS(nADM_SelKey,AN35,nADM_SegValid,1,nADM_SegS_Loc_n,"&lt;"&amp;BL35,nADM_SegE_Loc_n,"&gt;"&amp;BK35)-IF(BL35&gt;BK35,1,0))</f>
        <v>0</v>
      </c>
      <c r="BP35" s="22">
        <f>IF(BH35=0,0,COUNTIFS(nADM_SelKey,AN35,nADM_SegOK,1,nADM_SegS_UTC_n,"&lt;"&amp;BJ35,nADM_SegE_UTC_n,"&gt;"&amp;BI35)-IF(BJ35&gt;BI35,1,0))</f>
        <v>0</v>
      </c>
      <c r="BQ35" s="21" t="str">
        <f t="shared" si="36"/>
        <v/>
      </c>
      <c r="BR35" s="22">
        <f>IF(C35="",1,IF(COUNTIF(nEXP_Key,AN35)&gt;0,1,0))</f>
        <v>1</v>
      </c>
      <c r="BS35" s="21" t="str">
        <f t="shared" si="37"/>
        <v/>
      </c>
      <c r="BT35" s="21" t="str">
        <f>IF(BS35="","",BS35&amp;": "&amp;SUBSTITUTE(IFERROR(INDEX(nMSG_Text,MATCH(BS35,nMSG_Code,0)),""),"[input]",IF(C35="","an Admin_ID",IF(BR35=0,"an Exposures row for episode "&amp;D35,IF(BQ35&lt;&gt;"","segment start and end timestamps and a rate in mg/hour","the date fields required by the selected precision")))))</f>
        <v/>
      </c>
    </row>
    <row r="36" spans="1:72" x14ac:dyDescent="0.2">
      <c r="A36" s="10"/>
      <c r="B36" s="12"/>
      <c r="C36" s="10"/>
      <c r="D36" s="10"/>
      <c r="E36" s="17"/>
      <c r="F36" s="17"/>
      <c r="G36" s="17"/>
      <c r="H36" s="17"/>
      <c r="I36" s="17"/>
      <c r="J36" s="17"/>
      <c r="K36" s="17"/>
      <c r="L36" s="10"/>
      <c r="M36" s="10"/>
      <c r="N36" s="17"/>
      <c r="O36" s="15"/>
      <c r="P36" s="26"/>
      <c r="Q36" s="10"/>
      <c r="R36" s="12"/>
      <c r="S36" s="12"/>
      <c r="T36" s="15"/>
      <c r="U36" s="15"/>
      <c r="V36" s="10"/>
      <c r="W36" s="21" t="str">
        <f>IF(COUNTA(N36:U36)=0,"",IF(N36="","E_MISSING_INPUT",IF(N36="TIMESTAMP",IF(OR(O36="",P36="",Q36=""),"E_MISSING_INPUT",IF(OR(NOT(ISNUMBER(O36)),NOT(ISNUMBER(P36))),"E_INVALID_DATE",IF(OR(O36&lt;&gt;INT(O36),P36&lt;0,P36&gt;=1),"E_INVALID_DATE",IF(ISNA(MATCH(Q36,nLIST_Offset,0)),"E_INVALID_DATE","")))),IF(N36="DATE",IF(O36="","E_MISSING_INPUT",IF(NOT(ISNUMBER(O36)),"E_INVALID_DATE",IF(O36&lt;&gt;INT(O36),"E_INVALID_DATE",""))),IF(N36="MONTH",IF(OR(R36="",S36=""),"E_MISSING_INPUT",IF(OR(NOT(ISNUMBER(R36)),NOT(ISNUMBER(S36))),"E_INVALID_DATE",IF(OR(R36&lt;1900,R36&gt;9999,R36&lt;&gt;INT(R36),S36&lt;1,S36&gt;12,S36&lt;&gt;INT(S36)),"E_INVALID_DATE",""))),IF(N36="YEAR",IF(R36="","E_MISSING_INPUT",IF(NOT(ISNUMBER(R36)),"E_INVALID_DATE",IF(OR(R36&lt;1900,R36&gt;9999,R36&lt;&gt;INT(R36)),"E_INVALID_DATE",""))),IF(N36="RANGE",IF(OR(T36="",U36=""),"E_MISSING_INPUT",IF(OR(NOT(ISNUMBER(T36)),NOT(ISNUMBER(U36))),"E_INVALID_DATE",IF(OR(T36&lt;&gt;INT(T36),U36&lt;&gt;INT(U36)),"E_INVALID_DATE",IF(T36&gt;U36,"E_REVERSED_BOUNDS","")))),"E_MISSING_INPUT")))))))</f>
        <v/>
      </c>
      <c r="X36" s="22">
        <f t="shared" si="0"/>
        <v>0</v>
      </c>
      <c r="Y36" s="22">
        <f t="shared" si="1"/>
        <v>0</v>
      </c>
      <c r="Z36" s="28" t="str">
        <f t="shared" si="2"/>
        <v/>
      </c>
      <c r="AA36" s="28" t="str">
        <f t="shared" si="3"/>
        <v/>
      </c>
      <c r="AB36" s="22" t="str">
        <f t="shared" si="4"/>
        <v/>
      </c>
      <c r="AC36" s="22" t="str">
        <f t="shared" si="5"/>
        <v/>
      </c>
      <c r="AD36" s="15"/>
      <c r="AE36" s="26"/>
      <c r="AF36" s="10"/>
      <c r="AG36" s="10"/>
      <c r="AH36" s="21" t="str">
        <f>IF(COUNTA(AD36:AF36)=0,"",IF(OR(AD36="",AE36="",AF36=""),"E_MISSING_INPUT",IF(OR(NOT(ISNUMBER(AD36)),NOT(ISNUMBER(AE36))),"E_INVALID_DATE",IF(OR(AD36&lt;&gt;INT(AD36),AE36&lt;0,AE36&gt;=1),"E_INVALID_DATE",IF(ISNA(MATCH(AF36,nLIST_Offset,0)),"E_INVALID_DATE","")))))</f>
        <v/>
      </c>
      <c r="AI36" s="22" t="str">
        <f t="shared" si="6"/>
        <v/>
      </c>
      <c r="AJ36" s="22">
        <f t="shared" si="7"/>
        <v>0</v>
      </c>
      <c r="AK36" s="22" t="str">
        <f t="shared" si="8"/>
        <v/>
      </c>
      <c r="AL36" s="21" t="str">
        <f t="shared" si="9"/>
        <v/>
      </c>
      <c r="AM36" s="22">
        <f>IF(AL36="",0,COUNTIF(nADM_Key,AL36))</f>
        <v>0</v>
      </c>
      <c r="AN36" s="21" t="str">
        <f t="shared" si="10"/>
        <v/>
      </c>
      <c r="AO36" s="22">
        <f t="shared" si="11"/>
        <v>0</v>
      </c>
      <c r="AP36" s="22">
        <f t="shared" si="12"/>
        <v>0</v>
      </c>
      <c r="AQ36" s="22">
        <f t="shared" si="13"/>
        <v>0</v>
      </c>
      <c r="AR36" s="22">
        <f t="shared" si="14"/>
        <v>0</v>
      </c>
      <c r="AS36" s="22">
        <f t="shared" si="15"/>
        <v>0</v>
      </c>
      <c r="AT36" s="22">
        <f>ROW()</f>
        <v>36</v>
      </c>
      <c r="AU36" s="21">
        <f t="shared" si="16"/>
        <v>0</v>
      </c>
      <c r="AV36" s="21">
        <f t="shared" si="17"/>
        <v>0</v>
      </c>
      <c r="AW36" s="21">
        <f t="shared" si="18"/>
        <v>0</v>
      </c>
      <c r="AX36" s="22">
        <f t="shared" si="19"/>
        <v>0</v>
      </c>
      <c r="AY36" s="21">
        <f t="shared" si="20"/>
        <v>0</v>
      </c>
      <c r="AZ36" s="21">
        <f t="shared" si="21"/>
        <v>-1</v>
      </c>
      <c r="BA36" s="22">
        <f t="shared" si="22"/>
        <v>0</v>
      </c>
      <c r="BB36" s="22">
        <f t="shared" si="23"/>
        <v>0</v>
      </c>
      <c r="BC36" s="22">
        <f t="shared" si="24"/>
        <v>0</v>
      </c>
      <c r="BD36" s="21">
        <f t="shared" si="25"/>
        <v>0</v>
      </c>
      <c r="BE36" s="21" t="str">
        <f t="shared" si="26"/>
        <v/>
      </c>
      <c r="BF36" s="21" t="str">
        <f t="shared" si="27"/>
        <v/>
      </c>
      <c r="BG36" s="22">
        <f t="shared" si="28"/>
        <v>0</v>
      </c>
      <c r="BH36" s="22">
        <f t="shared" si="29"/>
        <v>0</v>
      </c>
      <c r="BI36" s="22">
        <f t="shared" si="30"/>
        <v>0</v>
      </c>
      <c r="BJ36" s="22">
        <f t="shared" si="31"/>
        <v>0</v>
      </c>
      <c r="BK36" s="22">
        <f t="shared" si="32"/>
        <v>0</v>
      </c>
      <c r="BL36" s="22">
        <f t="shared" si="33"/>
        <v>0</v>
      </c>
      <c r="BM36" s="22">
        <f t="shared" si="34"/>
        <v>0</v>
      </c>
      <c r="BN36" s="22">
        <f t="shared" si="35"/>
        <v>0</v>
      </c>
      <c r="BO36" s="22">
        <f>IF(BG36=0,0,COUNTIFS(nADM_SelKey,AN36,nADM_SegValid,1,nADM_SegS_Loc_n,"&lt;"&amp;BL36,nADM_SegE_Loc_n,"&gt;"&amp;BK36)-IF(BL36&gt;BK36,1,0))</f>
        <v>0</v>
      </c>
      <c r="BP36" s="22">
        <f>IF(BH36=0,0,COUNTIFS(nADM_SelKey,AN36,nADM_SegOK,1,nADM_SegS_UTC_n,"&lt;"&amp;BJ36,nADM_SegE_UTC_n,"&gt;"&amp;BI36)-IF(BJ36&gt;BI36,1,0))</f>
        <v>0</v>
      </c>
      <c r="BQ36" s="21" t="str">
        <f t="shared" si="36"/>
        <v/>
      </c>
      <c r="BR36" s="22">
        <f>IF(C36="",1,IF(COUNTIF(nEXP_Key,AN36)&gt;0,1,0))</f>
        <v>1</v>
      </c>
      <c r="BS36" s="21" t="str">
        <f t="shared" si="37"/>
        <v/>
      </c>
      <c r="BT36" s="21" t="str">
        <f>IF(BS36="","",BS36&amp;": "&amp;SUBSTITUTE(IFERROR(INDEX(nMSG_Text,MATCH(BS36,nMSG_Code,0)),""),"[input]",IF(C36="","an Admin_ID",IF(BR36=0,"an Exposures row for episode "&amp;D36,IF(BQ36&lt;&gt;"","segment start and end timestamps and a rate in mg/hour","the date fields required by the selected precision")))))</f>
        <v/>
      </c>
    </row>
    <row r="37" spans="1:72" x14ac:dyDescent="0.2">
      <c r="A37" s="10"/>
      <c r="B37" s="12"/>
      <c r="C37" s="10"/>
      <c r="D37" s="10"/>
      <c r="E37" s="17"/>
      <c r="F37" s="17"/>
      <c r="G37" s="17"/>
      <c r="H37" s="17"/>
      <c r="I37" s="17"/>
      <c r="J37" s="17"/>
      <c r="K37" s="17"/>
      <c r="L37" s="10"/>
      <c r="M37" s="10"/>
      <c r="N37" s="17"/>
      <c r="O37" s="15"/>
      <c r="P37" s="26"/>
      <c r="Q37" s="10"/>
      <c r="R37" s="12"/>
      <c r="S37" s="12"/>
      <c r="T37" s="15"/>
      <c r="U37" s="15"/>
      <c r="V37" s="10"/>
      <c r="W37" s="21" t="str">
        <f>IF(COUNTA(N37:U37)=0,"",IF(N37="","E_MISSING_INPUT",IF(N37="TIMESTAMP",IF(OR(O37="",P37="",Q37=""),"E_MISSING_INPUT",IF(OR(NOT(ISNUMBER(O37)),NOT(ISNUMBER(P37))),"E_INVALID_DATE",IF(OR(O37&lt;&gt;INT(O37),P37&lt;0,P37&gt;=1),"E_INVALID_DATE",IF(ISNA(MATCH(Q37,nLIST_Offset,0)),"E_INVALID_DATE","")))),IF(N37="DATE",IF(O37="","E_MISSING_INPUT",IF(NOT(ISNUMBER(O37)),"E_INVALID_DATE",IF(O37&lt;&gt;INT(O37),"E_INVALID_DATE",""))),IF(N37="MONTH",IF(OR(R37="",S37=""),"E_MISSING_INPUT",IF(OR(NOT(ISNUMBER(R37)),NOT(ISNUMBER(S37))),"E_INVALID_DATE",IF(OR(R37&lt;1900,R37&gt;9999,R37&lt;&gt;INT(R37),S37&lt;1,S37&gt;12,S37&lt;&gt;INT(S37)),"E_INVALID_DATE",""))),IF(N37="YEAR",IF(R37="","E_MISSING_INPUT",IF(NOT(ISNUMBER(R37)),"E_INVALID_DATE",IF(OR(R37&lt;1900,R37&gt;9999,R37&lt;&gt;INT(R37)),"E_INVALID_DATE",""))),IF(N37="RANGE",IF(OR(T37="",U37=""),"E_MISSING_INPUT",IF(OR(NOT(ISNUMBER(T37)),NOT(ISNUMBER(U37))),"E_INVALID_DATE",IF(OR(T37&lt;&gt;INT(T37),U37&lt;&gt;INT(U37)),"E_INVALID_DATE",IF(T37&gt;U37,"E_REVERSED_BOUNDS","")))),"E_MISSING_INPUT")))))))</f>
        <v/>
      </c>
      <c r="X37" s="22">
        <f t="shared" ref="X37:X68" si="38">IF(AND(W37="",N37="TIMESTAMP"),1,0)</f>
        <v>0</v>
      </c>
      <c r="Y37" s="22">
        <f t="shared" ref="Y37:Y68" si="39">IF(AND(X37=1,Q37&lt;&gt;"unknown"),1,0)</f>
        <v>0</v>
      </c>
      <c r="Z37" s="28" t="str">
        <f t="shared" ref="Z37:Z64" si="40">IF(OR(W37&lt;&gt;"",N37=""),"",IF(OR(N37="TIMESTAMP",N37="DATE"),O37,IF(N37="MONTH",DATE(R37,S37,1),IF(N37="YEAR",DATE(R37,1,1),T37))))</f>
        <v/>
      </c>
      <c r="AA37" s="28" t="str">
        <f t="shared" ref="AA37:AA64" si="41">IF(OR(W37&lt;&gt;"",N37=""),"",IF(OR(N37="TIMESTAMP",N37="DATE"),O37,IF(N37="MONTH",EOMONTH(DATE(R37,S37,1),0),IF(N37="YEAR",DATE(R37,12,31),U37))))</f>
        <v/>
      </c>
      <c r="AB37" s="22" t="str">
        <f t="shared" ref="AB37:AB64" si="42">IF(X37=1,O37*1440+ROUND(P37*1440,0),"")</f>
        <v/>
      </c>
      <c r="AC37" s="22" t="str">
        <f t="shared" ref="AC37:AC68" si="43">IF(Y37=1,AB37-(IF(LEFT(Q37,1)="-",-1,1)*(VALUE(MID(Q37,2,2))*60+VALUE(MID(Q37,5,2)))),"")</f>
        <v/>
      </c>
      <c r="AD37" s="15"/>
      <c r="AE37" s="26"/>
      <c r="AF37" s="10"/>
      <c r="AG37" s="10"/>
      <c r="AH37" s="21" t="str">
        <f>IF(COUNTA(AD37:AF37)=0,"",IF(OR(AD37="",AE37="",AF37=""),"E_MISSING_INPUT",IF(OR(NOT(ISNUMBER(AD37)),NOT(ISNUMBER(AE37))),"E_INVALID_DATE",IF(OR(AD37&lt;&gt;INT(AD37),AE37&lt;0,AE37&gt;=1),"E_INVALID_DATE",IF(ISNA(MATCH(AF37,nLIST_Offset,0)),"E_INVALID_DATE","")))))</f>
        <v/>
      </c>
      <c r="AI37" s="22" t="str">
        <f t="shared" ref="AI37:AI68" si="44">IF(AND(AH37="",ISNUMBER(AD37),ISNUMBER(AE37)),AD37*1440+ROUND(AE37*1440,0),"")</f>
        <v/>
      </c>
      <c r="AJ37" s="22">
        <f t="shared" ref="AJ37:AJ68" si="45">IF(AND(AI37&lt;&gt;"",AF37&lt;&gt;"unknown"),1,0)</f>
        <v>0</v>
      </c>
      <c r="AK37" s="22" t="str">
        <f t="shared" ref="AK37:AK68" si="46">IF(AJ37=1,AI37-(IF(LEFT(AF37,1)="-",-1,1)*(VALUE(MID(AF37,2,2))*60+VALUE(MID(AF37,5,2)))),"")</f>
        <v/>
      </c>
      <c r="AL37" s="21" t="str">
        <f t="shared" ref="AL37:AL64" si="47">IF(C37="","",A37&amp;"|"&amp;B37&amp;"|"&amp;C37)</f>
        <v/>
      </c>
      <c r="AM37" s="22">
        <f>IF(AL37="",0,COUNTIF(nADM_Key,AL37))</f>
        <v>0</v>
      </c>
      <c r="AN37" s="21" t="str">
        <f t="shared" ref="AN37:AN64" si="48">IF(C37="","",A37&amp;"|"&amp;B37&amp;"|"&amp;D37)</f>
        <v/>
      </c>
      <c r="AO37" s="22">
        <f t="shared" ref="AO37:AO64" si="49">IF(AND(C37&lt;&gt;"",W37="",Z37&lt;&gt;"",OR(N37="TIMESTAMP",N37="DATE")),1,0)</f>
        <v>0</v>
      </c>
      <c r="AP37" s="22">
        <f t="shared" ref="AP37:AP64" si="50">IF(AND(C37&lt;&gt;"",COUNTA(N37:U37)&gt;0),1,0)</f>
        <v>0</v>
      </c>
      <c r="AQ37" s="22">
        <f t="shared" ref="AQ37:AQ64" si="51">IF(X37=1,AB37,0)</f>
        <v>0</v>
      </c>
      <c r="AR37" s="22">
        <f t="shared" ref="AR37:AR64" si="52">IF(Y37=1,AC37,0)</f>
        <v>0</v>
      </c>
      <c r="AS37" s="22">
        <f t="shared" ref="AS37:AS64" si="53">IF(AO37=1,Z37,0)</f>
        <v>0</v>
      </c>
      <c r="AT37" s="22">
        <f>ROW()</f>
        <v>37</v>
      </c>
      <c r="AU37" s="21">
        <f t="shared" ref="AU37:AU64" si="54">IF(ISNUMBER(H37),H37,0)</f>
        <v>0</v>
      </c>
      <c r="AV37" s="21">
        <f t="shared" ref="AV37:AV64" si="55">IF(ISNUMBER(F37),F37,0)</f>
        <v>0</v>
      </c>
      <c r="AW37" s="21">
        <f t="shared" ref="AW37:AW64" si="56">IF(AND(ISNUMBER(F37),F37&gt;0),F37,0)</f>
        <v>0</v>
      </c>
      <c r="AX37" s="22">
        <f t="shared" ref="AX37:AX64" si="57">IF(AND(C37&lt;&gt;"",ISNUMBER(F37)),1,0)</f>
        <v>0</v>
      </c>
      <c r="AY37" s="21">
        <f t="shared" ref="AY37:AY64" si="58">IF(ISNUMBER(J37),J37,0)</f>
        <v>0</v>
      </c>
      <c r="AZ37" s="21">
        <f t="shared" ref="AZ37:AZ64" si="59">IF(ISNUMBER(J37),J37,IF(J37="",-1,-2))</f>
        <v>-1</v>
      </c>
      <c r="BA37" s="22">
        <f t="shared" ref="BA37:BA64" si="60">IF(AND(C37&lt;&gt;"",ISNUMBER(J37)),1,0)</f>
        <v>0</v>
      </c>
      <c r="BB37" s="22">
        <f t="shared" ref="BB37:BB64" si="61">IF(AND(C37&lt;&gt;"",J37=""),1,0)</f>
        <v>0</v>
      </c>
      <c r="BC37" s="22">
        <f t="shared" ref="BC37:BC64" si="62">IF(AND(C37&lt;&gt;"",ISNUMBER(F37),ISNUMBER(J37)),IF(J37&gt;0,1,0),0)</f>
        <v>0</v>
      </c>
      <c r="BD37" s="21">
        <f t="shared" ref="BD37:BD68" si="63">IF(BC37=1,AV37/J37,0)</f>
        <v>0</v>
      </c>
      <c r="BE37" s="21" t="str">
        <f t="shared" ref="BE37:BE64" si="64">IF(OR(C37="",E37="INFUSION_SEGMENT"),"",IF(G37="","; E_MISSING_INPUT",IF(G37&lt;&gt;"mg","; E_INVALID_UNIT",""))&amp;IF(NOT(ISNUMBER(F37)),"; E_MISSING_INPUT",IF(F37&lt;=0,"; E_NONPOSITIVE_PARAMETER",""))&amp;IF(AND(J37&lt;&gt;"",NOT(ISNUMBER(J37))),"; E_MISSING_INPUT",IF(AND(ISNUMBER(J37),J37&lt;=0),"; E_NONPOSITIVE_PARAMETER","")))</f>
        <v/>
      </c>
      <c r="BF37" s="21" t="str">
        <f t="shared" ref="BF37:BF64" si="65">IF(OR(C37="",E37="INFUSION_SEGMENT",AP37=0,AO37=1),"",IF(W37&lt;&gt;"",W37,"E_MISSING_INPUT"))</f>
        <v/>
      </c>
      <c r="BG37" s="22">
        <f t="shared" ref="BG37:BG64" si="66">IF(AND(E37="INFUSION_SEGMENT",W37="",X37=1,AH37="",AI37&lt;&gt;""),1,0)</f>
        <v>0</v>
      </c>
      <c r="BH37" s="22">
        <f t="shared" ref="BH37:BH68" si="67">IF(AND(BG37=1,Y37=1,AJ37=1),1,0)</f>
        <v>0</v>
      </c>
      <c r="BI37" s="22">
        <f t="shared" ref="BI37:BI68" si="68">IF(BH37=1,AC37,0)</f>
        <v>0</v>
      </c>
      <c r="BJ37" s="22">
        <f t="shared" ref="BJ37:BJ64" si="69">IF(BH37=1,AK37,0)</f>
        <v>0</v>
      </c>
      <c r="BK37" s="22">
        <f t="shared" ref="BK37:BK64" si="70">IF(BG37=1,AB37,0)</f>
        <v>0</v>
      </c>
      <c r="BL37" s="22">
        <f t="shared" ref="BL37:BL64" si="71">IF(BG37=1,AI37,0)</f>
        <v>0</v>
      </c>
      <c r="BM37" s="22">
        <f t="shared" ref="BM37:BM68" si="72">IF(AND(BG37=1,BL37&lt;BK37),1,0)</f>
        <v>0</v>
      </c>
      <c r="BN37" s="22">
        <f t="shared" ref="BN37:BN64" si="73">IF(AND(BH37=1,BJ37&lt;BI37),1,0)</f>
        <v>0</v>
      </c>
      <c r="BO37" s="22">
        <f>IF(BG37=0,0,COUNTIFS(nADM_SelKey,AN37,nADM_SegValid,1,nADM_SegS_Loc_n,"&lt;"&amp;BL37,nADM_SegE_Loc_n,"&gt;"&amp;BK37)-IF(BL37&gt;BK37,1,0))</f>
        <v>0</v>
      </c>
      <c r="BP37" s="22">
        <f>IF(BH37=0,0,COUNTIFS(nADM_SelKey,AN37,nADM_SegOK,1,nADM_SegS_UTC_n,"&lt;"&amp;BJ37,nADM_SegE_UTC_n,"&gt;"&amp;BI37)-IF(BJ37&gt;BI37,1,0))</f>
        <v>0</v>
      </c>
      <c r="BQ37" s="21" t="str">
        <f t="shared" ref="BQ37:BQ64" si="74">IF(E37&lt;&gt;"INFUSION_SEGMENT","",IF(W37&lt;&gt;"","; "&amp;W37,IF(X37=0,"; E_MISSING_INPUT",""))&amp;IF(AH37&lt;&gt;"","; "&amp;AH37,IF(AI37="","; E_MISSING_INPUT",""))&amp;IF(I37="","; E_MISSING_INPUT",IF(I37&lt;&gt;"mg/hour","; E_INVALID_UNIT",""))&amp;IF(NOT(ISNUMBER(H37)),"; E_MISSING_INPUT",IF(H37&lt;=0,"; E_NONPOSITIVE_PARAMETER","")))</f>
        <v/>
      </c>
      <c r="BR37" s="22">
        <f>IF(C37="",1,IF(COUNTIF(nEXP_Key,AN37)&gt;0,1,0))</f>
        <v>1</v>
      </c>
      <c r="BS37" s="21" t="str">
        <f t="shared" ref="BS37:BS68" si="75">IF(C37="",IF(COUNTA(D37,F37,H37,N37,O37)&gt;0,"E_MISSING_INPUT",""),IF(AM37&gt;1,"E_DUPLICATE_ID",IF(BR37=0,"E_MISSING_INPUT",IF(W37&lt;&gt;"",W37,IF(BQ37&lt;&gt;"",IFERROR(LEFT(MID(BQ37,3,999),FIND(";",MID(BQ37,3,999))-1),MID(BQ37,3,999)),IF(AND(ISNUMBER(F37),F37&lt;=0),"E_NONPOSITIVE_PARAMETER",IF(AND(ISNUMBER(J37),J37&lt;=0),"E_NONPOSITIVE_PARAMETER","")))))))</f>
        <v/>
      </c>
      <c r="BT37" s="21" t="str">
        <f>IF(BS37="","",BS37&amp;": "&amp;SUBSTITUTE(IFERROR(INDEX(nMSG_Text,MATCH(BS37,nMSG_Code,0)),""),"[input]",IF(C37="","an Admin_ID",IF(BR37=0,"an Exposures row for episode "&amp;D37,IF(BQ37&lt;&gt;"","segment start and end timestamps and a rate in mg/hour","the date fields required by the selected precision")))))</f>
        <v/>
      </c>
    </row>
    <row r="38" spans="1:72" x14ac:dyDescent="0.2">
      <c r="A38" s="10"/>
      <c r="B38" s="12"/>
      <c r="C38" s="10"/>
      <c r="D38" s="10"/>
      <c r="E38" s="17"/>
      <c r="F38" s="17"/>
      <c r="G38" s="17"/>
      <c r="H38" s="17"/>
      <c r="I38" s="17"/>
      <c r="J38" s="17"/>
      <c r="K38" s="17"/>
      <c r="L38" s="10"/>
      <c r="M38" s="10"/>
      <c r="N38" s="17"/>
      <c r="O38" s="15"/>
      <c r="P38" s="26"/>
      <c r="Q38" s="10"/>
      <c r="R38" s="12"/>
      <c r="S38" s="12"/>
      <c r="T38" s="15"/>
      <c r="U38" s="15"/>
      <c r="V38" s="10"/>
      <c r="W38" s="21" t="str">
        <f>IF(COUNTA(N38:U38)=0,"",IF(N38="","E_MISSING_INPUT",IF(N38="TIMESTAMP",IF(OR(O38="",P38="",Q38=""),"E_MISSING_INPUT",IF(OR(NOT(ISNUMBER(O38)),NOT(ISNUMBER(P38))),"E_INVALID_DATE",IF(OR(O38&lt;&gt;INT(O38),P38&lt;0,P38&gt;=1),"E_INVALID_DATE",IF(ISNA(MATCH(Q38,nLIST_Offset,0)),"E_INVALID_DATE","")))),IF(N38="DATE",IF(O38="","E_MISSING_INPUT",IF(NOT(ISNUMBER(O38)),"E_INVALID_DATE",IF(O38&lt;&gt;INT(O38),"E_INVALID_DATE",""))),IF(N38="MONTH",IF(OR(R38="",S38=""),"E_MISSING_INPUT",IF(OR(NOT(ISNUMBER(R38)),NOT(ISNUMBER(S38))),"E_INVALID_DATE",IF(OR(R38&lt;1900,R38&gt;9999,R38&lt;&gt;INT(R38),S38&lt;1,S38&gt;12,S38&lt;&gt;INT(S38)),"E_INVALID_DATE",""))),IF(N38="YEAR",IF(R38="","E_MISSING_INPUT",IF(NOT(ISNUMBER(R38)),"E_INVALID_DATE",IF(OR(R38&lt;1900,R38&gt;9999,R38&lt;&gt;INT(R38)),"E_INVALID_DATE",""))),IF(N38="RANGE",IF(OR(T38="",U38=""),"E_MISSING_INPUT",IF(OR(NOT(ISNUMBER(T38)),NOT(ISNUMBER(U38))),"E_INVALID_DATE",IF(OR(T38&lt;&gt;INT(T38),U38&lt;&gt;INT(U38)),"E_INVALID_DATE",IF(T38&gt;U38,"E_REVERSED_BOUNDS","")))),"E_MISSING_INPUT")))))))</f>
        <v/>
      </c>
      <c r="X38" s="22">
        <f t="shared" si="38"/>
        <v>0</v>
      </c>
      <c r="Y38" s="22">
        <f t="shared" si="39"/>
        <v>0</v>
      </c>
      <c r="Z38" s="28" t="str">
        <f t="shared" si="40"/>
        <v/>
      </c>
      <c r="AA38" s="28" t="str">
        <f t="shared" si="41"/>
        <v/>
      </c>
      <c r="AB38" s="22" t="str">
        <f t="shared" si="42"/>
        <v/>
      </c>
      <c r="AC38" s="22" t="str">
        <f t="shared" si="43"/>
        <v/>
      </c>
      <c r="AD38" s="15"/>
      <c r="AE38" s="26"/>
      <c r="AF38" s="10"/>
      <c r="AG38" s="10"/>
      <c r="AH38" s="21" t="str">
        <f>IF(COUNTA(AD38:AF38)=0,"",IF(OR(AD38="",AE38="",AF38=""),"E_MISSING_INPUT",IF(OR(NOT(ISNUMBER(AD38)),NOT(ISNUMBER(AE38))),"E_INVALID_DATE",IF(OR(AD38&lt;&gt;INT(AD38),AE38&lt;0,AE38&gt;=1),"E_INVALID_DATE",IF(ISNA(MATCH(AF38,nLIST_Offset,0)),"E_INVALID_DATE","")))))</f>
        <v/>
      </c>
      <c r="AI38" s="22" t="str">
        <f t="shared" si="44"/>
        <v/>
      </c>
      <c r="AJ38" s="22">
        <f t="shared" si="45"/>
        <v>0</v>
      </c>
      <c r="AK38" s="22" t="str">
        <f t="shared" si="46"/>
        <v/>
      </c>
      <c r="AL38" s="21" t="str">
        <f t="shared" si="47"/>
        <v/>
      </c>
      <c r="AM38" s="22">
        <f>IF(AL38="",0,COUNTIF(nADM_Key,AL38))</f>
        <v>0</v>
      </c>
      <c r="AN38" s="21" t="str">
        <f t="shared" si="48"/>
        <v/>
      </c>
      <c r="AO38" s="22">
        <f t="shared" si="49"/>
        <v>0</v>
      </c>
      <c r="AP38" s="22">
        <f t="shared" si="50"/>
        <v>0</v>
      </c>
      <c r="AQ38" s="22">
        <f t="shared" si="51"/>
        <v>0</v>
      </c>
      <c r="AR38" s="22">
        <f t="shared" si="52"/>
        <v>0</v>
      </c>
      <c r="AS38" s="22">
        <f t="shared" si="53"/>
        <v>0</v>
      </c>
      <c r="AT38" s="22">
        <f>ROW()</f>
        <v>38</v>
      </c>
      <c r="AU38" s="21">
        <f t="shared" si="54"/>
        <v>0</v>
      </c>
      <c r="AV38" s="21">
        <f t="shared" si="55"/>
        <v>0</v>
      </c>
      <c r="AW38" s="21">
        <f t="shared" si="56"/>
        <v>0</v>
      </c>
      <c r="AX38" s="22">
        <f t="shared" si="57"/>
        <v>0</v>
      </c>
      <c r="AY38" s="21">
        <f t="shared" si="58"/>
        <v>0</v>
      </c>
      <c r="AZ38" s="21">
        <f t="shared" si="59"/>
        <v>-1</v>
      </c>
      <c r="BA38" s="22">
        <f t="shared" si="60"/>
        <v>0</v>
      </c>
      <c r="BB38" s="22">
        <f t="shared" si="61"/>
        <v>0</v>
      </c>
      <c r="BC38" s="22">
        <f t="shared" si="62"/>
        <v>0</v>
      </c>
      <c r="BD38" s="21">
        <f t="shared" si="63"/>
        <v>0</v>
      </c>
      <c r="BE38" s="21" t="str">
        <f t="shared" si="64"/>
        <v/>
      </c>
      <c r="BF38" s="21" t="str">
        <f t="shared" si="65"/>
        <v/>
      </c>
      <c r="BG38" s="22">
        <f t="shared" si="66"/>
        <v>0</v>
      </c>
      <c r="BH38" s="22">
        <f t="shared" si="67"/>
        <v>0</v>
      </c>
      <c r="BI38" s="22">
        <f t="shared" si="68"/>
        <v>0</v>
      </c>
      <c r="BJ38" s="22">
        <f t="shared" si="69"/>
        <v>0</v>
      </c>
      <c r="BK38" s="22">
        <f t="shared" si="70"/>
        <v>0</v>
      </c>
      <c r="BL38" s="22">
        <f t="shared" si="71"/>
        <v>0</v>
      </c>
      <c r="BM38" s="22">
        <f t="shared" si="72"/>
        <v>0</v>
      </c>
      <c r="BN38" s="22">
        <f t="shared" si="73"/>
        <v>0</v>
      </c>
      <c r="BO38" s="22">
        <f>IF(BG38=0,0,COUNTIFS(nADM_SelKey,AN38,nADM_SegValid,1,nADM_SegS_Loc_n,"&lt;"&amp;BL38,nADM_SegE_Loc_n,"&gt;"&amp;BK38)-IF(BL38&gt;BK38,1,0))</f>
        <v>0</v>
      </c>
      <c r="BP38" s="22">
        <f>IF(BH38=0,0,COUNTIFS(nADM_SelKey,AN38,nADM_SegOK,1,nADM_SegS_UTC_n,"&lt;"&amp;BJ38,nADM_SegE_UTC_n,"&gt;"&amp;BI38)-IF(BJ38&gt;BI38,1,0))</f>
        <v>0</v>
      </c>
      <c r="BQ38" s="21" t="str">
        <f t="shared" si="74"/>
        <v/>
      </c>
      <c r="BR38" s="22">
        <f>IF(C38="",1,IF(COUNTIF(nEXP_Key,AN38)&gt;0,1,0))</f>
        <v>1</v>
      </c>
      <c r="BS38" s="21" t="str">
        <f t="shared" si="75"/>
        <v/>
      </c>
      <c r="BT38" s="21" t="str">
        <f>IF(BS38="","",BS38&amp;": "&amp;SUBSTITUTE(IFERROR(INDEX(nMSG_Text,MATCH(BS38,nMSG_Code,0)),""),"[input]",IF(C38="","an Admin_ID",IF(BR38=0,"an Exposures row for episode "&amp;D38,IF(BQ38&lt;&gt;"","segment start and end timestamps and a rate in mg/hour","the date fields required by the selected precision")))))</f>
        <v/>
      </c>
    </row>
    <row r="39" spans="1:72" x14ac:dyDescent="0.2">
      <c r="A39" s="10"/>
      <c r="B39" s="12"/>
      <c r="C39" s="10"/>
      <c r="D39" s="10"/>
      <c r="E39" s="17"/>
      <c r="F39" s="17"/>
      <c r="G39" s="17"/>
      <c r="H39" s="17"/>
      <c r="I39" s="17"/>
      <c r="J39" s="17"/>
      <c r="K39" s="17"/>
      <c r="L39" s="10"/>
      <c r="M39" s="10"/>
      <c r="N39" s="17"/>
      <c r="O39" s="15"/>
      <c r="P39" s="26"/>
      <c r="Q39" s="10"/>
      <c r="R39" s="12"/>
      <c r="S39" s="12"/>
      <c r="T39" s="15"/>
      <c r="U39" s="15"/>
      <c r="V39" s="10"/>
      <c r="W39" s="21" t="str">
        <f>IF(COUNTA(N39:U39)=0,"",IF(N39="","E_MISSING_INPUT",IF(N39="TIMESTAMP",IF(OR(O39="",P39="",Q39=""),"E_MISSING_INPUT",IF(OR(NOT(ISNUMBER(O39)),NOT(ISNUMBER(P39))),"E_INVALID_DATE",IF(OR(O39&lt;&gt;INT(O39),P39&lt;0,P39&gt;=1),"E_INVALID_DATE",IF(ISNA(MATCH(Q39,nLIST_Offset,0)),"E_INVALID_DATE","")))),IF(N39="DATE",IF(O39="","E_MISSING_INPUT",IF(NOT(ISNUMBER(O39)),"E_INVALID_DATE",IF(O39&lt;&gt;INT(O39),"E_INVALID_DATE",""))),IF(N39="MONTH",IF(OR(R39="",S39=""),"E_MISSING_INPUT",IF(OR(NOT(ISNUMBER(R39)),NOT(ISNUMBER(S39))),"E_INVALID_DATE",IF(OR(R39&lt;1900,R39&gt;9999,R39&lt;&gt;INT(R39),S39&lt;1,S39&gt;12,S39&lt;&gt;INT(S39)),"E_INVALID_DATE",""))),IF(N39="YEAR",IF(R39="","E_MISSING_INPUT",IF(NOT(ISNUMBER(R39)),"E_INVALID_DATE",IF(OR(R39&lt;1900,R39&gt;9999,R39&lt;&gt;INT(R39)),"E_INVALID_DATE",""))),IF(N39="RANGE",IF(OR(T39="",U39=""),"E_MISSING_INPUT",IF(OR(NOT(ISNUMBER(T39)),NOT(ISNUMBER(U39))),"E_INVALID_DATE",IF(OR(T39&lt;&gt;INT(T39),U39&lt;&gt;INT(U39)),"E_INVALID_DATE",IF(T39&gt;U39,"E_REVERSED_BOUNDS","")))),"E_MISSING_INPUT")))))))</f>
        <v/>
      </c>
      <c r="X39" s="22">
        <f t="shared" si="38"/>
        <v>0</v>
      </c>
      <c r="Y39" s="22">
        <f t="shared" si="39"/>
        <v>0</v>
      </c>
      <c r="Z39" s="28" t="str">
        <f t="shared" si="40"/>
        <v/>
      </c>
      <c r="AA39" s="28" t="str">
        <f t="shared" si="41"/>
        <v/>
      </c>
      <c r="AB39" s="22" t="str">
        <f t="shared" si="42"/>
        <v/>
      </c>
      <c r="AC39" s="22" t="str">
        <f t="shared" si="43"/>
        <v/>
      </c>
      <c r="AD39" s="15"/>
      <c r="AE39" s="26"/>
      <c r="AF39" s="10"/>
      <c r="AG39" s="10"/>
      <c r="AH39" s="21" t="str">
        <f>IF(COUNTA(AD39:AF39)=0,"",IF(OR(AD39="",AE39="",AF39=""),"E_MISSING_INPUT",IF(OR(NOT(ISNUMBER(AD39)),NOT(ISNUMBER(AE39))),"E_INVALID_DATE",IF(OR(AD39&lt;&gt;INT(AD39),AE39&lt;0,AE39&gt;=1),"E_INVALID_DATE",IF(ISNA(MATCH(AF39,nLIST_Offset,0)),"E_INVALID_DATE","")))))</f>
        <v/>
      </c>
      <c r="AI39" s="22" t="str">
        <f t="shared" si="44"/>
        <v/>
      </c>
      <c r="AJ39" s="22">
        <f t="shared" si="45"/>
        <v>0</v>
      </c>
      <c r="AK39" s="22" t="str">
        <f t="shared" si="46"/>
        <v/>
      </c>
      <c r="AL39" s="21" t="str">
        <f t="shared" si="47"/>
        <v/>
      </c>
      <c r="AM39" s="22">
        <f>IF(AL39="",0,COUNTIF(nADM_Key,AL39))</f>
        <v>0</v>
      </c>
      <c r="AN39" s="21" t="str">
        <f t="shared" si="48"/>
        <v/>
      </c>
      <c r="AO39" s="22">
        <f t="shared" si="49"/>
        <v>0</v>
      </c>
      <c r="AP39" s="22">
        <f t="shared" si="50"/>
        <v>0</v>
      </c>
      <c r="AQ39" s="22">
        <f t="shared" si="51"/>
        <v>0</v>
      </c>
      <c r="AR39" s="22">
        <f t="shared" si="52"/>
        <v>0</v>
      </c>
      <c r="AS39" s="22">
        <f t="shared" si="53"/>
        <v>0</v>
      </c>
      <c r="AT39" s="22">
        <f>ROW()</f>
        <v>39</v>
      </c>
      <c r="AU39" s="21">
        <f t="shared" si="54"/>
        <v>0</v>
      </c>
      <c r="AV39" s="21">
        <f t="shared" si="55"/>
        <v>0</v>
      </c>
      <c r="AW39" s="21">
        <f t="shared" si="56"/>
        <v>0</v>
      </c>
      <c r="AX39" s="22">
        <f t="shared" si="57"/>
        <v>0</v>
      </c>
      <c r="AY39" s="21">
        <f t="shared" si="58"/>
        <v>0</v>
      </c>
      <c r="AZ39" s="21">
        <f t="shared" si="59"/>
        <v>-1</v>
      </c>
      <c r="BA39" s="22">
        <f t="shared" si="60"/>
        <v>0</v>
      </c>
      <c r="BB39" s="22">
        <f t="shared" si="61"/>
        <v>0</v>
      </c>
      <c r="BC39" s="22">
        <f t="shared" si="62"/>
        <v>0</v>
      </c>
      <c r="BD39" s="21">
        <f t="shared" si="63"/>
        <v>0</v>
      </c>
      <c r="BE39" s="21" t="str">
        <f t="shared" si="64"/>
        <v/>
      </c>
      <c r="BF39" s="21" t="str">
        <f t="shared" si="65"/>
        <v/>
      </c>
      <c r="BG39" s="22">
        <f t="shared" si="66"/>
        <v>0</v>
      </c>
      <c r="BH39" s="22">
        <f t="shared" si="67"/>
        <v>0</v>
      </c>
      <c r="BI39" s="22">
        <f t="shared" si="68"/>
        <v>0</v>
      </c>
      <c r="BJ39" s="22">
        <f t="shared" si="69"/>
        <v>0</v>
      </c>
      <c r="BK39" s="22">
        <f t="shared" si="70"/>
        <v>0</v>
      </c>
      <c r="BL39" s="22">
        <f t="shared" si="71"/>
        <v>0</v>
      </c>
      <c r="BM39" s="22">
        <f t="shared" si="72"/>
        <v>0</v>
      </c>
      <c r="BN39" s="22">
        <f t="shared" si="73"/>
        <v>0</v>
      </c>
      <c r="BO39" s="22">
        <f>IF(BG39=0,0,COUNTIFS(nADM_SelKey,AN39,nADM_SegValid,1,nADM_SegS_Loc_n,"&lt;"&amp;BL39,nADM_SegE_Loc_n,"&gt;"&amp;BK39)-IF(BL39&gt;BK39,1,0))</f>
        <v>0</v>
      </c>
      <c r="BP39" s="22">
        <f>IF(BH39=0,0,COUNTIFS(nADM_SelKey,AN39,nADM_SegOK,1,nADM_SegS_UTC_n,"&lt;"&amp;BJ39,nADM_SegE_UTC_n,"&gt;"&amp;BI39)-IF(BJ39&gt;BI39,1,0))</f>
        <v>0</v>
      </c>
      <c r="BQ39" s="21" t="str">
        <f t="shared" si="74"/>
        <v/>
      </c>
      <c r="BR39" s="22">
        <f>IF(C39="",1,IF(COUNTIF(nEXP_Key,AN39)&gt;0,1,0))</f>
        <v>1</v>
      </c>
      <c r="BS39" s="21" t="str">
        <f t="shared" si="75"/>
        <v/>
      </c>
      <c r="BT39" s="21" t="str">
        <f>IF(BS39="","",BS39&amp;": "&amp;SUBSTITUTE(IFERROR(INDEX(nMSG_Text,MATCH(BS39,nMSG_Code,0)),""),"[input]",IF(C39="","an Admin_ID",IF(BR39=0,"an Exposures row for episode "&amp;D39,IF(BQ39&lt;&gt;"","segment start and end timestamps and a rate in mg/hour","the date fields required by the selected precision")))))</f>
        <v/>
      </c>
    </row>
    <row r="40" spans="1:72" x14ac:dyDescent="0.2">
      <c r="A40" s="10"/>
      <c r="B40" s="12"/>
      <c r="C40" s="10"/>
      <c r="D40" s="10"/>
      <c r="E40" s="17"/>
      <c r="F40" s="17"/>
      <c r="G40" s="17"/>
      <c r="H40" s="17"/>
      <c r="I40" s="17"/>
      <c r="J40" s="17"/>
      <c r="K40" s="17"/>
      <c r="L40" s="10"/>
      <c r="M40" s="10"/>
      <c r="N40" s="17"/>
      <c r="O40" s="15"/>
      <c r="P40" s="26"/>
      <c r="Q40" s="10"/>
      <c r="R40" s="12"/>
      <c r="S40" s="12"/>
      <c r="T40" s="15"/>
      <c r="U40" s="15"/>
      <c r="V40" s="10"/>
      <c r="W40" s="21" t="str">
        <f>IF(COUNTA(N40:U40)=0,"",IF(N40="","E_MISSING_INPUT",IF(N40="TIMESTAMP",IF(OR(O40="",P40="",Q40=""),"E_MISSING_INPUT",IF(OR(NOT(ISNUMBER(O40)),NOT(ISNUMBER(P40))),"E_INVALID_DATE",IF(OR(O40&lt;&gt;INT(O40),P40&lt;0,P40&gt;=1),"E_INVALID_DATE",IF(ISNA(MATCH(Q40,nLIST_Offset,0)),"E_INVALID_DATE","")))),IF(N40="DATE",IF(O40="","E_MISSING_INPUT",IF(NOT(ISNUMBER(O40)),"E_INVALID_DATE",IF(O40&lt;&gt;INT(O40),"E_INVALID_DATE",""))),IF(N40="MONTH",IF(OR(R40="",S40=""),"E_MISSING_INPUT",IF(OR(NOT(ISNUMBER(R40)),NOT(ISNUMBER(S40))),"E_INVALID_DATE",IF(OR(R40&lt;1900,R40&gt;9999,R40&lt;&gt;INT(R40),S40&lt;1,S40&gt;12,S40&lt;&gt;INT(S40)),"E_INVALID_DATE",""))),IF(N40="YEAR",IF(R40="","E_MISSING_INPUT",IF(NOT(ISNUMBER(R40)),"E_INVALID_DATE",IF(OR(R40&lt;1900,R40&gt;9999,R40&lt;&gt;INT(R40)),"E_INVALID_DATE",""))),IF(N40="RANGE",IF(OR(T40="",U40=""),"E_MISSING_INPUT",IF(OR(NOT(ISNUMBER(T40)),NOT(ISNUMBER(U40))),"E_INVALID_DATE",IF(OR(T40&lt;&gt;INT(T40),U40&lt;&gt;INT(U40)),"E_INVALID_DATE",IF(T40&gt;U40,"E_REVERSED_BOUNDS","")))),"E_MISSING_INPUT")))))))</f>
        <v/>
      </c>
      <c r="X40" s="22">
        <f t="shared" si="38"/>
        <v>0</v>
      </c>
      <c r="Y40" s="22">
        <f t="shared" si="39"/>
        <v>0</v>
      </c>
      <c r="Z40" s="28" t="str">
        <f t="shared" si="40"/>
        <v/>
      </c>
      <c r="AA40" s="28" t="str">
        <f t="shared" si="41"/>
        <v/>
      </c>
      <c r="AB40" s="22" t="str">
        <f t="shared" si="42"/>
        <v/>
      </c>
      <c r="AC40" s="22" t="str">
        <f t="shared" si="43"/>
        <v/>
      </c>
      <c r="AD40" s="15"/>
      <c r="AE40" s="26"/>
      <c r="AF40" s="10"/>
      <c r="AG40" s="10"/>
      <c r="AH40" s="21" t="str">
        <f>IF(COUNTA(AD40:AF40)=0,"",IF(OR(AD40="",AE40="",AF40=""),"E_MISSING_INPUT",IF(OR(NOT(ISNUMBER(AD40)),NOT(ISNUMBER(AE40))),"E_INVALID_DATE",IF(OR(AD40&lt;&gt;INT(AD40),AE40&lt;0,AE40&gt;=1),"E_INVALID_DATE",IF(ISNA(MATCH(AF40,nLIST_Offset,0)),"E_INVALID_DATE","")))))</f>
        <v/>
      </c>
      <c r="AI40" s="22" t="str">
        <f t="shared" si="44"/>
        <v/>
      </c>
      <c r="AJ40" s="22">
        <f t="shared" si="45"/>
        <v>0</v>
      </c>
      <c r="AK40" s="22" t="str">
        <f t="shared" si="46"/>
        <v/>
      </c>
      <c r="AL40" s="21" t="str">
        <f t="shared" si="47"/>
        <v/>
      </c>
      <c r="AM40" s="22">
        <f>IF(AL40="",0,COUNTIF(nADM_Key,AL40))</f>
        <v>0</v>
      </c>
      <c r="AN40" s="21" t="str">
        <f t="shared" si="48"/>
        <v/>
      </c>
      <c r="AO40" s="22">
        <f t="shared" si="49"/>
        <v>0</v>
      </c>
      <c r="AP40" s="22">
        <f t="shared" si="50"/>
        <v>0</v>
      </c>
      <c r="AQ40" s="22">
        <f t="shared" si="51"/>
        <v>0</v>
      </c>
      <c r="AR40" s="22">
        <f t="shared" si="52"/>
        <v>0</v>
      </c>
      <c r="AS40" s="22">
        <f t="shared" si="53"/>
        <v>0</v>
      </c>
      <c r="AT40" s="22">
        <f>ROW()</f>
        <v>40</v>
      </c>
      <c r="AU40" s="21">
        <f t="shared" si="54"/>
        <v>0</v>
      </c>
      <c r="AV40" s="21">
        <f t="shared" si="55"/>
        <v>0</v>
      </c>
      <c r="AW40" s="21">
        <f t="shared" si="56"/>
        <v>0</v>
      </c>
      <c r="AX40" s="22">
        <f t="shared" si="57"/>
        <v>0</v>
      </c>
      <c r="AY40" s="21">
        <f t="shared" si="58"/>
        <v>0</v>
      </c>
      <c r="AZ40" s="21">
        <f t="shared" si="59"/>
        <v>-1</v>
      </c>
      <c r="BA40" s="22">
        <f t="shared" si="60"/>
        <v>0</v>
      </c>
      <c r="BB40" s="22">
        <f t="shared" si="61"/>
        <v>0</v>
      </c>
      <c r="BC40" s="22">
        <f t="shared" si="62"/>
        <v>0</v>
      </c>
      <c r="BD40" s="21">
        <f t="shared" si="63"/>
        <v>0</v>
      </c>
      <c r="BE40" s="21" t="str">
        <f t="shared" si="64"/>
        <v/>
      </c>
      <c r="BF40" s="21" t="str">
        <f t="shared" si="65"/>
        <v/>
      </c>
      <c r="BG40" s="22">
        <f t="shared" si="66"/>
        <v>0</v>
      </c>
      <c r="BH40" s="22">
        <f t="shared" si="67"/>
        <v>0</v>
      </c>
      <c r="BI40" s="22">
        <f t="shared" si="68"/>
        <v>0</v>
      </c>
      <c r="BJ40" s="22">
        <f t="shared" si="69"/>
        <v>0</v>
      </c>
      <c r="BK40" s="22">
        <f t="shared" si="70"/>
        <v>0</v>
      </c>
      <c r="BL40" s="22">
        <f t="shared" si="71"/>
        <v>0</v>
      </c>
      <c r="BM40" s="22">
        <f t="shared" si="72"/>
        <v>0</v>
      </c>
      <c r="BN40" s="22">
        <f t="shared" si="73"/>
        <v>0</v>
      </c>
      <c r="BO40" s="22">
        <f>IF(BG40=0,0,COUNTIFS(nADM_SelKey,AN40,nADM_SegValid,1,nADM_SegS_Loc_n,"&lt;"&amp;BL40,nADM_SegE_Loc_n,"&gt;"&amp;BK40)-IF(BL40&gt;BK40,1,0))</f>
        <v>0</v>
      </c>
      <c r="BP40" s="22">
        <f>IF(BH40=0,0,COUNTIFS(nADM_SelKey,AN40,nADM_SegOK,1,nADM_SegS_UTC_n,"&lt;"&amp;BJ40,nADM_SegE_UTC_n,"&gt;"&amp;BI40)-IF(BJ40&gt;BI40,1,0))</f>
        <v>0</v>
      </c>
      <c r="BQ40" s="21" t="str">
        <f t="shared" si="74"/>
        <v/>
      </c>
      <c r="BR40" s="22">
        <f>IF(C40="",1,IF(COUNTIF(nEXP_Key,AN40)&gt;0,1,0))</f>
        <v>1</v>
      </c>
      <c r="BS40" s="21" t="str">
        <f t="shared" si="75"/>
        <v/>
      </c>
      <c r="BT40" s="21" t="str">
        <f>IF(BS40="","",BS40&amp;": "&amp;SUBSTITUTE(IFERROR(INDEX(nMSG_Text,MATCH(BS40,nMSG_Code,0)),""),"[input]",IF(C40="","an Admin_ID",IF(BR40=0,"an Exposures row for episode "&amp;D40,IF(BQ40&lt;&gt;"","segment start and end timestamps and a rate in mg/hour","the date fields required by the selected precision")))))</f>
        <v/>
      </c>
    </row>
    <row r="41" spans="1:72" x14ac:dyDescent="0.2">
      <c r="A41" s="10"/>
      <c r="B41" s="12"/>
      <c r="C41" s="10"/>
      <c r="D41" s="10"/>
      <c r="E41" s="17"/>
      <c r="F41" s="17"/>
      <c r="G41" s="17"/>
      <c r="H41" s="17"/>
      <c r="I41" s="17"/>
      <c r="J41" s="17"/>
      <c r="K41" s="17"/>
      <c r="L41" s="10"/>
      <c r="M41" s="10"/>
      <c r="N41" s="17"/>
      <c r="O41" s="15"/>
      <c r="P41" s="26"/>
      <c r="Q41" s="10"/>
      <c r="R41" s="12"/>
      <c r="S41" s="12"/>
      <c r="T41" s="15"/>
      <c r="U41" s="15"/>
      <c r="V41" s="10"/>
      <c r="W41" s="21" t="str">
        <f>IF(COUNTA(N41:U41)=0,"",IF(N41="","E_MISSING_INPUT",IF(N41="TIMESTAMP",IF(OR(O41="",P41="",Q41=""),"E_MISSING_INPUT",IF(OR(NOT(ISNUMBER(O41)),NOT(ISNUMBER(P41))),"E_INVALID_DATE",IF(OR(O41&lt;&gt;INT(O41),P41&lt;0,P41&gt;=1),"E_INVALID_DATE",IF(ISNA(MATCH(Q41,nLIST_Offset,0)),"E_INVALID_DATE","")))),IF(N41="DATE",IF(O41="","E_MISSING_INPUT",IF(NOT(ISNUMBER(O41)),"E_INVALID_DATE",IF(O41&lt;&gt;INT(O41),"E_INVALID_DATE",""))),IF(N41="MONTH",IF(OR(R41="",S41=""),"E_MISSING_INPUT",IF(OR(NOT(ISNUMBER(R41)),NOT(ISNUMBER(S41))),"E_INVALID_DATE",IF(OR(R41&lt;1900,R41&gt;9999,R41&lt;&gt;INT(R41),S41&lt;1,S41&gt;12,S41&lt;&gt;INT(S41)),"E_INVALID_DATE",""))),IF(N41="YEAR",IF(R41="","E_MISSING_INPUT",IF(NOT(ISNUMBER(R41)),"E_INVALID_DATE",IF(OR(R41&lt;1900,R41&gt;9999,R41&lt;&gt;INT(R41)),"E_INVALID_DATE",""))),IF(N41="RANGE",IF(OR(T41="",U41=""),"E_MISSING_INPUT",IF(OR(NOT(ISNUMBER(T41)),NOT(ISNUMBER(U41))),"E_INVALID_DATE",IF(OR(T41&lt;&gt;INT(T41),U41&lt;&gt;INT(U41)),"E_INVALID_DATE",IF(T41&gt;U41,"E_REVERSED_BOUNDS","")))),"E_MISSING_INPUT")))))))</f>
        <v/>
      </c>
      <c r="X41" s="22">
        <f t="shared" si="38"/>
        <v>0</v>
      </c>
      <c r="Y41" s="22">
        <f t="shared" si="39"/>
        <v>0</v>
      </c>
      <c r="Z41" s="28" t="str">
        <f t="shared" si="40"/>
        <v/>
      </c>
      <c r="AA41" s="28" t="str">
        <f t="shared" si="41"/>
        <v/>
      </c>
      <c r="AB41" s="22" t="str">
        <f t="shared" si="42"/>
        <v/>
      </c>
      <c r="AC41" s="22" t="str">
        <f t="shared" si="43"/>
        <v/>
      </c>
      <c r="AD41" s="15"/>
      <c r="AE41" s="26"/>
      <c r="AF41" s="10"/>
      <c r="AG41" s="10"/>
      <c r="AH41" s="21" t="str">
        <f>IF(COUNTA(AD41:AF41)=0,"",IF(OR(AD41="",AE41="",AF41=""),"E_MISSING_INPUT",IF(OR(NOT(ISNUMBER(AD41)),NOT(ISNUMBER(AE41))),"E_INVALID_DATE",IF(OR(AD41&lt;&gt;INT(AD41),AE41&lt;0,AE41&gt;=1),"E_INVALID_DATE",IF(ISNA(MATCH(AF41,nLIST_Offset,0)),"E_INVALID_DATE","")))))</f>
        <v/>
      </c>
      <c r="AI41" s="22" t="str">
        <f t="shared" si="44"/>
        <v/>
      </c>
      <c r="AJ41" s="22">
        <f t="shared" si="45"/>
        <v>0</v>
      </c>
      <c r="AK41" s="22" t="str">
        <f t="shared" si="46"/>
        <v/>
      </c>
      <c r="AL41" s="21" t="str">
        <f t="shared" si="47"/>
        <v/>
      </c>
      <c r="AM41" s="22">
        <f>IF(AL41="",0,COUNTIF(nADM_Key,AL41))</f>
        <v>0</v>
      </c>
      <c r="AN41" s="21" t="str">
        <f t="shared" si="48"/>
        <v/>
      </c>
      <c r="AO41" s="22">
        <f t="shared" si="49"/>
        <v>0</v>
      </c>
      <c r="AP41" s="22">
        <f t="shared" si="50"/>
        <v>0</v>
      </c>
      <c r="AQ41" s="22">
        <f t="shared" si="51"/>
        <v>0</v>
      </c>
      <c r="AR41" s="22">
        <f t="shared" si="52"/>
        <v>0</v>
      </c>
      <c r="AS41" s="22">
        <f t="shared" si="53"/>
        <v>0</v>
      </c>
      <c r="AT41" s="22">
        <f>ROW()</f>
        <v>41</v>
      </c>
      <c r="AU41" s="21">
        <f t="shared" si="54"/>
        <v>0</v>
      </c>
      <c r="AV41" s="21">
        <f t="shared" si="55"/>
        <v>0</v>
      </c>
      <c r="AW41" s="21">
        <f t="shared" si="56"/>
        <v>0</v>
      </c>
      <c r="AX41" s="22">
        <f t="shared" si="57"/>
        <v>0</v>
      </c>
      <c r="AY41" s="21">
        <f t="shared" si="58"/>
        <v>0</v>
      </c>
      <c r="AZ41" s="21">
        <f t="shared" si="59"/>
        <v>-1</v>
      </c>
      <c r="BA41" s="22">
        <f t="shared" si="60"/>
        <v>0</v>
      </c>
      <c r="BB41" s="22">
        <f t="shared" si="61"/>
        <v>0</v>
      </c>
      <c r="BC41" s="22">
        <f t="shared" si="62"/>
        <v>0</v>
      </c>
      <c r="BD41" s="21">
        <f t="shared" si="63"/>
        <v>0</v>
      </c>
      <c r="BE41" s="21" t="str">
        <f t="shared" si="64"/>
        <v/>
      </c>
      <c r="BF41" s="21" t="str">
        <f t="shared" si="65"/>
        <v/>
      </c>
      <c r="BG41" s="22">
        <f t="shared" si="66"/>
        <v>0</v>
      </c>
      <c r="BH41" s="22">
        <f t="shared" si="67"/>
        <v>0</v>
      </c>
      <c r="BI41" s="22">
        <f t="shared" si="68"/>
        <v>0</v>
      </c>
      <c r="BJ41" s="22">
        <f t="shared" si="69"/>
        <v>0</v>
      </c>
      <c r="BK41" s="22">
        <f t="shared" si="70"/>
        <v>0</v>
      </c>
      <c r="BL41" s="22">
        <f t="shared" si="71"/>
        <v>0</v>
      </c>
      <c r="BM41" s="22">
        <f t="shared" si="72"/>
        <v>0</v>
      </c>
      <c r="BN41" s="22">
        <f t="shared" si="73"/>
        <v>0</v>
      </c>
      <c r="BO41" s="22">
        <f>IF(BG41=0,0,COUNTIFS(nADM_SelKey,AN41,nADM_SegValid,1,nADM_SegS_Loc_n,"&lt;"&amp;BL41,nADM_SegE_Loc_n,"&gt;"&amp;BK41)-IF(BL41&gt;BK41,1,0))</f>
        <v>0</v>
      </c>
      <c r="BP41" s="22">
        <f>IF(BH41=0,0,COUNTIFS(nADM_SelKey,AN41,nADM_SegOK,1,nADM_SegS_UTC_n,"&lt;"&amp;BJ41,nADM_SegE_UTC_n,"&gt;"&amp;BI41)-IF(BJ41&gt;BI41,1,0))</f>
        <v>0</v>
      </c>
      <c r="BQ41" s="21" t="str">
        <f t="shared" si="74"/>
        <v/>
      </c>
      <c r="BR41" s="22">
        <f>IF(C41="",1,IF(COUNTIF(nEXP_Key,AN41)&gt;0,1,0))</f>
        <v>1</v>
      </c>
      <c r="BS41" s="21" t="str">
        <f t="shared" si="75"/>
        <v/>
      </c>
      <c r="BT41" s="21" t="str">
        <f>IF(BS41="","",BS41&amp;": "&amp;SUBSTITUTE(IFERROR(INDEX(nMSG_Text,MATCH(BS41,nMSG_Code,0)),""),"[input]",IF(C41="","an Admin_ID",IF(BR41=0,"an Exposures row for episode "&amp;D41,IF(BQ41&lt;&gt;"","segment start and end timestamps and a rate in mg/hour","the date fields required by the selected precision")))))</f>
        <v/>
      </c>
    </row>
    <row r="42" spans="1:72" x14ac:dyDescent="0.2">
      <c r="A42" s="10"/>
      <c r="B42" s="12"/>
      <c r="C42" s="10"/>
      <c r="D42" s="10"/>
      <c r="E42" s="17"/>
      <c r="F42" s="17"/>
      <c r="G42" s="17"/>
      <c r="H42" s="17"/>
      <c r="I42" s="17"/>
      <c r="J42" s="17"/>
      <c r="K42" s="17"/>
      <c r="L42" s="10"/>
      <c r="M42" s="10"/>
      <c r="N42" s="17"/>
      <c r="O42" s="15"/>
      <c r="P42" s="26"/>
      <c r="Q42" s="10"/>
      <c r="R42" s="12"/>
      <c r="S42" s="12"/>
      <c r="T42" s="15"/>
      <c r="U42" s="15"/>
      <c r="V42" s="10"/>
      <c r="W42" s="21" t="str">
        <f>IF(COUNTA(N42:U42)=0,"",IF(N42="","E_MISSING_INPUT",IF(N42="TIMESTAMP",IF(OR(O42="",P42="",Q42=""),"E_MISSING_INPUT",IF(OR(NOT(ISNUMBER(O42)),NOT(ISNUMBER(P42))),"E_INVALID_DATE",IF(OR(O42&lt;&gt;INT(O42),P42&lt;0,P42&gt;=1),"E_INVALID_DATE",IF(ISNA(MATCH(Q42,nLIST_Offset,0)),"E_INVALID_DATE","")))),IF(N42="DATE",IF(O42="","E_MISSING_INPUT",IF(NOT(ISNUMBER(O42)),"E_INVALID_DATE",IF(O42&lt;&gt;INT(O42),"E_INVALID_DATE",""))),IF(N42="MONTH",IF(OR(R42="",S42=""),"E_MISSING_INPUT",IF(OR(NOT(ISNUMBER(R42)),NOT(ISNUMBER(S42))),"E_INVALID_DATE",IF(OR(R42&lt;1900,R42&gt;9999,R42&lt;&gt;INT(R42),S42&lt;1,S42&gt;12,S42&lt;&gt;INT(S42)),"E_INVALID_DATE",""))),IF(N42="YEAR",IF(R42="","E_MISSING_INPUT",IF(NOT(ISNUMBER(R42)),"E_INVALID_DATE",IF(OR(R42&lt;1900,R42&gt;9999,R42&lt;&gt;INT(R42)),"E_INVALID_DATE",""))),IF(N42="RANGE",IF(OR(T42="",U42=""),"E_MISSING_INPUT",IF(OR(NOT(ISNUMBER(T42)),NOT(ISNUMBER(U42))),"E_INVALID_DATE",IF(OR(T42&lt;&gt;INT(T42),U42&lt;&gt;INT(U42)),"E_INVALID_DATE",IF(T42&gt;U42,"E_REVERSED_BOUNDS","")))),"E_MISSING_INPUT")))))))</f>
        <v/>
      </c>
      <c r="X42" s="22">
        <f t="shared" si="38"/>
        <v>0</v>
      </c>
      <c r="Y42" s="22">
        <f t="shared" si="39"/>
        <v>0</v>
      </c>
      <c r="Z42" s="28" t="str">
        <f t="shared" si="40"/>
        <v/>
      </c>
      <c r="AA42" s="28" t="str">
        <f t="shared" si="41"/>
        <v/>
      </c>
      <c r="AB42" s="22" t="str">
        <f t="shared" si="42"/>
        <v/>
      </c>
      <c r="AC42" s="22" t="str">
        <f t="shared" si="43"/>
        <v/>
      </c>
      <c r="AD42" s="15"/>
      <c r="AE42" s="26"/>
      <c r="AF42" s="10"/>
      <c r="AG42" s="10"/>
      <c r="AH42" s="21" t="str">
        <f>IF(COUNTA(AD42:AF42)=0,"",IF(OR(AD42="",AE42="",AF42=""),"E_MISSING_INPUT",IF(OR(NOT(ISNUMBER(AD42)),NOT(ISNUMBER(AE42))),"E_INVALID_DATE",IF(OR(AD42&lt;&gt;INT(AD42),AE42&lt;0,AE42&gt;=1),"E_INVALID_DATE",IF(ISNA(MATCH(AF42,nLIST_Offset,0)),"E_INVALID_DATE","")))))</f>
        <v/>
      </c>
      <c r="AI42" s="22" t="str">
        <f t="shared" si="44"/>
        <v/>
      </c>
      <c r="AJ42" s="22">
        <f t="shared" si="45"/>
        <v>0</v>
      </c>
      <c r="AK42" s="22" t="str">
        <f t="shared" si="46"/>
        <v/>
      </c>
      <c r="AL42" s="21" t="str">
        <f t="shared" si="47"/>
        <v/>
      </c>
      <c r="AM42" s="22">
        <f>IF(AL42="",0,COUNTIF(nADM_Key,AL42))</f>
        <v>0</v>
      </c>
      <c r="AN42" s="21" t="str">
        <f t="shared" si="48"/>
        <v/>
      </c>
      <c r="AO42" s="22">
        <f t="shared" si="49"/>
        <v>0</v>
      </c>
      <c r="AP42" s="22">
        <f t="shared" si="50"/>
        <v>0</v>
      </c>
      <c r="AQ42" s="22">
        <f t="shared" si="51"/>
        <v>0</v>
      </c>
      <c r="AR42" s="22">
        <f t="shared" si="52"/>
        <v>0</v>
      </c>
      <c r="AS42" s="22">
        <f t="shared" si="53"/>
        <v>0</v>
      </c>
      <c r="AT42" s="22">
        <f>ROW()</f>
        <v>42</v>
      </c>
      <c r="AU42" s="21">
        <f t="shared" si="54"/>
        <v>0</v>
      </c>
      <c r="AV42" s="21">
        <f t="shared" si="55"/>
        <v>0</v>
      </c>
      <c r="AW42" s="21">
        <f t="shared" si="56"/>
        <v>0</v>
      </c>
      <c r="AX42" s="22">
        <f t="shared" si="57"/>
        <v>0</v>
      </c>
      <c r="AY42" s="21">
        <f t="shared" si="58"/>
        <v>0</v>
      </c>
      <c r="AZ42" s="21">
        <f t="shared" si="59"/>
        <v>-1</v>
      </c>
      <c r="BA42" s="22">
        <f t="shared" si="60"/>
        <v>0</v>
      </c>
      <c r="BB42" s="22">
        <f t="shared" si="61"/>
        <v>0</v>
      </c>
      <c r="BC42" s="22">
        <f t="shared" si="62"/>
        <v>0</v>
      </c>
      <c r="BD42" s="21">
        <f t="shared" si="63"/>
        <v>0</v>
      </c>
      <c r="BE42" s="21" t="str">
        <f t="shared" si="64"/>
        <v/>
      </c>
      <c r="BF42" s="21" t="str">
        <f t="shared" si="65"/>
        <v/>
      </c>
      <c r="BG42" s="22">
        <f t="shared" si="66"/>
        <v>0</v>
      </c>
      <c r="BH42" s="22">
        <f t="shared" si="67"/>
        <v>0</v>
      </c>
      <c r="BI42" s="22">
        <f t="shared" si="68"/>
        <v>0</v>
      </c>
      <c r="BJ42" s="22">
        <f t="shared" si="69"/>
        <v>0</v>
      </c>
      <c r="BK42" s="22">
        <f t="shared" si="70"/>
        <v>0</v>
      </c>
      <c r="BL42" s="22">
        <f t="shared" si="71"/>
        <v>0</v>
      </c>
      <c r="BM42" s="22">
        <f t="shared" si="72"/>
        <v>0</v>
      </c>
      <c r="BN42" s="22">
        <f t="shared" si="73"/>
        <v>0</v>
      </c>
      <c r="BO42" s="22">
        <f>IF(BG42=0,0,COUNTIFS(nADM_SelKey,AN42,nADM_SegValid,1,nADM_SegS_Loc_n,"&lt;"&amp;BL42,nADM_SegE_Loc_n,"&gt;"&amp;BK42)-IF(BL42&gt;BK42,1,0))</f>
        <v>0</v>
      </c>
      <c r="BP42" s="22">
        <f>IF(BH42=0,0,COUNTIFS(nADM_SelKey,AN42,nADM_SegOK,1,nADM_SegS_UTC_n,"&lt;"&amp;BJ42,nADM_SegE_UTC_n,"&gt;"&amp;BI42)-IF(BJ42&gt;BI42,1,0))</f>
        <v>0</v>
      </c>
      <c r="BQ42" s="21" t="str">
        <f t="shared" si="74"/>
        <v/>
      </c>
      <c r="BR42" s="22">
        <f>IF(C42="",1,IF(COUNTIF(nEXP_Key,AN42)&gt;0,1,0))</f>
        <v>1</v>
      </c>
      <c r="BS42" s="21" t="str">
        <f t="shared" si="75"/>
        <v/>
      </c>
      <c r="BT42" s="21" t="str">
        <f>IF(BS42="","",BS42&amp;": "&amp;SUBSTITUTE(IFERROR(INDEX(nMSG_Text,MATCH(BS42,nMSG_Code,0)),""),"[input]",IF(C42="","an Admin_ID",IF(BR42=0,"an Exposures row for episode "&amp;D42,IF(BQ42&lt;&gt;"","segment start and end timestamps and a rate in mg/hour","the date fields required by the selected precision")))))</f>
        <v/>
      </c>
    </row>
    <row r="43" spans="1:72" x14ac:dyDescent="0.2">
      <c r="A43" s="10"/>
      <c r="B43" s="12"/>
      <c r="C43" s="10"/>
      <c r="D43" s="10"/>
      <c r="E43" s="17"/>
      <c r="F43" s="17"/>
      <c r="G43" s="17"/>
      <c r="H43" s="17"/>
      <c r="I43" s="17"/>
      <c r="J43" s="17"/>
      <c r="K43" s="17"/>
      <c r="L43" s="10"/>
      <c r="M43" s="10"/>
      <c r="N43" s="17"/>
      <c r="O43" s="15"/>
      <c r="P43" s="26"/>
      <c r="Q43" s="10"/>
      <c r="R43" s="12"/>
      <c r="S43" s="12"/>
      <c r="T43" s="15"/>
      <c r="U43" s="15"/>
      <c r="V43" s="10"/>
      <c r="W43" s="21" t="str">
        <f>IF(COUNTA(N43:U43)=0,"",IF(N43="","E_MISSING_INPUT",IF(N43="TIMESTAMP",IF(OR(O43="",P43="",Q43=""),"E_MISSING_INPUT",IF(OR(NOT(ISNUMBER(O43)),NOT(ISNUMBER(P43))),"E_INVALID_DATE",IF(OR(O43&lt;&gt;INT(O43),P43&lt;0,P43&gt;=1),"E_INVALID_DATE",IF(ISNA(MATCH(Q43,nLIST_Offset,0)),"E_INVALID_DATE","")))),IF(N43="DATE",IF(O43="","E_MISSING_INPUT",IF(NOT(ISNUMBER(O43)),"E_INVALID_DATE",IF(O43&lt;&gt;INT(O43),"E_INVALID_DATE",""))),IF(N43="MONTH",IF(OR(R43="",S43=""),"E_MISSING_INPUT",IF(OR(NOT(ISNUMBER(R43)),NOT(ISNUMBER(S43))),"E_INVALID_DATE",IF(OR(R43&lt;1900,R43&gt;9999,R43&lt;&gt;INT(R43),S43&lt;1,S43&gt;12,S43&lt;&gt;INT(S43)),"E_INVALID_DATE",""))),IF(N43="YEAR",IF(R43="","E_MISSING_INPUT",IF(NOT(ISNUMBER(R43)),"E_INVALID_DATE",IF(OR(R43&lt;1900,R43&gt;9999,R43&lt;&gt;INT(R43)),"E_INVALID_DATE",""))),IF(N43="RANGE",IF(OR(T43="",U43=""),"E_MISSING_INPUT",IF(OR(NOT(ISNUMBER(T43)),NOT(ISNUMBER(U43))),"E_INVALID_DATE",IF(OR(T43&lt;&gt;INT(T43),U43&lt;&gt;INT(U43)),"E_INVALID_DATE",IF(T43&gt;U43,"E_REVERSED_BOUNDS","")))),"E_MISSING_INPUT")))))))</f>
        <v/>
      </c>
      <c r="X43" s="22">
        <f t="shared" si="38"/>
        <v>0</v>
      </c>
      <c r="Y43" s="22">
        <f t="shared" si="39"/>
        <v>0</v>
      </c>
      <c r="Z43" s="28" t="str">
        <f t="shared" si="40"/>
        <v/>
      </c>
      <c r="AA43" s="28" t="str">
        <f t="shared" si="41"/>
        <v/>
      </c>
      <c r="AB43" s="22" t="str">
        <f t="shared" si="42"/>
        <v/>
      </c>
      <c r="AC43" s="22" t="str">
        <f t="shared" si="43"/>
        <v/>
      </c>
      <c r="AD43" s="15"/>
      <c r="AE43" s="26"/>
      <c r="AF43" s="10"/>
      <c r="AG43" s="10"/>
      <c r="AH43" s="21" t="str">
        <f>IF(COUNTA(AD43:AF43)=0,"",IF(OR(AD43="",AE43="",AF43=""),"E_MISSING_INPUT",IF(OR(NOT(ISNUMBER(AD43)),NOT(ISNUMBER(AE43))),"E_INVALID_DATE",IF(OR(AD43&lt;&gt;INT(AD43),AE43&lt;0,AE43&gt;=1),"E_INVALID_DATE",IF(ISNA(MATCH(AF43,nLIST_Offset,0)),"E_INVALID_DATE","")))))</f>
        <v/>
      </c>
      <c r="AI43" s="22" t="str">
        <f t="shared" si="44"/>
        <v/>
      </c>
      <c r="AJ43" s="22">
        <f t="shared" si="45"/>
        <v>0</v>
      </c>
      <c r="AK43" s="22" t="str">
        <f t="shared" si="46"/>
        <v/>
      </c>
      <c r="AL43" s="21" t="str">
        <f t="shared" si="47"/>
        <v/>
      </c>
      <c r="AM43" s="22">
        <f>IF(AL43="",0,COUNTIF(nADM_Key,AL43))</f>
        <v>0</v>
      </c>
      <c r="AN43" s="21" t="str">
        <f t="shared" si="48"/>
        <v/>
      </c>
      <c r="AO43" s="22">
        <f t="shared" si="49"/>
        <v>0</v>
      </c>
      <c r="AP43" s="22">
        <f t="shared" si="50"/>
        <v>0</v>
      </c>
      <c r="AQ43" s="22">
        <f t="shared" si="51"/>
        <v>0</v>
      </c>
      <c r="AR43" s="22">
        <f t="shared" si="52"/>
        <v>0</v>
      </c>
      <c r="AS43" s="22">
        <f t="shared" si="53"/>
        <v>0</v>
      </c>
      <c r="AT43" s="22">
        <f>ROW()</f>
        <v>43</v>
      </c>
      <c r="AU43" s="21">
        <f t="shared" si="54"/>
        <v>0</v>
      </c>
      <c r="AV43" s="21">
        <f t="shared" si="55"/>
        <v>0</v>
      </c>
      <c r="AW43" s="21">
        <f t="shared" si="56"/>
        <v>0</v>
      </c>
      <c r="AX43" s="22">
        <f t="shared" si="57"/>
        <v>0</v>
      </c>
      <c r="AY43" s="21">
        <f t="shared" si="58"/>
        <v>0</v>
      </c>
      <c r="AZ43" s="21">
        <f t="shared" si="59"/>
        <v>-1</v>
      </c>
      <c r="BA43" s="22">
        <f t="shared" si="60"/>
        <v>0</v>
      </c>
      <c r="BB43" s="22">
        <f t="shared" si="61"/>
        <v>0</v>
      </c>
      <c r="BC43" s="22">
        <f t="shared" si="62"/>
        <v>0</v>
      </c>
      <c r="BD43" s="21">
        <f t="shared" si="63"/>
        <v>0</v>
      </c>
      <c r="BE43" s="21" t="str">
        <f t="shared" si="64"/>
        <v/>
      </c>
      <c r="BF43" s="21" t="str">
        <f t="shared" si="65"/>
        <v/>
      </c>
      <c r="BG43" s="22">
        <f t="shared" si="66"/>
        <v>0</v>
      </c>
      <c r="BH43" s="22">
        <f t="shared" si="67"/>
        <v>0</v>
      </c>
      <c r="BI43" s="22">
        <f t="shared" si="68"/>
        <v>0</v>
      </c>
      <c r="BJ43" s="22">
        <f t="shared" si="69"/>
        <v>0</v>
      </c>
      <c r="BK43" s="22">
        <f t="shared" si="70"/>
        <v>0</v>
      </c>
      <c r="BL43" s="22">
        <f t="shared" si="71"/>
        <v>0</v>
      </c>
      <c r="BM43" s="22">
        <f t="shared" si="72"/>
        <v>0</v>
      </c>
      <c r="BN43" s="22">
        <f t="shared" si="73"/>
        <v>0</v>
      </c>
      <c r="BO43" s="22">
        <f>IF(BG43=0,0,COUNTIFS(nADM_SelKey,AN43,nADM_SegValid,1,nADM_SegS_Loc_n,"&lt;"&amp;BL43,nADM_SegE_Loc_n,"&gt;"&amp;BK43)-IF(BL43&gt;BK43,1,0))</f>
        <v>0</v>
      </c>
      <c r="BP43" s="22">
        <f>IF(BH43=0,0,COUNTIFS(nADM_SelKey,AN43,nADM_SegOK,1,nADM_SegS_UTC_n,"&lt;"&amp;BJ43,nADM_SegE_UTC_n,"&gt;"&amp;BI43)-IF(BJ43&gt;BI43,1,0))</f>
        <v>0</v>
      </c>
      <c r="BQ43" s="21" t="str">
        <f t="shared" si="74"/>
        <v/>
      </c>
      <c r="BR43" s="22">
        <f>IF(C43="",1,IF(COUNTIF(nEXP_Key,AN43)&gt;0,1,0))</f>
        <v>1</v>
      </c>
      <c r="BS43" s="21" t="str">
        <f t="shared" si="75"/>
        <v/>
      </c>
      <c r="BT43" s="21" t="str">
        <f>IF(BS43="","",BS43&amp;": "&amp;SUBSTITUTE(IFERROR(INDEX(nMSG_Text,MATCH(BS43,nMSG_Code,0)),""),"[input]",IF(C43="","an Admin_ID",IF(BR43=0,"an Exposures row for episode "&amp;D43,IF(BQ43&lt;&gt;"","segment start and end timestamps and a rate in mg/hour","the date fields required by the selected precision")))))</f>
        <v/>
      </c>
    </row>
    <row r="44" spans="1:72" x14ac:dyDescent="0.2">
      <c r="A44" s="10"/>
      <c r="B44" s="12"/>
      <c r="C44" s="10"/>
      <c r="D44" s="10"/>
      <c r="E44" s="17"/>
      <c r="F44" s="17"/>
      <c r="G44" s="17"/>
      <c r="H44" s="17"/>
      <c r="I44" s="17"/>
      <c r="J44" s="17"/>
      <c r="K44" s="17"/>
      <c r="L44" s="10"/>
      <c r="M44" s="10"/>
      <c r="N44" s="17"/>
      <c r="O44" s="15"/>
      <c r="P44" s="26"/>
      <c r="Q44" s="10"/>
      <c r="R44" s="12"/>
      <c r="S44" s="12"/>
      <c r="T44" s="15"/>
      <c r="U44" s="15"/>
      <c r="V44" s="10"/>
      <c r="W44" s="21" t="str">
        <f>IF(COUNTA(N44:U44)=0,"",IF(N44="","E_MISSING_INPUT",IF(N44="TIMESTAMP",IF(OR(O44="",P44="",Q44=""),"E_MISSING_INPUT",IF(OR(NOT(ISNUMBER(O44)),NOT(ISNUMBER(P44))),"E_INVALID_DATE",IF(OR(O44&lt;&gt;INT(O44),P44&lt;0,P44&gt;=1),"E_INVALID_DATE",IF(ISNA(MATCH(Q44,nLIST_Offset,0)),"E_INVALID_DATE","")))),IF(N44="DATE",IF(O44="","E_MISSING_INPUT",IF(NOT(ISNUMBER(O44)),"E_INVALID_DATE",IF(O44&lt;&gt;INT(O44),"E_INVALID_DATE",""))),IF(N44="MONTH",IF(OR(R44="",S44=""),"E_MISSING_INPUT",IF(OR(NOT(ISNUMBER(R44)),NOT(ISNUMBER(S44))),"E_INVALID_DATE",IF(OR(R44&lt;1900,R44&gt;9999,R44&lt;&gt;INT(R44),S44&lt;1,S44&gt;12,S44&lt;&gt;INT(S44)),"E_INVALID_DATE",""))),IF(N44="YEAR",IF(R44="","E_MISSING_INPUT",IF(NOT(ISNUMBER(R44)),"E_INVALID_DATE",IF(OR(R44&lt;1900,R44&gt;9999,R44&lt;&gt;INT(R44)),"E_INVALID_DATE",""))),IF(N44="RANGE",IF(OR(T44="",U44=""),"E_MISSING_INPUT",IF(OR(NOT(ISNUMBER(T44)),NOT(ISNUMBER(U44))),"E_INVALID_DATE",IF(OR(T44&lt;&gt;INT(T44),U44&lt;&gt;INT(U44)),"E_INVALID_DATE",IF(T44&gt;U44,"E_REVERSED_BOUNDS","")))),"E_MISSING_INPUT")))))))</f>
        <v/>
      </c>
      <c r="X44" s="22">
        <f t="shared" si="38"/>
        <v>0</v>
      </c>
      <c r="Y44" s="22">
        <f t="shared" si="39"/>
        <v>0</v>
      </c>
      <c r="Z44" s="28" t="str">
        <f t="shared" si="40"/>
        <v/>
      </c>
      <c r="AA44" s="28" t="str">
        <f t="shared" si="41"/>
        <v/>
      </c>
      <c r="AB44" s="22" t="str">
        <f t="shared" si="42"/>
        <v/>
      </c>
      <c r="AC44" s="22" t="str">
        <f t="shared" si="43"/>
        <v/>
      </c>
      <c r="AD44" s="15"/>
      <c r="AE44" s="26"/>
      <c r="AF44" s="10"/>
      <c r="AG44" s="10"/>
      <c r="AH44" s="21" t="str">
        <f>IF(COUNTA(AD44:AF44)=0,"",IF(OR(AD44="",AE44="",AF44=""),"E_MISSING_INPUT",IF(OR(NOT(ISNUMBER(AD44)),NOT(ISNUMBER(AE44))),"E_INVALID_DATE",IF(OR(AD44&lt;&gt;INT(AD44),AE44&lt;0,AE44&gt;=1),"E_INVALID_DATE",IF(ISNA(MATCH(AF44,nLIST_Offset,0)),"E_INVALID_DATE","")))))</f>
        <v/>
      </c>
      <c r="AI44" s="22" t="str">
        <f t="shared" si="44"/>
        <v/>
      </c>
      <c r="AJ44" s="22">
        <f t="shared" si="45"/>
        <v>0</v>
      </c>
      <c r="AK44" s="22" t="str">
        <f t="shared" si="46"/>
        <v/>
      </c>
      <c r="AL44" s="21" t="str">
        <f t="shared" si="47"/>
        <v/>
      </c>
      <c r="AM44" s="22">
        <f>IF(AL44="",0,COUNTIF(nADM_Key,AL44))</f>
        <v>0</v>
      </c>
      <c r="AN44" s="21" t="str">
        <f t="shared" si="48"/>
        <v/>
      </c>
      <c r="AO44" s="22">
        <f t="shared" si="49"/>
        <v>0</v>
      </c>
      <c r="AP44" s="22">
        <f t="shared" si="50"/>
        <v>0</v>
      </c>
      <c r="AQ44" s="22">
        <f t="shared" si="51"/>
        <v>0</v>
      </c>
      <c r="AR44" s="22">
        <f t="shared" si="52"/>
        <v>0</v>
      </c>
      <c r="AS44" s="22">
        <f t="shared" si="53"/>
        <v>0</v>
      </c>
      <c r="AT44" s="22">
        <f>ROW()</f>
        <v>44</v>
      </c>
      <c r="AU44" s="21">
        <f t="shared" si="54"/>
        <v>0</v>
      </c>
      <c r="AV44" s="21">
        <f t="shared" si="55"/>
        <v>0</v>
      </c>
      <c r="AW44" s="21">
        <f t="shared" si="56"/>
        <v>0</v>
      </c>
      <c r="AX44" s="22">
        <f t="shared" si="57"/>
        <v>0</v>
      </c>
      <c r="AY44" s="21">
        <f t="shared" si="58"/>
        <v>0</v>
      </c>
      <c r="AZ44" s="21">
        <f t="shared" si="59"/>
        <v>-1</v>
      </c>
      <c r="BA44" s="22">
        <f t="shared" si="60"/>
        <v>0</v>
      </c>
      <c r="BB44" s="22">
        <f t="shared" si="61"/>
        <v>0</v>
      </c>
      <c r="BC44" s="22">
        <f t="shared" si="62"/>
        <v>0</v>
      </c>
      <c r="BD44" s="21">
        <f t="shared" si="63"/>
        <v>0</v>
      </c>
      <c r="BE44" s="21" t="str">
        <f t="shared" si="64"/>
        <v/>
      </c>
      <c r="BF44" s="21" t="str">
        <f t="shared" si="65"/>
        <v/>
      </c>
      <c r="BG44" s="22">
        <f t="shared" si="66"/>
        <v>0</v>
      </c>
      <c r="BH44" s="22">
        <f t="shared" si="67"/>
        <v>0</v>
      </c>
      <c r="BI44" s="22">
        <f t="shared" si="68"/>
        <v>0</v>
      </c>
      <c r="BJ44" s="22">
        <f t="shared" si="69"/>
        <v>0</v>
      </c>
      <c r="BK44" s="22">
        <f t="shared" si="70"/>
        <v>0</v>
      </c>
      <c r="BL44" s="22">
        <f t="shared" si="71"/>
        <v>0</v>
      </c>
      <c r="BM44" s="22">
        <f t="shared" si="72"/>
        <v>0</v>
      </c>
      <c r="BN44" s="22">
        <f t="shared" si="73"/>
        <v>0</v>
      </c>
      <c r="BO44" s="22">
        <f>IF(BG44=0,0,COUNTIFS(nADM_SelKey,AN44,nADM_SegValid,1,nADM_SegS_Loc_n,"&lt;"&amp;BL44,nADM_SegE_Loc_n,"&gt;"&amp;BK44)-IF(BL44&gt;BK44,1,0))</f>
        <v>0</v>
      </c>
      <c r="BP44" s="22">
        <f>IF(BH44=0,0,COUNTIFS(nADM_SelKey,AN44,nADM_SegOK,1,nADM_SegS_UTC_n,"&lt;"&amp;BJ44,nADM_SegE_UTC_n,"&gt;"&amp;BI44)-IF(BJ44&gt;BI44,1,0))</f>
        <v>0</v>
      </c>
      <c r="BQ44" s="21" t="str">
        <f t="shared" si="74"/>
        <v/>
      </c>
      <c r="BR44" s="22">
        <f>IF(C44="",1,IF(COUNTIF(nEXP_Key,AN44)&gt;0,1,0))</f>
        <v>1</v>
      </c>
      <c r="BS44" s="21" t="str">
        <f t="shared" si="75"/>
        <v/>
      </c>
      <c r="BT44" s="21" t="str">
        <f>IF(BS44="","",BS44&amp;": "&amp;SUBSTITUTE(IFERROR(INDEX(nMSG_Text,MATCH(BS44,nMSG_Code,0)),""),"[input]",IF(C44="","an Admin_ID",IF(BR44=0,"an Exposures row for episode "&amp;D44,IF(BQ44&lt;&gt;"","segment start and end timestamps and a rate in mg/hour","the date fields required by the selected precision")))))</f>
        <v/>
      </c>
    </row>
    <row r="45" spans="1:72" x14ac:dyDescent="0.2">
      <c r="A45" s="10"/>
      <c r="B45" s="12"/>
      <c r="C45" s="10"/>
      <c r="D45" s="10"/>
      <c r="E45" s="17"/>
      <c r="F45" s="17"/>
      <c r="G45" s="17"/>
      <c r="H45" s="17"/>
      <c r="I45" s="17"/>
      <c r="J45" s="17"/>
      <c r="K45" s="17"/>
      <c r="L45" s="10"/>
      <c r="M45" s="10"/>
      <c r="N45" s="17"/>
      <c r="O45" s="15"/>
      <c r="P45" s="26"/>
      <c r="Q45" s="10"/>
      <c r="R45" s="12"/>
      <c r="S45" s="12"/>
      <c r="T45" s="15"/>
      <c r="U45" s="15"/>
      <c r="V45" s="10"/>
      <c r="W45" s="21" t="str">
        <f>IF(COUNTA(N45:U45)=0,"",IF(N45="","E_MISSING_INPUT",IF(N45="TIMESTAMP",IF(OR(O45="",P45="",Q45=""),"E_MISSING_INPUT",IF(OR(NOT(ISNUMBER(O45)),NOT(ISNUMBER(P45))),"E_INVALID_DATE",IF(OR(O45&lt;&gt;INT(O45),P45&lt;0,P45&gt;=1),"E_INVALID_DATE",IF(ISNA(MATCH(Q45,nLIST_Offset,0)),"E_INVALID_DATE","")))),IF(N45="DATE",IF(O45="","E_MISSING_INPUT",IF(NOT(ISNUMBER(O45)),"E_INVALID_DATE",IF(O45&lt;&gt;INT(O45),"E_INVALID_DATE",""))),IF(N45="MONTH",IF(OR(R45="",S45=""),"E_MISSING_INPUT",IF(OR(NOT(ISNUMBER(R45)),NOT(ISNUMBER(S45))),"E_INVALID_DATE",IF(OR(R45&lt;1900,R45&gt;9999,R45&lt;&gt;INT(R45),S45&lt;1,S45&gt;12,S45&lt;&gt;INT(S45)),"E_INVALID_DATE",""))),IF(N45="YEAR",IF(R45="","E_MISSING_INPUT",IF(NOT(ISNUMBER(R45)),"E_INVALID_DATE",IF(OR(R45&lt;1900,R45&gt;9999,R45&lt;&gt;INT(R45)),"E_INVALID_DATE",""))),IF(N45="RANGE",IF(OR(T45="",U45=""),"E_MISSING_INPUT",IF(OR(NOT(ISNUMBER(T45)),NOT(ISNUMBER(U45))),"E_INVALID_DATE",IF(OR(T45&lt;&gt;INT(T45),U45&lt;&gt;INT(U45)),"E_INVALID_DATE",IF(T45&gt;U45,"E_REVERSED_BOUNDS","")))),"E_MISSING_INPUT")))))))</f>
        <v/>
      </c>
      <c r="X45" s="22">
        <f t="shared" si="38"/>
        <v>0</v>
      </c>
      <c r="Y45" s="22">
        <f t="shared" si="39"/>
        <v>0</v>
      </c>
      <c r="Z45" s="28" t="str">
        <f t="shared" si="40"/>
        <v/>
      </c>
      <c r="AA45" s="28" t="str">
        <f t="shared" si="41"/>
        <v/>
      </c>
      <c r="AB45" s="22" t="str">
        <f t="shared" si="42"/>
        <v/>
      </c>
      <c r="AC45" s="22" t="str">
        <f t="shared" si="43"/>
        <v/>
      </c>
      <c r="AD45" s="15"/>
      <c r="AE45" s="26"/>
      <c r="AF45" s="10"/>
      <c r="AG45" s="10"/>
      <c r="AH45" s="21" t="str">
        <f>IF(COUNTA(AD45:AF45)=0,"",IF(OR(AD45="",AE45="",AF45=""),"E_MISSING_INPUT",IF(OR(NOT(ISNUMBER(AD45)),NOT(ISNUMBER(AE45))),"E_INVALID_DATE",IF(OR(AD45&lt;&gt;INT(AD45),AE45&lt;0,AE45&gt;=1),"E_INVALID_DATE",IF(ISNA(MATCH(AF45,nLIST_Offset,0)),"E_INVALID_DATE","")))))</f>
        <v/>
      </c>
      <c r="AI45" s="22" t="str">
        <f t="shared" si="44"/>
        <v/>
      </c>
      <c r="AJ45" s="22">
        <f t="shared" si="45"/>
        <v>0</v>
      </c>
      <c r="AK45" s="22" t="str">
        <f t="shared" si="46"/>
        <v/>
      </c>
      <c r="AL45" s="21" t="str">
        <f t="shared" si="47"/>
        <v/>
      </c>
      <c r="AM45" s="22">
        <f>IF(AL45="",0,COUNTIF(nADM_Key,AL45))</f>
        <v>0</v>
      </c>
      <c r="AN45" s="21" t="str">
        <f t="shared" si="48"/>
        <v/>
      </c>
      <c r="AO45" s="22">
        <f t="shared" si="49"/>
        <v>0</v>
      </c>
      <c r="AP45" s="22">
        <f t="shared" si="50"/>
        <v>0</v>
      </c>
      <c r="AQ45" s="22">
        <f t="shared" si="51"/>
        <v>0</v>
      </c>
      <c r="AR45" s="22">
        <f t="shared" si="52"/>
        <v>0</v>
      </c>
      <c r="AS45" s="22">
        <f t="shared" si="53"/>
        <v>0</v>
      </c>
      <c r="AT45" s="22">
        <f>ROW()</f>
        <v>45</v>
      </c>
      <c r="AU45" s="21">
        <f t="shared" si="54"/>
        <v>0</v>
      </c>
      <c r="AV45" s="21">
        <f t="shared" si="55"/>
        <v>0</v>
      </c>
      <c r="AW45" s="21">
        <f t="shared" si="56"/>
        <v>0</v>
      </c>
      <c r="AX45" s="22">
        <f t="shared" si="57"/>
        <v>0</v>
      </c>
      <c r="AY45" s="21">
        <f t="shared" si="58"/>
        <v>0</v>
      </c>
      <c r="AZ45" s="21">
        <f t="shared" si="59"/>
        <v>-1</v>
      </c>
      <c r="BA45" s="22">
        <f t="shared" si="60"/>
        <v>0</v>
      </c>
      <c r="BB45" s="22">
        <f t="shared" si="61"/>
        <v>0</v>
      </c>
      <c r="BC45" s="22">
        <f t="shared" si="62"/>
        <v>0</v>
      </c>
      <c r="BD45" s="21">
        <f t="shared" si="63"/>
        <v>0</v>
      </c>
      <c r="BE45" s="21" t="str">
        <f t="shared" si="64"/>
        <v/>
      </c>
      <c r="BF45" s="21" t="str">
        <f t="shared" si="65"/>
        <v/>
      </c>
      <c r="BG45" s="22">
        <f t="shared" si="66"/>
        <v>0</v>
      </c>
      <c r="BH45" s="22">
        <f t="shared" si="67"/>
        <v>0</v>
      </c>
      <c r="BI45" s="22">
        <f t="shared" si="68"/>
        <v>0</v>
      </c>
      <c r="BJ45" s="22">
        <f t="shared" si="69"/>
        <v>0</v>
      </c>
      <c r="BK45" s="22">
        <f t="shared" si="70"/>
        <v>0</v>
      </c>
      <c r="BL45" s="22">
        <f t="shared" si="71"/>
        <v>0</v>
      </c>
      <c r="BM45" s="22">
        <f t="shared" si="72"/>
        <v>0</v>
      </c>
      <c r="BN45" s="22">
        <f t="shared" si="73"/>
        <v>0</v>
      </c>
      <c r="BO45" s="22">
        <f>IF(BG45=0,0,COUNTIFS(nADM_SelKey,AN45,nADM_SegValid,1,nADM_SegS_Loc_n,"&lt;"&amp;BL45,nADM_SegE_Loc_n,"&gt;"&amp;BK45)-IF(BL45&gt;BK45,1,0))</f>
        <v>0</v>
      </c>
      <c r="BP45" s="22">
        <f>IF(BH45=0,0,COUNTIFS(nADM_SelKey,AN45,nADM_SegOK,1,nADM_SegS_UTC_n,"&lt;"&amp;BJ45,nADM_SegE_UTC_n,"&gt;"&amp;BI45)-IF(BJ45&gt;BI45,1,0))</f>
        <v>0</v>
      </c>
      <c r="BQ45" s="21" t="str">
        <f t="shared" si="74"/>
        <v/>
      </c>
      <c r="BR45" s="22">
        <f>IF(C45="",1,IF(COUNTIF(nEXP_Key,AN45)&gt;0,1,0))</f>
        <v>1</v>
      </c>
      <c r="BS45" s="21" t="str">
        <f t="shared" si="75"/>
        <v/>
      </c>
      <c r="BT45" s="21" t="str">
        <f>IF(BS45="","",BS45&amp;": "&amp;SUBSTITUTE(IFERROR(INDEX(nMSG_Text,MATCH(BS45,nMSG_Code,0)),""),"[input]",IF(C45="","an Admin_ID",IF(BR45=0,"an Exposures row for episode "&amp;D45,IF(BQ45&lt;&gt;"","segment start and end timestamps and a rate in mg/hour","the date fields required by the selected precision")))))</f>
        <v/>
      </c>
    </row>
    <row r="46" spans="1:72" x14ac:dyDescent="0.2">
      <c r="A46" s="10"/>
      <c r="B46" s="12"/>
      <c r="C46" s="10"/>
      <c r="D46" s="10"/>
      <c r="E46" s="17"/>
      <c r="F46" s="17"/>
      <c r="G46" s="17"/>
      <c r="H46" s="17"/>
      <c r="I46" s="17"/>
      <c r="J46" s="17"/>
      <c r="K46" s="17"/>
      <c r="L46" s="10"/>
      <c r="M46" s="10"/>
      <c r="N46" s="17"/>
      <c r="O46" s="15"/>
      <c r="P46" s="26"/>
      <c r="Q46" s="10"/>
      <c r="R46" s="12"/>
      <c r="S46" s="12"/>
      <c r="T46" s="15"/>
      <c r="U46" s="15"/>
      <c r="V46" s="10"/>
      <c r="W46" s="21" t="str">
        <f>IF(COUNTA(N46:U46)=0,"",IF(N46="","E_MISSING_INPUT",IF(N46="TIMESTAMP",IF(OR(O46="",P46="",Q46=""),"E_MISSING_INPUT",IF(OR(NOT(ISNUMBER(O46)),NOT(ISNUMBER(P46))),"E_INVALID_DATE",IF(OR(O46&lt;&gt;INT(O46),P46&lt;0,P46&gt;=1),"E_INVALID_DATE",IF(ISNA(MATCH(Q46,nLIST_Offset,0)),"E_INVALID_DATE","")))),IF(N46="DATE",IF(O46="","E_MISSING_INPUT",IF(NOT(ISNUMBER(O46)),"E_INVALID_DATE",IF(O46&lt;&gt;INT(O46),"E_INVALID_DATE",""))),IF(N46="MONTH",IF(OR(R46="",S46=""),"E_MISSING_INPUT",IF(OR(NOT(ISNUMBER(R46)),NOT(ISNUMBER(S46))),"E_INVALID_DATE",IF(OR(R46&lt;1900,R46&gt;9999,R46&lt;&gt;INT(R46),S46&lt;1,S46&gt;12,S46&lt;&gt;INT(S46)),"E_INVALID_DATE",""))),IF(N46="YEAR",IF(R46="","E_MISSING_INPUT",IF(NOT(ISNUMBER(R46)),"E_INVALID_DATE",IF(OR(R46&lt;1900,R46&gt;9999,R46&lt;&gt;INT(R46)),"E_INVALID_DATE",""))),IF(N46="RANGE",IF(OR(T46="",U46=""),"E_MISSING_INPUT",IF(OR(NOT(ISNUMBER(T46)),NOT(ISNUMBER(U46))),"E_INVALID_DATE",IF(OR(T46&lt;&gt;INT(T46),U46&lt;&gt;INT(U46)),"E_INVALID_DATE",IF(T46&gt;U46,"E_REVERSED_BOUNDS","")))),"E_MISSING_INPUT")))))))</f>
        <v/>
      </c>
      <c r="X46" s="22">
        <f t="shared" si="38"/>
        <v>0</v>
      </c>
      <c r="Y46" s="22">
        <f t="shared" si="39"/>
        <v>0</v>
      </c>
      <c r="Z46" s="28" t="str">
        <f t="shared" si="40"/>
        <v/>
      </c>
      <c r="AA46" s="28" t="str">
        <f t="shared" si="41"/>
        <v/>
      </c>
      <c r="AB46" s="22" t="str">
        <f t="shared" si="42"/>
        <v/>
      </c>
      <c r="AC46" s="22" t="str">
        <f t="shared" si="43"/>
        <v/>
      </c>
      <c r="AD46" s="15"/>
      <c r="AE46" s="26"/>
      <c r="AF46" s="10"/>
      <c r="AG46" s="10"/>
      <c r="AH46" s="21" t="str">
        <f>IF(COUNTA(AD46:AF46)=0,"",IF(OR(AD46="",AE46="",AF46=""),"E_MISSING_INPUT",IF(OR(NOT(ISNUMBER(AD46)),NOT(ISNUMBER(AE46))),"E_INVALID_DATE",IF(OR(AD46&lt;&gt;INT(AD46),AE46&lt;0,AE46&gt;=1),"E_INVALID_DATE",IF(ISNA(MATCH(AF46,nLIST_Offset,0)),"E_INVALID_DATE","")))))</f>
        <v/>
      </c>
      <c r="AI46" s="22" t="str">
        <f t="shared" si="44"/>
        <v/>
      </c>
      <c r="AJ46" s="22">
        <f t="shared" si="45"/>
        <v>0</v>
      </c>
      <c r="AK46" s="22" t="str">
        <f t="shared" si="46"/>
        <v/>
      </c>
      <c r="AL46" s="21" t="str">
        <f t="shared" si="47"/>
        <v/>
      </c>
      <c r="AM46" s="22">
        <f>IF(AL46="",0,COUNTIF(nADM_Key,AL46))</f>
        <v>0</v>
      </c>
      <c r="AN46" s="21" t="str">
        <f t="shared" si="48"/>
        <v/>
      </c>
      <c r="AO46" s="22">
        <f t="shared" si="49"/>
        <v>0</v>
      </c>
      <c r="AP46" s="22">
        <f t="shared" si="50"/>
        <v>0</v>
      </c>
      <c r="AQ46" s="22">
        <f t="shared" si="51"/>
        <v>0</v>
      </c>
      <c r="AR46" s="22">
        <f t="shared" si="52"/>
        <v>0</v>
      </c>
      <c r="AS46" s="22">
        <f t="shared" si="53"/>
        <v>0</v>
      </c>
      <c r="AT46" s="22">
        <f>ROW()</f>
        <v>46</v>
      </c>
      <c r="AU46" s="21">
        <f t="shared" si="54"/>
        <v>0</v>
      </c>
      <c r="AV46" s="21">
        <f t="shared" si="55"/>
        <v>0</v>
      </c>
      <c r="AW46" s="21">
        <f t="shared" si="56"/>
        <v>0</v>
      </c>
      <c r="AX46" s="22">
        <f t="shared" si="57"/>
        <v>0</v>
      </c>
      <c r="AY46" s="21">
        <f t="shared" si="58"/>
        <v>0</v>
      </c>
      <c r="AZ46" s="21">
        <f t="shared" si="59"/>
        <v>-1</v>
      </c>
      <c r="BA46" s="22">
        <f t="shared" si="60"/>
        <v>0</v>
      </c>
      <c r="BB46" s="22">
        <f t="shared" si="61"/>
        <v>0</v>
      </c>
      <c r="BC46" s="22">
        <f t="shared" si="62"/>
        <v>0</v>
      </c>
      <c r="BD46" s="21">
        <f t="shared" si="63"/>
        <v>0</v>
      </c>
      <c r="BE46" s="21" t="str">
        <f t="shared" si="64"/>
        <v/>
      </c>
      <c r="BF46" s="21" t="str">
        <f t="shared" si="65"/>
        <v/>
      </c>
      <c r="BG46" s="22">
        <f t="shared" si="66"/>
        <v>0</v>
      </c>
      <c r="BH46" s="22">
        <f t="shared" si="67"/>
        <v>0</v>
      </c>
      <c r="BI46" s="22">
        <f t="shared" si="68"/>
        <v>0</v>
      </c>
      <c r="BJ46" s="22">
        <f t="shared" si="69"/>
        <v>0</v>
      </c>
      <c r="BK46" s="22">
        <f t="shared" si="70"/>
        <v>0</v>
      </c>
      <c r="BL46" s="22">
        <f t="shared" si="71"/>
        <v>0</v>
      </c>
      <c r="BM46" s="22">
        <f t="shared" si="72"/>
        <v>0</v>
      </c>
      <c r="BN46" s="22">
        <f t="shared" si="73"/>
        <v>0</v>
      </c>
      <c r="BO46" s="22">
        <f>IF(BG46=0,0,COUNTIFS(nADM_SelKey,AN46,nADM_SegValid,1,nADM_SegS_Loc_n,"&lt;"&amp;BL46,nADM_SegE_Loc_n,"&gt;"&amp;BK46)-IF(BL46&gt;BK46,1,0))</f>
        <v>0</v>
      </c>
      <c r="BP46" s="22">
        <f>IF(BH46=0,0,COUNTIFS(nADM_SelKey,AN46,nADM_SegOK,1,nADM_SegS_UTC_n,"&lt;"&amp;BJ46,nADM_SegE_UTC_n,"&gt;"&amp;BI46)-IF(BJ46&gt;BI46,1,0))</f>
        <v>0</v>
      </c>
      <c r="BQ46" s="21" t="str">
        <f t="shared" si="74"/>
        <v/>
      </c>
      <c r="BR46" s="22">
        <f>IF(C46="",1,IF(COUNTIF(nEXP_Key,AN46)&gt;0,1,0))</f>
        <v>1</v>
      </c>
      <c r="BS46" s="21" t="str">
        <f t="shared" si="75"/>
        <v/>
      </c>
      <c r="BT46" s="21" t="str">
        <f>IF(BS46="","",BS46&amp;": "&amp;SUBSTITUTE(IFERROR(INDEX(nMSG_Text,MATCH(BS46,nMSG_Code,0)),""),"[input]",IF(C46="","an Admin_ID",IF(BR46=0,"an Exposures row for episode "&amp;D46,IF(BQ46&lt;&gt;"","segment start and end timestamps and a rate in mg/hour","the date fields required by the selected precision")))))</f>
        <v/>
      </c>
    </row>
    <row r="47" spans="1:72" x14ac:dyDescent="0.2">
      <c r="A47" s="10"/>
      <c r="B47" s="12"/>
      <c r="C47" s="10"/>
      <c r="D47" s="10"/>
      <c r="E47" s="17"/>
      <c r="F47" s="17"/>
      <c r="G47" s="17"/>
      <c r="H47" s="17"/>
      <c r="I47" s="17"/>
      <c r="J47" s="17"/>
      <c r="K47" s="17"/>
      <c r="L47" s="10"/>
      <c r="M47" s="10"/>
      <c r="N47" s="17"/>
      <c r="O47" s="15"/>
      <c r="P47" s="26"/>
      <c r="Q47" s="10"/>
      <c r="R47" s="12"/>
      <c r="S47" s="12"/>
      <c r="T47" s="15"/>
      <c r="U47" s="15"/>
      <c r="V47" s="10"/>
      <c r="W47" s="21" t="str">
        <f>IF(COUNTA(N47:U47)=0,"",IF(N47="","E_MISSING_INPUT",IF(N47="TIMESTAMP",IF(OR(O47="",P47="",Q47=""),"E_MISSING_INPUT",IF(OR(NOT(ISNUMBER(O47)),NOT(ISNUMBER(P47))),"E_INVALID_DATE",IF(OR(O47&lt;&gt;INT(O47),P47&lt;0,P47&gt;=1),"E_INVALID_DATE",IF(ISNA(MATCH(Q47,nLIST_Offset,0)),"E_INVALID_DATE","")))),IF(N47="DATE",IF(O47="","E_MISSING_INPUT",IF(NOT(ISNUMBER(O47)),"E_INVALID_DATE",IF(O47&lt;&gt;INT(O47),"E_INVALID_DATE",""))),IF(N47="MONTH",IF(OR(R47="",S47=""),"E_MISSING_INPUT",IF(OR(NOT(ISNUMBER(R47)),NOT(ISNUMBER(S47))),"E_INVALID_DATE",IF(OR(R47&lt;1900,R47&gt;9999,R47&lt;&gt;INT(R47),S47&lt;1,S47&gt;12,S47&lt;&gt;INT(S47)),"E_INVALID_DATE",""))),IF(N47="YEAR",IF(R47="","E_MISSING_INPUT",IF(NOT(ISNUMBER(R47)),"E_INVALID_DATE",IF(OR(R47&lt;1900,R47&gt;9999,R47&lt;&gt;INT(R47)),"E_INVALID_DATE",""))),IF(N47="RANGE",IF(OR(T47="",U47=""),"E_MISSING_INPUT",IF(OR(NOT(ISNUMBER(T47)),NOT(ISNUMBER(U47))),"E_INVALID_DATE",IF(OR(T47&lt;&gt;INT(T47),U47&lt;&gt;INT(U47)),"E_INVALID_DATE",IF(T47&gt;U47,"E_REVERSED_BOUNDS","")))),"E_MISSING_INPUT")))))))</f>
        <v/>
      </c>
      <c r="X47" s="22">
        <f t="shared" si="38"/>
        <v>0</v>
      </c>
      <c r="Y47" s="22">
        <f t="shared" si="39"/>
        <v>0</v>
      </c>
      <c r="Z47" s="28" t="str">
        <f t="shared" si="40"/>
        <v/>
      </c>
      <c r="AA47" s="28" t="str">
        <f t="shared" si="41"/>
        <v/>
      </c>
      <c r="AB47" s="22" t="str">
        <f t="shared" si="42"/>
        <v/>
      </c>
      <c r="AC47" s="22" t="str">
        <f t="shared" si="43"/>
        <v/>
      </c>
      <c r="AD47" s="15"/>
      <c r="AE47" s="26"/>
      <c r="AF47" s="10"/>
      <c r="AG47" s="10"/>
      <c r="AH47" s="21" t="str">
        <f>IF(COUNTA(AD47:AF47)=0,"",IF(OR(AD47="",AE47="",AF47=""),"E_MISSING_INPUT",IF(OR(NOT(ISNUMBER(AD47)),NOT(ISNUMBER(AE47))),"E_INVALID_DATE",IF(OR(AD47&lt;&gt;INT(AD47),AE47&lt;0,AE47&gt;=1),"E_INVALID_DATE",IF(ISNA(MATCH(AF47,nLIST_Offset,0)),"E_INVALID_DATE","")))))</f>
        <v/>
      </c>
      <c r="AI47" s="22" t="str">
        <f t="shared" si="44"/>
        <v/>
      </c>
      <c r="AJ47" s="22">
        <f t="shared" si="45"/>
        <v>0</v>
      </c>
      <c r="AK47" s="22" t="str">
        <f t="shared" si="46"/>
        <v/>
      </c>
      <c r="AL47" s="21" t="str">
        <f t="shared" si="47"/>
        <v/>
      </c>
      <c r="AM47" s="22">
        <f>IF(AL47="",0,COUNTIF(nADM_Key,AL47))</f>
        <v>0</v>
      </c>
      <c r="AN47" s="21" t="str">
        <f t="shared" si="48"/>
        <v/>
      </c>
      <c r="AO47" s="22">
        <f t="shared" si="49"/>
        <v>0</v>
      </c>
      <c r="AP47" s="22">
        <f t="shared" si="50"/>
        <v>0</v>
      </c>
      <c r="AQ47" s="22">
        <f t="shared" si="51"/>
        <v>0</v>
      </c>
      <c r="AR47" s="22">
        <f t="shared" si="52"/>
        <v>0</v>
      </c>
      <c r="AS47" s="22">
        <f t="shared" si="53"/>
        <v>0</v>
      </c>
      <c r="AT47" s="22">
        <f>ROW()</f>
        <v>47</v>
      </c>
      <c r="AU47" s="21">
        <f t="shared" si="54"/>
        <v>0</v>
      </c>
      <c r="AV47" s="21">
        <f t="shared" si="55"/>
        <v>0</v>
      </c>
      <c r="AW47" s="21">
        <f t="shared" si="56"/>
        <v>0</v>
      </c>
      <c r="AX47" s="22">
        <f t="shared" si="57"/>
        <v>0</v>
      </c>
      <c r="AY47" s="21">
        <f t="shared" si="58"/>
        <v>0</v>
      </c>
      <c r="AZ47" s="21">
        <f t="shared" si="59"/>
        <v>-1</v>
      </c>
      <c r="BA47" s="22">
        <f t="shared" si="60"/>
        <v>0</v>
      </c>
      <c r="BB47" s="22">
        <f t="shared" si="61"/>
        <v>0</v>
      </c>
      <c r="BC47" s="22">
        <f t="shared" si="62"/>
        <v>0</v>
      </c>
      <c r="BD47" s="21">
        <f t="shared" si="63"/>
        <v>0</v>
      </c>
      <c r="BE47" s="21" t="str">
        <f t="shared" si="64"/>
        <v/>
      </c>
      <c r="BF47" s="21" t="str">
        <f t="shared" si="65"/>
        <v/>
      </c>
      <c r="BG47" s="22">
        <f t="shared" si="66"/>
        <v>0</v>
      </c>
      <c r="BH47" s="22">
        <f t="shared" si="67"/>
        <v>0</v>
      </c>
      <c r="BI47" s="22">
        <f t="shared" si="68"/>
        <v>0</v>
      </c>
      <c r="BJ47" s="22">
        <f t="shared" si="69"/>
        <v>0</v>
      </c>
      <c r="BK47" s="22">
        <f t="shared" si="70"/>
        <v>0</v>
      </c>
      <c r="BL47" s="22">
        <f t="shared" si="71"/>
        <v>0</v>
      </c>
      <c r="BM47" s="22">
        <f t="shared" si="72"/>
        <v>0</v>
      </c>
      <c r="BN47" s="22">
        <f t="shared" si="73"/>
        <v>0</v>
      </c>
      <c r="BO47" s="22">
        <f>IF(BG47=0,0,COUNTIFS(nADM_SelKey,AN47,nADM_SegValid,1,nADM_SegS_Loc_n,"&lt;"&amp;BL47,nADM_SegE_Loc_n,"&gt;"&amp;BK47)-IF(BL47&gt;BK47,1,0))</f>
        <v>0</v>
      </c>
      <c r="BP47" s="22">
        <f>IF(BH47=0,0,COUNTIFS(nADM_SelKey,AN47,nADM_SegOK,1,nADM_SegS_UTC_n,"&lt;"&amp;BJ47,nADM_SegE_UTC_n,"&gt;"&amp;BI47)-IF(BJ47&gt;BI47,1,0))</f>
        <v>0</v>
      </c>
      <c r="BQ47" s="21" t="str">
        <f t="shared" si="74"/>
        <v/>
      </c>
      <c r="BR47" s="22">
        <f>IF(C47="",1,IF(COUNTIF(nEXP_Key,AN47)&gt;0,1,0))</f>
        <v>1</v>
      </c>
      <c r="BS47" s="21" t="str">
        <f t="shared" si="75"/>
        <v/>
      </c>
      <c r="BT47" s="21" t="str">
        <f>IF(BS47="","",BS47&amp;": "&amp;SUBSTITUTE(IFERROR(INDEX(nMSG_Text,MATCH(BS47,nMSG_Code,0)),""),"[input]",IF(C47="","an Admin_ID",IF(BR47=0,"an Exposures row for episode "&amp;D47,IF(BQ47&lt;&gt;"","segment start and end timestamps and a rate in mg/hour","the date fields required by the selected precision")))))</f>
        <v/>
      </c>
    </row>
    <row r="48" spans="1:72" x14ac:dyDescent="0.2">
      <c r="A48" s="10"/>
      <c r="B48" s="12"/>
      <c r="C48" s="10"/>
      <c r="D48" s="10"/>
      <c r="E48" s="17"/>
      <c r="F48" s="17"/>
      <c r="G48" s="17"/>
      <c r="H48" s="17"/>
      <c r="I48" s="17"/>
      <c r="J48" s="17"/>
      <c r="K48" s="17"/>
      <c r="L48" s="10"/>
      <c r="M48" s="10"/>
      <c r="N48" s="17"/>
      <c r="O48" s="15"/>
      <c r="P48" s="26"/>
      <c r="Q48" s="10"/>
      <c r="R48" s="12"/>
      <c r="S48" s="12"/>
      <c r="T48" s="15"/>
      <c r="U48" s="15"/>
      <c r="V48" s="10"/>
      <c r="W48" s="21" t="str">
        <f>IF(COUNTA(N48:U48)=0,"",IF(N48="","E_MISSING_INPUT",IF(N48="TIMESTAMP",IF(OR(O48="",P48="",Q48=""),"E_MISSING_INPUT",IF(OR(NOT(ISNUMBER(O48)),NOT(ISNUMBER(P48))),"E_INVALID_DATE",IF(OR(O48&lt;&gt;INT(O48),P48&lt;0,P48&gt;=1),"E_INVALID_DATE",IF(ISNA(MATCH(Q48,nLIST_Offset,0)),"E_INVALID_DATE","")))),IF(N48="DATE",IF(O48="","E_MISSING_INPUT",IF(NOT(ISNUMBER(O48)),"E_INVALID_DATE",IF(O48&lt;&gt;INT(O48),"E_INVALID_DATE",""))),IF(N48="MONTH",IF(OR(R48="",S48=""),"E_MISSING_INPUT",IF(OR(NOT(ISNUMBER(R48)),NOT(ISNUMBER(S48))),"E_INVALID_DATE",IF(OR(R48&lt;1900,R48&gt;9999,R48&lt;&gt;INT(R48),S48&lt;1,S48&gt;12,S48&lt;&gt;INT(S48)),"E_INVALID_DATE",""))),IF(N48="YEAR",IF(R48="","E_MISSING_INPUT",IF(NOT(ISNUMBER(R48)),"E_INVALID_DATE",IF(OR(R48&lt;1900,R48&gt;9999,R48&lt;&gt;INT(R48)),"E_INVALID_DATE",""))),IF(N48="RANGE",IF(OR(T48="",U48=""),"E_MISSING_INPUT",IF(OR(NOT(ISNUMBER(T48)),NOT(ISNUMBER(U48))),"E_INVALID_DATE",IF(OR(T48&lt;&gt;INT(T48),U48&lt;&gt;INT(U48)),"E_INVALID_DATE",IF(T48&gt;U48,"E_REVERSED_BOUNDS","")))),"E_MISSING_INPUT")))))))</f>
        <v/>
      </c>
      <c r="X48" s="22">
        <f t="shared" si="38"/>
        <v>0</v>
      </c>
      <c r="Y48" s="22">
        <f t="shared" si="39"/>
        <v>0</v>
      </c>
      <c r="Z48" s="28" t="str">
        <f t="shared" si="40"/>
        <v/>
      </c>
      <c r="AA48" s="28" t="str">
        <f t="shared" si="41"/>
        <v/>
      </c>
      <c r="AB48" s="22" t="str">
        <f t="shared" si="42"/>
        <v/>
      </c>
      <c r="AC48" s="22" t="str">
        <f t="shared" si="43"/>
        <v/>
      </c>
      <c r="AD48" s="15"/>
      <c r="AE48" s="26"/>
      <c r="AF48" s="10"/>
      <c r="AG48" s="10"/>
      <c r="AH48" s="21" t="str">
        <f>IF(COUNTA(AD48:AF48)=0,"",IF(OR(AD48="",AE48="",AF48=""),"E_MISSING_INPUT",IF(OR(NOT(ISNUMBER(AD48)),NOT(ISNUMBER(AE48))),"E_INVALID_DATE",IF(OR(AD48&lt;&gt;INT(AD48),AE48&lt;0,AE48&gt;=1),"E_INVALID_DATE",IF(ISNA(MATCH(AF48,nLIST_Offset,0)),"E_INVALID_DATE","")))))</f>
        <v/>
      </c>
      <c r="AI48" s="22" t="str">
        <f t="shared" si="44"/>
        <v/>
      </c>
      <c r="AJ48" s="22">
        <f t="shared" si="45"/>
        <v>0</v>
      </c>
      <c r="AK48" s="22" t="str">
        <f t="shared" si="46"/>
        <v/>
      </c>
      <c r="AL48" s="21" t="str">
        <f t="shared" si="47"/>
        <v/>
      </c>
      <c r="AM48" s="22">
        <f>IF(AL48="",0,COUNTIF(nADM_Key,AL48))</f>
        <v>0</v>
      </c>
      <c r="AN48" s="21" t="str">
        <f t="shared" si="48"/>
        <v/>
      </c>
      <c r="AO48" s="22">
        <f t="shared" si="49"/>
        <v>0</v>
      </c>
      <c r="AP48" s="22">
        <f t="shared" si="50"/>
        <v>0</v>
      </c>
      <c r="AQ48" s="22">
        <f t="shared" si="51"/>
        <v>0</v>
      </c>
      <c r="AR48" s="22">
        <f t="shared" si="52"/>
        <v>0</v>
      </c>
      <c r="AS48" s="22">
        <f t="shared" si="53"/>
        <v>0</v>
      </c>
      <c r="AT48" s="22">
        <f>ROW()</f>
        <v>48</v>
      </c>
      <c r="AU48" s="21">
        <f t="shared" si="54"/>
        <v>0</v>
      </c>
      <c r="AV48" s="21">
        <f t="shared" si="55"/>
        <v>0</v>
      </c>
      <c r="AW48" s="21">
        <f t="shared" si="56"/>
        <v>0</v>
      </c>
      <c r="AX48" s="22">
        <f t="shared" si="57"/>
        <v>0</v>
      </c>
      <c r="AY48" s="21">
        <f t="shared" si="58"/>
        <v>0</v>
      </c>
      <c r="AZ48" s="21">
        <f t="shared" si="59"/>
        <v>-1</v>
      </c>
      <c r="BA48" s="22">
        <f t="shared" si="60"/>
        <v>0</v>
      </c>
      <c r="BB48" s="22">
        <f t="shared" si="61"/>
        <v>0</v>
      </c>
      <c r="BC48" s="22">
        <f t="shared" si="62"/>
        <v>0</v>
      </c>
      <c r="BD48" s="21">
        <f t="shared" si="63"/>
        <v>0</v>
      </c>
      <c r="BE48" s="21" t="str">
        <f t="shared" si="64"/>
        <v/>
      </c>
      <c r="BF48" s="21" t="str">
        <f t="shared" si="65"/>
        <v/>
      </c>
      <c r="BG48" s="22">
        <f t="shared" si="66"/>
        <v>0</v>
      </c>
      <c r="BH48" s="22">
        <f t="shared" si="67"/>
        <v>0</v>
      </c>
      <c r="BI48" s="22">
        <f t="shared" si="68"/>
        <v>0</v>
      </c>
      <c r="BJ48" s="22">
        <f t="shared" si="69"/>
        <v>0</v>
      </c>
      <c r="BK48" s="22">
        <f t="shared" si="70"/>
        <v>0</v>
      </c>
      <c r="BL48" s="22">
        <f t="shared" si="71"/>
        <v>0</v>
      </c>
      <c r="BM48" s="22">
        <f t="shared" si="72"/>
        <v>0</v>
      </c>
      <c r="BN48" s="22">
        <f t="shared" si="73"/>
        <v>0</v>
      </c>
      <c r="BO48" s="22">
        <f>IF(BG48=0,0,COUNTIFS(nADM_SelKey,AN48,nADM_SegValid,1,nADM_SegS_Loc_n,"&lt;"&amp;BL48,nADM_SegE_Loc_n,"&gt;"&amp;BK48)-IF(BL48&gt;BK48,1,0))</f>
        <v>0</v>
      </c>
      <c r="BP48" s="22">
        <f>IF(BH48=0,0,COUNTIFS(nADM_SelKey,AN48,nADM_SegOK,1,nADM_SegS_UTC_n,"&lt;"&amp;BJ48,nADM_SegE_UTC_n,"&gt;"&amp;BI48)-IF(BJ48&gt;BI48,1,0))</f>
        <v>0</v>
      </c>
      <c r="BQ48" s="21" t="str">
        <f t="shared" si="74"/>
        <v/>
      </c>
      <c r="BR48" s="22">
        <f>IF(C48="",1,IF(COUNTIF(nEXP_Key,AN48)&gt;0,1,0))</f>
        <v>1</v>
      </c>
      <c r="BS48" s="21" t="str">
        <f t="shared" si="75"/>
        <v/>
      </c>
      <c r="BT48" s="21" t="str">
        <f>IF(BS48="","",BS48&amp;": "&amp;SUBSTITUTE(IFERROR(INDEX(nMSG_Text,MATCH(BS48,nMSG_Code,0)),""),"[input]",IF(C48="","an Admin_ID",IF(BR48=0,"an Exposures row for episode "&amp;D48,IF(BQ48&lt;&gt;"","segment start and end timestamps and a rate in mg/hour","the date fields required by the selected precision")))))</f>
        <v/>
      </c>
    </row>
    <row r="49" spans="1:72" x14ac:dyDescent="0.2">
      <c r="A49" s="10"/>
      <c r="B49" s="12"/>
      <c r="C49" s="10"/>
      <c r="D49" s="10"/>
      <c r="E49" s="17"/>
      <c r="F49" s="17"/>
      <c r="G49" s="17"/>
      <c r="H49" s="17"/>
      <c r="I49" s="17"/>
      <c r="J49" s="17"/>
      <c r="K49" s="17"/>
      <c r="L49" s="10"/>
      <c r="M49" s="10"/>
      <c r="N49" s="17"/>
      <c r="O49" s="15"/>
      <c r="P49" s="26"/>
      <c r="Q49" s="10"/>
      <c r="R49" s="12"/>
      <c r="S49" s="12"/>
      <c r="T49" s="15"/>
      <c r="U49" s="15"/>
      <c r="V49" s="10"/>
      <c r="W49" s="21" t="str">
        <f>IF(COUNTA(N49:U49)=0,"",IF(N49="","E_MISSING_INPUT",IF(N49="TIMESTAMP",IF(OR(O49="",P49="",Q49=""),"E_MISSING_INPUT",IF(OR(NOT(ISNUMBER(O49)),NOT(ISNUMBER(P49))),"E_INVALID_DATE",IF(OR(O49&lt;&gt;INT(O49),P49&lt;0,P49&gt;=1),"E_INVALID_DATE",IF(ISNA(MATCH(Q49,nLIST_Offset,0)),"E_INVALID_DATE","")))),IF(N49="DATE",IF(O49="","E_MISSING_INPUT",IF(NOT(ISNUMBER(O49)),"E_INVALID_DATE",IF(O49&lt;&gt;INT(O49),"E_INVALID_DATE",""))),IF(N49="MONTH",IF(OR(R49="",S49=""),"E_MISSING_INPUT",IF(OR(NOT(ISNUMBER(R49)),NOT(ISNUMBER(S49))),"E_INVALID_DATE",IF(OR(R49&lt;1900,R49&gt;9999,R49&lt;&gt;INT(R49),S49&lt;1,S49&gt;12,S49&lt;&gt;INT(S49)),"E_INVALID_DATE",""))),IF(N49="YEAR",IF(R49="","E_MISSING_INPUT",IF(NOT(ISNUMBER(R49)),"E_INVALID_DATE",IF(OR(R49&lt;1900,R49&gt;9999,R49&lt;&gt;INT(R49)),"E_INVALID_DATE",""))),IF(N49="RANGE",IF(OR(T49="",U49=""),"E_MISSING_INPUT",IF(OR(NOT(ISNUMBER(T49)),NOT(ISNUMBER(U49))),"E_INVALID_DATE",IF(OR(T49&lt;&gt;INT(T49),U49&lt;&gt;INT(U49)),"E_INVALID_DATE",IF(T49&gt;U49,"E_REVERSED_BOUNDS","")))),"E_MISSING_INPUT")))))))</f>
        <v/>
      </c>
      <c r="X49" s="22">
        <f t="shared" si="38"/>
        <v>0</v>
      </c>
      <c r="Y49" s="22">
        <f t="shared" si="39"/>
        <v>0</v>
      </c>
      <c r="Z49" s="28" t="str">
        <f t="shared" si="40"/>
        <v/>
      </c>
      <c r="AA49" s="28" t="str">
        <f t="shared" si="41"/>
        <v/>
      </c>
      <c r="AB49" s="22" t="str">
        <f t="shared" si="42"/>
        <v/>
      </c>
      <c r="AC49" s="22" t="str">
        <f t="shared" si="43"/>
        <v/>
      </c>
      <c r="AD49" s="15"/>
      <c r="AE49" s="26"/>
      <c r="AF49" s="10"/>
      <c r="AG49" s="10"/>
      <c r="AH49" s="21" t="str">
        <f>IF(COUNTA(AD49:AF49)=0,"",IF(OR(AD49="",AE49="",AF49=""),"E_MISSING_INPUT",IF(OR(NOT(ISNUMBER(AD49)),NOT(ISNUMBER(AE49))),"E_INVALID_DATE",IF(OR(AD49&lt;&gt;INT(AD49),AE49&lt;0,AE49&gt;=1),"E_INVALID_DATE",IF(ISNA(MATCH(AF49,nLIST_Offset,0)),"E_INVALID_DATE","")))))</f>
        <v/>
      </c>
      <c r="AI49" s="22" t="str">
        <f t="shared" si="44"/>
        <v/>
      </c>
      <c r="AJ49" s="22">
        <f t="shared" si="45"/>
        <v>0</v>
      </c>
      <c r="AK49" s="22" t="str">
        <f t="shared" si="46"/>
        <v/>
      </c>
      <c r="AL49" s="21" t="str">
        <f t="shared" si="47"/>
        <v/>
      </c>
      <c r="AM49" s="22">
        <f>IF(AL49="",0,COUNTIF(nADM_Key,AL49))</f>
        <v>0</v>
      </c>
      <c r="AN49" s="21" t="str">
        <f t="shared" si="48"/>
        <v/>
      </c>
      <c r="AO49" s="22">
        <f t="shared" si="49"/>
        <v>0</v>
      </c>
      <c r="AP49" s="22">
        <f t="shared" si="50"/>
        <v>0</v>
      </c>
      <c r="AQ49" s="22">
        <f t="shared" si="51"/>
        <v>0</v>
      </c>
      <c r="AR49" s="22">
        <f t="shared" si="52"/>
        <v>0</v>
      </c>
      <c r="AS49" s="22">
        <f t="shared" si="53"/>
        <v>0</v>
      </c>
      <c r="AT49" s="22">
        <f>ROW()</f>
        <v>49</v>
      </c>
      <c r="AU49" s="21">
        <f t="shared" si="54"/>
        <v>0</v>
      </c>
      <c r="AV49" s="21">
        <f t="shared" si="55"/>
        <v>0</v>
      </c>
      <c r="AW49" s="21">
        <f t="shared" si="56"/>
        <v>0</v>
      </c>
      <c r="AX49" s="22">
        <f t="shared" si="57"/>
        <v>0</v>
      </c>
      <c r="AY49" s="21">
        <f t="shared" si="58"/>
        <v>0</v>
      </c>
      <c r="AZ49" s="21">
        <f t="shared" si="59"/>
        <v>-1</v>
      </c>
      <c r="BA49" s="22">
        <f t="shared" si="60"/>
        <v>0</v>
      </c>
      <c r="BB49" s="22">
        <f t="shared" si="61"/>
        <v>0</v>
      </c>
      <c r="BC49" s="22">
        <f t="shared" si="62"/>
        <v>0</v>
      </c>
      <c r="BD49" s="21">
        <f t="shared" si="63"/>
        <v>0</v>
      </c>
      <c r="BE49" s="21" t="str">
        <f t="shared" si="64"/>
        <v/>
      </c>
      <c r="BF49" s="21" t="str">
        <f t="shared" si="65"/>
        <v/>
      </c>
      <c r="BG49" s="22">
        <f t="shared" si="66"/>
        <v>0</v>
      </c>
      <c r="BH49" s="22">
        <f t="shared" si="67"/>
        <v>0</v>
      </c>
      <c r="BI49" s="22">
        <f t="shared" si="68"/>
        <v>0</v>
      </c>
      <c r="BJ49" s="22">
        <f t="shared" si="69"/>
        <v>0</v>
      </c>
      <c r="BK49" s="22">
        <f t="shared" si="70"/>
        <v>0</v>
      </c>
      <c r="BL49" s="22">
        <f t="shared" si="71"/>
        <v>0</v>
      </c>
      <c r="BM49" s="22">
        <f t="shared" si="72"/>
        <v>0</v>
      </c>
      <c r="BN49" s="22">
        <f t="shared" si="73"/>
        <v>0</v>
      </c>
      <c r="BO49" s="22">
        <f>IF(BG49=0,0,COUNTIFS(nADM_SelKey,AN49,nADM_SegValid,1,nADM_SegS_Loc_n,"&lt;"&amp;BL49,nADM_SegE_Loc_n,"&gt;"&amp;BK49)-IF(BL49&gt;BK49,1,0))</f>
        <v>0</v>
      </c>
      <c r="BP49" s="22">
        <f>IF(BH49=0,0,COUNTIFS(nADM_SelKey,AN49,nADM_SegOK,1,nADM_SegS_UTC_n,"&lt;"&amp;BJ49,nADM_SegE_UTC_n,"&gt;"&amp;BI49)-IF(BJ49&gt;BI49,1,0))</f>
        <v>0</v>
      </c>
      <c r="BQ49" s="21" t="str">
        <f t="shared" si="74"/>
        <v/>
      </c>
      <c r="BR49" s="22">
        <f>IF(C49="",1,IF(COUNTIF(nEXP_Key,AN49)&gt;0,1,0))</f>
        <v>1</v>
      </c>
      <c r="BS49" s="21" t="str">
        <f t="shared" si="75"/>
        <v/>
      </c>
      <c r="BT49" s="21" t="str">
        <f>IF(BS49="","",BS49&amp;": "&amp;SUBSTITUTE(IFERROR(INDEX(nMSG_Text,MATCH(BS49,nMSG_Code,0)),""),"[input]",IF(C49="","an Admin_ID",IF(BR49=0,"an Exposures row for episode "&amp;D49,IF(BQ49&lt;&gt;"","segment start and end timestamps and a rate in mg/hour","the date fields required by the selected precision")))))</f>
        <v/>
      </c>
    </row>
    <row r="50" spans="1:72" x14ac:dyDescent="0.2">
      <c r="A50" s="10"/>
      <c r="B50" s="12"/>
      <c r="C50" s="10"/>
      <c r="D50" s="10"/>
      <c r="E50" s="17"/>
      <c r="F50" s="17"/>
      <c r="G50" s="17"/>
      <c r="H50" s="17"/>
      <c r="I50" s="17"/>
      <c r="J50" s="17"/>
      <c r="K50" s="17"/>
      <c r="L50" s="10"/>
      <c r="M50" s="10"/>
      <c r="N50" s="17"/>
      <c r="O50" s="15"/>
      <c r="P50" s="26"/>
      <c r="Q50" s="10"/>
      <c r="R50" s="12"/>
      <c r="S50" s="12"/>
      <c r="T50" s="15"/>
      <c r="U50" s="15"/>
      <c r="V50" s="10"/>
      <c r="W50" s="21" t="str">
        <f>IF(COUNTA(N50:U50)=0,"",IF(N50="","E_MISSING_INPUT",IF(N50="TIMESTAMP",IF(OR(O50="",P50="",Q50=""),"E_MISSING_INPUT",IF(OR(NOT(ISNUMBER(O50)),NOT(ISNUMBER(P50))),"E_INVALID_DATE",IF(OR(O50&lt;&gt;INT(O50),P50&lt;0,P50&gt;=1),"E_INVALID_DATE",IF(ISNA(MATCH(Q50,nLIST_Offset,0)),"E_INVALID_DATE","")))),IF(N50="DATE",IF(O50="","E_MISSING_INPUT",IF(NOT(ISNUMBER(O50)),"E_INVALID_DATE",IF(O50&lt;&gt;INT(O50),"E_INVALID_DATE",""))),IF(N50="MONTH",IF(OR(R50="",S50=""),"E_MISSING_INPUT",IF(OR(NOT(ISNUMBER(R50)),NOT(ISNUMBER(S50))),"E_INVALID_DATE",IF(OR(R50&lt;1900,R50&gt;9999,R50&lt;&gt;INT(R50),S50&lt;1,S50&gt;12,S50&lt;&gt;INT(S50)),"E_INVALID_DATE",""))),IF(N50="YEAR",IF(R50="","E_MISSING_INPUT",IF(NOT(ISNUMBER(R50)),"E_INVALID_DATE",IF(OR(R50&lt;1900,R50&gt;9999,R50&lt;&gt;INT(R50)),"E_INVALID_DATE",""))),IF(N50="RANGE",IF(OR(T50="",U50=""),"E_MISSING_INPUT",IF(OR(NOT(ISNUMBER(T50)),NOT(ISNUMBER(U50))),"E_INVALID_DATE",IF(OR(T50&lt;&gt;INT(T50),U50&lt;&gt;INT(U50)),"E_INVALID_DATE",IF(T50&gt;U50,"E_REVERSED_BOUNDS","")))),"E_MISSING_INPUT")))))))</f>
        <v/>
      </c>
      <c r="X50" s="22">
        <f t="shared" si="38"/>
        <v>0</v>
      </c>
      <c r="Y50" s="22">
        <f t="shared" si="39"/>
        <v>0</v>
      </c>
      <c r="Z50" s="28" t="str">
        <f t="shared" si="40"/>
        <v/>
      </c>
      <c r="AA50" s="28" t="str">
        <f t="shared" si="41"/>
        <v/>
      </c>
      <c r="AB50" s="22" t="str">
        <f t="shared" si="42"/>
        <v/>
      </c>
      <c r="AC50" s="22" t="str">
        <f t="shared" si="43"/>
        <v/>
      </c>
      <c r="AD50" s="15"/>
      <c r="AE50" s="26"/>
      <c r="AF50" s="10"/>
      <c r="AG50" s="10"/>
      <c r="AH50" s="21" t="str">
        <f>IF(COUNTA(AD50:AF50)=0,"",IF(OR(AD50="",AE50="",AF50=""),"E_MISSING_INPUT",IF(OR(NOT(ISNUMBER(AD50)),NOT(ISNUMBER(AE50))),"E_INVALID_DATE",IF(OR(AD50&lt;&gt;INT(AD50),AE50&lt;0,AE50&gt;=1),"E_INVALID_DATE",IF(ISNA(MATCH(AF50,nLIST_Offset,0)),"E_INVALID_DATE","")))))</f>
        <v/>
      </c>
      <c r="AI50" s="22" t="str">
        <f t="shared" si="44"/>
        <v/>
      </c>
      <c r="AJ50" s="22">
        <f t="shared" si="45"/>
        <v>0</v>
      </c>
      <c r="AK50" s="22" t="str">
        <f t="shared" si="46"/>
        <v/>
      </c>
      <c r="AL50" s="21" t="str">
        <f t="shared" si="47"/>
        <v/>
      </c>
      <c r="AM50" s="22">
        <f>IF(AL50="",0,COUNTIF(nADM_Key,AL50))</f>
        <v>0</v>
      </c>
      <c r="AN50" s="21" t="str">
        <f t="shared" si="48"/>
        <v/>
      </c>
      <c r="AO50" s="22">
        <f t="shared" si="49"/>
        <v>0</v>
      </c>
      <c r="AP50" s="22">
        <f t="shared" si="50"/>
        <v>0</v>
      </c>
      <c r="AQ50" s="22">
        <f t="shared" si="51"/>
        <v>0</v>
      </c>
      <c r="AR50" s="22">
        <f t="shared" si="52"/>
        <v>0</v>
      </c>
      <c r="AS50" s="22">
        <f t="shared" si="53"/>
        <v>0</v>
      </c>
      <c r="AT50" s="22">
        <f>ROW()</f>
        <v>50</v>
      </c>
      <c r="AU50" s="21">
        <f t="shared" si="54"/>
        <v>0</v>
      </c>
      <c r="AV50" s="21">
        <f t="shared" si="55"/>
        <v>0</v>
      </c>
      <c r="AW50" s="21">
        <f t="shared" si="56"/>
        <v>0</v>
      </c>
      <c r="AX50" s="22">
        <f t="shared" si="57"/>
        <v>0</v>
      </c>
      <c r="AY50" s="21">
        <f t="shared" si="58"/>
        <v>0</v>
      </c>
      <c r="AZ50" s="21">
        <f t="shared" si="59"/>
        <v>-1</v>
      </c>
      <c r="BA50" s="22">
        <f t="shared" si="60"/>
        <v>0</v>
      </c>
      <c r="BB50" s="22">
        <f t="shared" si="61"/>
        <v>0</v>
      </c>
      <c r="BC50" s="22">
        <f t="shared" si="62"/>
        <v>0</v>
      </c>
      <c r="BD50" s="21">
        <f t="shared" si="63"/>
        <v>0</v>
      </c>
      <c r="BE50" s="21" t="str">
        <f t="shared" si="64"/>
        <v/>
      </c>
      <c r="BF50" s="21" t="str">
        <f t="shared" si="65"/>
        <v/>
      </c>
      <c r="BG50" s="22">
        <f t="shared" si="66"/>
        <v>0</v>
      </c>
      <c r="BH50" s="22">
        <f t="shared" si="67"/>
        <v>0</v>
      </c>
      <c r="BI50" s="22">
        <f t="shared" si="68"/>
        <v>0</v>
      </c>
      <c r="BJ50" s="22">
        <f t="shared" si="69"/>
        <v>0</v>
      </c>
      <c r="BK50" s="22">
        <f t="shared" si="70"/>
        <v>0</v>
      </c>
      <c r="BL50" s="22">
        <f t="shared" si="71"/>
        <v>0</v>
      </c>
      <c r="BM50" s="22">
        <f t="shared" si="72"/>
        <v>0</v>
      </c>
      <c r="BN50" s="22">
        <f t="shared" si="73"/>
        <v>0</v>
      </c>
      <c r="BO50" s="22">
        <f>IF(BG50=0,0,COUNTIFS(nADM_SelKey,AN50,nADM_SegValid,1,nADM_SegS_Loc_n,"&lt;"&amp;BL50,nADM_SegE_Loc_n,"&gt;"&amp;BK50)-IF(BL50&gt;BK50,1,0))</f>
        <v>0</v>
      </c>
      <c r="BP50" s="22">
        <f>IF(BH50=0,0,COUNTIFS(nADM_SelKey,AN50,nADM_SegOK,1,nADM_SegS_UTC_n,"&lt;"&amp;BJ50,nADM_SegE_UTC_n,"&gt;"&amp;BI50)-IF(BJ50&gt;BI50,1,0))</f>
        <v>0</v>
      </c>
      <c r="BQ50" s="21" t="str">
        <f t="shared" si="74"/>
        <v/>
      </c>
      <c r="BR50" s="22">
        <f>IF(C50="",1,IF(COUNTIF(nEXP_Key,AN50)&gt;0,1,0))</f>
        <v>1</v>
      </c>
      <c r="BS50" s="21" t="str">
        <f t="shared" si="75"/>
        <v/>
      </c>
      <c r="BT50" s="21" t="str">
        <f>IF(BS50="","",BS50&amp;": "&amp;SUBSTITUTE(IFERROR(INDEX(nMSG_Text,MATCH(BS50,nMSG_Code,0)),""),"[input]",IF(C50="","an Admin_ID",IF(BR50=0,"an Exposures row for episode "&amp;D50,IF(BQ50&lt;&gt;"","segment start and end timestamps and a rate in mg/hour","the date fields required by the selected precision")))))</f>
        <v/>
      </c>
    </row>
    <row r="51" spans="1:72" x14ac:dyDescent="0.2">
      <c r="A51" s="10"/>
      <c r="B51" s="12"/>
      <c r="C51" s="10"/>
      <c r="D51" s="10"/>
      <c r="E51" s="17"/>
      <c r="F51" s="17"/>
      <c r="G51" s="17"/>
      <c r="H51" s="17"/>
      <c r="I51" s="17"/>
      <c r="J51" s="17"/>
      <c r="K51" s="17"/>
      <c r="L51" s="10"/>
      <c r="M51" s="10"/>
      <c r="N51" s="17"/>
      <c r="O51" s="15"/>
      <c r="P51" s="26"/>
      <c r="Q51" s="10"/>
      <c r="R51" s="12"/>
      <c r="S51" s="12"/>
      <c r="T51" s="15"/>
      <c r="U51" s="15"/>
      <c r="V51" s="10"/>
      <c r="W51" s="21" t="str">
        <f>IF(COUNTA(N51:U51)=0,"",IF(N51="","E_MISSING_INPUT",IF(N51="TIMESTAMP",IF(OR(O51="",P51="",Q51=""),"E_MISSING_INPUT",IF(OR(NOT(ISNUMBER(O51)),NOT(ISNUMBER(P51))),"E_INVALID_DATE",IF(OR(O51&lt;&gt;INT(O51),P51&lt;0,P51&gt;=1),"E_INVALID_DATE",IF(ISNA(MATCH(Q51,nLIST_Offset,0)),"E_INVALID_DATE","")))),IF(N51="DATE",IF(O51="","E_MISSING_INPUT",IF(NOT(ISNUMBER(O51)),"E_INVALID_DATE",IF(O51&lt;&gt;INT(O51),"E_INVALID_DATE",""))),IF(N51="MONTH",IF(OR(R51="",S51=""),"E_MISSING_INPUT",IF(OR(NOT(ISNUMBER(R51)),NOT(ISNUMBER(S51))),"E_INVALID_DATE",IF(OR(R51&lt;1900,R51&gt;9999,R51&lt;&gt;INT(R51),S51&lt;1,S51&gt;12,S51&lt;&gt;INT(S51)),"E_INVALID_DATE",""))),IF(N51="YEAR",IF(R51="","E_MISSING_INPUT",IF(NOT(ISNUMBER(R51)),"E_INVALID_DATE",IF(OR(R51&lt;1900,R51&gt;9999,R51&lt;&gt;INT(R51)),"E_INVALID_DATE",""))),IF(N51="RANGE",IF(OR(T51="",U51=""),"E_MISSING_INPUT",IF(OR(NOT(ISNUMBER(T51)),NOT(ISNUMBER(U51))),"E_INVALID_DATE",IF(OR(T51&lt;&gt;INT(T51),U51&lt;&gt;INT(U51)),"E_INVALID_DATE",IF(T51&gt;U51,"E_REVERSED_BOUNDS","")))),"E_MISSING_INPUT")))))))</f>
        <v/>
      </c>
      <c r="X51" s="22">
        <f t="shared" si="38"/>
        <v>0</v>
      </c>
      <c r="Y51" s="22">
        <f t="shared" si="39"/>
        <v>0</v>
      </c>
      <c r="Z51" s="28" t="str">
        <f t="shared" si="40"/>
        <v/>
      </c>
      <c r="AA51" s="28" t="str">
        <f t="shared" si="41"/>
        <v/>
      </c>
      <c r="AB51" s="22" t="str">
        <f t="shared" si="42"/>
        <v/>
      </c>
      <c r="AC51" s="22" t="str">
        <f t="shared" si="43"/>
        <v/>
      </c>
      <c r="AD51" s="15"/>
      <c r="AE51" s="26"/>
      <c r="AF51" s="10"/>
      <c r="AG51" s="10"/>
      <c r="AH51" s="21" t="str">
        <f>IF(COUNTA(AD51:AF51)=0,"",IF(OR(AD51="",AE51="",AF51=""),"E_MISSING_INPUT",IF(OR(NOT(ISNUMBER(AD51)),NOT(ISNUMBER(AE51))),"E_INVALID_DATE",IF(OR(AD51&lt;&gt;INT(AD51),AE51&lt;0,AE51&gt;=1),"E_INVALID_DATE",IF(ISNA(MATCH(AF51,nLIST_Offset,0)),"E_INVALID_DATE","")))))</f>
        <v/>
      </c>
      <c r="AI51" s="22" t="str">
        <f t="shared" si="44"/>
        <v/>
      </c>
      <c r="AJ51" s="22">
        <f t="shared" si="45"/>
        <v>0</v>
      </c>
      <c r="AK51" s="22" t="str">
        <f t="shared" si="46"/>
        <v/>
      </c>
      <c r="AL51" s="21" t="str">
        <f t="shared" si="47"/>
        <v/>
      </c>
      <c r="AM51" s="22">
        <f>IF(AL51="",0,COUNTIF(nADM_Key,AL51))</f>
        <v>0</v>
      </c>
      <c r="AN51" s="21" t="str">
        <f t="shared" si="48"/>
        <v/>
      </c>
      <c r="AO51" s="22">
        <f t="shared" si="49"/>
        <v>0</v>
      </c>
      <c r="AP51" s="22">
        <f t="shared" si="50"/>
        <v>0</v>
      </c>
      <c r="AQ51" s="22">
        <f t="shared" si="51"/>
        <v>0</v>
      </c>
      <c r="AR51" s="22">
        <f t="shared" si="52"/>
        <v>0</v>
      </c>
      <c r="AS51" s="22">
        <f t="shared" si="53"/>
        <v>0</v>
      </c>
      <c r="AT51" s="22">
        <f>ROW()</f>
        <v>51</v>
      </c>
      <c r="AU51" s="21">
        <f t="shared" si="54"/>
        <v>0</v>
      </c>
      <c r="AV51" s="21">
        <f t="shared" si="55"/>
        <v>0</v>
      </c>
      <c r="AW51" s="21">
        <f t="shared" si="56"/>
        <v>0</v>
      </c>
      <c r="AX51" s="22">
        <f t="shared" si="57"/>
        <v>0</v>
      </c>
      <c r="AY51" s="21">
        <f t="shared" si="58"/>
        <v>0</v>
      </c>
      <c r="AZ51" s="21">
        <f t="shared" si="59"/>
        <v>-1</v>
      </c>
      <c r="BA51" s="22">
        <f t="shared" si="60"/>
        <v>0</v>
      </c>
      <c r="BB51" s="22">
        <f t="shared" si="61"/>
        <v>0</v>
      </c>
      <c r="BC51" s="22">
        <f t="shared" si="62"/>
        <v>0</v>
      </c>
      <c r="BD51" s="21">
        <f t="shared" si="63"/>
        <v>0</v>
      </c>
      <c r="BE51" s="21" t="str">
        <f t="shared" si="64"/>
        <v/>
      </c>
      <c r="BF51" s="21" t="str">
        <f t="shared" si="65"/>
        <v/>
      </c>
      <c r="BG51" s="22">
        <f t="shared" si="66"/>
        <v>0</v>
      </c>
      <c r="BH51" s="22">
        <f t="shared" si="67"/>
        <v>0</v>
      </c>
      <c r="BI51" s="22">
        <f t="shared" si="68"/>
        <v>0</v>
      </c>
      <c r="BJ51" s="22">
        <f t="shared" si="69"/>
        <v>0</v>
      </c>
      <c r="BK51" s="22">
        <f t="shared" si="70"/>
        <v>0</v>
      </c>
      <c r="BL51" s="22">
        <f t="shared" si="71"/>
        <v>0</v>
      </c>
      <c r="BM51" s="22">
        <f t="shared" si="72"/>
        <v>0</v>
      </c>
      <c r="BN51" s="22">
        <f t="shared" si="73"/>
        <v>0</v>
      </c>
      <c r="BO51" s="22">
        <f>IF(BG51=0,0,COUNTIFS(nADM_SelKey,AN51,nADM_SegValid,1,nADM_SegS_Loc_n,"&lt;"&amp;BL51,nADM_SegE_Loc_n,"&gt;"&amp;BK51)-IF(BL51&gt;BK51,1,0))</f>
        <v>0</v>
      </c>
      <c r="BP51" s="22">
        <f>IF(BH51=0,0,COUNTIFS(nADM_SelKey,AN51,nADM_SegOK,1,nADM_SegS_UTC_n,"&lt;"&amp;BJ51,nADM_SegE_UTC_n,"&gt;"&amp;BI51)-IF(BJ51&gt;BI51,1,0))</f>
        <v>0</v>
      </c>
      <c r="BQ51" s="21" t="str">
        <f t="shared" si="74"/>
        <v/>
      </c>
      <c r="BR51" s="22">
        <f>IF(C51="",1,IF(COUNTIF(nEXP_Key,AN51)&gt;0,1,0))</f>
        <v>1</v>
      </c>
      <c r="BS51" s="21" t="str">
        <f t="shared" si="75"/>
        <v/>
      </c>
      <c r="BT51" s="21" t="str">
        <f>IF(BS51="","",BS51&amp;": "&amp;SUBSTITUTE(IFERROR(INDEX(nMSG_Text,MATCH(BS51,nMSG_Code,0)),""),"[input]",IF(C51="","an Admin_ID",IF(BR51=0,"an Exposures row for episode "&amp;D51,IF(BQ51&lt;&gt;"","segment start and end timestamps and a rate in mg/hour","the date fields required by the selected precision")))))</f>
        <v/>
      </c>
    </row>
    <row r="52" spans="1:72" x14ac:dyDescent="0.2">
      <c r="A52" s="10"/>
      <c r="B52" s="12"/>
      <c r="C52" s="10"/>
      <c r="D52" s="10"/>
      <c r="E52" s="17"/>
      <c r="F52" s="17"/>
      <c r="G52" s="17"/>
      <c r="H52" s="17"/>
      <c r="I52" s="17"/>
      <c r="J52" s="17"/>
      <c r="K52" s="17"/>
      <c r="L52" s="10"/>
      <c r="M52" s="10"/>
      <c r="N52" s="17"/>
      <c r="O52" s="15"/>
      <c r="P52" s="26"/>
      <c r="Q52" s="10"/>
      <c r="R52" s="12"/>
      <c r="S52" s="12"/>
      <c r="T52" s="15"/>
      <c r="U52" s="15"/>
      <c r="V52" s="10"/>
      <c r="W52" s="21" t="str">
        <f>IF(COUNTA(N52:U52)=0,"",IF(N52="","E_MISSING_INPUT",IF(N52="TIMESTAMP",IF(OR(O52="",P52="",Q52=""),"E_MISSING_INPUT",IF(OR(NOT(ISNUMBER(O52)),NOT(ISNUMBER(P52))),"E_INVALID_DATE",IF(OR(O52&lt;&gt;INT(O52),P52&lt;0,P52&gt;=1),"E_INVALID_DATE",IF(ISNA(MATCH(Q52,nLIST_Offset,0)),"E_INVALID_DATE","")))),IF(N52="DATE",IF(O52="","E_MISSING_INPUT",IF(NOT(ISNUMBER(O52)),"E_INVALID_DATE",IF(O52&lt;&gt;INT(O52),"E_INVALID_DATE",""))),IF(N52="MONTH",IF(OR(R52="",S52=""),"E_MISSING_INPUT",IF(OR(NOT(ISNUMBER(R52)),NOT(ISNUMBER(S52))),"E_INVALID_DATE",IF(OR(R52&lt;1900,R52&gt;9999,R52&lt;&gt;INT(R52),S52&lt;1,S52&gt;12,S52&lt;&gt;INT(S52)),"E_INVALID_DATE",""))),IF(N52="YEAR",IF(R52="","E_MISSING_INPUT",IF(NOT(ISNUMBER(R52)),"E_INVALID_DATE",IF(OR(R52&lt;1900,R52&gt;9999,R52&lt;&gt;INT(R52)),"E_INVALID_DATE",""))),IF(N52="RANGE",IF(OR(T52="",U52=""),"E_MISSING_INPUT",IF(OR(NOT(ISNUMBER(T52)),NOT(ISNUMBER(U52))),"E_INVALID_DATE",IF(OR(T52&lt;&gt;INT(T52),U52&lt;&gt;INT(U52)),"E_INVALID_DATE",IF(T52&gt;U52,"E_REVERSED_BOUNDS","")))),"E_MISSING_INPUT")))))))</f>
        <v/>
      </c>
      <c r="X52" s="22">
        <f t="shared" si="38"/>
        <v>0</v>
      </c>
      <c r="Y52" s="22">
        <f t="shared" si="39"/>
        <v>0</v>
      </c>
      <c r="Z52" s="28" t="str">
        <f t="shared" si="40"/>
        <v/>
      </c>
      <c r="AA52" s="28" t="str">
        <f t="shared" si="41"/>
        <v/>
      </c>
      <c r="AB52" s="22" t="str">
        <f t="shared" si="42"/>
        <v/>
      </c>
      <c r="AC52" s="22" t="str">
        <f t="shared" si="43"/>
        <v/>
      </c>
      <c r="AD52" s="15"/>
      <c r="AE52" s="26"/>
      <c r="AF52" s="10"/>
      <c r="AG52" s="10"/>
      <c r="AH52" s="21" t="str">
        <f>IF(COUNTA(AD52:AF52)=0,"",IF(OR(AD52="",AE52="",AF52=""),"E_MISSING_INPUT",IF(OR(NOT(ISNUMBER(AD52)),NOT(ISNUMBER(AE52))),"E_INVALID_DATE",IF(OR(AD52&lt;&gt;INT(AD52),AE52&lt;0,AE52&gt;=1),"E_INVALID_DATE",IF(ISNA(MATCH(AF52,nLIST_Offset,0)),"E_INVALID_DATE","")))))</f>
        <v/>
      </c>
      <c r="AI52" s="22" t="str">
        <f t="shared" si="44"/>
        <v/>
      </c>
      <c r="AJ52" s="22">
        <f t="shared" si="45"/>
        <v>0</v>
      </c>
      <c r="AK52" s="22" t="str">
        <f t="shared" si="46"/>
        <v/>
      </c>
      <c r="AL52" s="21" t="str">
        <f t="shared" si="47"/>
        <v/>
      </c>
      <c r="AM52" s="22">
        <f>IF(AL52="",0,COUNTIF(nADM_Key,AL52))</f>
        <v>0</v>
      </c>
      <c r="AN52" s="21" t="str">
        <f t="shared" si="48"/>
        <v/>
      </c>
      <c r="AO52" s="22">
        <f t="shared" si="49"/>
        <v>0</v>
      </c>
      <c r="AP52" s="22">
        <f t="shared" si="50"/>
        <v>0</v>
      </c>
      <c r="AQ52" s="22">
        <f t="shared" si="51"/>
        <v>0</v>
      </c>
      <c r="AR52" s="22">
        <f t="shared" si="52"/>
        <v>0</v>
      </c>
      <c r="AS52" s="22">
        <f t="shared" si="53"/>
        <v>0</v>
      </c>
      <c r="AT52" s="22">
        <f>ROW()</f>
        <v>52</v>
      </c>
      <c r="AU52" s="21">
        <f t="shared" si="54"/>
        <v>0</v>
      </c>
      <c r="AV52" s="21">
        <f t="shared" si="55"/>
        <v>0</v>
      </c>
      <c r="AW52" s="21">
        <f t="shared" si="56"/>
        <v>0</v>
      </c>
      <c r="AX52" s="22">
        <f t="shared" si="57"/>
        <v>0</v>
      </c>
      <c r="AY52" s="21">
        <f t="shared" si="58"/>
        <v>0</v>
      </c>
      <c r="AZ52" s="21">
        <f t="shared" si="59"/>
        <v>-1</v>
      </c>
      <c r="BA52" s="22">
        <f t="shared" si="60"/>
        <v>0</v>
      </c>
      <c r="BB52" s="22">
        <f t="shared" si="61"/>
        <v>0</v>
      </c>
      <c r="BC52" s="22">
        <f t="shared" si="62"/>
        <v>0</v>
      </c>
      <c r="BD52" s="21">
        <f t="shared" si="63"/>
        <v>0</v>
      </c>
      <c r="BE52" s="21" t="str">
        <f t="shared" si="64"/>
        <v/>
      </c>
      <c r="BF52" s="21" t="str">
        <f t="shared" si="65"/>
        <v/>
      </c>
      <c r="BG52" s="22">
        <f t="shared" si="66"/>
        <v>0</v>
      </c>
      <c r="BH52" s="22">
        <f t="shared" si="67"/>
        <v>0</v>
      </c>
      <c r="BI52" s="22">
        <f t="shared" si="68"/>
        <v>0</v>
      </c>
      <c r="BJ52" s="22">
        <f t="shared" si="69"/>
        <v>0</v>
      </c>
      <c r="BK52" s="22">
        <f t="shared" si="70"/>
        <v>0</v>
      </c>
      <c r="BL52" s="22">
        <f t="shared" si="71"/>
        <v>0</v>
      </c>
      <c r="BM52" s="22">
        <f t="shared" si="72"/>
        <v>0</v>
      </c>
      <c r="BN52" s="22">
        <f t="shared" si="73"/>
        <v>0</v>
      </c>
      <c r="BO52" s="22">
        <f>IF(BG52=0,0,COUNTIFS(nADM_SelKey,AN52,nADM_SegValid,1,nADM_SegS_Loc_n,"&lt;"&amp;BL52,nADM_SegE_Loc_n,"&gt;"&amp;BK52)-IF(BL52&gt;BK52,1,0))</f>
        <v>0</v>
      </c>
      <c r="BP52" s="22">
        <f>IF(BH52=0,0,COUNTIFS(nADM_SelKey,AN52,nADM_SegOK,1,nADM_SegS_UTC_n,"&lt;"&amp;BJ52,nADM_SegE_UTC_n,"&gt;"&amp;BI52)-IF(BJ52&gt;BI52,1,0))</f>
        <v>0</v>
      </c>
      <c r="BQ52" s="21" t="str">
        <f t="shared" si="74"/>
        <v/>
      </c>
      <c r="BR52" s="22">
        <f>IF(C52="",1,IF(COUNTIF(nEXP_Key,AN52)&gt;0,1,0))</f>
        <v>1</v>
      </c>
      <c r="BS52" s="21" t="str">
        <f t="shared" si="75"/>
        <v/>
      </c>
      <c r="BT52" s="21" t="str">
        <f>IF(BS52="","",BS52&amp;": "&amp;SUBSTITUTE(IFERROR(INDEX(nMSG_Text,MATCH(BS52,nMSG_Code,0)),""),"[input]",IF(C52="","an Admin_ID",IF(BR52=0,"an Exposures row for episode "&amp;D52,IF(BQ52&lt;&gt;"","segment start and end timestamps and a rate in mg/hour","the date fields required by the selected precision")))))</f>
        <v/>
      </c>
    </row>
    <row r="53" spans="1:72" x14ac:dyDescent="0.2">
      <c r="A53" s="10"/>
      <c r="B53" s="12"/>
      <c r="C53" s="10"/>
      <c r="D53" s="10"/>
      <c r="E53" s="17"/>
      <c r="F53" s="17"/>
      <c r="G53" s="17"/>
      <c r="H53" s="17"/>
      <c r="I53" s="17"/>
      <c r="J53" s="17"/>
      <c r="K53" s="17"/>
      <c r="L53" s="10"/>
      <c r="M53" s="10"/>
      <c r="N53" s="17"/>
      <c r="O53" s="15"/>
      <c r="P53" s="26"/>
      <c r="Q53" s="10"/>
      <c r="R53" s="12"/>
      <c r="S53" s="12"/>
      <c r="T53" s="15"/>
      <c r="U53" s="15"/>
      <c r="V53" s="10"/>
      <c r="W53" s="21" t="str">
        <f>IF(COUNTA(N53:U53)=0,"",IF(N53="","E_MISSING_INPUT",IF(N53="TIMESTAMP",IF(OR(O53="",P53="",Q53=""),"E_MISSING_INPUT",IF(OR(NOT(ISNUMBER(O53)),NOT(ISNUMBER(P53))),"E_INVALID_DATE",IF(OR(O53&lt;&gt;INT(O53),P53&lt;0,P53&gt;=1),"E_INVALID_DATE",IF(ISNA(MATCH(Q53,nLIST_Offset,0)),"E_INVALID_DATE","")))),IF(N53="DATE",IF(O53="","E_MISSING_INPUT",IF(NOT(ISNUMBER(O53)),"E_INVALID_DATE",IF(O53&lt;&gt;INT(O53),"E_INVALID_DATE",""))),IF(N53="MONTH",IF(OR(R53="",S53=""),"E_MISSING_INPUT",IF(OR(NOT(ISNUMBER(R53)),NOT(ISNUMBER(S53))),"E_INVALID_DATE",IF(OR(R53&lt;1900,R53&gt;9999,R53&lt;&gt;INT(R53),S53&lt;1,S53&gt;12,S53&lt;&gt;INT(S53)),"E_INVALID_DATE",""))),IF(N53="YEAR",IF(R53="","E_MISSING_INPUT",IF(NOT(ISNUMBER(R53)),"E_INVALID_DATE",IF(OR(R53&lt;1900,R53&gt;9999,R53&lt;&gt;INT(R53)),"E_INVALID_DATE",""))),IF(N53="RANGE",IF(OR(T53="",U53=""),"E_MISSING_INPUT",IF(OR(NOT(ISNUMBER(T53)),NOT(ISNUMBER(U53))),"E_INVALID_DATE",IF(OR(T53&lt;&gt;INT(T53),U53&lt;&gt;INT(U53)),"E_INVALID_DATE",IF(T53&gt;U53,"E_REVERSED_BOUNDS","")))),"E_MISSING_INPUT")))))))</f>
        <v/>
      </c>
      <c r="X53" s="22">
        <f t="shared" si="38"/>
        <v>0</v>
      </c>
      <c r="Y53" s="22">
        <f t="shared" si="39"/>
        <v>0</v>
      </c>
      <c r="Z53" s="28" t="str">
        <f t="shared" si="40"/>
        <v/>
      </c>
      <c r="AA53" s="28" t="str">
        <f t="shared" si="41"/>
        <v/>
      </c>
      <c r="AB53" s="22" t="str">
        <f t="shared" si="42"/>
        <v/>
      </c>
      <c r="AC53" s="22" t="str">
        <f t="shared" si="43"/>
        <v/>
      </c>
      <c r="AD53" s="15"/>
      <c r="AE53" s="26"/>
      <c r="AF53" s="10"/>
      <c r="AG53" s="10"/>
      <c r="AH53" s="21" t="str">
        <f>IF(COUNTA(AD53:AF53)=0,"",IF(OR(AD53="",AE53="",AF53=""),"E_MISSING_INPUT",IF(OR(NOT(ISNUMBER(AD53)),NOT(ISNUMBER(AE53))),"E_INVALID_DATE",IF(OR(AD53&lt;&gt;INT(AD53),AE53&lt;0,AE53&gt;=1),"E_INVALID_DATE",IF(ISNA(MATCH(AF53,nLIST_Offset,0)),"E_INVALID_DATE","")))))</f>
        <v/>
      </c>
      <c r="AI53" s="22" t="str">
        <f t="shared" si="44"/>
        <v/>
      </c>
      <c r="AJ53" s="22">
        <f t="shared" si="45"/>
        <v>0</v>
      </c>
      <c r="AK53" s="22" t="str">
        <f t="shared" si="46"/>
        <v/>
      </c>
      <c r="AL53" s="21" t="str">
        <f t="shared" si="47"/>
        <v/>
      </c>
      <c r="AM53" s="22">
        <f>IF(AL53="",0,COUNTIF(nADM_Key,AL53))</f>
        <v>0</v>
      </c>
      <c r="AN53" s="21" t="str">
        <f t="shared" si="48"/>
        <v/>
      </c>
      <c r="AO53" s="22">
        <f t="shared" si="49"/>
        <v>0</v>
      </c>
      <c r="AP53" s="22">
        <f t="shared" si="50"/>
        <v>0</v>
      </c>
      <c r="AQ53" s="22">
        <f t="shared" si="51"/>
        <v>0</v>
      </c>
      <c r="AR53" s="22">
        <f t="shared" si="52"/>
        <v>0</v>
      </c>
      <c r="AS53" s="22">
        <f t="shared" si="53"/>
        <v>0</v>
      </c>
      <c r="AT53" s="22">
        <f>ROW()</f>
        <v>53</v>
      </c>
      <c r="AU53" s="21">
        <f t="shared" si="54"/>
        <v>0</v>
      </c>
      <c r="AV53" s="21">
        <f t="shared" si="55"/>
        <v>0</v>
      </c>
      <c r="AW53" s="21">
        <f t="shared" si="56"/>
        <v>0</v>
      </c>
      <c r="AX53" s="22">
        <f t="shared" si="57"/>
        <v>0</v>
      </c>
      <c r="AY53" s="21">
        <f t="shared" si="58"/>
        <v>0</v>
      </c>
      <c r="AZ53" s="21">
        <f t="shared" si="59"/>
        <v>-1</v>
      </c>
      <c r="BA53" s="22">
        <f t="shared" si="60"/>
        <v>0</v>
      </c>
      <c r="BB53" s="22">
        <f t="shared" si="61"/>
        <v>0</v>
      </c>
      <c r="BC53" s="22">
        <f t="shared" si="62"/>
        <v>0</v>
      </c>
      <c r="BD53" s="21">
        <f t="shared" si="63"/>
        <v>0</v>
      </c>
      <c r="BE53" s="21" t="str">
        <f t="shared" si="64"/>
        <v/>
      </c>
      <c r="BF53" s="21" t="str">
        <f t="shared" si="65"/>
        <v/>
      </c>
      <c r="BG53" s="22">
        <f t="shared" si="66"/>
        <v>0</v>
      </c>
      <c r="BH53" s="22">
        <f t="shared" si="67"/>
        <v>0</v>
      </c>
      <c r="BI53" s="22">
        <f t="shared" si="68"/>
        <v>0</v>
      </c>
      <c r="BJ53" s="22">
        <f t="shared" si="69"/>
        <v>0</v>
      </c>
      <c r="BK53" s="22">
        <f t="shared" si="70"/>
        <v>0</v>
      </c>
      <c r="BL53" s="22">
        <f t="shared" si="71"/>
        <v>0</v>
      </c>
      <c r="BM53" s="22">
        <f t="shared" si="72"/>
        <v>0</v>
      </c>
      <c r="BN53" s="22">
        <f t="shared" si="73"/>
        <v>0</v>
      </c>
      <c r="BO53" s="22">
        <f>IF(BG53=0,0,COUNTIFS(nADM_SelKey,AN53,nADM_SegValid,1,nADM_SegS_Loc_n,"&lt;"&amp;BL53,nADM_SegE_Loc_n,"&gt;"&amp;BK53)-IF(BL53&gt;BK53,1,0))</f>
        <v>0</v>
      </c>
      <c r="BP53" s="22">
        <f>IF(BH53=0,0,COUNTIFS(nADM_SelKey,AN53,nADM_SegOK,1,nADM_SegS_UTC_n,"&lt;"&amp;BJ53,nADM_SegE_UTC_n,"&gt;"&amp;BI53)-IF(BJ53&gt;BI53,1,0))</f>
        <v>0</v>
      </c>
      <c r="BQ53" s="21" t="str">
        <f t="shared" si="74"/>
        <v/>
      </c>
      <c r="BR53" s="22">
        <f>IF(C53="",1,IF(COUNTIF(nEXP_Key,AN53)&gt;0,1,0))</f>
        <v>1</v>
      </c>
      <c r="BS53" s="21" t="str">
        <f t="shared" si="75"/>
        <v/>
      </c>
      <c r="BT53" s="21" t="str">
        <f>IF(BS53="","",BS53&amp;": "&amp;SUBSTITUTE(IFERROR(INDEX(nMSG_Text,MATCH(BS53,nMSG_Code,0)),""),"[input]",IF(C53="","an Admin_ID",IF(BR53=0,"an Exposures row for episode "&amp;D53,IF(BQ53&lt;&gt;"","segment start and end timestamps and a rate in mg/hour","the date fields required by the selected precision")))))</f>
        <v/>
      </c>
    </row>
    <row r="54" spans="1:72" x14ac:dyDescent="0.2">
      <c r="A54" s="10"/>
      <c r="B54" s="12"/>
      <c r="C54" s="10"/>
      <c r="D54" s="10"/>
      <c r="E54" s="17"/>
      <c r="F54" s="17"/>
      <c r="G54" s="17"/>
      <c r="H54" s="17"/>
      <c r="I54" s="17"/>
      <c r="J54" s="17"/>
      <c r="K54" s="17"/>
      <c r="L54" s="10"/>
      <c r="M54" s="10"/>
      <c r="N54" s="17"/>
      <c r="O54" s="15"/>
      <c r="P54" s="26"/>
      <c r="Q54" s="10"/>
      <c r="R54" s="12"/>
      <c r="S54" s="12"/>
      <c r="T54" s="15"/>
      <c r="U54" s="15"/>
      <c r="V54" s="10"/>
      <c r="W54" s="21" t="str">
        <f>IF(COUNTA(N54:U54)=0,"",IF(N54="","E_MISSING_INPUT",IF(N54="TIMESTAMP",IF(OR(O54="",P54="",Q54=""),"E_MISSING_INPUT",IF(OR(NOT(ISNUMBER(O54)),NOT(ISNUMBER(P54))),"E_INVALID_DATE",IF(OR(O54&lt;&gt;INT(O54),P54&lt;0,P54&gt;=1),"E_INVALID_DATE",IF(ISNA(MATCH(Q54,nLIST_Offset,0)),"E_INVALID_DATE","")))),IF(N54="DATE",IF(O54="","E_MISSING_INPUT",IF(NOT(ISNUMBER(O54)),"E_INVALID_DATE",IF(O54&lt;&gt;INT(O54),"E_INVALID_DATE",""))),IF(N54="MONTH",IF(OR(R54="",S54=""),"E_MISSING_INPUT",IF(OR(NOT(ISNUMBER(R54)),NOT(ISNUMBER(S54))),"E_INVALID_DATE",IF(OR(R54&lt;1900,R54&gt;9999,R54&lt;&gt;INT(R54),S54&lt;1,S54&gt;12,S54&lt;&gt;INT(S54)),"E_INVALID_DATE",""))),IF(N54="YEAR",IF(R54="","E_MISSING_INPUT",IF(NOT(ISNUMBER(R54)),"E_INVALID_DATE",IF(OR(R54&lt;1900,R54&gt;9999,R54&lt;&gt;INT(R54)),"E_INVALID_DATE",""))),IF(N54="RANGE",IF(OR(T54="",U54=""),"E_MISSING_INPUT",IF(OR(NOT(ISNUMBER(T54)),NOT(ISNUMBER(U54))),"E_INVALID_DATE",IF(OR(T54&lt;&gt;INT(T54),U54&lt;&gt;INT(U54)),"E_INVALID_DATE",IF(T54&gt;U54,"E_REVERSED_BOUNDS","")))),"E_MISSING_INPUT")))))))</f>
        <v/>
      </c>
      <c r="X54" s="22">
        <f t="shared" si="38"/>
        <v>0</v>
      </c>
      <c r="Y54" s="22">
        <f t="shared" si="39"/>
        <v>0</v>
      </c>
      <c r="Z54" s="28" t="str">
        <f t="shared" si="40"/>
        <v/>
      </c>
      <c r="AA54" s="28" t="str">
        <f t="shared" si="41"/>
        <v/>
      </c>
      <c r="AB54" s="22" t="str">
        <f t="shared" si="42"/>
        <v/>
      </c>
      <c r="AC54" s="22" t="str">
        <f t="shared" si="43"/>
        <v/>
      </c>
      <c r="AD54" s="15"/>
      <c r="AE54" s="26"/>
      <c r="AF54" s="10"/>
      <c r="AG54" s="10"/>
      <c r="AH54" s="21" t="str">
        <f>IF(COUNTA(AD54:AF54)=0,"",IF(OR(AD54="",AE54="",AF54=""),"E_MISSING_INPUT",IF(OR(NOT(ISNUMBER(AD54)),NOT(ISNUMBER(AE54))),"E_INVALID_DATE",IF(OR(AD54&lt;&gt;INT(AD54),AE54&lt;0,AE54&gt;=1),"E_INVALID_DATE",IF(ISNA(MATCH(AF54,nLIST_Offset,0)),"E_INVALID_DATE","")))))</f>
        <v/>
      </c>
      <c r="AI54" s="22" t="str">
        <f t="shared" si="44"/>
        <v/>
      </c>
      <c r="AJ54" s="22">
        <f t="shared" si="45"/>
        <v>0</v>
      </c>
      <c r="AK54" s="22" t="str">
        <f t="shared" si="46"/>
        <v/>
      </c>
      <c r="AL54" s="21" t="str">
        <f t="shared" si="47"/>
        <v/>
      </c>
      <c r="AM54" s="22">
        <f>IF(AL54="",0,COUNTIF(nADM_Key,AL54))</f>
        <v>0</v>
      </c>
      <c r="AN54" s="21" t="str">
        <f t="shared" si="48"/>
        <v/>
      </c>
      <c r="AO54" s="22">
        <f t="shared" si="49"/>
        <v>0</v>
      </c>
      <c r="AP54" s="22">
        <f t="shared" si="50"/>
        <v>0</v>
      </c>
      <c r="AQ54" s="22">
        <f t="shared" si="51"/>
        <v>0</v>
      </c>
      <c r="AR54" s="22">
        <f t="shared" si="52"/>
        <v>0</v>
      </c>
      <c r="AS54" s="22">
        <f t="shared" si="53"/>
        <v>0</v>
      </c>
      <c r="AT54" s="22">
        <f>ROW()</f>
        <v>54</v>
      </c>
      <c r="AU54" s="21">
        <f t="shared" si="54"/>
        <v>0</v>
      </c>
      <c r="AV54" s="21">
        <f t="shared" si="55"/>
        <v>0</v>
      </c>
      <c r="AW54" s="21">
        <f t="shared" si="56"/>
        <v>0</v>
      </c>
      <c r="AX54" s="22">
        <f t="shared" si="57"/>
        <v>0</v>
      </c>
      <c r="AY54" s="21">
        <f t="shared" si="58"/>
        <v>0</v>
      </c>
      <c r="AZ54" s="21">
        <f t="shared" si="59"/>
        <v>-1</v>
      </c>
      <c r="BA54" s="22">
        <f t="shared" si="60"/>
        <v>0</v>
      </c>
      <c r="BB54" s="22">
        <f t="shared" si="61"/>
        <v>0</v>
      </c>
      <c r="BC54" s="22">
        <f t="shared" si="62"/>
        <v>0</v>
      </c>
      <c r="BD54" s="21">
        <f t="shared" si="63"/>
        <v>0</v>
      </c>
      <c r="BE54" s="21" t="str">
        <f t="shared" si="64"/>
        <v/>
      </c>
      <c r="BF54" s="21" t="str">
        <f t="shared" si="65"/>
        <v/>
      </c>
      <c r="BG54" s="22">
        <f t="shared" si="66"/>
        <v>0</v>
      </c>
      <c r="BH54" s="22">
        <f t="shared" si="67"/>
        <v>0</v>
      </c>
      <c r="BI54" s="22">
        <f t="shared" si="68"/>
        <v>0</v>
      </c>
      <c r="BJ54" s="22">
        <f t="shared" si="69"/>
        <v>0</v>
      </c>
      <c r="BK54" s="22">
        <f t="shared" si="70"/>
        <v>0</v>
      </c>
      <c r="BL54" s="22">
        <f t="shared" si="71"/>
        <v>0</v>
      </c>
      <c r="BM54" s="22">
        <f t="shared" si="72"/>
        <v>0</v>
      </c>
      <c r="BN54" s="22">
        <f t="shared" si="73"/>
        <v>0</v>
      </c>
      <c r="BO54" s="22">
        <f>IF(BG54=0,0,COUNTIFS(nADM_SelKey,AN54,nADM_SegValid,1,nADM_SegS_Loc_n,"&lt;"&amp;BL54,nADM_SegE_Loc_n,"&gt;"&amp;BK54)-IF(BL54&gt;BK54,1,0))</f>
        <v>0</v>
      </c>
      <c r="BP54" s="22">
        <f>IF(BH54=0,0,COUNTIFS(nADM_SelKey,AN54,nADM_SegOK,1,nADM_SegS_UTC_n,"&lt;"&amp;BJ54,nADM_SegE_UTC_n,"&gt;"&amp;BI54)-IF(BJ54&gt;BI54,1,0))</f>
        <v>0</v>
      </c>
      <c r="BQ54" s="21" t="str">
        <f t="shared" si="74"/>
        <v/>
      </c>
      <c r="BR54" s="22">
        <f>IF(C54="",1,IF(COUNTIF(nEXP_Key,AN54)&gt;0,1,0))</f>
        <v>1</v>
      </c>
      <c r="BS54" s="21" t="str">
        <f t="shared" si="75"/>
        <v/>
      </c>
      <c r="BT54" s="21" t="str">
        <f>IF(BS54="","",BS54&amp;": "&amp;SUBSTITUTE(IFERROR(INDEX(nMSG_Text,MATCH(BS54,nMSG_Code,0)),""),"[input]",IF(C54="","an Admin_ID",IF(BR54=0,"an Exposures row for episode "&amp;D54,IF(BQ54&lt;&gt;"","segment start and end timestamps and a rate in mg/hour","the date fields required by the selected precision")))))</f>
        <v/>
      </c>
    </row>
    <row r="55" spans="1:72" x14ac:dyDescent="0.2">
      <c r="A55" s="10"/>
      <c r="B55" s="12"/>
      <c r="C55" s="10"/>
      <c r="D55" s="10"/>
      <c r="E55" s="17"/>
      <c r="F55" s="17"/>
      <c r="G55" s="17"/>
      <c r="H55" s="17"/>
      <c r="I55" s="17"/>
      <c r="J55" s="17"/>
      <c r="K55" s="17"/>
      <c r="L55" s="10"/>
      <c r="M55" s="10"/>
      <c r="N55" s="17"/>
      <c r="O55" s="15"/>
      <c r="P55" s="26"/>
      <c r="Q55" s="10"/>
      <c r="R55" s="12"/>
      <c r="S55" s="12"/>
      <c r="T55" s="15"/>
      <c r="U55" s="15"/>
      <c r="V55" s="10"/>
      <c r="W55" s="21" t="str">
        <f>IF(COUNTA(N55:U55)=0,"",IF(N55="","E_MISSING_INPUT",IF(N55="TIMESTAMP",IF(OR(O55="",P55="",Q55=""),"E_MISSING_INPUT",IF(OR(NOT(ISNUMBER(O55)),NOT(ISNUMBER(P55))),"E_INVALID_DATE",IF(OR(O55&lt;&gt;INT(O55),P55&lt;0,P55&gt;=1),"E_INVALID_DATE",IF(ISNA(MATCH(Q55,nLIST_Offset,0)),"E_INVALID_DATE","")))),IF(N55="DATE",IF(O55="","E_MISSING_INPUT",IF(NOT(ISNUMBER(O55)),"E_INVALID_DATE",IF(O55&lt;&gt;INT(O55),"E_INVALID_DATE",""))),IF(N55="MONTH",IF(OR(R55="",S55=""),"E_MISSING_INPUT",IF(OR(NOT(ISNUMBER(R55)),NOT(ISNUMBER(S55))),"E_INVALID_DATE",IF(OR(R55&lt;1900,R55&gt;9999,R55&lt;&gt;INT(R55),S55&lt;1,S55&gt;12,S55&lt;&gt;INT(S55)),"E_INVALID_DATE",""))),IF(N55="YEAR",IF(R55="","E_MISSING_INPUT",IF(NOT(ISNUMBER(R55)),"E_INVALID_DATE",IF(OR(R55&lt;1900,R55&gt;9999,R55&lt;&gt;INT(R55)),"E_INVALID_DATE",""))),IF(N55="RANGE",IF(OR(T55="",U55=""),"E_MISSING_INPUT",IF(OR(NOT(ISNUMBER(T55)),NOT(ISNUMBER(U55))),"E_INVALID_DATE",IF(OR(T55&lt;&gt;INT(T55),U55&lt;&gt;INT(U55)),"E_INVALID_DATE",IF(T55&gt;U55,"E_REVERSED_BOUNDS","")))),"E_MISSING_INPUT")))))))</f>
        <v/>
      </c>
      <c r="X55" s="22">
        <f t="shared" si="38"/>
        <v>0</v>
      </c>
      <c r="Y55" s="22">
        <f t="shared" si="39"/>
        <v>0</v>
      </c>
      <c r="Z55" s="28" t="str">
        <f t="shared" si="40"/>
        <v/>
      </c>
      <c r="AA55" s="28" t="str">
        <f t="shared" si="41"/>
        <v/>
      </c>
      <c r="AB55" s="22" t="str">
        <f t="shared" si="42"/>
        <v/>
      </c>
      <c r="AC55" s="22" t="str">
        <f t="shared" si="43"/>
        <v/>
      </c>
      <c r="AD55" s="15"/>
      <c r="AE55" s="26"/>
      <c r="AF55" s="10"/>
      <c r="AG55" s="10"/>
      <c r="AH55" s="21" t="str">
        <f>IF(COUNTA(AD55:AF55)=0,"",IF(OR(AD55="",AE55="",AF55=""),"E_MISSING_INPUT",IF(OR(NOT(ISNUMBER(AD55)),NOT(ISNUMBER(AE55))),"E_INVALID_DATE",IF(OR(AD55&lt;&gt;INT(AD55),AE55&lt;0,AE55&gt;=1),"E_INVALID_DATE",IF(ISNA(MATCH(AF55,nLIST_Offset,0)),"E_INVALID_DATE","")))))</f>
        <v/>
      </c>
      <c r="AI55" s="22" t="str">
        <f t="shared" si="44"/>
        <v/>
      </c>
      <c r="AJ55" s="22">
        <f t="shared" si="45"/>
        <v>0</v>
      </c>
      <c r="AK55" s="22" t="str">
        <f t="shared" si="46"/>
        <v/>
      </c>
      <c r="AL55" s="21" t="str">
        <f t="shared" si="47"/>
        <v/>
      </c>
      <c r="AM55" s="22">
        <f>IF(AL55="",0,COUNTIF(nADM_Key,AL55))</f>
        <v>0</v>
      </c>
      <c r="AN55" s="21" t="str">
        <f t="shared" si="48"/>
        <v/>
      </c>
      <c r="AO55" s="22">
        <f t="shared" si="49"/>
        <v>0</v>
      </c>
      <c r="AP55" s="22">
        <f t="shared" si="50"/>
        <v>0</v>
      </c>
      <c r="AQ55" s="22">
        <f t="shared" si="51"/>
        <v>0</v>
      </c>
      <c r="AR55" s="22">
        <f t="shared" si="52"/>
        <v>0</v>
      </c>
      <c r="AS55" s="22">
        <f t="shared" si="53"/>
        <v>0</v>
      </c>
      <c r="AT55" s="22">
        <f>ROW()</f>
        <v>55</v>
      </c>
      <c r="AU55" s="21">
        <f t="shared" si="54"/>
        <v>0</v>
      </c>
      <c r="AV55" s="21">
        <f t="shared" si="55"/>
        <v>0</v>
      </c>
      <c r="AW55" s="21">
        <f t="shared" si="56"/>
        <v>0</v>
      </c>
      <c r="AX55" s="22">
        <f t="shared" si="57"/>
        <v>0</v>
      </c>
      <c r="AY55" s="21">
        <f t="shared" si="58"/>
        <v>0</v>
      </c>
      <c r="AZ55" s="21">
        <f t="shared" si="59"/>
        <v>-1</v>
      </c>
      <c r="BA55" s="22">
        <f t="shared" si="60"/>
        <v>0</v>
      </c>
      <c r="BB55" s="22">
        <f t="shared" si="61"/>
        <v>0</v>
      </c>
      <c r="BC55" s="22">
        <f t="shared" si="62"/>
        <v>0</v>
      </c>
      <c r="BD55" s="21">
        <f t="shared" si="63"/>
        <v>0</v>
      </c>
      <c r="BE55" s="21" t="str">
        <f t="shared" si="64"/>
        <v/>
      </c>
      <c r="BF55" s="21" t="str">
        <f t="shared" si="65"/>
        <v/>
      </c>
      <c r="BG55" s="22">
        <f t="shared" si="66"/>
        <v>0</v>
      </c>
      <c r="BH55" s="22">
        <f t="shared" si="67"/>
        <v>0</v>
      </c>
      <c r="BI55" s="22">
        <f t="shared" si="68"/>
        <v>0</v>
      </c>
      <c r="BJ55" s="22">
        <f t="shared" si="69"/>
        <v>0</v>
      </c>
      <c r="BK55" s="22">
        <f t="shared" si="70"/>
        <v>0</v>
      </c>
      <c r="BL55" s="22">
        <f t="shared" si="71"/>
        <v>0</v>
      </c>
      <c r="BM55" s="22">
        <f t="shared" si="72"/>
        <v>0</v>
      </c>
      <c r="BN55" s="22">
        <f t="shared" si="73"/>
        <v>0</v>
      </c>
      <c r="BO55" s="22">
        <f>IF(BG55=0,0,COUNTIFS(nADM_SelKey,AN55,nADM_SegValid,1,nADM_SegS_Loc_n,"&lt;"&amp;BL55,nADM_SegE_Loc_n,"&gt;"&amp;BK55)-IF(BL55&gt;BK55,1,0))</f>
        <v>0</v>
      </c>
      <c r="BP55" s="22">
        <f>IF(BH55=0,0,COUNTIFS(nADM_SelKey,AN55,nADM_SegOK,1,nADM_SegS_UTC_n,"&lt;"&amp;BJ55,nADM_SegE_UTC_n,"&gt;"&amp;BI55)-IF(BJ55&gt;BI55,1,0))</f>
        <v>0</v>
      </c>
      <c r="BQ55" s="21" t="str">
        <f t="shared" si="74"/>
        <v/>
      </c>
      <c r="BR55" s="22">
        <f>IF(C55="",1,IF(COUNTIF(nEXP_Key,AN55)&gt;0,1,0))</f>
        <v>1</v>
      </c>
      <c r="BS55" s="21" t="str">
        <f t="shared" si="75"/>
        <v/>
      </c>
      <c r="BT55" s="21" t="str">
        <f>IF(BS55="","",BS55&amp;": "&amp;SUBSTITUTE(IFERROR(INDEX(nMSG_Text,MATCH(BS55,nMSG_Code,0)),""),"[input]",IF(C55="","an Admin_ID",IF(BR55=0,"an Exposures row for episode "&amp;D55,IF(BQ55&lt;&gt;"","segment start and end timestamps and a rate in mg/hour","the date fields required by the selected precision")))))</f>
        <v/>
      </c>
    </row>
    <row r="56" spans="1:72" x14ac:dyDescent="0.2">
      <c r="A56" s="10"/>
      <c r="B56" s="12"/>
      <c r="C56" s="10"/>
      <c r="D56" s="10"/>
      <c r="E56" s="17"/>
      <c r="F56" s="17"/>
      <c r="G56" s="17"/>
      <c r="H56" s="17"/>
      <c r="I56" s="17"/>
      <c r="J56" s="17"/>
      <c r="K56" s="17"/>
      <c r="L56" s="10"/>
      <c r="M56" s="10"/>
      <c r="N56" s="17"/>
      <c r="O56" s="15"/>
      <c r="P56" s="26"/>
      <c r="Q56" s="10"/>
      <c r="R56" s="12"/>
      <c r="S56" s="12"/>
      <c r="T56" s="15"/>
      <c r="U56" s="15"/>
      <c r="V56" s="10"/>
      <c r="W56" s="21" t="str">
        <f>IF(COUNTA(N56:U56)=0,"",IF(N56="","E_MISSING_INPUT",IF(N56="TIMESTAMP",IF(OR(O56="",P56="",Q56=""),"E_MISSING_INPUT",IF(OR(NOT(ISNUMBER(O56)),NOT(ISNUMBER(P56))),"E_INVALID_DATE",IF(OR(O56&lt;&gt;INT(O56),P56&lt;0,P56&gt;=1),"E_INVALID_DATE",IF(ISNA(MATCH(Q56,nLIST_Offset,0)),"E_INVALID_DATE","")))),IF(N56="DATE",IF(O56="","E_MISSING_INPUT",IF(NOT(ISNUMBER(O56)),"E_INVALID_DATE",IF(O56&lt;&gt;INT(O56),"E_INVALID_DATE",""))),IF(N56="MONTH",IF(OR(R56="",S56=""),"E_MISSING_INPUT",IF(OR(NOT(ISNUMBER(R56)),NOT(ISNUMBER(S56))),"E_INVALID_DATE",IF(OR(R56&lt;1900,R56&gt;9999,R56&lt;&gt;INT(R56),S56&lt;1,S56&gt;12,S56&lt;&gt;INT(S56)),"E_INVALID_DATE",""))),IF(N56="YEAR",IF(R56="","E_MISSING_INPUT",IF(NOT(ISNUMBER(R56)),"E_INVALID_DATE",IF(OR(R56&lt;1900,R56&gt;9999,R56&lt;&gt;INT(R56)),"E_INVALID_DATE",""))),IF(N56="RANGE",IF(OR(T56="",U56=""),"E_MISSING_INPUT",IF(OR(NOT(ISNUMBER(T56)),NOT(ISNUMBER(U56))),"E_INVALID_DATE",IF(OR(T56&lt;&gt;INT(T56),U56&lt;&gt;INT(U56)),"E_INVALID_DATE",IF(T56&gt;U56,"E_REVERSED_BOUNDS","")))),"E_MISSING_INPUT")))))))</f>
        <v/>
      </c>
      <c r="X56" s="22">
        <f t="shared" si="38"/>
        <v>0</v>
      </c>
      <c r="Y56" s="22">
        <f t="shared" si="39"/>
        <v>0</v>
      </c>
      <c r="Z56" s="28" t="str">
        <f t="shared" si="40"/>
        <v/>
      </c>
      <c r="AA56" s="28" t="str">
        <f t="shared" si="41"/>
        <v/>
      </c>
      <c r="AB56" s="22" t="str">
        <f t="shared" si="42"/>
        <v/>
      </c>
      <c r="AC56" s="22" t="str">
        <f t="shared" si="43"/>
        <v/>
      </c>
      <c r="AD56" s="15"/>
      <c r="AE56" s="26"/>
      <c r="AF56" s="10"/>
      <c r="AG56" s="10"/>
      <c r="AH56" s="21" t="str">
        <f>IF(COUNTA(AD56:AF56)=0,"",IF(OR(AD56="",AE56="",AF56=""),"E_MISSING_INPUT",IF(OR(NOT(ISNUMBER(AD56)),NOT(ISNUMBER(AE56))),"E_INVALID_DATE",IF(OR(AD56&lt;&gt;INT(AD56),AE56&lt;0,AE56&gt;=1),"E_INVALID_DATE",IF(ISNA(MATCH(AF56,nLIST_Offset,0)),"E_INVALID_DATE","")))))</f>
        <v/>
      </c>
      <c r="AI56" s="22" t="str">
        <f t="shared" si="44"/>
        <v/>
      </c>
      <c r="AJ56" s="22">
        <f t="shared" si="45"/>
        <v>0</v>
      </c>
      <c r="AK56" s="22" t="str">
        <f t="shared" si="46"/>
        <v/>
      </c>
      <c r="AL56" s="21" t="str">
        <f t="shared" si="47"/>
        <v/>
      </c>
      <c r="AM56" s="22">
        <f>IF(AL56="",0,COUNTIF(nADM_Key,AL56))</f>
        <v>0</v>
      </c>
      <c r="AN56" s="21" t="str">
        <f t="shared" si="48"/>
        <v/>
      </c>
      <c r="AO56" s="22">
        <f t="shared" si="49"/>
        <v>0</v>
      </c>
      <c r="AP56" s="22">
        <f t="shared" si="50"/>
        <v>0</v>
      </c>
      <c r="AQ56" s="22">
        <f t="shared" si="51"/>
        <v>0</v>
      </c>
      <c r="AR56" s="22">
        <f t="shared" si="52"/>
        <v>0</v>
      </c>
      <c r="AS56" s="22">
        <f t="shared" si="53"/>
        <v>0</v>
      </c>
      <c r="AT56" s="22">
        <f>ROW()</f>
        <v>56</v>
      </c>
      <c r="AU56" s="21">
        <f t="shared" si="54"/>
        <v>0</v>
      </c>
      <c r="AV56" s="21">
        <f t="shared" si="55"/>
        <v>0</v>
      </c>
      <c r="AW56" s="21">
        <f t="shared" si="56"/>
        <v>0</v>
      </c>
      <c r="AX56" s="22">
        <f t="shared" si="57"/>
        <v>0</v>
      </c>
      <c r="AY56" s="21">
        <f t="shared" si="58"/>
        <v>0</v>
      </c>
      <c r="AZ56" s="21">
        <f t="shared" si="59"/>
        <v>-1</v>
      </c>
      <c r="BA56" s="22">
        <f t="shared" si="60"/>
        <v>0</v>
      </c>
      <c r="BB56" s="22">
        <f t="shared" si="61"/>
        <v>0</v>
      </c>
      <c r="BC56" s="22">
        <f t="shared" si="62"/>
        <v>0</v>
      </c>
      <c r="BD56" s="21">
        <f t="shared" si="63"/>
        <v>0</v>
      </c>
      <c r="BE56" s="21" t="str">
        <f t="shared" si="64"/>
        <v/>
      </c>
      <c r="BF56" s="21" t="str">
        <f t="shared" si="65"/>
        <v/>
      </c>
      <c r="BG56" s="22">
        <f t="shared" si="66"/>
        <v>0</v>
      </c>
      <c r="BH56" s="22">
        <f t="shared" si="67"/>
        <v>0</v>
      </c>
      <c r="BI56" s="22">
        <f t="shared" si="68"/>
        <v>0</v>
      </c>
      <c r="BJ56" s="22">
        <f t="shared" si="69"/>
        <v>0</v>
      </c>
      <c r="BK56" s="22">
        <f t="shared" si="70"/>
        <v>0</v>
      </c>
      <c r="BL56" s="22">
        <f t="shared" si="71"/>
        <v>0</v>
      </c>
      <c r="BM56" s="22">
        <f t="shared" si="72"/>
        <v>0</v>
      </c>
      <c r="BN56" s="22">
        <f t="shared" si="73"/>
        <v>0</v>
      </c>
      <c r="BO56" s="22">
        <f>IF(BG56=0,0,COUNTIFS(nADM_SelKey,AN56,nADM_SegValid,1,nADM_SegS_Loc_n,"&lt;"&amp;BL56,nADM_SegE_Loc_n,"&gt;"&amp;BK56)-IF(BL56&gt;BK56,1,0))</f>
        <v>0</v>
      </c>
      <c r="BP56" s="22">
        <f>IF(BH56=0,0,COUNTIFS(nADM_SelKey,AN56,nADM_SegOK,1,nADM_SegS_UTC_n,"&lt;"&amp;BJ56,nADM_SegE_UTC_n,"&gt;"&amp;BI56)-IF(BJ56&gt;BI56,1,0))</f>
        <v>0</v>
      </c>
      <c r="BQ56" s="21" t="str">
        <f t="shared" si="74"/>
        <v/>
      </c>
      <c r="BR56" s="22">
        <f>IF(C56="",1,IF(COUNTIF(nEXP_Key,AN56)&gt;0,1,0))</f>
        <v>1</v>
      </c>
      <c r="BS56" s="21" t="str">
        <f t="shared" si="75"/>
        <v/>
      </c>
      <c r="BT56" s="21" t="str">
        <f>IF(BS56="","",BS56&amp;": "&amp;SUBSTITUTE(IFERROR(INDEX(nMSG_Text,MATCH(BS56,nMSG_Code,0)),""),"[input]",IF(C56="","an Admin_ID",IF(BR56=0,"an Exposures row for episode "&amp;D56,IF(BQ56&lt;&gt;"","segment start and end timestamps and a rate in mg/hour","the date fields required by the selected precision")))))</f>
        <v/>
      </c>
    </row>
    <row r="57" spans="1:72" x14ac:dyDescent="0.2">
      <c r="A57" s="10"/>
      <c r="B57" s="12"/>
      <c r="C57" s="10"/>
      <c r="D57" s="10"/>
      <c r="E57" s="17"/>
      <c r="F57" s="17"/>
      <c r="G57" s="17"/>
      <c r="H57" s="17"/>
      <c r="I57" s="17"/>
      <c r="J57" s="17"/>
      <c r="K57" s="17"/>
      <c r="L57" s="10"/>
      <c r="M57" s="10"/>
      <c r="N57" s="17"/>
      <c r="O57" s="15"/>
      <c r="P57" s="26"/>
      <c r="Q57" s="10"/>
      <c r="R57" s="12"/>
      <c r="S57" s="12"/>
      <c r="T57" s="15"/>
      <c r="U57" s="15"/>
      <c r="V57" s="10"/>
      <c r="W57" s="21" t="str">
        <f>IF(COUNTA(N57:U57)=0,"",IF(N57="","E_MISSING_INPUT",IF(N57="TIMESTAMP",IF(OR(O57="",P57="",Q57=""),"E_MISSING_INPUT",IF(OR(NOT(ISNUMBER(O57)),NOT(ISNUMBER(P57))),"E_INVALID_DATE",IF(OR(O57&lt;&gt;INT(O57),P57&lt;0,P57&gt;=1),"E_INVALID_DATE",IF(ISNA(MATCH(Q57,nLIST_Offset,0)),"E_INVALID_DATE","")))),IF(N57="DATE",IF(O57="","E_MISSING_INPUT",IF(NOT(ISNUMBER(O57)),"E_INVALID_DATE",IF(O57&lt;&gt;INT(O57),"E_INVALID_DATE",""))),IF(N57="MONTH",IF(OR(R57="",S57=""),"E_MISSING_INPUT",IF(OR(NOT(ISNUMBER(R57)),NOT(ISNUMBER(S57))),"E_INVALID_DATE",IF(OR(R57&lt;1900,R57&gt;9999,R57&lt;&gt;INT(R57),S57&lt;1,S57&gt;12,S57&lt;&gt;INT(S57)),"E_INVALID_DATE",""))),IF(N57="YEAR",IF(R57="","E_MISSING_INPUT",IF(NOT(ISNUMBER(R57)),"E_INVALID_DATE",IF(OR(R57&lt;1900,R57&gt;9999,R57&lt;&gt;INT(R57)),"E_INVALID_DATE",""))),IF(N57="RANGE",IF(OR(T57="",U57=""),"E_MISSING_INPUT",IF(OR(NOT(ISNUMBER(T57)),NOT(ISNUMBER(U57))),"E_INVALID_DATE",IF(OR(T57&lt;&gt;INT(T57),U57&lt;&gt;INT(U57)),"E_INVALID_DATE",IF(T57&gt;U57,"E_REVERSED_BOUNDS","")))),"E_MISSING_INPUT")))))))</f>
        <v/>
      </c>
      <c r="X57" s="22">
        <f t="shared" si="38"/>
        <v>0</v>
      </c>
      <c r="Y57" s="22">
        <f t="shared" si="39"/>
        <v>0</v>
      </c>
      <c r="Z57" s="28" t="str">
        <f t="shared" si="40"/>
        <v/>
      </c>
      <c r="AA57" s="28" t="str">
        <f t="shared" si="41"/>
        <v/>
      </c>
      <c r="AB57" s="22" t="str">
        <f t="shared" si="42"/>
        <v/>
      </c>
      <c r="AC57" s="22" t="str">
        <f t="shared" si="43"/>
        <v/>
      </c>
      <c r="AD57" s="15"/>
      <c r="AE57" s="26"/>
      <c r="AF57" s="10"/>
      <c r="AG57" s="10"/>
      <c r="AH57" s="21" t="str">
        <f>IF(COUNTA(AD57:AF57)=0,"",IF(OR(AD57="",AE57="",AF57=""),"E_MISSING_INPUT",IF(OR(NOT(ISNUMBER(AD57)),NOT(ISNUMBER(AE57))),"E_INVALID_DATE",IF(OR(AD57&lt;&gt;INT(AD57),AE57&lt;0,AE57&gt;=1),"E_INVALID_DATE",IF(ISNA(MATCH(AF57,nLIST_Offset,0)),"E_INVALID_DATE","")))))</f>
        <v/>
      </c>
      <c r="AI57" s="22" t="str">
        <f t="shared" si="44"/>
        <v/>
      </c>
      <c r="AJ57" s="22">
        <f t="shared" si="45"/>
        <v>0</v>
      </c>
      <c r="AK57" s="22" t="str">
        <f t="shared" si="46"/>
        <v/>
      </c>
      <c r="AL57" s="21" t="str">
        <f t="shared" si="47"/>
        <v/>
      </c>
      <c r="AM57" s="22">
        <f>IF(AL57="",0,COUNTIF(nADM_Key,AL57))</f>
        <v>0</v>
      </c>
      <c r="AN57" s="21" t="str">
        <f t="shared" si="48"/>
        <v/>
      </c>
      <c r="AO57" s="22">
        <f t="shared" si="49"/>
        <v>0</v>
      </c>
      <c r="AP57" s="22">
        <f t="shared" si="50"/>
        <v>0</v>
      </c>
      <c r="AQ57" s="22">
        <f t="shared" si="51"/>
        <v>0</v>
      </c>
      <c r="AR57" s="22">
        <f t="shared" si="52"/>
        <v>0</v>
      </c>
      <c r="AS57" s="22">
        <f t="shared" si="53"/>
        <v>0</v>
      </c>
      <c r="AT57" s="22">
        <f>ROW()</f>
        <v>57</v>
      </c>
      <c r="AU57" s="21">
        <f t="shared" si="54"/>
        <v>0</v>
      </c>
      <c r="AV57" s="21">
        <f t="shared" si="55"/>
        <v>0</v>
      </c>
      <c r="AW57" s="21">
        <f t="shared" si="56"/>
        <v>0</v>
      </c>
      <c r="AX57" s="22">
        <f t="shared" si="57"/>
        <v>0</v>
      </c>
      <c r="AY57" s="21">
        <f t="shared" si="58"/>
        <v>0</v>
      </c>
      <c r="AZ57" s="21">
        <f t="shared" si="59"/>
        <v>-1</v>
      </c>
      <c r="BA57" s="22">
        <f t="shared" si="60"/>
        <v>0</v>
      </c>
      <c r="BB57" s="22">
        <f t="shared" si="61"/>
        <v>0</v>
      </c>
      <c r="BC57" s="22">
        <f t="shared" si="62"/>
        <v>0</v>
      </c>
      <c r="BD57" s="21">
        <f t="shared" si="63"/>
        <v>0</v>
      </c>
      <c r="BE57" s="21" t="str">
        <f t="shared" si="64"/>
        <v/>
      </c>
      <c r="BF57" s="21" t="str">
        <f t="shared" si="65"/>
        <v/>
      </c>
      <c r="BG57" s="22">
        <f t="shared" si="66"/>
        <v>0</v>
      </c>
      <c r="BH57" s="22">
        <f t="shared" si="67"/>
        <v>0</v>
      </c>
      <c r="BI57" s="22">
        <f t="shared" si="68"/>
        <v>0</v>
      </c>
      <c r="BJ57" s="22">
        <f t="shared" si="69"/>
        <v>0</v>
      </c>
      <c r="BK57" s="22">
        <f t="shared" si="70"/>
        <v>0</v>
      </c>
      <c r="BL57" s="22">
        <f t="shared" si="71"/>
        <v>0</v>
      </c>
      <c r="BM57" s="22">
        <f t="shared" si="72"/>
        <v>0</v>
      </c>
      <c r="BN57" s="22">
        <f t="shared" si="73"/>
        <v>0</v>
      </c>
      <c r="BO57" s="22">
        <f>IF(BG57=0,0,COUNTIFS(nADM_SelKey,AN57,nADM_SegValid,1,nADM_SegS_Loc_n,"&lt;"&amp;BL57,nADM_SegE_Loc_n,"&gt;"&amp;BK57)-IF(BL57&gt;BK57,1,0))</f>
        <v>0</v>
      </c>
      <c r="BP57" s="22">
        <f>IF(BH57=0,0,COUNTIFS(nADM_SelKey,AN57,nADM_SegOK,1,nADM_SegS_UTC_n,"&lt;"&amp;BJ57,nADM_SegE_UTC_n,"&gt;"&amp;BI57)-IF(BJ57&gt;BI57,1,0))</f>
        <v>0</v>
      </c>
      <c r="BQ57" s="21" t="str">
        <f t="shared" si="74"/>
        <v/>
      </c>
      <c r="BR57" s="22">
        <f>IF(C57="",1,IF(COUNTIF(nEXP_Key,AN57)&gt;0,1,0))</f>
        <v>1</v>
      </c>
      <c r="BS57" s="21" t="str">
        <f t="shared" si="75"/>
        <v/>
      </c>
      <c r="BT57" s="21" t="str">
        <f>IF(BS57="","",BS57&amp;": "&amp;SUBSTITUTE(IFERROR(INDEX(nMSG_Text,MATCH(BS57,nMSG_Code,0)),""),"[input]",IF(C57="","an Admin_ID",IF(BR57=0,"an Exposures row for episode "&amp;D57,IF(BQ57&lt;&gt;"","segment start and end timestamps and a rate in mg/hour","the date fields required by the selected precision")))))</f>
        <v/>
      </c>
    </row>
    <row r="58" spans="1:72" x14ac:dyDescent="0.2">
      <c r="A58" s="10"/>
      <c r="B58" s="12"/>
      <c r="C58" s="10"/>
      <c r="D58" s="10"/>
      <c r="E58" s="17"/>
      <c r="F58" s="17"/>
      <c r="G58" s="17"/>
      <c r="H58" s="17"/>
      <c r="I58" s="17"/>
      <c r="J58" s="17"/>
      <c r="K58" s="17"/>
      <c r="L58" s="10"/>
      <c r="M58" s="10"/>
      <c r="N58" s="17"/>
      <c r="O58" s="15"/>
      <c r="P58" s="26"/>
      <c r="Q58" s="10"/>
      <c r="R58" s="12"/>
      <c r="S58" s="12"/>
      <c r="T58" s="15"/>
      <c r="U58" s="15"/>
      <c r="V58" s="10"/>
      <c r="W58" s="21" t="str">
        <f>IF(COUNTA(N58:U58)=0,"",IF(N58="","E_MISSING_INPUT",IF(N58="TIMESTAMP",IF(OR(O58="",P58="",Q58=""),"E_MISSING_INPUT",IF(OR(NOT(ISNUMBER(O58)),NOT(ISNUMBER(P58))),"E_INVALID_DATE",IF(OR(O58&lt;&gt;INT(O58),P58&lt;0,P58&gt;=1),"E_INVALID_DATE",IF(ISNA(MATCH(Q58,nLIST_Offset,0)),"E_INVALID_DATE","")))),IF(N58="DATE",IF(O58="","E_MISSING_INPUT",IF(NOT(ISNUMBER(O58)),"E_INVALID_DATE",IF(O58&lt;&gt;INT(O58),"E_INVALID_DATE",""))),IF(N58="MONTH",IF(OR(R58="",S58=""),"E_MISSING_INPUT",IF(OR(NOT(ISNUMBER(R58)),NOT(ISNUMBER(S58))),"E_INVALID_DATE",IF(OR(R58&lt;1900,R58&gt;9999,R58&lt;&gt;INT(R58),S58&lt;1,S58&gt;12,S58&lt;&gt;INT(S58)),"E_INVALID_DATE",""))),IF(N58="YEAR",IF(R58="","E_MISSING_INPUT",IF(NOT(ISNUMBER(R58)),"E_INVALID_DATE",IF(OR(R58&lt;1900,R58&gt;9999,R58&lt;&gt;INT(R58)),"E_INVALID_DATE",""))),IF(N58="RANGE",IF(OR(T58="",U58=""),"E_MISSING_INPUT",IF(OR(NOT(ISNUMBER(T58)),NOT(ISNUMBER(U58))),"E_INVALID_DATE",IF(OR(T58&lt;&gt;INT(T58),U58&lt;&gt;INT(U58)),"E_INVALID_DATE",IF(T58&gt;U58,"E_REVERSED_BOUNDS","")))),"E_MISSING_INPUT")))))))</f>
        <v/>
      </c>
      <c r="X58" s="22">
        <f t="shared" si="38"/>
        <v>0</v>
      </c>
      <c r="Y58" s="22">
        <f t="shared" si="39"/>
        <v>0</v>
      </c>
      <c r="Z58" s="28" t="str">
        <f t="shared" si="40"/>
        <v/>
      </c>
      <c r="AA58" s="28" t="str">
        <f t="shared" si="41"/>
        <v/>
      </c>
      <c r="AB58" s="22" t="str">
        <f t="shared" si="42"/>
        <v/>
      </c>
      <c r="AC58" s="22" t="str">
        <f t="shared" si="43"/>
        <v/>
      </c>
      <c r="AD58" s="15"/>
      <c r="AE58" s="26"/>
      <c r="AF58" s="10"/>
      <c r="AG58" s="10"/>
      <c r="AH58" s="21" t="str">
        <f>IF(COUNTA(AD58:AF58)=0,"",IF(OR(AD58="",AE58="",AF58=""),"E_MISSING_INPUT",IF(OR(NOT(ISNUMBER(AD58)),NOT(ISNUMBER(AE58))),"E_INVALID_DATE",IF(OR(AD58&lt;&gt;INT(AD58),AE58&lt;0,AE58&gt;=1),"E_INVALID_DATE",IF(ISNA(MATCH(AF58,nLIST_Offset,0)),"E_INVALID_DATE","")))))</f>
        <v/>
      </c>
      <c r="AI58" s="22" t="str">
        <f t="shared" si="44"/>
        <v/>
      </c>
      <c r="AJ58" s="22">
        <f t="shared" si="45"/>
        <v>0</v>
      </c>
      <c r="AK58" s="22" t="str">
        <f t="shared" si="46"/>
        <v/>
      </c>
      <c r="AL58" s="21" t="str">
        <f t="shared" si="47"/>
        <v/>
      </c>
      <c r="AM58" s="22">
        <f>IF(AL58="",0,COUNTIF(nADM_Key,AL58))</f>
        <v>0</v>
      </c>
      <c r="AN58" s="21" t="str">
        <f t="shared" si="48"/>
        <v/>
      </c>
      <c r="AO58" s="22">
        <f t="shared" si="49"/>
        <v>0</v>
      </c>
      <c r="AP58" s="22">
        <f t="shared" si="50"/>
        <v>0</v>
      </c>
      <c r="AQ58" s="22">
        <f t="shared" si="51"/>
        <v>0</v>
      </c>
      <c r="AR58" s="22">
        <f t="shared" si="52"/>
        <v>0</v>
      </c>
      <c r="AS58" s="22">
        <f t="shared" si="53"/>
        <v>0</v>
      </c>
      <c r="AT58" s="22">
        <f>ROW()</f>
        <v>58</v>
      </c>
      <c r="AU58" s="21">
        <f t="shared" si="54"/>
        <v>0</v>
      </c>
      <c r="AV58" s="21">
        <f t="shared" si="55"/>
        <v>0</v>
      </c>
      <c r="AW58" s="21">
        <f t="shared" si="56"/>
        <v>0</v>
      </c>
      <c r="AX58" s="22">
        <f t="shared" si="57"/>
        <v>0</v>
      </c>
      <c r="AY58" s="21">
        <f t="shared" si="58"/>
        <v>0</v>
      </c>
      <c r="AZ58" s="21">
        <f t="shared" si="59"/>
        <v>-1</v>
      </c>
      <c r="BA58" s="22">
        <f t="shared" si="60"/>
        <v>0</v>
      </c>
      <c r="BB58" s="22">
        <f t="shared" si="61"/>
        <v>0</v>
      </c>
      <c r="BC58" s="22">
        <f t="shared" si="62"/>
        <v>0</v>
      </c>
      <c r="BD58" s="21">
        <f t="shared" si="63"/>
        <v>0</v>
      </c>
      <c r="BE58" s="21" t="str">
        <f t="shared" si="64"/>
        <v/>
      </c>
      <c r="BF58" s="21" t="str">
        <f t="shared" si="65"/>
        <v/>
      </c>
      <c r="BG58" s="22">
        <f t="shared" si="66"/>
        <v>0</v>
      </c>
      <c r="BH58" s="22">
        <f t="shared" si="67"/>
        <v>0</v>
      </c>
      <c r="BI58" s="22">
        <f t="shared" si="68"/>
        <v>0</v>
      </c>
      <c r="BJ58" s="22">
        <f t="shared" si="69"/>
        <v>0</v>
      </c>
      <c r="BK58" s="22">
        <f t="shared" si="70"/>
        <v>0</v>
      </c>
      <c r="BL58" s="22">
        <f t="shared" si="71"/>
        <v>0</v>
      </c>
      <c r="BM58" s="22">
        <f t="shared" si="72"/>
        <v>0</v>
      </c>
      <c r="BN58" s="22">
        <f t="shared" si="73"/>
        <v>0</v>
      </c>
      <c r="BO58" s="22">
        <f>IF(BG58=0,0,COUNTIFS(nADM_SelKey,AN58,nADM_SegValid,1,nADM_SegS_Loc_n,"&lt;"&amp;BL58,nADM_SegE_Loc_n,"&gt;"&amp;BK58)-IF(BL58&gt;BK58,1,0))</f>
        <v>0</v>
      </c>
      <c r="BP58" s="22">
        <f>IF(BH58=0,0,COUNTIFS(nADM_SelKey,AN58,nADM_SegOK,1,nADM_SegS_UTC_n,"&lt;"&amp;BJ58,nADM_SegE_UTC_n,"&gt;"&amp;BI58)-IF(BJ58&gt;BI58,1,0))</f>
        <v>0</v>
      </c>
      <c r="BQ58" s="21" t="str">
        <f t="shared" si="74"/>
        <v/>
      </c>
      <c r="BR58" s="22">
        <f>IF(C58="",1,IF(COUNTIF(nEXP_Key,AN58)&gt;0,1,0))</f>
        <v>1</v>
      </c>
      <c r="BS58" s="21" t="str">
        <f t="shared" si="75"/>
        <v/>
      </c>
      <c r="BT58" s="21" t="str">
        <f>IF(BS58="","",BS58&amp;": "&amp;SUBSTITUTE(IFERROR(INDEX(nMSG_Text,MATCH(BS58,nMSG_Code,0)),""),"[input]",IF(C58="","an Admin_ID",IF(BR58=0,"an Exposures row for episode "&amp;D58,IF(BQ58&lt;&gt;"","segment start and end timestamps and a rate in mg/hour","the date fields required by the selected precision")))))</f>
        <v/>
      </c>
    </row>
    <row r="59" spans="1:72" x14ac:dyDescent="0.2">
      <c r="A59" s="10"/>
      <c r="B59" s="12"/>
      <c r="C59" s="10"/>
      <c r="D59" s="10"/>
      <c r="E59" s="17"/>
      <c r="F59" s="17"/>
      <c r="G59" s="17"/>
      <c r="H59" s="17"/>
      <c r="I59" s="17"/>
      <c r="J59" s="17"/>
      <c r="K59" s="17"/>
      <c r="L59" s="10"/>
      <c r="M59" s="10"/>
      <c r="N59" s="17"/>
      <c r="O59" s="15"/>
      <c r="P59" s="26"/>
      <c r="Q59" s="10"/>
      <c r="R59" s="12"/>
      <c r="S59" s="12"/>
      <c r="T59" s="15"/>
      <c r="U59" s="15"/>
      <c r="V59" s="10"/>
      <c r="W59" s="21" t="str">
        <f>IF(COUNTA(N59:U59)=0,"",IF(N59="","E_MISSING_INPUT",IF(N59="TIMESTAMP",IF(OR(O59="",P59="",Q59=""),"E_MISSING_INPUT",IF(OR(NOT(ISNUMBER(O59)),NOT(ISNUMBER(P59))),"E_INVALID_DATE",IF(OR(O59&lt;&gt;INT(O59),P59&lt;0,P59&gt;=1),"E_INVALID_DATE",IF(ISNA(MATCH(Q59,nLIST_Offset,0)),"E_INVALID_DATE","")))),IF(N59="DATE",IF(O59="","E_MISSING_INPUT",IF(NOT(ISNUMBER(O59)),"E_INVALID_DATE",IF(O59&lt;&gt;INT(O59),"E_INVALID_DATE",""))),IF(N59="MONTH",IF(OR(R59="",S59=""),"E_MISSING_INPUT",IF(OR(NOT(ISNUMBER(R59)),NOT(ISNUMBER(S59))),"E_INVALID_DATE",IF(OR(R59&lt;1900,R59&gt;9999,R59&lt;&gt;INT(R59),S59&lt;1,S59&gt;12,S59&lt;&gt;INT(S59)),"E_INVALID_DATE",""))),IF(N59="YEAR",IF(R59="","E_MISSING_INPUT",IF(NOT(ISNUMBER(R59)),"E_INVALID_DATE",IF(OR(R59&lt;1900,R59&gt;9999,R59&lt;&gt;INT(R59)),"E_INVALID_DATE",""))),IF(N59="RANGE",IF(OR(T59="",U59=""),"E_MISSING_INPUT",IF(OR(NOT(ISNUMBER(T59)),NOT(ISNUMBER(U59))),"E_INVALID_DATE",IF(OR(T59&lt;&gt;INT(T59),U59&lt;&gt;INT(U59)),"E_INVALID_DATE",IF(T59&gt;U59,"E_REVERSED_BOUNDS","")))),"E_MISSING_INPUT")))))))</f>
        <v/>
      </c>
      <c r="X59" s="22">
        <f t="shared" si="38"/>
        <v>0</v>
      </c>
      <c r="Y59" s="22">
        <f t="shared" si="39"/>
        <v>0</v>
      </c>
      <c r="Z59" s="28" t="str">
        <f t="shared" si="40"/>
        <v/>
      </c>
      <c r="AA59" s="28" t="str">
        <f t="shared" si="41"/>
        <v/>
      </c>
      <c r="AB59" s="22" t="str">
        <f t="shared" si="42"/>
        <v/>
      </c>
      <c r="AC59" s="22" t="str">
        <f t="shared" si="43"/>
        <v/>
      </c>
      <c r="AD59" s="15"/>
      <c r="AE59" s="26"/>
      <c r="AF59" s="10"/>
      <c r="AG59" s="10"/>
      <c r="AH59" s="21" t="str">
        <f>IF(COUNTA(AD59:AF59)=0,"",IF(OR(AD59="",AE59="",AF59=""),"E_MISSING_INPUT",IF(OR(NOT(ISNUMBER(AD59)),NOT(ISNUMBER(AE59))),"E_INVALID_DATE",IF(OR(AD59&lt;&gt;INT(AD59),AE59&lt;0,AE59&gt;=1),"E_INVALID_DATE",IF(ISNA(MATCH(AF59,nLIST_Offset,0)),"E_INVALID_DATE","")))))</f>
        <v/>
      </c>
      <c r="AI59" s="22" t="str">
        <f t="shared" si="44"/>
        <v/>
      </c>
      <c r="AJ59" s="22">
        <f t="shared" si="45"/>
        <v>0</v>
      </c>
      <c r="AK59" s="22" t="str">
        <f t="shared" si="46"/>
        <v/>
      </c>
      <c r="AL59" s="21" t="str">
        <f t="shared" si="47"/>
        <v/>
      </c>
      <c r="AM59" s="22">
        <f>IF(AL59="",0,COUNTIF(nADM_Key,AL59))</f>
        <v>0</v>
      </c>
      <c r="AN59" s="21" t="str">
        <f t="shared" si="48"/>
        <v/>
      </c>
      <c r="AO59" s="22">
        <f t="shared" si="49"/>
        <v>0</v>
      </c>
      <c r="AP59" s="22">
        <f t="shared" si="50"/>
        <v>0</v>
      </c>
      <c r="AQ59" s="22">
        <f t="shared" si="51"/>
        <v>0</v>
      </c>
      <c r="AR59" s="22">
        <f t="shared" si="52"/>
        <v>0</v>
      </c>
      <c r="AS59" s="22">
        <f t="shared" si="53"/>
        <v>0</v>
      </c>
      <c r="AT59" s="22">
        <f>ROW()</f>
        <v>59</v>
      </c>
      <c r="AU59" s="21">
        <f t="shared" si="54"/>
        <v>0</v>
      </c>
      <c r="AV59" s="21">
        <f t="shared" si="55"/>
        <v>0</v>
      </c>
      <c r="AW59" s="21">
        <f t="shared" si="56"/>
        <v>0</v>
      </c>
      <c r="AX59" s="22">
        <f t="shared" si="57"/>
        <v>0</v>
      </c>
      <c r="AY59" s="21">
        <f t="shared" si="58"/>
        <v>0</v>
      </c>
      <c r="AZ59" s="21">
        <f t="shared" si="59"/>
        <v>-1</v>
      </c>
      <c r="BA59" s="22">
        <f t="shared" si="60"/>
        <v>0</v>
      </c>
      <c r="BB59" s="22">
        <f t="shared" si="61"/>
        <v>0</v>
      </c>
      <c r="BC59" s="22">
        <f t="shared" si="62"/>
        <v>0</v>
      </c>
      <c r="BD59" s="21">
        <f t="shared" si="63"/>
        <v>0</v>
      </c>
      <c r="BE59" s="21" t="str">
        <f t="shared" si="64"/>
        <v/>
      </c>
      <c r="BF59" s="21" t="str">
        <f t="shared" si="65"/>
        <v/>
      </c>
      <c r="BG59" s="22">
        <f t="shared" si="66"/>
        <v>0</v>
      </c>
      <c r="BH59" s="22">
        <f t="shared" si="67"/>
        <v>0</v>
      </c>
      <c r="BI59" s="22">
        <f t="shared" si="68"/>
        <v>0</v>
      </c>
      <c r="BJ59" s="22">
        <f t="shared" si="69"/>
        <v>0</v>
      </c>
      <c r="BK59" s="22">
        <f t="shared" si="70"/>
        <v>0</v>
      </c>
      <c r="BL59" s="22">
        <f t="shared" si="71"/>
        <v>0</v>
      </c>
      <c r="BM59" s="22">
        <f t="shared" si="72"/>
        <v>0</v>
      </c>
      <c r="BN59" s="22">
        <f t="shared" si="73"/>
        <v>0</v>
      </c>
      <c r="BO59" s="22">
        <f>IF(BG59=0,0,COUNTIFS(nADM_SelKey,AN59,nADM_SegValid,1,nADM_SegS_Loc_n,"&lt;"&amp;BL59,nADM_SegE_Loc_n,"&gt;"&amp;BK59)-IF(BL59&gt;BK59,1,0))</f>
        <v>0</v>
      </c>
      <c r="BP59" s="22">
        <f>IF(BH59=0,0,COUNTIFS(nADM_SelKey,AN59,nADM_SegOK,1,nADM_SegS_UTC_n,"&lt;"&amp;BJ59,nADM_SegE_UTC_n,"&gt;"&amp;BI59)-IF(BJ59&gt;BI59,1,0))</f>
        <v>0</v>
      </c>
      <c r="BQ59" s="21" t="str">
        <f t="shared" si="74"/>
        <v/>
      </c>
      <c r="BR59" s="22">
        <f>IF(C59="",1,IF(COUNTIF(nEXP_Key,AN59)&gt;0,1,0))</f>
        <v>1</v>
      </c>
      <c r="BS59" s="21" t="str">
        <f t="shared" si="75"/>
        <v/>
      </c>
      <c r="BT59" s="21" t="str">
        <f>IF(BS59="","",BS59&amp;": "&amp;SUBSTITUTE(IFERROR(INDEX(nMSG_Text,MATCH(BS59,nMSG_Code,0)),""),"[input]",IF(C59="","an Admin_ID",IF(BR59=0,"an Exposures row for episode "&amp;D59,IF(BQ59&lt;&gt;"","segment start and end timestamps and a rate in mg/hour","the date fields required by the selected precision")))))</f>
        <v/>
      </c>
    </row>
    <row r="60" spans="1:72" x14ac:dyDescent="0.2">
      <c r="A60" s="10"/>
      <c r="B60" s="12"/>
      <c r="C60" s="10"/>
      <c r="D60" s="10"/>
      <c r="E60" s="17"/>
      <c r="F60" s="17"/>
      <c r="G60" s="17"/>
      <c r="H60" s="17"/>
      <c r="I60" s="17"/>
      <c r="J60" s="17"/>
      <c r="K60" s="17"/>
      <c r="L60" s="10"/>
      <c r="M60" s="10"/>
      <c r="N60" s="17"/>
      <c r="O60" s="15"/>
      <c r="P60" s="26"/>
      <c r="Q60" s="10"/>
      <c r="R60" s="12"/>
      <c r="S60" s="12"/>
      <c r="T60" s="15"/>
      <c r="U60" s="15"/>
      <c r="V60" s="10"/>
      <c r="W60" s="21" t="str">
        <f>IF(COUNTA(N60:U60)=0,"",IF(N60="","E_MISSING_INPUT",IF(N60="TIMESTAMP",IF(OR(O60="",P60="",Q60=""),"E_MISSING_INPUT",IF(OR(NOT(ISNUMBER(O60)),NOT(ISNUMBER(P60))),"E_INVALID_DATE",IF(OR(O60&lt;&gt;INT(O60),P60&lt;0,P60&gt;=1),"E_INVALID_DATE",IF(ISNA(MATCH(Q60,nLIST_Offset,0)),"E_INVALID_DATE","")))),IF(N60="DATE",IF(O60="","E_MISSING_INPUT",IF(NOT(ISNUMBER(O60)),"E_INVALID_DATE",IF(O60&lt;&gt;INT(O60),"E_INVALID_DATE",""))),IF(N60="MONTH",IF(OR(R60="",S60=""),"E_MISSING_INPUT",IF(OR(NOT(ISNUMBER(R60)),NOT(ISNUMBER(S60))),"E_INVALID_DATE",IF(OR(R60&lt;1900,R60&gt;9999,R60&lt;&gt;INT(R60),S60&lt;1,S60&gt;12,S60&lt;&gt;INT(S60)),"E_INVALID_DATE",""))),IF(N60="YEAR",IF(R60="","E_MISSING_INPUT",IF(NOT(ISNUMBER(R60)),"E_INVALID_DATE",IF(OR(R60&lt;1900,R60&gt;9999,R60&lt;&gt;INT(R60)),"E_INVALID_DATE",""))),IF(N60="RANGE",IF(OR(T60="",U60=""),"E_MISSING_INPUT",IF(OR(NOT(ISNUMBER(T60)),NOT(ISNUMBER(U60))),"E_INVALID_DATE",IF(OR(T60&lt;&gt;INT(T60),U60&lt;&gt;INT(U60)),"E_INVALID_DATE",IF(T60&gt;U60,"E_REVERSED_BOUNDS","")))),"E_MISSING_INPUT")))))))</f>
        <v/>
      </c>
      <c r="X60" s="22">
        <f t="shared" si="38"/>
        <v>0</v>
      </c>
      <c r="Y60" s="22">
        <f t="shared" si="39"/>
        <v>0</v>
      </c>
      <c r="Z60" s="28" t="str">
        <f t="shared" si="40"/>
        <v/>
      </c>
      <c r="AA60" s="28" t="str">
        <f t="shared" si="41"/>
        <v/>
      </c>
      <c r="AB60" s="22" t="str">
        <f t="shared" si="42"/>
        <v/>
      </c>
      <c r="AC60" s="22" t="str">
        <f t="shared" si="43"/>
        <v/>
      </c>
      <c r="AD60" s="15"/>
      <c r="AE60" s="26"/>
      <c r="AF60" s="10"/>
      <c r="AG60" s="10"/>
      <c r="AH60" s="21" t="str">
        <f>IF(COUNTA(AD60:AF60)=0,"",IF(OR(AD60="",AE60="",AF60=""),"E_MISSING_INPUT",IF(OR(NOT(ISNUMBER(AD60)),NOT(ISNUMBER(AE60))),"E_INVALID_DATE",IF(OR(AD60&lt;&gt;INT(AD60),AE60&lt;0,AE60&gt;=1),"E_INVALID_DATE",IF(ISNA(MATCH(AF60,nLIST_Offset,0)),"E_INVALID_DATE","")))))</f>
        <v/>
      </c>
      <c r="AI60" s="22" t="str">
        <f t="shared" si="44"/>
        <v/>
      </c>
      <c r="AJ60" s="22">
        <f t="shared" si="45"/>
        <v>0</v>
      </c>
      <c r="AK60" s="22" t="str">
        <f t="shared" si="46"/>
        <v/>
      </c>
      <c r="AL60" s="21" t="str">
        <f t="shared" si="47"/>
        <v/>
      </c>
      <c r="AM60" s="22">
        <f>IF(AL60="",0,COUNTIF(nADM_Key,AL60))</f>
        <v>0</v>
      </c>
      <c r="AN60" s="21" t="str">
        <f t="shared" si="48"/>
        <v/>
      </c>
      <c r="AO60" s="22">
        <f t="shared" si="49"/>
        <v>0</v>
      </c>
      <c r="AP60" s="22">
        <f t="shared" si="50"/>
        <v>0</v>
      </c>
      <c r="AQ60" s="22">
        <f t="shared" si="51"/>
        <v>0</v>
      </c>
      <c r="AR60" s="22">
        <f t="shared" si="52"/>
        <v>0</v>
      </c>
      <c r="AS60" s="22">
        <f t="shared" si="53"/>
        <v>0</v>
      </c>
      <c r="AT60" s="22">
        <f>ROW()</f>
        <v>60</v>
      </c>
      <c r="AU60" s="21">
        <f t="shared" si="54"/>
        <v>0</v>
      </c>
      <c r="AV60" s="21">
        <f t="shared" si="55"/>
        <v>0</v>
      </c>
      <c r="AW60" s="21">
        <f t="shared" si="56"/>
        <v>0</v>
      </c>
      <c r="AX60" s="22">
        <f t="shared" si="57"/>
        <v>0</v>
      </c>
      <c r="AY60" s="21">
        <f t="shared" si="58"/>
        <v>0</v>
      </c>
      <c r="AZ60" s="21">
        <f t="shared" si="59"/>
        <v>-1</v>
      </c>
      <c r="BA60" s="22">
        <f t="shared" si="60"/>
        <v>0</v>
      </c>
      <c r="BB60" s="22">
        <f t="shared" si="61"/>
        <v>0</v>
      </c>
      <c r="BC60" s="22">
        <f t="shared" si="62"/>
        <v>0</v>
      </c>
      <c r="BD60" s="21">
        <f t="shared" si="63"/>
        <v>0</v>
      </c>
      <c r="BE60" s="21" t="str">
        <f t="shared" si="64"/>
        <v/>
      </c>
      <c r="BF60" s="21" t="str">
        <f t="shared" si="65"/>
        <v/>
      </c>
      <c r="BG60" s="22">
        <f t="shared" si="66"/>
        <v>0</v>
      </c>
      <c r="BH60" s="22">
        <f t="shared" si="67"/>
        <v>0</v>
      </c>
      <c r="BI60" s="22">
        <f t="shared" si="68"/>
        <v>0</v>
      </c>
      <c r="BJ60" s="22">
        <f t="shared" si="69"/>
        <v>0</v>
      </c>
      <c r="BK60" s="22">
        <f t="shared" si="70"/>
        <v>0</v>
      </c>
      <c r="BL60" s="22">
        <f t="shared" si="71"/>
        <v>0</v>
      </c>
      <c r="BM60" s="22">
        <f t="shared" si="72"/>
        <v>0</v>
      </c>
      <c r="BN60" s="22">
        <f t="shared" si="73"/>
        <v>0</v>
      </c>
      <c r="BO60" s="22">
        <f>IF(BG60=0,0,COUNTIFS(nADM_SelKey,AN60,nADM_SegValid,1,nADM_SegS_Loc_n,"&lt;"&amp;BL60,nADM_SegE_Loc_n,"&gt;"&amp;BK60)-IF(BL60&gt;BK60,1,0))</f>
        <v>0</v>
      </c>
      <c r="BP60" s="22">
        <f>IF(BH60=0,0,COUNTIFS(nADM_SelKey,AN60,nADM_SegOK,1,nADM_SegS_UTC_n,"&lt;"&amp;BJ60,nADM_SegE_UTC_n,"&gt;"&amp;BI60)-IF(BJ60&gt;BI60,1,0))</f>
        <v>0</v>
      </c>
      <c r="BQ60" s="21" t="str">
        <f t="shared" si="74"/>
        <v/>
      </c>
      <c r="BR60" s="22">
        <f>IF(C60="",1,IF(COUNTIF(nEXP_Key,AN60)&gt;0,1,0))</f>
        <v>1</v>
      </c>
      <c r="BS60" s="21" t="str">
        <f t="shared" si="75"/>
        <v/>
      </c>
      <c r="BT60" s="21" t="str">
        <f>IF(BS60="","",BS60&amp;": "&amp;SUBSTITUTE(IFERROR(INDEX(nMSG_Text,MATCH(BS60,nMSG_Code,0)),""),"[input]",IF(C60="","an Admin_ID",IF(BR60=0,"an Exposures row for episode "&amp;D60,IF(BQ60&lt;&gt;"","segment start and end timestamps and a rate in mg/hour","the date fields required by the selected precision")))))</f>
        <v/>
      </c>
    </row>
    <row r="61" spans="1:72" x14ac:dyDescent="0.2">
      <c r="A61" s="10"/>
      <c r="B61" s="12"/>
      <c r="C61" s="10"/>
      <c r="D61" s="10"/>
      <c r="E61" s="17"/>
      <c r="F61" s="17"/>
      <c r="G61" s="17"/>
      <c r="H61" s="17"/>
      <c r="I61" s="17"/>
      <c r="J61" s="17"/>
      <c r="K61" s="17"/>
      <c r="L61" s="10"/>
      <c r="M61" s="10"/>
      <c r="N61" s="17"/>
      <c r="O61" s="15"/>
      <c r="P61" s="26"/>
      <c r="Q61" s="10"/>
      <c r="R61" s="12"/>
      <c r="S61" s="12"/>
      <c r="T61" s="15"/>
      <c r="U61" s="15"/>
      <c r="V61" s="10"/>
      <c r="W61" s="21" t="str">
        <f>IF(COUNTA(N61:U61)=0,"",IF(N61="","E_MISSING_INPUT",IF(N61="TIMESTAMP",IF(OR(O61="",P61="",Q61=""),"E_MISSING_INPUT",IF(OR(NOT(ISNUMBER(O61)),NOT(ISNUMBER(P61))),"E_INVALID_DATE",IF(OR(O61&lt;&gt;INT(O61),P61&lt;0,P61&gt;=1),"E_INVALID_DATE",IF(ISNA(MATCH(Q61,nLIST_Offset,0)),"E_INVALID_DATE","")))),IF(N61="DATE",IF(O61="","E_MISSING_INPUT",IF(NOT(ISNUMBER(O61)),"E_INVALID_DATE",IF(O61&lt;&gt;INT(O61),"E_INVALID_DATE",""))),IF(N61="MONTH",IF(OR(R61="",S61=""),"E_MISSING_INPUT",IF(OR(NOT(ISNUMBER(R61)),NOT(ISNUMBER(S61))),"E_INVALID_DATE",IF(OR(R61&lt;1900,R61&gt;9999,R61&lt;&gt;INT(R61),S61&lt;1,S61&gt;12,S61&lt;&gt;INT(S61)),"E_INVALID_DATE",""))),IF(N61="YEAR",IF(R61="","E_MISSING_INPUT",IF(NOT(ISNUMBER(R61)),"E_INVALID_DATE",IF(OR(R61&lt;1900,R61&gt;9999,R61&lt;&gt;INT(R61)),"E_INVALID_DATE",""))),IF(N61="RANGE",IF(OR(T61="",U61=""),"E_MISSING_INPUT",IF(OR(NOT(ISNUMBER(T61)),NOT(ISNUMBER(U61))),"E_INVALID_DATE",IF(OR(T61&lt;&gt;INT(T61),U61&lt;&gt;INT(U61)),"E_INVALID_DATE",IF(T61&gt;U61,"E_REVERSED_BOUNDS","")))),"E_MISSING_INPUT")))))))</f>
        <v/>
      </c>
      <c r="X61" s="22">
        <f t="shared" si="38"/>
        <v>0</v>
      </c>
      <c r="Y61" s="22">
        <f t="shared" si="39"/>
        <v>0</v>
      </c>
      <c r="Z61" s="28" t="str">
        <f t="shared" si="40"/>
        <v/>
      </c>
      <c r="AA61" s="28" t="str">
        <f t="shared" si="41"/>
        <v/>
      </c>
      <c r="AB61" s="22" t="str">
        <f t="shared" si="42"/>
        <v/>
      </c>
      <c r="AC61" s="22" t="str">
        <f t="shared" si="43"/>
        <v/>
      </c>
      <c r="AD61" s="15"/>
      <c r="AE61" s="26"/>
      <c r="AF61" s="10"/>
      <c r="AG61" s="10"/>
      <c r="AH61" s="21" t="str">
        <f>IF(COUNTA(AD61:AF61)=0,"",IF(OR(AD61="",AE61="",AF61=""),"E_MISSING_INPUT",IF(OR(NOT(ISNUMBER(AD61)),NOT(ISNUMBER(AE61))),"E_INVALID_DATE",IF(OR(AD61&lt;&gt;INT(AD61),AE61&lt;0,AE61&gt;=1),"E_INVALID_DATE",IF(ISNA(MATCH(AF61,nLIST_Offset,0)),"E_INVALID_DATE","")))))</f>
        <v/>
      </c>
      <c r="AI61" s="22" t="str">
        <f t="shared" si="44"/>
        <v/>
      </c>
      <c r="AJ61" s="22">
        <f t="shared" si="45"/>
        <v>0</v>
      </c>
      <c r="AK61" s="22" t="str">
        <f t="shared" si="46"/>
        <v/>
      </c>
      <c r="AL61" s="21" t="str">
        <f t="shared" si="47"/>
        <v/>
      </c>
      <c r="AM61" s="22">
        <f>IF(AL61="",0,COUNTIF(nADM_Key,AL61))</f>
        <v>0</v>
      </c>
      <c r="AN61" s="21" t="str">
        <f t="shared" si="48"/>
        <v/>
      </c>
      <c r="AO61" s="22">
        <f t="shared" si="49"/>
        <v>0</v>
      </c>
      <c r="AP61" s="22">
        <f t="shared" si="50"/>
        <v>0</v>
      </c>
      <c r="AQ61" s="22">
        <f t="shared" si="51"/>
        <v>0</v>
      </c>
      <c r="AR61" s="22">
        <f t="shared" si="52"/>
        <v>0</v>
      </c>
      <c r="AS61" s="22">
        <f t="shared" si="53"/>
        <v>0</v>
      </c>
      <c r="AT61" s="22">
        <f>ROW()</f>
        <v>61</v>
      </c>
      <c r="AU61" s="21">
        <f t="shared" si="54"/>
        <v>0</v>
      </c>
      <c r="AV61" s="21">
        <f t="shared" si="55"/>
        <v>0</v>
      </c>
      <c r="AW61" s="21">
        <f t="shared" si="56"/>
        <v>0</v>
      </c>
      <c r="AX61" s="22">
        <f t="shared" si="57"/>
        <v>0</v>
      </c>
      <c r="AY61" s="21">
        <f t="shared" si="58"/>
        <v>0</v>
      </c>
      <c r="AZ61" s="21">
        <f t="shared" si="59"/>
        <v>-1</v>
      </c>
      <c r="BA61" s="22">
        <f t="shared" si="60"/>
        <v>0</v>
      </c>
      <c r="BB61" s="22">
        <f t="shared" si="61"/>
        <v>0</v>
      </c>
      <c r="BC61" s="22">
        <f t="shared" si="62"/>
        <v>0</v>
      </c>
      <c r="BD61" s="21">
        <f t="shared" si="63"/>
        <v>0</v>
      </c>
      <c r="BE61" s="21" t="str">
        <f t="shared" si="64"/>
        <v/>
      </c>
      <c r="BF61" s="21" t="str">
        <f t="shared" si="65"/>
        <v/>
      </c>
      <c r="BG61" s="22">
        <f t="shared" si="66"/>
        <v>0</v>
      </c>
      <c r="BH61" s="22">
        <f t="shared" si="67"/>
        <v>0</v>
      </c>
      <c r="BI61" s="22">
        <f t="shared" si="68"/>
        <v>0</v>
      </c>
      <c r="BJ61" s="22">
        <f t="shared" si="69"/>
        <v>0</v>
      </c>
      <c r="BK61" s="22">
        <f t="shared" si="70"/>
        <v>0</v>
      </c>
      <c r="BL61" s="22">
        <f t="shared" si="71"/>
        <v>0</v>
      </c>
      <c r="BM61" s="22">
        <f t="shared" si="72"/>
        <v>0</v>
      </c>
      <c r="BN61" s="22">
        <f t="shared" si="73"/>
        <v>0</v>
      </c>
      <c r="BO61" s="22">
        <f>IF(BG61=0,0,COUNTIFS(nADM_SelKey,AN61,nADM_SegValid,1,nADM_SegS_Loc_n,"&lt;"&amp;BL61,nADM_SegE_Loc_n,"&gt;"&amp;BK61)-IF(BL61&gt;BK61,1,0))</f>
        <v>0</v>
      </c>
      <c r="BP61" s="22">
        <f>IF(BH61=0,0,COUNTIFS(nADM_SelKey,AN61,nADM_SegOK,1,nADM_SegS_UTC_n,"&lt;"&amp;BJ61,nADM_SegE_UTC_n,"&gt;"&amp;BI61)-IF(BJ61&gt;BI61,1,0))</f>
        <v>0</v>
      </c>
      <c r="BQ61" s="21" t="str">
        <f t="shared" si="74"/>
        <v/>
      </c>
      <c r="BR61" s="22">
        <f>IF(C61="",1,IF(COUNTIF(nEXP_Key,AN61)&gt;0,1,0))</f>
        <v>1</v>
      </c>
      <c r="BS61" s="21" t="str">
        <f t="shared" si="75"/>
        <v/>
      </c>
      <c r="BT61" s="21" t="str">
        <f>IF(BS61="","",BS61&amp;": "&amp;SUBSTITUTE(IFERROR(INDEX(nMSG_Text,MATCH(BS61,nMSG_Code,0)),""),"[input]",IF(C61="","an Admin_ID",IF(BR61=0,"an Exposures row for episode "&amp;D61,IF(BQ61&lt;&gt;"","segment start and end timestamps and a rate in mg/hour","the date fields required by the selected precision")))))</f>
        <v/>
      </c>
    </row>
    <row r="62" spans="1:72" x14ac:dyDescent="0.2">
      <c r="A62" s="10"/>
      <c r="B62" s="12"/>
      <c r="C62" s="10"/>
      <c r="D62" s="10"/>
      <c r="E62" s="17"/>
      <c r="F62" s="17"/>
      <c r="G62" s="17"/>
      <c r="H62" s="17"/>
      <c r="I62" s="17"/>
      <c r="J62" s="17"/>
      <c r="K62" s="17"/>
      <c r="L62" s="10"/>
      <c r="M62" s="10"/>
      <c r="N62" s="17"/>
      <c r="O62" s="15"/>
      <c r="P62" s="26"/>
      <c r="Q62" s="10"/>
      <c r="R62" s="12"/>
      <c r="S62" s="12"/>
      <c r="T62" s="15"/>
      <c r="U62" s="15"/>
      <c r="V62" s="10"/>
      <c r="W62" s="21" t="str">
        <f>IF(COUNTA(N62:U62)=0,"",IF(N62="","E_MISSING_INPUT",IF(N62="TIMESTAMP",IF(OR(O62="",P62="",Q62=""),"E_MISSING_INPUT",IF(OR(NOT(ISNUMBER(O62)),NOT(ISNUMBER(P62))),"E_INVALID_DATE",IF(OR(O62&lt;&gt;INT(O62),P62&lt;0,P62&gt;=1),"E_INVALID_DATE",IF(ISNA(MATCH(Q62,nLIST_Offset,0)),"E_INVALID_DATE","")))),IF(N62="DATE",IF(O62="","E_MISSING_INPUT",IF(NOT(ISNUMBER(O62)),"E_INVALID_DATE",IF(O62&lt;&gt;INT(O62),"E_INVALID_DATE",""))),IF(N62="MONTH",IF(OR(R62="",S62=""),"E_MISSING_INPUT",IF(OR(NOT(ISNUMBER(R62)),NOT(ISNUMBER(S62))),"E_INVALID_DATE",IF(OR(R62&lt;1900,R62&gt;9999,R62&lt;&gt;INT(R62),S62&lt;1,S62&gt;12,S62&lt;&gt;INT(S62)),"E_INVALID_DATE",""))),IF(N62="YEAR",IF(R62="","E_MISSING_INPUT",IF(NOT(ISNUMBER(R62)),"E_INVALID_DATE",IF(OR(R62&lt;1900,R62&gt;9999,R62&lt;&gt;INT(R62)),"E_INVALID_DATE",""))),IF(N62="RANGE",IF(OR(T62="",U62=""),"E_MISSING_INPUT",IF(OR(NOT(ISNUMBER(T62)),NOT(ISNUMBER(U62))),"E_INVALID_DATE",IF(OR(T62&lt;&gt;INT(T62),U62&lt;&gt;INT(U62)),"E_INVALID_DATE",IF(T62&gt;U62,"E_REVERSED_BOUNDS","")))),"E_MISSING_INPUT")))))))</f>
        <v/>
      </c>
      <c r="X62" s="22">
        <f t="shared" si="38"/>
        <v>0</v>
      </c>
      <c r="Y62" s="22">
        <f t="shared" si="39"/>
        <v>0</v>
      </c>
      <c r="Z62" s="28" t="str">
        <f t="shared" si="40"/>
        <v/>
      </c>
      <c r="AA62" s="28" t="str">
        <f t="shared" si="41"/>
        <v/>
      </c>
      <c r="AB62" s="22" t="str">
        <f t="shared" si="42"/>
        <v/>
      </c>
      <c r="AC62" s="22" t="str">
        <f t="shared" si="43"/>
        <v/>
      </c>
      <c r="AD62" s="15"/>
      <c r="AE62" s="26"/>
      <c r="AF62" s="10"/>
      <c r="AG62" s="10"/>
      <c r="AH62" s="21" t="str">
        <f>IF(COUNTA(AD62:AF62)=0,"",IF(OR(AD62="",AE62="",AF62=""),"E_MISSING_INPUT",IF(OR(NOT(ISNUMBER(AD62)),NOT(ISNUMBER(AE62))),"E_INVALID_DATE",IF(OR(AD62&lt;&gt;INT(AD62),AE62&lt;0,AE62&gt;=1),"E_INVALID_DATE",IF(ISNA(MATCH(AF62,nLIST_Offset,0)),"E_INVALID_DATE","")))))</f>
        <v/>
      </c>
      <c r="AI62" s="22" t="str">
        <f t="shared" si="44"/>
        <v/>
      </c>
      <c r="AJ62" s="22">
        <f t="shared" si="45"/>
        <v>0</v>
      </c>
      <c r="AK62" s="22" t="str">
        <f t="shared" si="46"/>
        <v/>
      </c>
      <c r="AL62" s="21" t="str">
        <f t="shared" si="47"/>
        <v/>
      </c>
      <c r="AM62" s="22">
        <f>IF(AL62="",0,COUNTIF(nADM_Key,AL62))</f>
        <v>0</v>
      </c>
      <c r="AN62" s="21" t="str">
        <f t="shared" si="48"/>
        <v/>
      </c>
      <c r="AO62" s="22">
        <f t="shared" si="49"/>
        <v>0</v>
      </c>
      <c r="AP62" s="22">
        <f t="shared" si="50"/>
        <v>0</v>
      </c>
      <c r="AQ62" s="22">
        <f t="shared" si="51"/>
        <v>0</v>
      </c>
      <c r="AR62" s="22">
        <f t="shared" si="52"/>
        <v>0</v>
      </c>
      <c r="AS62" s="22">
        <f t="shared" si="53"/>
        <v>0</v>
      </c>
      <c r="AT62" s="22">
        <f>ROW()</f>
        <v>62</v>
      </c>
      <c r="AU62" s="21">
        <f t="shared" si="54"/>
        <v>0</v>
      </c>
      <c r="AV62" s="21">
        <f t="shared" si="55"/>
        <v>0</v>
      </c>
      <c r="AW62" s="21">
        <f t="shared" si="56"/>
        <v>0</v>
      </c>
      <c r="AX62" s="22">
        <f t="shared" si="57"/>
        <v>0</v>
      </c>
      <c r="AY62" s="21">
        <f t="shared" si="58"/>
        <v>0</v>
      </c>
      <c r="AZ62" s="21">
        <f t="shared" si="59"/>
        <v>-1</v>
      </c>
      <c r="BA62" s="22">
        <f t="shared" si="60"/>
        <v>0</v>
      </c>
      <c r="BB62" s="22">
        <f t="shared" si="61"/>
        <v>0</v>
      </c>
      <c r="BC62" s="22">
        <f t="shared" si="62"/>
        <v>0</v>
      </c>
      <c r="BD62" s="21">
        <f t="shared" si="63"/>
        <v>0</v>
      </c>
      <c r="BE62" s="21" t="str">
        <f t="shared" si="64"/>
        <v/>
      </c>
      <c r="BF62" s="21" t="str">
        <f t="shared" si="65"/>
        <v/>
      </c>
      <c r="BG62" s="22">
        <f t="shared" si="66"/>
        <v>0</v>
      </c>
      <c r="BH62" s="22">
        <f t="shared" si="67"/>
        <v>0</v>
      </c>
      <c r="BI62" s="22">
        <f t="shared" si="68"/>
        <v>0</v>
      </c>
      <c r="BJ62" s="22">
        <f t="shared" si="69"/>
        <v>0</v>
      </c>
      <c r="BK62" s="22">
        <f t="shared" si="70"/>
        <v>0</v>
      </c>
      <c r="BL62" s="22">
        <f t="shared" si="71"/>
        <v>0</v>
      </c>
      <c r="BM62" s="22">
        <f t="shared" si="72"/>
        <v>0</v>
      </c>
      <c r="BN62" s="22">
        <f t="shared" si="73"/>
        <v>0</v>
      </c>
      <c r="BO62" s="22">
        <f>IF(BG62=0,0,COUNTIFS(nADM_SelKey,AN62,nADM_SegValid,1,nADM_SegS_Loc_n,"&lt;"&amp;BL62,nADM_SegE_Loc_n,"&gt;"&amp;BK62)-IF(BL62&gt;BK62,1,0))</f>
        <v>0</v>
      </c>
      <c r="BP62" s="22">
        <f>IF(BH62=0,0,COUNTIFS(nADM_SelKey,AN62,nADM_SegOK,1,nADM_SegS_UTC_n,"&lt;"&amp;BJ62,nADM_SegE_UTC_n,"&gt;"&amp;BI62)-IF(BJ62&gt;BI62,1,0))</f>
        <v>0</v>
      </c>
      <c r="BQ62" s="21" t="str">
        <f t="shared" si="74"/>
        <v/>
      </c>
      <c r="BR62" s="22">
        <f>IF(C62="",1,IF(COUNTIF(nEXP_Key,AN62)&gt;0,1,0))</f>
        <v>1</v>
      </c>
      <c r="BS62" s="21" t="str">
        <f t="shared" si="75"/>
        <v/>
      </c>
      <c r="BT62" s="21" t="str">
        <f>IF(BS62="","",BS62&amp;": "&amp;SUBSTITUTE(IFERROR(INDEX(nMSG_Text,MATCH(BS62,nMSG_Code,0)),""),"[input]",IF(C62="","an Admin_ID",IF(BR62=0,"an Exposures row for episode "&amp;D62,IF(BQ62&lt;&gt;"","segment start and end timestamps and a rate in mg/hour","the date fields required by the selected precision")))))</f>
        <v/>
      </c>
    </row>
    <row r="63" spans="1:72" x14ac:dyDescent="0.2">
      <c r="A63" s="10"/>
      <c r="B63" s="12"/>
      <c r="C63" s="10"/>
      <c r="D63" s="10"/>
      <c r="E63" s="17"/>
      <c r="F63" s="17"/>
      <c r="G63" s="17"/>
      <c r="H63" s="17"/>
      <c r="I63" s="17"/>
      <c r="J63" s="17"/>
      <c r="K63" s="17"/>
      <c r="L63" s="10"/>
      <c r="M63" s="10"/>
      <c r="N63" s="17"/>
      <c r="O63" s="15"/>
      <c r="P63" s="26"/>
      <c r="Q63" s="10"/>
      <c r="R63" s="12"/>
      <c r="S63" s="12"/>
      <c r="T63" s="15"/>
      <c r="U63" s="15"/>
      <c r="V63" s="10"/>
      <c r="W63" s="21" t="str">
        <f>IF(COUNTA(N63:U63)=0,"",IF(N63="","E_MISSING_INPUT",IF(N63="TIMESTAMP",IF(OR(O63="",P63="",Q63=""),"E_MISSING_INPUT",IF(OR(NOT(ISNUMBER(O63)),NOT(ISNUMBER(P63))),"E_INVALID_DATE",IF(OR(O63&lt;&gt;INT(O63),P63&lt;0,P63&gt;=1),"E_INVALID_DATE",IF(ISNA(MATCH(Q63,nLIST_Offset,0)),"E_INVALID_DATE","")))),IF(N63="DATE",IF(O63="","E_MISSING_INPUT",IF(NOT(ISNUMBER(O63)),"E_INVALID_DATE",IF(O63&lt;&gt;INT(O63),"E_INVALID_DATE",""))),IF(N63="MONTH",IF(OR(R63="",S63=""),"E_MISSING_INPUT",IF(OR(NOT(ISNUMBER(R63)),NOT(ISNUMBER(S63))),"E_INVALID_DATE",IF(OR(R63&lt;1900,R63&gt;9999,R63&lt;&gt;INT(R63),S63&lt;1,S63&gt;12,S63&lt;&gt;INT(S63)),"E_INVALID_DATE",""))),IF(N63="YEAR",IF(R63="","E_MISSING_INPUT",IF(NOT(ISNUMBER(R63)),"E_INVALID_DATE",IF(OR(R63&lt;1900,R63&gt;9999,R63&lt;&gt;INT(R63)),"E_INVALID_DATE",""))),IF(N63="RANGE",IF(OR(T63="",U63=""),"E_MISSING_INPUT",IF(OR(NOT(ISNUMBER(T63)),NOT(ISNUMBER(U63))),"E_INVALID_DATE",IF(OR(T63&lt;&gt;INT(T63),U63&lt;&gt;INT(U63)),"E_INVALID_DATE",IF(T63&gt;U63,"E_REVERSED_BOUNDS","")))),"E_MISSING_INPUT")))))))</f>
        <v/>
      </c>
      <c r="X63" s="22">
        <f t="shared" si="38"/>
        <v>0</v>
      </c>
      <c r="Y63" s="22">
        <f t="shared" si="39"/>
        <v>0</v>
      </c>
      <c r="Z63" s="28" t="str">
        <f t="shared" si="40"/>
        <v/>
      </c>
      <c r="AA63" s="28" t="str">
        <f t="shared" si="41"/>
        <v/>
      </c>
      <c r="AB63" s="22" t="str">
        <f t="shared" si="42"/>
        <v/>
      </c>
      <c r="AC63" s="22" t="str">
        <f t="shared" si="43"/>
        <v/>
      </c>
      <c r="AD63" s="15"/>
      <c r="AE63" s="26"/>
      <c r="AF63" s="10"/>
      <c r="AG63" s="10"/>
      <c r="AH63" s="21" t="str">
        <f>IF(COUNTA(AD63:AF63)=0,"",IF(OR(AD63="",AE63="",AF63=""),"E_MISSING_INPUT",IF(OR(NOT(ISNUMBER(AD63)),NOT(ISNUMBER(AE63))),"E_INVALID_DATE",IF(OR(AD63&lt;&gt;INT(AD63),AE63&lt;0,AE63&gt;=1),"E_INVALID_DATE",IF(ISNA(MATCH(AF63,nLIST_Offset,0)),"E_INVALID_DATE","")))))</f>
        <v/>
      </c>
      <c r="AI63" s="22" t="str">
        <f t="shared" si="44"/>
        <v/>
      </c>
      <c r="AJ63" s="22">
        <f t="shared" si="45"/>
        <v>0</v>
      </c>
      <c r="AK63" s="22" t="str">
        <f t="shared" si="46"/>
        <v/>
      </c>
      <c r="AL63" s="21" t="str">
        <f t="shared" si="47"/>
        <v/>
      </c>
      <c r="AM63" s="22">
        <f>IF(AL63="",0,COUNTIF(nADM_Key,AL63))</f>
        <v>0</v>
      </c>
      <c r="AN63" s="21" t="str">
        <f t="shared" si="48"/>
        <v/>
      </c>
      <c r="AO63" s="22">
        <f t="shared" si="49"/>
        <v>0</v>
      </c>
      <c r="AP63" s="22">
        <f t="shared" si="50"/>
        <v>0</v>
      </c>
      <c r="AQ63" s="22">
        <f t="shared" si="51"/>
        <v>0</v>
      </c>
      <c r="AR63" s="22">
        <f t="shared" si="52"/>
        <v>0</v>
      </c>
      <c r="AS63" s="22">
        <f t="shared" si="53"/>
        <v>0</v>
      </c>
      <c r="AT63" s="22">
        <f>ROW()</f>
        <v>63</v>
      </c>
      <c r="AU63" s="21">
        <f t="shared" si="54"/>
        <v>0</v>
      </c>
      <c r="AV63" s="21">
        <f t="shared" si="55"/>
        <v>0</v>
      </c>
      <c r="AW63" s="21">
        <f t="shared" si="56"/>
        <v>0</v>
      </c>
      <c r="AX63" s="22">
        <f t="shared" si="57"/>
        <v>0</v>
      </c>
      <c r="AY63" s="21">
        <f t="shared" si="58"/>
        <v>0</v>
      </c>
      <c r="AZ63" s="21">
        <f t="shared" si="59"/>
        <v>-1</v>
      </c>
      <c r="BA63" s="22">
        <f t="shared" si="60"/>
        <v>0</v>
      </c>
      <c r="BB63" s="22">
        <f t="shared" si="61"/>
        <v>0</v>
      </c>
      <c r="BC63" s="22">
        <f t="shared" si="62"/>
        <v>0</v>
      </c>
      <c r="BD63" s="21">
        <f t="shared" si="63"/>
        <v>0</v>
      </c>
      <c r="BE63" s="21" t="str">
        <f t="shared" si="64"/>
        <v/>
      </c>
      <c r="BF63" s="21" t="str">
        <f t="shared" si="65"/>
        <v/>
      </c>
      <c r="BG63" s="22">
        <f t="shared" si="66"/>
        <v>0</v>
      </c>
      <c r="BH63" s="22">
        <f t="shared" si="67"/>
        <v>0</v>
      </c>
      <c r="BI63" s="22">
        <f t="shared" si="68"/>
        <v>0</v>
      </c>
      <c r="BJ63" s="22">
        <f t="shared" si="69"/>
        <v>0</v>
      </c>
      <c r="BK63" s="22">
        <f t="shared" si="70"/>
        <v>0</v>
      </c>
      <c r="BL63" s="22">
        <f t="shared" si="71"/>
        <v>0</v>
      </c>
      <c r="BM63" s="22">
        <f t="shared" si="72"/>
        <v>0</v>
      </c>
      <c r="BN63" s="22">
        <f t="shared" si="73"/>
        <v>0</v>
      </c>
      <c r="BO63" s="22">
        <f>IF(BG63=0,0,COUNTIFS(nADM_SelKey,AN63,nADM_SegValid,1,nADM_SegS_Loc_n,"&lt;"&amp;BL63,nADM_SegE_Loc_n,"&gt;"&amp;BK63)-IF(BL63&gt;BK63,1,0))</f>
        <v>0</v>
      </c>
      <c r="BP63" s="22">
        <f>IF(BH63=0,0,COUNTIFS(nADM_SelKey,AN63,nADM_SegOK,1,nADM_SegS_UTC_n,"&lt;"&amp;BJ63,nADM_SegE_UTC_n,"&gt;"&amp;BI63)-IF(BJ63&gt;BI63,1,0))</f>
        <v>0</v>
      </c>
      <c r="BQ63" s="21" t="str">
        <f t="shared" si="74"/>
        <v/>
      </c>
      <c r="BR63" s="22">
        <f>IF(C63="",1,IF(COUNTIF(nEXP_Key,AN63)&gt;0,1,0))</f>
        <v>1</v>
      </c>
      <c r="BS63" s="21" t="str">
        <f t="shared" si="75"/>
        <v/>
      </c>
      <c r="BT63" s="21" t="str">
        <f>IF(BS63="","",BS63&amp;": "&amp;SUBSTITUTE(IFERROR(INDEX(nMSG_Text,MATCH(BS63,nMSG_Code,0)),""),"[input]",IF(C63="","an Admin_ID",IF(BR63=0,"an Exposures row for episode "&amp;D63,IF(BQ63&lt;&gt;"","segment start and end timestamps and a rate in mg/hour","the date fields required by the selected precision")))))</f>
        <v/>
      </c>
    </row>
    <row r="64" spans="1:72" x14ac:dyDescent="0.2">
      <c r="A64" s="10"/>
      <c r="B64" s="12"/>
      <c r="C64" s="10"/>
      <c r="D64" s="10"/>
      <c r="E64" s="17"/>
      <c r="F64" s="17"/>
      <c r="G64" s="17"/>
      <c r="H64" s="17"/>
      <c r="I64" s="17"/>
      <c r="J64" s="17"/>
      <c r="K64" s="17"/>
      <c r="L64" s="10"/>
      <c r="M64" s="10"/>
      <c r="N64" s="17"/>
      <c r="O64" s="15"/>
      <c r="P64" s="26"/>
      <c r="Q64" s="10"/>
      <c r="R64" s="12"/>
      <c r="S64" s="12"/>
      <c r="T64" s="15"/>
      <c r="U64" s="15"/>
      <c r="V64" s="10"/>
      <c r="W64" s="21" t="str">
        <f>IF(COUNTA(N64:U64)=0,"",IF(N64="","E_MISSING_INPUT",IF(N64="TIMESTAMP",IF(OR(O64="",P64="",Q64=""),"E_MISSING_INPUT",IF(OR(NOT(ISNUMBER(O64)),NOT(ISNUMBER(P64))),"E_INVALID_DATE",IF(OR(O64&lt;&gt;INT(O64),P64&lt;0,P64&gt;=1),"E_INVALID_DATE",IF(ISNA(MATCH(Q64,nLIST_Offset,0)),"E_INVALID_DATE","")))),IF(N64="DATE",IF(O64="","E_MISSING_INPUT",IF(NOT(ISNUMBER(O64)),"E_INVALID_DATE",IF(O64&lt;&gt;INT(O64),"E_INVALID_DATE",""))),IF(N64="MONTH",IF(OR(R64="",S64=""),"E_MISSING_INPUT",IF(OR(NOT(ISNUMBER(R64)),NOT(ISNUMBER(S64))),"E_INVALID_DATE",IF(OR(R64&lt;1900,R64&gt;9999,R64&lt;&gt;INT(R64),S64&lt;1,S64&gt;12,S64&lt;&gt;INT(S64)),"E_INVALID_DATE",""))),IF(N64="YEAR",IF(R64="","E_MISSING_INPUT",IF(NOT(ISNUMBER(R64)),"E_INVALID_DATE",IF(OR(R64&lt;1900,R64&gt;9999,R64&lt;&gt;INT(R64)),"E_INVALID_DATE",""))),IF(N64="RANGE",IF(OR(T64="",U64=""),"E_MISSING_INPUT",IF(OR(NOT(ISNUMBER(T64)),NOT(ISNUMBER(U64))),"E_INVALID_DATE",IF(OR(T64&lt;&gt;INT(T64),U64&lt;&gt;INT(U64)),"E_INVALID_DATE",IF(T64&gt;U64,"E_REVERSED_BOUNDS","")))),"E_MISSING_INPUT")))))))</f>
        <v/>
      </c>
      <c r="X64" s="22">
        <f t="shared" si="38"/>
        <v>0</v>
      </c>
      <c r="Y64" s="22">
        <f t="shared" si="39"/>
        <v>0</v>
      </c>
      <c r="Z64" s="28" t="str">
        <f t="shared" si="40"/>
        <v/>
      </c>
      <c r="AA64" s="28" t="str">
        <f t="shared" si="41"/>
        <v/>
      </c>
      <c r="AB64" s="22" t="str">
        <f t="shared" si="42"/>
        <v/>
      </c>
      <c r="AC64" s="22" t="str">
        <f t="shared" si="43"/>
        <v/>
      </c>
      <c r="AD64" s="15"/>
      <c r="AE64" s="26"/>
      <c r="AF64" s="10"/>
      <c r="AG64" s="10"/>
      <c r="AH64" s="21" t="str">
        <f>IF(COUNTA(AD64:AF64)=0,"",IF(OR(AD64="",AE64="",AF64=""),"E_MISSING_INPUT",IF(OR(NOT(ISNUMBER(AD64)),NOT(ISNUMBER(AE64))),"E_INVALID_DATE",IF(OR(AD64&lt;&gt;INT(AD64),AE64&lt;0,AE64&gt;=1),"E_INVALID_DATE",IF(ISNA(MATCH(AF64,nLIST_Offset,0)),"E_INVALID_DATE","")))))</f>
        <v/>
      </c>
      <c r="AI64" s="22" t="str">
        <f t="shared" si="44"/>
        <v/>
      </c>
      <c r="AJ64" s="22">
        <f t="shared" si="45"/>
        <v>0</v>
      </c>
      <c r="AK64" s="22" t="str">
        <f t="shared" si="46"/>
        <v/>
      </c>
      <c r="AL64" s="21" t="str">
        <f t="shared" si="47"/>
        <v/>
      </c>
      <c r="AM64" s="22">
        <f>IF(AL64="",0,COUNTIF(nADM_Key,AL64))</f>
        <v>0</v>
      </c>
      <c r="AN64" s="21" t="str">
        <f t="shared" si="48"/>
        <v/>
      </c>
      <c r="AO64" s="22">
        <f t="shared" si="49"/>
        <v>0</v>
      </c>
      <c r="AP64" s="22">
        <f t="shared" si="50"/>
        <v>0</v>
      </c>
      <c r="AQ64" s="22">
        <f t="shared" si="51"/>
        <v>0</v>
      </c>
      <c r="AR64" s="22">
        <f t="shared" si="52"/>
        <v>0</v>
      </c>
      <c r="AS64" s="22">
        <f t="shared" si="53"/>
        <v>0</v>
      </c>
      <c r="AT64" s="22">
        <f>ROW()</f>
        <v>64</v>
      </c>
      <c r="AU64" s="21">
        <f t="shared" si="54"/>
        <v>0</v>
      </c>
      <c r="AV64" s="21">
        <f t="shared" si="55"/>
        <v>0</v>
      </c>
      <c r="AW64" s="21">
        <f t="shared" si="56"/>
        <v>0</v>
      </c>
      <c r="AX64" s="22">
        <f t="shared" si="57"/>
        <v>0</v>
      </c>
      <c r="AY64" s="21">
        <f t="shared" si="58"/>
        <v>0</v>
      </c>
      <c r="AZ64" s="21">
        <f t="shared" si="59"/>
        <v>-1</v>
      </c>
      <c r="BA64" s="22">
        <f t="shared" si="60"/>
        <v>0</v>
      </c>
      <c r="BB64" s="22">
        <f t="shared" si="61"/>
        <v>0</v>
      </c>
      <c r="BC64" s="22">
        <f t="shared" si="62"/>
        <v>0</v>
      </c>
      <c r="BD64" s="21">
        <f t="shared" si="63"/>
        <v>0</v>
      </c>
      <c r="BE64" s="21" t="str">
        <f t="shared" si="64"/>
        <v/>
      </c>
      <c r="BF64" s="21" t="str">
        <f t="shared" si="65"/>
        <v/>
      </c>
      <c r="BG64" s="22">
        <f t="shared" si="66"/>
        <v>0</v>
      </c>
      <c r="BH64" s="22">
        <f t="shared" si="67"/>
        <v>0</v>
      </c>
      <c r="BI64" s="22">
        <f t="shared" si="68"/>
        <v>0</v>
      </c>
      <c r="BJ64" s="22">
        <f t="shared" si="69"/>
        <v>0</v>
      </c>
      <c r="BK64" s="22">
        <f t="shared" si="70"/>
        <v>0</v>
      </c>
      <c r="BL64" s="22">
        <f t="shared" si="71"/>
        <v>0</v>
      </c>
      <c r="BM64" s="22">
        <f t="shared" si="72"/>
        <v>0</v>
      </c>
      <c r="BN64" s="22">
        <f t="shared" si="73"/>
        <v>0</v>
      </c>
      <c r="BO64" s="22">
        <f>IF(BG64=0,0,COUNTIFS(nADM_SelKey,AN64,nADM_SegValid,1,nADM_SegS_Loc_n,"&lt;"&amp;BL64,nADM_SegE_Loc_n,"&gt;"&amp;BK64)-IF(BL64&gt;BK64,1,0))</f>
        <v>0</v>
      </c>
      <c r="BP64" s="22">
        <f>IF(BH64=0,0,COUNTIFS(nADM_SelKey,AN64,nADM_SegOK,1,nADM_SegS_UTC_n,"&lt;"&amp;BJ64,nADM_SegE_UTC_n,"&gt;"&amp;BI64)-IF(BJ64&gt;BI64,1,0))</f>
        <v>0</v>
      </c>
      <c r="BQ64" s="21" t="str">
        <f t="shared" si="74"/>
        <v/>
      </c>
      <c r="BR64" s="22">
        <f>IF(C64="",1,IF(COUNTIF(nEXP_Key,AN64)&gt;0,1,0))</f>
        <v>1</v>
      </c>
      <c r="BS64" s="21" t="str">
        <f t="shared" si="75"/>
        <v/>
      </c>
      <c r="BT64" s="21" t="str">
        <f>IF(BS64="","",BS64&amp;": "&amp;SUBSTITUTE(IFERROR(INDEX(nMSG_Text,MATCH(BS64,nMSG_Code,0)),""),"[input]",IF(C64="","an Admin_ID",IF(BR64=0,"an Exposures row for episode "&amp;D64,IF(BQ64&lt;&gt;"","segment start and end timestamps and a rate in mg/hour","the date fields required by the selected precision")))))</f>
        <v/>
      </c>
    </row>
    <row r="65" spans="1:72" x14ac:dyDescent="0.2">
      <c r="A65" s="24" t="s">
        <v>294</v>
      </c>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row>
    <row r="66" spans="1:72" x14ac:dyDescent="0.2">
      <c r="A66" s="9" t="s">
        <v>297</v>
      </c>
      <c r="B66" s="11">
        <v>2</v>
      </c>
      <c r="C66" s="9" t="s">
        <v>647</v>
      </c>
      <c r="D66" s="9" t="s">
        <v>453</v>
      </c>
      <c r="E66" s="16" t="s">
        <v>101</v>
      </c>
      <c r="F66" s="16"/>
      <c r="G66" s="16"/>
      <c r="H66" s="16">
        <v>50</v>
      </c>
      <c r="I66" s="16" t="s">
        <v>104</v>
      </c>
      <c r="J66" s="16"/>
      <c r="K66" s="16" t="s">
        <v>154</v>
      </c>
      <c r="L66" s="9" t="s">
        <v>648</v>
      </c>
      <c r="M66" s="9" t="s">
        <v>649</v>
      </c>
      <c r="N66" s="16" t="s">
        <v>3</v>
      </c>
      <c r="O66" s="14">
        <v>46032</v>
      </c>
      <c r="P66" s="25">
        <v>0.375</v>
      </c>
      <c r="Q66" s="9" t="s">
        <v>20</v>
      </c>
      <c r="R66" s="11"/>
      <c r="S66" s="11"/>
      <c r="T66" s="14"/>
      <c r="U66" s="14"/>
      <c r="V66" s="9" t="s">
        <v>650</v>
      </c>
      <c r="W66" s="21" t="str">
        <f>IF(COUNTA(N66:U66)=0,"",IF(N66="","E_MISSING_INPUT",IF(N66="TIMESTAMP",IF(OR(O66="",P66="",Q66=""),"E_MISSING_INPUT",IF(OR(NOT(ISNUMBER(O66)),NOT(ISNUMBER(P66))),"E_INVALID_DATE",IF(OR(O66&lt;&gt;INT(O66),P66&lt;0,P66&gt;=1),"E_INVALID_DATE",IF(ISNA(MATCH(Q66,nLIST_Offset,0)),"E_INVALID_DATE","")))),IF(N66="DATE",IF(O66="","E_MISSING_INPUT",IF(NOT(ISNUMBER(O66)),"E_INVALID_DATE",IF(O66&lt;&gt;INT(O66),"E_INVALID_DATE",""))),IF(N66="MONTH",IF(OR(R66="",S66=""),"E_MISSING_INPUT",IF(OR(NOT(ISNUMBER(R66)),NOT(ISNUMBER(S66))),"E_INVALID_DATE",IF(OR(R66&lt;1900,R66&gt;9999,R66&lt;&gt;INT(R66),S66&lt;1,S66&gt;12,S66&lt;&gt;INT(S66)),"E_INVALID_DATE",""))),IF(N66="YEAR",IF(R66="","E_MISSING_INPUT",IF(NOT(ISNUMBER(R66)),"E_INVALID_DATE",IF(OR(R66&lt;1900,R66&gt;9999,R66&lt;&gt;INT(R66)),"E_INVALID_DATE",""))),IF(N66="RANGE",IF(OR(T66="",U66=""),"E_MISSING_INPUT",IF(OR(NOT(ISNUMBER(T66)),NOT(ISNUMBER(U66))),"E_INVALID_DATE",IF(OR(T66&lt;&gt;INT(T66),U66&lt;&gt;INT(U66)),"E_INVALID_DATE",IF(T66&gt;U66,"E_REVERSED_BOUNDS","")))),"E_MISSING_INPUT")))))))</f>
        <v/>
      </c>
      <c r="X66" s="22">
        <f t="shared" ref="X66:X69" si="76">IF(AND(W66="",N66="TIMESTAMP"),1,0)</f>
        <v>1</v>
      </c>
      <c r="Y66" s="22">
        <f t="shared" ref="Y66:Y69" si="77">IF(AND(X66=1,Q66&lt;&gt;"unknown"),1,0)</f>
        <v>1</v>
      </c>
      <c r="Z66" s="28">
        <f t="shared" ref="Z66:Z69" si="78">IF(OR(W66&lt;&gt;"",N66=""),"",IF(OR(N66="TIMESTAMP",N66="DATE"),O66,IF(N66="MONTH",DATE(R66,S66,1),IF(N66="YEAR",DATE(R66,1,1),T66))))</f>
        <v>46032</v>
      </c>
      <c r="AA66" s="28">
        <f t="shared" ref="AA66:AA69" si="79">IF(OR(W66&lt;&gt;"",N66=""),"",IF(OR(N66="TIMESTAMP",N66="DATE"),O66,IF(N66="MONTH",EOMONTH(DATE(R66,S66,1),0),IF(N66="YEAR",DATE(R66,12,31),U66))))</f>
        <v>46032</v>
      </c>
      <c r="AB66" s="22">
        <f t="shared" ref="AB66:AB69" si="80">IF(X66=1,O66*1440+ROUND(P66*1440,0),"")</f>
        <v>66286620</v>
      </c>
      <c r="AC66" s="22">
        <f t="shared" ref="AC66:AC69" si="81">IF(Y66=1,AB66-(IF(LEFT(Q66,1)="-",-1,1)*(VALUE(MID(Q66,2,2))*60+VALUE(MID(Q66,5,2)))),"")</f>
        <v>66286920</v>
      </c>
      <c r="AD66" s="14">
        <v>46032</v>
      </c>
      <c r="AE66" s="25">
        <v>0.38611111111111102</v>
      </c>
      <c r="AF66" s="9" t="s">
        <v>20</v>
      </c>
      <c r="AG66" s="9" t="s">
        <v>651</v>
      </c>
      <c r="AH66" s="21" t="str">
        <f>IF(COUNTA(AD66:AF66)=0,"",IF(OR(AD66="",AE66="",AF66=""),"E_MISSING_INPUT",IF(OR(NOT(ISNUMBER(AD66)),NOT(ISNUMBER(AE66))),"E_INVALID_DATE",IF(OR(AD66&lt;&gt;INT(AD66),AE66&lt;0,AE66&gt;=1),"E_INVALID_DATE",IF(ISNA(MATCH(AF66,nLIST_Offset,0)),"E_INVALID_DATE","")))))</f>
        <v/>
      </c>
      <c r="AI66" s="22">
        <f t="shared" ref="AI66:AI69" si="82">IF(AND(AH66="",ISNUMBER(AD66),ISNUMBER(AE66)),AD66*1440+ROUND(AE66*1440,0),"")</f>
        <v>66286636</v>
      </c>
      <c r="AJ66" s="22">
        <f t="shared" ref="AJ66:AJ69" si="83">IF(AND(AI66&lt;&gt;"",AF66&lt;&gt;"unknown"),1,0)</f>
        <v>1</v>
      </c>
      <c r="AK66" s="22">
        <f t="shared" ref="AK66:AK69" si="84">IF(AJ66=1,AI66-(IF(LEFT(AF66,1)="-",-1,1)*(VALUE(MID(AF66,2,2))*60+VALUE(MID(AF66,5,2)))),"")</f>
        <v>66286936</v>
      </c>
      <c r="AL66" s="21" t="str">
        <f t="shared" ref="AL66:AL69" si="85">IF(C66="","",A66&amp;"|"&amp;B66&amp;"|"&amp;C66)</f>
        <v>EX-C01|2|ADM-A1</v>
      </c>
      <c r="AM66" s="22">
        <f>IF(AL66="",0,COUNTIF(nADM_Key,AL66))</f>
        <v>1</v>
      </c>
      <c r="AN66" s="21" t="str">
        <f t="shared" ref="AN66:AN69" si="86">IF(C66="","",A66&amp;"|"&amp;B66&amp;"|"&amp;D66)</f>
        <v>EX-C01|2|EX-A</v>
      </c>
      <c r="AO66" s="22">
        <f t="shared" ref="AO66:AO69" si="87">IF(AND(C66&lt;&gt;"",W66="",Z66&lt;&gt;"",OR(N66="TIMESTAMP",N66="DATE")),1,0)</f>
        <v>1</v>
      </c>
      <c r="AP66" s="22">
        <f t="shared" ref="AP66:AP69" si="88">IF(AND(C66&lt;&gt;"",COUNTA(N66:U66)&gt;0),1,0)</f>
        <v>1</v>
      </c>
      <c r="AQ66" s="22">
        <f t="shared" ref="AQ66:AQ69" si="89">IF(X66=1,AB66,0)</f>
        <v>66286620</v>
      </c>
      <c r="AR66" s="22">
        <f t="shared" ref="AR66:AR69" si="90">IF(Y66=1,AC66,0)</f>
        <v>66286920</v>
      </c>
      <c r="AS66" s="22">
        <f t="shared" ref="AS66:AS69" si="91">IF(AO66=1,Z66,0)</f>
        <v>46032</v>
      </c>
      <c r="AT66" s="22">
        <f>ROW()</f>
        <v>66</v>
      </c>
      <c r="AU66" s="21">
        <f t="shared" ref="AU66:AU69" si="92">IF(ISNUMBER(H66),H66,0)</f>
        <v>50</v>
      </c>
      <c r="AV66" s="21">
        <f t="shared" ref="AV66:AV69" si="93">IF(ISNUMBER(F66),F66,0)</f>
        <v>0</v>
      </c>
      <c r="AW66" s="21">
        <f t="shared" ref="AW66:AW69" si="94">IF(AND(ISNUMBER(F66),F66&gt;0),F66,0)</f>
        <v>0</v>
      </c>
      <c r="AX66" s="22">
        <f t="shared" ref="AX66:AX69" si="95">IF(AND(C66&lt;&gt;"",ISNUMBER(F66)),1,0)</f>
        <v>0</v>
      </c>
      <c r="AY66" s="21">
        <f t="shared" ref="AY66:AY69" si="96">IF(ISNUMBER(J66),J66,0)</f>
        <v>0</v>
      </c>
      <c r="AZ66" s="21">
        <f t="shared" ref="AZ66:AZ69" si="97">IF(ISNUMBER(J66),J66,IF(J66="",-1,-2))</f>
        <v>-1</v>
      </c>
      <c r="BA66" s="22">
        <f t="shared" ref="BA66:BA69" si="98">IF(AND(C66&lt;&gt;"",ISNUMBER(J66)),1,0)</f>
        <v>0</v>
      </c>
      <c r="BB66" s="22">
        <f t="shared" ref="BB66:BB69" si="99">IF(AND(C66&lt;&gt;"",J66=""),1,0)</f>
        <v>1</v>
      </c>
      <c r="BC66" s="22">
        <f t="shared" ref="BC66:BC69" si="100">IF(AND(C66&lt;&gt;"",ISNUMBER(F66),ISNUMBER(J66)),IF(J66&gt;0,1,0),0)</f>
        <v>0</v>
      </c>
      <c r="BD66" s="21">
        <f t="shared" ref="BD66:BD69" si="101">IF(BC66=1,AV66/J66,0)</f>
        <v>0</v>
      </c>
      <c r="BE66" s="21" t="str">
        <f t="shared" ref="BE66:BE69" si="102">IF(OR(C66="",E66="INFUSION_SEGMENT"),"",IF(G66="","; E_MISSING_INPUT",IF(G66&lt;&gt;"mg","; E_INVALID_UNIT",""))&amp;IF(NOT(ISNUMBER(F66)),"; E_MISSING_INPUT",IF(F66&lt;=0,"; E_NONPOSITIVE_PARAMETER",""))&amp;IF(AND(J66&lt;&gt;"",NOT(ISNUMBER(J66))),"; E_MISSING_INPUT",IF(AND(ISNUMBER(J66),J66&lt;=0),"; E_NONPOSITIVE_PARAMETER","")))</f>
        <v/>
      </c>
      <c r="BF66" s="21" t="str">
        <f t="shared" ref="BF66:BF69" si="103">IF(OR(C66="",E66="INFUSION_SEGMENT",AP66=0,AO66=1),"",IF(W66&lt;&gt;"",W66,"E_MISSING_INPUT"))</f>
        <v/>
      </c>
      <c r="BG66" s="22">
        <f t="shared" ref="BG66:BG69" si="104">IF(AND(E66="INFUSION_SEGMENT",W66="",X66=1,AH66="",AI66&lt;&gt;""),1,0)</f>
        <v>1</v>
      </c>
      <c r="BH66" s="22">
        <f t="shared" ref="BH66:BH69" si="105">IF(AND(BG66=1,Y66=1,AJ66=1),1,0)</f>
        <v>1</v>
      </c>
      <c r="BI66" s="22">
        <f t="shared" ref="BI66:BI69" si="106">IF(BH66=1,AC66,0)</f>
        <v>66286920</v>
      </c>
      <c r="BJ66" s="22">
        <f t="shared" ref="BJ66:BJ69" si="107">IF(BH66=1,AK66,0)</f>
        <v>66286936</v>
      </c>
      <c r="BK66" s="22">
        <f t="shared" ref="BK66:BK69" si="108">IF(BG66=1,AB66,0)</f>
        <v>66286620</v>
      </c>
      <c r="BL66" s="22">
        <f t="shared" ref="BL66:BL69" si="109">IF(BG66=1,AI66,0)</f>
        <v>66286636</v>
      </c>
      <c r="BM66" s="22">
        <f t="shared" ref="BM66:BM69" si="110">IF(AND(BG66=1,BL66&lt;BK66),1,0)</f>
        <v>0</v>
      </c>
      <c r="BN66" s="22">
        <f t="shared" ref="BN66:BN69" si="111">IF(AND(BH66=1,BJ66&lt;BI66),1,0)</f>
        <v>0</v>
      </c>
      <c r="BO66" s="22">
        <f>IF(BG66=0,0,COUNTIFS(nADM_SelKey,AN66,nADM_SegValid,1,nADM_SegS_Loc_n,"&lt;"&amp;BL66,nADM_SegE_Loc_n,"&gt;"&amp;BK66)-IF(BL66&gt;BK66,1,0))</f>
        <v>0</v>
      </c>
      <c r="BP66" s="22">
        <f>IF(BH66=0,0,COUNTIFS(nADM_SelKey,AN66,nADM_SegOK,1,nADM_SegS_UTC_n,"&lt;"&amp;BJ66,nADM_SegE_UTC_n,"&gt;"&amp;BI66)-IF(BJ66&gt;BI66,1,0))</f>
        <v>0</v>
      </c>
      <c r="BQ66" s="21" t="str">
        <f t="shared" ref="BQ66:BQ69" si="112">IF(E66&lt;&gt;"INFUSION_SEGMENT","",IF(W66&lt;&gt;"","; "&amp;W66,IF(X66=0,"; E_MISSING_INPUT",""))&amp;IF(AH66&lt;&gt;"","; "&amp;AH66,IF(AI66="","; E_MISSING_INPUT",""))&amp;IF(I66="","; E_MISSING_INPUT",IF(I66&lt;&gt;"mg/hour","; E_INVALID_UNIT",""))&amp;IF(NOT(ISNUMBER(H66)),"; E_MISSING_INPUT",IF(H66&lt;=0,"; E_NONPOSITIVE_PARAMETER","")))</f>
        <v>; E_INVALID_UNIT</v>
      </c>
      <c r="BR66" s="22">
        <f>IF(C66="",1,IF(COUNTIF(nEXP_Key,AN66)&gt;0,1,0))</f>
        <v>1</v>
      </c>
      <c r="BS66" s="21" t="str">
        <f t="shared" ref="BS66:BS69" si="113">IF(C66="",IF(COUNTA(D66,F66,H66,N66,O66)&gt;0,"E_MISSING_INPUT",""),IF(AM66&gt;1,"E_DUPLICATE_ID",IF(BR66=0,"E_MISSING_INPUT",IF(W66&lt;&gt;"",W66,IF(BQ66&lt;&gt;"",IFERROR(LEFT(MID(BQ66,3,999),FIND(";",MID(BQ66,3,999))-1),MID(BQ66,3,999)),IF(AND(ISNUMBER(F66),F66&lt;=0),"E_NONPOSITIVE_PARAMETER",IF(AND(ISNUMBER(J66),J66&lt;=0),"E_NONPOSITIVE_PARAMETER","")))))))</f>
        <v>E_INVALID_UNIT</v>
      </c>
      <c r="BT66" s="21" t="str">
        <f>IF(BS66="","",BS66&amp;": "&amp;SUBSTITUTE(IFERROR(INDEX(nMSG_Text,MATCH(BS66,nMSG_Code,0)),""),"[input]",IF(C66="","an Admin_ID",IF(BR66=0,"an Exposures row for episode "&amp;D66,IF(BQ66&lt;&gt;"","segment start and end timestamps and a rate in mg/hour","the date fields required by the selected precision")))))</f>
        <v>E_INVALID_UNIT: This unit is not supported here. Use one of the listed units.</v>
      </c>
    </row>
    <row r="67" spans="1:72" x14ac:dyDescent="0.2">
      <c r="A67" s="9" t="s">
        <v>301</v>
      </c>
      <c r="B67" s="11">
        <v>2</v>
      </c>
      <c r="C67" s="9" t="s">
        <v>652</v>
      </c>
      <c r="D67" s="9" t="s">
        <v>474</v>
      </c>
      <c r="E67" s="16" t="s">
        <v>100</v>
      </c>
      <c r="F67" s="16">
        <v>125</v>
      </c>
      <c r="G67" s="16" t="s">
        <v>107</v>
      </c>
      <c r="H67" s="16"/>
      <c r="I67" s="16"/>
      <c r="J67" s="16"/>
      <c r="K67" s="16"/>
      <c r="L67" s="9"/>
      <c r="M67" s="9" t="s">
        <v>653</v>
      </c>
      <c r="N67" s="16" t="s">
        <v>3</v>
      </c>
      <c r="O67" s="14">
        <v>46207</v>
      </c>
      <c r="P67" s="25">
        <v>0.33333333333333298</v>
      </c>
      <c r="Q67" s="9" t="s">
        <v>11</v>
      </c>
      <c r="R67" s="11"/>
      <c r="S67" s="11"/>
      <c r="T67" s="14"/>
      <c r="U67" s="14"/>
      <c r="V67" s="9" t="s">
        <v>654</v>
      </c>
      <c r="W67" s="21" t="str">
        <f>IF(COUNTA(N67:U67)=0,"",IF(N67="","E_MISSING_INPUT",IF(N67="TIMESTAMP",IF(OR(O67="",P67="",Q67=""),"E_MISSING_INPUT",IF(OR(NOT(ISNUMBER(O67)),NOT(ISNUMBER(P67))),"E_INVALID_DATE",IF(OR(O67&lt;&gt;INT(O67),P67&lt;0,P67&gt;=1),"E_INVALID_DATE",IF(ISNA(MATCH(Q67,nLIST_Offset,0)),"E_INVALID_DATE","")))),IF(N67="DATE",IF(O67="","E_MISSING_INPUT",IF(NOT(ISNUMBER(O67)),"E_INVALID_DATE",IF(O67&lt;&gt;INT(O67),"E_INVALID_DATE",""))),IF(N67="MONTH",IF(OR(R67="",S67=""),"E_MISSING_INPUT",IF(OR(NOT(ISNUMBER(R67)),NOT(ISNUMBER(S67))),"E_INVALID_DATE",IF(OR(R67&lt;1900,R67&gt;9999,R67&lt;&gt;INT(R67),S67&lt;1,S67&gt;12,S67&lt;&gt;INT(S67)),"E_INVALID_DATE",""))),IF(N67="YEAR",IF(R67="","E_MISSING_INPUT",IF(NOT(ISNUMBER(R67)),"E_INVALID_DATE",IF(OR(R67&lt;1900,R67&gt;9999,R67&lt;&gt;INT(R67)),"E_INVALID_DATE",""))),IF(N67="RANGE",IF(OR(T67="",U67=""),"E_MISSING_INPUT",IF(OR(NOT(ISNUMBER(T67)),NOT(ISNUMBER(U67))),"E_INVALID_DATE",IF(OR(T67&lt;&gt;INT(T67),U67&lt;&gt;INT(U67)),"E_INVALID_DATE",IF(T67&gt;U67,"E_REVERSED_BOUNDS","")))),"E_MISSING_INPUT")))))))</f>
        <v/>
      </c>
      <c r="X67" s="22">
        <f t="shared" si="76"/>
        <v>1</v>
      </c>
      <c r="Y67" s="22">
        <f t="shared" si="77"/>
        <v>0</v>
      </c>
      <c r="Z67" s="28">
        <f t="shared" si="78"/>
        <v>46207</v>
      </c>
      <c r="AA67" s="28">
        <f t="shared" si="79"/>
        <v>46207</v>
      </c>
      <c r="AB67" s="22">
        <f t="shared" si="80"/>
        <v>66538560</v>
      </c>
      <c r="AC67" s="22" t="str">
        <f t="shared" si="81"/>
        <v/>
      </c>
      <c r="AD67" s="14"/>
      <c r="AE67" s="25"/>
      <c r="AF67" s="9"/>
      <c r="AG67" s="9"/>
      <c r="AH67" s="21" t="str">
        <f>IF(COUNTA(AD67:AF67)=0,"",IF(OR(AD67="",AE67="",AF67=""),"E_MISSING_INPUT",IF(OR(NOT(ISNUMBER(AD67)),NOT(ISNUMBER(AE67))),"E_INVALID_DATE",IF(OR(AD67&lt;&gt;INT(AD67),AE67&lt;0,AE67&gt;=1),"E_INVALID_DATE",IF(ISNA(MATCH(AF67,nLIST_Offset,0)),"E_INVALID_DATE","")))))</f>
        <v/>
      </c>
      <c r="AI67" s="22" t="str">
        <f t="shared" si="82"/>
        <v/>
      </c>
      <c r="AJ67" s="22">
        <f t="shared" si="83"/>
        <v>0</v>
      </c>
      <c r="AK67" s="22" t="str">
        <f t="shared" si="84"/>
        <v/>
      </c>
      <c r="AL67" s="21" t="str">
        <f t="shared" si="85"/>
        <v>EX-C04|2|ADM-DIG-LAST</v>
      </c>
      <c r="AM67" s="22">
        <f>IF(AL67="",0,COUNTIF(nADM_Key,AL67))</f>
        <v>1</v>
      </c>
      <c r="AN67" s="21" t="str">
        <f t="shared" si="86"/>
        <v>EX-C04|2|EX-DIG</v>
      </c>
      <c r="AO67" s="22">
        <f t="shared" si="87"/>
        <v>1</v>
      </c>
      <c r="AP67" s="22">
        <f t="shared" si="88"/>
        <v>1</v>
      </c>
      <c r="AQ67" s="22">
        <f t="shared" si="89"/>
        <v>66538560</v>
      </c>
      <c r="AR67" s="22">
        <f t="shared" si="90"/>
        <v>0</v>
      </c>
      <c r="AS67" s="22">
        <f t="shared" si="91"/>
        <v>46207</v>
      </c>
      <c r="AT67" s="22">
        <f>ROW()</f>
        <v>67</v>
      </c>
      <c r="AU67" s="21">
        <f t="shared" si="92"/>
        <v>0</v>
      </c>
      <c r="AV67" s="21">
        <f t="shared" si="93"/>
        <v>125</v>
      </c>
      <c r="AW67" s="21">
        <f t="shared" si="94"/>
        <v>125</v>
      </c>
      <c r="AX67" s="22">
        <f t="shared" si="95"/>
        <v>1</v>
      </c>
      <c r="AY67" s="21">
        <f t="shared" si="96"/>
        <v>0</v>
      </c>
      <c r="AZ67" s="21">
        <f t="shared" si="97"/>
        <v>-1</v>
      </c>
      <c r="BA67" s="22">
        <f t="shared" si="98"/>
        <v>0</v>
      </c>
      <c r="BB67" s="22">
        <f t="shared" si="99"/>
        <v>1</v>
      </c>
      <c r="BC67" s="22">
        <f t="shared" si="100"/>
        <v>0</v>
      </c>
      <c r="BD67" s="21">
        <f t="shared" si="101"/>
        <v>0</v>
      </c>
      <c r="BE67" s="21" t="str">
        <f t="shared" si="102"/>
        <v>; E_INVALID_UNIT</v>
      </c>
      <c r="BF67" s="21" t="str">
        <f t="shared" si="103"/>
        <v/>
      </c>
      <c r="BG67" s="22">
        <f t="shared" si="104"/>
        <v>0</v>
      </c>
      <c r="BH67" s="22">
        <f t="shared" si="105"/>
        <v>0</v>
      </c>
      <c r="BI67" s="22">
        <f t="shared" si="106"/>
        <v>0</v>
      </c>
      <c r="BJ67" s="22">
        <f t="shared" si="107"/>
        <v>0</v>
      </c>
      <c r="BK67" s="22">
        <f t="shared" si="108"/>
        <v>0</v>
      </c>
      <c r="BL67" s="22">
        <f t="shared" si="109"/>
        <v>0</v>
      </c>
      <c r="BM67" s="22">
        <f t="shared" si="110"/>
        <v>0</v>
      </c>
      <c r="BN67" s="22">
        <f t="shared" si="111"/>
        <v>0</v>
      </c>
      <c r="BO67" s="22">
        <f>IF(BG67=0,0,COUNTIFS(nADM_SelKey,AN67,nADM_SegValid,1,nADM_SegS_Loc_n,"&lt;"&amp;BL67,nADM_SegE_Loc_n,"&gt;"&amp;BK67)-IF(BL67&gt;BK67,1,0))</f>
        <v>0</v>
      </c>
      <c r="BP67" s="22">
        <f>IF(BH67=0,0,COUNTIFS(nADM_SelKey,AN67,nADM_SegOK,1,nADM_SegS_UTC_n,"&lt;"&amp;BJ67,nADM_SegE_UTC_n,"&gt;"&amp;BI67)-IF(BJ67&gt;BI67,1,0))</f>
        <v>0</v>
      </c>
      <c r="BQ67" s="21" t="str">
        <f t="shared" si="112"/>
        <v/>
      </c>
      <c r="BR67" s="22">
        <f>IF(C67="",1,IF(COUNTIF(nEXP_Key,AN67)&gt;0,1,0))</f>
        <v>1</v>
      </c>
      <c r="BS67" s="21" t="str">
        <f t="shared" si="113"/>
        <v/>
      </c>
      <c r="BT67" s="21" t="str">
        <f>IF(BS67="","",BS67&amp;": "&amp;SUBSTITUTE(IFERROR(INDEX(nMSG_Text,MATCH(BS67,nMSG_Code,0)),""),"[input]",IF(C67="","an Admin_ID",IF(BR67=0,"an Exposures row for episode "&amp;D67,IF(BQ67&lt;&gt;"","segment start and end timestamps and a rate in mg/hour","the date fields required by the selected precision")))))</f>
        <v/>
      </c>
    </row>
    <row r="68" spans="1:72" x14ac:dyDescent="0.2">
      <c r="A68" s="9" t="s">
        <v>305</v>
      </c>
      <c r="B68" s="11">
        <v>2</v>
      </c>
      <c r="C68" s="9" t="s">
        <v>656</v>
      </c>
      <c r="D68" s="9" t="s">
        <v>495</v>
      </c>
      <c r="E68" s="16" t="s">
        <v>100</v>
      </c>
      <c r="F68" s="16"/>
      <c r="G68" s="16"/>
      <c r="H68" s="16"/>
      <c r="I68" s="16"/>
      <c r="J68" s="16"/>
      <c r="K68" s="16"/>
      <c r="L68" s="9" t="s">
        <v>655</v>
      </c>
      <c r="M68" s="9" t="s">
        <v>657</v>
      </c>
      <c r="N68" s="16" t="s">
        <v>4</v>
      </c>
      <c r="O68" s="14">
        <v>45614</v>
      </c>
      <c r="P68" s="25"/>
      <c r="Q68" s="9"/>
      <c r="R68" s="11"/>
      <c r="S68" s="11"/>
      <c r="T68" s="14"/>
      <c r="U68" s="14"/>
      <c r="V68" s="9" t="s">
        <v>500</v>
      </c>
      <c r="W68" s="21" t="str">
        <f>IF(COUNTA(N68:U68)=0,"",IF(N68="","E_MISSING_INPUT",IF(N68="TIMESTAMP",IF(OR(O68="",P68="",Q68=""),"E_MISSING_INPUT",IF(OR(NOT(ISNUMBER(O68)),NOT(ISNUMBER(P68))),"E_INVALID_DATE",IF(OR(O68&lt;&gt;INT(O68),P68&lt;0,P68&gt;=1),"E_INVALID_DATE",IF(ISNA(MATCH(Q68,nLIST_Offset,0)),"E_INVALID_DATE","")))),IF(N68="DATE",IF(O68="","E_MISSING_INPUT",IF(NOT(ISNUMBER(O68)),"E_INVALID_DATE",IF(O68&lt;&gt;INT(O68),"E_INVALID_DATE",""))),IF(N68="MONTH",IF(OR(R68="",S68=""),"E_MISSING_INPUT",IF(OR(NOT(ISNUMBER(R68)),NOT(ISNUMBER(S68))),"E_INVALID_DATE",IF(OR(R68&lt;1900,R68&gt;9999,R68&lt;&gt;INT(R68),S68&lt;1,S68&gt;12,S68&lt;&gt;INT(S68)),"E_INVALID_DATE",""))),IF(N68="YEAR",IF(R68="","E_MISSING_INPUT",IF(NOT(ISNUMBER(R68)),"E_INVALID_DATE",IF(OR(R68&lt;1900,R68&gt;9999,R68&lt;&gt;INT(R68)),"E_INVALID_DATE",""))),IF(N68="RANGE",IF(OR(T68="",U68=""),"E_MISSING_INPUT",IF(OR(NOT(ISNUMBER(T68)),NOT(ISNUMBER(U68))),"E_INVALID_DATE",IF(OR(T68&lt;&gt;INT(T68),U68&lt;&gt;INT(U68)),"E_INVALID_DATE",IF(T68&gt;U68,"E_REVERSED_BOUNDS","")))),"E_MISSING_INPUT")))))))</f>
        <v/>
      </c>
      <c r="X68" s="22">
        <f t="shared" si="76"/>
        <v>0</v>
      </c>
      <c r="Y68" s="22">
        <f t="shared" si="77"/>
        <v>0</v>
      </c>
      <c r="Z68" s="28">
        <f t="shared" si="78"/>
        <v>45614</v>
      </c>
      <c r="AA68" s="28">
        <f t="shared" si="79"/>
        <v>45614</v>
      </c>
      <c r="AB68" s="22" t="str">
        <f t="shared" si="80"/>
        <v/>
      </c>
      <c r="AC68" s="22" t="str">
        <f t="shared" si="81"/>
        <v/>
      </c>
      <c r="AD68" s="14"/>
      <c r="AE68" s="25"/>
      <c r="AF68" s="9"/>
      <c r="AG68" s="9"/>
      <c r="AH68" s="21" t="str">
        <f>IF(COUNTA(AD68:AF68)=0,"",IF(OR(AD68="",AE68="",AF68=""),"E_MISSING_INPUT",IF(OR(NOT(ISNUMBER(AD68)),NOT(ISNUMBER(AE68))),"E_INVALID_DATE",IF(OR(AD68&lt;&gt;INT(AD68),AE68&lt;0,AE68&gt;=1),"E_INVALID_DATE",IF(ISNA(MATCH(AF68,nLIST_Offset,0)),"E_INVALID_DATE","")))))</f>
        <v/>
      </c>
      <c r="AI68" s="22" t="str">
        <f t="shared" si="82"/>
        <v/>
      </c>
      <c r="AJ68" s="22">
        <f t="shared" si="83"/>
        <v>0</v>
      </c>
      <c r="AK68" s="22" t="str">
        <f t="shared" si="84"/>
        <v/>
      </c>
      <c r="AL68" s="21" t="str">
        <f t="shared" si="85"/>
        <v>EX-C28|2|ADM-RTX-1</v>
      </c>
      <c r="AM68" s="22">
        <f>IF(AL68="",0,COUNTIF(nADM_Key,AL68))</f>
        <v>1</v>
      </c>
      <c r="AN68" s="21" t="str">
        <f t="shared" si="86"/>
        <v>EX-C28|2|EX-RTX</v>
      </c>
      <c r="AO68" s="22">
        <f t="shared" si="87"/>
        <v>1</v>
      </c>
      <c r="AP68" s="22">
        <f t="shared" si="88"/>
        <v>1</v>
      </c>
      <c r="AQ68" s="22">
        <f t="shared" si="89"/>
        <v>0</v>
      </c>
      <c r="AR68" s="22">
        <f t="shared" si="90"/>
        <v>0</v>
      </c>
      <c r="AS68" s="22">
        <f t="shared" si="91"/>
        <v>45614</v>
      </c>
      <c r="AT68" s="22">
        <f>ROW()</f>
        <v>68</v>
      </c>
      <c r="AU68" s="21">
        <f t="shared" si="92"/>
        <v>0</v>
      </c>
      <c r="AV68" s="21">
        <f t="shared" si="93"/>
        <v>0</v>
      </c>
      <c r="AW68" s="21">
        <f t="shared" si="94"/>
        <v>0</v>
      </c>
      <c r="AX68" s="22">
        <f t="shared" si="95"/>
        <v>0</v>
      </c>
      <c r="AY68" s="21">
        <f t="shared" si="96"/>
        <v>0</v>
      </c>
      <c r="AZ68" s="21">
        <f t="shared" si="97"/>
        <v>-1</v>
      </c>
      <c r="BA68" s="22">
        <f t="shared" si="98"/>
        <v>0</v>
      </c>
      <c r="BB68" s="22">
        <f t="shared" si="99"/>
        <v>1</v>
      </c>
      <c r="BC68" s="22">
        <f t="shared" si="100"/>
        <v>0</v>
      </c>
      <c r="BD68" s="21">
        <f t="shared" si="101"/>
        <v>0</v>
      </c>
      <c r="BE68" s="21" t="str">
        <f t="shared" si="102"/>
        <v>; E_MISSING_INPUT; E_MISSING_INPUT</v>
      </c>
      <c r="BF68" s="21" t="str">
        <f t="shared" si="103"/>
        <v/>
      </c>
      <c r="BG68" s="22">
        <f t="shared" si="104"/>
        <v>0</v>
      </c>
      <c r="BH68" s="22">
        <f t="shared" si="105"/>
        <v>0</v>
      </c>
      <c r="BI68" s="22">
        <f t="shared" si="106"/>
        <v>0</v>
      </c>
      <c r="BJ68" s="22">
        <f t="shared" si="107"/>
        <v>0</v>
      </c>
      <c r="BK68" s="22">
        <f t="shared" si="108"/>
        <v>0</v>
      </c>
      <c r="BL68" s="22">
        <f t="shared" si="109"/>
        <v>0</v>
      </c>
      <c r="BM68" s="22">
        <f t="shared" si="110"/>
        <v>0</v>
      </c>
      <c r="BN68" s="22">
        <f t="shared" si="111"/>
        <v>0</v>
      </c>
      <c r="BO68" s="22">
        <f>IF(BG68=0,0,COUNTIFS(nADM_SelKey,AN68,nADM_SegValid,1,nADM_SegS_Loc_n,"&lt;"&amp;BL68,nADM_SegE_Loc_n,"&gt;"&amp;BK68)-IF(BL68&gt;BK68,1,0))</f>
        <v>0</v>
      </c>
      <c r="BP68" s="22">
        <f>IF(BH68=0,0,COUNTIFS(nADM_SelKey,AN68,nADM_SegOK,1,nADM_SegS_UTC_n,"&lt;"&amp;BJ68,nADM_SegE_UTC_n,"&gt;"&amp;BI68)-IF(BJ68&gt;BI68,1,0))</f>
        <v>0</v>
      </c>
      <c r="BQ68" s="21" t="str">
        <f t="shared" si="112"/>
        <v/>
      </c>
      <c r="BR68" s="22">
        <f>IF(C68="",1,IF(COUNTIF(nEXP_Key,AN68)&gt;0,1,0))</f>
        <v>1</v>
      </c>
      <c r="BS68" s="21" t="str">
        <f t="shared" si="113"/>
        <v/>
      </c>
      <c r="BT68" s="21" t="str">
        <f>IF(BS68="","",BS68&amp;": "&amp;SUBSTITUTE(IFERROR(INDEX(nMSG_Text,MATCH(BS68,nMSG_Code,0)),""),"[input]",IF(C68="","an Admin_ID",IF(BR68=0,"an Exposures row for episode "&amp;D68,IF(BQ68&lt;&gt;"","segment start and end timestamps and a rate in mg/hour","the date fields required by the selected precision")))))</f>
        <v/>
      </c>
    </row>
    <row r="69" spans="1:72" x14ac:dyDescent="0.2">
      <c r="A69" s="9" t="s">
        <v>305</v>
      </c>
      <c r="B69" s="11">
        <v>2</v>
      </c>
      <c r="C69" s="9" t="s">
        <v>659</v>
      </c>
      <c r="D69" s="9" t="s">
        <v>495</v>
      </c>
      <c r="E69" s="16" t="s">
        <v>100</v>
      </c>
      <c r="F69" s="16"/>
      <c r="G69" s="16"/>
      <c r="H69" s="16"/>
      <c r="I69" s="16"/>
      <c r="J69" s="16"/>
      <c r="K69" s="16"/>
      <c r="L69" s="9" t="s">
        <v>658</v>
      </c>
      <c r="M69" s="9" t="s">
        <v>501</v>
      </c>
      <c r="N69" s="16" t="s">
        <v>4</v>
      </c>
      <c r="O69" s="14">
        <v>45719</v>
      </c>
      <c r="P69" s="25"/>
      <c r="Q69" s="9"/>
      <c r="R69" s="11"/>
      <c r="S69" s="11"/>
      <c r="T69" s="14"/>
      <c r="U69" s="14"/>
      <c r="V69" s="9" t="s">
        <v>500</v>
      </c>
      <c r="W69" s="21" t="str">
        <f>IF(COUNTA(N69:U69)=0,"",IF(N69="","E_MISSING_INPUT",IF(N69="TIMESTAMP",IF(OR(O69="",P69="",Q69=""),"E_MISSING_INPUT",IF(OR(NOT(ISNUMBER(O69)),NOT(ISNUMBER(P69))),"E_INVALID_DATE",IF(OR(O69&lt;&gt;INT(O69),P69&lt;0,P69&gt;=1),"E_INVALID_DATE",IF(ISNA(MATCH(Q69,nLIST_Offset,0)),"E_INVALID_DATE","")))),IF(N69="DATE",IF(O69="","E_MISSING_INPUT",IF(NOT(ISNUMBER(O69)),"E_INVALID_DATE",IF(O69&lt;&gt;INT(O69),"E_INVALID_DATE",""))),IF(N69="MONTH",IF(OR(R69="",S69=""),"E_MISSING_INPUT",IF(OR(NOT(ISNUMBER(R69)),NOT(ISNUMBER(S69))),"E_INVALID_DATE",IF(OR(R69&lt;1900,R69&gt;9999,R69&lt;&gt;INT(R69),S69&lt;1,S69&gt;12,S69&lt;&gt;INT(S69)),"E_INVALID_DATE",""))),IF(N69="YEAR",IF(R69="","E_MISSING_INPUT",IF(NOT(ISNUMBER(R69)),"E_INVALID_DATE",IF(OR(R69&lt;1900,R69&gt;9999,R69&lt;&gt;INT(R69)),"E_INVALID_DATE",""))),IF(N69="RANGE",IF(OR(T69="",U69=""),"E_MISSING_INPUT",IF(OR(NOT(ISNUMBER(T69)),NOT(ISNUMBER(U69))),"E_INVALID_DATE",IF(OR(T69&lt;&gt;INT(T69),U69&lt;&gt;INT(U69)),"E_INVALID_DATE",IF(T69&gt;U69,"E_REVERSED_BOUNDS","")))),"E_MISSING_INPUT")))))))</f>
        <v/>
      </c>
      <c r="X69" s="22">
        <f t="shared" si="76"/>
        <v>0</v>
      </c>
      <c r="Y69" s="22">
        <f t="shared" si="77"/>
        <v>0</v>
      </c>
      <c r="Z69" s="28">
        <f t="shared" si="78"/>
        <v>45719</v>
      </c>
      <c r="AA69" s="28">
        <f t="shared" si="79"/>
        <v>45719</v>
      </c>
      <c r="AB69" s="22" t="str">
        <f t="shared" si="80"/>
        <v/>
      </c>
      <c r="AC69" s="22" t="str">
        <f t="shared" si="81"/>
        <v/>
      </c>
      <c r="AD69" s="14"/>
      <c r="AE69" s="25"/>
      <c r="AF69" s="9"/>
      <c r="AG69" s="9"/>
      <c r="AH69" s="21" t="str">
        <f>IF(COUNTA(AD69:AF69)=0,"",IF(OR(AD69="",AE69="",AF69=""),"E_MISSING_INPUT",IF(OR(NOT(ISNUMBER(AD69)),NOT(ISNUMBER(AE69))),"E_INVALID_DATE",IF(OR(AD69&lt;&gt;INT(AD69),AE69&lt;0,AE69&gt;=1),"E_INVALID_DATE",IF(ISNA(MATCH(AF69,nLIST_Offset,0)),"E_INVALID_DATE","")))))</f>
        <v/>
      </c>
      <c r="AI69" s="22" t="str">
        <f t="shared" si="82"/>
        <v/>
      </c>
      <c r="AJ69" s="22">
        <f t="shared" si="83"/>
        <v>0</v>
      </c>
      <c r="AK69" s="22" t="str">
        <f t="shared" si="84"/>
        <v/>
      </c>
      <c r="AL69" s="21" t="str">
        <f t="shared" si="85"/>
        <v>EX-C28|2|ADM-RTX-6</v>
      </c>
      <c r="AM69" s="22">
        <f>IF(AL69="",0,COUNTIF(nADM_Key,AL69))</f>
        <v>1</v>
      </c>
      <c r="AN69" s="21" t="str">
        <f t="shared" si="86"/>
        <v>EX-C28|2|EX-RTX</v>
      </c>
      <c r="AO69" s="22">
        <f t="shared" si="87"/>
        <v>1</v>
      </c>
      <c r="AP69" s="22">
        <f t="shared" si="88"/>
        <v>1</v>
      </c>
      <c r="AQ69" s="22">
        <f t="shared" si="89"/>
        <v>0</v>
      </c>
      <c r="AR69" s="22">
        <f t="shared" si="90"/>
        <v>0</v>
      </c>
      <c r="AS69" s="22">
        <f t="shared" si="91"/>
        <v>45719</v>
      </c>
      <c r="AT69" s="22">
        <f>ROW()</f>
        <v>69</v>
      </c>
      <c r="AU69" s="21">
        <f t="shared" si="92"/>
        <v>0</v>
      </c>
      <c r="AV69" s="21">
        <f t="shared" si="93"/>
        <v>0</v>
      </c>
      <c r="AW69" s="21">
        <f t="shared" si="94"/>
        <v>0</v>
      </c>
      <c r="AX69" s="22">
        <f t="shared" si="95"/>
        <v>0</v>
      </c>
      <c r="AY69" s="21">
        <f t="shared" si="96"/>
        <v>0</v>
      </c>
      <c r="AZ69" s="21">
        <f t="shared" si="97"/>
        <v>-1</v>
      </c>
      <c r="BA69" s="22">
        <f t="shared" si="98"/>
        <v>0</v>
      </c>
      <c r="BB69" s="22">
        <f t="shared" si="99"/>
        <v>1</v>
      </c>
      <c r="BC69" s="22">
        <f t="shared" si="100"/>
        <v>0</v>
      </c>
      <c r="BD69" s="21">
        <f t="shared" si="101"/>
        <v>0</v>
      </c>
      <c r="BE69" s="21" t="str">
        <f t="shared" si="102"/>
        <v>; E_MISSING_INPUT; E_MISSING_INPUT</v>
      </c>
      <c r="BF69" s="21" t="str">
        <f t="shared" si="103"/>
        <v/>
      </c>
      <c r="BG69" s="22">
        <f t="shared" si="104"/>
        <v>0</v>
      </c>
      <c r="BH69" s="22">
        <f t="shared" si="105"/>
        <v>0</v>
      </c>
      <c r="BI69" s="22">
        <f t="shared" si="106"/>
        <v>0</v>
      </c>
      <c r="BJ69" s="22">
        <f t="shared" si="107"/>
        <v>0</v>
      </c>
      <c r="BK69" s="22">
        <f t="shared" si="108"/>
        <v>0</v>
      </c>
      <c r="BL69" s="22">
        <f t="shared" si="109"/>
        <v>0</v>
      </c>
      <c r="BM69" s="22">
        <f t="shared" si="110"/>
        <v>0</v>
      </c>
      <c r="BN69" s="22">
        <f t="shared" si="111"/>
        <v>0</v>
      </c>
      <c r="BO69" s="22">
        <f>IF(BG69=0,0,COUNTIFS(nADM_SelKey,AN69,nADM_SegValid,1,nADM_SegS_Loc_n,"&lt;"&amp;BL69,nADM_SegE_Loc_n,"&gt;"&amp;BK69)-IF(BL69&gt;BK69,1,0))</f>
        <v>0</v>
      </c>
      <c r="BP69" s="22">
        <f>IF(BH69=0,0,COUNTIFS(nADM_SelKey,AN69,nADM_SegOK,1,nADM_SegS_UTC_n,"&lt;"&amp;BJ69,nADM_SegE_UTC_n,"&gt;"&amp;BI69)-IF(BJ69&gt;BI69,1,0))</f>
        <v>0</v>
      </c>
      <c r="BQ69" s="21" t="str">
        <f t="shared" si="112"/>
        <v/>
      </c>
      <c r="BR69" s="22">
        <f>IF(C69="",1,IF(COUNTIF(nEXP_Key,AN69)&gt;0,1,0))</f>
        <v>1</v>
      </c>
      <c r="BS69" s="21" t="str">
        <f t="shared" si="113"/>
        <v/>
      </c>
      <c r="BT69" s="21" t="str">
        <f>IF(BS69="","",BS69&amp;": "&amp;SUBSTITUTE(IFERROR(INDEX(nMSG_Text,MATCH(BS69,nMSG_Code,0)),""),"[input]",IF(C69="","an Admin_ID",IF(BR69=0,"an Exposures row for episode "&amp;D69,IF(BQ69&lt;&gt;"","segment start and end timestamps and a rate in mg/hour","the date fields required by the selected precision")))))</f>
        <v/>
      </c>
    </row>
    <row r="70" spans="1:72" x14ac:dyDescent="0.2">
      <c r="A70" s="24" t="s">
        <v>295</v>
      </c>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row>
    <row r="71" spans="1:72" x14ac:dyDescent="0.2">
      <c r="A71" s="9" t="s">
        <v>321</v>
      </c>
      <c r="B71" s="11">
        <v>1</v>
      </c>
      <c r="C71" s="9" t="s">
        <v>660</v>
      </c>
      <c r="D71" s="9" t="s">
        <v>522</v>
      </c>
      <c r="E71" s="16" t="s">
        <v>100</v>
      </c>
      <c r="F71" s="16"/>
      <c r="G71" s="16"/>
      <c r="H71" s="16"/>
      <c r="I71" s="16"/>
      <c r="J71" s="16"/>
      <c r="K71" s="16"/>
      <c r="L71" s="9"/>
      <c r="M71" s="9" t="s">
        <v>661</v>
      </c>
      <c r="N71" s="16" t="s">
        <v>3</v>
      </c>
      <c r="O71" s="14">
        <v>46082</v>
      </c>
      <c r="P71" s="25">
        <v>0.33333333333333298</v>
      </c>
      <c r="Q71" s="9" t="s">
        <v>20</v>
      </c>
      <c r="R71" s="11"/>
      <c r="S71" s="11"/>
      <c r="T71" s="14"/>
      <c r="U71" s="14"/>
      <c r="V71" s="9" t="s">
        <v>536</v>
      </c>
      <c r="W71" s="21" t="str">
        <f>IF(COUNTA(N71:U71)=0,"",IF(N71="","E_MISSING_INPUT",IF(N71="TIMESTAMP",IF(OR(O71="",P71="",Q71=""),"E_MISSING_INPUT",IF(OR(NOT(ISNUMBER(O71)),NOT(ISNUMBER(P71))),"E_INVALID_DATE",IF(OR(O71&lt;&gt;INT(O71),P71&lt;0,P71&gt;=1),"E_INVALID_DATE",IF(ISNA(MATCH(Q71,nLIST_Offset,0)),"E_INVALID_DATE","")))),IF(N71="DATE",IF(O71="","E_MISSING_INPUT",IF(NOT(ISNUMBER(O71)),"E_INVALID_DATE",IF(O71&lt;&gt;INT(O71),"E_INVALID_DATE",""))),IF(N71="MONTH",IF(OR(R71="",S71=""),"E_MISSING_INPUT",IF(OR(NOT(ISNUMBER(R71)),NOT(ISNUMBER(S71))),"E_INVALID_DATE",IF(OR(R71&lt;1900,R71&gt;9999,R71&lt;&gt;INT(R71),S71&lt;1,S71&gt;12,S71&lt;&gt;INT(S71)),"E_INVALID_DATE",""))),IF(N71="YEAR",IF(R71="","E_MISSING_INPUT",IF(NOT(ISNUMBER(R71)),"E_INVALID_DATE",IF(OR(R71&lt;1900,R71&gt;9999,R71&lt;&gt;INT(R71)),"E_INVALID_DATE",""))),IF(N71="RANGE",IF(OR(T71="",U71=""),"E_MISSING_INPUT",IF(OR(NOT(ISNUMBER(T71)),NOT(ISNUMBER(U71))),"E_INVALID_DATE",IF(OR(T71&lt;&gt;INT(T71),U71&lt;&gt;INT(U71)),"E_INVALID_DATE",IF(T71&gt;U71,"E_REVERSED_BOUNDS","")))),"E_MISSING_INPUT")))))))</f>
        <v/>
      </c>
      <c r="X71" s="22">
        <f t="shared" ref="X71:X83" si="114">IF(AND(W71="",N71="TIMESTAMP"),1,0)</f>
        <v>1</v>
      </c>
      <c r="Y71" s="22">
        <f t="shared" ref="Y71:Y83" si="115">IF(AND(X71=1,Q71&lt;&gt;"unknown"),1,0)</f>
        <v>1</v>
      </c>
      <c r="Z71" s="28">
        <f t="shared" ref="Z71:Z83" si="116">IF(OR(W71&lt;&gt;"",N71=""),"",IF(OR(N71="TIMESTAMP",N71="DATE"),O71,IF(N71="MONTH",DATE(R71,S71,1),IF(N71="YEAR",DATE(R71,1,1),T71))))</f>
        <v>46082</v>
      </c>
      <c r="AA71" s="28">
        <f t="shared" ref="AA71:AA83" si="117">IF(OR(W71&lt;&gt;"",N71=""),"",IF(OR(N71="TIMESTAMP",N71="DATE"),O71,IF(N71="MONTH",EOMONTH(DATE(R71,S71,1),0),IF(N71="YEAR",DATE(R71,12,31),U71))))</f>
        <v>46082</v>
      </c>
      <c r="AB71" s="22">
        <f t="shared" ref="AB71:AB83" si="118">IF(X71=1,O71*1440+ROUND(P71*1440,0),"")</f>
        <v>66358560</v>
      </c>
      <c r="AC71" s="22">
        <f t="shared" ref="AC71:AC83" si="119">IF(Y71=1,AB71-(IF(LEFT(Q71,1)="-",-1,1)*(VALUE(MID(Q71,2,2))*60+VALUE(MID(Q71,5,2)))),"")</f>
        <v>66358860</v>
      </c>
      <c r="AD71" s="14"/>
      <c r="AE71" s="25"/>
      <c r="AF71" s="9"/>
      <c r="AG71" s="9"/>
      <c r="AH71" s="21" t="str">
        <f>IF(COUNTA(AD71:AF71)=0,"",IF(OR(AD71="",AE71="",AF71=""),"E_MISSING_INPUT",IF(OR(NOT(ISNUMBER(AD71)),NOT(ISNUMBER(AE71))),"E_INVALID_DATE",IF(OR(AD71&lt;&gt;INT(AD71),AE71&lt;0,AE71&gt;=1),"E_INVALID_DATE",IF(ISNA(MATCH(AF71,nLIST_Offset,0)),"E_INVALID_DATE","")))))</f>
        <v/>
      </c>
      <c r="AI71" s="22" t="str">
        <f t="shared" ref="AI71:AI83" si="120">IF(AND(AH71="",ISNUMBER(AD71),ISNUMBER(AE71)),AD71*1440+ROUND(AE71*1440,0),"")</f>
        <v/>
      </c>
      <c r="AJ71" s="22">
        <f t="shared" ref="AJ71:AJ83" si="121">IF(AND(AI71&lt;&gt;"",AF71&lt;&gt;"unknown"),1,0)</f>
        <v>0</v>
      </c>
      <c r="AK71" s="22" t="str">
        <f t="shared" ref="AK71:AK83" si="122">IF(AJ71=1,AI71-(IF(LEFT(AF71,1)="-",-1,1)*(VALUE(MID(AF71,2,2))*60+VALUE(MID(AF71,5,2)))),"")</f>
        <v/>
      </c>
      <c r="AL71" s="21" t="str">
        <f t="shared" ref="AL71:AL83" si="123">IF(C71="","",A71&amp;"|"&amp;B71&amp;"|"&amp;C71)</f>
        <v>VEC-V07|1|A1</v>
      </c>
      <c r="AM71" s="22">
        <f>IF(AL71="",0,COUNTIF(nADM_Key,AL71))</f>
        <v>1</v>
      </c>
      <c r="AN71" s="21" t="str">
        <f t="shared" ref="AN71:AN83" si="124">IF(C71="","",A71&amp;"|"&amp;B71&amp;"|"&amp;D71)</f>
        <v>VEC-V07|1|EX1</v>
      </c>
      <c r="AO71" s="22">
        <f t="shared" ref="AO71:AO83" si="125">IF(AND(C71&lt;&gt;"",W71="",Z71&lt;&gt;"",OR(N71="TIMESTAMP",N71="DATE")),1,0)</f>
        <v>1</v>
      </c>
      <c r="AP71" s="22">
        <f t="shared" ref="AP71:AP83" si="126">IF(AND(C71&lt;&gt;"",COUNTA(N71:U71)&gt;0),1,0)</f>
        <v>1</v>
      </c>
      <c r="AQ71" s="22">
        <f t="shared" ref="AQ71:AQ83" si="127">IF(X71=1,AB71,0)</f>
        <v>66358560</v>
      </c>
      <c r="AR71" s="22">
        <f t="shared" ref="AR71:AR83" si="128">IF(Y71=1,AC71,0)</f>
        <v>66358860</v>
      </c>
      <c r="AS71" s="22">
        <f t="shared" ref="AS71:AS83" si="129">IF(AO71=1,Z71,0)</f>
        <v>46082</v>
      </c>
      <c r="AT71" s="22">
        <f>ROW()</f>
        <v>71</v>
      </c>
      <c r="AU71" s="21">
        <f t="shared" ref="AU71:AU83" si="130">IF(ISNUMBER(H71),H71,0)</f>
        <v>0</v>
      </c>
      <c r="AV71" s="21">
        <f t="shared" ref="AV71:AV83" si="131">IF(ISNUMBER(F71),F71,0)</f>
        <v>0</v>
      </c>
      <c r="AW71" s="21">
        <f t="shared" ref="AW71:AW83" si="132">IF(AND(ISNUMBER(F71),F71&gt;0),F71,0)</f>
        <v>0</v>
      </c>
      <c r="AX71" s="22">
        <f t="shared" ref="AX71:AX83" si="133">IF(AND(C71&lt;&gt;"",ISNUMBER(F71)),1,0)</f>
        <v>0</v>
      </c>
      <c r="AY71" s="21">
        <f t="shared" ref="AY71:AY83" si="134">IF(ISNUMBER(J71),J71,0)</f>
        <v>0</v>
      </c>
      <c r="AZ71" s="21">
        <f t="shared" ref="AZ71:AZ83" si="135">IF(ISNUMBER(J71),J71,IF(J71="",-1,-2))</f>
        <v>-1</v>
      </c>
      <c r="BA71" s="22">
        <f t="shared" ref="BA71:BA83" si="136">IF(AND(C71&lt;&gt;"",ISNUMBER(J71)),1,0)</f>
        <v>0</v>
      </c>
      <c r="BB71" s="22">
        <f t="shared" ref="BB71:BB83" si="137">IF(AND(C71&lt;&gt;"",J71=""),1,0)</f>
        <v>1</v>
      </c>
      <c r="BC71" s="22">
        <f t="shared" ref="BC71:BC83" si="138">IF(AND(C71&lt;&gt;"",ISNUMBER(F71),ISNUMBER(J71)),IF(J71&gt;0,1,0),0)</f>
        <v>0</v>
      </c>
      <c r="BD71" s="21">
        <f t="shared" ref="BD71:BD83" si="139">IF(BC71=1,AV71/J71,0)</f>
        <v>0</v>
      </c>
      <c r="BE71" s="21" t="str">
        <f t="shared" ref="BE71:BE83" si="140">IF(OR(C71="",E71="INFUSION_SEGMENT"),"",IF(G71="","; E_MISSING_INPUT",IF(G71&lt;&gt;"mg","; E_INVALID_UNIT",""))&amp;IF(NOT(ISNUMBER(F71)),"; E_MISSING_INPUT",IF(F71&lt;=0,"; E_NONPOSITIVE_PARAMETER",""))&amp;IF(AND(J71&lt;&gt;"",NOT(ISNUMBER(J71))),"; E_MISSING_INPUT",IF(AND(ISNUMBER(J71),J71&lt;=0),"; E_NONPOSITIVE_PARAMETER","")))</f>
        <v>; E_MISSING_INPUT; E_MISSING_INPUT</v>
      </c>
      <c r="BF71" s="21" t="str">
        <f t="shared" ref="BF71:BF83" si="141">IF(OR(C71="",E71="INFUSION_SEGMENT",AP71=0,AO71=1),"",IF(W71&lt;&gt;"",W71,"E_MISSING_INPUT"))</f>
        <v/>
      </c>
      <c r="BG71" s="22">
        <f t="shared" ref="BG71:BG83" si="142">IF(AND(E71="INFUSION_SEGMENT",W71="",X71=1,AH71="",AI71&lt;&gt;""),1,0)</f>
        <v>0</v>
      </c>
      <c r="BH71" s="22">
        <f t="shared" ref="BH71:BH83" si="143">IF(AND(BG71=1,Y71=1,AJ71=1),1,0)</f>
        <v>0</v>
      </c>
      <c r="BI71" s="22">
        <f t="shared" ref="BI71:BI83" si="144">IF(BH71=1,AC71,0)</f>
        <v>0</v>
      </c>
      <c r="BJ71" s="22">
        <f t="shared" ref="BJ71:BJ83" si="145">IF(BH71=1,AK71,0)</f>
        <v>0</v>
      </c>
      <c r="BK71" s="22">
        <f t="shared" ref="BK71:BK83" si="146">IF(BG71=1,AB71,0)</f>
        <v>0</v>
      </c>
      <c r="BL71" s="22">
        <f t="shared" ref="BL71:BL83" si="147">IF(BG71=1,AI71,0)</f>
        <v>0</v>
      </c>
      <c r="BM71" s="22">
        <f t="shared" ref="BM71:BM83" si="148">IF(AND(BG71=1,BL71&lt;BK71),1,0)</f>
        <v>0</v>
      </c>
      <c r="BN71" s="22">
        <f t="shared" ref="BN71:BN83" si="149">IF(AND(BH71=1,BJ71&lt;BI71),1,0)</f>
        <v>0</v>
      </c>
      <c r="BO71" s="22">
        <f>IF(BG71=0,0,COUNTIFS(nADM_SelKey,AN71,nADM_SegValid,1,nADM_SegS_Loc_n,"&lt;"&amp;BL71,nADM_SegE_Loc_n,"&gt;"&amp;BK71)-IF(BL71&gt;BK71,1,0))</f>
        <v>0</v>
      </c>
      <c r="BP71" s="22">
        <f>IF(BH71=0,0,COUNTIFS(nADM_SelKey,AN71,nADM_SegOK,1,nADM_SegS_UTC_n,"&lt;"&amp;BJ71,nADM_SegE_UTC_n,"&gt;"&amp;BI71)-IF(BJ71&gt;BI71,1,0))</f>
        <v>0</v>
      </c>
      <c r="BQ71" s="21" t="str">
        <f t="shared" ref="BQ71:BQ83" si="150">IF(E71&lt;&gt;"INFUSION_SEGMENT","",IF(W71&lt;&gt;"","; "&amp;W71,IF(X71=0,"; E_MISSING_INPUT",""))&amp;IF(AH71&lt;&gt;"","; "&amp;AH71,IF(AI71="","; E_MISSING_INPUT",""))&amp;IF(I71="","; E_MISSING_INPUT",IF(I71&lt;&gt;"mg/hour","; E_INVALID_UNIT",""))&amp;IF(NOT(ISNUMBER(H71)),"; E_MISSING_INPUT",IF(H71&lt;=0,"; E_NONPOSITIVE_PARAMETER","")))</f>
        <v/>
      </c>
      <c r="BR71" s="22">
        <f>IF(C71="",1,IF(COUNTIF(nEXP_Key,AN71)&gt;0,1,0))</f>
        <v>1</v>
      </c>
      <c r="BS71" s="21" t="str">
        <f t="shared" ref="BS71:BS83" si="151">IF(C71="",IF(COUNTA(D71,F71,H71,N71,O71)&gt;0,"E_MISSING_INPUT",""),IF(AM71&gt;1,"E_DUPLICATE_ID",IF(BR71=0,"E_MISSING_INPUT",IF(W71&lt;&gt;"",W71,IF(BQ71&lt;&gt;"",IFERROR(LEFT(MID(BQ71,3,999),FIND(";",MID(BQ71,3,999))-1),MID(BQ71,3,999)),IF(AND(ISNUMBER(F71),F71&lt;=0),"E_NONPOSITIVE_PARAMETER",IF(AND(ISNUMBER(J71),J71&lt;=0),"E_NONPOSITIVE_PARAMETER","")))))))</f>
        <v/>
      </c>
      <c r="BT71" s="21" t="str">
        <f>IF(BS71="","",BS71&amp;": "&amp;SUBSTITUTE(IFERROR(INDEX(nMSG_Text,MATCH(BS71,nMSG_Code,0)),""),"[input]",IF(C71="","an Admin_ID",IF(BR71=0,"an Exposures row for episode "&amp;D71,IF(BQ71&lt;&gt;"","segment start and end timestamps and a rate in mg/hour","the date fields required by the selected precision")))))</f>
        <v/>
      </c>
    </row>
    <row r="72" spans="1:72" x14ac:dyDescent="0.2">
      <c r="A72" s="9" t="s">
        <v>321</v>
      </c>
      <c r="B72" s="11">
        <v>1</v>
      </c>
      <c r="C72" s="9" t="s">
        <v>662</v>
      </c>
      <c r="D72" s="9" t="s">
        <v>522</v>
      </c>
      <c r="E72" s="16" t="s">
        <v>100</v>
      </c>
      <c r="F72" s="16"/>
      <c r="G72" s="16"/>
      <c r="H72" s="16"/>
      <c r="I72" s="16"/>
      <c r="J72" s="16"/>
      <c r="K72" s="16"/>
      <c r="L72" s="9"/>
      <c r="M72" s="9" t="s">
        <v>572</v>
      </c>
      <c r="N72" s="16" t="s">
        <v>3</v>
      </c>
      <c r="O72" s="14">
        <v>46083</v>
      </c>
      <c r="P72" s="25">
        <v>0.33333333333333298</v>
      </c>
      <c r="Q72" s="9" t="s">
        <v>20</v>
      </c>
      <c r="R72" s="11"/>
      <c r="S72" s="11"/>
      <c r="T72" s="14"/>
      <c r="U72" s="14"/>
      <c r="V72" s="9" t="s">
        <v>536</v>
      </c>
      <c r="W72" s="21" t="str">
        <f>IF(COUNTA(N72:U72)=0,"",IF(N72="","E_MISSING_INPUT",IF(N72="TIMESTAMP",IF(OR(O72="",P72="",Q72=""),"E_MISSING_INPUT",IF(OR(NOT(ISNUMBER(O72)),NOT(ISNUMBER(P72))),"E_INVALID_DATE",IF(OR(O72&lt;&gt;INT(O72),P72&lt;0,P72&gt;=1),"E_INVALID_DATE",IF(ISNA(MATCH(Q72,nLIST_Offset,0)),"E_INVALID_DATE","")))),IF(N72="DATE",IF(O72="","E_MISSING_INPUT",IF(NOT(ISNUMBER(O72)),"E_INVALID_DATE",IF(O72&lt;&gt;INT(O72),"E_INVALID_DATE",""))),IF(N72="MONTH",IF(OR(R72="",S72=""),"E_MISSING_INPUT",IF(OR(NOT(ISNUMBER(R72)),NOT(ISNUMBER(S72))),"E_INVALID_DATE",IF(OR(R72&lt;1900,R72&gt;9999,R72&lt;&gt;INT(R72),S72&lt;1,S72&gt;12,S72&lt;&gt;INT(S72)),"E_INVALID_DATE",""))),IF(N72="YEAR",IF(R72="","E_MISSING_INPUT",IF(NOT(ISNUMBER(R72)),"E_INVALID_DATE",IF(OR(R72&lt;1900,R72&gt;9999,R72&lt;&gt;INT(R72)),"E_INVALID_DATE",""))),IF(N72="RANGE",IF(OR(T72="",U72=""),"E_MISSING_INPUT",IF(OR(NOT(ISNUMBER(T72)),NOT(ISNUMBER(U72))),"E_INVALID_DATE",IF(OR(T72&lt;&gt;INT(T72),U72&lt;&gt;INT(U72)),"E_INVALID_DATE",IF(T72&gt;U72,"E_REVERSED_BOUNDS","")))),"E_MISSING_INPUT")))))))</f>
        <v/>
      </c>
      <c r="X72" s="22">
        <f t="shared" si="114"/>
        <v>1</v>
      </c>
      <c r="Y72" s="22">
        <f t="shared" si="115"/>
        <v>1</v>
      </c>
      <c r="Z72" s="28">
        <f t="shared" si="116"/>
        <v>46083</v>
      </c>
      <c r="AA72" s="28">
        <f t="shared" si="117"/>
        <v>46083</v>
      </c>
      <c r="AB72" s="22">
        <f t="shared" si="118"/>
        <v>66360000</v>
      </c>
      <c r="AC72" s="22">
        <f t="shared" si="119"/>
        <v>66360300</v>
      </c>
      <c r="AD72" s="14"/>
      <c r="AE72" s="25"/>
      <c r="AF72" s="9"/>
      <c r="AG72" s="9"/>
      <c r="AH72" s="21" t="str">
        <f>IF(COUNTA(AD72:AF72)=0,"",IF(OR(AD72="",AE72="",AF72=""),"E_MISSING_INPUT",IF(OR(NOT(ISNUMBER(AD72)),NOT(ISNUMBER(AE72))),"E_INVALID_DATE",IF(OR(AD72&lt;&gt;INT(AD72),AE72&lt;0,AE72&gt;=1),"E_INVALID_DATE",IF(ISNA(MATCH(AF72,nLIST_Offset,0)),"E_INVALID_DATE","")))))</f>
        <v/>
      </c>
      <c r="AI72" s="22" t="str">
        <f t="shared" si="120"/>
        <v/>
      </c>
      <c r="AJ72" s="22">
        <f t="shared" si="121"/>
        <v>0</v>
      </c>
      <c r="AK72" s="22" t="str">
        <f t="shared" si="122"/>
        <v/>
      </c>
      <c r="AL72" s="21" t="str">
        <f t="shared" si="123"/>
        <v>VEC-V07|1|A2</v>
      </c>
      <c r="AM72" s="22">
        <f>IF(AL72="",0,COUNTIF(nADM_Key,AL72))</f>
        <v>1</v>
      </c>
      <c r="AN72" s="21" t="str">
        <f t="shared" si="124"/>
        <v>VEC-V07|1|EX1</v>
      </c>
      <c r="AO72" s="22">
        <f t="shared" si="125"/>
        <v>1</v>
      </c>
      <c r="AP72" s="22">
        <f t="shared" si="126"/>
        <v>1</v>
      </c>
      <c r="AQ72" s="22">
        <f t="shared" si="127"/>
        <v>66360000</v>
      </c>
      <c r="AR72" s="22">
        <f t="shared" si="128"/>
        <v>66360300</v>
      </c>
      <c r="AS72" s="22">
        <f t="shared" si="129"/>
        <v>46083</v>
      </c>
      <c r="AT72" s="22">
        <f>ROW()</f>
        <v>72</v>
      </c>
      <c r="AU72" s="21">
        <f t="shared" si="130"/>
        <v>0</v>
      </c>
      <c r="AV72" s="21">
        <f t="shared" si="131"/>
        <v>0</v>
      </c>
      <c r="AW72" s="21">
        <f t="shared" si="132"/>
        <v>0</v>
      </c>
      <c r="AX72" s="22">
        <f t="shared" si="133"/>
        <v>0</v>
      </c>
      <c r="AY72" s="21">
        <f t="shared" si="134"/>
        <v>0</v>
      </c>
      <c r="AZ72" s="21">
        <f t="shared" si="135"/>
        <v>-1</v>
      </c>
      <c r="BA72" s="22">
        <f t="shared" si="136"/>
        <v>0</v>
      </c>
      <c r="BB72" s="22">
        <f t="shared" si="137"/>
        <v>1</v>
      </c>
      <c r="BC72" s="22">
        <f t="shared" si="138"/>
        <v>0</v>
      </c>
      <c r="BD72" s="21">
        <f t="shared" si="139"/>
        <v>0</v>
      </c>
      <c r="BE72" s="21" t="str">
        <f t="shared" si="140"/>
        <v>; E_MISSING_INPUT; E_MISSING_INPUT</v>
      </c>
      <c r="BF72" s="21" t="str">
        <f t="shared" si="141"/>
        <v/>
      </c>
      <c r="BG72" s="22">
        <f t="shared" si="142"/>
        <v>0</v>
      </c>
      <c r="BH72" s="22">
        <f t="shared" si="143"/>
        <v>0</v>
      </c>
      <c r="BI72" s="22">
        <f t="shared" si="144"/>
        <v>0</v>
      </c>
      <c r="BJ72" s="22">
        <f t="shared" si="145"/>
        <v>0</v>
      </c>
      <c r="BK72" s="22">
        <f t="shared" si="146"/>
        <v>0</v>
      </c>
      <c r="BL72" s="22">
        <f t="shared" si="147"/>
        <v>0</v>
      </c>
      <c r="BM72" s="22">
        <f t="shared" si="148"/>
        <v>0</v>
      </c>
      <c r="BN72" s="22">
        <f t="shared" si="149"/>
        <v>0</v>
      </c>
      <c r="BO72" s="22">
        <f>IF(BG72=0,0,COUNTIFS(nADM_SelKey,AN72,nADM_SegValid,1,nADM_SegS_Loc_n,"&lt;"&amp;BL72,nADM_SegE_Loc_n,"&gt;"&amp;BK72)-IF(BL72&gt;BK72,1,0))</f>
        <v>0</v>
      </c>
      <c r="BP72" s="22">
        <f>IF(BH72=0,0,COUNTIFS(nADM_SelKey,AN72,nADM_SegOK,1,nADM_SegS_UTC_n,"&lt;"&amp;BJ72,nADM_SegE_UTC_n,"&gt;"&amp;BI72)-IF(BJ72&gt;BI72,1,0))</f>
        <v>0</v>
      </c>
      <c r="BQ72" s="21" t="str">
        <f t="shared" si="150"/>
        <v/>
      </c>
      <c r="BR72" s="22">
        <f>IF(C72="",1,IF(COUNTIF(nEXP_Key,AN72)&gt;0,1,0))</f>
        <v>1</v>
      </c>
      <c r="BS72" s="21" t="str">
        <f t="shared" si="151"/>
        <v/>
      </c>
      <c r="BT72" s="21" t="str">
        <f>IF(BS72="","",BS72&amp;": "&amp;SUBSTITUTE(IFERROR(INDEX(nMSG_Text,MATCH(BS72,nMSG_Code,0)),""),"[input]",IF(C72="","an Admin_ID",IF(BR72=0,"an Exposures row for episode "&amp;D72,IF(BQ72&lt;&gt;"","segment start and end timestamps and a rate in mg/hour","the date fields required by the selected precision")))))</f>
        <v/>
      </c>
    </row>
    <row r="73" spans="1:72" x14ac:dyDescent="0.2">
      <c r="A73" s="9" t="s">
        <v>321</v>
      </c>
      <c r="B73" s="11">
        <v>1</v>
      </c>
      <c r="C73" s="9" t="s">
        <v>663</v>
      </c>
      <c r="D73" s="9" t="s">
        <v>522</v>
      </c>
      <c r="E73" s="16" t="s">
        <v>100</v>
      </c>
      <c r="F73" s="16"/>
      <c r="G73" s="16"/>
      <c r="H73" s="16"/>
      <c r="I73" s="16"/>
      <c r="J73" s="16"/>
      <c r="K73" s="16"/>
      <c r="L73" s="9"/>
      <c r="M73" s="9" t="s">
        <v>664</v>
      </c>
      <c r="N73" s="16" t="s">
        <v>3</v>
      </c>
      <c r="O73" s="14">
        <v>46084</v>
      </c>
      <c r="P73" s="25">
        <v>0.33333333333333298</v>
      </c>
      <c r="Q73" s="9" t="s">
        <v>20</v>
      </c>
      <c r="R73" s="11"/>
      <c r="S73" s="11"/>
      <c r="T73" s="14"/>
      <c r="U73" s="14"/>
      <c r="V73" s="9" t="s">
        <v>536</v>
      </c>
      <c r="W73" s="21" t="str">
        <f>IF(COUNTA(N73:U73)=0,"",IF(N73="","E_MISSING_INPUT",IF(N73="TIMESTAMP",IF(OR(O73="",P73="",Q73=""),"E_MISSING_INPUT",IF(OR(NOT(ISNUMBER(O73)),NOT(ISNUMBER(P73))),"E_INVALID_DATE",IF(OR(O73&lt;&gt;INT(O73),P73&lt;0,P73&gt;=1),"E_INVALID_DATE",IF(ISNA(MATCH(Q73,nLIST_Offset,0)),"E_INVALID_DATE","")))),IF(N73="DATE",IF(O73="","E_MISSING_INPUT",IF(NOT(ISNUMBER(O73)),"E_INVALID_DATE",IF(O73&lt;&gt;INT(O73),"E_INVALID_DATE",""))),IF(N73="MONTH",IF(OR(R73="",S73=""),"E_MISSING_INPUT",IF(OR(NOT(ISNUMBER(R73)),NOT(ISNUMBER(S73))),"E_INVALID_DATE",IF(OR(R73&lt;1900,R73&gt;9999,R73&lt;&gt;INT(R73),S73&lt;1,S73&gt;12,S73&lt;&gt;INT(S73)),"E_INVALID_DATE",""))),IF(N73="YEAR",IF(R73="","E_MISSING_INPUT",IF(NOT(ISNUMBER(R73)),"E_INVALID_DATE",IF(OR(R73&lt;1900,R73&gt;9999,R73&lt;&gt;INT(R73)),"E_INVALID_DATE",""))),IF(N73="RANGE",IF(OR(T73="",U73=""),"E_MISSING_INPUT",IF(OR(NOT(ISNUMBER(T73)),NOT(ISNUMBER(U73))),"E_INVALID_DATE",IF(OR(T73&lt;&gt;INT(T73),U73&lt;&gt;INT(U73)),"E_INVALID_DATE",IF(T73&gt;U73,"E_REVERSED_BOUNDS","")))),"E_MISSING_INPUT")))))))</f>
        <v/>
      </c>
      <c r="X73" s="22">
        <f t="shared" si="114"/>
        <v>1</v>
      </c>
      <c r="Y73" s="22">
        <f t="shared" si="115"/>
        <v>1</v>
      </c>
      <c r="Z73" s="28">
        <f t="shared" si="116"/>
        <v>46084</v>
      </c>
      <c r="AA73" s="28">
        <f t="shared" si="117"/>
        <v>46084</v>
      </c>
      <c r="AB73" s="22">
        <f t="shared" si="118"/>
        <v>66361440</v>
      </c>
      <c r="AC73" s="22">
        <f t="shared" si="119"/>
        <v>66361740</v>
      </c>
      <c r="AD73" s="14"/>
      <c r="AE73" s="25"/>
      <c r="AF73" s="9"/>
      <c r="AG73" s="9"/>
      <c r="AH73" s="21" t="str">
        <f>IF(COUNTA(AD73:AF73)=0,"",IF(OR(AD73="",AE73="",AF73=""),"E_MISSING_INPUT",IF(OR(NOT(ISNUMBER(AD73)),NOT(ISNUMBER(AE73))),"E_INVALID_DATE",IF(OR(AD73&lt;&gt;INT(AD73),AE73&lt;0,AE73&gt;=1),"E_INVALID_DATE",IF(ISNA(MATCH(AF73,nLIST_Offset,0)),"E_INVALID_DATE","")))))</f>
        <v/>
      </c>
      <c r="AI73" s="22" t="str">
        <f t="shared" si="120"/>
        <v/>
      </c>
      <c r="AJ73" s="22">
        <f t="shared" si="121"/>
        <v>0</v>
      </c>
      <c r="AK73" s="22" t="str">
        <f t="shared" si="122"/>
        <v/>
      </c>
      <c r="AL73" s="21" t="str">
        <f t="shared" si="123"/>
        <v>VEC-V07|1|A3</v>
      </c>
      <c r="AM73" s="22">
        <f>IF(AL73="",0,COUNTIF(nADM_Key,AL73))</f>
        <v>1</v>
      </c>
      <c r="AN73" s="21" t="str">
        <f t="shared" si="124"/>
        <v>VEC-V07|1|EX1</v>
      </c>
      <c r="AO73" s="22">
        <f t="shared" si="125"/>
        <v>1</v>
      </c>
      <c r="AP73" s="22">
        <f t="shared" si="126"/>
        <v>1</v>
      </c>
      <c r="AQ73" s="22">
        <f t="shared" si="127"/>
        <v>66361440</v>
      </c>
      <c r="AR73" s="22">
        <f t="shared" si="128"/>
        <v>66361740</v>
      </c>
      <c r="AS73" s="22">
        <f t="shared" si="129"/>
        <v>46084</v>
      </c>
      <c r="AT73" s="22">
        <f>ROW()</f>
        <v>73</v>
      </c>
      <c r="AU73" s="21">
        <f t="shared" si="130"/>
        <v>0</v>
      </c>
      <c r="AV73" s="21">
        <f t="shared" si="131"/>
        <v>0</v>
      </c>
      <c r="AW73" s="21">
        <f t="shared" si="132"/>
        <v>0</v>
      </c>
      <c r="AX73" s="22">
        <f t="shared" si="133"/>
        <v>0</v>
      </c>
      <c r="AY73" s="21">
        <f t="shared" si="134"/>
        <v>0</v>
      </c>
      <c r="AZ73" s="21">
        <f t="shared" si="135"/>
        <v>-1</v>
      </c>
      <c r="BA73" s="22">
        <f t="shared" si="136"/>
        <v>0</v>
      </c>
      <c r="BB73" s="22">
        <f t="shared" si="137"/>
        <v>1</v>
      </c>
      <c r="BC73" s="22">
        <f t="shared" si="138"/>
        <v>0</v>
      </c>
      <c r="BD73" s="21">
        <f t="shared" si="139"/>
        <v>0</v>
      </c>
      <c r="BE73" s="21" t="str">
        <f t="shared" si="140"/>
        <v>; E_MISSING_INPUT; E_MISSING_INPUT</v>
      </c>
      <c r="BF73" s="21" t="str">
        <f t="shared" si="141"/>
        <v/>
      </c>
      <c r="BG73" s="22">
        <f t="shared" si="142"/>
        <v>0</v>
      </c>
      <c r="BH73" s="22">
        <f t="shared" si="143"/>
        <v>0</v>
      </c>
      <c r="BI73" s="22">
        <f t="shared" si="144"/>
        <v>0</v>
      </c>
      <c r="BJ73" s="22">
        <f t="shared" si="145"/>
        <v>0</v>
      </c>
      <c r="BK73" s="22">
        <f t="shared" si="146"/>
        <v>0</v>
      </c>
      <c r="BL73" s="22">
        <f t="shared" si="147"/>
        <v>0</v>
      </c>
      <c r="BM73" s="22">
        <f t="shared" si="148"/>
        <v>0</v>
      </c>
      <c r="BN73" s="22">
        <f t="shared" si="149"/>
        <v>0</v>
      </c>
      <c r="BO73" s="22">
        <f>IF(BG73=0,0,COUNTIFS(nADM_SelKey,AN73,nADM_SegValid,1,nADM_SegS_Loc_n,"&lt;"&amp;BL73,nADM_SegE_Loc_n,"&gt;"&amp;BK73)-IF(BL73&gt;BK73,1,0))</f>
        <v>0</v>
      </c>
      <c r="BP73" s="22">
        <f>IF(BH73=0,0,COUNTIFS(nADM_SelKey,AN73,nADM_SegOK,1,nADM_SegS_UTC_n,"&lt;"&amp;BJ73,nADM_SegE_UTC_n,"&gt;"&amp;BI73)-IF(BJ73&gt;BI73,1,0))</f>
        <v>0</v>
      </c>
      <c r="BQ73" s="21" t="str">
        <f t="shared" si="150"/>
        <v/>
      </c>
      <c r="BR73" s="22">
        <f>IF(C73="",1,IF(COUNTIF(nEXP_Key,AN73)&gt;0,1,0))</f>
        <v>1</v>
      </c>
      <c r="BS73" s="21" t="str">
        <f t="shared" si="151"/>
        <v/>
      </c>
      <c r="BT73" s="21" t="str">
        <f>IF(BS73="","",BS73&amp;": "&amp;SUBSTITUTE(IFERROR(INDEX(nMSG_Text,MATCH(BS73,nMSG_Code,0)),""),"[input]",IF(C73="","an Admin_ID",IF(BR73=0,"an Exposures row for episode "&amp;D73,IF(BQ73&lt;&gt;"","segment start and end timestamps and a rate in mg/hour","the date fields required by the selected precision")))))</f>
        <v/>
      </c>
    </row>
    <row r="74" spans="1:72" x14ac:dyDescent="0.2">
      <c r="A74" s="9" t="s">
        <v>357</v>
      </c>
      <c r="B74" s="11">
        <v>1</v>
      </c>
      <c r="C74" s="9" t="s">
        <v>665</v>
      </c>
      <c r="D74" s="9" t="s">
        <v>522</v>
      </c>
      <c r="E74" s="16" t="s">
        <v>101</v>
      </c>
      <c r="F74" s="16"/>
      <c r="G74" s="16"/>
      <c r="H74" s="16">
        <v>50</v>
      </c>
      <c r="I74" s="16" t="s">
        <v>103</v>
      </c>
      <c r="J74" s="16"/>
      <c r="K74" s="16"/>
      <c r="L74" s="9"/>
      <c r="M74" s="9" t="s">
        <v>666</v>
      </c>
      <c r="N74" s="16" t="s">
        <v>3</v>
      </c>
      <c r="O74" s="14">
        <v>46032</v>
      </c>
      <c r="P74" s="25">
        <v>0.375</v>
      </c>
      <c r="Q74" s="9" t="s">
        <v>20</v>
      </c>
      <c r="R74" s="11"/>
      <c r="S74" s="11"/>
      <c r="T74" s="14"/>
      <c r="U74" s="14"/>
      <c r="V74" s="9" t="s">
        <v>558</v>
      </c>
      <c r="W74" s="21" t="str">
        <f>IF(COUNTA(N74:U74)=0,"",IF(N74="","E_MISSING_INPUT",IF(N74="TIMESTAMP",IF(OR(O74="",P74="",Q74=""),"E_MISSING_INPUT",IF(OR(NOT(ISNUMBER(O74)),NOT(ISNUMBER(P74))),"E_INVALID_DATE",IF(OR(O74&lt;&gt;INT(O74),P74&lt;0,P74&gt;=1),"E_INVALID_DATE",IF(ISNA(MATCH(Q74,nLIST_Offset,0)),"E_INVALID_DATE","")))),IF(N74="DATE",IF(O74="","E_MISSING_INPUT",IF(NOT(ISNUMBER(O74)),"E_INVALID_DATE",IF(O74&lt;&gt;INT(O74),"E_INVALID_DATE",""))),IF(N74="MONTH",IF(OR(R74="",S74=""),"E_MISSING_INPUT",IF(OR(NOT(ISNUMBER(R74)),NOT(ISNUMBER(S74))),"E_INVALID_DATE",IF(OR(R74&lt;1900,R74&gt;9999,R74&lt;&gt;INT(R74),S74&lt;1,S74&gt;12,S74&lt;&gt;INT(S74)),"E_INVALID_DATE",""))),IF(N74="YEAR",IF(R74="","E_MISSING_INPUT",IF(NOT(ISNUMBER(R74)),"E_INVALID_DATE",IF(OR(R74&lt;1900,R74&gt;9999,R74&lt;&gt;INT(R74)),"E_INVALID_DATE",""))),IF(N74="RANGE",IF(OR(T74="",U74=""),"E_MISSING_INPUT",IF(OR(NOT(ISNUMBER(T74)),NOT(ISNUMBER(U74))),"E_INVALID_DATE",IF(OR(T74&lt;&gt;INT(T74),U74&lt;&gt;INT(U74)),"E_INVALID_DATE",IF(T74&gt;U74,"E_REVERSED_BOUNDS","")))),"E_MISSING_INPUT")))))))</f>
        <v/>
      </c>
      <c r="X74" s="22">
        <f t="shared" si="114"/>
        <v>1</v>
      </c>
      <c r="Y74" s="22">
        <f t="shared" si="115"/>
        <v>1</v>
      </c>
      <c r="Z74" s="28">
        <f t="shared" si="116"/>
        <v>46032</v>
      </c>
      <c r="AA74" s="28">
        <f t="shared" si="117"/>
        <v>46032</v>
      </c>
      <c r="AB74" s="22">
        <f t="shared" si="118"/>
        <v>66286620</v>
      </c>
      <c r="AC74" s="22">
        <f t="shared" si="119"/>
        <v>66286920</v>
      </c>
      <c r="AD74" s="14">
        <v>46032</v>
      </c>
      <c r="AE74" s="25">
        <v>0.39583333333333298</v>
      </c>
      <c r="AF74" s="9" t="s">
        <v>20</v>
      </c>
      <c r="AG74" s="9" t="s">
        <v>558</v>
      </c>
      <c r="AH74" s="21" t="str">
        <f>IF(COUNTA(AD74:AF74)=0,"",IF(OR(AD74="",AE74="",AF74=""),"E_MISSING_INPUT",IF(OR(NOT(ISNUMBER(AD74)),NOT(ISNUMBER(AE74))),"E_INVALID_DATE",IF(OR(AD74&lt;&gt;INT(AD74),AE74&lt;0,AE74&gt;=1),"E_INVALID_DATE",IF(ISNA(MATCH(AF74,nLIST_Offset,0)),"E_INVALID_DATE","")))))</f>
        <v/>
      </c>
      <c r="AI74" s="22">
        <f t="shared" si="120"/>
        <v>66286650</v>
      </c>
      <c r="AJ74" s="22">
        <f t="shared" si="121"/>
        <v>1</v>
      </c>
      <c r="AK74" s="22">
        <f t="shared" si="122"/>
        <v>66286950</v>
      </c>
      <c r="AL74" s="21" t="str">
        <f t="shared" si="123"/>
        <v>VEC-V25|1|S1</v>
      </c>
      <c r="AM74" s="22">
        <f>IF(AL74="",0,COUNTIF(nADM_Key,AL74))</f>
        <v>1</v>
      </c>
      <c r="AN74" s="21" t="str">
        <f t="shared" si="124"/>
        <v>VEC-V25|1|EX1</v>
      </c>
      <c r="AO74" s="22">
        <f t="shared" si="125"/>
        <v>1</v>
      </c>
      <c r="AP74" s="22">
        <f t="shared" si="126"/>
        <v>1</v>
      </c>
      <c r="AQ74" s="22">
        <f t="shared" si="127"/>
        <v>66286620</v>
      </c>
      <c r="AR74" s="22">
        <f t="shared" si="128"/>
        <v>66286920</v>
      </c>
      <c r="AS74" s="22">
        <f t="shared" si="129"/>
        <v>46032</v>
      </c>
      <c r="AT74" s="22">
        <f>ROW()</f>
        <v>74</v>
      </c>
      <c r="AU74" s="21">
        <f t="shared" si="130"/>
        <v>50</v>
      </c>
      <c r="AV74" s="21">
        <f t="shared" si="131"/>
        <v>0</v>
      </c>
      <c r="AW74" s="21">
        <f t="shared" si="132"/>
        <v>0</v>
      </c>
      <c r="AX74" s="22">
        <f t="shared" si="133"/>
        <v>0</v>
      </c>
      <c r="AY74" s="21">
        <f t="shared" si="134"/>
        <v>0</v>
      </c>
      <c r="AZ74" s="21">
        <f t="shared" si="135"/>
        <v>-1</v>
      </c>
      <c r="BA74" s="22">
        <f t="shared" si="136"/>
        <v>0</v>
      </c>
      <c r="BB74" s="22">
        <f t="shared" si="137"/>
        <v>1</v>
      </c>
      <c r="BC74" s="22">
        <f t="shared" si="138"/>
        <v>0</v>
      </c>
      <c r="BD74" s="21">
        <f t="shared" si="139"/>
        <v>0</v>
      </c>
      <c r="BE74" s="21" t="str">
        <f t="shared" si="140"/>
        <v/>
      </c>
      <c r="BF74" s="21" t="str">
        <f t="shared" si="141"/>
        <v/>
      </c>
      <c r="BG74" s="22">
        <f t="shared" si="142"/>
        <v>1</v>
      </c>
      <c r="BH74" s="22">
        <f t="shared" si="143"/>
        <v>1</v>
      </c>
      <c r="BI74" s="22">
        <f t="shared" si="144"/>
        <v>66286920</v>
      </c>
      <c r="BJ74" s="22">
        <f t="shared" si="145"/>
        <v>66286950</v>
      </c>
      <c r="BK74" s="22">
        <f t="shared" si="146"/>
        <v>66286620</v>
      </c>
      <c r="BL74" s="22">
        <f t="shared" si="147"/>
        <v>66286650</v>
      </c>
      <c r="BM74" s="22">
        <f t="shared" si="148"/>
        <v>0</v>
      </c>
      <c r="BN74" s="22">
        <f t="shared" si="149"/>
        <v>0</v>
      </c>
      <c r="BO74" s="22">
        <f>IF(BG74=0,0,COUNTIFS(nADM_SelKey,AN74,nADM_SegValid,1,nADM_SegS_Loc_n,"&lt;"&amp;BL74,nADM_SegE_Loc_n,"&gt;"&amp;BK74)-IF(BL74&gt;BK74,1,0))</f>
        <v>0</v>
      </c>
      <c r="BP74" s="22">
        <f>IF(BH74=0,0,COUNTIFS(nADM_SelKey,AN74,nADM_SegOK,1,nADM_SegS_UTC_n,"&lt;"&amp;BJ74,nADM_SegE_UTC_n,"&gt;"&amp;BI74)-IF(BJ74&gt;BI74,1,0))</f>
        <v>0</v>
      </c>
      <c r="BQ74" s="21" t="str">
        <f t="shared" si="150"/>
        <v/>
      </c>
      <c r="BR74" s="22">
        <f>IF(C74="",1,IF(COUNTIF(nEXP_Key,AN74)&gt;0,1,0))</f>
        <v>1</v>
      </c>
      <c r="BS74" s="21" t="str">
        <f t="shared" si="151"/>
        <v/>
      </c>
      <c r="BT74" s="21" t="str">
        <f>IF(BS74="","",BS74&amp;": "&amp;SUBSTITUTE(IFERROR(INDEX(nMSG_Text,MATCH(BS74,nMSG_Code,0)),""),"[input]",IF(C74="","an Admin_ID",IF(BR74=0,"an Exposures row for episode "&amp;D74,IF(BQ74&lt;&gt;"","segment start and end timestamps and a rate in mg/hour","the date fields required by the selected precision")))))</f>
        <v/>
      </c>
    </row>
    <row r="75" spans="1:72" x14ac:dyDescent="0.2">
      <c r="A75" s="9" t="s">
        <v>357</v>
      </c>
      <c r="B75" s="11">
        <v>1</v>
      </c>
      <c r="C75" s="9" t="s">
        <v>667</v>
      </c>
      <c r="D75" s="9" t="s">
        <v>522</v>
      </c>
      <c r="E75" s="16" t="s">
        <v>101</v>
      </c>
      <c r="F75" s="16"/>
      <c r="G75" s="16"/>
      <c r="H75" s="16">
        <v>100</v>
      </c>
      <c r="I75" s="16" t="s">
        <v>103</v>
      </c>
      <c r="J75" s="16"/>
      <c r="K75" s="16"/>
      <c r="L75" s="9"/>
      <c r="M75" s="9" t="s">
        <v>669</v>
      </c>
      <c r="N75" s="16" t="s">
        <v>3</v>
      </c>
      <c r="O75" s="14">
        <v>46032</v>
      </c>
      <c r="P75" s="25">
        <v>0.39583333333333298</v>
      </c>
      <c r="Q75" s="9" t="s">
        <v>20</v>
      </c>
      <c r="R75" s="11"/>
      <c r="S75" s="11"/>
      <c r="T75" s="14"/>
      <c r="U75" s="14"/>
      <c r="V75" s="9" t="s">
        <v>558</v>
      </c>
      <c r="W75" s="21" t="str">
        <f>IF(COUNTA(N75:U75)=0,"",IF(N75="","E_MISSING_INPUT",IF(N75="TIMESTAMP",IF(OR(O75="",P75="",Q75=""),"E_MISSING_INPUT",IF(OR(NOT(ISNUMBER(O75)),NOT(ISNUMBER(P75))),"E_INVALID_DATE",IF(OR(O75&lt;&gt;INT(O75),P75&lt;0,P75&gt;=1),"E_INVALID_DATE",IF(ISNA(MATCH(Q75,nLIST_Offset,0)),"E_INVALID_DATE","")))),IF(N75="DATE",IF(O75="","E_MISSING_INPUT",IF(NOT(ISNUMBER(O75)),"E_INVALID_DATE",IF(O75&lt;&gt;INT(O75),"E_INVALID_DATE",""))),IF(N75="MONTH",IF(OR(R75="",S75=""),"E_MISSING_INPUT",IF(OR(NOT(ISNUMBER(R75)),NOT(ISNUMBER(S75))),"E_INVALID_DATE",IF(OR(R75&lt;1900,R75&gt;9999,R75&lt;&gt;INT(R75),S75&lt;1,S75&gt;12,S75&lt;&gt;INT(S75)),"E_INVALID_DATE",""))),IF(N75="YEAR",IF(R75="","E_MISSING_INPUT",IF(NOT(ISNUMBER(R75)),"E_INVALID_DATE",IF(OR(R75&lt;1900,R75&gt;9999,R75&lt;&gt;INT(R75)),"E_INVALID_DATE",""))),IF(N75="RANGE",IF(OR(T75="",U75=""),"E_MISSING_INPUT",IF(OR(NOT(ISNUMBER(T75)),NOT(ISNUMBER(U75))),"E_INVALID_DATE",IF(OR(T75&lt;&gt;INT(T75),U75&lt;&gt;INT(U75)),"E_INVALID_DATE",IF(T75&gt;U75,"E_REVERSED_BOUNDS","")))),"E_MISSING_INPUT")))))))</f>
        <v/>
      </c>
      <c r="X75" s="22">
        <f t="shared" si="114"/>
        <v>1</v>
      </c>
      <c r="Y75" s="22">
        <f t="shared" si="115"/>
        <v>1</v>
      </c>
      <c r="Z75" s="28">
        <f t="shared" si="116"/>
        <v>46032</v>
      </c>
      <c r="AA75" s="28">
        <f t="shared" si="117"/>
        <v>46032</v>
      </c>
      <c r="AB75" s="22">
        <f t="shared" si="118"/>
        <v>66286650</v>
      </c>
      <c r="AC75" s="22">
        <f t="shared" si="119"/>
        <v>66286950</v>
      </c>
      <c r="AD75" s="14">
        <v>46032</v>
      </c>
      <c r="AE75" s="25">
        <v>0.54166666666666596</v>
      </c>
      <c r="AF75" s="9" t="s">
        <v>20</v>
      </c>
      <c r="AG75" s="9" t="s">
        <v>668</v>
      </c>
      <c r="AH75" s="21" t="str">
        <f>IF(COUNTA(AD75:AF75)=0,"",IF(OR(AD75="",AE75="",AF75=""),"E_MISSING_INPUT",IF(OR(NOT(ISNUMBER(AD75)),NOT(ISNUMBER(AE75))),"E_INVALID_DATE",IF(OR(AD75&lt;&gt;INT(AD75),AE75&lt;0,AE75&gt;=1),"E_INVALID_DATE",IF(ISNA(MATCH(AF75,nLIST_Offset,0)),"E_INVALID_DATE","")))))</f>
        <v/>
      </c>
      <c r="AI75" s="22">
        <f t="shared" si="120"/>
        <v>66286860</v>
      </c>
      <c r="AJ75" s="22">
        <f t="shared" si="121"/>
        <v>1</v>
      </c>
      <c r="AK75" s="22">
        <f t="shared" si="122"/>
        <v>66287160</v>
      </c>
      <c r="AL75" s="21" t="str">
        <f t="shared" si="123"/>
        <v>VEC-V25|1|S2</v>
      </c>
      <c r="AM75" s="22">
        <f>IF(AL75="",0,COUNTIF(nADM_Key,AL75))</f>
        <v>1</v>
      </c>
      <c r="AN75" s="21" t="str">
        <f t="shared" si="124"/>
        <v>VEC-V25|1|EX1</v>
      </c>
      <c r="AO75" s="22">
        <f t="shared" si="125"/>
        <v>1</v>
      </c>
      <c r="AP75" s="22">
        <f t="shared" si="126"/>
        <v>1</v>
      </c>
      <c r="AQ75" s="22">
        <f t="shared" si="127"/>
        <v>66286650</v>
      </c>
      <c r="AR75" s="22">
        <f t="shared" si="128"/>
        <v>66286950</v>
      </c>
      <c r="AS75" s="22">
        <f t="shared" si="129"/>
        <v>46032</v>
      </c>
      <c r="AT75" s="22">
        <f>ROW()</f>
        <v>75</v>
      </c>
      <c r="AU75" s="21">
        <f t="shared" si="130"/>
        <v>100</v>
      </c>
      <c r="AV75" s="21">
        <f t="shared" si="131"/>
        <v>0</v>
      </c>
      <c r="AW75" s="21">
        <f t="shared" si="132"/>
        <v>0</v>
      </c>
      <c r="AX75" s="22">
        <f t="shared" si="133"/>
        <v>0</v>
      </c>
      <c r="AY75" s="21">
        <f t="shared" si="134"/>
        <v>0</v>
      </c>
      <c r="AZ75" s="21">
        <f t="shared" si="135"/>
        <v>-1</v>
      </c>
      <c r="BA75" s="22">
        <f t="shared" si="136"/>
        <v>0</v>
      </c>
      <c r="BB75" s="22">
        <f t="shared" si="137"/>
        <v>1</v>
      </c>
      <c r="BC75" s="22">
        <f t="shared" si="138"/>
        <v>0</v>
      </c>
      <c r="BD75" s="21">
        <f t="shared" si="139"/>
        <v>0</v>
      </c>
      <c r="BE75" s="21" t="str">
        <f t="shared" si="140"/>
        <v/>
      </c>
      <c r="BF75" s="21" t="str">
        <f t="shared" si="141"/>
        <v/>
      </c>
      <c r="BG75" s="22">
        <f t="shared" si="142"/>
        <v>1</v>
      </c>
      <c r="BH75" s="22">
        <f t="shared" si="143"/>
        <v>1</v>
      </c>
      <c r="BI75" s="22">
        <f t="shared" si="144"/>
        <v>66286950</v>
      </c>
      <c r="BJ75" s="22">
        <f t="shared" si="145"/>
        <v>66287160</v>
      </c>
      <c r="BK75" s="22">
        <f t="shared" si="146"/>
        <v>66286650</v>
      </c>
      <c r="BL75" s="22">
        <f t="shared" si="147"/>
        <v>66286860</v>
      </c>
      <c r="BM75" s="22">
        <f t="shared" si="148"/>
        <v>0</v>
      </c>
      <c r="BN75" s="22">
        <f t="shared" si="149"/>
        <v>0</v>
      </c>
      <c r="BO75" s="22">
        <f>IF(BG75=0,0,COUNTIFS(nADM_SelKey,AN75,nADM_SegValid,1,nADM_SegS_Loc_n,"&lt;"&amp;BL75,nADM_SegE_Loc_n,"&gt;"&amp;BK75)-IF(BL75&gt;BK75,1,0))</f>
        <v>0</v>
      </c>
      <c r="BP75" s="22">
        <f>IF(BH75=0,0,COUNTIFS(nADM_SelKey,AN75,nADM_SegOK,1,nADM_SegS_UTC_n,"&lt;"&amp;BJ75,nADM_SegE_UTC_n,"&gt;"&amp;BI75)-IF(BJ75&gt;BI75,1,0))</f>
        <v>0</v>
      </c>
      <c r="BQ75" s="21" t="str">
        <f t="shared" si="150"/>
        <v/>
      </c>
      <c r="BR75" s="22">
        <f>IF(C75="",1,IF(COUNTIF(nEXP_Key,AN75)&gt;0,1,0))</f>
        <v>1</v>
      </c>
      <c r="BS75" s="21" t="str">
        <f t="shared" si="151"/>
        <v/>
      </c>
      <c r="BT75" s="21" t="str">
        <f>IF(BS75="","",BS75&amp;": "&amp;SUBSTITUTE(IFERROR(INDEX(nMSG_Text,MATCH(BS75,nMSG_Code,0)),""),"[input]",IF(C75="","an Admin_ID",IF(BR75=0,"an Exposures row for episode "&amp;D75,IF(BQ75&lt;&gt;"","segment start and end timestamps and a rate in mg/hour","the date fields required by the selected precision")))))</f>
        <v/>
      </c>
    </row>
    <row r="76" spans="1:72" x14ac:dyDescent="0.2">
      <c r="A76" s="9" t="s">
        <v>359</v>
      </c>
      <c r="B76" s="11">
        <v>1</v>
      </c>
      <c r="C76" s="9" t="s">
        <v>521</v>
      </c>
      <c r="D76" s="9" t="s">
        <v>522</v>
      </c>
      <c r="E76" s="16" t="s">
        <v>100</v>
      </c>
      <c r="F76" s="16">
        <v>100</v>
      </c>
      <c r="G76" s="16" t="s">
        <v>106</v>
      </c>
      <c r="H76" s="16"/>
      <c r="I76" s="16"/>
      <c r="J76" s="16">
        <v>1.8</v>
      </c>
      <c r="K76" s="16"/>
      <c r="L76" s="9"/>
      <c r="M76" s="9"/>
      <c r="N76" s="16"/>
      <c r="O76" s="14"/>
      <c r="P76" s="25"/>
      <c r="Q76" s="9"/>
      <c r="R76" s="11"/>
      <c r="S76" s="11"/>
      <c r="T76" s="14"/>
      <c r="U76" s="14"/>
      <c r="V76" s="9"/>
      <c r="W76" s="21" t="str">
        <f>IF(COUNTA(N76:U76)=0,"",IF(N76="","E_MISSING_INPUT",IF(N76="TIMESTAMP",IF(OR(O76="",P76="",Q76=""),"E_MISSING_INPUT",IF(OR(NOT(ISNUMBER(O76)),NOT(ISNUMBER(P76))),"E_INVALID_DATE",IF(OR(O76&lt;&gt;INT(O76),P76&lt;0,P76&gt;=1),"E_INVALID_DATE",IF(ISNA(MATCH(Q76,nLIST_Offset,0)),"E_INVALID_DATE","")))),IF(N76="DATE",IF(O76="","E_MISSING_INPUT",IF(NOT(ISNUMBER(O76)),"E_INVALID_DATE",IF(O76&lt;&gt;INT(O76),"E_INVALID_DATE",""))),IF(N76="MONTH",IF(OR(R76="",S76=""),"E_MISSING_INPUT",IF(OR(NOT(ISNUMBER(R76)),NOT(ISNUMBER(S76))),"E_INVALID_DATE",IF(OR(R76&lt;1900,R76&gt;9999,R76&lt;&gt;INT(R76),S76&lt;1,S76&gt;12,S76&lt;&gt;INT(S76)),"E_INVALID_DATE",""))),IF(N76="YEAR",IF(R76="","E_MISSING_INPUT",IF(NOT(ISNUMBER(R76)),"E_INVALID_DATE",IF(OR(R76&lt;1900,R76&gt;9999,R76&lt;&gt;INT(R76)),"E_INVALID_DATE",""))),IF(N76="RANGE",IF(OR(T76="",U76=""),"E_MISSING_INPUT",IF(OR(NOT(ISNUMBER(T76)),NOT(ISNUMBER(U76))),"E_INVALID_DATE",IF(OR(T76&lt;&gt;INT(T76),U76&lt;&gt;INT(U76)),"E_INVALID_DATE",IF(T76&gt;U76,"E_REVERSED_BOUNDS","")))),"E_MISSING_INPUT")))))))</f>
        <v/>
      </c>
      <c r="X76" s="22">
        <f t="shared" si="114"/>
        <v>0</v>
      </c>
      <c r="Y76" s="22">
        <f t="shared" si="115"/>
        <v>0</v>
      </c>
      <c r="Z76" s="28" t="str">
        <f t="shared" si="116"/>
        <v/>
      </c>
      <c r="AA76" s="28" t="str">
        <f t="shared" si="117"/>
        <v/>
      </c>
      <c r="AB76" s="22" t="str">
        <f t="shared" si="118"/>
        <v/>
      </c>
      <c r="AC76" s="22" t="str">
        <f t="shared" si="119"/>
        <v/>
      </c>
      <c r="AD76" s="14"/>
      <c r="AE76" s="25"/>
      <c r="AF76" s="9"/>
      <c r="AG76" s="9"/>
      <c r="AH76" s="21" t="str">
        <f>IF(COUNTA(AD76:AF76)=0,"",IF(OR(AD76="",AE76="",AF76=""),"E_MISSING_INPUT",IF(OR(NOT(ISNUMBER(AD76)),NOT(ISNUMBER(AE76))),"E_INVALID_DATE",IF(OR(AD76&lt;&gt;INT(AD76),AE76&lt;0,AE76&gt;=1),"E_INVALID_DATE",IF(ISNA(MATCH(AF76,nLIST_Offset,0)),"E_INVALID_DATE","")))))</f>
        <v/>
      </c>
      <c r="AI76" s="22" t="str">
        <f t="shared" si="120"/>
        <v/>
      </c>
      <c r="AJ76" s="22">
        <f t="shared" si="121"/>
        <v>0</v>
      </c>
      <c r="AK76" s="22" t="str">
        <f t="shared" si="122"/>
        <v/>
      </c>
      <c r="AL76" s="21" t="str">
        <f t="shared" si="123"/>
        <v>VEC-V26|1|D1</v>
      </c>
      <c r="AM76" s="22">
        <f>IF(AL76="",0,COUNTIF(nADM_Key,AL76))</f>
        <v>1</v>
      </c>
      <c r="AN76" s="21" t="str">
        <f t="shared" si="124"/>
        <v>VEC-V26|1|EX1</v>
      </c>
      <c r="AO76" s="22">
        <f t="shared" si="125"/>
        <v>0</v>
      </c>
      <c r="AP76" s="22">
        <f t="shared" si="126"/>
        <v>0</v>
      </c>
      <c r="AQ76" s="22">
        <f t="shared" si="127"/>
        <v>0</v>
      </c>
      <c r="AR76" s="22">
        <f t="shared" si="128"/>
        <v>0</v>
      </c>
      <c r="AS76" s="22">
        <f t="shared" si="129"/>
        <v>0</v>
      </c>
      <c r="AT76" s="22">
        <f>ROW()</f>
        <v>76</v>
      </c>
      <c r="AU76" s="21">
        <f t="shared" si="130"/>
        <v>0</v>
      </c>
      <c r="AV76" s="21">
        <f t="shared" si="131"/>
        <v>100</v>
      </c>
      <c r="AW76" s="21">
        <f t="shared" si="132"/>
        <v>100</v>
      </c>
      <c r="AX76" s="22">
        <f t="shared" si="133"/>
        <v>1</v>
      </c>
      <c r="AY76" s="21">
        <f t="shared" si="134"/>
        <v>1.8</v>
      </c>
      <c r="AZ76" s="21">
        <f t="shared" si="135"/>
        <v>1.8</v>
      </c>
      <c r="BA76" s="22">
        <f t="shared" si="136"/>
        <v>1</v>
      </c>
      <c r="BB76" s="22">
        <f t="shared" si="137"/>
        <v>0</v>
      </c>
      <c r="BC76" s="22">
        <f t="shared" si="138"/>
        <v>1</v>
      </c>
      <c r="BD76" s="21">
        <f t="shared" si="139"/>
        <v>55.555555555555557</v>
      </c>
      <c r="BE76" s="21" t="str">
        <f t="shared" si="140"/>
        <v/>
      </c>
      <c r="BF76" s="21" t="str">
        <f t="shared" si="141"/>
        <v/>
      </c>
      <c r="BG76" s="22">
        <f t="shared" si="142"/>
        <v>0</v>
      </c>
      <c r="BH76" s="22">
        <f t="shared" si="143"/>
        <v>0</v>
      </c>
      <c r="BI76" s="22">
        <f t="shared" si="144"/>
        <v>0</v>
      </c>
      <c r="BJ76" s="22">
        <f t="shared" si="145"/>
        <v>0</v>
      </c>
      <c r="BK76" s="22">
        <f t="shared" si="146"/>
        <v>0</v>
      </c>
      <c r="BL76" s="22">
        <f t="shared" si="147"/>
        <v>0</v>
      </c>
      <c r="BM76" s="22">
        <f t="shared" si="148"/>
        <v>0</v>
      </c>
      <c r="BN76" s="22">
        <f t="shared" si="149"/>
        <v>0</v>
      </c>
      <c r="BO76" s="22">
        <f>IF(BG76=0,0,COUNTIFS(nADM_SelKey,AN76,nADM_SegValid,1,nADM_SegS_Loc_n,"&lt;"&amp;BL76,nADM_SegE_Loc_n,"&gt;"&amp;BK76)-IF(BL76&gt;BK76,1,0))</f>
        <v>0</v>
      </c>
      <c r="BP76" s="22">
        <f>IF(BH76=0,0,COUNTIFS(nADM_SelKey,AN76,nADM_SegOK,1,nADM_SegS_UTC_n,"&lt;"&amp;BJ76,nADM_SegE_UTC_n,"&gt;"&amp;BI76)-IF(BJ76&gt;BI76,1,0))</f>
        <v>0</v>
      </c>
      <c r="BQ76" s="21" t="str">
        <f t="shared" si="150"/>
        <v/>
      </c>
      <c r="BR76" s="22">
        <f>IF(C76="",1,IF(COUNTIF(nEXP_Key,AN76)&gt;0,1,0))</f>
        <v>1</v>
      </c>
      <c r="BS76" s="21" t="str">
        <f t="shared" si="151"/>
        <v/>
      </c>
      <c r="BT76" s="21" t="str">
        <f>IF(BS76="","",BS76&amp;": "&amp;SUBSTITUTE(IFERROR(INDEX(nMSG_Text,MATCH(BS76,nMSG_Code,0)),""),"[input]",IF(C76="","an Admin_ID",IF(BR76=0,"an Exposures row for episode "&amp;D76,IF(BQ76&lt;&gt;"","segment start and end timestamps and a rate in mg/hour","the date fields required by the selected precision")))))</f>
        <v/>
      </c>
    </row>
    <row r="77" spans="1:72" x14ac:dyDescent="0.2">
      <c r="A77" s="9" t="s">
        <v>359</v>
      </c>
      <c r="B77" s="11">
        <v>1</v>
      </c>
      <c r="C77" s="9" t="s">
        <v>565</v>
      </c>
      <c r="D77" s="9" t="s">
        <v>522</v>
      </c>
      <c r="E77" s="16" t="s">
        <v>100</v>
      </c>
      <c r="F77" s="16">
        <v>100</v>
      </c>
      <c r="G77" s="16" t="s">
        <v>106</v>
      </c>
      <c r="H77" s="16"/>
      <c r="I77" s="16"/>
      <c r="J77" s="16">
        <v>1.8</v>
      </c>
      <c r="K77" s="16"/>
      <c r="L77" s="9"/>
      <c r="M77" s="9"/>
      <c r="N77" s="16"/>
      <c r="O77" s="14"/>
      <c r="P77" s="25"/>
      <c r="Q77" s="9"/>
      <c r="R77" s="11"/>
      <c r="S77" s="11"/>
      <c r="T77" s="14"/>
      <c r="U77" s="14"/>
      <c r="V77" s="9"/>
      <c r="W77" s="21" t="str">
        <f>IF(COUNTA(N77:U77)=0,"",IF(N77="","E_MISSING_INPUT",IF(N77="TIMESTAMP",IF(OR(O77="",P77="",Q77=""),"E_MISSING_INPUT",IF(OR(NOT(ISNUMBER(O77)),NOT(ISNUMBER(P77))),"E_INVALID_DATE",IF(OR(O77&lt;&gt;INT(O77),P77&lt;0,P77&gt;=1),"E_INVALID_DATE",IF(ISNA(MATCH(Q77,nLIST_Offset,0)),"E_INVALID_DATE","")))),IF(N77="DATE",IF(O77="","E_MISSING_INPUT",IF(NOT(ISNUMBER(O77)),"E_INVALID_DATE",IF(O77&lt;&gt;INT(O77),"E_INVALID_DATE",""))),IF(N77="MONTH",IF(OR(R77="",S77=""),"E_MISSING_INPUT",IF(OR(NOT(ISNUMBER(R77)),NOT(ISNUMBER(S77))),"E_INVALID_DATE",IF(OR(R77&lt;1900,R77&gt;9999,R77&lt;&gt;INT(R77),S77&lt;1,S77&gt;12,S77&lt;&gt;INT(S77)),"E_INVALID_DATE",""))),IF(N77="YEAR",IF(R77="","E_MISSING_INPUT",IF(NOT(ISNUMBER(R77)),"E_INVALID_DATE",IF(OR(R77&lt;1900,R77&gt;9999,R77&lt;&gt;INT(R77)),"E_INVALID_DATE",""))),IF(N77="RANGE",IF(OR(T77="",U77=""),"E_MISSING_INPUT",IF(OR(NOT(ISNUMBER(T77)),NOT(ISNUMBER(U77))),"E_INVALID_DATE",IF(OR(T77&lt;&gt;INT(T77),U77&lt;&gt;INT(U77)),"E_INVALID_DATE",IF(T77&gt;U77,"E_REVERSED_BOUNDS","")))),"E_MISSING_INPUT")))))))</f>
        <v/>
      </c>
      <c r="X77" s="22">
        <f t="shared" si="114"/>
        <v>0</v>
      </c>
      <c r="Y77" s="22">
        <f t="shared" si="115"/>
        <v>0</v>
      </c>
      <c r="Z77" s="28" t="str">
        <f t="shared" si="116"/>
        <v/>
      </c>
      <c r="AA77" s="28" t="str">
        <f t="shared" si="117"/>
        <v/>
      </c>
      <c r="AB77" s="22" t="str">
        <f t="shared" si="118"/>
        <v/>
      </c>
      <c r="AC77" s="22" t="str">
        <f t="shared" si="119"/>
        <v/>
      </c>
      <c r="AD77" s="14"/>
      <c r="AE77" s="25"/>
      <c r="AF77" s="9"/>
      <c r="AG77" s="9"/>
      <c r="AH77" s="21" t="str">
        <f>IF(COUNTA(AD77:AF77)=0,"",IF(OR(AD77="",AE77="",AF77=""),"E_MISSING_INPUT",IF(OR(NOT(ISNUMBER(AD77)),NOT(ISNUMBER(AE77))),"E_INVALID_DATE",IF(OR(AD77&lt;&gt;INT(AD77),AE77&lt;0,AE77&gt;=1),"E_INVALID_DATE",IF(ISNA(MATCH(AF77,nLIST_Offset,0)),"E_INVALID_DATE","")))))</f>
        <v/>
      </c>
      <c r="AI77" s="22" t="str">
        <f t="shared" si="120"/>
        <v/>
      </c>
      <c r="AJ77" s="22">
        <f t="shared" si="121"/>
        <v>0</v>
      </c>
      <c r="AK77" s="22" t="str">
        <f t="shared" si="122"/>
        <v/>
      </c>
      <c r="AL77" s="21" t="str">
        <f t="shared" si="123"/>
        <v>VEC-V26|1|D2</v>
      </c>
      <c r="AM77" s="22">
        <f>IF(AL77="",0,COUNTIF(nADM_Key,AL77))</f>
        <v>1</v>
      </c>
      <c r="AN77" s="21" t="str">
        <f t="shared" si="124"/>
        <v>VEC-V26|1|EX1</v>
      </c>
      <c r="AO77" s="22">
        <f t="shared" si="125"/>
        <v>0</v>
      </c>
      <c r="AP77" s="22">
        <f t="shared" si="126"/>
        <v>0</v>
      </c>
      <c r="AQ77" s="22">
        <f t="shared" si="127"/>
        <v>0</v>
      </c>
      <c r="AR77" s="22">
        <f t="shared" si="128"/>
        <v>0</v>
      </c>
      <c r="AS77" s="22">
        <f t="shared" si="129"/>
        <v>0</v>
      </c>
      <c r="AT77" s="22">
        <f>ROW()</f>
        <v>77</v>
      </c>
      <c r="AU77" s="21">
        <f t="shared" si="130"/>
        <v>0</v>
      </c>
      <c r="AV77" s="21">
        <f t="shared" si="131"/>
        <v>100</v>
      </c>
      <c r="AW77" s="21">
        <f t="shared" si="132"/>
        <v>100</v>
      </c>
      <c r="AX77" s="22">
        <f t="shared" si="133"/>
        <v>1</v>
      </c>
      <c r="AY77" s="21">
        <f t="shared" si="134"/>
        <v>1.8</v>
      </c>
      <c r="AZ77" s="21">
        <f t="shared" si="135"/>
        <v>1.8</v>
      </c>
      <c r="BA77" s="22">
        <f t="shared" si="136"/>
        <v>1</v>
      </c>
      <c r="BB77" s="22">
        <f t="shared" si="137"/>
        <v>0</v>
      </c>
      <c r="BC77" s="22">
        <f t="shared" si="138"/>
        <v>1</v>
      </c>
      <c r="BD77" s="21">
        <f t="shared" si="139"/>
        <v>55.555555555555557</v>
      </c>
      <c r="BE77" s="21" t="str">
        <f t="shared" si="140"/>
        <v/>
      </c>
      <c r="BF77" s="21" t="str">
        <f t="shared" si="141"/>
        <v/>
      </c>
      <c r="BG77" s="22">
        <f t="shared" si="142"/>
        <v>0</v>
      </c>
      <c r="BH77" s="22">
        <f t="shared" si="143"/>
        <v>0</v>
      </c>
      <c r="BI77" s="22">
        <f t="shared" si="144"/>
        <v>0</v>
      </c>
      <c r="BJ77" s="22">
        <f t="shared" si="145"/>
        <v>0</v>
      </c>
      <c r="BK77" s="22">
        <f t="shared" si="146"/>
        <v>0</v>
      </c>
      <c r="BL77" s="22">
        <f t="shared" si="147"/>
        <v>0</v>
      </c>
      <c r="BM77" s="22">
        <f t="shared" si="148"/>
        <v>0</v>
      </c>
      <c r="BN77" s="22">
        <f t="shared" si="149"/>
        <v>0</v>
      </c>
      <c r="BO77" s="22">
        <f>IF(BG77=0,0,COUNTIFS(nADM_SelKey,AN77,nADM_SegValid,1,nADM_SegS_Loc_n,"&lt;"&amp;BL77,nADM_SegE_Loc_n,"&gt;"&amp;BK77)-IF(BL77&gt;BK77,1,0))</f>
        <v>0</v>
      </c>
      <c r="BP77" s="22">
        <f>IF(BH77=0,0,COUNTIFS(nADM_SelKey,AN77,nADM_SegOK,1,nADM_SegS_UTC_n,"&lt;"&amp;BJ77,nADM_SegE_UTC_n,"&gt;"&amp;BI77)-IF(BJ77&gt;BI77,1,0))</f>
        <v>0</v>
      </c>
      <c r="BQ77" s="21" t="str">
        <f t="shared" si="150"/>
        <v/>
      </c>
      <c r="BR77" s="22">
        <f>IF(C77="",1,IF(COUNTIF(nEXP_Key,AN77)&gt;0,1,0))</f>
        <v>1</v>
      </c>
      <c r="BS77" s="21" t="str">
        <f t="shared" si="151"/>
        <v/>
      </c>
      <c r="BT77" s="21" t="str">
        <f>IF(BS77="","",BS77&amp;": "&amp;SUBSTITUTE(IFERROR(INDEX(nMSG_Text,MATCH(BS77,nMSG_Code,0)),""),"[input]",IF(C77="","an Admin_ID",IF(BR77=0,"an Exposures row for episode "&amp;D77,IF(BQ77&lt;&gt;"","segment start and end timestamps and a rate in mg/hour","the date fields required by the selected precision")))))</f>
        <v/>
      </c>
    </row>
    <row r="78" spans="1:72" x14ac:dyDescent="0.2">
      <c r="A78" s="9" t="s">
        <v>359</v>
      </c>
      <c r="B78" s="11">
        <v>1</v>
      </c>
      <c r="C78" s="9" t="s">
        <v>670</v>
      </c>
      <c r="D78" s="9" t="s">
        <v>522</v>
      </c>
      <c r="E78" s="16" t="s">
        <v>100</v>
      </c>
      <c r="F78" s="16">
        <v>90</v>
      </c>
      <c r="G78" s="16" t="s">
        <v>106</v>
      </c>
      <c r="H78" s="16"/>
      <c r="I78" s="16"/>
      <c r="J78" s="16">
        <v>1.7</v>
      </c>
      <c r="K78" s="16"/>
      <c r="L78" s="9"/>
      <c r="M78" s="9"/>
      <c r="N78" s="16"/>
      <c r="O78" s="14"/>
      <c r="P78" s="25"/>
      <c r="Q78" s="9"/>
      <c r="R78" s="11"/>
      <c r="S78" s="11"/>
      <c r="T78" s="14"/>
      <c r="U78" s="14"/>
      <c r="V78" s="9"/>
      <c r="W78" s="21" t="str">
        <f>IF(COUNTA(N78:U78)=0,"",IF(N78="","E_MISSING_INPUT",IF(N78="TIMESTAMP",IF(OR(O78="",P78="",Q78=""),"E_MISSING_INPUT",IF(OR(NOT(ISNUMBER(O78)),NOT(ISNUMBER(P78))),"E_INVALID_DATE",IF(OR(O78&lt;&gt;INT(O78),P78&lt;0,P78&gt;=1),"E_INVALID_DATE",IF(ISNA(MATCH(Q78,nLIST_Offset,0)),"E_INVALID_DATE","")))),IF(N78="DATE",IF(O78="","E_MISSING_INPUT",IF(NOT(ISNUMBER(O78)),"E_INVALID_DATE",IF(O78&lt;&gt;INT(O78),"E_INVALID_DATE",""))),IF(N78="MONTH",IF(OR(R78="",S78=""),"E_MISSING_INPUT",IF(OR(NOT(ISNUMBER(R78)),NOT(ISNUMBER(S78))),"E_INVALID_DATE",IF(OR(R78&lt;1900,R78&gt;9999,R78&lt;&gt;INT(R78),S78&lt;1,S78&gt;12,S78&lt;&gt;INT(S78)),"E_INVALID_DATE",""))),IF(N78="YEAR",IF(R78="","E_MISSING_INPUT",IF(NOT(ISNUMBER(R78)),"E_INVALID_DATE",IF(OR(R78&lt;1900,R78&gt;9999,R78&lt;&gt;INT(R78)),"E_INVALID_DATE",""))),IF(N78="RANGE",IF(OR(T78="",U78=""),"E_MISSING_INPUT",IF(OR(NOT(ISNUMBER(T78)),NOT(ISNUMBER(U78))),"E_INVALID_DATE",IF(OR(T78&lt;&gt;INT(T78),U78&lt;&gt;INT(U78)),"E_INVALID_DATE",IF(T78&gt;U78,"E_REVERSED_BOUNDS","")))),"E_MISSING_INPUT")))))))</f>
        <v/>
      </c>
      <c r="X78" s="22">
        <f t="shared" si="114"/>
        <v>0</v>
      </c>
      <c r="Y78" s="22">
        <f t="shared" si="115"/>
        <v>0</v>
      </c>
      <c r="Z78" s="28" t="str">
        <f t="shared" si="116"/>
        <v/>
      </c>
      <c r="AA78" s="28" t="str">
        <f t="shared" si="117"/>
        <v/>
      </c>
      <c r="AB78" s="22" t="str">
        <f t="shared" si="118"/>
        <v/>
      </c>
      <c r="AC78" s="22" t="str">
        <f t="shared" si="119"/>
        <v/>
      </c>
      <c r="AD78" s="14"/>
      <c r="AE78" s="25"/>
      <c r="AF78" s="9"/>
      <c r="AG78" s="9"/>
      <c r="AH78" s="21" t="str">
        <f>IF(COUNTA(AD78:AF78)=0,"",IF(OR(AD78="",AE78="",AF78=""),"E_MISSING_INPUT",IF(OR(NOT(ISNUMBER(AD78)),NOT(ISNUMBER(AE78))),"E_INVALID_DATE",IF(OR(AD78&lt;&gt;INT(AD78),AE78&lt;0,AE78&gt;=1),"E_INVALID_DATE",IF(ISNA(MATCH(AF78,nLIST_Offset,0)),"E_INVALID_DATE","")))))</f>
        <v/>
      </c>
      <c r="AI78" s="22" t="str">
        <f t="shared" si="120"/>
        <v/>
      </c>
      <c r="AJ78" s="22">
        <f t="shared" si="121"/>
        <v>0</v>
      </c>
      <c r="AK78" s="22" t="str">
        <f t="shared" si="122"/>
        <v/>
      </c>
      <c r="AL78" s="21" t="str">
        <f t="shared" si="123"/>
        <v>VEC-V26|1|D3</v>
      </c>
      <c r="AM78" s="22">
        <f>IF(AL78="",0,COUNTIF(nADM_Key,AL78))</f>
        <v>1</v>
      </c>
      <c r="AN78" s="21" t="str">
        <f t="shared" si="124"/>
        <v>VEC-V26|1|EX1</v>
      </c>
      <c r="AO78" s="22">
        <f t="shared" si="125"/>
        <v>0</v>
      </c>
      <c r="AP78" s="22">
        <f t="shared" si="126"/>
        <v>0</v>
      </c>
      <c r="AQ78" s="22">
        <f t="shared" si="127"/>
        <v>0</v>
      </c>
      <c r="AR78" s="22">
        <f t="shared" si="128"/>
        <v>0</v>
      </c>
      <c r="AS78" s="22">
        <f t="shared" si="129"/>
        <v>0</v>
      </c>
      <c r="AT78" s="22">
        <f>ROW()</f>
        <v>78</v>
      </c>
      <c r="AU78" s="21">
        <f t="shared" si="130"/>
        <v>0</v>
      </c>
      <c r="AV78" s="21">
        <f t="shared" si="131"/>
        <v>90</v>
      </c>
      <c r="AW78" s="21">
        <f t="shared" si="132"/>
        <v>90</v>
      </c>
      <c r="AX78" s="22">
        <f t="shared" si="133"/>
        <v>1</v>
      </c>
      <c r="AY78" s="21">
        <f t="shared" si="134"/>
        <v>1.7</v>
      </c>
      <c r="AZ78" s="21">
        <f t="shared" si="135"/>
        <v>1.7</v>
      </c>
      <c r="BA78" s="22">
        <f t="shared" si="136"/>
        <v>1</v>
      </c>
      <c r="BB78" s="22">
        <f t="shared" si="137"/>
        <v>0</v>
      </c>
      <c r="BC78" s="22">
        <f t="shared" si="138"/>
        <v>1</v>
      </c>
      <c r="BD78" s="21">
        <f t="shared" si="139"/>
        <v>52.941176470588239</v>
      </c>
      <c r="BE78" s="21" t="str">
        <f t="shared" si="140"/>
        <v/>
      </c>
      <c r="BF78" s="21" t="str">
        <f t="shared" si="141"/>
        <v/>
      </c>
      <c r="BG78" s="22">
        <f t="shared" si="142"/>
        <v>0</v>
      </c>
      <c r="BH78" s="22">
        <f t="shared" si="143"/>
        <v>0</v>
      </c>
      <c r="BI78" s="22">
        <f t="shared" si="144"/>
        <v>0</v>
      </c>
      <c r="BJ78" s="22">
        <f t="shared" si="145"/>
        <v>0</v>
      </c>
      <c r="BK78" s="22">
        <f t="shared" si="146"/>
        <v>0</v>
      </c>
      <c r="BL78" s="22">
        <f t="shared" si="147"/>
        <v>0</v>
      </c>
      <c r="BM78" s="22">
        <f t="shared" si="148"/>
        <v>0</v>
      </c>
      <c r="BN78" s="22">
        <f t="shared" si="149"/>
        <v>0</v>
      </c>
      <c r="BO78" s="22">
        <f>IF(BG78=0,0,COUNTIFS(nADM_SelKey,AN78,nADM_SegValid,1,nADM_SegS_Loc_n,"&lt;"&amp;BL78,nADM_SegE_Loc_n,"&gt;"&amp;BK78)-IF(BL78&gt;BK78,1,0))</f>
        <v>0</v>
      </c>
      <c r="BP78" s="22">
        <f>IF(BH78=0,0,COUNTIFS(nADM_SelKey,AN78,nADM_SegOK,1,nADM_SegS_UTC_n,"&lt;"&amp;BJ78,nADM_SegE_UTC_n,"&gt;"&amp;BI78)-IF(BJ78&gt;BI78,1,0))</f>
        <v>0</v>
      </c>
      <c r="BQ78" s="21" t="str">
        <f t="shared" si="150"/>
        <v/>
      </c>
      <c r="BR78" s="22">
        <f>IF(C78="",1,IF(COUNTIF(nEXP_Key,AN78)&gt;0,1,0))</f>
        <v>1</v>
      </c>
      <c r="BS78" s="21" t="str">
        <f t="shared" si="151"/>
        <v/>
      </c>
      <c r="BT78" s="21" t="str">
        <f>IF(BS78="","",BS78&amp;": "&amp;SUBSTITUTE(IFERROR(INDEX(nMSG_Text,MATCH(BS78,nMSG_Code,0)),""),"[input]",IF(C78="","an Admin_ID",IF(BR78=0,"an Exposures row for episode "&amp;D78,IF(BQ78&lt;&gt;"","segment start and end timestamps and a rate in mg/hour","the date fields required by the selected precision")))))</f>
        <v/>
      </c>
    </row>
    <row r="79" spans="1:72" x14ac:dyDescent="0.2">
      <c r="A79" s="9" t="s">
        <v>373</v>
      </c>
      <c r="B79" s="11">
        <v>1</v>
      </c>
      <c r="C79" s="9" t="s">
        <v>671</v>
      </c>
      <c r="D79" s="9" t="s">
        <v>522</v>
      </c>
      <c r="E79" s="16" t="s">
        <v>100</v>
      </c>
      <c r="F79" s="16"/>
      <c r="G79" s="16"/>
      <c r="H79" s="16"/>
      <c r="I79" s="16"/>
      <c r="J79" s="16"/>
      <c r="K79" s="16"/>
      <c r="L79" s="9"/>
      <c r="M79" s="9" t="s">
        <v>672</v>
      </c>
      <c r="N79" s="16" t="s">
        <v>3</v>
      </c>
      <c r="O79" s="14">
        <v>46083</v>
      </c>
      <c r="P79" s="25">
        <v>0.375</v>
      </c>
      <c r="Q79" s="9" t="s">
        <v>27</v>
      </c>
      <c r="R79" s="11"/>
      <c r="S79" s="11"/>
      <c r="T79" s="14"/>
      <c r="U79" s="14"/>
      <c r="V79" s="9" t="s">
        <v>673</v>
      </c>
      <c r="W79" s="21" t="str">
        <f>IF(COUNTA(N79:U79)=0,"",IF(N79="","E_MISSING_INPUT",IF(N79="TIMESTAMP",IF(OR(O79="",P79="",Q79=""),"E_MISSING_INPUT",IF(OR(NOT(ISNUMBER(O79)),NOT(ISNUMBER(P79))),"E_INVALID_DATE",IF(OR(O79&lt;&gt;INT(O79),P79&lt;0,P79&gt;=1),"E_INVALID_DATE",IF(ISNA(MATCH(Q79,nLIST_Offset,0)),"E_INVALID_DATE","")))),IF(N79="DATE",IF(O79="","E_MISSING_INPUT",IF(NOT(ISNUMBER(O79)),"E_INVALID_DATE",IF(O79&lt;&gt;INT(O79),"E_INVALID_DATE",""))),IF(N79="MONTH",IF(OR(R79="",S79=""),"E_MISSING_INPUT",IF(OR(NOT(ISNUMBER(R79)),NOT(ISNUMBER(S79))),"E_INVALID_DATE",IF(OR(R79&lt;1900,R79&gt;9999,R79&lt;&gt;INT(R79),S79&lt;1,S79&gt;12,S79&lt;&gt;INT(S79)),"E_INVALID_DATE",""))),IF(N79="YEAR",IF(R79="","E_MISSING_INPUT",IF(NOT(ISNUMBER(R79)),"E_INVALID_DATE",IF(OR(R79&lt;1900,R79&gt;9999,R79&lt;&gt;INT(R79)),"E_INVALID_DATE",""))),IF(N79="RANGE",IF(OR(T79="",U79=""),"E_MISSING_INPUT",IF(OR(NOT(ISNUMBER(T79)),NOT(ISNUMBER(U79))),"E_INVALID_DATE",IF(OR(T79&lt;&gt;INT(T79),U79&lt;&gt;INT(U79)),"E_INVALID_DATE",IF(T79&gt;U79,"E_REVERSED_BOUNDS","")))),"E_MISSING_INPUT")))))))</f>
        <v/>
      </c>
      <c r="X79" s="22">
        <f t="shared" si="114"/>
        <v>1</v>
      </c>
      <c r="Y79" s="22">
        <f t="shared" si="115"/>
        <v>1</v>
      </c>
      <c r="Z79" s="28">
        <f t="shared" si="116"/>
        <v>46083</v>
      </c>
      <c r="AA79" s="28">
        <f t="shared" si="117"/>
        <v>46083</v>
      </c>
      <c r="AB79" s="22">
        <f t="shared" si="118"/>
        <v>66360060</v>
      </c>
      <c r="AC79" s="22">
        <f t="shared" si="119"/>
        <v>66360000</v>
      </c>
      <c r="AD79" s="14"/>
      <c r="AE79" s="25"/>
      <c r="AF79" s="9"/>
      <c r="AG79" s="9"/>
      <c r="AH79" s="21" t="str">
        <f>IF(COUNTA(AD79:AF79)=0,"",IF(OR(AD79="",AE79="",AF79=""),"E_MISSING_INPUT",IF(OR(NOT(ISNUMBER(AD79)),NOT(ISNUMBER(AE79))),"E_INVALID_DATE",IF(OR(AD79&lt;&gt;INT(AD79),AE79&lt;0,AE79&gt;=1),"E_INVALID_DATE",IF(ISNA(MATCH(AF79,nLIST_Offset,0)),"E_INVALID_DATE","")))))</f>
        <v/>
      </c>
      <c r="AI79" s="22" t="str">
        <f t="shared" si="120"/>
        <v/>
      </c>
      <c r="AJ79" s="22">
        <f t="shared" si="121"/>
        <v>0</v>
      </c>
      <c r="AK79" s="22" t="str">
        <f t="shared" si="122"/>
        <v/>
      </c>
      <c r="AL79" s="21" t="str">
        <f t="shared" si="123"/>
        <v>VEC-V33|1|AD2</v>
      </c>
      <c r="AM79" s="22">
        <f>IF(AL79="",0,COUNTIF(nADM_Key,AL79))</f>
        <v>1</v>
      </c>
      <c r="AN79" s="21" t="str">
        <f t="shared" si="124"/>
        <v>VEC-V33|1|EX1</v>
      </c>
      <c r="AO79" s="22">
        <f t="shared" si="125"/>
        <v>1</v>
      </c>
      <c r="AP79" s="22">
        <f t="shared" si="126"/>
        <v>1</v>
      </c>
      <c r="AQ79" s="22">
        <f t="shared" si="127"/>
        <v>66360060</v>
      </c>
      <c r="AR79" s="22">
        <f t="shared" si="128"/>
        <v>66360000</v>
      </c>
      <c r="AS79" s="22">
        <f t="shared" si="129"/>
        <v>46083</v>
      </c>
      <c r="AT79" s="22">
        <f>ROW()</f>
        <v>79</v>
      </c>
      <c r="AU79" s="21">
        <f t="shared" si="130"/>
        <v>0</v>
      </c>
      <c r="AV79" s="21">
        <f t="shared" si="131"/>
        <v>0</v>
      </c>
      <c r="AW79" s="21">
        <f t="shared" si="132"/>
        <v>0</v>
      </c>
      <c r="AX79" s="22">
        <f t="shared" si="133"/>
        <v>0</v>
      </c>
      <c r="AY79" s="21">
        <f t="shared" si="134"/>
        <v>0</v>
      </c>
      <c r="AZ79" s="21">
        <f t="shared" si="135"/>
        <v>-1</v>
      </c>
      <c r="BA79" s="22">
        <f t="shared" si="136"/>
        <v>0</v>
      </c>
      <c r="BB79" s="22">
        <f t="shared" si="137"/>
        <v>1</v>
      </c>
      <c r="BC79" s="22">
        <f t="shared" si="138"/>
        <v>0</v>
      </c>
      <c r="BD79" s="21">
        <f t="shared" si="139"/>
        <v>0</v>
      </c>
      <c r="BE79" s="21" t="str">
        <f t="shared" si="140"/>
        <v>; E_MISSING_INPUT; E_MISSING_INPUT</v>
      </c>
      <c r="BF79" s="21" t="str">
        <f t="shared" si="141"/>
        <v/>
      </c>
      <c r="BG79" s="22">
        <f t="shared" si="142"/>
        <v>0</v>
      </c>
      <c r="BH79" s="22">
        <f t="shared" si="143"/>
        <v>0</v>
      </c>
      <c r="BI79" s="22">
        <f t="shared" si="144"/>
        <v>0</v>
      </c>
      <c r="BJ79" s="22">
        <f t="shared" si="145"/>
        <v>0</v>
      </c>
      <c r="BK79" s="22">
        <f t="shared" si="146"/>
        <v>0</v>
      </c>
      <c r="BL79" s="22">
        <f t="shared" si="147"/>
        <v>0</v>
      </c>
      <c r="BM79" s="22">
        <f t="shared" si="148"/>
        <v>0</v>
      </c>
      <c r="BN79" s="22">
        <f t="shared" si="149"/>
        <v>0</v>
      </c>
      <c r="BO79" s="22">
        <f>IF(BG79=0,0,COUNTIFS(nADM_SelKey,AN79,nADM_SegValid,1,nADM_SegS_Loc_n,"&lt;"&amp;BL79,nADM_SegE_Loc_n,"&gt;"&amp;BK79)-IF(BL79&gt;BK79,1,0))</f>
        <v>0</v>
      </c>
      <c r="BP79" s="22">
        <f>IF(BH79=0,0,COUNTIFS(nADM_SelKey,AN79,nADM_SegOK,1,nADM_SegS_UTC_n,"&lt;"&amp;BJ79,nADM_SegE_UTC_n,"&gt;"&amp;BI79)-IF(BJ79&gt;BI79,1,0))</f>
        <v>0</v>
      </c>
      <c r="BQ79" s="21" t="str">
        <f t="shared" si="150"/>
        <v/>
      </c>
      <c r="BR79" s="22">
        <f>IF(C79="",1,IF(COUNTIF(nEXP_Key,AN79)&gt;0,1,0))</f>
        <v>1</v>
      </c>
      <c r="BS79" s="21" t="str">
        <f t="shared" si="151"/>
        <v/>
      </c>
      <c r="BT79" s="21" t="str">
        <f>IF(BS79="","",BS79&amp;": "&amp;SUBSTITUTE(IFERROR(INDEX(nMSG_Text,MATCH(BS79,nMSG_Code,0)),""),"[input]",IF(C79="","an Admin_ID",IF(BR79=0,"an Exposures row for episode "&amp;D79,IF(BQ79&lt;&gt;"","segment start and end timestamps and a rate in mg/hour","the date fields required by the selected precision")))))</f>
        <v/>
      </c>
    </row>
    <row r="80" spans="1:72" x14ac:dyDescent="0.2">
      <c r="A80" s="9" t="s">
        <v>375</v>
      </c>
      <c r="B80" s="11">
        <v>1</v>
      </c>
      <c r="C80" s="9" t="s">
        <v>671</v>
      </c>
      <c r="D80" s="9" t="s">
        <v>522</v>
      </c>
      <c r="E80" s="16" t="s">
        <v>100</v>
      </c>
      <c r="F80" s="16"/>
      <c r="G80" s="16"/>
      <c r="H80" s="16"/>
      <c r="I80" s="16"/>
      <c r="J80" s="16"/>
      <c r="K80" s="16"/>
      <c r="L80" s="9"/>
      <c r="M80" s="9" t="s">
        <v>674</v>
      </c>
      <c r="N80" s="16" t="s">
        <v>7</v>
      </c>
      <c r="O80" s="14"/>
      <c r="P80" s="25"/>
      <c r="Q80" s="9"/>
      <c r="R80" s="11"/>
      <c r="S80" s="11"/>
      <c r="T80" s="14">
        <v>46082</v>
      </c>
      <c r="U80" s="14">
        <v>46091</v>
      </c>
      <c r="V80" s="9" t="s">
        <v>675</v>
      </c>
      <c r="W80" s="21" t="str">
        <f>IF(COUNTA(N80:U80)=0,"",IF(N80="","E_MISSING_INPUT",IF(N80="TIMESTAMP",IF(OR(O80="",P80="",Q80=""),"E_MISSING_INPUT",IF(OR(NOT(ISNUMBER(O80)),NOT(ISNUMBER(P80))),"E_INVALID_DATE",IF(OR(O80&lt;&gt;INT(O80),P80&lt;0,P80&gt;=1),"E_INVALID_DATE",IF(ISNA(MATCH(Q80,nLIST_Offset,0)),"E_INVALID_DATE","")))),IF(N80="DATE",IF(O80="","E_MISSING_INPUT",IF(NOT(ISNUMBER(O80)),"E_INVALID_DATE",IF(O80&lt;&gt;INT(O80),"E_INVALID_DATE",""))),IF(N80="MONTH",IF(OR(R80="",S80=""),"E_MISSING_INPUT",IF(OR(NOT(ISNUMBER(R80)),NOT(ISNUMBER(S80))),"E_INVALID_DATE",IF(OR(R80&lt;1900,R80&gt;9999,R80&lt;&gt;INT(R80),S80&lt;1,S80&gt;12,S80&lt;&gt;INT(S80)),"E_INVALID_DATE",""))),IF(N80="YEAR",IF(R80="","E_MISSING_INPUT",IF(NOT(ISNUMBER(R80)),"E_INVALID_DATE",IF(OR(R80&lt;1900,R80&gt;9999,R80&lt;&gt;INT(R80)),"E_INVALID_DATE",""))),IF(N80="RANGE",IF(OR(T80="",U80=""),"E_MISSING_INPUT",IF(OR(NOT(ISNUMBER(T80)),NOT(ISNUMBER(U80))),"E_INVALID_DATE",IF(OR(T80&lt;&gt;INT(T80),U80&lt;&gt;INT(U80)),"E_INVALID_DATE",IF(T80&gt;U80,"E_REVERSED_BOUNDS","")))),"E_MISSING_INPUT")))))))</f>
        <v/>
      </c>
      <c r="X80" s="22">
        <f t="shared" si="114"/>
        <v>0</v>
      </c>
      <c r="Y80" s="22">
        <f t="shared" si="115"/>
        <v>0</v>
      </c>
      <c r="Z80" s="28">
        <f t="shared" si="116"/>
        <v>46082</v>
      </c>
      <c r="AA80" s="28">
        <f t="shared" si="117"/>
        <v>46091</v>
      </c>
      <c r="AB80" s="22" t="str">
        <f t="shared" si="118"/>
        <v/>
      </c>
      <c r="AC80" s="22" t="str">
        <f t="shared" si="119"/>
        <v/>
      </c>
      <c r="AD80" s="14"/>
      <c r="AE80" s="25"/>
      <c r="AF80" s="9"/>
      <c r="AG80" s="9"/>
      <c r="AH80" s="21" t="str">
        <f>IF(COUNTA(AD80:AF80)=0,"",IF(OR(AD80="",AE80="",AF80=""),"E_MISSING_INPUT",IF(OR(NOT(ISNUMBER(AD80)),NOT(ISNUMBER(AE80))),"E_INVALID_DATE",IF(OR(AD80&lt;&gt;INT(AD80),AE80&lt;0,AE80&gt;=1),"E_INVALID_DATE",IF(ISNA(MATCH(AF80,nLIST_Offset,0)),"E_INVALID_DATE","")))))</f>
        <v/>
      </c>
      <c r="AI80" s="22" t="str">
        <f t="shared" si="120"/>
        <v/>
      </c>
      <c r="AJ80" s="22">
        <f t="shared" si="121"/>
        <v>0</v>
      </c>
      <c r="AK80" s="22" t="str">
        <f t="shared" si="122"/>
        <v/>
      </c>
      <c r="AL80" s="21" t="str">
        <f t="shared" si="123"/>
        <v>VEC-V34|1|AD2</v>
      </c>
      <c r="AM80" s="22">
        <f>IF(AL80="",0,COUNTIF(nADM_Key,AL80))</f>
        <v>1</v>
      </c>
      <c r="AN80" s="21" t="str">
        <f t="shared" si="124"/>
        <v>VEC-V34|1|EX1</v>
      </c>
      <c r="AO80" s="22">
        <f t="shared" si="125"/>
        <v>0</v>
      </c>
      <c r="AP80" s="22">
        <f t="shared" si="126"/>
        <v>1</v>
      </c>
      <c r="AQ80" s="22">
        <f t="shared" si="127"/>
        <v>0</v>
      </c>
      <c r="AR80" s="22">
        <f t="shared" si="128"/>
        <v>0</v>
      </c>
      <c r="AS80" s="22">
        <f t="shared" si="129"/>
        <v>0</v>
      </c>
      <c r="AT80" s="22">
        <f>ROW()</f>
        <v>80</v>
      </c>
      <c r="AU80" s="21">
        <f t="shared" si="130"/>
        <v>0</v>
      </c>
      <c r="AV80" s="21">
        <f t="shared" si="131"/>
        <v>0</v>
      </c>
      <c r="AW80" s="21">
        <f t="shared" si="132"/>
        <v>0</v>
      </c>
      <c r="AX80" s="22">
        <f t="shared" si="133"/>
        <v>0</v>
      </c>
      <c r="AY80" s="21">
        <f t="shared" si="134"/>
        <v>0</v>
      </c>
      <c r="AZ80" s="21">
        <f t="shared" si="135"/>
        <v>-1</v>
      </c>
      <c r="BA80" s="22">
        <f t="shared" si="136"/>
        <v>0</v>
      </c>
      <c r="BB80" s="22">
        <f t="shared" si="137"/>
        <v>1</v>
      </c>
      <c r="BC80" s="22">
        <f t="shared" si="138"/>
        <v>0</v>
      </c>
      <c r="BD80" s="21">
        <f t="shared" si="139"/>
        <v>0</v>
      </c>
      <c r="BE80" s="21" t="str">
        <f t="shared" si="140"/>
        <v>; E_MISSING_INPUT; E_MISSING_INPUT</v>
      </c>
      <c r="BF80" s="21" t="str">
        <f t="shared" si="141"/>
        <v>E_MISSING_INPUT</v>
      </c>
      <c r="BG80" s="22">
        <f t="shared" si="142"/>
        <v>0</v>
      </c>
      <c r="BH80" s="22">
        <f t="shared" si="143"/>
        <v>0</v>
      </c>
      <c r="BI80" s="22">
        <f t="shared" si="144"/>
        <v>0</v>
      </c>
      <c r="BJ80" s="22">
        <f t="shared" si="145"/>
        <v>0</v>
      </c>
      <c r="BK80" s="22">
        <f t="shared" si="146"/>
        <v>0</v>
      </c>
      <c r="BL80" s="22">
        <f t="shared" si="147"/>
        <v>0</v>
      </c>
      <c r="BM80" s="22">
        <f t="shared" si="148"/>
        <v>0</v>
      </c>
      <c r="BN80" s="22">
        <f t="shared" si="149"/>
        <v>0</v>
      </c>
      <c r="BO80" s="22">
        <f>IF(BG80=0,0,COUNTIFS(nADM_SelKey,AN80,nADM_SegValid,1,nADM_SegS_Loc_n,"&lt;"&amp;BL80,nADM_SegE_Loc_n,"&gt;"&amp;BK80)-IF(BL80&gt;BK80,1,0))</f>
        <v>0</v>
      </c>
      <c r="BP80" s="22">
        <f>IF(BH80=0,0,COUNTIFS(nADM_SelKey,AN80,nADM_SegOK,1,nADM_SegS_UTC_n,"&lt;"&amp;BJ80,nADM_SegE_UTC_n,"&gt;"&amp;BI80)-IF(BJ80&gt;BI80,1,0))</f>
        <v>0</v>
      </c>
      <c r="BQ80" s="21" t="str">
        <f t="shared" si="150"/>
        <v/>
      </c>
      <c r="BR80" s="22">
        <f>IF(C80="",1,IF(COUNTIF(nEXP_Key,AN80)&gt;0,1,0))</f>
        <v>1</v>
      </c>
      <c r="BS80" s="21" t="str">
        <f t="shared" si="151"/>
        <v/>
      </c>
      <c r="BT80" s="21" t="str">
        <f>IF(BS80="","",BS80&amp;": "&amp;SUBSTITUTE(IFERROR(INDEX(nMSG_Text,MATCH(BS80,nMSG_Code,0)),""),"[input]",IF(C80="","an Admin_ID",IF(BR80=0,"an Exposures row for episode "&amp;D80,IF(BQ80&lt;&gt;"","segment start and end timestamps and a rate in mg/hour","the date fields required by the selected precision")))))</f>
        <v/>
      </c>
    </row>
    <row r="81" spans="1:72" x14ac:dyDescent="0.2">
      <c r="A81" s="9" t="s">
        <v>383</v>
      </c>
      <c r="B81" s="11">
        <v>1</v>
      </c>
      <c r="C81" s="9" t="s">
        <v>521</v>
      </c>
      <c r="D81" s="9" t="s">
        <v>522</v>
      </c>
      <c r="E81" s="16" t="s">
        <v>100</v>
      </c>
      <c r="F81" s="16">
        <v>90</v>
      </c>
      <c r="G81" s="16" t="s">
        <v>106</v>
      </c>
      <c r="H81" s="16"/>
      <c r="I81" s="16"/>
      <c r="J81" s="16">
        <v>1.7</v>
      </c>
      <c r="K81" s="16"/>
      <c r="L81" s="9"/>
      <c r="M81" s="9" t="s">
        <v>676</v>
      </c>
      <c r="N81" s="16" t="s">
        <v>4</v>
      </c>
      <c r="O81" s="14">
        <v>46054</v>
      </c>
      <c r="P81" s="25"/>
      <c r="Q81" s="9"/>
      <c r="R81" s="11"/>
      <c r="S81" s="11"/>
      <c r="T81" s="14"/>
      <c r="U81" s="14"/>
      <c r="V81" s="9" t="s">
        <v>677</v>
      </c>
      <c r="W81" s="21" t="str">
        <f>IF(COUNTA(N81:U81)=0,"",IF(N81="","E_MISSING_INPUT",IF(N81="TIMESTAMP",IF(OR(O81="",P81="",Q81=""),"E_MISSING_INPUT",IF(OR(NOT(ISNUMBER(O81)),NOT(ISNUMBER(P81))),"E_INVALID_DATE",IF(OR(O81&lt;&gt;INT(O81),P81&lt;0,P81&gt;=1),"E_INVALID_DATE",IF(ISNA(MATCH(Q81,nLIST_Offset,0)),"E_INVALID_DATE","")))),IF(N81="DATE",IF(O81="","E_MISSING_INPUT",IF(NOT(ISNUMBER(O81)),"E_INVALID_DATE",IF(O81&lt;&gt;INT(O81),"E_INVALID_DATE",""))),IF(N81="MONTH",IF(OR(R81="",S81=""),"E_MISSING_INPUT",IF(OR(NOT(ISNUMBER(R81)),NOT(ISNUMBER(S81))),"E_INVALID_DATE",IF(OR(R81&lt;1900,R81&gt;9999,R81&lt;&gt;INT(R81),S81&lt;1,S81&gt;12,S81&lt;&gt;INT(S81)),"E_INVALID_DATE",""))),IF(N81="YEAR",IF(R81="","E_MISSING_INPUT",IF(NOT(ISNUMBER(R81)),"E_INVALID_DATE",IF(OR(R81&lt;1900,R81&gt;9999,R81&lt;&gt;INT(R81)),"E_INVALID_DATE",""))),IF(N81="RANGE",IF(OR(T81="",U81=""),"E_MISSING_INPUT",IF(OR(NOT(ISNUMBER(T81)),NOT(ISNUMBER(U81))),"E_INVALID_DATE",IF(OR(T81&lt;&gt;INT(T81),U81&lt;&gt;INT(U81)),"E_INVALID_DATE",IF(T81&gt;U81,"E_REVERSED_BOUNDS","")))),"E_MISSING_INPUT")))))))</f>
        <v/>
      </c>
      <c r="X81" s="22">
        <f t="shared" si="114"/>
        <v>0</v>
      </c>
      <c r="Y81" s="22">
        <f t="shared" si="115"/>
        <v>0</v>
      </c>
      <c r="Z81" s="28">
        <f t="shared" si="116"/>
        <v>46054</v>
      </c>
      <c r="AA81" s="28">
        <f t="shared" si="117"/>
        <v>46054</v>
      </c>
      <c r="AB81" s="22" t="str">
        <f t="shared" si="118"/>
        <v/>
      </c>
      <c r="AC81" s="22" t="str">
        <f t="shared" si="119"/>
        <v/>
      </c>
      <c r="AD81" s="14"/>
      <c r="AE81" s="25"/>
      <c r="AF81" s="9"/>
      <c r="AG81" s="9"/>
      <c r="AH81" s="21" t="str">
        <f>IF(COUNTA(AD81:AF81)=0,"",IF(OR(AD81="",AE81="",AF81=""),"E_MISSING_INPUT",IF(OR(NOT(ISNUMBER(AD81)),NOT(ISNUMBER(AE81))),"E_INVALID_DATE",IF(OR(AD81&lt;&gt;INT(AD81),AE81&lt;0,AE81&gt;=1),"E_INVALID_DATE",IF(ISNA(MATCH(AF81,nLIST_Offset,0)),"E_INVALID_DATE","")))))</f>
        <v/>
      </c>
      <c r="AI81" s="22" t="str">
        <f t="shared" si="120"/>
        <v/>
      </c>
      <c r="AJ81" s="22">
        <f t="shared" si="121"/>
        <v>0</v>
      </c>
      <c r="AK81" s="22" t="str">
        <f t="shared" si="122"/>
        <v/>
      </c>
      <c r="AL81" s="21" t="str">
        <f t="shared" si="123"/>
        <v>VEC-V38|1|D1</v>
      </c>
      <c r="AM81" s="22">
        <f>IF(AL81="",0,COUNTIF(nADM_Key,AL81))</f>
        <v>1</v>
      </c>
      <c r="AN81" s="21" t="str">
        <f t="shared" si="124"/>
        <v>VEC-V38|1|EX1</v>
      </c>
      <c r="AO81" s="22">
        <f t="shared" si="125"/>
        <v>1</v>
      </c>
      <c r="AP81" s="22">
        <f t="shared" si="126"/>
        <v>1</v>
      </c>
      <c r="AQ81" s="22">
        <f t="shared" si="127"/>
        <v>0</v>
      </c>
      <c r="AR81" s="22">
        <f t="shared" si="128"/>
        <v>0</v>
      </c>
      <c r="AS81" s="22">
        <f t="shared" si="129"/>
        <v>46054</v>
      </c>
      <c r="AT81" s="22">
        <f>ROW()</f>
        <v>81</v>
      </c>
      <c r="AU81" s="21">
        <f t="shared" si="130"/>
        <v>0</v>
      </c>
      <c r="AV81" s="21">
        <f t="shared" si="131"/>
        <v>90</v>
      </c>
      <c r="AW81" s="21">
        <f t="shared" si="132"/>
        <v>90</v>
      </c>
      <c r="AX81" s="22">
        <f t="shared" si="133"/>
        <v>1</v>
      </c>
      <c r="AY81" s="21">
        <f t="shared" si="134"/>
        <v>1.7</v>
      </c>
      <c r="AZ81" s="21">
        <f t="shared" si="135"/>
        <v>1.7</v>
      </c>
      <c r="BA81" s="22">
        <f t="shared" si="136"/>
        <v>1</v>
      </c>
      <c r="BB81" s="22">
        <f t="shared" si="137"/>
        <v>0</v>
      </c>
      <c r="BC81" s="22">
        <f t="shared" si="138"/>
        <v>1</v>
      </c>
      <c r="BD81" s="21">
        <f t="shared" si="139"/>
        <v>52.941176470588239</v>
      </c>
      <c r="BE81" s="21" t="str">
        <f t="shared" si="140"/>
        <v/>
      </c>
      <c r="BF81" s="21" t="str">
        <f t="shared" si="141"/>
        <v/>
      </c>
      <c r="BG81" s="22">
        <f t="shared" si="142"/>
        <v>0</v>
      </c>
      <c r="BH81" s="22">
        <f t="shared" si="143"/>
        <v>0</v>
      </c>
      <c r="BI81" s="22">
        <f t="shared" si="144"/>
        <v>0</v>
      </c>
      <c r="BJ81" s="22">
        <f t="shared" si="145"/>
        <v>0</v>
      </c>
      <c r="BK81" s="22">
        <f t="shared" si="146"/>
        <v>0</v>
      </c>
      <c r="BL81" s="22">
        <f t="shared" si="147"/>
        <v>0</v>
      </c>
      <c r="BM81" s="22">
        <f t="shared" si="148"/>
        <v>0</v>
      </c>
      <c r="BN81" s="22">
        <f t="shared" si="149"/>
        <v>0</v>
      </c>
      <c r="BO81" s="22">
        <f>IF(BG81=0,0,COUNTIFS(nADM_SelKey,AN81,nADM_SegValid,1,nADM_SegS_Loc_n,"&lt;"&amp;BL81,nADM_SegE_Loc_n,"&gt;"&amp;BK81)-IF(BL81&gt;BK81,1,0))</f>
        <v>0</v>
      </c>
      <c r="BP81" s="22">
        <f>IF(BH81=0,0,COUNTIFS(nADM_SelKey,AN81,nADM_SegOK,1,nADM_SegS_UTC_n,"&lt;"&amp;BJ81,nADM_SegE_UTC_n,"&gt;"&amp;BI81)-IF(BJ81&gt;BI81,1,0))</f>
        <v>0</v>
      </c>
      <c r="BQ81" s="21" t="str">
        <f t="shared" si="150"/>
        <v/>
      </c>
      <c r="BR81" s="22">
        <f>IF(C81="",1,IF(COUNTIF(nEXP_Key,AN81)&gt;0,1,0))</f>
        <v>1</v>
      </c>
      <c r="BS81" s="21" t="str">
        <f t="shared" si="151"/>
        <v/>
      </c>
      <c r="BT81" s="21" t="str">
        <f>IF(BS81="","",BS81&amp;": "&amp;SUBSTITUTE(IFERROR(INDEX(nMSG_Text,MATCH(BS81,nMSG_Code,0)),""),"[input]",IF(C81="","an Admin_ID",IF(BR81=0,"an Exposures row for episode "&amp;D81,IF(BQ81&lt;&gt;"","segment start and end timestamps and a rate in mg/hour","the date fields required by the selected precision")))))</f>
        <v/>
      </c>
    </row>
    <row r="82" spans="1:72" x14ac:dyDescent="0.2">
      <c r="A82" s="9" t="s">
        <v>383</v>
      </c>
      <c r="B82" s="11">
        <v>1</v>
      </c>
      <c r="C82" s="9" t="s">
        <v>565</v>
      </c>
      <c r="D82" s="9" t="s">
        <v>522</v>
      </c>
      <c r="E82" s="16" t="s">
        <v>100</v>
      </c>
      <c r="F82" s="16">
        <v>100</v>
      </c>
      <c r="G82" s="16" t="s">
        <v>106</v>
      </c>
      <c r="H82" s="16"/>
      <c r="I82" s="16"/>
      <c r="J82" s="16">
        <v>1.8</v>
      </c>
      <c r="K82" s="16"/>
      <c r="L82" s="9"/>
      <c r="M82" s="9" t="s">
        <v>526</v>
      </c>
      <c r="N82" s="16" t="s">
        <v>4</v>
      </c>
      <c r="O82" s="14">
        <v>46023</v>
      </c>
      <c r="P82" s="25"/>
      <c r="Q82" s="9"/>
      <c r="R82" s="11"/>
      <c r="S82" s="11"/>
      <c r="T82" s="14"/>
      <c r="U82" s="14"/>
      <c r="V82" s="9" t="s">
        <v>677</v>
      </c>
      <c r="W82" s="21" t="str">
        <f>IF(COUNTA(N82:U82)=0,"",IF(N82="","E_MISSING_INPUT",IF(N82="TIMESTAMP",IF(OR(O82="",P82="",Q82=""),"E_MISSING_INPUT",IF(OR(NOT(ISNUMBER(O82)),NOT(ISNUMBER(P82))),"E_INVALID_DATE",IF(OR(O82&lt;&gt;INT(O82),P82&lt;0,P82&gt;=1),"E_INVALID_DATE",IF(ISNA(MATCH(Q82,nLIST_Offset,0)),"E_INVALID_DATE","")))),IF(N82="DATE",IF(O82="","E_MISSING_INPUT",IF(NOT(ISNUMBER(O82)),"E_INVALID_DATE",IF(O82&lt;&gt;INT(O82),"E_INVALID_DATE",""))),IF(N82="MONTH",IF(OR(R82="",S82=""),"E_MISSING_INPUT",IF(OR(NOT(ISNUMBER(R82)),NOT(ISNUMBER(S82))),"E_INVALID_DATE",IF(OR(R82&lt;1900,R82&gt;9999,R82&lt;&gt;INT(R82),S82&lt;1,S82&gt;12,S82&lt;&gt;INT(S82)),"E_INVALID_DATE",""))),IF(N82="YEAR",IF(R82="","E_MISSING_INPUT",IF(NOT(ISNUMBER(R82)),"E_INVALID_DATE",IF(OR(R82&lt;1900,R82&gt;9999,R82&lt;&gt;INT(R82)),"E_INVALID_DATE",""))),IF(N82="RANGE",IF(OR(T82="",U82=""),"E_MISSING_INPUT",IF(OR(NOT(ISNUMBER(T82)),NOT(ISNUMBER(U82))),"E_INVALID_DATE",IF(OR(T82&lt;&gt;INT(T82),U82&lt;&gt;INT(U82)),"E_INVALID_DATE",IF(T82&gt;U82,"E_REVERSED_BOUNDS","")))),"E_MISSING_INPUT")))))))</f>
        <v/>
      </c>
      <c r="X82" s="22">
        <f t="shared" si="114"/>
        <v>0</v>
      </c>
      <c r="Y82" s="22">
        <f t="shared" si="115"/>
        <v>0</v>
      </c>
      <c r="Z82" s="28">
        <f t="shared" si="116"/>
        <v>46023</v>
      </c>
      <c r="AA82" s="28">
        <f t="shared" si="117"/>
        <v>46023</v>
      </c>
      <c r="AB82" s="22" t="str">
        <f t="shared" si="118"/>
        <v/>
      </c>
      <c r="AC82" s="22" t="str">
        <f t="shared" si="119"/>
        <v/>
      </c>
      <c r="AD82" s="14"/>
      <c r="AE82" s="25"/>
      <c r="AF82" s="9"/>
      <c r="AG82" s="9"/>
      <c r="AH82" s="21" t="str">
        <f>IF(COUNTA(AD82:AF82)=0,"",IF(OR(AD82="",AE82="",AF82=""),"E_MISSING_INPUT",IF(OR(NOT(ISNUMBER(AD82)),NOT(ISNUMBER(AE82))),"E_INVALID_DATE",IF(OR(AD82&lt;&gt;INT(AD82),AE82&lt;0,AE82&gt;=1),"E_INVALID_DATE",IF(ISNA(MATCH(AF82,nLIST_Offset,0)),"E_INVALID_DATE","")))))</f>
        <v/>
      </c>
      <c r="AI82" s="22" t="str">
        <f t="shared" si="120"/>
        <v/>
      </c>
      <c r="AJ82" s="22">
        <f t="shared" si="121"/>
        <v>0</v>
      </c>
      <c r="AK82" s="22" t="str">
        <f t="shared" si="122"/>
        <v/>
      </c>
      <c r="AL82" s="21" t="str">
        <f t="shared" si="123"/>
        <v>VEC-V38|1|D2</v>
      </c>
      <c r="AM82" s="22">
        <f>IF(AL82="",0,COUNTIF(nADM_Key,AL82))</f>
        <v>1</v>
      </c>
      <c r="AN82" s="21" t="str">
        <f t="shared" si="124"/>
        <v>VEC-V38|1|EX1</v>
      </c>
      <c r="AO82" s="22">
        <f t="shared" si="125"/>
        <v>1</v>
      </c>
      <c r="AP82" s="22">
        <f t="shared" si="126"/>
        <v>1</v>
      </c>
      <c r="AQ82" s="22">
        <f t="shared" si="127"/>
        <v>0</v>
      </c>
      <c r="AR82" s="22">
        <f t="shared" si="128"/>
        <v>0</v>
      </c>
      <c r="AS82" s="22">
        <f t="shared" si="129"/>
        <v>46023</v>
      </c>
      <c r="AT82" s="22">
        <f>ROW()</f>
        <v>82</v>
      </c>
      <c r="AU82" s="21">
        <f t="shared" si="130"/>
        <v>0</v>
      </c>
      <c r="AV82" s="21">
        <f t="shared" si="131"/>
        <v>100</v>
      </c>
      <c r="AW82" s="21">
        <f t="shared" si="132"/>
        <v>100</v>
      </c>
      <c r="AX82" s="22">
        <f t="shared" si="133"/>
        <v>1</v>
      </c>
      <c r="AY82" s="21">
        <f t="shared" si="134"/>
        <v>1.8</v>
      </c>
      <c r="AZ82" s="21">
        <f t="shared" si="135"/>
        <v>1.8</v>
      </c>
      <c r="BA82" s="22">
        <f t="shared" si="136"/>
        <v>1</v>
      </c>
      <c r="BB82" s="22">
        <f t="shared" si="137"/>
        <v>0</v>
      </c>
      <c r="BC82" s="22">
        <f t="shared" si="138"/>
        <v>1</v>
      </c>
      <c r="BD82" s="21">
        <f t="shared" si="139"/>
        <v>55.555555555555557</v>
      </c>
      <c r="BE82" s="21" t="str">
        <f t="shared" si="140"/>
        <v/>
      </c>
      <c r="BF82" s="21" t="str">
        <f t="shared" si="141"/>
        <v/>
      </c>
      <c r="BG82" s="22">
        <f t="shared" si="142"/>
        <v>0</v>
      </c>
      <c r="BH82" s="22">
        <f t="shared" si="143"/>
        <v>0</v>
      </c>
      <c r="BI82" s="22">
        <f t="shared" si="144"/>
        <v>0</v>
      </c>
      <c r="BJ82" s="22">
        <f t="shared" si="145"/>
        <v>0</v>
      </c>
      <c r="BK82" s="22">
        <f t="shared" si="146"/>
        <v>0</v>
      </c>
      <c r="BL82" s="22">
        <f t="shared" si="147"/>
        <v>0</v>
      </c>
      <c r="BM82" s="22">
        <f t="shared" si="148"/>
        <v>0</v>
      </c>
      <c r="BN82" s="22">
        <f t="shared" si="149"/>
        <v>0</v>
      </c>
      <c r="BO82" s="22">
        <f>IF(BG82=0,0,COUNTIFS(nADM_SelKey,AN82,nADM_SegValid,1,nADM_SegS_Loc_n,"&lt;"&amp;BL82,nADM_SegE_Loc_n,"&gt;"&amp;BK82)-IF(BL82&gt;BK82,1,0))</f>
        <v>0</v>
      </c>
      <c r="BP82" s="22">
        <f>IF(BH82=0,0,COUNTIFS(nADM_SelKey,AN82,nADM_SegOK,1,nADM_SegS_UTC_n,"&lt;"&amp;BJ82,nADM_SegE_UTC_n,"&gt;"&amp;BI82)-IF(BJ82&gt;BI82,1,0))</f>
        <v>0</v>
      </c>
      <c r="BQ82" s="21" t="str">
        <f t="shared" si="150"/>
        <v/>
      </c>
      <c r="BR82" s="22">
        <f>IF(C82="",1,IF(COUNTIF(nEXP_Key,AN82)&gt;0,1,0))</f>
        <v>1</v>
      </c>
      <c r="BS82" s="21" t="str">
        <f t="shared" si="151"/>
        <v/>
      </c>
      <c r="BT82" s="21" t="str">
        <f>IF(BS82="","",BS82&amp;": "&amp;SUBSTITUTE(IFERROR(INDEX(nMSG_Text,MATCH(BS82,nMSG_Code,0)),""),"[input]",IF(C82="","an Admin_ID",IF(BR82=0,"an Exposures row for episode "&amp;D82,IF(BQ82&lt;&gt;"","segment start and end timestamps and a rate in mg/hour","the date fields required by the selected precision")))))</f>
        <v/>
      </c>
    </row>
    <row r="83" spans="1:72" x14ac:dyDescent="0.2">
      <c r="A83" s="9" t="s">
        <v>383</v>
      </c>
      <c r="B83" s="11">
        <v>1</v>
      </c>
      <c r="C83" s="9" t="s">
        <v>670</v>
      </c>
      <c r="D83" s="9" t="s">
        <v>522</v>
      </c>
      <c r="E83" s="16" t="s">
        <v>100</v>
      </c>
      <c r="F83" s="16">
        <v>100</v>
      </c>
      <c r="G83" s="16" t="s">
        <v>106</v>
      </c>
      <c r="H83" s="16"/>
      <c r="I83" s="16"/>
      <c r="J83" s="16">
        <v>1.8</v>
      </c>
      <c r="K83" s="16"/>
      <c r="L83" s="9"/>
      <c r="M83" s="9" t="s">
        <v>555</v>
      </c>
      <c r="N83" s="16" t="s">
        <v>4</v>
      </c>
      <c r="O83" s="14">
        <v>46037</v>
      </c>
      <c r="P83" s="25"/>
      <c r="Q83" s="9"/>
      <c r="R83" s="11"/>
      <c r="S83" s="11"/>
      <c r="T83" s="14"/>
      <c r="U83" s="14"/>
      <c r="V83" s="9" t="s">
        <v>677</v>
      </c>
      <c r="W83" s="21" t="str">
        <f>IF(COUNTA(N83:U83)=0,"",IF(N83="","E_MISSING_INPUT",IF(N83="TIMESTAMP",IF(OR(O83="",P83="",Q83=""),"E_MISSING_INPUT",IF(OR(NOT(ISNUMBER(O83)),NOT(ISNUMBER(P83))),"E_INVALID_DATE",IF(OR(O83&lt;&gt;INT(O83),P83&lt;0,P83&gt;=1),"E_INVALID_DATE",IF(ISNA(MATCH(Q83,nLIST_Offset,0)),"E_INVALID_DATE","")))),IF(N83="DATE",IF(O83="","E_MISSING_INPUT",IF(NOT(ISNUMBER(O83)),"E_INVALID_DATE",IF(O83&lt;&gt;INT(O83),"E_INVALID_DATE",""))),IF(N83="MONTH",IF(OR(R83="",S83=""),"E_MISSING_INPUT",IF(OR(NOT(ISNUMBER(R83)),NOT(ISNUMBER(S83))),"E_INVALID_DATE",IF(OR(R83&lt;1900,R83&gt;9999,R83&lt;&gt;INT(R83),S83&lt;1,S83&gt;12,S83&lt;&gt;INT(S83)),"E_INVALID_DATE",""))),IF(N83="YEAR",IF(R83="","E_MISSING_INPUT",IF(NOT(ISNUMBER(R83)),"E_INVALID_DATE",IF(OR(R83&lt;1900,R83&gt;9999,R83&lt;&gt;INT(R83)),"E_INVALID_DATE",""))),IF(N83="RANGE",IF(OR(T83="",U83=""),"E_MISSING_INPUT",IF(OR(NOT(ISNUMBER(T83)),NOT(ISNUMBER(U83))),"E_INVALID_DATE",IF(OR(T83&lt;&gt;INT(T83),U83&lt;&gt;INT(U83)),"E_INVALID_DATE",IF(T83&gt;U83,"E_REVERSED_BOUNDS","")))),"E_MISSING_INPUT")))))))</f>
        <v/>
      </c>
      <c r="X83" s="22">
        <f t="shared" si="114"/>
        <v>0</v>
      </c>
      <c r="Y83" s="22">
        <f t="shared" si="115"/>
        <v>0</v>
      </c>
      <c r="Z83" s="28">
        <f t="shared" si="116"/>
        <v>46037</v>
      </c>
      <c r="AA83" s="28">
        <f t="shared" si="117"/>
        <v>46037</v>
      </c>
      <c r="AB83" s="22" t="str">
        <f t="shared" si="118"/>
        <v/>
      </c>
      <c r="AC83" s="22" t="str">
        <f t="shared" si="119"/>
        <v/>
      </c>
      <c r="AD83" s="14"/>
      <c r="AE83" s="25"/>
      <c r="AF83" s="9"/>
      <c r="AG83" s="9"/>
      <c r="AH83" s="21" t="str">
        <f>IF(COUNTA(AD83:AF83)=0,"",IF(OR(AD83="",AE83="",AF83=""),"E_MISSING_INPUT",IF(OR(NOT(ISNUMBER(AD83)),NOT(ISNUMBER(AE83))),"E_INVALID_DATE",IF(OR(AD83&lt;&gt;INT(AD83),AE83&lt;0,AE83&gt;=1),"E_INVALID_DATE",IF(ISNA(MATCH(AF83,nLIST_Offset,0)),"E_INVALID_DATE","")))))</f>
        <v/>
      </c>
      <c r="AI83" s="22" t="str">
        <f t="shared" si="120"/>
        <v/>
      </c>
      <c r="AJ83" s="22">
        <f t="shared" si="121"/>
        <v>0</v>
      </c>
      <c r="AK83" s="22" t="str">
        <f t="shared" si="122"/>
        <v/>
      </c>
      <c r="AL83" s="21" t="str">
        <f t="shared" si="123"/>
        <v>VEC-V38|1|D3</v>
      </c>
      <c r="AM83" s="22">
        <f>IF(AL83="",0,COUNTIF(nADM_Key,AL83))</f>
        <v>1</v>
      </c>
      <c r="AN83" s="21" t="str">
        <f t="shared" si="124"/>
        <v>VEC-V38|1|EX1</v>
      </c>
      <c r="AO83" s="22">
        <f t="shared" si="125"/>
        <v>1</v>
      </c>
      <c r="AP83" s="22">
        <f t="shared" si="126"/>
        <v>1</v>
      </c>
      <c r="AQ83" s="22">
        <f t="shared" si="127"/>
        <v>0</v>
      </c>
      <c r="AR83" s="22">
        <f t="shared" si="128"/>
        <v>0</v>
      </c>
      <c r="AS83" s="22">
        <f t="shared" si="129"/>
        <v>46037</v>
      </c>
      <c r="AT83" s="22">
        <f>ROW()</f>
        <v>83</v>
      </c>
      <c r="AU83" s="21">
        <f t="shared" si="130"/>
        <v>0</v>
      </c>
      <c r="AV83" s="21">
        <f t="shared" si="131"/>
        <v>100</v>
      </c>
      <c r="AW83" s="21">
        <f t="shared" si="132"/>
        <v>100</v>
      </c>
      <c r="AX83" s="22">
        <f t="shared" si="133"/>
        <v>1</v>
      </c>
      <c r="AY83" s="21">
        <f t="shared" si="134"/>
        <v>1.8</v>
      </c>
      <c r="AZ83" s="21">
        <f t="shared" si="135"/>
        <v>1.8</v>
      </c>
      <c r="BA83" s="22">
        <f t="shared" si="136"/>
        <v>1</v>
      </c>
      <c r="BB83" s="22">
        <f t="shared" si="137"/>
        <v>0</v>
      </c>
      <c r="BC83" s="22">
        <f t="shared" si="138"/>
        <v>1</v>
      </c>
      <c r="BD83" s="21">
        <f t="shared" si="139"/>
        <v>55.555555555555557</v>
      </c>
      <c r="BE83" s="21" t="str">
        <f t="shared" si="140"/>
        <v/>
      </c>
      <c r="BF83" s="21" t="str">
        <f t="shared" si="141"/>
        <v/>
      </c>
      <c r="BG83" s="22">
        <f t="shared" si="142"/>
        <v>0</v>
      </c>
      <c r="BH83" s="22">
        <f t="shared" si="143"/>
        <v>0</v>
      </c>
      <c r="BI83" s="22">
        <f t="shared" si="144"/>
        <v>0</v>
      </c>
      <c r="BJ83" s="22">
        <f t="shared" si="145"/>
        <v>0</v>
      </c>
      <c r="BK83" s="22">
        <f t="shared" si="146"/>
        <v>0</v>
      </c>
      <c r="BL83" s="22">
        <f t="shared" si="147"/>
        <v>0</v>
      </c>
      <c r="BM83" s="22">
        <f t="shared" si="148"/>
        <v>0</v>
      </c>
      <c r="BN83" s="22">
        <f t="shared" si="149"/>
        <v>0</v>
      </c>
      <c r="BO83" s="22">
        <f>IF(BG83=0,0,COUNTIFS(nADM_SelKey,AN83,nADM_SegValid,1,nADM_SegS_Loc_n,"&lt;"&amp;BL83,nADM_SegE_Loc_n,"&gt;"&amp;BK83)-IF(BL83&gt;BK83,1,0))</f>
        <v>0</v>
      </c>
      <c r="BP83" s="22">
        <f>IF(BH83=0,0,COUNTIFS(nADM_SelKey,AN83,nADM_SegOK,1,nADM_SegS_UTC_n,"&lt;"&amp;BJ83,nADM_SegE_UTC_n,"&gt;"&amp;BI83)-IF(BJ83&gt;BI83,1,0))</f>
        <v>0</v>
      </c>
      <c r="BQ83" s="21" t="str">
        <f t="shared" si="150"/>
        <v/>
      </c>
      <c r="BR83" s="22">
        <f>IF(C83="",1,IF(COUNTIF(nEXP_Key,AN83)&gt;0,1,0))</f>
        <v>1</v>
      </c>
      <c r="BS83" s="21" t="str">
        <f t="shared" si="151"/>
        <v/>
      </c>
      <c r="BT83" s="21" t="str">
        <f>IF(BS83="","",BS83&amp;": "&amp;SUBSTITUTE(IFERROR(INDEX(nMSG_Text,MATCH(BS83,nMSG_Code,0)),""),"[input]",IF(C83="","an Admin_ID",IF(BR83=0,"an Exposures row for episode "&amp;D83,IF(BQ83&lt;&gt;"","segment start and end timestamps and a rate in mg/hour","the date fields required by the selected precision")))))</f>
        <v/>
      </c>
    </row>
  </sheetData>
  <sheetProtection sheet="1" objects="1" scenarios="1" formatColumns="0" formatRows="0" autoFilter="0"/>
  <autoFilter ref="A4:BT83" xr:uid="{ED2B3F06-C734-44EF-AEA4-67660E823CC8}"/>
  <dataValidations count="13">
    <dataValidation type="whole" operator="greaterThanOrEqual" allowBlank="1" showInputMessage="1" showErrorMessage="1" sqref="B5:B64" xr:uid="{4CD61F93-3C02-45C0-B55B-4B1030F3EAEA}">
      <formula1>1</formula1>
    </dataValidation>
    <dataValidation type="list" allowBlank="1" showInputMessage="1" showErrorMessage="1" prompt="INFUSION_SEGMENT rows need a start timestamp, an end timestamp and a rate in mg/hour for Q9." sqref="E5:E64" xr:uid="{1D40CAB6-229E-4353-8539-1A3F908B441F}">
      <formula1>nLIST_AdminKind</formula1>
    </dataValidation>
    <dataValidation type="decimal" allowBlank="1" showInputMessage="1" showErrorMessage="1" sqref="F5:F64 H5:H64 J5:J64" xr:uid="{6A470668-9B39-4D15-925C-71CE3AAEA726}">
      <formula1>-1000000000000</formula1>
      <formula2>1000000000000</formula2>
    </dataValidation>
    <dataValidation type="list" allowBlank="1" showInputMessage="1" showErrorMessage="1" sqref="G5:G64" xr:uid="{718338AB-568F-47DA-BAB5-D8A787B514AC}">
      <formula1>nLIST_DoseUnit</formula1>
    </dataValidation>
    <dataValidation type="list" allowBlank="1" showInputMessage="1" showErrorMessage="1" sqref="I5:I64" xr:uid="{09269EA1-59BD-4C32-9348-91C5E70C0B62}">
      <formula1>nLIST_RateUnit</formula1>
    </dataValidation>
    <dataValidation type="list" errorStyle="information" allowBlank="1" showInputMessage="1" showErrorMessage="1" sqref="K5:K64" xr:uid="{C2E3C755-DF75-4B90-B091-19E182157438}">
      <formula1>nLIST_MissingReason</formula1>
    </dataValidation>
    <dataValidation type="list" allowBlank="1" showInputMessage="1" showErrorMessage="1" prompt="TIMESTAMP: Date + Time + UTC offset (choose unknown if not recorded). DATE: Date only. MONTH: Year + Month. YEAR: Year. RANGE: earliest and latest dates as stated, with the source." sqref="N5:N64" xr:uid="{D0071EE2-F35C-4FF6-8437-7CB86D333282}">
      <formula1>nLIST_Precision</formula1>
    </dataValidation>
    <dataValidation type="date" allowBlank="1" showInputMessage="1" showErrorMessage="1" sqref="O5:O64 T5:T64 U5:U64 AD5:AD64" xr:uid="{DDCCFC24-2789-4BDB-8943-BC78AC7A737F}">
      <formula1>1</formula1>
      <formula2>2958465</formula2>
    </dataValidation>
    <dataValidation type="time" allowBlank="1" showInputMessage="1" showErrorMessage="1" sqref="P5:P64" xr:uid="{7DA67623-2714-4BA0-B48A-CB4A04B3595F}">
      <formula1>0</formula1>
      <formula2>0.9993055</formula2>
    </dataValidation>
    <dataValidation type="list" allowBlank="1" showInputMessage="1" showErrorMessage="1" sqref="Q5:Q64 AF5:AF64" xr:uid="{F8C2ECB2-5A84-40A3-9FF8-D5940EAE6AC7}">
      <formula1>nLIST_Offset</formula1>
    </dataValidation>
    <dataValidation type="whole" allowBlank="1" showInputMessage="1" showErrorMessage="1" sqref="R5:R64" xr:uid="{3878EE35-C9C8-4EA3-B5EB-FF22B095C2A8}">
      <formula1>1900</formula1>
      <formula2>9999</formula2>
    </dataValidation>
    <dataValidation type="whole" allowBlank="1" showInputMessage="1" showErrorMessage="1" sqref="S5:S64" xr:uid="{27263EC3-EB5F-4835-9DEA-60D397CB287B}">
      <formula1>1</formula1>
      <formula2>12</formula2>
    </dataValidation>
    <dataValidation type="time" allowBlank="1" showInputMessage="1" showErrorMessage="1" sqref="AE5:AE64" xr:uid="{9C643E6F-BFD6-4CBD-B355-B0369551EEE2}">
      <formula1>0</formula1>
      <formula2>0.999305555555556</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564E9-5518-4999-88BC-083380B8DFB5}">
  <dimension ref="A1:BA48"/>
  <sheetViews>
    <sheetView zoomScale="90" zoomScaleNormal="90" workbookViewId="0">
      <pane xSplit="4" ySplit="4" topLeftCell="E5" activePane="bottomRight" state="frozenSplit"/>
      <selection pane="topRight" activeCell="E1" sqref="E1"/>
      <selection pane="bottomLeft" activeCell="A5" sqref="A5"/>
      <selection pane="bottomRight"/>
    </sheetView>
  </sheetViews>
  <sheetFormatPr defaultRowHeight="12.75" x14ac:dyDescent="0.2"/>
  <cols>
    <col min="1" max="1" width="10.7109375" style="1" customWidth="1"/>
    <col min="2" max="2" width="7.7109375" style="1" customWidth="1"/>
    <col min="3" max="3" width="8.7109375" style="1" customWidth="1"/>
    <col min="4" max="4" width="11.7109375" style="1" customWidth="1"/>
    <col min="5" max="5" width="28.7109375" style="1" customWidth="1"/>
    <col min="6" max="6" width="24.7109375" style="1" customWidth="1"/>
    <col min="7" max="7" width="12.7109375" style="1" customWidth="1"/>
    <col min="8" max="8" width="22.7109375" style="1" customWidth="1"/>
    <col min="9" max="9" width="26.7109375" style="1" customWidth="1"/>
    <col min="10" max="10" width="11.7109375" style="1" customWidth="1"/>
    <col min="11" max="11" width="15.7109375" style="1" customWidth="1"/>
    <col min="12" max="13" width="9.7109375" style="1" customWidth="1"/>
    <col min="14" max="15" width="7.7109375" style="1" customWidth="1"/>
    <col min="16" max="17" width="15.7109375" style="1" customWidth="1"/>
    <col min="18" max="19" width="12.7109375" style="1" customWidth="1"/>
    <col min="20" max="20" width="22.7109375" style="1" customWidth="1"/>
    <col min="21" max="21" width="12.7109375" style="1" customWidth="1"/>
    <col min="22" max="23" width="6.7109375" style="1" customWidth="1"/>
    <col min="24" max="25" width="14.7109375" style="1" customWidth="1"/>
    <col min="26" max="27" width="11.7109375" style="1" customWidth="1"/>
    <col min="28" max="29" width="5.7109375" style="1" customWidth="1"/>
    <col min="30" max="31" width="10.7109375" style="1" customWidth="1"/>
    <col min="32" max="32" width="12.7109375" style="1" customWidth="1"/>
    <col min="33" max="33" width="26.7109375" style="1" customWidth="1"/>
    <col min="34" max="34" width="11.7109375" style="1" customWidth="1"/>
    <col min="35" max="35" width="15.7109375" style="1" customWidth="1"/>
    <col min="36" max="37" width="9.7109375" style="1" customWidth="1"/>
    <col min="38" max="39" width="7.7109375" style="1" customWidth="1"/>
    <col min="40" max="41" width="15.7109375" style="1" customWidth="1"/>
    <col min="42" max="42" width="22.7109375" style="1" customWidth="1"/>
    <col min="43" max="43" width="12.7109375" style="1" customWidth="1"/>
    <col min="44" max="45" width="6.7109375" style="1" customWidth="1"/>
    <col min="46" max="47" width="14.7109375" style="1" customWidth="1"/>
    <col min="48" max="49" width="11.7109375" style="1" customWidth="1"/>
    <col min="50" max="50" width="14.7109375" style="1" customWidth="1"/>
    <col min="51" max="51" width="5.7109375" style="1" customWidth="1"/>
    <col min="52" max="52" width="14.7109375" style="1" customWidth="1"/>
    <col min="53" max="53" width="40.7109375" style="1" customWidth="1"/>
    <col min="54" max="16384" width="9.140625" style="1"/>
  </cols>
  <sheetData>
    <row r="1" spans="1:53" ht="17.25" x14ac:dyDescent="0.3">
      <c r="A1" s="6" t="s">
        <v>678</v>
      </c>
    </row>
    <row r="2" spans="1:53" x14ac:dyDescent="0.2">
      <c r="A2" s="7" t="s">
        <v>278</v>
      </c>
    </row>
    <row r="3" spans="1:53" x14ac:dyDescent="0.2">
      <c r="A3" s="2" t="s">
        <v>679</v>
      </c>
      <c r="I3" s="2" t="s">
        <v>684</v>
      </c>
      <c r="AG3" s="2" t="s">
        <v>709</v>
      </c>
      <c r="AX3" s="2" t="s">
        <v>289</v>
      </c>
    </row>
    <row r="4" spans="1:53" ht="66" customHeight="1" x14ac:dyDescent="0.2">
      <c r="A4" s="8" t="s">
        <v>280</v>
      </c>
      <c r="B4" s="8" t="s">
        <v>281</v>
      </c>
      <c r="C4" s="8" t="s">
        <v>680</v>
      </c>
      <c r="D4" s="8" t="s">
        <v>681</v>
      </c>
      <c r="E4" s="8" t="s">
        <v>682</v>
      </c>
      <c r="F4" s="8" t="s">
        <v>683</v>
      </c>
      <c r="G4" s="8" t="s">
        <v>394</v>
      </c>
      <c r="H4" s="8" t="s">
        <v>395</v>
      </c>
      <c r="I4" s="8" t="s">
        <v>685</v>
      </c>
      <c r="J4" s="8" t="s">
        <v>686</v>
      </c>
      <c r="K4" s="8" t="s">
        <v>687</v>
      </c>
      <c r="L4" s="8" t="s">
        <v>688</v>
      </c>
      <c r="M4" s="8" t="s">
        <v>689</v>
      </c>
      <c r="N4" s="8" t="s">
        <v>690</v>
      </c>
      <c r="O4" s="8" t="s">
        <v>691</v>
      </c>
      <c r="P4" s="8" t="s">
        <v>692</v>
      </c>
      <c r="Q4" s="8" t="s">
        <v>693</v>
      </c>
      <c r="R4" s="8" t="s">
        <v>694</v>
      </c>
      <c r="S4" s="8" t="s">
        <v>695</v>
      </c>
      <c r="T4" s="8" t="s">
        <v>696</v>
      </c>
      <c r="U4" s="19" t="s">
        <v>697</v>
      </c>
      <c r="V4" s="19" t="s">
        <v>698</v>
      </c>
      <c r="W4" s="19" t="s">
        <v>699</v>
      </c>
      <c r="X4" s="19" t="s">
        <v>700</v>
      </c>
      <c r="Y4" s="19" t="s">
        <v>701</v>
      </c>
      <c r="Z4" s="19" t="s">
        <v>702</v>
      </c>
      <c r="AA4" s="19" t="s">
        <v>703</v>
      </c>
      <c r="AB4" s="19" t="s">
        <v>704</v>
      </c>
      <c r="AC4" s="19" t="s">
        <v>705</v>
      </c>
      <c r="AD4" s="19" t="s">
        <v>706</v>
      </c>
      <c r="AE4" s="19" t="s">
        <v>707</v>
      </c>
      <c r="AF4" s="19" t="s">
        <v>708</v>
      </c>
      <c r="AG4" s="8" t="s">
        <v>710</v>
      </c>
      <c r="AH4" s="8" t="s">
        <v>711</v>
      </c>
      <c r="AI4" s="8" t="s">
        <v>712</v>
      </c>
      <c r="AJ4" s="8" t="s">
        <v>713</v>
      </c>
      <c r="AK4" s="8" t="s">
        <v>714</v>
      </c>
      <c r="AL4" s="8" t="s">
        <v>715</v>
      </c>
      <c r="AM4" s="8" t="s">
        <v>716</v>
      </c>
      <c r="AN4" s="8" t="s">
        <v>717</v>
      </c>
      <c r="AO4" s="8" t="s">
        <v>718</v>
      </c>
      <c r="AP4" s="8" t="s">
        <v>719</v>
      </c>
      <c r="AQ4" s="19" t="s">
        <v>720</v>
      </c>
      <c r="AR4" s="19" t="s">
        <v>721</v>
      </c>
      <c r="AS4" s="19" t="s">
        <v>722</v>
      </c>
      <c r="AT4" s="19" t="s">
        <v>723</v>
      </c>
      <c r="AU4" s="19" t="s">
        <v>724</v>
      </c>
      <c r="AV4" s="19" t="s">
        <v>725</v>
      </c>
      <c r="AW4" s="19" t="s">
        <v>726</v>
      </c>
      <c r="AX4" s="19" t="s">
        <v>727</v>
      </c>
      <c r="AY4" s="19" t="s">
        <v>291</v>
      </c>
      <c r="AZ4" s="19" t="s">
        <v>646</v>
      </c>
      <c r="BA4" s="19" t="s">
        <v>293</v>
      </c>
    </row>
    <row r="5" spans="1:53" x14ac:dyDescent="0.2">
      <c r="A5" s="10"/>
      <c r="B5" s="12"/>
      <c r="C5" s="10"/>
      <c r="D5" s="10"/>
      <c r="E5" s="10"/>
      <c r="F5" s="10"/>
      <c r="G5" s="17"/>
      <c r="H5" s="10"/>
      <c r="I5" s="10"/>
      <c r="J5" s="17"/>
      <c r="K5" s="15"/>
      <c r="L5" s="26"/>
      <c r="M5" s="10"/>
      <c r="N5" s="12"/>
      <c r="O5" s="12"/>
      <c r="P5" s="15"/>
      <c r="Q5" s="15"/>
      <c r="R5" s="10"/>
      <c r="S5" s="10"/>
      <c r="T5" s="10"/>
      <c r="U5" s="21" t="str">
        <f>IF(COUNTA(J5:Q5)=0,"",IF(J5="","E_MISSING_INPUT",IF(J5="LAB",AF5,IF(J5="TIMESTAMP",IF(OR(K5="",L5="",M5=""),"E_MISSING_INPUT",IF(OR(NOT(ISNUMBER(K5)),NOT(ISNUMBER(L5))),"E_INVALID_DATE",IF(OR(K5&lt;&gt;INT(K5),L5&lt;0,L5&gt;=1),"E_INVALID_DATE",IF(ISNA(MATCH(M5,nLIST_Offset,0)),"E_INVALID_DATE","")))),IF(J5="DATE",IF(K5="","E_MISSING_INPUT",IF(NOT(ISNUMBER(K5)),"E_INVALID_DATE",IF(K5&lt;&gt;INT(K5),"E_INVALID_DATE",""))),IF(J5="MONTH",IF(OR(N5="",O5=""),"E_MISSING_INPUT",IF(OR(NOT(ISNUMBER(N5)),NOT(ISNUMBER(O5))),"E_INVALID_DATE",IF(OR(N5&lt;1900,N5&gt;9999,N5&lt;&gt;INT(N5),O5&lt;1,O5&gt;12,O5&lt;&gt;INT(O5)),"E_INVALID_DATE",""))),IF(J5="YEAR",IF(N5="","E_MISSING_INPUT",IF(NOT(ISNUMBER(N5)),"E_INVALID_DATE",IF(OR(N5&lt;1900,N5&gt;9999,N5&lt;&gt;INT(N5)),"E_INVALID_DATE",""))),IF(J5="RANGE",IF(OR(P5="",Q5=""),"E_MISSING_INPUT",IF(OR(NOT(ISNUMBER(P5)),NOT(ISNUMBER(Q5))),"E_INVALID_DATE",IF(OR(P5&lt;&gt;INT(P5),Q5&lt;&gt;INT(Q5)),"E_INVALID_DATE",IF(P5&gt;Q5,"E_REVERSED_BOUNDS","")))),"E_MISSING_INPUT"))))))))</f>
        <v/>
      </c>
      <c r="V5" s="22">
        <f t="shared" ref="V5:V19" si="0">IF(AND(U5="",J5="TIMESTAMP"),1,0)</f>
        <v>0</v>
      </c>
      <c r="W5" s="22">
        <f t="shared" ref="W5:W19" si="1">IF(AND(V5=1,M5&lt;&gt;"unknown"),1,0)</f>
        <v>0</v>
      </c>
      <c r="X5" s="28" t="str">
        <f>IF(OR(U5&lt;&gt;"",J5=""),"",IF(J5="LAB",INDEX(nMS_M_Lo,AB5),IF(OR(J5="TIMESTAMP",J5="DATE"),K5,IF(J5="MONTH",DATE(N5,O5,1),IF(J5="YEAR",DATE(N5,1,1),P5)))))</f>
        <v/>
      </c>
      <c r="Y5" s="28" t="str">
        <f>IF(OR(U5&lt;&gt;"",J5=""),"",IF(J5="LAB",INDEX(nMS_M_Hi,AC5),IF(OR(J5="TIMESTAMP",J5="DATE"),K5,IF(J5="MONTH",EOMONTH(DATE(N5,O5,1),0),IF(J5="YEAR",DATE(N5,12,31),Q5)))))</f>
        <v/>
      </c>
      <c r="Z5" s="22" t="str">
        <f t="shared" ref="Z5:Z19" si="2">IF(V5=1,K5*1440+ROUND(L5*1440,0),"")</f>
        <v/>
      </c>
      <c r="AA5" s="22" t="str">
        <f t="shared" ref="AA5:AA19" si="3">IF(W5=1,Z5-(IF(LEFT(M5,1)="-",-1,1)*(VALUE(MID(M5,2,2))*60+VALUE(MID(M5,5,2)))),"")</f>
        <v/>
      </c>
      <c r="AB5" s="22">
        <f>IF(R5="",0,IFERROR(MATCH(A5&amp;"|"&amp;B5&amp;"|"&amp;R5,nMS_Key,0),0))</f>
        <v>0</v>
      </c>
      <c r="AC5" s="22">
        <f>IF(S5="",0,IFERROR(MATCH(A5&amp;"|"&amp;B5&amp;"|"&amp;S5,nMS_Key,0),0))</f>
        <v>0</v>
      </c>
      <c r="AD5" s="21" t="str">
        <f>IF(J5&lt;&gt;"LAB","",IF(R5="","E_MISSING_INPUT",IF(AB5=0,"E_MISSING_INPUT",IF(INDEX(nMS_M_Lo,AB5)="",IF(INDEX(nMS_M_Err,AB5)="","E_MISSING_INPUT",INDEX(nMS_M_Err,AB5)),""))))</f>
        <v/>
      </c>
      <c r="AE5" s="21" t="str">
        <f>IF(J5&lt;&gt;"LAB","",IF(S5="","E_MISSING_INPUT",IF(AC5=0,"E_MISSING_INPUT",IF(INDEX(nMS_M_Lo,AC5)="",IF(INDEX(nMS_M_Err,AC5)="","E_MISSING_INPUT",INDEX(nMS_M_Err,AC5)),""))))</f>
        <v/>
      </c>
      <c r="AF5" s="21" t="str">
        <f>IF(J5&lt;&gt;"LAB","",IF(AND(AD5="",AE5=""),IF(IF(INDEX(nMS_M_HT,AB5)*INDEX(nMS_M_HT,AC5)=1,IF(INDEX(nMS_M_OK,AB5)*INDEX(nMS_M_OK,AC5)=1,INDEX(nMS_M_UTC,AB5)&gt;INDEX(nMS_M_UTC,AC5),INDEX(nMS_M_Loc,AB5)&gt;INDEX(nMS_M_Loc,AC5)),INDEX(nMS_M_Lo,AB5)&gt;INDEX(nMS_M_Hi,AC5)),"E_REVERSED_BOUNDS",""),MID(IF(OR(AD5="E_INVALID_DATE",AE5="E_INVALID_DATE"),"; E_INVALID_DATE","")&amp;IF(OR(AD5="E_REVERSED_BOUNDS",AE5="E_REVERSED_BOUNDS"),"; E_REVERSED_BOUNDS","")&amp;IF(OR(AD5="E_MISSING_INPUT",AE5="E_MISSING_INPUT"),"; E_MISSING_INPUT","")&amp;IF(OR(AD5="E_INVALID_UNIT",AE5="E_INVALID_UNIT"),"; E_INVALID_UNIT",""),3,99)))</f>
        <v/>
      </c>
      <c r="AG5" s="10"/>
      <c r="AH5" s="17"/>
      <c r="AI5" s="15"/>
      <c r="AJ5" s="26"/>
      <c r="AK5" s="10"/>
      <c r="AL5" s="12"/>
      <c r="AM5" s="12"/>
      <c r="AN5" s="15"/>
      <c r="AO5" s="15"/>
      <c r="AP5" s="10"/>
      <c r="AQ5" s="21" t="str">
        <f>IF(COUNTA(AH5:AO5)=0,"",IF(AH5="","E_MISSING_INPUT",IF(AH5="TIMESTAMP",IF(OR(AI5="",AJ5="",AK5=""),"E_MISSING_INPUT",IF(OR(NOT(ISNUMBER(AI5)),NOT(ISNUMBER(AJ5))),"E_INVALID_DATE",IF(OR(AI5&lt;&gt;INT(AI5),AJ5&lt;0,AJ5&gt;=1),"E_INVALID_DATE",IF(ISNA(MATCH(AK5,nLIST_Offset,0)),"E_INVALID_DATE","")))),IF(AH5="DATE",IF(AI5="","E_MISSING_INPUT",IF(NOT(ISNUMBER(AI5)),"E_INVALID_DATE",IF(AI5&lt;&gt;INT(AI5),"E_INVALID_DATE",""))),IF(AH5="MONTH",IF(OR(AL5="",AM5=""),"E_MISSING_INPUT",IF(OR(NOT(ISNUMBER(AL5)),NOT(ISNUMBER(AM5))),"E_INVALID_DATE",IF(OR(AL5&lt;1900,AL5&gt;9999,AL5&lt;&gt;INT(AL5),AM5&lt;1,AM5&gt;12,AM5&lt;&gt;INT(AM5)),"E_INVALID_DATE",""))),IF(AH5="YEAR",IF(AL5="","E_MISSING_INPUT",IF(NOT(ISNUMBER(AL5)),"E_INVALID_DATE",IF(OR(AL5&lt;1900,AL5&gt;9999,AL5&lt;&gt;INT(AL5)),"E_INVALID_DATE",""))),IF(AH5="RANGE",IF(OR(AN5="",AO5=""),"E_MISSING_INPUT",IF(OR(NOT(ISNUMBER(AN5)),NOT(ISNUMBER(AO5))),"E_INVALID_DATE",IF(OR(AN5&lt;&gt;INT(AN5),AO5&lt;&gt;INT(AO5)),"E_INVALID_DATE",IF(AN5&gt;AO5,"E_REVERSED_BOUNDS","")))),"E_MISSING_INPUT")))))))</f>
        <v/>
      </c>
      <c r="AR5" s="22">
        <f t="shared" ref="AR5:AR19" si="4">IF(AND(AQ5="",AH5="TIMESTAMP"),1,0)</f>
        <v>0</v>
      </c>
      <c r="AS5" s="22">
        <f t="shared" ref="AS5:AS19" si="5">IF(AND(AR5=1,AK5&lt;&gt;"unknown"),1,0)</f>
        <v>0</v>
      </c>
      <c r="AT5" s="28" t="str">
        <f t="shared" ref="AT5:AT19" si="6">IF(OR(AQ5&lt;&gt;"",AH5=""),"",IF(OR(AH5="TIMESTAMP",AH5="DATE"),AI5,IF(AH5="MONTH",DATE(AL5,AM5,1),IF(AH5="YEAR",DATE(AL5,1,1),AN5))))</f>
        <v/>
      </c>
      <c r="AU5" s="28" t="str">
        <f t="shared" ref="AU5:AU19" si="7">IF(OR(AQ5&lt;&gt;"",AH5=""),"",IF(OR(AH5="TIMESTAMP",AH5="DATE"),AI5,IF(AH5="MONTH",EOMONTH(DATE(AL5,AM5,1),0),IF(AH5="YEAR",DATE(AL5,12,31),AO5))))</f>
        <v/>
      </c>
      <c r="AV5" s="22" t="str">
        <f t="shared" ref="AV5:AV19" si="8">IF(AR5=1,AI5*1440+ROUND(AJ5*1440,0),"")</f>
        <v/>
      </c>
      <c r="AW5" s="22" t="str">
        <f t="shared" ref="AW5:AW19" si="9">IF(AS5=1,AV5-(IF(LEFT(AK5,1)="-",-1,1)*(VALUE(MID(AK5,2,2))*60+VALUE(MID(AK5,5,2)))),"")</f>
        <v/>
      </c>
      <c r="AX5" s="21" t="str">
        <f t="shared" ref="AX5:AX19" si="10">IF(D5="","",A5&amp;"|"&amp;B5&amp;"|"&amp;D5)</f>
        <v/>
      </c>
      <c r="AY5" s="22">
        <f>IF(AX5="",0,COUNTIF(nEVT_Key,AX5))</f>
        <v>0</v>
      </c>
      <c r="AZ5" s="21" t="str">
        <f t="shared" ref="AZ5:AZ19" si="11">IF(D5="",IF(COUNTA(E5,J5,K5)&gt;0,"E_MISSING_INPUT",""),IF(AY5&gt;1,"E_DUPLICATE_ID",IF(U5&lt;&gt;"",IFERROR(LEFT(U5,FIND(";",U5)-1),U5),AQ5)))</f>
        <v/>
      </c>
      <c r="BA5" s="21" t="str">
        <f>IF(AZ5="","",AZ5&amp;": "&amp;SUBSTITUTE(IFERROR(INDEX(nMSG_Text,MATCH(AZ5,nMSG_Code,0)),""),"[input]",IF(D5="","an Episode_ID","the date fields required by the selected precision")))</f>
        <v/>
      </c>
    </row>
    <row r="6" spans="1:53" x14ac:dyDescent="0.2">
      <c r="A6" s="10"/>
      <c r="B6" s="12"/>
      <c r="C6" s="10"/>
      <c r="D6" s="10"/>
      <c r="E6" s="10"/>
      <c r="F6" s="10"/>
      <c r="G6" s="17"/>
      <c r="H6" s="10"/>
      <c r="I6" s="10"/>
      <c r="J6" s="17"/>
      <c r="K6" s="15"/>
      <c r="L6" s="26"/>
      <c r="M6" s="10"/>
      <c r="N6" s="12"/>
      <c r="O6" s="12"/>
      <c r="P6" s="15"/>
      <c r="Q6" s="15"/>
      <c r="R6" s="10"/>
      <c r="S6" s="10"/>
      <c r="T6" s="10"/>
      <c r="U6" s="21" t="str">
        <f>IF(COUNTA(J6:Q6)=0,"",IF(J6="","E_MISSING_INPUT",IF(J6="LAB",AF6,IF(J6="TIMESTAMP",IF(OR(K6="",L6="",M6=""),"E_MISSING_INPUT",IF(OR(NOT(ISNUMBER(K6)),NOT(ISNUMBER(L6))),"E_INVALID_DATE",IF(OR(K6&lt;&gt;INT(K6),L6&lt;0,L6&gt;=1),"E_INVALID_DATE",IF(ISNA(MATCH(M6,nLIST_Offset,0)),"E_INVALID_DATE","")))),IF(J6="DATE",IF(K6="","E_MISSING_INPUT",IF(NOT(ISNUMBER(K6)),"E_INVALID_DATE",IF(K6&lt;&gt;INT(K6),"E_INVALID_DATE",""))),IF(J6="MONTH",IF(OR(N6="",O6=""),"E_MISSING_INPUT",IF(OR(NOT(ISNUMBER(N6)),NOT(ISNUMBER(O6))),"E_INVALID_DATE",IF(OR(N6&lt;1900,N6&gt;9999,N6&lt;&gt;INT(N6),O6&lt;1,O6&gt;12,O6&lt;&gt;INT(O6)),"E_INVALID_DATE",""))),IF(J6="YEAR",IF(N6="","E_MISSING_INPUT",IF(NOT(ISNUMBER(N6)),"E_INVALID_DATE",IF(OR(N6&lt;1900,N6&gt;9999,N6&lt;&gt;INT(N6)),"E_INVALID_DATE",""))),IF(J6="RANGE",IF(OR(P6="",Q6=""),"E_MISSING_INPUT",IF(OR(NOT(ISNUMBER(P6)),NOT(ISNUMBER(Q6))),"E_INVALID_DATE",IF(OR(P6&lt;&gt;INT(P6),Q6&lt;&gt;INT(Q6)),"E_INVALID_DATE",IF(P6&gt;Q6,"E_REVERSED_BOUNDS","")))),"E_MISSING_INPUT"))))))))</f>
        <v/>
      </c>
      <c r="V6" s="22">
        <f t="shared" si="0"/>
        <v>0</v>
      </c>
      <c r="W6" s="22">
        <f t="shared" si="1"/>
        <v>0</v>
      </c>
      <c r="X6" s="28" t="str">
        <f>IF(OR(U6&lt;&gt;"",J6=""),"",IF(J6="LAB",INDEX(nMS_M_Lo,AB6),IF(OR(J6="TIMESTAMP",J6="DATE"),K6,IF(J6="MONTH",DATE(N6,O6,1),IF(J6="YEAR",DATE(N6,1,1),P6)))))</f>
        <v/>
      </c>
      <c r="Y6" s="28" t="str">
        <f>IF(OR(U6&lt;&gt;"",J6=""),"",IF(J6="LAB",INDEX(nMS_M_Hi,AC6),IF(OR(J6="TIMESTAMP",J6="DATE"),K6,IF(J6="MONTH",EOMONTH(DATE(N6,O6,1),0),IF(J6="YEAR",DATE(N6,12,31),Q6)))))</f>
        <v/>
      </c>
      <c r="Z6" s="22" t="str">
        <f t="shared" si="2"/>
        <v/>
      </c>
      <c r="AA6" s="22" t="str">
        <f t="shared" si="3"/>
        <v/>
      </c>
      <c r="AB6" s="22">
        <f>IF(R6="",0,IFERROR(MATCH(A6&amp;"|"&amp;B6&amp;"|"&amp;R6,nMS_Key,0),0))</f>
        <v>0</v>
      </c>
      <c r="AC6" s="22">
        <f>IF(S6="",0,IFERROR(MATCH(A6&amp;"|"&amp;B6&amp;"|"&amp;S6,nMS_Key,0),0))</f>
        <v>0</v>
      </c>
      <c r="AD6" s="21" t="str">
        <f>IF(J6&lt;&gt;"LAB","",IF(R6="","E_MISSING_INPUT",IF(AB6=0,"E_MISSING_INPUT",IF(INDEX(nMS_M_Lo,AB6)="",IF(INDEX(nMS_M_Err,AB6)="","E_MISSING_INPUT",INDEX(nMS_M_Err,AB6)),""))))</f>
        <v/>
      </c>
      <c r="AE6" s="21" t="str">
        <f>IF(J6&lt;&gt;"LAB","",IF(S6="","E_MISSING_INPUT",IF(AC6=0,"E_MISSING_INPUT",IF(INDEX(nMS_M_Lo,AC6)="",IF(INDEX(nMS_M_Err,AC6)="","E_MISSING_INPUT",INDEX(nMS_M_Err,AC6)),""))))</f>
        <v/>
      </c>
      <c r="AF6" s="21" t="str">
        <f>IF(J6&lt;&gt;"LAB","",IF(AND(AD6="",AE6=""),IF(IF(INDEX(nMS_M_HT,AB6)*INDEX(nMS_M_HT,AC6)=1,IF(INDEX(nMS_M_OK,AB6)*INDEX(nMS_M_OK,AC6)=1,INDEX(nMS_M_UTC,AB6)&gt;INDEX(nMS_M_UTC,AC6),INDEX(nMS_M_Loc,AB6)&gt;INDEX(nMS_M_Loc,AC6)),INDEX(nMS_M_Lo,AB6)&gt;INDEX(nMS_M_Hi,AC6)),"E_REVERSED_BOUNDS",""),MID(IF(OR(AD6="E_INVALID_DATE",AE6="E_INVALID_DATE"),"; E_INVALID_DATE","")&amp;IF(OR(AD6="E_REVERSED_BOUNDS",AE6="E_REVERSED_BOUNDS"),"; E_REVERSED_BOUNDS","")&amp;IF(OR(AD6="E_MISSING_INPUT",AE6="E_MISSING_INPUT"),"; E_MISSING_INPUT","")&amp;IF(OR(AD6="E_INVALID_UNIT",AE6="E_INVALID_UNIT"),"; E_INVALID_UNIT",""),3,99)))</f>
        <v/>
      </c>
      <c r="AG6" s="10"/>
      <c r="AH6" s="17"/>
      <c r="AI6" s="15"/>
      <c r="AJ6" s="26"/>
      <c r="AK6" s="10"/>
      <c r="AL6" s="12"/>
      <c r="AM6" s="12"/>
      <c r="AN6" s="15"/>
      <c r="AO6" s="15"/>
      <c r="AP6" s="10"/>
      <c r="AQ6" s="21" t="str">
        <f>IF(COUNTA(AH6:AO6)=0,"",IF(AH6="","E_MISSING_INPUT",IF(AH6="TIMESTAMP",IF(OR(AI6="",AJ6="",AK6=""),"E_MISSING_INPUT",IF(OR(NOT(ISNUMBER(AI6)),NOT(ISNUMBER(AJ6))),"E_INVALID_DATE",IF(OR(AI6&lt;&gt;INT(AI6),AJ6&lt;0,AJ6&gt;=1),"E_INVALID_DATE",IF(ISNA(MATCH(AK6,nLIST_Offset,0)),"E_INVALID_DATE","")))),IF(AH6="DATE",IF(AI6="","E_MISSING_INPUT",IF(NOT(ISNUMBER(AI6)),"E_INVALID_DATE",IF(AI6&lt;&gt;INT(AI6),"E_INVALID_DATE",""))),IF(AH6="MONTH",IF(OR(AL6="",AM6=""),"E_MISSING_INPUT",IF(OR(NOT(ISNUMBER(AL6)),NOT(ISNUMBER(AM6))),"E_INVALID_DATE",IF(OR(AL6&lt;1900,AL6&gt;9999,AL6&lt;&gt;INT(AL6),AM6&lt;1,AM6&gt;12,AM6&lt;&gt;INT(AM6)),"E_INVALID_DATE",""))),IF(AH6="YEAR",IF(AL6="","E_MISSING_INPUT",IF(NOT(ISNUMBER(AL6)),"E_INVALID_DATE",IF(OR(AL6&lt;1900,AL6&gt;9999,AL6&lt;&gt;INT(AL6)),"E_INVALID_DATE",""))),IF(AH6="RANGE",IF(OR(AN6="",AO6=""),"E_MISSING_INPUT",IF(OR(NOT(ISNUMBER(AN6)),NOT(ISNUMBER(AO6))),"E_INVALID_DATE",IF(OR(AN6&lt;&gt;INT(AN6),AO6&lt;&gt;INT(AO6)),"E_INVALID_DATE",IF(AN6&gt;AO6,"E_REVERSED_BOUNDS","")))),"E_MISSING_INPUT")))))))</f>
        <v/>
      </c>
      <c r="AR6" s="22">
        <f t="shared" si="4"/>
        <v>0</v>
      </c>
      <c r="AS6" s="22">
        <f t="shared" si="5"/>
        <v>0</v>
      </c>
      <c r="AT6" s="28" t="str">
        <f t="shared" si="6"/>
        <v/>
      </c>
      <c r="AU6" s="28" t="str">
        <f t="shared" si="7"/>
        <v/>
      </c>
      <c r="AV6" s="22" t="str">
        <f t="shared" si="8"/>
        <v/>
      </c>
      <c r="AW6" s="22" t="str">
        <f t="shared" si="9"/>
        <v/>
      </c>
      <c r="AX6" s="21" t="str">
        <f t="shared" si="10"/>
        <v/>
      </c>
      <c r="AY6" s="22">
        <f>IF(AX6="",0,COUNTIF(nEVT_Key,AX6))</f>
        <v>0</v>
      </c>
      <c r="AZ6" s="21" t="str">
        <f t="shared" si="11"/>
        <v/>
      </c>
      <c r="BA6" s="21" t="str">
        <f>IF(AZ6="","",AZ6&amp;": "&amp;SUBSTITUTE(IFERROR(INDEX(nMSG_Text,MATCH(AZ6,nMSG_Code,0)),""),"[input]",IF(D6="","an Episode_ID","the date fields required by the selected precision")))</f>
        <v/>
      </c>
    </row>
    <row r="7" spans="1:53" x14ac:dyDescent="0.2">
      <c r="A7" s="10"/>
      <c r="B7" s="12"/>
      <c r="C7" s="10"/>
      <c r="D7" s="10"/>
      <c r="E7" s="10"/>
      <c r="F7" s="10"/>
      <c r="G7" s="17"/>
      <c r="H7" s="10"/>
      <c r="I7" s="10"/>
      <c r="J7" s="17"/>
      <c r="K7" s="15"/>
      <c r="L7" s="26"/>
      <c r="M7" s="10"/>
      <c r="N7" s="12"/>
      <c r="O7" s="12"/>
      <c r="P7" s="15"/>
      <c r="Q7" s="15"/>
      <c r="R7" s="10"/>
      <c r="S7" s="10"/>
      <c r="T7" s="10"/>
      <c r="U7" s="21" t="str">
        <f>IF(COUNTA(J7:Q7)=0,"",IF(J7="","E_MISSING_INPUT",IF(J7="LAB",AF7,IF(J7="TIMESTAMP",IF(OR(K7="",L7="",M7=""),"E_MISSING_INPUT",IF(OR(NOT(ISNUMBER(K7)),NOT(ISNUMBER(L7))),"E_INVALID_DATE",IF(OR(K7&lt;&gt;INT(K7),L7&lt;0,L7&gt;=1),"E_INVALID_DATE",IF(ISNA(MATCH(M7,nLIST_Offset,0)),"E_INVALID_DATE","")))),IF(J7="DATE",IF(K7="","E_MISSING_INPUT",IF(NOT(ISNUMBER(K7)),"E_INVALID_DATE",IF(K7&lt;&gt;INT(K7),"E_INVALID_DATE",""))),IF(J7="MONTH",IF(OR(N7="",O7=""),"E_MISSING_INPUT",IF(OR(NOT(ISNUMBER(N7)),NOT(ISNUMBER(O7))),"E_INVALID_DATE",IF(OR(N7&lt;1900,N7&gt;9999,N7&lt;&gt;INT(N7),O7&lt;1,O7&gt;12,O7&lt;&gt;INT(O7)),"E_INVALID_DATE",""))),IF(J7="YEAR",IF(N7="","E_MISSING_INPUT",IF(NOT(ISNUMBER(N7)),"E_INVALID_DATE",IF(OR(N7&lt;1900,N7&gt;9999,N7&lt;&gt;INT(N7)),"E_INVALID_DATE",""))),IF(J7="RANGE",IF(OR(P7="",Q7=""),"E_MISSING_INPUT",IF(OR(NOT(ISNUMBER(P7)),NOT(ISNUMBER(Q7))),"E_INVALID_DATE",IF(OR(P7&lt;&gt;INT(P7),Q7&lt;&gt;INT(Q7)),"E_INVALID_DATE",IF(P7&gt;Q7,"E_REVERSED_BOUNDS","")))),"E_MISSING_INPUT"))))))))</f>
        <v/>
      </c>
      <c r="V7" s="22">
        <f t="shared" si="0"/>
        <v>0</v>
      </c>
      <c r="W7" s="22">
        <f t="shared" si="1"/>
        <v>0</v>
      </c>
      <c r="X7" s="28" t="str">
        <f>IF(OR(U7&lt;&gt;"",J7=""),"",IF(J7="LAB",INDEX(nMS_M_Lo,AB7),IF(OR(J7="TIMESTAMP",J7="DATE"),K7,IF(J7="MONTH",DATE(N7,O7,1),IF(J7="YEAR",DATE(N7,1,1),P7)))))</f>
        <v/>
      </c>
      <c r="Y7" s="28" t="str">
        <f>IF(OR(U7&lt;&gt;"",J7=""),"",IF(J7="LAB",INDEX(nMS_M_Hi,AC7),IF(OR(J7="TIMESTAMP",J7="DATE"),K7,IF(J7="MONTH",EOMONTH(DATE(N7,O7,1),0),IF(J7="YEAR",DATE(N7,12,31),Q7)))))</f>
        <v/>
      </c>
      <c r="Z7" s="22" t="str">
        <f t="shared" si="2"/>
        <v/>
      </c>
      <c r="AA7" s="22" t="str">
        <f t="shared" si="3"/>
        <v/>
      </c>
      <c r="AB7" s="22">
        <f>IF(R7="",0,IFERROR(MATCH(A7&amp;"|"&amp;B7&amp;"|"&amp;R7,nMS_Key,0),0))</f>
        <v>0</v>
      </c>
      <c r="AC7" s="22">
        <f>IF(S7="",0,IFERROR(MATCH(A7&amp;"|"&amp;B7&amp;"|"&amp;S7,nMS_Key,0),0))</f>
        <v>0</v>
      </c>
      <c r="AD7" s="21" t="str">
        <f>IF(J7&lt;&gt;"LAB","",IF(R7="","E_MISSING_INPUT",IF(AB7=0,"E_MISSING_INPUT",IF(INDEX(nMS_M_Lo,AB7)="",IF(INDEX(nMS_M_Err,AB7)="","E_MISSING_INPUT",INDEX(nMS_M_Err,AB7)),""))))</f>
        <v/>
      </c>
      <c r="AE7" s="21" t="str">
        <f>IF(J7&lt;&gt;"LAB","",IF(S7="","E_MISSING_INPUT",IF(AC7=0,"E_MISSING_INPUT",IF(INDEX(nMS_M_Lo,AC7)="",IF(INDEX(nMS_M_Err,AC7)="","E_MISSING_INPUT",INDEX(nMS_M_Err,AC7)),""))))</f>
        <v/>
      </c>
      <c r="AF7" s="21" t="str">
        <f>IF(J7&lt;&gt;"LAB","",IF(AND(AD7="",AE7=""),IF(IF(INDEX(nMS_M_HT,AB7)*INDEX(nMS_M_HT,AC7)=1,IF(INDEX(nMS_M_OK,AB7)*INDEX(nMS_M_OK,AC7)=1,INDEX(nMS_M_UTC,AB7)&gt;INDEX(nMS_M_UTC,AC7),INDEX(nMS_M_Loc,AB7)&gt;INDEX(nMS_M_Loc,AC7)),INDEX(nMS_M_Lo,AB7)&gt;INDEX(nMS_M_Hi,AC7)),"E_REVERSED_BOUNDS",""),MID(IF(OR(AD7="E_INVALID_DATE",AE7="E_INVALID_DATE"),"; E_INVALID_DATE","")&amp;IF(OR(AD7="E_REVERSED_BOUNDS",AE7="E_REVERSED_BOUNDS"),"; E_REVERSED_BOUNDS","")&amp;IF(OR(AD7="E_MISSING_INPUT",AE7="E_MISSING_INPUT"),"; E_MISSING_INPUT","")&amp;IF(OR(AD7="E_INVALID_UNIT",AE7="E_INVALID_UNIT"),"; E_INVALID_UNIT",""),3,99)))</f>
        <v/>
      </c>
      <c r="AG7" s="10"/>
      <c r="AH7" s="17"/>
      <c r="AI7" s="15"/>
      <c r="AJ7" s="26"/>
      <c r="AK7" s="10"/>
      <c r="AL7" s="12"/>
      <c r="AM7" s="12"/>
      <c r="AN7" s="15"/>
      <c r="AO7" s="15"/>
      <c r="AP7" s="10"/>
      <c r="AQ7" s="21" t="str">
        <f>IF(COUNTA(AH7:AO7)=0,"",IF(AH7="","E_MISSING_INPUT",IF(AH7="TIMESTAMP",IF(OR(AI7="",AJ7="",AK7=""),"E_MISSING_INPUT",IF(OR(NOT(ISNUMBER(AI7)),NOT(ISNUMBER(AJ7))),"E_INVALID_DATE",IF(OR(AI7&lt;&gt;INT(AI7),AJ7&lt;0,AJ7&gt;=1),"E_INVALID_DATE",IF(ISNA(MATCH(AK7,nLIST_Offset,0)),"E_INVALID_DATE","")))),IF(AH7="DATE",IF(AI7="","E_MISSING_INPUT",IF(NOT(ISNUMBER(AI7)),"E_INVALID_DATE",IF(AI7&lt;&gt;INT(AI7),"E_INVALID_DATE",""))),IF(AH7="MONTH",IF(OR(AL7="",AM7=""),"E_MISSING_INPUT",IF(OR(NOT(ISNUMBER(AL7)),NOT(ISNUMBER(AM7))),"E_INVALID_DATE",IF(OR(AL7&lt;1900,AL7&gt;9999,AL7&lt;&gt;INT(AL7),AM7&lt;1,AM7&gt;12,AM7&lt;&gt;INT(AM7)),"E_INVALID_DATE",""))),IF(AH7="YEAR",IF(AL7="","E_MISSING_INPUT",IF(NOT(ISNUMBER(AL7)),"E_INVALID_DATE",IF(OR(AL7&lt;1900,AL7&gt;9999,AL7&lt;&gt;INT(AL7)),"E_INVALID_DATE",""))),IF(AH7="RANGE",IF(OR(AN7="",AO7=""),"E_MISSING_INPUT",IF(OR(NOT(ISNUMBER(AN7)),NOT(ISNUMBER(AO7))),"E_INVALID_DATE",IF(OR(AN7&lt;&gt;INT(AN7),AO7&lt;&gt;INT(AO7)),"E_INVALID_DATE",IF(AN7&gt;AO7,"E_REVERSED_BOUNDS","")))),"E_MISSING_INPUT")))))))</f>
        <v/>
      </c>
      <c r="AR7" s="22">
        <f t="shared" si="4"/>
        <v>0</v>
      </c>
      <c r="AS7" s="22">
        <f t="shared" si="5"/>
        <v>0</v>
      </c>
      <c r="AT7" s="28" t="str">
        <f t="shared" si="6"/>
        <v/>
      </c>
      <c r="AU7" s="28" t="str">
        <f t="shared" si="7"/>
        <v/>
      </c>
      <c r="AV7" s="22" t="str">
        <f t="shared" si="8"/>
        <v/>
      </c>
      <c r="AW7" s="22" t="str">
        <f t="shared" si="9"/>
        <v/>
      </c>
      <c r="AX7" s="21" t="str">
        <f t="shared" si="10"/>
        <v/>
      </c>
      <c r="AY7" s="22">
        <f>IF(AX7="",0,COUNTIF(nEVT_Key,AX7))</f>
        <v>0</v>
      </c>
      <c r="AZ7" s="21" t="str">
        <f t="shared" si="11"/>
        <v/>
      </c>
      <c r="BA7" s="21" t="str">
        <f>IF(AZ7="","",AZ7&amp;": "&amp;SUBSTITUTE(IFERROR(INDEX(nMSG_Text,MATCH(AZ7,nMSG_Code,0)),""),"[input]",IF(D7="","an Episode_ID","the date fields required by the selected precision")))</f>
        <v/>
      </c>
    </row>
    <row r="8" spans="1:53" x14ac:dyDescent="0.2">
      <c r="A8" s="10"/>
      <c r="B8" s="12"/>
      <c r="C8" s="10"/>
      <c r="D8" s="10"/>
      <c r="E8" s="10"/>
      <c r="F8" s="10"/>
      <c r="G8" s="17"/>
      <c r="H8" s="10"/>
      <c r="I8" s="10"/>
      <c r="J8" s="17"/>
      <c r="K8" s="15"/>
      <c r="L8" s="26"/>
      <c r="M8" s="10"/>
      <c r="N8" s="12"/>
      <c r="O8" s="12"/>
      <c r="P8" s="15"/>
      <c r="Q8" s="15"/>
      <c r="R8" s="10"/>
      <c r="S8" s="10"/>
      <c r="T8" s="10"/>
      <c r="U8" s="21" t="str">
        <f>IF(COUNTA(J8:Q8)=0,"",IF(J8="","E_MISSING_INPUT",IF(J8="LAB",AF8,IF(J8="TIMESTAMP",IF(OR(K8="",L8="",M8=""),"E_MISSING_INPUT",IF(OR(NOT(ISNUMBER(K8)),NOT(ISNUMBER(L8))),"E_INVALID_DATE",IF(OR(K8&lt;&gt;INT(K8),L8&lt;0,L8&gt;=1),"E_INVALID_DATE",IF(ISNA(MATCH(M8,nLIST_Offset,0)),"E_INVALID_DATE","")))),IF(J8="DATE",IF(K8="","E_MISSING_INPUT",IF(NOT(ISNUMBER(K8)),"E_INVALID_DATE",IF(K8&lt;&gt;INT(K8),"E_INVALID_DATE",""))),IF(J8="MONTH",IF(OR(N8="",O8=""),"E_MISSING_INPUT",IF(OR(NOT(ISNUMBER(N8)),NOT(ISNUMBER(O8))),"E_INVALID_DATE",IF(OR(N8&lt;1900,N8&gt;9999,N8&lt;&gt;INT(N8),O8&lt;1,O8&gt;12,O8&lt;&gt;INT(O8)),"E_INVALID_DATE",""))),IF(J8="YEAR",IF(N8="","E_MISSING_INPUT",IF(NOT(ISNUMBER(N8)),"E_INVALID_DATE",IF(OR(N8&lt;1900,N8&gt;9999,N8&lt;&gt;INT(N8)),"E_INVALID_DATE",""))),IF(J8="RANGE",IF(OR(P8="",Q8=""),"E_MISSING_INPUT",IF(OR(NOT(ISNUMBER(P8)),NOT(ISNUMBER(Q8))),"E_INVALID_DATE",IF(OR(P8&lt;&gt;INT(P8),Q8&lt;&gt;INT(Q8)),"E_INVALID_DATE",IF(P8&gt;Q8,"E_REVERSED_BOUNDS","")))),"E_MISSING_INPUT"))))))))</f>
        <v/>
      </c>
      <c r="V8" s="22">
        <f t="shared" si="0"/>
        <v>0</v>
      </c>
      <c r="W8" s="22">
        <f t="shared" si="1"/>
        <v>0</v>
      </c>
      <c r="X8" s="28" t="str">
        <f>IF(OR(U8&lt;&gt;"",J8=""),"",IF(J8="LAB",INDEX(nMS_M_Lo,AB8),IF(OR(J8="TIMESTAMP",J8="DATE"),K8,IF(J8="MONTH",DATE(N8,O8,1),IF(J8="YEAR",DATE(N8,1,1),P8)))))</f>
        <v/>
      </c>
      <c r="Y8" s="28" t="str">
        <f>IF(OR(U8&lt;&gt;"",J8=""),"",IF(J8="LAB",INDEX(nMS_M_Hi,AC8),IF(OR(J8="TIMESTAMP",J8="DATE"),K8,IF(J8="MONTH",EOMONTH(DATE(N8,O8,1),0),IF(J8="YEAR",DATE(N8,12,31),Q8)))))</f>
        <v/>
      </c>
      <c r="Z8" s="22" t="str">
        <f t="shared" si="2"/>
        <v/>
      </c>
      <c r="AA8" s="22" t="str">
        <f t="shared" si="3"/>
        <v/>
      </c>
      <c r="AB8" s="22">
        <f>IF(R8="",0,IFERROR(MATCH(A8&amp;"|"&amp;B8&amp;"|"&amp;R8,nMS_Key,0),0))</f>
        <v>0</v>
      </c>
      <c r="AC8" s="22">
        <f>IF(S8="",0,IFERROR(MATCH(A8&amp;"|"&amp;B8&amp;"|"&amp;S8,nMS_Key,0),0))</f>
        <v>0</v>
      </c>
      <c r="AD8" s="21" t="str">
        <f>IF(J8&lt;&gt;"LAB","",IF(R8="","E_MISSING_INPUT",IF(AB8=0,"E_MISSING_INPUT",IF(INDEX(nMS_M_Lo,AB8)="",IF(INDEX(nMS_M_Err,AB8)="","E_MISSING_INPUT",INDEX(nMS_M_Err,AB8)),""))))</f>
        <v/>
      </c>
      <c r="AE8" s="21" t="str">
        <f>IF(J8&lt;&gt;"LAB","",IF(S8="","E_MISSING_INPUT",IF(AC8=0,"E_MISSING_INPUT",IF(INDEX(nMS_M_Lo,AC8)="",IF(INDEX(nMS_M_Err,AC8)="","E_MISSING_INPUT",INDEX(nMS_M_Err,AC8)),""))))</f>
        <v/>
      </c>
      <c r="AF8" s="21" t="str">
        <f>IF(J8&lt;&gt;"LAB","",IF(AND(AD8="",AE8=""),IF(IF(INDEX(nMS_M_HT,AB8)*INDEX(nMS_M_HT,AC8)=1,IF(INDEX(nMS_M_OK,AB8)*INDEX(nMS_M_OK,AC8)=1,INDEX(nMS_M_UTC,AB8)&gt;INDEX(nMS_M_UTC,AC8),INDEX(nMS_M_Loc,AB8)&gt;INDEX(nMS_M_Loc,AC8)),INDEX(nMS_M_Lo,AB8)&gt;INDEX(nMS_M_Hi,AC8)),"E_REVERSED_BOUNDS",""),MID(IF(OR(AD8="E_INVALID_DATE",AE8="E_INVALID_DATE"),"; E_INVALID_DATE","")&amp;IF(OR(AD8="E_REVERSED_BOUNDS",AE8="E_REVERSED_BOUNDS"),"; E_REVERSED_BOUNDS","")&amp;IF(OR(AD8="E_MISSING_INPUT",AE8="E_MISSING_INPUT"),"; E_MISSING_INPUT","")&amp;IF(OR(AD8="E_INVALID_UNIT",AE8="E_INVALID_UNIT"),"; E_INVALID_UNIT",""),3,99)))</f>
        <v/>
      </c>
      <c r="AG8" s="10"/>
      <c r="AH8" s="17"/>
      <c r="AI8" s="15"/>
      <c r="AJ8" s="26"/>
      <c r="AK8" s="10"/>
      <c r="AL8" s="12"/>
      <c r="AM8" s="12"/>
      <c r="AN8" s="15"/>
      <c r="AO8" s="15"/>
      <c r="AP8" s="10"/>
      <c r="AQ8" s="21" t="str">
        <f>IF(COUNTA(AH8:AO8)=0,"",IF(AH8="","E_MISSING_INPUT",IF(AH8="TIMESTAMP",IF(OR(AI8="",AJ8="",AK8=""),"E_MISSING_INPUT",IF(OR(NOT(ISNUMBER(AI8)),NOT(ISNUMBER(AJ8))),"E_INVALID_DATE",IF(OR(AI8&lt;&gt;INT(AI8),AJ8&lt;0,AJ8&gt;=1),"E_INVALID_DATE",IF(ISNA(MATCH(AK8,nLIST_Offset,0)),"E_INVALID_DATE","")))),IF(AH8="DATE",IF(AI8="","E_MISSING_INPUT",IF(NOT(ISNUMBER(AI8)),"E_INVALID_DATE",IF(AI8&lt;&gt;INT(AI8),"E_INVALID_DATE",""))),IF(AH8="MONTH",IF(OR(AL8="",AM8=""),"E_MISSING_INPUT",IF(OR(NOT(ISNUMBER(AL8)),NOT(ISNUMBER(AM8))),"E_INVALID_DATE",IF(OR(AL8&lt;1900,AL8&gt;9999,AL8&lt;&gt;INT(AL8),AM8&lt;1,AM8&gt;12,AM8&lt;&gt;INT(AM8)),"E_INVALID_DATE",""))),IF(AH8="YEAR",IF(AL8="","E_MISSING_INPUT",IF(NOT(ISNUMBER(AL8)),"E_INVALID_DATE",IF(OR(AL8&lt;1900,AL8&gt;9999,AL8&lt;&gt;INT(AL8)),"E_INVALID_DATE",""))),IF(AH8="RANGE",IF(OR(AN8="",AO8=""),"E_MISSING_INPUT",IF(OR(NOT(ISNUMBER(AN8)),NOT(ISNUMBER(AO8))),"E_INVALID_DATE",IF(OR(AN8&lt;&gt;INT(AN8),AO8&lt;&gt;INT(AO8)),"E_INVALID_DATE",IF(AN8&gt;AO8,"E_REVERSED_BOUNDS","")))),"E_MISSING_INPUT")))))))</f>
        <v/>
      </c>
      <c r="AR8" s="22">
        <f t="shared" si="4"/>
        <v>0</v>
      </c>
      <c r="AS8" s="22">
        <f t="shared" si="5"/>
        <v>0</v>
      </c>
      <c r="AT8" s="28" t="str">
        <f t="shared" si="6"/>
        <v/>
      </c>
      <c r="AU8" s="28" t="str">
        <f t="shared" si="7"/>
        <v/>
      </c>
      <c r="AV8" s="22" t="str">
        <f t="shared" si="8"/>
        <v/>
      </c>
      <c r="AW8" s="22" t="str">
        <f t="shared" si="9"/>
        <v/>
      </c>
      <c r="AX8" s="21" t="str">
        <f t="shared" si="10"/>
        <v/>
      </c>
      <c r="AY8" s="22">
        <f>IF(AX8="",0,COUNTIF(nEVT_Key,AX8))</f>
        <v>0</v>
      </c>
      <c r="AZ8" s="21" t="str">
        <f t="shared" si="11"/>
        <v/>
      </c>
      <c r="BA8" s="21" t="str">
        <f>IF(AZ8="","",AZ8&amp;": "&amp;SUBSTITUTE(IFERROR(INDEX(nMSG_Text,MATCH(AZ8,nMSG_Code,0)),""),"[input]",IF(D8="","an Episode_ID","the date fields required by the selected precision")))</f>
        <v/>
      </c>
    </row>
    <row r="9" spans="1:53" x14ac:dyDescent="0.2">
      <c r="A9" s="10"/>
      <c r="B9" s="12"/>
      <c r="C9" s="10"/>
      <c r="D9" s="10"/>
      <c r="E9" s="10"/>
      <c r="F9" s="10"/>
      <c r="G9" s="17"/>
      <c r="H9" s="10"/>
      <c r="I9" s="10"/>
      <c r="J9" s="17"/>
      <c r="K9" s="15"/>
      <c r="L9" s="26"/>
      <c r="M9" s="10"/>
      <c r="N9" s="12"/>
      <c r="O9" s="12"/>
      <c r="P9" s="15"/>
      <c r="Q9" s="15"/>
      <c r="R9" s="10"/>
      <c r="S9" s="10"/>
      <c r="T9" s="10"/>
      <c r="U9" s="21" t="str">
        <f>IF(COUNTA(J9:Q9)=0,"",IF(J9="","E_MISSING_INPUT",IF(J9="LAB",AF9,IF(J9="TIMESTAMP",IF(OR(K9="",L9="",M9=""),"E_MISSING_INPUT",IF(OR(NOT(ISNUMBER(K9)),NOT(ISNUMBER(L9))),"E_INVALID_DATE",IF(OR(K9&lt;&gt;INT(K9),L9&lt;0,L9&gt;=1),"E_INVALID_DATE",IF(ISNA(MATCH(M9,nLIST_Offset,0)),"E_INVALID_DATE","")))),IF(J9="DATE",IF(K9="","E_MISSING_INPUT",IF(NOT(ISNUMBER(K9)),"E_INVALID_DATE",IF(K9&lt;&gt;INT(K9),"E_INVALID_DATE",""))),IF(J9="MONTH",IF(OR(N9="",O9=""),"E_MISSING_INPUT",IF(OR(NOT(ISNUMBER(N9)),NOT(ISNUMBER(O9))),"E_INVALID_DATE",IF(OR(N9&lt;1900,N9&gt;9999,N9&lt;&gt;INT(N9),O9&lt;1,O9&gt;12,O9&lt;&gt;INT(O9)),"E_INVALID_DATE",""))),IF(J9="YEAR",IF(N9="","E_MISSING_INPUT",IF(NOT(ISNUMBER(N9)),"E_INVALID_DATE",IF(OR(N9&lt;1900,N9&gt;9999,N9&lt;&gt;INT(N9)),"E_INVALID_DATE",""))),IF(J9="RANGE",IF(OR(P9="",Q9=""),"E_MISSING_INPUT",IF(OR(NOT(ISNUMBER(P9)),NOT(ISNUMBER(Q9))),"E_INVALID_DATE",IF(OR(P9&lt;&gt;INT(P9),Q9&lt;&gt;INT(Q9)),"E_INVALID_DATE",IF(P9&gt;Q9,"E_REVERSED_BOUNDS","")))),"E_MISSING_INPUT"))))))))</f>
        <v/>
      </c>
      <c r="V9" s="22">
        <f t="shared" si="0"/>
        <v>0</v>
      </c>
      <c r="W9" s="22">
        <f t="shared" si="1"/>
        <v>0</v>
      </c>
      <c r="X9" s="28" t="str">
        <f>IF(OR(U9&lt;&gt;"",J9=""),"",IF(J9="LAB",INDEX(nMS_M_Lo,AB9),IF(OR(J9="TIMESTAMP",J9="DATE"),K9,IF(J9="MONTH",DATE(N9,O9,1),IF(J9="YEAR",DATE(N9,1,1),P9)))))</f>
        <v/>
      </c>
      <c r="Y9" s="28" t="str">
        <f>IF(OR(U9&lt;&gt;"",J9=""),"",IF(J9="LAB",INDEX(nMS_M_Hi,AC9),IF(OR(J9="TIMESTAMP",J9="DATE"),K9,IF(J9="MONTH",EOMONTH(DATE(N9,O9,1),0),IF(J9="YEAR",DATE(N9,12,31),Q9)))))</f>
        <v/>
      </c>
      <c r="Z9" s="22" t="str">
        <f t="shared" si="2"/>
        <v/>
      </c>
      <c r="AA9" s="22" t="str">
        <f t="shared" si="3"/>
        <v/>
      </c>
      <c r="AB9" s="22">
        <f>IF(R9="",0,IFERROR(MATCH(A9&amp;"|"&amp;B9&amp;"|"&amp;R9,nMS_Key,0),0))</f>
        <v>0</v>
      </c>
      <c r="AC9" s="22">
        <f>IF(S9="",0,IFERROR(MATCH(A9&amp;"|"&amp;B9&amp;"|"&amp;S9,nMS_Key,0),0))</f>
        <v>0</v>
      </c>
      <c r="AD9" s="21" t="str">
        <f>IF(J9&lt;&gt;"LAB","",IF(R9="","E_MISSING_INPUT",IF(AB9=0,"E_MISSING_INPUT",IF(INDEX(nMS_M_Lo,AB9)="",IF(INDEX(nMS_M_Err,AB9)="","E_MISSING_INPUT",INDEX(nMS_M_Err,AB9)),""))))</f>
        <v/>
      </c>
      <c r="AE9" s="21" t="str">
        <f>IF(J9&lt;&gt;"LAB","",IF(S9="","E_MISSING_INPUT",IF(AC9=0,"E_MISSING_INPUT",IF(INDEX(nMS_M_Lo,AC9)="",IF(INDEX(nMS_M_Err,AC9)="","E_MISSING_INPUT",INDEX(nMS_M_Err,AC9)),""))))</f>
        <v/>
      </c>
      <c r="AF9" s="21" t="str">
        <f>IF(J9&lt;&gt;"LAB","",IF(AND(AD9="",AE9=""),IF(IF(INDEX(nMS_M_HT,AB9)*INDEX(nMS_M_HT,AC9)=1,IF(INDEX(nMS_M_OK,AB9)*INDEX(nMS_M_OK,AC9)=1,INDEX(nMS_M_UTC,AB9)&gt;INDEX(nMS_M_UTC,AC9),INDEX(nMS_M_Loc,AB9)&gt;INDEX(nMS_M_Loc,AC9)),INDEX(nMS_M_Lo,AB9)&gt;INDEX(nMS_M_Hi,AC9)),"E_REVERSED_BOUNDS",""),MID(IF(OR(AD9="E_INVALID_DATE",AE9="E_INVALID_DATE"),"; E_INVALID_DATE","")&amp;IF(OR(AD9="E_REVERSED_BOUNDS",AE9="E_REVERSED_BOUNDS"),"; E_REVERSED_BOUNDS","")&amp;IF(OR(AD9="E_MISSING_INPUT",AE9="E_MISSING_INPUT"),"; E_MISSING_INPUT","")&amp;IF(OR(AD9="E_INVALID_UNIT",AE9="E_INVALID_UNIT"),"; E_INVALID_UNIT",""),3,99)))</f>
        <v/>
      </c>
      <c r="AG9" s="10"/>
      <c r="AH9" s="17"/>
      <c r="AI9" s="15"/>
      <c r="AJ9" s="26"/>
      <c r="AK9" s="10"/>
      <c r="AL9" s="12"/>
      <c r="AM9" s="12"/>
      <c r="AN9" s="15"/>
      <c r="AO9" s="15"/>
      <c r="AP9" s="10"/>
      <c r="AQ9" s="21" t="str">
        <f>IF(COUNTA(AH9:AO9)=0,"",IF(AH9="","E_MISSING_INPUT",IF(AH9="TIMESTAMP",IF(OR(AI9="",AJ9="",AK9=""),"E_MISSING_INPUT",IF(OR(NOT(ISNUMBER(AI9)),NOT(ISNUMBER(AJ9))),"E_INVALID_DATE",IF(OR(AI9&lt;&gt;INT(AI9),AJ9&lt;0,AJ9&gt;=1),"E_INVALID_DATE",IF(ISNA(MATCH(AK9,nLIST_Offset,0)),"E_INVALID_DATE","")))),IF(AH9="DATE",IF(AI9="","E_MISSING_INPUT",IF(NOT(ISNUMBER(AI9)),"E_INVALID_DATE",IF(AI9&lt;&gt;INT(AI9),"E_INVALID_DATE",""))),IF(AH9="MONTH",IF(OR(AL9="",AM9=""),"E_MISSING_INPUT",IF(OR(NOT(ISNUMBER(AL9)),NOT(ISNUMBER(AM9))),"E_INVALID_DATE",IF(OR(AL9&lt;1900,AL9&gt;9999,AL9&lt;&gt;INT(AL9),AM9&lt;1,AM9&gt;12,AM9&lt;&gt;INT(AM9)),"E_INVALID_DATE",""))),IF(AH9="YEAR",IF(AL9="","E_MISSING_INPUT",IF(NOT(ISNUMBER(AL9)),"E_INVALID_DATE",IF(OR(AL9&lt;1900,AL9&gt;9999,AL9&lt;&gt;INT(AL9)),"E_INVALID_DATE",""))),IF(AH9="RANGE",IF(OR(AN9="",AO9=""),"E_MISSING_INPUT",IF(OR(NOT(ISNUMBER(AN9)),NOT(ISNUMBER(AO9))),"E_INVALID_DATE",IF(OR(AN9&lt;&gt;INT(AN9),AO9&lt;&gt;INT(AO9)),"E_INVALID_DATE",IF(AN9&gt;AO9,"E_REVERSED_BOUNDS","")))),"E_MISSING_INPUT")))))))</f>
        <v/>
      </c>
      <c r="AR9" s="22">
        <f t="shared" si="4"/>
        <v>0</v>
      </c>
      <c r="AS9" s="22">
        <f t="shared" si="5"/>
        <v>0</v>
      </c>
      <c r="AT9" s="28" t="str">
        <f t="shared" si="6"/>
        <v/>
      </c>
      <c r="AU9" s="28" t="str">
        <f t="shared" si="7"/>
        <v/>
      </c>
      <c r="AV9" s="22" t="str">
        <f t="shared" si="8"/>
        <v/>
      </c>
      <c r="AW9" s="22" t="str">
        <f t="shared" si="9"/>
        <v/>
      </c>
      <c r="AX9" s="21" t="str">
        <f t="shared" si="10"/>
        <v/>
      </c>
      <c r="AY9" s="22">
        <f>IF(AX9="",0,COUNTIF(nEVT_Key,AX9))</f>
        <v>0</v>
      </c>
      <c r="AZ9" s="21" t="str">
        <f t="shared" si="11"/>
        <v/>
      </c>
      <c r="BA9" s="21" t="str">
        <f>IF(AZ9="","",AZ9&amp;": "&amp;SUBSTITUTE(IFERROR(INDEX(nMSG_Text,MATCH(AZ9,nMSG_Code,0)),""),"[input]",IF(D9="","an Episode_ID","the date fields required by the selected precision")))</f>
        <v/>
      </c>
    </row>
    <row r="10" spans="1:53" x14ac:dyDescent="0.2">
      <c r="A10" s="10"/>
      <c r="B10" s="12"/>
      <c r="C10" s="10"/>
      <c r="D10" s="10"/>
      <c r="E10" s="10"/>
      <c r="F10" s="10"/>
      <c r="G10" s="17"/>
      <c r="H10" s="10"/>
      <c r="I10" s="10"/>
      <c r="J10" s="17"/>
      <c r="K10" s="15"/>
      <c r="L10" s="26"/>
      <c r="M10" s="10"/>
      <c r="N10" s="12"/>
      <c r="O10" s="12"/>
      <c r="P10" s="15"/>
      <c r="Q10" s="15"/>
      <c r="R10" s="10"/>
      <c r="S10" s="10"/>
      <c r="T10" s="10"/>
      <c r="U10" s="21" t="str">
        <f>IF(COUNTA(J10:Q10)=0,"",IF(J10="","E_MISSING_INPUT",IF(J10="LAB",AF10,IF(J10="TIMESTAMP",IF(OR(K10="",L10="",M10=""),"E_MISSING_INPUT",IF(OR(NOT(ISNUMBER(K10)),NOT(ISNUMBER(L10))),"E_INVALID_DATE",IF(OR(K10&lt;&gt;INT(K10),L10&lt;0,L10&gt;=1),"E_INVALID_DATE",IF(ISNA(MATCH(M10,nLIST_Offset,0)),"E_INVALID_DATE","")))),IF(J10="DATE",IF(K10="","E_MISSING_INPUT",IF(NOT(ISNUMBER(K10)),"E_INVALID_DATE",IF(K10&lt;&gt;INT(K10),"E_INVALID_DATE",""))),IF(J10="MONTH",IF(OR(N10="",O10=""),"E_MISSING_INPUT",IF(OR(NOT(ISNUMBER(N10)),NOT(ISNUMBER(O10))),"E_INVALID_DATE",IF(OR(N10&lt;1900,N10&gt;9999,N10&lt;&gt;INT(N10),O10&lt;1,O10&gt;12,O10&lt;&gt;INT(O10)),"E_INVALID_DATE",""))),IF(J10="YEAR",IF(N10="","E_MISSING_INPUT",IF(NOT(ISNUMBER(N10)),"E_INVALID_DATE",IF(OR(N10&lt;1900,N10&gt;9999,N10&lt;&gt;INT(N10)),"E_INVALID_DATE",""))),IF(J10="RANGE",IF(OR(P10="",Q10=""),"E_MISSING_INPUT",IF(OR(NOT(ISNUMBER(P10)),NOT(ISNUMBER(Q10))),"E_INVALID_DATE",IF(OR(P10&lt;&gt;INT(P10),Q10&lt;&gt;INT(Q10)),"E_INVALID_DATE",IF(P10&gt;Q10,"E_REVERSED_BOUNDS","")))),"E_MISSING_INPUT"))))))))</f>
        <v/>
      </c>
      <c r="V10" s="22">
        <f t="shared" si="0"/>
        <v>0</v>
      </c>
      <c r="W10" s="22">
        <f t="shared" si="1"/>
        <v>0</v>
      </c>
      <c r="X10" s="28" t="str">
        <f>IF(OR(U10&lt;&gt;"",J10=""),"",IF(J10="LAB",INDEX(nMS_M_Lo,AB10),IF(OR(J10="TIMESTAMP",J10="DATE"),K10,IF(J10="MONTH",DATE(N10,O10,1),IF(J10="YEAR",DATE(N10,1,1),P10)))))</f>
        <v/>
      </c>
      <c r="Y10" s="28" t="str">
        <f>IF(OR(U10&lt;&gt;"",J10=""),"",IF(J10="LAB",INDEX(nMS_M_Hi,AC10),IF(OR(J10="TIMESTAMP",J10="DATE"),K10,IF(J10="MONTH",EOMONTH(DATE(N10,O10,1),0),IF(J10="YEAR",DATE(N10,12,31),Q10)))))</f>
        <v/>
      </c>
      <c r="Z10" s="22" t="str">
        <f t="shared" si="2"/>
        <v/>
      </c>
      <c r="AA10" s="22" t="str">
        <f t="shared" si="3"/>
        <v/>
      </c>
      <c r="AB10" s="22">
        <f>IF(R10="",0,IFERROR(MATCH(A10&amp;"|"&amp;B10&amp;"|"&amp;R10,nMS_Key,0),0))</f>
        <v>0</v>
      </c>
      <c r="AC10" s="22">
        <f>IF(S10="",0,IFERROR(MATCH(A10&amp;"|"&amp;B10&amp;"|"&amp;S10,nMS_Key,0),0))</f>
        <v>0</v>
      </c>
      <c r="AD10" s="21" t="str">
        <f>IF(J10&lt;&gt;"LAB","",IF(R10="","E_MISSING_INPUT",IF(AB10=0,"E_MISSING_INPUT",IF(INDEX(nMS_M_Lo,AB10)="",IF(INDEX(nMS_M_Err,AB10)="","E_MISSING_INPUT",INDEX(nMS_M_Err,AB10)),""))))</f>
        <v/>
      </c>
      <c r="AE10" s="21" t="str">
        <f>IF(J10&lt;&gt;"LAB","",IF(S10="","E_MISSING_INPUT",IF(AC10=0,"E_MISSING_INPUT",IF(INDEX(nMS_M_Lo,AC10)="",IF(INDEX(nMS_M_Err,AC10)="","E_MISSING_INPUT",INDEX(nMS_M_Err,AC10)),""))))</f>
        <v/>
      </c>
      <c r="AF10" s="21" t="str">
        <f>IF(J10&lt;&gt;"LAB","",IF(AND(AD10="",AE10=""),IF(IF(INDEX(nMS_M_HT,AB10)*INDEX(nMS_M_HT,AC10)=1,IF(INDEX(nMS_M_OK,AB10)*INDEX(nMS_M_OK,AC10)=1,INDEX(nMS_M_UTC,AB10)&gt;INDEX(nMS_M_UTC,AC10),INDEX(nMS_M_Loc,AB10)&gt;INDEX(nMS_M_Loc,AC10)),INDEX(nMS_M_Lo,AB10)&gt;INDEX(nMS_M_Hi,AC10)),"E_REVERSED_BOUNDS",""),MID(IF(OR(AD10="E_INVALID_DATE",AE10="E_INVALID_DATE"),"; E_INVALID_DATE","")&amp;IF(OR(AD10="E_REVERSED_BOUNDS",AE10="E_REVERSED_BOUNDS"),"; E_REVERSED_BOUNDS","")&amp;IF(OR(AD10="E_MISSING_INPUT",AE10="E_MISSING_INPUT"),"; E_MISSING_INPUT","")&amp;IF(OR(AD10="E_INVALID_UNIT",AE10="E_INVALID_UNIT"),"; E_INVALID_UNIT",""),3,99)))</f>
        <v/>
      </c>
      <c r="AG10" s="10"/>
      <c r="AH10" s="17"/>
      <c r="AI10" s="15"/>
      <c r="AJ10" s="26"/>
      <c r="AK10" s="10"/>
      <c r="AL10" s="12"/>
      <c r="AM10" s="12"/>
      <c r="AN10" s="15"/>
      <c r="AO10" s="15"/>
      <c r="AP10" s="10"/>
      <c r="AQ10" s="21" t="str">
        <f>IF(COUNTA(AH10:AO10)=0,"",IF(AH10="","E_MISSING_INPUT",IF(AH10="TIMESTAMP",IF(OR(AI10="",AJ10="",AK10=""),"E_MISSING_INPUT",IF(OR(NOT(ISNUMBER(AI10)),NOT(ISNUMBER(AJ10))),"E_INVALID_DATE",IF(OR(AI10&lt;&gt;INT(AI10),AJ10&lt;0,AJ10&gt;=1),"E_INVALID_DATE",IF(ISNA(MATCH(AK10,nLIST_Offset,0)),"E_INVALID_DATE","")))),IF(AH10="DATE",IF(AI10="","E_MISSING_INPUT",IF(NOT(ISNUMBER(AI10)),"E_INVALID_DATE",IF(AI10&lt;&gt;INT(AI10),"E_INVALID_DATE",""))),IF(AH10="MONTH",IF(OR(AL10="",AM10=""),"E_MISSING_INPUT",IF(OR(NOT(ISNUMBER(AL10)),NOT(ISNUMBER(AM10))),"E_INVALID_DATE",IF(OR(AL10&lt;1900,AL10&gt;9999,AL10&lt;&gt;INT(AL10),AM10&lt;1,AM10&gt;12,AM10&lt;&gt;INT(AM10)),"E_INVALID_DATE",""))),IF(AH10="YEAR",IF(AL10="","E_MISSING_INPUT",IF(NOT(ISNUMBER(AL10)),"E_INVALID_DATE",IF(OR(AL10&lt;1900,AL10&gt;9999,AL10&lt;&gt;INT(AL10)),"E_INVALID_DATE",""))),IF(AH10="RANGE",IF(OR(AN10="",AO10=""),"E_MISSING_INPUT",IF(OR(NOT(ISNUMBER(AN10)),NOT(ISNUMBER(AO10))),"E_INVALID_DATE",IF(OR(AN10&lt;&gt;INT(AN10),AO10&lt;&gt;INT(AO10)),"E_INVALID_DATE",IF(AN10&gt;AO10,"E_REVERSED_BOUNDS","")))),"E_MISSING_INPUT")))))))</f>
        <v/>
      </c>
      <c r="AR10" s="22">
        <f t="shared" si="4"/>
        <v>0</v>
      </c>
      <c r="AS10" s="22">
        <f t="shared" si="5"/>
        <v>0</v>
      </c>
      <c r="AT10" s="28" t="str">
        <f t="shared" si="6"/>
        <v/>
      </c>
      <c r="AU10" s="28" t="str">
        <f t="shared" si="7"/>
        <v/>
      </c>
      <c r="AV10" s="22" t="str">
        <f t="shared" si="8"/>
        <v/>
      </c>
      <c r="AW10" s="22" t="str">
        <f t="shared" si="9"/>
        <v/>
      </c>
      <c r="AX10" s="21" t="str">
        <f t="shared" si="10"/>
        <v/>
      </c>
      <c r="AY10" s="22">
        <f>IF(AX10="",0,COUNTIF(nEVT_Key,AX10))</f>
        <v>0</v>
      </c>
      <c r="AZ10" s="21" t="str">
        <f t="shared" si="11"/>
        <v/>
      </c>
      <c r="BA10" s="21" t="str">
        <f>IF(AZ10="","",AZ10&amp;": "&amp;SUBSTITUTE(IFERROR(INDEX(nMSG_Text,MATCH(AZ10,nMSG_Code,0)),""),"[input]",IF(D10="","an Episode_ID","the date fields required by the selected precision")))</f>
        <v/>
      </c>
    </row>
    <row r="11" spans="1:53" x14ac:dyDescent="0.2">
      <c r="A11" s="10"/>
      <c r="B11" s="12"/>
      <c r="C11" s="10"/>
      <c r="D11" s="10"/>
      <c r="E11" s="10"/>
      <c r="F11" s="10"/>
      <c r="G11" s="17"/>
      <c r="H11" s="10"/>
      <c r="I11" s="10"/>
      <c r="J11" s="17"/>
      <c r="K11" s="15"/>
      <c r="L11" s="26"/>
      <c r="M11" s="10"/>
      <c r="N11" s="12"/>
      <c r="O11" s="12"/>
      <c r="P11" s="15"/>
      <c r="Q11" s="15"/>
      <c r="R11" s="10"/>
      <c r="S11" s="10"/>
      <c r="T11" s="10"/>
      <c r="U11" s="21" t="str">
        <f>IF(COUNTA(J11:Q11)=0,"",IF(J11="","E_MISSING_INPUT",IF(J11="LAB",AF11,IF(J11="TIMESTAMP",IF(OR(K11="",L11="",M11=""),"E_MISSING_INPUT",IF(OR(NOT(ISNUMBER(K11)),NOT(ISNUMBER(L11))),"E_INVALID_DATE",IF(OR(K11&lt;&gt;INT(K11),L11&lt;0,L11&gt;=1),"E_INVALID_DATE",IF(ISNA(MATCH(M11,nLIST_Offset,0)),"E_INVALID_DATE","")))),IF(J11="DATE",IF(K11="","E_MISSING_INPUT",IF(NOT(ISNUMBER(K11)),"E_INVALID_DATE",IF(K11&lt;&gt;INT(K11),"E_INVALID_DATE",""))),IF(J11="MONTH",IF(OR(N11="",O11=""),"E_MISSING_INPUT",IF(OR(NOT(ISNUMBER(N11)),NOT(ISNUMBER(O11))),"E_INVALID_DATE",IF(OR(N11&lt;1900,N11&gt;9999,N11&lt;&gt;INT(N11),O11&lt;1,O11&gt;12,O11&lt;&gt;INT(O11)),"E_INVALID_DATE",""))),IF(J11="YEAR",IF(N11="","E_MISSING_INPUT",IF(NOT(ISNUMBER(N11)),"E_INVALID_DATE",IF(OR(N11&lt;1900,N11&gt;9999,N11&lt;&gt;INT(N11)),"E_INVALID_DATE",""))),IF(J11="RANGE",IF(OR(P11="",Q11=""),"E_MISSING_INPUT",IF(OR(NOT(ISNUMBER(P11)),NOT(ISNUMBER(Q11))),"E_INVALID_DATE",IF(OR(P11&lt;&gt;INT(P11),Q11&lt;&gt;INT(Q11)),"E_INVALID_DATE",IF(P11&gt;Q11,"E_REVERSED_BOUNDS","")))),"E_MISSING_INPUT"))))))))</f>
        <v/>
      </c>
      <c r="V11" s="22">
        <f t="shared" si="0"/>
        <v>0</v>
      </c>
      <c r="W11" s="22">
        <f t="shared" si="1"/>
        <v>0</v>
      </c>
      <c r="X11" s="28" t="str">
        <f>IF(OR(U11&lt;&gt;"",J11=""),"",IF(J11="LAB",INDEX(nMS_M_Lo,AB11),IF(OR(J11="TIMESTAMP",J11="DATE"),K11,IF(J11="MONTH",DATE(N11,O11,1),IF(J11="YEAR",DATE(N11,1,1),P11)))))</f>
        <v/>
      </c>
      <c r="Y11" s="28" t="str">
        <f>IF(OR(U11&lt;&gt;"",J11=""),"",IF(J11="LAB",INDEX(nMS_M_Hi,AC11),IF(OR(J11="TIMESTAMP",J11="DATE"),K11,IF(J11="MONTH",EOMONTH(DATE(N11,O11,1),0),IF(J11="YEAR",DATE(N11,12,31),Q11)))))</f>
        <v/>
      </c>
      <c r="Z11" s="22" t="str">
        <f t="shared" si="2"/>
        <v/>
      </c>
      <c r="AA11" s="22" t="str">
        <f t="shared" si="3"/>
        <v/>
      </c>
      <c r="AB11" s="22">
        <f>IF(R11="",0,IFERROR(MATCH(A11&amp;"|"&amp;B11&amp;"|"&amp;R11,nMS_Key,0),0))</f>
        <v>0</v>
      </c>
      <c r="AC11" s="22">
        <f>IF(S11="",0,IFERROR(MATCH(A11&amp;"|"&amp;B11&amp;"|"&amp;S11,nMS_Key,0),0))</f>
        <v>0</v>
      </c>
      <c r="AD11" s="21" t="str">
        <f>IF(J11&lt;&gt;"LAB","",IF(R11="","E_MISSING_INPUT",IF(AB11=0,"E_MISSING_INPUT",IF(INDEX(nMS_M_Lo,AB11)="",IF(INDEX(nMS_M_Err,AB11)="","E_MISSING_INPUT",INDEX(nMS_M_Err,AB11)),""))))</f>
        <v/>
      </c>
      <c r="AE11" s="21" t="str">
        <f>IF(J11&lt;&gt;"LAB","",IF(S11="","E_MISSING_INPUT",IF(AC11=0,"E_MISSING_INPUT",IF(INDEX(nMS_M_Lo,AC11)="",IF(INDEX(nMS_M_Err,AC11)="","E_MISSING_INPUT",INDEX(nMS_M_Err,AC11)),""))))</f>
        <v/>
      </c>
      <c r="AF11" s="21" t="str">
        <f>IF(J11&lt;&gt;"LAB","",IF(AND(AD11="",AE11=""),IF(IF(INDEX(nMS_M_HT,AB11)*INDEX(nMS_M_HT,AC11)=1,IF(INDEX(nMS_M_OK,AB11)*INDEX(nMS_M_OK,AC11)=1,INDEX(nMS_M_UTC,AB11)&gt;INDEX(nMS_M_UTC,AC11),INDEX(nMS_M_Loc,AB11)&gt;INDEX(nMS_M_Loc,AC11)),INDEX(nMS_M_Lo,AB11)&gt;INDEX(nMS_M_Hi,AC11)),"E_REVERSED_BOUNDS",""),MID(IF(OR(AD11="E_INVALID_DATE",AE11="E_INVALID_DATE"),"; E_INVALID_DATE","")&amp;IF(OR(AD11="E_REVERSED_BOUNDS",AE11="E_REVERSED_BOUNDS"),"; E_REVERSED_BOUNDS","")&amp;IF(OR(AD11="E_MISSING_INPUT",AE11="E_MISSING_INPUT"),"; E_MISSING_INPUT","")&amp;IF(OR(AD11="E_INVALID_UNIT",AE11="E_INVALID_UNIT"),"; E_INVALID_UNIT",""),3,99)))</f>
        <v/>
      </c>
      <c r="AG11" s="10"/>
      <c r="AH11" s="17"/>
      <c r="AI11" s="15"/>
      <c r="AJ11" s="26"/>
      <c r="AK11" s="10"/>
      <c r="AL11" s="12"/>
      <c r="AM11" s="12"/>
      <c r="AN11" s="15"/>
      <c r="AO11" s="15"/>
      <c r="AP11" s="10"/>
      <c r="AQ11" s="21" t="str">
        <f>IF(COUNTA(AH11:AO11)=0,"",IF(AH11="","E_MISSING_INPUT",IF(AH11="TIMESTAMP",IF(OR(AI11="",AJ11="",AK11=""),"E_MISSING_INPUT",IF(OR(NOT(ISNUMBER(AI11)),NOT(ISNUMBER(AJ11))),"E_INVALID_DATE",IF(OR(AI11&lt;&gt;INT(AI11),AJ11&lt;0,AJ11&gt;=1),"E_INVALID_DATE",IF(ISNA(MATCH(AK11,nLIST_Offset,0)),"E_INVALID_DATE","")))),IF(AH11="DATE",IF(AI11="","E_MISSING_INPUT",IF(NOT(ISNUMBER(AI11)),"E_INVALID_DATE",IF(AI11&lt;&gt;INT(AI11),"E_INVALID_DATE",""))),IF(AH11="MONTH",IF(OR(AL11="",AM11=""),"E_MISSING_INPUT",IF(OR(NOT(ISNUMBER(AL11)),NOT(ISNUMBER(AM11))),"E_INVALID_DATE",IF(OR(AL11&lt;1900,AL11&gt;9999,AL11&lt;&gt;INT(AL11),AM11&lt;1,AM11&gt;12,AM11&lt;&gt;INT(AM11)),"E_INVALID_DATE",""))),IF(AH11="YEAR",IF(AL11="","E_MISSING_INPUT",IF(NOT(ISNUMBER(AL11)),"E_INVALID_DATE",IF(OR(AL11&lt;1900,AL11&gt;9999,AL11&lt;&gt;INT(AL11)),"E_INVALID_DATE",""))),IF(AH11="RANGE",IF(OR(AN11="",AO11=""),"E_MISSING_INPUT",IF(OR(NOT(ISNUMBER(AN11)),NOT(ISNUMBER(AO11))),"E_INVALID_DATE",IF(OR(AN11&lt;&gt;INT(AN11),AO11&lt;&gt;INT(AO11)),"E_INVALID_DATE",IF(AN11&gt;AO11,"E_REVERSED_BOUNDS","")))),"E_MISSING_INPUT")))))))</f>
        <v/>
      </c>
      <c r="AR11" s="22">
        <f t="shared" si="4"/>
        <v>0</v>
      </c>
      <c r="AS11" s="22">
        <f t="shared" si="5"/>
        <v>0</v>
      </c>
      <c r="AT11" s="28" t="str">
        <f t="shared" si="6"/>
        <v/>
      </c>
      <c r="AU11" s="28" t="str">
        <f t="shared" si="7"/>
        <v/>
      </c>
      <c r="AV11" s="22" t="str">
        <f t="shared" si="8"/>
        <v/>
      </c>
      <c r="AW11" s="22" t="str">
        <f t="shared" si="9"/>
        <v/>
      </c>
      <c r="AX11" s="21" t="str">
        <f t="shared" si="10"/>
        <v/>
      </c>
      <c r="AY11" s="22">
        <f>IF(AX11="",0,COUNTIF(nEVT_Key,AX11))</f>
        <v>0</v>
      </c>
      <c r="AZ11" s="21" t="str">
        <f t="shared" si="11"/>
        <v/>
      </c>
      <c r="BA11" s="21" t="str">
        <f>IF(AZ11="","",AZ11&amp;": "&amp;SUBSTITUTE(IFERROR(INDEX(nMSG_Text,MATCH(AZ11,nMSG_Code,0)),""),"[input]",IF(D11="","an Episode_ID","the date fields required by the selected precision")))</f>
        <v/>
      </c>
    </row>
    <row r="12" spans="1:53" x14ac:dyDescent="0.2">
      <c r="A12" s="10"/>
      <c r="B12" s="12"/>
      <c r="C12" s="10"/>
      <c r="D12" s="10"/>
      <c r="E12" s="10"/>
      <c r="F12" s="10"/>
      <c r="G12" s="17"/>
      <c r="H12" s="10"/>
      <c r="I12" s="10"/>
      <c r="J12" s="17"/>
      <c r="K12" s="15"/>
      <c r="L12" s="26"/>
      <c r="M12" s="10"/>
      <c r="N12" s="12"/>
      <c r="O12" s="12"/>
      <c r="P12" s="15"/>
      <c r="Q12" s="15"/>
      <c r="R12" s="10"/>
      <c r="S12" s="10"/>
      <c r="T12" s="10"/>
      <c r="U12" s="21" t="str">
        <f>IF(COUNTA(J12:Q12)=0,"",IF(J12="","E_MISSING_INPUT",IF(J12="LAB",AF12,IF(J12="TIMESTAMP",IF(OR(K12="",L12="",M12=""),"E_MISSING_INPUT",IF(OR(NOT(ISNUMBER(K12)),NOT(ISNUMBER(L12))),"E_INVALID_DATE",IF(OR(K12&lt;&gt;INT(K12),L12&lt;0,L12&gt;=1),"E_INVALID_DATE",IF(ISNA(MATCH(M12,nLIST_Offset,0)),"E_INVALID_DATE","")))),IF(J12="DATE",IF(K12="","E_MISSING_INPUT",IF(NOT(ISNUMBER(K12)),"E_INVALID_DATE",IF(K12&lt;&gt;INT(K12),"E_INVALID_DATE",""))),IF(J12="MONTH",IF(OR(N12="",O12=""),"E_MISSING_INPUT",IF(OR(NOT(ISNUMBER(N12)),NOT(ISNUMBER(O12))),"E_INVALID_DATE",IF(OR(N12&lt;1900,N12&gt;9999,N12&lt;&gt;INT(N12),O12&lt;1,O12&gt;12,O12&lt;&gt;INT(O12)),"E_INVALID_DATE",""))),IF(J12="YEAR",IF(N12="","E_MISSING_INPUT",IF(NOT(ISNUMBER(N12)),"E_INVALID_DATE",IF(OR(N12&lt;1900,N12&gt;9999,N12&lt;&gt;INT(N12)),"E_INVALID_DATE",""))),IF(J12="RANGE",IF(OR(P12="",Q12=""),"E_MISSING_INPUT",IF(OR(NOT(ISNUMBER(P12)),NOT(ISNUMBER(Q12))),"E_INVALID_DATE",IF(OR(P12&lt;&gt;INT(P12),Q12&lt;&gt;INT(Q12)),"E_INVALID_DATE",IF(P12&gt;Q12,"E_REVERSED_BOUNDS","")))),"E_MISSING_INPUT"))))))))</f>
        <v/>
      </c>
      <c r="V12" s="22">
        <f t="shared" si="0"/>
        <v>0</v>
      </c>
      <c r="W12" s="22">
        <f t="shared" si="1"/>
        <v>0</v>
      </c>
      <c r="X12" s="28" t="str">
        <f>IF(OR(U12&lt;&gt;"",J12=""),"",IF(J12="LAB",INDEX(nMS_M_Lo,AB12),IF(OR(J12="TIMESTAMP",J12="DATE"),K12,IF(J12="MONTH",DATE(N12,O12,1),IF(J12="YEAR",DATE(N12,1,1),P12)))))</f>
        <v/>
      </c>
      <c r="Y12" s="28" t="str">
        <f>IF(OR(U12&lt;&gt;"",J12=""),"",IF(J12="LAB",INDEX(nMS_M_Hi,AC12),IF(OR(J12="TIMESTAMP",J12="DATE"),K12,IF(J12="MONTH",EOMONTH(DATE(N12,O12,1),0),IF(J12="YEAR",DATE(N12,12,31),Q12)))))</f>
        <v/>
      </c>
      <c r="Z12" s="22" t="str">
        <f t="shared" si="2"/>
        <v/>
      </c>
      <c r="AA12" s="22" t="str">
        <f t="shared" si="3"/>
        <v/>
      </c>
      <c r="AB12" s="22">
        <f>IF(R12="",0,IFERROR(MATCH(A12&amp;"|"&amp;B12&amp;"|"&amp;R12,nMS_Key,0),0))</f>
        <v>0</v>
      </c>
      <c r="AC12" s="22">
        <f>IF(S12="",0,IFERROR(MATCH(A12&amp;"|"&amp;B12&amp;"|"&amp;S12,nMS_Key,0),0))</f>
        <v>0</v>
      </c>
      <c r="AD12" s="21" t="str">
        <f>IF(J12&lt;&gt;"LAB","",IF(R12="","E_MISSING_INPUT",IF(AB12=0,"E_MISSING_INPUT",IF(INDEX(nMS_M_Lo,AB12)="",IF(INDEX(nMS_M_Err,AB12)="","E_MISSING_INPUT",INDEX(nMS_M_Err,AB12)),""))))</f>
        <v/>
      </c>
      <c r="AE12" s="21" t="str">
        <f>IF(J12&lt;&gt;"LAB","",IF(S12="","E_MISSING_INPUT",IF(AC12=0,"E_MISSING_INPUT",IF(INDEX(nMS_M_Lo,AC12)="",IF(INDEX(nMS_M_Err,AC12)="","E_MISSING_INPUT",INDEX(nMS_M_Err,AC12)),""))))</f>
        <v/>
      </c>
      <c r="AF12" s="21" t="str">
        <f>IF(J12&lt;&gt;"LAB","",IF(AND(AD12="",AE12=""),IF(IF(INDEX(nMS_M_HT,AB12)*INDEX(nMS_M_HT,AC12)=1,IF(INDEX(nMS_M_OK,AB12)*INDEX(nMS_M_OK,AC12)=1,INDEX(nMS_M_UTC,AB12)&gt;INDEX(nMS_M_UTC,AC12),INDEX(nMS_M_Loc,AB12)&gt;INDEX(nMS_M_Loc,AC12)),INDEX(nMS_M_Lo,AB12)&gt;INDEX(nMS_M_Hi,AC12)),"E_REVERSED_BOUNDS",""),MID(IF(OR(AD12="E_INVALID_DATE",AE12="E_INVALID_DATE"),"; E_INVALID_DATE","")&amp;IF(OR(AD12="E_REVERSED_BOUNDS",AE12="E_REVERSED_BOUNDS"),"; E_REVERSED_BOUNDS","")&amp;IF(OR(AD12="E_MISSING_INPUT",AE12="E_MISSING_INPUT"),"; E_MISSING_INPUT","")&amp;IF(OR(AD12="E_INVALID_UNIT",AE12="E_INVALID_UNIT"),"; E_INVALID_UNIT",""),3,99)))</f>
        <v/>
      </c>
      <c r="AG12" s="10"/>
      <c r="AH12" s="17"/>
      <c r="AI12" s="15"/>
      <c r="AJ12" s="26"/>
      <c r="AK12" s="10"/>
      <c r="AL12" s="12"/>
      <c r="AM12" s="12"/>
      <c r="AN12" s="15"/>
      <c r="AO12" s="15"/>
      <c r="AP12" s="10"/>
      <c r="AQ12" s="21" t="str">
        <f>IF(COUNTA(AH12:AO12)=0,"",IF(AH12="","E_MISSING_INPUT",IF(AH12="TIMESTAMP",IF(OR(AI12="",AJ12="",AK12=""),"E_MISSING_INPUT",IF(OR(NOT(ISNUMBER(AI12)),NOT(ISNUMBER(AJ12))),"E_INVALID_DATE",IF(OR(AI12&lt;&gt;INT(AI12),AJ12&lt;0,AJ12&gt;=1),"E_INVALID_DATE",IF(ISNA(MATCH(AK12,nLIST_Offset,0)),"E_INVALID_DATE","")))),IF(AH12="DATE",IF(AI12="","E_MISSING_INPUT",IF(NOT(ISNUMBER(AI12)),"E_INVALID_DATE",IF(AI12&lt;&gt;INT(AI12),"E_INVALID_DATE",""))),IF(AH12="MONTH",IF(OR(AL12="",AM12=""),"E_MISSING_INPUT",IF(OR(NOT(ISNUMBER(AL12)),NOT(ISNUMBER(AM12))),"E_INVALID_DATE",IF(OR(AL12&lt;1900,AL12&gt;9999,AL12&lt;&gt;INT(AL12),AM12&lt;1,AM12&gt;12,AM12&lt;&gt;INT(AM12)),"E_INVALID_DATE",""))),IF(AH12="YEAR",IF(AL12="","E_MISSING_INPUT",IF(NOT(ISNUMBER(AL12)),"E_INVALID_DATE",IF(OR(AL12&lt;1900,AL12&gt;9999,AL12&lt;&gt;INT(AL12)),"E_INVALID_DATE",""))),IF(AH12="RANGE",IF(OR(AN12="",AO12=""),"E_MISSING_INPUT",IF(OR(NOT(ISNUMBER(AN12)),NOT(ISNUMBER(AO12))),"E_INVALID_DATE",IF(OR(AN12&lt;&gt;INT(AN12),AO12&lt;&gt;INT(AO12)),"E_INVALID_DATE",IF(AN12&gt;AO12,"E_REVERSED_BOUNDS","")))),"E_MISSING_INPUT")))))))</f>
        <v/>
      </c>
      <c r="AR12" s="22">
        <f t="shared" si="4"/>
        <v>0</v>
      </c>
      <c r="AS12" s="22">
        <f t="shared" si="5"/>
        <v>0</v>
      </c>
      <c r="AT12" s="28" t="str">
        <f t="shared" si="6"/>
        <v/>
      </c>
      <c r="AU12" s="28" t="str">
        <f t="shared" si="7"/>
        <v/>
      </c>
      <c r="AV12" s="22" t="str">
        <f t="shared" si="8"/>
        <v/>
      </c>
      <c r="AW12" s="22" t="str">
        <f t="shared" si="9"/>
        <v/>
      </c>
      <c r="AX12" s="21" t="str">
        <f t="shared" si="10"/>
        <v/>
      </c>
      <c r="AY12" s="22">
        <f>IF(AX12="",0,COUNTIF(nEVT_Key,AX12))</f>
        <v>0</v>
      </c>
      <c r="AZ12" s="21" t="str">
        <f t="shared" si="11"/>
        <v/>
      </c>
      <c r="BA12" s="21" t="str">
        <f>IF(AZ12="","",AZ12&amp;": "&amp;SUBSTITUTE(IFERROR(INDEX(nMSG_Text,MATCH(AZ12,nMSG_Code,0)),""),"[input]",IF(D12="","an Episode_ID","the date fields required by the selected precision")))</f>
        <v/>
      </c>
    </row>
    <row r="13" spans="1:53" x14ac:dyDescent="0.2">
      <c r="A13" s="10"/>
      <c r="B13" s="12"/>
      <c r="C13" s="10"/>
      <c r="D13" s="10"/>
      <c r="E13" s="10"/>
      <c r="F13" s="10"/>
      <c r="G13" s="17"/>
      <c r="H13" s="10"/>
      <c r="I13" s="10"/>
      <c r="J13" s="17"/>
      <c r="K13" s="15"/>
      <c r="L13" s="26"/>
      <c r="M13" s="10"/>
      <c r="N13" s="12"/>
      <c r="O13" s="12"/>
      <c r="P13" s="15"/>
      <c r="Q13" s="15"/>
      <c r="R13" s="10"/>
      <c r="S13" s="10"/>
      <c r="T13" s="10"/>
      <c r="U13" s="21" t="str">
        <f>IF(COUNTA(J13:Q13)=0,"",IF(J13="","E_MISSING_INPUT",IF(J13="LAB",AF13,IF(J13="TIMESTAMP",IF(OR(K13="",L13="",M13=""),"E_MISSING_INPUT",IF(OR(NOT(ISNUMBER(K13)),NOT(ISNUMBER(L13))),"E_INVALID_DATE",IF(OR(K13&lt;&gt;INT(K13),L13&lt;0,L13&gt;=1),"E_INVALID_DATE",IF(ISNA(MATCH(M13,nLIST_Offset,0)),"E_INVALID_DATE","")))),IF(J13="DATE",IF(K13="","E_MISSING_INPUT",IF(NOT(ISNUMBER(K13)),"E_INVALID_DATE",IF(K13&lt;&gt;INT(K13),"E_INVALID_DATE",""))),IF(J13="MONTH",IF(OR(N13="",O13=""),"E_MISSING_INPUT",IF(OR(NOT(ISNUMBER(N13)),NOT(ISNUMBER(O13))),"E_INVALID_DATE",IF(OR(N13&lt;1900,N13&gt;9999,N13&lt;&gt;INT(N13),O13&lt;1,O13&gt;12,O13&lt;&gt;INT(O13)),"E_INVALID_DATE",""))),IF(J13="YEAR",IF(N13="","E_MISSING_INPUT",IF(NOT(ISNUMBER(N13)),"E_INVALID_DATE",IF(OR(N13&lt;1900,N13&gt;9999,N13&lt;&gt;INT(N13)),"E_INVALID_DATE",""))),IF(J13="RANGE",IF(OR(P13="",Q13=""),"E_MISSING_INPUT",IF(OR(NOT(ISNUMBER(P13)),NOT(ISNUMBER(Q13))),"E_INVALID_DATE",IF(OR(P13&lt;&gt;INT(P13),Q13&lt;&gt;INT(Q13)),"E_INVALID_DATE",IF(P13&gt;Q13,"E_REVERSED_BOUNDS","")))),"E_MISSING_INPUT"))))))))</f>
        <v/>
      </c>
      <c r="V13" s="22">
        <f t="shared" si="0"/>
        <v>0</v>
      </c>
      <c r="W13" s="22">
        <f t="shared" si="1"/>
        <v>0</v>
      </c>
      <c r="X13" s="28" t="str">
        <f>IF(OR(U13&lt;&gt;"",J13=""),"",IF(J13="LAB",INDEX(nMS_M_Lo,AB13),IF(OR(J13="TIMESTAMP",J13="DATE"),K13,IF(J13="MONTH",DATE(N13,O13,1),IF(J13="YEAR",DATE(N13,1,1),P13)))))</f>
        <v/>
      </c>
      <c r="Y13" s="28" t="str">
        <f>IF(OR(U13&lt;&gt;"",J13=""),"",IF(J13="LAB",INDEX(nMS_M_Hi,AC13),IF(OR(J13="TIMESTAMP",J13="DATE"),K13,IF(J13="MONTH",EOMONTH(DATE(N13,O13,1),0),IF(J13="YEAR",DATE(N13,12,31),Q13)))))</f>
        <v/>
      </c>
      <c r="Z13" s="22" t="str">
        <f t="shared" si="2"/>
        <v/>
      </c>
      <c r="AA13" s="22" t="str">
        <f t="shared" si="3"/>
        <v/>
      </c>
      <c r="AB13" s="22">
        <f>IF(R13="",0,IFERROR(MATCH(A13&amp;"|"&amp;B13&amp;"|"&amp;R13,nMS_Key,0),0))</f>
        <v>0</v>
      </c>
      <c r="AC13" s="22">
        <f>IF(S13="",0,IFERROR(MATCH(A13&amp;"|"&amp;B13&amp;"|"&amp;S13,nMS_Key,0),0))</f>
        <v>0</v>
      </c>
      <c r="AD13" s="21" t="str">
        <f>IF(J13&lt;&gt;"LAB","",IF(R13="","E_MISSING_INPUT",IF(AB13=0,"E_MISSING_INPUT",IF(INDEX(nMS_M_Lo,AB13)="",IF(INDEX(nMS_M_Err,AB13)="","E_MISSING_INPUT",INDEX(nMS_M_Err,AB13)),""))))</f>
        <v/>
      </c>
      <c r="AE13" s="21" t="str">
        <f>IF(J13&lt;&gt;"LAB","",IF(S13="","E_MISSING_INPUT",IF(AC13=0,"E_MISSING_INPUT",IF(INDEX(nMS_M_Lo,AC13)="",IF(INDEX(nMS_M_Err,AC13)="","E_MISSING_INPUT",INDEX(nMS_M_Err,AC13)),""))))</f>
        <v/>
      </c>
      <c r="AF13" s="21" t="str">
        <f>IF(J13&lt;&gt;"LAB","",IF(AND(AD13="",AE13=""),IF(IF(INDEX(nMS_M_HT,AB13)*INDEX(nMS_M_HT,AC13)=1,IF(INDEX(nMS_M_OK,AB13)*INDEX(nMS_M_OK,AC13)=1,INDEX(nMS_M_UTC,AB13)&gt;INDEX(nMS_M_UTC,AC13),INDEX(nMS_M_Loc,AB13)&gt;INDEX(nMS_M_Loc,AC13)),INDEX(nMS_M_Lo,AB13)&gt;INDEX(nMS_M_Hi,AC13)),"E_REVERSED_BOUNDS",""),MID(IF(OR(AD13="E_INVALID_DATE",AE13="E_INVALID_DATE"),"; E_INVALID_DATE","")&amp;IF(OR(AD13="E_REVERSED_BOUNDS",AE13="E_REVERSED_BOUNDS"),"; E_REVERSED_BOUNDS","")&amp;IF(OR(AD13="E_MISSING_INPUT",AE13="E_MISSING_INPUT"),"; E_MISSING_INPUT","")&amp;IF(OR(AD13="E_INVALID_UNIT",AE13="E_INVALID_UNIT"),"; E_INVALID_UNIT",""),3,99)))</f>
        <v/>
      </c>
      <c r="AG13" s="10"/>
      <c r="AH13" s="17"/>
      <c r="AI13" s="15"/>
      <c r="AJ13" s="26"/>
      <c r="AK13" s="10"/>
      <c r="AL13" s="12"/>
      <c r="AM13" s="12"/>
      <c r="AN13" s="15"/>
      <c r="AO13" s="15"/>
      <c r="AP13" s="10"/>
      <c r="AQ13" s="21" t="str">
        <f>IF(COUNTA(AH13:AO13)=0,"",IF(AH13="","E_MISSING_INPUT",IF(AH13="TIMESTAMP",IF(OR(AI13="",AJ13="",AK13=""),"E_MISSING_INPUT",IF(OR(NOT(ISNUMBER(AI13)),NOT(ISNUMBER(AJ13))),"E_INVALID_DATE",IF(OR(AI13&lt;&gt;INT(AI13),AJ13&lt;0,AJ13&gt;=1),"E_INVALID_DATE",IF(ISNA(MATCH(AK13,nLIST_Offset,0)),"E_INVALID_DATE","")))),IF(AH13="DATE",IF(AI13="","E_MISSING_INPUT",IF(NOT(ISNUMBER(AI13)),"E_INVALID_DATE",IF(AI13&lt;&gt;INT(AI13),"E_INVALID_DATE",""))),IF(AH13="MONTH",IF(OR(AL13="",AM13=""),"E_MISSING_INPUT",IF(OR(NOT(ISNUMBER(AL13)),NOT(ISNUMBER(AM13))),"E_INVALID_DATE",IF(OR(AL13&lt;1900,AL13&gt;9999,AL13&lt;&gt;INT(AL13),AM13&lt;1,AM13&gt;12,AM13&lt;&gt;INT(AM13)),"E_INVALID_DATE",""))),IF(AH13="YEAR",IF(AL13="","E_MISSING_INPUT",IF(NOT(ISNUMBER(AL13)),"E_INVALID_DATE",IF(OR(AL13&lt;1900,AL13&gt;9999,AL13&lt;&gt;INT(AL13)),"E_INVALID_DATE",""))),IF(AH13="RANGE",IF(OR(AN13="",AO13=""),"E_MISSING_INPUT",IF(OR(NOT(ISNUMBER(AN13)),NOT(ISNUMBER(AO13))),"E_INVALID_DATE",IF(OR(AN13&lt;&gt;INT(AN13),AO13&lt;&gt;INT(AO13)),"E_INVALID_DATE",IF(AN13&gt;AO13,"E_REVERSED_BOUNDS","")))),"E_MISSING_INPUT")))))))</f>
        <v/>
      </c>
      <c r="AR13" s="22">
        <f t="shared" si="4"/>
        <v>0</v>
      </c>
      <c r="AS13" s="22">
        <f t="shared" si="5"/>
        <v>0</v>
      </c>
      <c r="AT13" s="28" t="str">
        <f t="shared" si="6"/>
        <v/>
      </c>
      <c r="AU13" s="28" t="str">
        <f t="shared" si="7"/>
        <v/>
      </c>
      <c r="AV13" s="22" t="str">
        <f t="shared" si="8"/>
        <v/>
      </c>
      <c r="AW13" s="22" t="str">
        <f t="shared" si="9"/>
        <v/>
      </c>
      <c r="AX13" s="21" t="str">
        <f t="shared" si="10"/>
        <v/>
      </c>
      <c r="AY13" s="22">
        <f>IF(AX13="",0,COUNTIF(nEVT_Key,AX13))</f>
        <v>0</v>
      </c>
      <c r="AZ13" s="21" t="str">
        <f t="shared" si="11"/>
        <v/>
      </c>
      <c r="BA13" s="21" t="str">
        <f>IF(AZ13="","",AZ13&amp;": "&amp;SUBSTITUTE(IFERROR(INDEX(nMSG_Text,MATCH(AZ13,nMSG_Code,0)),""),"[input]",IF(D13="","an Episode_ID","the date fields required by the selected precision")))</f>
        <v/>
      </c>
    </row>
    <row r="14" spans="1:53" x14ac:dyDescent="0.2">
      <c r="A14" s="10"/>
      <c r="B14" s="12"/>
      <c r="C14" s="10"/>
      <c r="D14" s="10"/>
      <c r="E14" s="10"/>
      <c r="F14" s="10"/>
      <c r="G14" s="17"/>
      <c r="H14" s="10"/>
      <c r="I14" s="10"/>
      <c r="J14" s="17"/>
      <c r="K14" s="15"/>
      <c r="L14" s="26"/>
      <c r="M14" s="10"/>
      <c r="N14" s="12"/>
      <c r="O14" s="12"/>
      <c r="P14" s="15"/>
      <c r="Q14" s="15"/>
      <c r="R14" s="10"/>
      <c r="S14" s="10"/>
      <c r="T14" s="10"/>
      <c r="U14" s="21" t="str">
        <f>IF(COUNTA(J14:Q14)=0,"",IF(J14="","E_MISSING_INPUT",IF(J14="LAB",AF14,IF(J14="TIMESTAMP",IF(OR(K14="",L14="",M14=""),"E_MISSING_INPUT",IF(OR(NOT(ISNUMBER(K14)),NOT(ISNUMBER(L14))),"E_INVALID_DATE",IF(OR(K14&lt;&gt;INT(K14),L14&lt;0,L14&gt;=1),"E_INVALID_DATE",IF(ISNA(MATCH(M14,nLIST_Offset,0)),"E_INVALID_DATE","")))),IF(J14="DATE",IF(K14="","E_MISSING_INPUT",IF(NOT(ISNUMBER(K14)),"E_INVALID_DATE",IF(K14&lt;&gt;INT(K14),"E_INVALID_DATE",""))),IF(J14="MONTH",IF(OR(N14="",O14=""),"E_MISSING_INPUT",IF(OR(NOT(ISNUMBER(N14)),NOT(ISNUMBER(O14))),"E_INVALID_DATE",IF(OR(N14&lt;1900,N14&gt;9999,N14&lt;&gt;INT(N14),O14&lt;1,O14&gt;12,O14&lt;&gt;INT(O14)),"E_INVALID_DATE",""))),IF(J14="YEAR",IF(N14="","E_MISSING_INPUT",IF(NOT(ISNUMBER(N14)),"E_INVALID_DATE",IF(OR(N14&lt;1900,N14&gt;9999,N14&lt;&gt;INT(N14)),"E_INVALID_DATE",""))),IF(J14="RANGE",IF(OR(P14="",Q14=""),"E_MISSING_INPUT",IF(OR(NOT(ISNUMBER(P14)),NOT(ISNUMBER(Q14))),"E_INVALID_DATE",IF(OR(P14&lt;&gt;INT(P14),Q14&lt;&gt;INT(Q14)),"E_INVALID_DATE",IF(P14&gt;Q14,"E_REVERSED_BOUNDS","")))),"E_MISSING_INPUT"))))))))</f>
        <v/>
      </c>
      <c r="V14" s="22">
        <f t="shared" si="0"/>
        <v>0</v>
      </c>
      <c r="W14" s="22">
        <f t="shared" si="1"/>
        <v>0</v>
      </c>
      <c r="X14" s="28" t="str">
        <f>IF(OR(U14&lt;&gt;"",J14=""),"",IF(J14="LAB",INDEX(nMS_M_Lo,AB14),IF(OR(J14="TIMESTAMP",J14="DATE"),K14,IF(J14="MONTH",DATE(N14,O14,1),IF(J14="YEAR",DATE(N14,1,1),P14)))))</f>
        <v/>
      </c>
      <c r="Y14" s="28" t="str">
        <f>IF(OR(U14&lt;&gt;"",J14=""),"",IF(J14="LAB",INDEX(nMS_M_Hi,AC14),IF(OR(J14="TIMESTAMP",J14="DATE"),K14,IF(J14="MONTH",EOMONTH(DATE(N14,O14,1),0),IF(J14="YEAR",DATE(N14,12,31),Q14)))))</f>
        <v/>
      </c>
      <c r="Z14" s="22" t="str">
        <f t="shared" si="2"/>
        <v/>
      </c>
      <c r="AA14" s="22" t="str">
        <f t="shared" si="3"/>
        <v/>
      </c>
      <c r="AB14" s="22">
        <f>IF(R14="",0,IFERROR(MATCH(A14&amp;"|"&amp;B14&amp;"|"&amp;R14,nMS_Key,0),0))</f>
        <v>0</v>
      </c>
      <c r="AC14" s="22">
        <f>IF(S14="",0,IFERROR(MATCH(A14&amp;"|"&amp;B14&amp;"|"&amp;S14,nMS_Key,0),0))</f>
        <v>0</v>
      </c>
      <c r="AD14" s="21" t="str">
        <f>IF(J14&lt;&gt;"LAB","",IF(R14="","E_MISSING_INPUT",IF(AB14=0,"E_MISSING_INPUT",IF(INDEX(nMS_M_Lo,AB14)="",IF(INDEX(nMS_M_Err,AB14)="","E_MISSING_INPUT",INDEX(nMS_M_Err,AB14)),""))))</f>
        <v/>
      </c>
      <c r="AE14" s="21" t="str">
        <f>IF(J14&lt;&gt;"LAB","",IF(S14="","E_MISSING_INPUT",IF(AC14=0,"E_MISSING_INPUT",IF(INDEX(nMS_M_Lo,AC14)="",IF(INDEX(nMS_M_Err,AC14)="","E_MISSING_INPUT",INDEX(nMS_M_Err,AC14)),""))))</f>
        <v/>
      </c>
      <c r="AF14" s="21" t="str">
        <f>IF(J14&lt;&gt;"LAB","",IF(AND(AD14="",AE14=""),IF(IF(INDEX(nMS_M_HT,AB14)*INDEX(nMS_M_HT,AC14)=1,IF(INDEX(nMS_M_OK,AB14)*INDEX(nMS_M_OK,AC14)=1,INDEX(nMS_M_UTC,AB14)&gt;INDEX(nMS_M_UTC,AC14),INDEX(nMS_M_Loc,AB14)&gt;INDEX(nMS_M_Loc,AC14)),INDEX(nMS_M_Lo,AB14)&gt;INDEX(nMS_M_Hi,AC14)),"E_REVERSED_BOUNDS",""),MID(IF(OR(AD14="E_INVALID_DATE",AE14="E_INVALID_DATE"),"; E_INVALID_DATE","")&amp;IF(OR(AD14="E_REVERSED_BOUNDS",AE14="E_REVERSED_BOUNDS"),"; E_REVERSED_BOUNDS","")&amp;IF(OR(AD14="E_MISSING_INPUT",AE14="E_MISSING_INPUT"),"; E_MISSING_INPUT","")&amp;IF(OR(AD14="E_INVALID_UNIT",AE14="E_INVALID_UNIT"),"; E_INVALID_UNIT",""),3,99)))</f>
        <v/>
      </c>
      <c r="AG14" s="10"/>
      <c r="AH14" s="17"/>
      <c r="AI14" s="15"/>
      <c r="AJ14" s="26"/>
      <c r="AK14" s="10"/>
      <c r="AL14" s="12"/>
      <c r="AM14" s="12"/>
      <c r="AN14" s="15"/>
      <c r="AO14" s="15"/>
      <c r="AP14" s="10"/>
      <c r="AQ14" s="21" t="str">
        <f>IF(COUNTA(AH14:AO14)=0,"",IF(AH14="","E_MISSING_INPUT",IF(AH14="TIMESTAMP",IF(OR(AI14="",AJ14="",AK14=""),"E_MISSING_INPUT",IF(OR(NOT(ISNUMBER(AI14)),NOT(ISNUMBER(AJ14))),"E_INVALID_DATE",IF(OR(AI14&lt;&gt;INT(AI14),AJ14&lt;0,AJ14&gt;=1),"E_INVALID_DATE",IF(ISNA(MATCH(AK14,nLIST_Offset,0)),"E_INVALID_DATE","")))),IF(AH14="DATE",IF(AI14="","E_MISSING_INPUT",IF(NOT(ISNUMBER(AI14)),"E_INVALID_DATE",IF(AI14&lt;&gt;INT(AI14),"E_INVALID_DATE",""))),IF(AH14="MONTH",IF(OR(AL14="",AM14=""),"E_MISSING_INPUT",IF(OR(NOT(ISNUMBER(AL14)),NOT(ISNUMBER(AM14))),"E_INVALID_DATE",IF(OR(AL14&lt;1900,AL14&gt;9999,AL14&lt;&gt;INT(AL14),AM14&lt;1,AM14&gt;12,AM14&lt;&gt;INT(AM14)),"E_INVALID_DATE",""))),IF(AH14="YEAR",IF(AL14="","E_MISSING_INPUT",IF(NOT(ISNUMBER(AL14)),"E_INVALID_DATE",IF(OR(AL14&lt;1900,AL14&gt;9999,AL14&lt;&gt;INT(AL14)),"E_INVALID_DATE",""))),IF(AH14="RANGE",IF(OR(AN14="",AO14=""),"E_MISSING_INPUT",IF(OR(NOT(ISNUMBER(AN14)),NOT(ISNUMBER(AO14))),"E_INVALID_DATE",IF(OR(AN14&lt;&gt;INT(AN14),AO14&lt;&gt;INT(AO14)),"E_INVALID_DATE",IF(AN14&gt;AO14,"E_REVERSED_BOUNDS","")))),"E_MISSING_INPUT")))))))</f>
        <v/>
      </c>
      <c r="AR14" s="22">
        <f t="shared" si="4"/>
        <v>0</v>
      </c>
      <c r="AS14" s="22">
        <f t="shared" si="5"/>
        <v>0</v>
      </c>
      <c r="AT14" s="28" t="str">
        <f t="shared" si="6"/>
        <v/>
      </c>
      <c r="AU14" s="28" t="str">
        <f t="shared" si="7"/>
        <v/>
      </c>
      <c r="AV14" s="22" t="str">
        <f t="shared" si="8"/>
        <v/>
      </c>
      <c r="AW14" s="22" t="str">
        <f t="shared" si="9"/>
        <v/>
      </c>
      <c r="AX14" s="21" t="str">
        <f t="shared" si="10"/>
        <v/>
      </c>
      <c r="AY14" s="22">
        <f>IF(AX14="",0,COUNTIF(nEVT_Key,AX14))</f>
        <v>0</v>
      </c>
      <c r="AZ14" s="21" t="str">
        <f t="shared" si="11"/>
        <v/>
      </c>
      <c r="BA14" s="21" t="str">
        <f>IF(AZ14="","",AZ14&amp;": "&amp;SUBSTITUTE(IFERROR(INDEX(nMSG_Text,MATCH(AZ14,nMSG_Code,0)),""),"[input]",IF(D14="","an Episode_ID","the date fields required by the selected precision")))</f>
        <v/>
      </c>
    </row>
    <row r="15" spans="1:53" x14ac:dyDescent="0.2">
      <c r="A15" s="10"/>
      <c r="B15" s="12"/>
      <c r="C15" s="10"/>
      <c r="D15" s="10"/>
      <c r="E15" s="10"/>
      <c r="F15" s="10"/>
      <c r="G15" s="17"/>
      <c r="H15" s="10"/>
      <c r="I15" s="10"/>
      <c r="J15" s="17"/>
      <c r="K15" s="15"/>
      <c r="L15" s="26"/>
      <c r="M15" s="10"/>
      <c r="N15" s="12"/>
      <c r="O15" s="12"/>
      <c r="P15" s="15"/>
      <c r="Q15" s="15"/>
      <c r="R15" s="10"/>
      <c r="S15" s="10"/>
      <c r="T15" s="10"/>
      <c r="U15" s="21" t="str">
        <f>IF(COUNTA(J15:Q15)=0,"",IF(J15="","E_MISSING_INPUT",IF(J15="LAB",AF15,IF(J15="TIMESTAMP",IF(OR(K15="",L15="",M15=""),"E_MISSING_INPUT",IF(OR(NOT(ISNUMBER(K15)),NOT(ISNUMBER(L15))),"E_INVALID_DATE",IF(OR(K15&lt;&gt;INT(K15),L15&lt;0,L15&gt;=1),"E_INVALID_DATE",IF(ISNA(MATCH(M15,nLIST_Offset,0)),"E_INVALID_DATE","")))),IF(J15="DATE",IF(K15="","E_MISSING_INPUT",IF(NOT(ISNUMBER(K15)),"E_INVALID_DATE",IF(K15&lt;&gt;INT(K15),"E_INVALID_DATE",""))),IF(J15="MONTH",IF(OR(N15="",O15=""),"E_MISSING_INPUT",IF(OR(NOT(ISNUMBER(N15)),NOT(ISNUMBER(O15))),"E_INVALID_DATE",IF(OR(N15&lt;1900,N15&gt;9999,N15&lt;&gt;INT(N15),O15&lt;1,O15&gt;12,O15&lt;&gt;INT(O15)),"E_INVALID_DATE",""))),IF(J15="YEAR",IF(N15="","E_MISSING_INPUT",IF(NOT(ISNUMBER(N15)),"E_INVALID_DATE",IF(OR(N15&lt;1900,N15&gt;9999,N15&lt;&gt;INT(N15)),"E_INVALID_DATE",""))),IF(J15="RANGE",IF(OR(P15="",Q15=""),"E_MISSING_INPUT",IF(OR(NOT(ISNUMBER(P15)),NOT(ISNUMBER(Q15))),"E_INVALID_DATE",IF(OR(P15&lt;&gt;INT(P15),Q15&lt;&gt;INT(Q15)),"E_INVALID_DATE",IF(P15&gt;Q15,"E_REVERSED_BOUNDS","")))),"E_MISSING_INPUT"))))))))</f>
        <v/>
      </c>
      <c r="V15" s="22">
        <f t="shared" si="0"/>
        <v>0</v>
      </c>
      <c r="W15" s="22">
        <f t="shared" si="1"/>
        <v>0</v>
      </c>
      <c r="X15" s="28" t="str">
        <f>IF(OR(U15&lt;&gt;"",J15=""),"",IF(J15="LAB",INDEX(nMS_M_Lo,AB15),IF(OR(J15="TIMESTAMP",J15="DATE"),K15,IF(J15="MONTH",DATE(N15,O15,1),IF(J15="YEAR",DATE(N15,1,1),P15)))))</f>
        <v/>
      </c>
      <c r="Y15" s="28" t="str">
        <f>IF(OR(U15&lt;&gt;"",J15=""),"",IF(J15="LAB",INDEX(nMS_M_Hi,AC15),IF(OR(J15="TIMESTAMP",J15="DATE"),K15,IF(J15="MONTH",EOMONTH(DATE(N15,O15,1),0),IF(J15="YEAR",DATE(N15,12,31),Q15)))))</f>
        <v/>
      </c>
      <c r="Z15" s="22" t="str">
        <f t="shared" si="2"/>
        <v/>
      </c>
      <c r="AA15" s="22" t="str">
        <f t="shared" si="3"/>
        <v/>
      </c>
      <c r="AB15" s="22">
        <f>IF(R15="",0,IFERROR(MATCH(A15&amp;"|"&amp;B15&amp;"|"&amp;R15,nMS_Key,0),0))</f>
        <v>0</v>
      </c>
      <c r="AC15" s="22">
        <f>IF(S15="",0,IFERROR(MATCH(A15&amp;"|"&amp;B15&amp;"|"&amp;S15,nMS_Key,0),0))</f>
        <v>0</v>
      </c>
      <c r="AD15" s="21" t="str">
        <f>IF(J15&lt;&gt;"LAB","",IF(R15="","E_MISSING_INPUT",IF(AB15=0,"E_MISSING_INPUT",IF(INDEX(nMS_M_Lo,AB15)="",IF(INDEX(nMS_M_Err,AB15)="","E_MISSING_INPUT",INDEX(nMS_M_Err,AB15)),""))))</f>
        <v/>
      </c>
      <c r="AE15" s="21" t="str">
        <f>IF(J15&lt;&gt;"LAB","",IF(S15="","E_MISSING_INPUT",IF(AC15=0,"E_MISSING_INPUT",IF(INDEX(nMS_M_Lo,AC15)="",IF(INDEX(nMS_M_Err,AC15)="","E_MISSING_INPUT",INDEX(nMS_M_Err,AC15)),""))))</f>
        <v/>
      </c>
      <c r="AF15" s="21" t="str">
        <f>IF(J15&lt;&gt;"LAB","",IF(AND(AD15="",AE15=""),IF(IF(INDEX(nMS_M_HT,AB15)*INDEX(nMS_M_HT,AC15)=1,IF(INDEX(nMS_M_OK,AB15)*INDEX(nMS_M_OK,AC15)=1,INDEX(nMS_M_UTC,AB15)&gt;INDEX(nMS_M_UTC,AC15),INDEX(nMS_M_Loc,AB15)&gt;INDEX(nMS_M_Loc,AC15)),INDEX(nMS_M_Lo,AB15)&gt;INDEX(nMS_M_Hi,AC15)),"E_REVERSED_BOUNDS",""),MID(IF(OR(AD15="E_INVALID_DATE",AE15="E_INVALID_DATE"),"; E_INVALID_DATE","")&amp;IF(OR(AD15="E_REVERSED_BOUNDS",AE15="E_REVERSED_BOUNDS"),"; E_REVERSED_BOUNDS","")&amp;IF(OR(AD15="E_MISSING_INPUT",AE15="E_MISSING_INPUT"),"; E_MISSING_INPUT","")&amp;IF(OR(AD15="E_INVALID_UNIT",AE15="E_INVALID_UNIT"),"; E_INVALID_UNIT",""),3,99)))</f>
        <v/>
      </c>
      <c r="AG15" s="10"/>
      <c r="AH15" s="17"/>
      <c r="AI15" s="15"/>
      <c r="AJ15" s="26"/>
      <c r="AK15" s="10"/>
      <c r="AL15" s="12"/>
      <c r="AM15" s="12"/>
      <c r="AN15" s="15"/>
      <c r="AO15" s="15"/>
      <c r="AP15" s="10"/>
      <c r="AQ15" s="21" t="str">
        <f>IF(COUNTA(AH15:AO15)=0,"",IF(AH15="","E_MISSING_INPUT",IF(AH15="TIMESTAMP",IF(OR(AI15="",AJ15="",AK15=""),"E_MISSING_INPUT",IF(OR(NOT(ISNUMBER(AI15)),NOT(ISNUMBER(AJ15))),"E_INVALID_DATE",IF(OR(AI15&lt;&gt;INT(AI15),AJ15&lt;0,AJ15&gt;=1),"E_INVALID_DATE",IF(ISNA(MATCH(AK15,nLIST_Offset,0)),"E_INVALID_DATE","")))),IF(AH15="DATE",IF(AI15="","E_MISSING_INPUT",IF(NOT(ISNUMBER(AI15)),"E_INVALID_DATE",IF(AI15&lt;&gt;INT(AI15),"E_INVALID_DATE",""))),IF(AH15="MONTH",IF(OR(AL15="",AM15=""),"E_MISSING_INPUT",IF(OR(NOT(ISNUMBER(AL15)),NOT(ISNUMBER(AM15))),"E_INVALID_DATE",IF(OR(AL15&lt;1900,AL15&gt;9999,AL15&lt;&gt;INT(AL15),AM15&lt;1,AM15&gt;12,AM15&lt;&gt;INT(AM15)),"E_INVALID_DATE",""))),IF(AH15="YEAR",IF(AL15="","E_MISSING_INPUT",IF(NOT(ISNUMBER(AL15)),"E_INVALID_DATE",IF(OR(AL15&lt;1900,AL15&gt;9999,AL15&lt;&gt;INT(AL15)),"E_INVALID_DATE",""))),IF(AH15="RANGE",IF(OR(AN15="",AO15=""),"E_MISSING_INPUT",IF(OR(NOT(ISNUMBER(AN15)),NOT(ISNUMBER(AO15))),"E_INVALID_DATE",IF(OR(AN15&lt;&gt;INT(AN15),AO15&lt;&gt;INT(AO15)),"E_INVALID_DATE",IF(AN15&gt;AO15,"E_REVERSED_BOUNDS","")))),"E_MISSING_INPUT")))))))</f>
        <v/>
      </c>
      <c r="AR15" s="22">
        <f t="shared" si="4"/>
        <v>0</v>
      </c>
      <c r="AS15" s="22">
        <f t="shared" si="5"/>
        <v>0</v>
      </c>
      <c r="AT15" s="28" t="str">
        <f t="shared" si="6"/>
        <v/>
      </c>
      <c r="AU15" s="28" t="str">
        <f t="shared" si="7"/>
        <v/>
      </c>
      <c r="AV15" s="22" t="str">
        <f t="shared" si="8"/>
        <v/>
      </c>
      <c r="AW15" s="22" t="str">
        <f t="shared" si="9"/>
        <v/>
      </c>
      <c r="AX15" s="21" t="str">
        <f t="shared" si="10"/>
        <v/>
      </c>
      <c r="AY15" s="22">
        <f>IF(AX15="",0,COUNTIF(nEVT_Key,AX15))</f>
        <v>0</v>
      </c>
      <c r="AZ15" s="21" t="str">
        <f t="shared" si="11"/>
        <v/>
      </c>
      <c r="BA15" s="21" t="str">
        <f>IF(AZ15="","",AZ15&amp;": "&amp;SUBSTITUTE(IFERROR(INDEX(nMSG_Text,MATCH(AZ15,nMSG_Code,0)),""),"[input]",IF(D15="","an Episode_ID","the date fields required by the selected precision")))</f>
        <v/>
      </c>
    </row>
    <row r="16" spans="1:53" x14ac:dyDescent="0.2">
      <c r="A16" s="10"/>
      <c r="B16" s="12"/>
      <c r="C16" s="10"/>
      <c r="D16" s="10"/>
      <c r="E16" s="10"/>
      <c r="F16" s="10"/>
      <c r="G16" s="17"/>
      <c r="H16" s="10"/>
      <c r="I16" s="10"/>
      <c r="J16" s="17"/>
      <c r="K16" s="15"/>
      <c r="L16" s="26"/>
      <c r="M16" s="10"/>
      <c r="N16" s="12"/>
      <c r="O16" s="12"/>
      <c r="P16" s="15"/>
      <c r="Q16" s="15"/>
      <c r="R16" s="10"/>
      <c r="S16" s="10"/>
      <c r="T16" s="10"/>
      <c r="U16" s="21" t="str">
        <f>IF(COUNTA(J16:Q16)=0,"",IF(J16="","E_MISSING_INPUT",IF(J16="LAB",AF16,IF(J16="TIMESTAMP",IF(OR(K16="",L16="",M16=""),"E_MISSING_INPUT",IF(OR(NOT(ISNUMBER(K16)),NOT(ISNUMBER(L16))),"E_INVALID_DATE",IF(OR(K16&lt;&gt;INT(K16),L16&lt;0,L16&gt;=1),"E_INVALID_DATE",IF(ISNA(MATCH(M16,nLIST_Offset,0)),"E_INVALID_DATE","")))),IF(J16="DATE",IF(K16="","E_MISSING_INPUT",IF(NOT(ISNUMBER(K16)),"E_INVALID_DATE",IF(K16&lt;&gt;INT(K16),"E_INVALID_DATE",""))),IF(J16="MONTH",IF(OR(N16="",O16=""),"E_MISSING_INPUT",IF(OR(NOT(ISNUMBER(N16)),NOT(ISNUMBER(O16))),"E_INVALID_DATE",IF(OR(N16&lt;1900,N16&gt;9999,N16&lt;&gt;INT(N16),O16&lt;1,O16&gt;12,O16&lt;&gt;INT(O16)),"E_INVALID_DATE",""))),IF(J16="YEAR",IF(N16="","E_MISSING_INPUT",IF(NOT(ISNUMBER(N16)),"E_INVALID_DATE",IF(OR(N16&lt;1900,N16&gt;9999,N16&lt;&gt;INT(N16)),"E_INVALID_DATE",""))),IF(J16="RANGE",IF(OR(P16="",Q16=""),"E_MISSING_INPUT",IF(OR(NOT(ISNUMBER(P16)),NOT(ISNUMBER(Q16))),"E_INVALID_DATE",IF(OR(P16&lt;&gt;INT(P16),Q16&lt;&gt;INT(Q16)),"E_INVALID_DATE",IF(P16&gt;Q16,"E_REVERSED_BOUNDS","")))),"E_MISSING_INPUT"))))))))</f>
        <v/>
      </c>
      <c r="V16" s="22">
        <f t="shared" si="0"/>
        <v>0</v>
      </c>
      <c r="W16" s="22">
        <f t="shared" si="1"/>
        <v>0</v>
      </c>
      <c r="X16" s="28" t="str">
        <f>IF(OR(U16&lt;&gt;"",J16=""),"",IF(J16="LAB",INDEX(nMS_M_Lo,AB16),IF(OR(J16="TIMESTAMP",J16="DATE"),K16,IF(J16="MONTH",DATE(N16,O16,1),IF(J16="YEAR",DATE(N16,1,1),P16)))))</f>
        <v/>
      </c>
      <c r="Y16" s="28" t="str">
        <f>IF(OR(U16&lt;&gt;"",J16=""),"",IF(J16="LAB",INDEX(nMS_M_Hi,AC16),IF(OR(J16="TIMESTAMP",J16="DATE"),K16,IF(J16="MONTH",EOMONTH(DATE(N16,O16,1),0),IF(J16="YEAR",DATE(N16,12,31),Q16)))))</f>
        <v/>
      </c>
      <c r="Z16" s="22" t="str">
        <f t="shared" si="2"/>
        <v/>
      </c>
      <c r="AA16" s="22" t="str">
        <f t="shared" si="3"/>
        <v/>
      </c>
      <c r="AB16" s="22">
        <f>IF(R16="",0,IFERROR(MATCH(A16&amp;"|"&amp;B16&amp;"|"&amp;R16,nMS_Key,0),0))</f>
        <v>0</v>
      </c>
      <c r="AC16" s="22">
        <f>IF(S16="",0,IFERROR(MATCH(A16&amp;"|"&amp;B16&amp;"|"&amp;S16,nMS_Key,0),0))</f>
        <v>0</v>
      </c>
      <c r="AD16" s="21" t="str">
        <f>IF(J16&lt;&gt;"LAB","",IF(R16="","E_MISSING_INPUT",IF(AB16=0,"E_MISSING_INPUT",IF(INDEX(nMS_M_Lo,AB16)="",IF(INDEX(nMS_M_Err,AB16)="","E_MISSING_INPUT",INDEX(nMS_M_Err,AB16)),""))))</f>
        <v/>
      </c>
      <c r="AE16" s="21" t="str">
        <f>IF(J16&lt;&gt;"LAB","",IF(S16="","E_MISSING_INPUT",IF(AC16=0,"E_MISSING_INPUT",IF(INDEX(nMS_M_Lo,AC16)="",IF(INDEX(nMS_M_Err,AC16)="","E_MISSING_INPUT",INDEX(nMS_M_Err,AC16)),""))))</f>
        <v/>
      </c>
      <c r="AF16" s="21" t="str">
        <f>IF(J16&lt;&gt;"LAB","",IF(AND(AD16="",AE16=""),IF(IF(INDEX(nMS_M_HT,AB16)*INDEX(nMS_M_HT,AC16)=1,IF(INDEX(nMS_M_OK,AB16)*INDEX(nMS_M_OK,AC16)=1,INDEX(nMS_M_UTC,AB16)&gt;INDEX(nMS_M_UTC,AC16),INDEX(nMS_M_Loc,AB16)&gt;INDEX(nMS_M_Loc,AC16)),INDEX(nMS_M_Lo,AB16)&gt;INDEX(nMS_M_Hi,AC16)),"E_REVERSED_BOUNDS",""),MID(IF(OR(AD16="E_INVALID_DATE",AE16="E_INVALID_DATE"),"; E_INVALID_DATE","")&amp;IF(OR(AD16="E_REVERSED_BOUNDS",AE16="E_REVERSED_BOUNDS"),"; E_REVERSED_BOUNDS","")&amp;IF(OR(AD16="E_MISSING_INPUT",AE16="E_MISSING_INPUT"),"; E_MISSING_INPUT","")&amp;IF(OR(AD16="E_INVALID_UNIT",AE16="E_INVALID_UNIT"),"; E_INVALID_UNIT",""),3,99)))</f>
        <v/>
      </c>
      <c r="AG16" s="10"/>
      <c r="AH16" s="17"/>
      <c r="AI16" s="15"/>
      <c r="AJ16" s="26"/>
      <c r="AK16" s="10"/>
      <c r="AL16" s="12"/>
      <c r="AM16" s="12"/>
      <c r="AN16" s="15"/>
      <c r="AO16" s="15"/>
      <c r="AP16" s="10"/>
      <c r="AQ16" s="21" t="str">
        <f>IF(COUNTA(AH16:AO16)=0,"",IF(AH16="","E_MISSING_INPUT",IF(AH16="TIMESTAMP",IF(OR(AI16="",AJ16="",AK16=""),"E_MISSING_INPUT",IF(OR(NOT(ISNUMBER(AI16)),NOT(ISNUMBER(AJ16))),"E_INVALID_DATE",IF(OR(AI16&lt;&gt;INT(AI16),AJ16&lt;0,AJ16&gt;=1),"E_INVALID_DATE",IF(ISNA(MATCH(AK16,nLIST_Offset,0)),"E_INVALID_DATE","")))),IF(AH16="DATE",IF(AI16="","E_MISSING_INPUT",IF(NOT(ISNUMBER(AI16)),"E_INVALID_DATE",IF(AI16&lt;&gt;INT(AI16),"E_INVALID_DATE",""))),IF(AH16="MONTH",IF(OR(AL16="",AM16=""),"E_MISSING_INPUT",IF(OR(NOT(ISNUMBER(AL16)),NOT(ISNUMBER(AM16))),"E_INVALID_DATE",IF(OR(AL16&lt;1900,AL16&gt;9999,AL16&lt;&gt;INT(AL16),AM16&lt;1,AM16&gt;12,AM16&lt;&gt;INT(AM16)),"E_INVALID_DATE",""))),IF(AH16="YEAR",IF(AL16="","E_MISSING_INPUT",IF(NOT(ISNUMBER(AL16)),"E_INVALID_DATE",IF(OR(AL16&lt;1900,AL16&gt;9999,AL16&lt;&gt;INT(AL16)),"E_INVALID_DATE",""))),IF(AH16="RANGE",IF(OR(AN16="",AO16=""),"E_MISSING_INPUT",IF(OR(NOT(ISNUMBER(AN16)),NOT(ISNUMBER(AO16))),"E_INVALID_DATE",IF(OR(AN16&lt;&gt;INT(AN16),AO16&lt;&gt;INT(AO16)),"E_INVALID_DATE",IF(AN16&gt;AO16,"E_REVERSED_BOUNDS","")))),"E_MISSING_INPUT")))))))</f>
        <v/>
      </c>
      <c r="AR16" s="22">
        <f t="shared" si="4"/>
        <v>0</v>
      </c>
      <c r="AS16" s="22">
        <f t="shared" si="5"/>
        <v>0</v>
      </c>
      <c r="AT16" s="28" t="str">
        <f t="shared" si="6"/>
        <v/>
      </c>
      <c r="AU16" s="28" t="str">
        <f t="shared" si="7"/>
        <v/>
      </c>
      <c r="AV16" s="22" t="str">
        <f t="shared" si="8"/>
        <v/>
      </c>
      <c r="AW16" s="22" t="str">
        <f t="shared" si="9"/>
        <v/>
      </c>
      <c r="AX16" s="21" t="str">
        <f t="shared" si="10"/>
        <v/>
      </c>
      <c r="AY16" s="22">
        <f>IF(AX16="",0,COUNTIF(nEVT_Key,AX16))</f>
        <v>0</v>
      </c>
      <c r="AZ16" s="21" t="str">
        <f t="shared" si="11"/>
        <v/>
      </c>
      <c r="BA16" s="21" t="str">
        <f>IF(AZ16="","",AZ16&amp;": "&amp;SUBSTITUTE(IFERROR(INDEX(nMSG_Text,MATCH(AZ16,nMSG_Code,0)),""),"[input]",IF(D16="","an Episode_ID","the date fields required by the selected precision")))</f>
        <v/>
      </c>
    </row>
    <row r="17" spans="1:53" x14ac:dyDescent="0.2">
      <c r="A17" s="10"/>
      <c r="B17" s="12"/>
      <c r="C17" s="10"/>
      <c r="D17" s="10"/>
      <c r="E17" s="10"/>
      <c r="F17" s="10"/>
      <c r="G17" s="17"/>
      <c r="H17" s="10"/>
      <c r="I17" s="10"/>
      <c r="J17" s="17"/>
      <c r="K17" s="15"/>
      <c r="L17" s="26"/>
      <c r="M17" s="10"/>
      <c r="N17" s="12"/>
      <c r="O17" s="12"/>
      <c r="P17" s="15"/>
      <c r="Q17" s="15"/>
      <c r="R17" s="10"/>
      <c r="S17" s="10"/>
      <c r="T17" s="10"/>
      <c r="U17" s="21" t="str">
        <f>IF(COUNTA(J17:Q17)=0,"",IF(J17="","E_MISSING_INPUT",IF(J17="LAB",AF17,IF(J17="TIMESTAMP",IF(OR(K17="",L17="",M17=""),"E_MISSING_INPUT",IF(OR(NOT(ISNUMBER(K17)),NOT(ISNUMBER(L17))),"E_INVALID_DATE",IF(OR(K17&lt;&gt;INT(K17),L17&lt;0,L17&gt;=1),"E_INVALID_DATE",IF(ISNA(MATCH(M17,nLIST_Offset,0)),"E_INVALID_DATE","")))),IF(J17="DATE",IF(K17="","E_MISSING_INPUT",IF(NOT(ISNUMBER(K17)),"E_INVALID_DATE",IF(K17&lt;&gt;INT(K17),"E_INVALID_DATE",""))),IF(J17="MONTH",IF(OR(N17="",O17=""),"E_MISSING_INPUT",IF(OR(NOT(ISNUMBER(N17)),NOT(ISNUMBER(O17))),"E_INVALID_DATE",IF(OR(N17&lt;1900,N17&gt;9999,N17&lt;&gt;INT(N17),O17&lt;1,O17&gt;12,O17&lt;&gt;INT(O17)),"E_INVALID_DATE",""))),IF(J17="YEAR",IF(N17="","E_MISSING_INPUT",IF(NOT(ISNUMBER(N17)),"E_INVALID_DATE",IF(OR(N17&lt;1900,N17&gt;9999,N17&lt;&gt;INT(N17)),"E_INVALID_DATE",""))),IF(J17="RANGE",IF(OR(P17="",Q17=""),"E_MISSING_INPUT",IF(OR(NOT(ISNUMBER(P17)),NOT(ISNUMBER(Q17))),"E_INVALID_DATE",IF(OR(P17&lt;&gt;INT(P17),Q17&lt;&gt;INT(Q17)),"E_INVALID_DATE",IF(P17&gt;Q17,"E_REVERSED_BOUNDS","")))),"E_MISSING_INPUT"))))))))</f>
        <v/>
      </c>
      <c r="V17" s="22">
        <f t="shared" si="0"/>
        <v>0</v>
      </c>
      <c r="W17" s="22">
        <f t="shared" si="1"/>
        <v>0</v>
      </c>
      <c r="X17" s="28" t="str">
        <f>IF(OR(U17&lt;&gt;"",J17=""),"",IF(J17="LAB",INDEX(nMS_M_Lo,AB17),IF(OR(J17="TIMESTAMP",J17="DATE"),K17,IF(J17="MONTH",DATE(N17,O17,1),IF(J17="YEAR",DATE(N17,1,1),P17)))))</f>
        <v/>
      </c>
      <c r="Y17" s="28" t="str">
        <f>IF(OR(U17&lt;&gt;"",J17=""),"",IF(J17="LAB",INDEX(nMS_M_Hi,AC17),IF(OR(J17="TIMESTAMP",J17="DATE"),K17,IF(J17="MONTH",EOMONTH(DATE(N17,O17,1),0),IF(J17="YEAR",DATE(N17,12,31),Q17)))))</f>
        <v/>
      </c>
      <c r="Z17" s="22" t="str">
        <f t="shared" si="2"/>
        <v/>
      </c>
      <c r="AA17" s="22" t="str">
        <f t="shared" si="3"/>
        <v/>
      </c>
      <c r="AB17" s="22">
        <f>IF(R17="",0,IFERROR(MATCH(A17&amp;"|"&amp;B17&amp;"|"&amp;R17,nMS_Key,0),0))</f>
        <v>0</v>
      </c>
      <c r="AC17" s="22">
        <f>IF(S17="",0,IFERROR(MATCH(A17&amp;"|"&amp;B17&amp;"|"&amp;S17,nMS_Key,0),0))</f>
        <v>0</v>
      </c>
      <c r="AD17" s="21" t="str">
        <f>IF(J17&lt;&gt;"LAB","",IF(R17="","E_MISSING_INPUT",IF(AB17=0,"E_MISSING_INPUT",IF(INDEX(nMS_M_Lo,AB17)="",IF(INDEX(nMS_M_Err,AB17)="","E_MISSING_INPUT",INDEX(nMS_M_Err,AB17)),""))))</f>
        <v/>
      </c>
      <c r="AE17" s="21" t="str">
        <f>IF(J17&lt;&gt;"LAB","",IF(S17="","E_MISSING_INPUT",IF(AC17=0,"E_MISSING_INPUT",IF(INDEX(nMS_M_Lo,AC17)="",IF(INDEX(nMS_M_Err,AC17)="","E_MISSING_INPUT",INDEX(nMS_M_Err,AC17)),""))))</f>
        <v/>
      </c>
      <c r="AF17" s="21" t="str">
        <f>IF(J17&lt;&gt;"LAB","",IF(AND(AD17="",AE17=""),IF(IF(INDEX(nMS_M_HT,AB17)*INDEX(nMS_M_HT,AC17)=1,IF(INDEX(nMS_M_OK,AB17)*INDEX(nMS_M_OK,AC17)=1,INDEX(nMS_M_UTC,AB17)&gt;INDEX(nMS_M_UTC,AC17),INDEX(nMS_M_Loc,AB17)&gt;INDEX(nMS_M_Loc,AC17)),INDEX(nMS_M_Lo,AB17)&gt;INDEX(nMS_M_Hi,AC17)),"E_REVERSED_BOUNDS",""),MID(IF(OR(AD17="E_INVALID_DATE",AE17="E_INVALID_DATE"),"; E_INVALID_DATE","")&amp;IF(OR(AD17="E_REVERSED_BOUNDS",AE17="E_REVERSED_BOUNDS"),"; E_REVERSED_BOUNDS","")&amp;IF(OR(AD17="E_MISSING_INPUT",AE17="E_MISSING_INPUT"),"; E_MISSING_INPUT","")&amp;IF(OR(AD17="E_INVALID_UNIT",AE17="E_INVALID_UNIT"),"; E_INVALID_UNIT",""),3,99)))</f>
        <v/>
      </c>
      <c r="AG17" s="10"/>
      <c r="AH17" s="17"/>
      <c r="AI17" s="15"/>
      <c r="AJ17" s="26"/>
      <c r="AK17" s="10"/>
      <c r="AL17" s="12"/>
      <c r="AM17" s="12"/>
      <c r="AN17" s="15"/>
      <c r="AO17" s="15"/>
      <c r="AP17" s="10"/>
      <c r="AQ17" s="21" t="str">
        <f>IF(COUNTA(AH17:AO17)=0,"",IF(AH17="","E_MISSING_INPUT",IF(AH17="TIMESTAMP",IF(OR(AI17="",AJ17="",AK17=""),"E_MISSING_INPUT",IF(OR(NOT(ISNUMBER(AI17)),NOT(ISNUMBER(AJ17))),"E_INVALID_DATE",IF(OR(AI17&lt;&gt;INT(AI17),AJ17&lt;0,AJ17&gt;=1),"E_INVALID_DATE",IF(ISNA(MATCH(AK17,nLIST_Offset,0)),"E_INVALID_DATE","")))),IF(AH17="DATE",IF(AI17="","E_MISSING_INPUT",IF(NOT(ISNUMBER(AI17)),"E_INVALID_DATE",IF(AI17&lt;&gt;INT(AI17),"E_INVALID_DATE",""))),IF(AH17="MONTH",IF(OR(AL17="",AM17=""),"E_MISSING_INPUT",IF(OR(NOT(ISNUMBER(AL17)),NOT(ISNUMBER(AM17))),"E_INVALID_DATE",IF(OR(AL17&lt;1900,AL17&gt;9999,AL17&lt;&gt;INT(AL17),AM17&lt;1,AM17&gt;12,AM17&lt;&gt;INT(AM17)),"E_INVALID_DATE",""))),IF(AH17="YEAR",IF(AL17="","E_MISSING_INPUT",IF(NOT(ISNUMBER(AL17)),"E_INVALID_DATE",IF(OR(AL17&lt;1900,AL17&gt;9999,AL17&lt;&gt;INT(AL17)),"E_INVALID_DATE",""))),IF(AH17="RANGE",IF(OR(AN17="",AO17=""),"E_MISSING_INPUT",IF(OR(NOT(ISNUMBER(AN17)),NOT(ISNUMBER(AO17))),"E_INVALID_DATE",IF(OR(AN17&lt;&gt;INT(AN17),AO17&lt;&gt;INT(AO17)),"E_INVALID_DATE",IF(AN17&gt;AO17,"E_REVERSED_BOUNDS","")))),"E_MISSING_INPUT")))))))</f>
        <v/>
      </c>
      <c r="AR17" s="22">
        <f t="shared" si="4"/>
        <v>0</v>
      </c>
      <c r="AS17" s="22">
        <f t="shared" si="5"/>
        <v>0</v>
      </c>
      <c r="AT17" s="28" t="str">
        <f t="shared" si="6"/>
        <v/>
      </c>
      <c r="AU17" s="28" t="str">
        <f t="shared" si="7"/>
        <v/>
      </c>
      <c r="AV17" s="22" t="str">
        <f t="shared" si="8"/>
        <v/>
      </c>
      <c r="AW17" s="22" t="str">
        <f t="shared" si="9"/>
        <v/>
      </c>
      <c r="AX17" s="21" t="str">
        <f t="shared" si="10"/>
        <v/>
      </c>
      <c r="AY17" s="22">
        <f>IF(AX17="",0,COUNTIF(nEVT_Key,AX17))</f>
        <v>0</v>
      </c>
      <c r="AZ17" s="21" t="str">
        <f t="shared" si="11"/>
        <v/>
      </c>
      <c r="BA17" s="21" t="str">
        <f>IF(AZ17="","",AZ17&amp;": "&amp;SUBSTITUTE(IFERROR(INDEX(nMSG_Text,MATCH(AZ17,nMSG_Code,0)),""),"[input]",IF(D17="","an Episode_ID","the date fields required by the selected precision")))</f>
        <v/>
      </c>
    </row>
    <row r="18" spans="1:53" x14ac:dyDescent="0.2">
      <c r="A18" s="10"/>
      <c r="B18" s="12"/>
      <c r="C18" s="10"/>
      <c r="D18" s="10"/>
      <c r="E18" s="10"/>
      <c r="F18" s="10"/>
      <c r="G18" s="17"/>
      <c r="H18" s="10"/>
      <c r="I18" s="10"/>
      <c r="J18" s="17"/>
      <c r="K18" s="15"/>
      <c r="L18" s="26"/>
      <c r="M18" s="10"/>
      <c r="N18" s="12"/>
      <c r="O18" s="12"/>
      <c r="P18" s="15"/>
      <c r="Q18" s="15"/>
      <c r="R18" s="10"/>
      <c r="S18" s="10"/>
      <c r="T18" s="10"/>
      <c r="U18" s="21" t="str">
        <f>IF(COUNTA(J18:Q18)=0,"",IF(J18="","E_MISSING_INPUT",IF(J18="LAB",AF18,IF(J18="TIMESTAMP",IF(OR(K18="",L18="",M18=""),"E_MISSING_INPUT",IF(OR(NOT(ISNUMBER(K18)),NOT(ISNUMBER(L18))),"E_INVALID_DATE",IF(OR(K18&lt;&gt;INT(K18),L18&lt;0,L18&gt;=1),"E_INVALID_DATE",IF(ISNA(MATCH(M18,nLIST_Offset,0)),"E_INVALID_DATE","")))),IF(J18="DATE",IF(K18="","E_MISSING_INPUT",IF(NOT(ISNUMBER(K18)),"E_INVALID_DATE",IF(K18&lt;&gt;INT(K18),"E_INVALID_DATE",""))),IF(J18="MONTH",IF(OR(N18="",O18=""),"E_MISSING_INPUT",IF(OR(NOT(ISNUMBER(N18)),NOT(ISNUMBER(O18))),"E_INVALID_DATE",IF(OR(N18&lt;1900,N18&gt;9999,N18&lt;&gt;INT(N18),O18&lt;1,O18&gt;12,O18&lt;&gt;INT(O18)),"E_INVALID_DATE",""))),IF(J18="YEAR",IF(N18="","E_MISSING_INPUT",IF(NOT(ISNUMBER(N18)),"E_INVALID_DATE",IF(OR(N18&lt;1900,N18&gt;9999,N18&lt;&gt;INT(N18)),"E_INVALID_DATE",""))),IF(J18="RANGE",IF(OR(P18="",Q18=""),"E_MISSING_INPUT",IF(OR(NOT(ISNUMBER(P18)),NOT(ISNUMBER(Q18))),"E_INVALID_DATE",IF(OR(P18&lt;&gt;INT(P18),Q18&lt;&gt;INT(Q18)),"E_INVALID_DATE",IF(P18&gt;Q18,"E_REVERSED_BOUNDS","")))),"E_MISSING_INPUT"))))))))</f>
        <v/>
      </c>
      <c r="V18" s="22">
        <f t="shared" si="0"/>
        <v>0</v>
      </c>
      <c r="W18" s="22">
        <f t="shared" si="1"/>
        <v>0</v>
      </c>
      <c r="X18" s="28" t="str">
        <f>IF(OR(U18&lt;&gt;"",J18=""),"",IF(J18="LAB",INDEX(nMS_M_Lo,AB18),IF(OR(J18="TIMESTAMP",J18="DATE"),K18,IF(J18="MONTH",DATE(N18,O18,1),IF(J18="YEAR",DATE(N18,1,1),P18)))))</f>
        <v/>
      </c>
      <c r="Y18" s="28" t="str">
        <f>IF(OR(U18&lt;&gt;"",J18=""),"",IF(J18="LAB",INDEX(nMS_M_Hi,AC18),IF(OR(J18="TIMESTAMP",J18="DATE"),K18,IF(J18="MONTH",EOMONTH(DATE(N18,O18,1),0),IF(J18="YEAR",DATE(N18,12,31),Q18)))))</f>
        <v/>
      </c>
      <c r="Z18" s="22" t="str">
        <f t="shared" si="2"/>
        <v/>
      </c>
      <c r="AA18" s="22" t="str">
        <f t="shared" si="3"/>
        <v/>
      </c>
      <c r="AB18" s="22">
        <f>IF(R18="",0,IFERROR(MATCH(A18&amp;"|"&amp;B18&amp;"|"&amp;R18,nMS_Key,0),0))</f>
        <v>0</v>
      </c>
      <c r="AC18" s="22">
        <f>IF(S18="",0,IFERROR(MATCH(A18&amp;"|"&amp;B18&amp;"|"&amp;S18,nMS_Key,0),0))</f>
        <v>0</v>
      </c>
      <c r="AD18" s="21" t="str">
        <f>IF(J18&lt;&gt;"LAB","",IF(R18="","E_MISSING_INPUT",IF(AB18=0,"E_MISSING_INPUT",IF(INDEX(nMS_M_Lo,AB18)="",IF(INDEX(nMS_M_Err,AB18)="","E_MISSING_INPUT",INDEX(nMS_M_Err,AB18)),""))))</f>
        <v/>
      </c>
      <c r="AE18" s="21" t="str">
        <f>IF(J18&lt;&gt;"LAB","",IF(S18="","E_MISSING_INPUT",IF(AC18=0,"E_MISSING_INPUT",IF(INDEX(nMS_M_Lo,AC18)="",IF(INDEX(nMS_M_Err,AC18)="","E_MISSING_INPUT",INDEX(nMS_M_Err,AC18)),""))))</f>
        <v/>
      </c>
      <c r="AF18" s="21" t="str">
        <f>IF(J18&lt;&gt;"LAB","",IF(AND(AD18="",AE18=""),IF(IF(INDEX(nMS_M_HT,AB18)*INDEX(nMS_M_HT,AC18)=1,IF(INDEX(nMS_M_OK,AB18)*INDEX(nMS_M_OK,AC18)=1,INDEX(nMS_M_UTC,AB18)&gt;INDEX(nMS_M_UTC,AC18),INDEX(nMS_M_Loc,AB18)&gt;INDEX(nMS_M_Loc,AC18)),INDEX(nMS_M_Lo,AB18)&gt;INDEX(nMS_M_Hi,AC18)),"E_REVERSED_BOUNDS",""),MID(IF(OR(AD18="E_INVALID_DATE",AE18="E_INVALID_DATE"),"; E_INVALID_DATE","")&amp;IF(OR(AD18="E_REVERSED_BOUNDS",AE18="E_REVERSED_BOUNDS"),"; E_REVERSED_BOUNDS","")&amp;IF(OR(AD18="E_MISSING_INPUT",AE18="E_MISSING_INPUT"),"; E_MISSING_INPUT","")&amp;IF(OR(AD18="E_INVALID_UNIT",AE18="E_INVALID_UNIT"),"; E_INVALID_UNIT",""),3,99)))</f>
        <v/>
      </c>
      <c r="AG18" s="10"/>
      <c r="AH18" s="17"/>
      <c r="AI18" s="15"/>
      <c r="AJ18" s="26"/>
      <c r="AK18" s="10"/>
      <c r="AL18" s="12"/>
      <c r="AM18" s="12"/>
      <c r="AN18" s="15"/>
      <c r="AO18" s="15"/>
      <c r="AP18" s="10"/>
      <c r="AQ18" s="21" t="str">
        <f>IF(COUNTA(AH18:AO18)=0,"",IF(AH18="","E_MISSING_INPUT",IF(AH18="TIMESTAMP",IF(OR(AI18="",AJ18="",AK18=""),"E_MISSING_INPUT",IF(OR(NOT(ISNUMBER(AI18)),NOT(ISNUMBER(AJ18))),"E_INVALID_DATE",IF(OR(AI18&lt;&gt;INT(AI18),AJ18&lt;0,AJ18&gt;=1),"E_INVALID_DATE",IF(ISNA(MATCH(AK18,nLIST_Offset,0)),"E_INVALID_DATE","")))),IF(AH18="DATE",IF(AI18="","E_MISSING_INPUT",IF(NOT(ISNUMBER(AI18)),"E_INVALID_DATE",IF(AI18&lt;&gt;INT(AI18),"E_INVALID_DATE",""))),IF(AH18="MONTH",IF(OR(AL18="",AM18=""),"E_MISSING_INPUT",IF(OR(NOT(ISNUMBER(AL18)),NOT(ISNUMBER(AM18))),"E_INVALID_DATE",IF(OR(AL18&lt;1900,AL18&gt;9999,AL18&lt;&gt;INT(AL18),AM18&lt;1,AM18&gt;12,AM18&lt;&gt;INT(AM18)),"E_INVALID_DATE",""))),IF(AH18="YEAR",IF(AL18="","E_MISSING_INPUT",IF(NOT(ISNUMBER(AL18)),"E_INVALID_DATE",IF(OR(AL18&lt;1900,AL18&gt;9999,AL18&lt;&gt;INT(AL18)),"E_INVALID_DATE",""))),IF(AH18="RANGE",IF(OR(AN18="",AO18=""),"E_MISSING_INPUT",IF(OR(NOT(ISNUMBER(AN18)),NOT(ISNUMBER(AO18))),"E_INVALID_DATE",IF(OR(AN18&lt;&gt;INT(AN18),AO18&lt;&gt;INT(AO18)),"E_INVALID_DATE",IF(AN18&gt;AO18,"E_REVERSED_BOUNDS","")))),"E_MISSING_INPUT")))))))</f>
        <v/>
      </c>
      <c r="AR18" s="22">
        <f t="shared" si="4"/>
        <v>0</v>
      </c>
      <c r="AS18" s="22">
        <f t="shared" si="5"/>
        <v>0</v>
      </c>
      <c r="AT18" s="28" t="str">
        <f t="shared" si="6"/>
        <v/>
      </c>
      <c r="AU18" s="28" t="str">
        <f t="shared" si="7"/>
        <v/>
      </c>
      <c r="AV18" s="22" t="str">
        <f t="shared" si="8"/>
        <v/>
      </c>
      <c r="AW18" s="22" t="str">
        <f t="shared" si="9"/>
        <v/>
      </c>
      <c r="AX18" s="21" t="str">
        <f t="shared" si="10"/>
        <v/>
      </c>
      <c r="AY18" s="22">
        <f>IF(AX18="",0,COUNTIF(nEVT_Key,AX18))</f>
        <v>0</v>
      </c>
      <c r="AZ18" s="21" t="str">
        <f t="shared" si="11"/>
        <v/>
      </c>
      <c r="BA18" s="21" t="str">
        <f>IF(AZ18="","",AZ18&amp;": "&amp;SUBSTITUTE(IFERROR(INDEX(nMSG_Text,MATCH(AZ18,nMSG_Code,0)),""),"[input]",IF(D18="","an Episode_ID","the date fields required by the selected precision")))</f>
        <v/>
      </c>
    </row>
    <row r="19" spans="1:53" x14ac:dyDescent="0.2">
      <c r="A19" s="10"/>
      <c r="B19" s="12"/>
      <c r="C19" s="10"/>
      <c r="D19" s="10"/>
      <c r="E19" s="10"/>
      <c r="F19" s="10"/>
      <c r="G19" s="17"/>
      <c r="H19" s="10"/>
      <c r="I19" s="10"/>
      <c r="J19" s="17"/>
      <c r="K19" s="15"/>
      <c r="L19" s="26"/>
      <c r="M19" s="10"/>
      <c r="N19" s="12"/>
      <c r="O19" s="12"/>
      <c r="P19" s="15"/>
      <c r="Q19" s="15"/>
      <c r="R19" s="10"/>
      <c r="S19" s="10"/>
      <c r="T19" s="10"/>
      <c r="U19" s="21" t="str">
        <f>IF(COUNTA(J19:Q19)=0,"",IF(J19="","E_MISSING_INPUT",IF(J19="LAB",AF19,IF(J19="TIMESTAMP",IF(OR(K19="",L19="",M19=""),"E_MISSING_INPUT",IF(OR(NOT(ISNUMBER(K19)),NOT(ISNUMBER(L19))),"E_INVALID_DATE",IF(OR(K19&lt;&gt;INT(K19),L19&lt;0,L19&gt;=1),"E_INVALID_DATE",IF(ISNA(MATCH(M19,nLIST_Offset,0)),"E_INVALID_DATE","")))),IF(J19="DATE",IF(K19="","E_MISSING_INPUT",IF(NOT(ISNUMBER(K19)),"E_INVALID_DATE",IF(K19&lt;&gt;INT(K19),"E_INVALID_DATE",""))),IF(J19="MONTH",IF(OR(N19="",O19=""),"E_MISSING_INPUT",IF(OR(NOT(ISNUMBER(N19)),NOT(ISNUMBER(O19))),"E_INVALID_DATE",IF(OR(N19&lt;1900,N19&gt;9999,N19&lt;&gt;INT(N19),O19&lt;1,O19&gt;12,O19&lt;&gt;INT(O19)),"E_INVALID_DATE",""))),IF(J19="YEAR",IF(N19="","E_MISSING_INPUT",IF(NOT(ISNUMBER(N19)),"E_INVALID_DATE",IF(OR(N19&lt;1900,N19&gt;9999,N19&lt;&gt;INT(N19)),"E_INVALID_DATE",""))),IF(J19="RANGE",IF(OR(P19="",Q19=""),"E_MISSING_INPUT",IF(OR(NOT(ISNUMBER(P19)),NOT(ISNUMBER(Q19))),"E_INVALID_DATE",IF(OR(P19&lt;&gt;INT(P19),Q19&lt;&gt;INT(Q19)),"E_INVALID_DATE",IF(P19&gt;Q19,"E_REVERSED_BOUNDS","")))),"E_MISSING_INPUT"))))))))</f>
        <v/>
      </c>
      <c r="V19" s="22">
        <f t="shared" si="0"/>
        <v>0</v>
      </c>
      <c r="W19" s="22">
        <f t="shared" si="1"/>
        <v>0</v>
      </c>
      <c r="X19" s="28" t="str">
        <f>IF(OR(U19&lt;&gt;"",J19=""),"",IF(J19="LAB",INDEX(nMS_M_Lo,AB19),IF(OR(J19="TIMESTAMP",J19="DATE"),K19,IF(J19="MONTH",DATE(N19,O19,1),IF(J19="YEAR",DATE(N19,1,1),P19)))))</f>
        <v/>
      </c>
      <c r="Y19" s="28" t="str">
        <f>IF(OR(U19&lt;&gt;"",J19=""),"",IF(J19="LAB",INDEX(nMS_M_Hi,AC19),IF(OR(J19="TIMESTAMP",J19="DATE"),K19,IF(J19="MONTH",EOMONTH(DATE(N19,O19,1),0),IF(J19="YEAR",DATE(N19,12,31),Q19)))))</f>
        <v/>
      </c>
      <c r="Z19" s="22" t="str">
        <f t="shared" si="2"/>
        <v/>
      </c>
      <c r="AA19" s="22" t="str">
        <f t="shared" si="3"/>
        <v/>
      </c>
      <c r="AB19" s="22">
        <f>IF(R19="",0,IFERROR(MATCH(A19&amp;"|"&amp;B19&amp;"|"&amp;R19,nMS_Key,0),0))</f>
        <v>0</v>
      </c>
      <c r="AC19" s="22">
        <f>IF(S19="",0,IFERROR(MATCH(A19&amp;"|"&amp;B19&amp;"|"&amp;S19,nMS_Key,0),0))</f>
        <v>0</v>
      </c>
      <c r="AD19" s="21" t="str">
        <f>IF(J19&lt;&gt;"LAB","",IF(R19="","E_MISSING_INPUT",IF(AB19=0,"E_MISSING_INPUT",IF(INDEX(nMS_M_Lo,AB19)="",IF(INDEX(nMS_M_Err,AB19)="","E_MISSING_INPUT",INDEX(nMS_M_Err,AB19)),""))))</f>
        <v/>
      </c>
      <c r="AE19" s="21" t="str">
        <f>IF(J19&lt;&gt;"LAB","",IF(S19="","E_MISSING_INPUT",IF(AC19=0,"E_MISSING_INPUT",IF(INDEX(nMS_M_Lo,AC19)="",IF(INDEX(nMS_M_Err,AC19)="","E_MISSING_INPUT",INDEX(nMS_M_Err,AC19)),""))))</f>
        <v/>
      </c>
      <c r="AF19" s="21" t="str">
        <f>IF(J19&lt;&gt;"LAB","",IF(AND(AD19="",AE19=""),IF(IF(INDEX(nMS_M_HT,AB19)*INDEX(nMS_M_HT,AC19)=1,IF(INDEX(nMS_M_OK,AB19)*INDEX(nMS_M_OK,AC19)=1,INDEX(nMS_M_UTC,AB19)&gt;INDEX(nMS_M_UTC,AC19),INDEX(nMS_M_Loc,AB19)&gt;INDEX(nMS_M_Loc,AC19)),INDEX(nMS_M_Lo,AB19)&gt;INDEX(nMS_M_Hi,AC19)),"E_REVERSED_BOUNDS",""),MID(IF(OR(AD19="E_INVALID_DATE",AE19="E_INVALID_DATE"),"; E_INVALID_DATE","")&amp;IF(OR(AD19="E_REVERSED_BOUNDS",AE19="E_REVERSED_BOUNDS"),"; E_REVERSED_BOUNDS","")&amp;IF(OR(AD19="E_MISSING_INPUT",AE19="E_MISSING_INPUT"),"; E_MISSING_INPUT","")&amp;IF(OR(AD19="E_INVALID_UNIT",AE19="E_INVALID_UNIT"),"; E_INVALID_UNIT",""),3,99)))</f>
        <v/>
      </c>
      <c r="AG19" s="10"/>
      <c r="AH19" s="17"/>
      <c r="AI19" s="15"/>
      <c r="AJ19" s="26"/>
      <c r="AK19" s="10"/>
      <c r="AL19" s="12"/>
      <c r="AM19" s="12"/>
      <c r="AN19" s="15"/>
      <c r="AO19" s="15"/>
      <c r="AP19" s="10"/>
      <c r="AQ19" s="21" t="str">
        <f>IF(COUNTA(AH19:AO19)=0,"",IF(AH19="","E_MISSING_INPUT",IF(AH19="TIMESTAMP",IF(OR(AI19="",AJ19="",AK19=""),"E_MISSING_INPUT",IF(OR(NOT(ISNUMBER(AI19)),NOT(ISNUMBER(AJ19))),"E_INVALID_DATE",IF(OR(AI19&lt;&gt;INT(AI19),AJ19&lt;0,AJ19&gt;=1),"E_INVALID_DATE",IF(ISNA(MATCH(AK19,nLIST_Offset,0)),"E_INVALID_DATE","")))),IF(AH19="DATE",IF(AI19="","E_MISSING_INPUT",IF(NOT(ISNUMBER(AI19)),"E_INVALID_DATE",IF(AI19&lt;&gt;INT(AI19),"E_INVALID_DATE",""))),IF(AH19="MONTH",IF(OR(AL19="",AM19=""),"E_MISSING_INPUT",IF(OR(NOT(ISNUMBER(AL19)),NOT(ISNUMBER(AM19))),"E_INVALID_DATE",IF(OR(AL19&lt;1900,AL19&gt;9999,AL19&lt;&gt;INT(AL19),AM19&lt;1,AM19&gt;12,AM19&lt;&gt;INT(AM19)),"E_INVALID_DATE",""))),IF(AH19="YEAR",IF(AL19="","E_MISSING_INPUT",IF(NOT(ISNUMBER(AL19)),"E_INVALID_DATE",IF(OR(AL19&lt;1900,AL19&gt;9999,AL19&lt;&gt;INT(AL19)),"E_INVALID_DATE",""))),IF(AH19="RANGE",IF(OR(AN19="",AO19=""),"E_MISSING_INPUT",IF(OR(NOT(ISNUMBER(AN19)),NOT(ISNUMBER(AO19))),"E_INVALID_DATE",IF(OR(AN19&lt;&gt;INT(AN19),AO19&lt;&gt;INT(AO19)),"E_INVALID_DATE",IF(AN19&gt;AO19,"E_REVERSED_BOUNDS","")))),"E_MISSING_INPUT")))))))</f>
        <v/>
      </c>
      <c r="AR19" s="22">
        <f t="shared" si="4"/>
        <v>0</v>
      </c>
      <c r="AS19" s="22">
        <f t="shared" si="5"/>
        <v>0</v>
      </c>
      <c r="AT19" s="28" t="str">
        <f t="shared" si="6"/>
        <v/>
      </c>
      <c r="AU19" s="28" t="str">
        <f t="shared" si="7"/>
        <v/>
      </c>
      <c r="AV19" s="22" t="str">
        <f t="shared" si="8"/>
        <v/>
      </c>
      <c r="AW19" s="22" t="str">
        <f t="shared" si="9"/>
        <v/>
      </c>
      <c r="AX19" s="21" t="str">
        <f t="shared" si="10"/>
        <v/>
      </c>
      <c r="AY19" s="22">
        <f>IF(AX19="",0,COUNTIF(nEVT_Key,AX19))</f>
        <v>0</v>
      </c>
      <c r="AZ19" s="21" t="str">
        <f t="shared" si="11"/>
        <v/>
      </c>
      <c r="BA19" s="21" t="str">
        <f>IF(AZ19="","",AZ19&amp;": "&amp;SUBSTITUTE(IFERROR(INDEX(nMSG_Text,MATCH(AZ19,nMSG_Code,0)),""),"[input]",IF(D19="","an Episode_ID","the date fields required by the selected precision")))</f>
        <v/>
      </c>
    </row>
    <row r="20" spans="1:53" x14ac:dyDescent="0.2">
      <c r="A20" s="24" t="s">
        <v>294</v>
      </c>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row>
    <row r="21" spans="1:53" x14ac:dyDescent="0.2">
      <c r="A21" s="9" t="s">
        <v>297</v>
      </c>
      <c r="B21" s="11">
        <v>2</v>
      </c>
      <c r="C21" s="9" t="s">
        <v>728</v>
      </c>
      <c r="D21" s="9" t="s">
        <v>729</v>
      </c>
      <c r="E21" s="9" t="s">
        <v>731</v>
      </c>
      <c r="F21" s="9" t="s">
        <v>730</v>
      </c>
      <c r="G21" s="16"/>
      <c r="H21" s="9"/>
      <c r="I21" s="9" t="s">
        <v>733</v>
      </c>
      <c r="J21" s="16" t="s">
        <v>3</v>
      </c>
      <c r="K21" s="14">
        <v>46032</v>
      </c>
      <c r="L21" s="25">
        <v>0.38541666666666602</v>
      </c>
      <c r="M21" s="9" t="s">
        <v>20</v>
      </c>
      <c r="N21" s="11"/>
      <c r="O21" s="11"/>
      <c r="P21" s="14"/>
      <c r="Q21" s="14"/>
      <c r="R21" s="9"/>
      <c r="S21" s="9"/>
      <c r="T21" s="9" t="s">
        <v>732</v>
      </c>
      <c r="U21" s="21" t="str">
        <f>IF(COUNTA(J21:Q21)=0,"",IF(J21="","E_MISSING_INPUT",IF(J21="LAB",AF21,IF(J21="TIMESTAMP",IF(OR(K21="",L21="",M21=""),"E_MISSING_INPUT",IF(OR(NOT(ISNUMBER(K21)),NOT(ISNUMBER(L21))),"E_INVALID_DATE",IF(OR(K21&lt;&gt;INT(K21),L21&lt;0,L21&gt;=1),"E_INVALID_DATE",IF(ISNA(MATCH(M21,nLIST_Offset,0)),"E_INVALID_DATE","")))),IF(J21="DATE",IF(K21="","E_MISSING_INPUT",IF(NOT(ISNUMBER(K21)),"E_INVALID_DATE",IF(K21&lt;&gt;INT(K21),"E_INVALID_DATE",""))),IF(J21="MONTH",IF(OR(N21="",O21=""),"E_MISSING_INPUT",IF(OR(NOT(ISNUMBER(N21)),NOT(ISNUMBER(O21))),"E_INVALID_DATE",IF(OR(N21&lt;1900,N21&gt;9999,N21&lt;&gt;INT(N21),O21&lt;1,O21&gt;12,O21&lt;&gt;INT(O21)),"E_INVALID_DATE",""))),IF(J21="YEAR",IF(N21="","E_MISSING_INPUT",IF(NOT(ISNUMBER(N21)),"E_INVALID_DATE",IF(OR(N21&lt;1900,N21&gt;9999,N21&lt;&gt;INT(N21)),"E_INVALID_DATE",""))),IF(J21="RANGE",IF(OR(P21="",Q21=""),"E_MISSING_INPUT",IF(OR(NOT(ISNUMBER(P21)),NOT(ISNUMBER(Q21))),"E_INVALID_DATE",IF(OR(P21&lt;&gt;INT(P21),Q21&lt;&gt;INT(Q21)),"E_INVALID_DATE",IF(P21&gt;Q21,"E_REVERSED_BOUNDS","")))),"E_MISSING_INPUT"))))))))</f>
        <v/>
      </c>
      <c r="V21" s="22">
        <f t="shared" ref="V21:V23" si="12">IF(AND(U21="",J21="TIMESTAMP"),1,0)</f>
        <v>1</v>
      </c>
      <c r="W21" s="22">
        <f t="shared" ref="W21:W23" si="13">IF(AND(V21=1,M21&lt;&gt;"unknown"),1,0)</f>
        <v>1</v>
      </c>
      <c r="X21" s="28">
        <f>IF(OR(U21&lt;&gt;"",J21=""),"",IF(J21="LAB",INDEX(nMS_M_Lo,AB21),IF(OR(J21="TIMESTAMP",J21="DATE"),K21,IF(J21="MONTH",DATE(N21,O21,1),IF(J21="YEAR",DATE(N21,1,1),P21)))))</f>
        <v>46032</v>
      </c>
      <c r="Y21" s="28">
        <f>IF(OR(U21&lt;&gt;"",J21=""),"",IF(J21="LAB",INDEX(nMS_M_Hi,AC21),IF(OR(J21="TIMESTAMP",J21="DATE"),K21,IF(J21="MONTH",EOMONTH(DATE(N21,O21,1),0),IF(J21="YEAR",DATE(N21,12,31),Q21)))))</f>
        <v>46032</v>
      </c>
      <c r="Z21" s="22">
        <f t="shared" ref="Z21:Z23" si="14">IF(V21=1,K21*1440+ROUND(L21*1440,0),"")</f>
        <v>66286635</v>
      </c>
      <c r="AA21" s="22">
        <f t="shared" ref="AA21:AA23" si="15">IF(W21=1,Z21-(IF(LEFT(M21,1)="-",-1,1)*(VALUE(MID(M21,2,2))*60+VALUE(MID(M21,5,2)))),"")</f>
        <v>66286935</v>
      </c>
      <c r="AB21" s="22">
        <f>IF(R21="",0,IFERROR(MATCH(A21&amp;"|"&amp;B21&amp;"|"&amp;R21,nMS_Key,0),0))</f>
        <v>0</v>
      </c>
      <c r="AC21" s="22">
        <f>IF(S21="",0,IFERROR(MATCH(A21&amp;"|"&amp;B21&amp;"|"&amp;S21,nMS_Key,0),0))</f>
        <v>0</v>
      </c>
      <c r="AD21" s="21" t="str">
        <f>IF(J21&lt;&gt;"LAB","",IF(R21="","E_MISSING_INPUT",IF(AB21=0,"E_MISSING_INPUT",IF(INDEX(nMS_M_Lo,AB21)="",IF(INDEX(nMS_M_Err,AB21)="","E_MISSING_INPUT",INDEX(nMS_M_Err,AB21)),""))))</f>
        <v/>
      </c>
      <c r="AE21" s="21" t="str">
        <f>IF(J21&lt;&gt;"LAB","",IF(S21="","E_MISSING_INPUT",IF(AC21=0,"E_MISSING_INPUT",IF(INDEX(nMS_M_Lo,AC21)="",IF(INDEX(nMS_M_Err,AC21)="","E_MISSING_INPUT",INDEX(nMS_M_Err,AC21)),""))))</f>
        <v/>
      </c>
      <c r="AF21" s="21" t="str">
        <f>IF(J21&lt;&gt;"LAB","",IF(AND(AD21="",AE21=""),IF(IF(INDEX(nMS_M_HT,AB21)*INDEX(nMS_M_HT,AC21)=1,IF(INDEX(nMS_M_OK,AB21)*INDEX(nMS_M_OK,AC21)=1,INDEX(nMS_M_UTC,AB21)&gt;INDEX(nMS_M_UTC,AC21),INDEX(nMS_M_Loc,AB21)&gt;INDEX(nMS_M_Loc,AC21)),INDEX(nMS_M_Lo,AB21)&gt;INDEX(nMS_M_Hi,AC21)),"E_REVERSED_BOUNDS",""),MID(IF(OR(AD21="E_INVALID_DATE",AE21="E_INVALID_DATE"),"; E_INVALID_DATE","")&amp;IF(OR(AD21="E_REVERSED_BOUNDS",AE21="E_REVERSED_BOUNDS"),"; E_REVERSED_BOUNDS","")&amp;IF(OR(AD21="E_MISSING_INPUT",AE21="E_MISSING_INPUT"),"; E_MISSING_INPUT","")&amp;IF(OR(AD21="E_INVALID_UNIT",AE21="E_INVALID_UNIT"),"; E_INVALID_UNIT",""),3,99)))</f>
        <v/>
      </c>
      <c r="AG21" s="9"/>
      <c r="AH21" s="16"/>
      <c r="AI21" s="14"/>
      <c r="AJ21" s="25"/>
      <c r="AK21" s="9"/>
      <c r="AL21" s="11"/>
      <c r="AM21" s="11"/>
      <c r="AN21" s="14"/>
      <c r="AO21" s="14"/>
      <c r="AP21" s="9"/>
      <c r="AQ21" s="21" t="str">
        <f>IF(COUNTA(AH21:AO21)=0,"",IF(AH21="","E_MISSING_INPUT",IF(AH21="TIMESTAMP",IF(OR(AI21="",AJ21="",AK21=""),"E_MISSING_INPUT",IF(OR(NOT(ISNUMBER(AI21)),NOT(ISNUMBER(AJ21))),"E_INVALID_DATE",IF(OR(AI21&lt;&gt;INT(AI21),AJ21&lt;0,AJ21&gt;=1),"E_INVALID_DATE",IF(ISNA(MATCH(AK21,nLIST_Offset,0)),"E_INVALID_DATE","")))),IF(AH21="DATE",IF(AI21="","E_MISSING_INPUT",IF(NOT(ISNUMBER(AI21)),"E_INVALID_DATE",IF(AI21&lt;&gt;INT(AI21),"E_INVALID_DATE",""))),IF(AH21="MONTH",IF(OR(AL21="",AM21=""),"E_MISSING_INPUT",IF(OR(NOT(ISNUMBER(AL21)),NOT(ISNUMBER(AM21))),"E_INVALID_DATE",IF(OR(AL21&lt;1900,AL21&gt;9999,AL21&lt;&gt;INT(AL21),AM21&lt;1,AM21&gt;12,AM21&lt;&gt;INT(AM21)),"E_INVALID_DATE",""))),IF(AH21="YEAR",IF(AL21="","E_MISSING_INPUT",IF(NOT(ISNUMBER(AL21)),"E_INVALID_DATE",IF(OR(AL21&lt;1900,AL21&gt;9999,AL21&lt;&gt;INT(AL21)),"E_INVALID_DATE",""))),IF(AH21="RANGE",IF(OR(AN21="",AO21=""),"E_MISSING_INPUT",IF(OR(NOT(ISNUMBER(AN21)),NOT(ISNUMBER(AO21))),"E_INVALID_DATE",IF(OR(AN21&lt;&gt;INT(AN21),AO21&lt;&gt;INT(AO21)),"E_INVALID_DATE",IF(AN21&gt;AO21,"E_REVERSED_BOUNDS","")))),"E_MISSING_INPUT")))))))</f>
        <v/>
      </c>
      <c r="AR21" s="22">
        <f t="shared" ref="AR21:AR23" si="16">IF(AND(AQ21="",AH21="TIMESTAMP"),1,0)</f>
        <v>0</v>
      </c>
      <c r="AS21" s="22">
        <f t="shared" ref="AS21:AS23" si="17">IF(AND(AR21=1,AK21&lt;&gt;"unknown"),1,0)</f>
        <v>0</v>
      </c>
      <c r="AT21" s="28" t="str">
        <f t="shared" ref="AT21:AT23" si="18">IF(OR(AQ21&lt;&gt;"",AH21=""),"",IF(OR(AH21="TIMESTAMP",AH21="DATE"),AI21,IF(AH21="MONTH",DATE(AL21,AM21,1),IF(AH21="YEAR",DATE(AL21,1,1),AN21))))</f>
        <v/>
      </c>
      <c r="AU21" s="28" t="str">
        <f t="shared" ref="AU21:AU23" si="19">IF(OR(AQ21&lt;&gt;"",AH21=""),"",IF(OR(AH21="TIMESTAMP",AH21="DATE"),AI21,IF(AH21="MONTH",EOMONTH(DATE(AL21,AM21,1),0),IF(AH21="YEAR",DATE(AL21,12,31),AO21))))</f>
        <v/>
      </c>
      <c r="AV21" s="22" t="str">
        <f t="shared" ref="AV21:AV23" si="20">IF(AR21=1,AI21*1440+ROUND(AJ21*1440,0),"")</f>
        <v/>
      </c>
      <c r="AW21" s="22" t="str">
        <f t="shared" ref="AW21:AW23" si="21">IF(AS21=1,AV21-(IF(LEFT(AK21,1)="-",-1,1)*(VALUE(MID(AK21,2,2))*60+VALUE(MID(AK21,5,2)))),"")</f>
        <v/>
      </c>
      <c r="AX21" s="21" t="str">
        <f t="shared" ref="AX21:AX23" si="22">IF(D21="","",A21&amp;"|"&amp;B21&amp;"|"&amp;D21)</f>
        <v>EX-C01|2|EV-1</v>
      </c>
      <c r="AY21" s="22">
        <f>IF(AX21="",0,COUNTIF(nEVT_Key,AX21))</f>
        <v>1</v>
      </c>
      <c r="AZ21" s="21" t="str">
        <f t="shared" ref="AZ21:AZ23" si="23">IF(D21="",IF(COUNTA(E21,J21,K21)&gt;0,"E_MISSING_INPUT",""),IF(AY21&gt;1,"E_DUPLICATE_ID",IF(U21&lt;&gt;"",IFERROR(LEFT(U21,FIND(";",U21)-1),U21),AQ21)))</f>
        <v/>
      </c>
      <c r="BA21" s="21" t="str">
        <f>IF(AZ21="","",AZ21&amp;": "&amp;SUBSTITUTE(IFERROR(INDEX(nMSG_Text,MATCH(AZ21,nMSG_Code,0)),""),"[input]",IF(D21="","an Episode_ID","the date fields required by the selected precision")))</f>
        <v/>
      </c>
    </row>
    <row r="22" spans="1:53" x14ac:dyDescent="0.2">
      <c r="A22" s="9" t="s">
        <v>301</v>
      </c>
      <c r="B22" s="11">
        <v>2</v>
      </c>
      <c r="C22" s="9" t="s">
        <v>728</v>
      </c>
      <c r="D22" s="9" t="s">
        <v>729</v>
      </c>
      <c r="E22" s="9" t="s">
        <v>735</v>
      </c>
      <c r="F22" s="9" t="s">
        <v>734</v>
      </c>
      <c r="G22" s="16"/>
      <c r="H22" s="9"/>
      <c r="I22" s="9" t="s">
        <v>736</v>
      </c>
      <c r="J22" s="16" t="s">
        <v>4</v>
      </c>
      <c r="K22" s="14">
        <v>46208</v>
      </c>
      <c r="L22" s="25"/>
      <c r="M22" s="9"/>
      <c r="N22" s="11"/>
      <c r="O22" s="11"/>
      <c r="P22" s="14"/>
      <c r="Q22" s="14"/>
      <c r="R22" s="9"/>
      <c r="S22" s="9"/>
      <c r="T22" s="9" t="s">
        <v>482</v>
      </c>
      <c r="U22" s="21" t="str">
        <f>IF(COUNTA(J22:Q22)=0,"",IF(J22="","E_MISSING_INPUT",IF(J22="LAB",AF22,IF(J22="TIMESTAMP",IF(OR(K22="",L22="",M22=""),"E_MISSING_INPUT",IF(OR(NOT(ISNUMBER(K22)),NOT(ISNUMBER(L22))),"E_INVALID_DATE",IF(OR(K22&lt;&gt;INT(K22),L22&lt;0,L22&gt;=1),"E_INVALID_DATE",IF(ISNA(MATCH(M22,nLIST_Offset,0)),"E_INVALID_DATE","")))),IF(J22="DATE",IF(K22="","E_MISSING_INPUT",IF(NOT(ISNUMBER(K22)),"E_INVALID_DATE",IF(K22&lt;&gt;INT(K22),"E_INVALID_DATE",""))),IF(J22="MONTH",IF(OR(N22="",O22=""),"E_MISSING_INPUT",IF(OR(NOT(ISNUMBER(N22)),NOT(ISNUMBER(O22))),"E_INVALID_DATE",IF(OR(N22&lt;1900,N22&gt;9999,N22&lt;&gt;INT(N22),O22&lt;1,O22&gt;12,O22&lt;&gt;INT(O22)),"E_INVALID_DATE",""))),IF(J22="YEAR",IF(N22="","E_MISSING_INPUT",IF(NOT(ISNUMBER(N22)),"E_INVALID_DATE",IF(OR(N22&lt;1900,N22&gt;9999,N22&lt;&gt;INT(N22)),"E_INVALID_DATE",""))),IF(J22="RANGE",IF(OR(P22="",Q22=""),"E_MISSING_INPUT",IF(OR(NOT(ISNUMBER(P22)),NOT(ISNUMBER(Q22))),"E_INVALID_DATE",IF(OR(P22&lt;&gt;INT(P22),Q22&lt;&gt;INT(Q22)),"E_INVALID_DATE",IF(P22&gt;Q22,"E_REVERSED_BOUNDS","")))),"E_MISSING_INPUT"))))))))</f>
        <v/>
      </c>
      <c r="V22" s="22">
        <f t="shared" si="12"/>
        <v>0</v>
      </c>
      <c r="W22" s="22">
        <f t="shared" si="13"/>
        <v>0</v>
      </c>
      <c r="X22" s="28">
        <f>IF(OR(U22&lt;&gt;"",J22=""),"",IF(J22="LAB",INDEX(nMS_M_Lo,AB22),IF(OR(J22="TIMESTAMP",J22="DATE"),K22,IF(J22="MONTH",DATE(N22,O22,1),IF(J22="YEAR",DATE(N22,1,1),P22)))))</f>
        <v>46208</v>
      </c>
      <c r="Y22" s="28">
        <f>IF(OR(U22&lt;&gt;"",J22=""),"",IF(J22="LAB",INDEX(nMS_M_Hi,AC22),IF(OR(J22="TIMESTAMP",J22="DATE"),K22,IF(J22="MONTH",EOMONTH(DATE(N22,O22,1),0),IF(J22="YEAR",DATE(N22,12,31),Q22)))))</f>
        <v>46208</v>
      </c>
      <c r="Z22" s="22" t="str">
        <f t="shared" si="14"/>
        <v/>
      </c>
      <c r="AA22" s="22" t="str">
        <f t="shared" si="15"/>
        <v/>
      </c>
      <c r="AB22" s="22">
        <f>IF(R22="",0,IFERROR(MATCH(A22&amp;"|"&amp;B22&amp;"|"&amp;R22,nMS_Key,0),0))</f>
        <v>0</v>
      </c>
      <c r="AC22" s="22">
        <f>IF(S22="",0,IFERROR(MATCH(A22&amp;"|"&amp;B22&amp;"|"&amp;S22,nMS_Key,0),0))</f>
        <v>0</v>
      </c>
      <c r="AD22" s="21" t="str">
        <f>IF(J22&lt;&gt;"LAB","",IF(R22="","E_MISSING_INPUT",IF(AB22=0,"E_MISSING_INPUT",IF(INDEX(nMS_M_Lo,AB22)="",IF(INDEX(nMS_M_Err,AB22)="","E_MISSING_INPUT",INDEX(nMS_M_Err,AB22)),""))))</f>
        <v/>
      </c>
      <c r="AE22" s="21" t="str">
        <f>IF(J22&lt;&gt;"LAB","",IF(S22="","E_MISSING_INPUT",IF(AC22=0,"E_MISSING_INPUT",IF(INDEX(nMS_M_Lo,AC22)="",IF(INDEX(nMS_M_Err,AC22)="","E_MISSING_INPUT",INDEX(nMS_M_Err,AC22)),""))))</f>
        <v/>
      </c>
      <c r="AF22" s="21" t="str">
        <f>IF(J22&lt;&gt;"LAB","",IF(AND(AD22="",AE22=""),IF(IF(INDEX(nMS_M_HT,AB22)*INDEX(nMS_M_HT,AC22)=1,IF(INDEX(nMS_M_OK,AB22)*INDEX(nMS_M_OK,AC22)=1,INDEX(nMS_M_UTC,AB22)&gt;INDEX(nMS_M_UTC,AC22),INDEX(nMS_M_Loc,AB22)&gt;INDEX(nMS_M_Loc,AC22)),INDEX(nMS_M_Lo,AB22)&gt;INDEX(nMS_M_Hi,AC22)),"E_REVERSED_BOUNDS",""),MID(IF(OR(AD22="E_INVALID_DATE",AE22="E_INVALID_DATE"),"; E_INVALID_DATE","")&amp;IF(OR(AD22="E_REVERSED_BOUNDS",AE22="E_REVERSED_BOUNDS"),"; E_REVERSED_BOUNDS","")&amp;IF(OR(AD22="E_MISSING_INPUT",AE22="E_MISSING_INPUT"),"; E_MISSING_INPUT","")&amp;IF(OR(AD22="E_INVALID_UNIT",AE22="E_INVALID_UNIT"),"; E_INVALID_UNIT",""),3,99)))</f>
        <v/>
      </c>
      <c r="AG22" s="9"/>
      <c r="AH22" s="16"/>
      <c r="AI22" s="14"/>
      <c r="AJ22" s="25"/>
      <c r="AK22" s="9"/>
      <c r="AL22" s="11"/>
      <c r="AM22" s="11"/>
      <c r="AN22" s="14"/>
      <c r="AO22" s="14"/>
      <c r="AP22" s="9"/>
      <c r="AQ22" s="21" t="str">
        <f>IF(COUNTA(AH22:AO22)=0,"",IF(AH22="","E_MISSING_INPUT",IF(AH22="TIMESTAMP",IF(OR(AI22="",AJ22="",AK22=""),"E_MISSING_INPUT",IF(OR(NOT(ISNUMBER(AI22)),NOT(ISNUMBER(AJ22))),"E_INVALID_DATE",IF(OR(AI22&lt;&gt;INT(AI22),AJ22&lt;0,AJ22&gt;=1),"E_INVALID_DATE",IF(ISNA(MATCH(AK22,nLIST_Offset,0)),"E_INVALID_DATE","")))),IF(AH22="DATE",IF(AI22="","E_MISSING_INPUT",IF(NOT(ISNUMBER(AI22)),"E_INVALID_DATE",IF(AI22&lt;&gt;INT(AI22),"E_INVALID_DATE",""))),IF(AH22="MONTH",IF(OR(AL22="",AM22=""),"E_MISSING_INPUT",IF(OR(NOT(ISNUMBER(AL22)),NOT(ISNUMBER(AM22))),"E_INVALID_DATE",IF(OR(AL22&lt;1900,AL22&gt;9999,AL22&lt;&gt;INT(AL22),AM22&lt;1,AM22&gt;12,AM22&lt;&gt;INT(AM22)),"E_INVALID_DATE",""))),IF(AH22="YEAR",IF(AL22="","E_MISSING_INPUT",IF(NOT(ISNUMBER(AL22)),"E_INVALID_DATE",IF(OR(AL22&lt;1900,AL22&gt;9999,AL22&lt;&gt;INT(AL22)),"E_INVALID_DATE",""))),IF(AH22="RANGE",IF(OR(AN22="",AO22=""),"E_MISSING_INPUT",IF(OR(NOT(ISNUMBER(AN22)),NOT(ISNUMBER(AO22))),"E_INVALID_DATE",IF(OR(AN22&lt;&gt;INT(AN22),AO22&lt;&gt;INT(AO22)),"E_INVALID_DATE",IF(AN22&gt;AO22,"E_REVERSED_BOUNDS","")))),"E_MISSING_INPUT")))))))</f>
        <v/>
      </c>
      <c r="AR22" s="22">
        <f t="shared" si="16"/>
        <v>0</v>
      </c>
      <c r="AS22" s="22">
        <f t="shared" si="17"/>
        <v>0</v>
      </c>
      <c r="AT22" s="28" t="str">
        <f t="shared" si="18"/>
        <v/>
      </c>
      <c r="AU22" s="28" t="str">
        <f t="shared" si="19"/>
        <v/>
      </c>
      <c r="AV22" s="22" t="str">
        <f t="shared" si="20"/>
        <v/>
      </c>
      <c r="AW22" s="22" t="str">
        <f t="shared" si="21"/>
        <v/>
      </c>
      <c r="AX22" s="21" t="str">
        <f t="shared" si="22"/>
        <v>EX-C04|2|EV-1</v>
      </c>
      <c r="AY22" s="22">
        <f>IF(AX22="",0,COUNTIF(nEVT_Key,AX22))</f>
        <v>1</v>
      </c>
      <c r="AZ22" s="21" t="str">
        <f t="shared" si="23"/>
        <v/>
      </c>
      <c r="BA22" s="21" t="str">
        <f>IF(AZ22="","",AZ22&amp;": "&amp;SUBSTITUTE(IFERROR(INDEX(nMSG_Text,MATCH(AZ22,nMSG_Code,0)),""),"[input]",IF(D22="","an Episode_ID","the date fields required by the selected precision")))</f>
        <v/>
      </c>
    </row>
    <row r="23" spans="1:53" x14ac:dyDescent="0.2">
      <c r="A23" s="9" t="s">
        <v>305</v>
      </c>
      <c r="B23" s="11">
        <v>2</v>
      </c>
      <c r="C23" s="9" t="s">
        <v>728</v>
      </c>
      <c r="D23" s="9" t="s">
        <v>737</v>
      </c>
      <c r="E23" s="9" t="s">
        <v>739</v>
      </c>
      <c r="F23" s="9" t="s">
        <v>738</v>
      </c>
      <c r="G23" s="16"/>
      <c r="H23" s="9"/>
      <c r="I23" s="9" t="s">
        <v>743</v>
      </c>
      <c r="J23" s="16" t="s">
        <v>9</v>
      </c>
      <c r="K23" s="14"/>
      <c r="L23" s="25"/>
      <c r="M23" s="9"/>
      <c r="N23" s="11"/>
      <c r="O23" s="11"/>
      <c r="P23" s="14"/>
      <c r="Q23" s="14"/>
      <c r="R23" s="9" t="s">
        <v>740</v>
      </c>
      <c r="S23" s="9" t="s">
        <v>742</v>
      </c>
      <c r="T23" s="9" t="s">
        <v>741</v>
      </c>
      <c r="U23" s="21" t="str">
        <f>IF(COUNTA(J23:Q23)=0,"",IF(J23="","E_MISSING_INPUT",IF(J23="LAB",AF23,IF(J23="TIMESTAMP",IF(OR(K23="",L23="",M23=""),"E_MISSING_INPUT",IF(OR(NOT(ISNUMBER(K23)),NOT(ISNUMBER(L23))),"E_INVALID_DATE",IF(OR(K23&lt;&gt;INT(K23),L23&lt;0,L23&gt;=1),"E_INVALID_DATE",IF(ISNA(MATCH(M23,nLIST_Offset,0)),"E_INVALID_DATE","")))),IF(J23="DATE",IF(K23="","E_MISSING_INPUT",IF(NOT(ISNUMBER(K23)),"E_INVALID_DATE",IF(K23&lt;&gt;INT(K23),"E_INVALID_DATE",""))),IF(J23="MONTH",IF(OR(N23="",O23=""),"E_MISSING_INPUT",IF(OR(NOT(ISNUMBER(N23)),NOT(ISNUMBER(O23))),"E_INVALID_DATE",IF(OR(N23&lt;1900,N23&gt;9999,N23&lt;&gt;INT(N23),O23&lt;1,O23&gt;12,O23&lt;&gt;INT(O23)),"E_INVALID_DATE",""))),IF(J23="YEAR",IF(N23="","E_MISSING_INPUT",IF(NOT(ISNUMBER(N23)),"E_INVALID_DATE",IF(OR(N23&lt;1900,N23&gt;9999,N23&lt;&gt;INT(N23)),"E_INVALID_DATE",""))),IF(J23="RANGE",IF(OR(P23="",Q23=""),"E_MISSING_INPUT",IF(OR(NOT(ISNUMBER(P23)),NOT(ISNUMBER(Q23))),"E_INVALID_DATE",IF(OR(P23&lt;&gt;INT(P23),Q23&lt;&gt;INT(Q23)),"E_INVALID_DATE",IF(P23&gt;Q23,"E_REVERSED_BOUNDS","")))),"E_MISSING_INPUT"))))))))</f>
        <v/>
      </c>
      <c r="V23" s="22">
        <f t="shared" si="12"/>
        <v>0</v>
      </c>
      <c r="W23" s="22">
        <f t="shared" si="13"/>
        <v>0</v>
      </c>
      <c r="X23" s="28">
        <f>IF(OR(U23&lt;&gt;"",J23=""),"",IF(J23="LAB",INDEX(nMS_M_Lo,AB23),IF(OR(J23="TIMESTAMP",J23="DATE"),K23,IF(J23="MONTH",DATE(N23,O23,1),IF(J23="YEAR",DATE(N23,1,1),P23)))))</f>
        <v>46062</v>
      </c>
      <c r="Y23" s="28">
        <f>IF(OR(U23&lt;&gt;"",J23=""),"",IF(J23="LAB",INDEX(nMS_M_Hi,AC23),IF(OR(J23="TIMESTAMP",J23="DATE"),K23,IF(J23="MONTH",EOMONTH(DATE(N23,O23,1),0),IF(J23="YEAR",DATE(N23,12,31),Q23)))))</f>
        <v>46154</v>
      </c>
      <c r="Z23" s="22" t="str">
        <f t="shared" si="14"/>
        <v/>
      </c>
      <c r="AA23" s="22" t="str">
        <f t="shared" si="15"/>
        <v/>
      </c>
      <c r="AB23" s="22">
        <f>IF(R23="",0,IFERROR(MATCH(A23&amp;"|"&amp;B23&amp;"|"&amp;R23,nMS_Key,0),0))</f>
        <v>58</v>
      </c>
      <c r="AC23" s="22">
        <f>IF(S23="",0,IFERROR(MATCH(A23&amp;"|"&amp;B23&amp;"|"&amp;S23,nMS_Key,0),0))</f>
        <v>59</v>
      </c>
      <c r="AD23" s="21" t="str">
        <f>IF(J23&lt;&gt;"LAB","",IF(R23="","E_MISSING_INPUT",IF(AB23=0,"E_MISSING_INPUT",IF(INDEX(nMS_M_Lo,AB23)="",IF(INDEX(nMS_M_Err,AB23)="","E_MISSING_INPUT",INDEX(nMS_M_Err,AB23)),""))))</f>
        <v/>
      </c>
      <c r="AE23" s="21" t="str">
        <f>IF(J23&lt;&gt;"LAB","",IF(S23="","E_MISSING_INPUT",IF(AC23=0,"E_MISSING_INPUT",IF(INDEX(nMS_M_Lo,AC23)="",IF(INDEX(nMS_M_Err,AC23)="","E_MISSING_INPUT",INDEX(nMS_M_Err,AC23)),""))))</f>
        <v/>
      </c>
      <c r="AF23" s="21" t="str">
        <f>IF(J23&lt;&gt;"LAB","",IF(AND(AD23="",AE23=""),IF(IF(INDEX(nMS_M_HT,AB23)*INDEX(nMS_M_HT,AC23)=1,IF(INDEX(nMS_M_OK,AB23)*INDEX(nMS_M_OK,AC23)=1,INDEX(nMS_M_UTC,AB23)&gt;INDEX(nMS_M_UTC,AC23),INDEX(nMS_M_Loc,AB23)&gt;INDEX(nMS_M_Loc,AC23)),INDEX(nMS_M_Lo,AB23)&gt;INDEX(nMS_M_Hi,AC23)),"E_REVERSED_BOUNDS",""),MID(IF(OR(AD23="E_INVALID_DATE",AE23="E_INVALID_DATE"),"; E_INVALID_DATE","")&amp;IF(OR(AD23="E_REVERSED_BOUNDS",AE23="E_REVERSED_BOUNDS"),"; E_REVERSED_BOUNDS","")&amp;IF(OR(AD23="E_MISSING_INPUT",AE23="E_MISSING_INPUT"),"; E_MISSING_INPUT","")&amp;IF(OR(AD23="E_INVALID_UNIT",AE23="E_INVALID_UNIT"),"; E_INVALID_UNIT",""),3,99)))</f>
        <v/>
      </c>
      <c r="AG23" s="9" t="s">
        <v>744</v>
      </c>
      <c r="AH23" s="16" t="s">
        <v>4</v>
      </c>
      <c r="AI23" s="14">
        <v>46154</v>
      </c>
      <c r="AJ23" s="25"/>
      <c r="AK23" s="9"/>
      <c r="AL23" s="11"/>
      <c r="AM23" s="11"/>
      <c r="AN23" s="14"/>
      <c r="AO23" s="14"/>
      <c r="AP23" s="9" t="s">
        <v>517</v>
      </c>
      <c r="AQ23" s="21" t="str">
        <f>IF(COUNTA(AH23:AO23)=0,"",IF(AH23="","E_MISSING_INPUT",IF(AH23="TIMESTAMP",IF(OR(AI23="",AJ23="",AK23=""),"E_MISSING_INPUT",IF(OR(NOT(ISNUMBER(AI23)),NOT(ISNUMBER(AJ23))),"E_INVALID_DATE",IF(OR(AI23&lt;&gt;INT(AI23),AJ23&lt;0,AJ23&gt;=1),"E_INVALID_DATE",IF(ISNA(MATCH(AK23,nLIST_Offset,0)),"E_INVALID_DATE","")))),IF(AH23="DATE",IF(AI23="","E_MISSING_INPUT",IF(NOT(ISNUMBER(AI23)),"E_INVALID_DATE",IF(AI23&lt;&gt;INT(AI23),"E_INVALID_DATE",""))),IF(AH23="MONTH",IF(OR(AL23="",AM23=""),"E_MISSING_INPUT",IF(OR(NOT(ISNUMBER(AL23)),NOT(ISNUMBER(AM23))),"E_INVALID_DATE",IF(OR(AL23&lt;1900,AL23&gt;9999,AL23&lt;&gt;INT(AL23),AM23&lt;1,AM23&gt;12,AM23&lt;&gt;INT(AM23)),"E_INVALID_DATE",""))),IF(AH23="YEAR",IF(AL23="","E_MISSING_INPUT",IF(NOT(ISNUMBER(AL23)),"E_INVALID_DATE",IF(OR(AL23&lt;1900,AL23&gt;9999,AL23&lt;&gt;INT(AL23)),"E_INVALID_DATE",""))),IF(AH23="RANGE",IF(OR(AN23="",AO23=""),"E_MISSING_INPUT",IF(OR(NOT(ISNUMBER(AN23)),NOT(ISNUMBER(AO23))),"E_INVALID_DATE",IF(OR(AN23&lt;&gt;INT(AN23),AO23&lt;&gt;INT(AO23)),"E_INVALID_DATE",IF(AN23&gt;AO23,"E_REVERSED_BOUNDS","")))),"E_MISSING_INPUT")))))))</f>
        <v/>
      </c>
      <c r="AR23" s="22">
        <f t="shared" si="16"/>
        <v>0</v>
      </c>
      <c r="AS23" s="22">
        <f t="shared" si="17"/>
        <v>0</v>
      </c>
      <c r="AT23" s="28">
        <f t="shared" si="18"/>
        <v>46154</v>
      </c>
      <c r="AU23" s="28">
        <f t="shared" si="19"/>
        <v>46154</v>
      </c>
      <c r="AV23" s="22" t="str">
        <f t="shared" si="20"/>
        <v/>
      </c>
      <c r="AW23" s="22" t="str">
        <f t="shared" si="21"/>
        <v/>
      </c>
      <c r="AX23" s="21" t="str">
        <f t="shared" si="22"/>
        <v>EX-C28|2|EV-HBV</v>
      </c>
      <c r="AY23" s="22">
        <f>IF(AX23="",0,COUNTIF(nEVT_Key,AX23))</f>
        <v>1</v>
      </c>
      <c r="AZ23" s="21" t="str">
        <f t="shared" si="23"/>
        <v/>
      </c>
      <c r="BA23" s="21" t="str">
        <f>IF(AZ23="","",AZ23&amp;": "&amp;SUBSTITUTE(IFERROR(INDEX(nMSG_Text,MATCH(AZ23,nMSG_Code,0)),""),"[input]",IF(D23="","an Episode_ID","the date fields required by the selected precision")))</f>
        <v/>
      </c>
    </row>
    <row r="24" spans="1:53" x14ac:dyDescent="0.2">
      <c r="A24" s="24" t="s">
        <v>295</v>
      </c>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row>
    <row r="25" spans="1:53" x14ac:dyDescent="0.2">
      <c r="A25" s="9" t="s">
        <v>308</v>
      </c>
      <c r="B25" s="11">
        <v>1</v>
      </c>
      <c r="C25" s="9" t="s">
        <v>728</v>
      </c>
      <c r="D25" s="9" t="s">
        <v>745</v>
      </c>
      <c r="E25" s="9" t="s">
        <v>746</v>
      </c>
      <c r="F25" s="9"/>
      <c r="G25" s="16"/>
      <c r="H25" s="9"/>
      <c r="I25" s="9" t="s">
        <v>747</v>
      </c>
      <c r="J25" s="16" t="s">
        <v>3</v>
      </c>
      <c r="K25" s="14">
        <v>46032</v>
      </c>
      <c r="L25" s="25">
        <v>0.38541666666666602</v>
      </c>
      <c r="M25" s="9" t="s">
        <v>20</v>
      </c>
      <c r="N25" s="11"/>
      <c r="O25" s="11"/>
      <c r="P25" s="14"/>
      <c r="Q25" s="14"/>
      <c r="R25" s="9"/>
      <c r="S25" s="9"/>
      <c r="T25" s="9" t="s">
        <v>525</v>
      </c>
      <c r="U25" s="21" t="str">
        <f>IF(COUNTA(J25:Q25)=0,"",IF(J25="","E_MISSING_INPUT",IF(J25="LAB",AF25,IF(J25="TIMESTAMP",IF(OR(K25="",L25="",M25=""),"E_MISSING_INPUT",IF(OR(NOT(ISNUMBER(K25)),NOT(ISNUMBER(L25))),"E_INVALID_DATE",IF(OR(K25&lt;&gt;INT(K25),L25&lt;0,L25&gt;=1),"E_INVALID_DATE",IF(ISNA(MATCH(M25,nLIST_Offset,0)),"E_INVALID_DATE","")))),IF(J25="DATE",IF(K25="","E_MISSING_INPUT",IF(NOT(ISNUMBER(K25)),"E_INVALID_DATE",IF(K25&lt;&gt;INT(K25),"E_INVALID_DATE",""))),IF(J25="MONTH",IF(OR(N25="",O25=""),"E_MISSING_INPUT",IF(OR(NOT(ISNUMBER(N25)),NOT(ISNUMBER(O25))),"E_INVALID_DATE",IF(OR(N25&lt;1900,N25&gt;9999,N25&lt;&gt;INT(N25),O25&lt;1,O25&gt;12,O25&lt;&gt;INT(O25)),"E_INVALID_DATE",""))),IF(J25="YEAR",IF(N25="","E_MISSING_INPUT",IF(NOT(ISNUMBER(N25)),"E_INVALID_DATE",IF(OR(N25&lt;1900,N25&gt;9999,N25&lt;&gt;INT(N25)),"E_INVALID_DATE",""))),IF(J25="RANGE",IF(OR(P25="",Q25=""),"E_MISSING_INPUT",IF(OR(NOT(ISNUMBER(P25)),NOT(ISNUMBER(Q25))),"E_INVALID_DATE",IF(OR(P25&lt;&gt;INT(P25),Q25&lt;&gt;INT(Q25)),"E_INVALID_DATE",IF(P25&gt;Q25,"E_REVERSED_BOUNDS","")))),"E_MISSING_INPUT"))))))))</f>
        <v/>
      </c>
      <c r="V25" s="22">
        <f t="shared" ref="V25:V48" si="24">IF(AND(U25="",J25="TIMESTAMP"),1,0)</f>
        <v>1</v>
      </c>
      <c r="W25" s="22">
        <f t="shared" ref="W25:W48" si="25">IF(AND(V25=1,M25&lt;&gt;"unknown"),1,0)</f>
        <v>1</v>
      </c>
      <c r="X25" s="28">
        <f>IF(OR(U25&lt;&gt;"",J25=""),"",IF(J25="LAB",INDEX(nMS_M_Lo,AB25),IF(OR(J25="TIMESTAMP",J25="DATE"),K25,IF(J25="MONTH",DATE(N25,O25,1),IF(J25="YEAR",DATE(N25,1,1),P25)))))</f>
        <v>46032</v>
      </c>
      <c r="Y25" s="28">
        <f>IF(OR(U25&lt;&gt;"",J25=""),"",IF(J25="LAB",INDEX(nMS_M_Hi,AC25),IF(OR(J25="TIMESTAMP",J25="DATE"),K25,IF(J25="MONTH",EOMONTH(DATE(N25,O25,1),0),IF(J25="YEAR",DATE(N25,12,31),Q25)))))</f>
        <v>46032</v>
      </c>
      <c r="Z25" s="22">
        <f t="shared" ref="Z25:Z48" si="26">IF(V25=1,K25*1440+ROUND(L25*1440,0),"")</f>
        <v>66286635</v>
      </c>
      <c r="AA25" s="22">
        <f t="shared" ref="AA25:AA48" si="27">IF(W25=1,Z25-(IF(LEFT(M25,1)="-",-1,1)*(VALUE(MID(M25,2,2))*60+VALUE(MID(M25,5,2)))),"")</f>
        <v>66286935</v>
      </c>
      <c r="AB25" s="22">
        <f>IF(R25="",0,IFERROR(MATCH(A25&amp;"|"&amp;B25&amp;"|"&amp;R25,nMS_Key,0),0))</f>
        <v>0</v>
      </c>
      <c r="AC25" s="22">
        <f>IF(S25="",0,IFERROR(MATCH(A25&amp;"|"&amp;B25&amp;"|"&amp;S25,nMS_Key,0),0))</f>
        <v>0</v>
      </c>
      <c r="AD25" s="21" t="str">
        <f>IF(J25&lt;&gt;"LAB","",IF(R25="","E_MISSING_INPUT",IF(AB25=0,"E_MISSING_INPUT",IF(INDEX(nMS_M_Lo,AB25)="",IF(INDEX(nMS_M_Err,AB25)="","E_MISSING_INPUT",INDEX(nMS_M_Err,AB25)),""))))</f>
        <v/>
      </c>
      <c r="AE25" s="21" t="str">
        <f>IF(J25&lt;&gt;"LAB","",IF(S25="","E_MISSING_INPUT",IF(AC25=0,"E_MISSING_INPUT",IF(INDEX(nMS_M_Lo,AC25)="",IF(INDEX(nMS_M_Err,AC25)="","E_MISSING_INPUT",INDEX(nMS_M_Err,AC25)),""))))</f>
        <v/>
      </c>
      <c r="AF25" s="21" t="str">
        <f>IF(J25&lt;&gt;"LAB","",IF(AND(AD25="",AE25=""),IF(IF(INDEX(nMS_M_HT,AB25)*INDEX(nMS_M_HT,AC25)=1,IF(INDEX(nMS_M_OK,AB25)*INDEX(nMS_M_OK,AC25)=1,INDEX(nMS_M_UTC,AB25)&gt;INDEX(nMS_M_UTC,AC25),INDEX(nMS_M_Loc,AB25)&gt;INDEX(nMS_M_Loc,AC25)),INDEX(nMS_M_Lo,AB25)&gt;INDEX(nMS_M_Hi,AC25)),"E_REVERSED_BOUNDS",""),MID(IF(OR(AD25="E_INVALID_DATE",AE25="E_INVALID_DATE"),"; E_INVALID_DATE","")&amp;IF(OR(AD25="E_REVERSED_BOUNDS",AE25="E_REVERSED_BOUNDS"),"; E_REVERSED_BOUNDS","")&amp;IF(OR(AD25="E_MISSING_INPUT",AE25="E_MISSING_INPUT"),"; E_MISSING_INPUT","")&amp;IF(OR(AD25="E_INVALID_UNIT",AE25="E_INVALID_UNIT"),"; E_INVALID_UNIT",""),3,99)))</f>
        <v/>
      </c>
      <c r="AG25" s="9"/>
      <c r="AH25" s="16"/>
      <c r="AI25" s="14"/>
      <c r="AJ25" s="25"/>
      <c r="AK25" s="9"/>
      <c r="AL25" s="11"/>
      <c r="AM25" s="11"/>
      <c r="AN25" s="14"/>
      <c r="AO25" s="14"/>
      <c r="AP25" s="9"/>
      <c r="AQ25" s="21" t="str">
        <f>IF(COUNTA(AH25:AO25)=0,"",IF(AH25="","E_MISSING_INPUT",IF(AH25="TIMESTAMP",IF(OR(AI25="",AJ25="",AK25=""),"E_MISSING_INPUT",IF(OR(NOT(ISNUMBER(AI25)),NOT(ISNUMBER(AJ25))),"E_INVALID_DATE",IF(OR(AI25&lt;&gt;INT(AI25),AJ25&lt;0,AJ25&gt;=1),"E_INVALID_DATE",IF(ISNA(MATCH(AK25,nLIST_Offset,0)),"E_INVALID_DATE","")))),IF(AH25="DATE",IF(AI25="","E_MISSING_INPUT",IF(NOT(ISNUMBER(AI25)),"E_INVALID_DATE",IF(AI25&lt;&gt;INT(AI25),"E_INVALID_DATE",""))),IF(AH25="MONTH",IF(OR(AL25="",AM25=""),"E_MISSING_INPUT",IF(OR(NOT(ISNUMBER(AL25)),NOT(ISNUMBER(AM25))),"E_INVALID_DATE",IF(OR(AL25&lt;1900,AL25&gt;9999,AL25&lt;&gt;INT(AL25),AM25&lt;1,AM25&gt;12,AM25&lt;&gt;INT(AM25)),"E_INVALID_DATE",""))),IF(AH25="YEAR",IF(AL25="","E_MISSING_INPUT",IF(NOT(ISNUMBER(AL25)),"E_INVALID_DATE",IF(OR(AL25&lt;1900,AL25&gt;9999,AL25&lt;&gt;INT(AL25)),"E_INVALID_DATE",""))),IF(AH25="RANGE",IF(OR(AN25="",AO25=""),"E_MISSING_INPUT",IF(OR(NOT(ISNUMBER(AN25)),NOT(ISNUMBER(AO25))),"E_INVALID_DATE",IF(OR(AN25&lt;&gt;INT(AN25),AO25&lt;&gt;INT(AO25)),"E_INVALID_DATE",IF(AN25&gt;AO25,"E_REVERSED_BOUNDS","")))),"E_MISSING_INPUT")))))))</f>
        <v/>
      </c>
      <c r="AR25" s="22">
        <f t="shared" ref="AR25:AR48" si="28">IF(AND(AQ25="",AH25="TIMESTAMP"),1,0)</f>
        <v>0</v>
      </c>
      <c r="AS25" s="22">
        <f t="shared" ref="AS25:AS48" si="29">IF(AND(AR25=1,AK25&lt;&gt;"unknown"),1,0)</f>
        <v>0</v>
      </c>
      <c r="AT25" s="28" t="str">
        <f t="shared" ref="AT25:AT48" si="30">IF(OR(AQ25&lt;&gt;"",AH25=""),"",IF(OR(AH25="TIMESTAMP",AH25="DATE"),AI25,IF(AH25="MONTH",DATE(AL25,AM25,1),IF(AH25="YEAR",DATE(AL25,1,1),AN25))))</f>
        <v/>
      </c>
      <c r="AU25" s="28" t="str">
        <f t="shared" ref="AU25:AU48" si="31">IF(OR(AQ25&lt;&gt;"",AH25=""),"",IF(OR(AH25="TIMESTAMP",AH25="DATE"),AI25,IF(AH25="MONTH",EOMONTH(DATE(AL25,AM25,1),0),IF(AH25="YEAR",DATE(AL25,12,31),AO25))))</f>
        <v/>
      </c>
      <c r="AV25" s="22" t="str">
        <f t="shared" ref="AV25:AV48" si="32">IF(AR25=1,AI25*1440+ROUND(AJ25*1440,0),"")</f>
        <v/>
      </c>
      <c r="AW25" s="22" t="str">
        <f t="shared" ref="AW25:AW48" si="33">IF(AS25=1,AV25-(IF(LEFT(AK25,1)="-",-1,1)*(VALUE(MID(AK25,2,2))*60+VALUE(MID(AK25,5,2)))),"")</f>
        <v/>
      </c>
      <c r="AX25" s="21" t="str">
        <f t="shared" ref="AX25:AX48" si="34">IF(D25="","",A25&amp;"|"&amp;B25&amp;"|"&amp;D25)</f>
        <v>VEC-V01|1|EV1</v>
      </c>
      <c r="AY25" s="22">
        <f>IF(AX25="",0,COUNTIF(nEVT_Key,AX25))</f>
        <v>1</v>
      </c>
      <c r="AZ25" s="21" t="str">
        <f t="shared" ref="AZ25:AZ48" si="35">IF(D25="",IF(COUNTA(E25,J25,K25)&gt;0,"E_MISSING_INPUT",""),IF(AY25&gt;1,"E_DUPLICATE_ID",IF(U25&lt;&gt;"",IFERROR(LEFT(U25,FIND(";",U25)-1),U25),AQ25)))</f>
        <v/>
      </c>
      <c r="BA25" s="21" t="str">
        <f>IF(AZ25="","",AZ25&amp;": "&amp;SUBSTITUTE(IFERROR(INDEX(nMSG_Text,MATCH(AZ25,nMSG_Code,0)),""),"[input]",IF(D25="","an Episode_ID","the date fields required by the selected precision")))</f>
        <v/>
      </c>
    </row>
    <row r="26" spans="1:53" x14ac:dyDescent="0.2">
      <c r="A26" s="9" t="s">
        <v>311</v>
      </c>
      <c r="B26" s="11">
        <v>1</v>
      </c>
      <c r="C26" s="9" t="s">
        <v>728</v>
      </c>
      <c r="D26" s="9" t="s">
        <v>745</v>
      </c>
      <c r="E26" s="9" t="s">
        <v>746</v>
      </c>
      <c r="F26" s="9"/>
      <c r="G26" s="16"/>
      <c r="H26" s="9"/>
      <c r="I26" s="9" t="s">
        <v>748</v>
      </c>
      <c r="J26" s="16" t="s">
        <v>4</v>
      </c>
      <c r="K26" s="14">
        <v>46028</v>
      </c>
      <c r="L26" s="25"/>
      <c r="M26" s="9"/>
      <c r="N26" s="11"/>
      <c r="O26" s="11"/>
      <c r="P26" s="14"/>
      <c r="Q26" s="14"/>
      <c r="R26" s="9"/>
      <c r="S26" s="9"/>
      <c r="T26" s="9" t="s">
        <v>527</v>
      </c>
      <c r="U26" s="21" t="str">
        <f>IF(COUNTA(J26:Q26)=0,"",IF(J26="","E_MISSING_INPUT",IF(J26="LAB",AF26,IF(J26="TIMESTAMP",IF(OR(K26="",L26="",M26=""),"E_MISSING_INPUT",IF(OR(NOT(ISNUMBER(K26)),NOT(ISNUMBER(L26))),"E_INVALID_DATE",IF(OR(K26&lt;&gt;INT(K26),L26&lt;0,L26&gt;=1),"E_INVALID_DATE",IF(ISNA(MATCH(M26,nLIST_Offset,0)),"E_INVALID_DATE","")))),IF(J26="DATE",IF(K26="","E_MISSING_INPUT",IF(NOT(ISNUMBER(K26)),"E_INVALID_DATE",IF(K26&lt;&gt;INT(K26),"E_INVALID_DATE",""))),IF(J26="MONTH",IF(OR(N26="",O26=""),"E_MISSING_INPUT",IF(OR(NOT(ISNUMBER(N26)),NOT(ISNUMBER(O26))),"E_INVALID_DATE",IF(OR(N26&lt;1900,N26&gt;9999,N26&lt;&gt;INT(N26),O26&lt;1,O26&gt;12,O26&lt;&gt;INT(O26)),"E_INVALID_DATE",""))),IF(J26="YEAR",IF(N26="","E_MISSING_INPUT",IF(NOT(ISNUMBER(N26)),"E_INVALID_DATE",IF(OR(N26&lt;1900,N26&gt;9999,N26&lt;&gt;INT(N26)),"E_INVALID_DATE",""))),IF(J26="RANGE",IF(OR(P26="",Q26=""),"E_MISSING_INPUT",IF(OR(NOT(ISNUMBER(P26)),NOT(ISNUMBER(Q26))),"E_INVALID_DATE",IF(OR(P26&lt;&gt;INT(P26),Q26&lt;&gt;INT(Q26)),"E_INVALID_DATE",IF(P26&gt;Q26,"E_REVERSED_BOUNDS","")))),"E_MISSING_INPUT"))))))))</f>
        <v/>
      </c>
      <c r="V26" s="22">
        <f t="shared" si="24"/>
        <v>0</v>
      </c>
      <c r="W26" s="22">
        <f t="shared" si="25"/>
        <v>0</v>
      </c>
      <c r="X26" s="28">
        <f>IF(OR(U26&lt;&gt;"",J26=""),"",IF(J26="LAB",INDEX(nMS_M_Lo,AB26),IF(OR(J26="TIMESTAMP",J26="DATE"),K26,IF(J26="MONTH",DATE(N26,O26,1),IF(J26="YEAR",DATE(N26,1,1),P26)))))</f>
        <v>46028</v>
      </c>
      <c r="Y26" s="28">
        <f>IF(OR(U26&lt;&gt;"",J26=""),"",IF(J26="LAB",INDEX(nMS_M_Hi,AC26),IF(OR(J26="TIMESTAMP",J26="DATE"),K26,IF(J26="MONTH",EOMONTH(DATE(N26,O26,1),0),IF(J26="YEAR",DATE(N26,12,31),Q26)))))</f>
        <v>46028</v>
      </c>
      <c r="Z26" s="22" t="str">
        <f t="shared" si="26"/>
        <v/>
      </c>
      <c r="AA26" s="22" t="str">
        <f t="shared" si="27"/>
        <v/>
      </c>
      <c r="AB26" s="22">
        <f>IF(R26="",0,IFERROR(MATCH(A26&amp;"|"&amp;B26&amp;"|"&amp;R26,nMS_Key,0),0))</f>
        <v>0</v>
      </c>
      <c r="AC26" s="22">
        <f>IF(S26="",0,IFERROR(MATCH(A26&amp;"|"&amp;B26&amp;"|"&amp;S26,nMS_Key,0),0))</f>
        <v>0</v>
      </c>
      <c r="AD26" s="21" t="str">
        <f>IF(J26&lt;&gt;"LAB","",IF(R26="","E_MISSING_INPUT",IF(AB26=0,"E_MISSING_INPUT",IF(INDEX(nMS_M_Lo,AB26)="",IF(INDEX(nMS_M_Err,AB26)="","E_MISSING_INPUT",INDEX(nMS_M_Err,AB26)),""))))</f>
        <v/>
      </c>
      <c r="AE26" s="21" t="str">
        <f>IF(J26&lt;&gt;"LAB","",IF(S26="","E_MISSING_INPUT",IF(AC26=0,"E_MISSING_INPUT",IF(INDEX(nMS_M_Lo,AC26)="",IF(INDEX(nMS_M_Err,AC26)="","E_MISSING_INPUT",INDEX(nMS_M_Err,AC26)),""))))</f>
        <v/>
      </c>
      <c r="AF26" s="21" t="str">
        <f>IF(J26&lt;&gt;"LAB","",IF(AND(AD26="",AE26=""),IF(IF(INDEX(nMS_M_HT,AB26)*INDEX(nMS_M_HT,AC26)=1,IF(INDEX(nMS_M_OK,AB26)*INDEX(nMS_M_OK,AC26)=1,INDEX(nMS_M_UTC,AB26)&gt;INDEX(nMS_M_UTC,AC26),INDEX(nMS_M_Loc,AB26)&gt;INDEX(nMS_M_Loc,AC26)),INDEX(nMS_M_Lo,AB26)&gt;INDEX(nMS_M_Hi,AC26)),"E_REVERSED_BOUNDS",""),MID(IF(OR(AD26="E_INVALID_DATE",AE26="E_INVALID_DATE"),"; E_INVALID_DATE","")&amp;IF(OR(AD26="E_REVERSED_BOUNDS",AE26="E_REVERSED_BOUNDS"),"; E_REVERSED_BOUNDS","")&amp;IF(OR(AD26="E_MISSING_INPUT",AE26="E_MISSING_INPUT"),"; E_MISSING_INPUT","")&amp;IF(OR(AD26="E_INVALID_UNIT",AE26="E_INVALID_UNIT"),"; E_INVALID_UNIT",""),3,99)))</f>
        <v/>
      </c>
      <c r="AG26" s="9"/>
      <c r="AH26" s="16"/>
      <c r="AI26" s="14"/>
      <c r="AJ26" s="25"/>
      <c r="AK26" s="9"/>
      <c r="AL26" s="11"/>
      <c r="AM26" s="11"/>
      <c r="AN26" s="14"/>
      <c r="AO26" s="14"/>
      <c r="AP26" s="9"/>
      <c r="AQ26" s="21" t="str">
        <f>IF(COUNTA(AH26:AO26)=0,"",IF(AH26="","E_MISSING_INPUT",IF(AH26="TIMESTAMP",IF(OR(AI26="",AJ26="",AK26=""),"E_MISSING_INPUT",IF(OR(NOT(ISNUMBER(AI26)),NOT(ISNUMBER(AJ26))),"E_INVALID_DATE",IF(OR(AI26&lt;&gt;INT(AI26),AJ26&lt;0,AJ26&gt;=1),"E_INVALID_DATE",IF(ISNA(MATCH(AK26,nLIST_Offset,0)),"E_INVALID_DATE","")))),IF(AH26="DATE",IF(AI26="","E_MISSING_INPUT",IF(NOT(ISNUMBER(AI26)),"E_INVALID_DATE",IF(AI26&lt;&gt;INT(AI26),"E_INVALID_DATE",""))),IF(AH26="MONTH",IF(OR(AL26="",AM26=""),"E_MISSING_INPUT",IF(OR(NOT(ISNUMBER(AL26)),NOT(ISNUMBER(AM26))),"E_INVALID_DATE",IF(OR(AL26&lt;1900,AL26&gt;9999,AL26&lt;&gt;INT(AL26),AM26&lt;1,AM26&gt;12,AM26&lt;&gt;INT(AM26)),"E_INVALID_DATE",""))),IF(AH26="YEAR",IF(AL26="","E_MISSING_INPUT",IF(NOT(ISNUMBER(AL26)),"E_INVALID_DATE",IF(OR(AL26&lt;1900,AL26&gt;9999,AL26&lt;&gt;INT(AL26)),"E_INVALID_DATE",""))),IF(AH26="RANGE",IF(OR(AN26="",AO26=""),"E_MISSING_INPUT",IF(OR(NOT(ISNUMBER(AN26)),NOT(ISNUMBER(AO26))),"E_INVALID_DATE",IF(OR(AN26&lt;&gt;INT(AN26),AO26&lt;&gt;INT(AO26)),"E_INVALID_DATE",IF(AN26&gt;AO26,"E_REVERSED_BOUNDS","")))),"E_MISSING_INPUT")))))))</f>
        <v/>
      </c>
      <c r="AR26" s="22">
        <f t="shared" si="28"/>
        <v>0</v>
      </c>
      <c r="AS26" s="22">
        <f t="shared" si="29"/>
        <v>0</v>
      </c>
      <c r="AT26" s="28" t="str">
        <f t="shared" si="30"/>
        <v/>
      </c>
      <c r="AU26" s="28" t="str">
        <f t="shared" si="31"/>
        <v/>
      </c>
      <c r="AV26" s="22" t="str">
        <f t="shared" si="32"/>
        <v/>
      </c>
      <c r="AW26" s="22" t="str">
        <f t="shared" si="33"/>
        <v/>
      </c>
      <c r="AX26" s="21" t="str">
        <f t="shared" si="34"/>
        <v>VEC-V02|1|EV1</v>
      </c>
      <c r="AY26" s="22">
        <f>IF(AX26="",0,COUNTIF(nEVT_Key,AX26))</f>
        <v>1</v>
      </c>
      <c r="AZ26" s="21" t="str">
        <f t="shared" si="35"/>
        <v/>
      </c>
      <c r="BA26" s="21" t="str">
        <f>IF(AZ26="","",AZ26&amp;": "&amp;SUBSTITUTE(IFERROR(INDEX(nMSG_Text,MATCH(AZ26,nMSG_Code,0)),""),"[input]",IF(D26="","an Episode_ID","the date fields required by the selected precision")))</f>
        <v/>
      </c>
    </row>
    <row r="27" spans="1:53" x14ac:dyDescent="0.2">
      <c r="A27" s="9" t="s">
        <v>313</v>
      </c>
      <c r="B27" s="11">
        <v>1</v>
      </c>
      <c r="C27" s="9" t="s">
        <v>728</v>
      </c>
      <c r="D27" s="9" t="s">
        <v>745</v>
      </c>
      <c r="E27" s="9" t="s">
        <v>746</v>
      </c>
      <c r="F27" s="9"/>
      <c r="G27" s="16"/>
      <c r="H27" s="9"/>
      <c r="I27" s="9" t="s">
        <v>528</v>
      </c>
      <c r="J27" s="16" t="s">
        <v>4</v>
      </c>
      <c r="K27" s="14">
        <v>46027</v>
      </c>
      <c r="L27" s="25"/>
      <c r="M27" s="9"/>
      <c r="N27" s="11"/>
      <c r="O27" s="11"/>
      <c r="P27" s="14"/>
      <c r="Q27" s="14"/>
      <c r="R27" s="9"/>
      <c r="S27" s="9"/>
      <c r="T27" s="9" t="s">
        <v>529</v>
      </c>
      <c r="U27" s="21" t="str">
        <f>IF(COUNTA(J27:Q27)=0,"",IF(J27="","E_MISSING_INPUT",IF(J27="LAB",AF27,IF(J27="TIMESTAMP",IF(OR(K27="",L27="",M27=""),"E_MISSING_INPUT",IF(OR(NOT(ISNUMBER(K27)),NOT(ISNUMBER(L27))),"E_INVALID_DATE",IF(OR(K27&lt;&gt;INT(K27),L27&lt;0,L27&gt;=1),"E_INVALID_DATE",IF(ISNA(MATCH(M27,nLIST_Offset,0)),"E_INVALID_DATE","")))),IF(J27="DATE",IF(K27="","E_MISSING_INPUT",IF(NOT(ISNUMBER(K27)),"E_INVALID_DATE",IF(K27&lt;&gt;INT(K27),"E_INVALID_DATE",""))),IF(J27="MONTH",IF(OR(N27="",O27=""),"E_MISSING_INPUT",IF(OR(NOT(ISNUMBER(N27)),NOT(ISNUMBER(O27))),"E_INVALID_DATE",IF(OR(N27&lt;1900,N27&gt;9999,N27&lt;&gt;INT(N27),O27&lt;1,O27&gt;12,O27&lt;&gt;INT(O27)),"E_INVALID_DATE",""))),IF(J27="YEAR",IF(N27="","E_MISSING_INPUT",IF(NOT(ISNUMBER(N27)),"E_INVALID_DATE",IF(OR(N27&lt;1900,N27&gt;9999,N27&lt;&gt;INT(N27)),"E_INVALID_DATE",""))),IF(J27="RANGE",IF(OR(P27="",Q27=""),"E_MISSING_INPUT",IF(OR(NOT(ISNUMBER(P27)),NOT(ISNUMBER(Q27))),"E_INVALID_DATE",IF(OR(P27&lt;&gt;INT(P27),Q27&lt;&gt;INT(Q27)),"E_INVALID_DATE",IF(P27&gt;Q27,"E_REVERSED_BOUNDS","")))),"E_MISSING_INPUT"))))))))</f>
        <v/>
      </c>
      <c r="V27" s="22">
        <f t="shared" si="24"/>
        <v>0</v>
      </c>
      <c r="W27" s="22">
        <f t="shared" si="25"/>
        <v>0</v>
      </c>
      <c r="X27" s="28">
        <f>IF(OR(U27&lt;&gt;"",J27=""),"",IF(J27="LAB",INDEX(nMS_M_Lo,AB27),IF(OR(J27="TIMESTAMP",J27="DATE"),K27,IF(J27="MONTH",DATE(N27,O27,1),IF(J27="YEAR",DATE(N27,1,1),P27)))))</f>
        <v>46027</v>
      </c>
      <c r="Y27" s="28">
        <f>IF(OR(U27&lt;&gt;"",J27=""),"",IF(J27="LAB",INDEX(nMS_M_Hi,AC27),IF(OR(J27="TIMESTAMP",J27="DATE"),K27,IF(J27="MONTH",EOMONTH(DATE(N27,O27,1),0),IF(J27="YEAR",DATE(N27,12,31),Q27)))))</f>
        <v>46027</v>
      </c>
      <c r="Z27" s="22" t="str">
        <f t="shared" si="26"/>
        <v/>
      </c>
      <c r="AA27" s="22" t="str">
        <f t="shared" si="27"/>
        <v/>
      </c>
      <c r="AB27" s="22">
        <f>IF(R27="",0,IFERROR(MATCH(A27&amp;"|"&amp;B27&amp;"|"&amp;R27,nMS_Key,0),0))</f>
        <v>0</v>
      </c>
      <c r="AC27" s="22">
        <f>IF(S27="",0,IFERROR(MATCH(A27&amp;"|"&amp;B27&amp;"|"&amp;S27,nMS_Key,0),0))</f>
        <v>0</v>
      </c>
      <c r="AD27" s="21" t="str">
        <f>IF(J27&lt;&gt;"LAB","",IF(R27="","E_MISSING_INPUT",IF(AB27=0,"E_MISSING_INPUT",IF(INDEX(nMS_M_Lo,AB27)="",IF(INDEX(nMS_M_Err,AB27)="","E_MISSING_INPUT",INDEX(nMS_M_Err,AB27)),""))))</f>
        <v/>
      </c>
      <c r="AE27" s="21" t="str">
        <f>IF(J27&lt;&gt;"LAB","",IF(S27="","E_MISSING_INPUT",IF(AC27=0,"E_MISSING_INPUT",IF(INDEX(nMS_M_Lo,AC27)="",IF(INDEX(nMS_M_Err,AC27)="","E_MISSING_INPUT",INDEX(nMS_M_Err,AC27)),""))))</f>
        <v/>
      </c>
      <c r="AF27" s="21" t="str">
        <f>IF(J27&lt;&gt;"LAB","",IF(AND(AD27="",AE27=""),IF(IF(INDEX(nMS_M_HT,AB27)*INDEX(nMS_M_HT,AC27)=1,IF(INDEX(nMS_M_OK,AB27)*INDEX(nMS_M_OK,AC27)=1,INDEX(nMS_M_UTC,AB27)&gt;INDEX(nMS_M_UTC,AC27),INDEX(nMS_M_Loc,AB27)&gt;INDEX(nMS_M_Loc,AC27)),INDEX(nMS_M_Lo,AB27)&gt;INDEX(nMS_M_Hi,AC27)),"E_REVERSED_BOUNDS",""),MID(IF(OR(AD27="E_INVALID_DATE",AE27="E_INVALID_DATE"),"; E_INVALID_DATE","")&amp;IF(OR(AD27="E_REVERSED_BOUNDS",AE27="E_REVERSED_BOUNDS"),"; E_REVERSED_BOUNDS","")&amp;IF(OR(AD27="E_MISSING_INPUT",AE27="E_MISSING_INPUT"),"; E_MISSING_INPUT","")&amp;IF(OR(AD27="E_INVALID_UNIT",AE27="E_INVALID_UNIT"),"; E_INVALID_UNIT",""),3,99)))</f>
        <v/>
      </c>
      <c r="AG27" s="9"/>
      <c r="AH27" s="16"/>
      <c r="AI27" s="14"/>
      <c r="AJ27" s="25"/>
      <c r="AK27" s="9"/>
      <c r="AL27" s="11"/>
      <c r="AM27" s="11"/>
      <c r="AN27" s="14"/>
      <c r="AO27" s="14"/>
      <c r="AP27" s="9"/>
      <c r="AQ27" s="21" t="str">
        <f>IF(COUNTA(AH27:AO27)=0,"",IF(AH27="","E_MISSING_INPUT",IF(AH27="TIMESTAMP",IF(OR(AI27="",AJ27="",AK27=""),"E_MISSING_INPUT",IF(OR(NOT(ISNUMBER(AI27)),NOT(ISNUMBER(AJ27))),"E_INVALID_DATE",IF(OR(AI27&lt;&gt;INT(AI27),AJ27&lt;0,AJ27&gt;=1),"E_INVALID_DATE",IF(ISNA(MATCH(AK27,nLIST_Offset,0)),"E_INVALID_DATE","")))),IF(AH27="DATE",IF(AI27="","E_MISSING_INPUT",IF(NOT(ISNUMBER(AI27)),"E_INVALID_DATE",IF(AI27&lt;&gt;INT(AI27),"E_INVALID_DATE",""))),IF(AH27="MONTH",IF(OR(AL27="",AM27=""),"E_MISSING_INPUT",IF(OR(NOT(ISNUMBER(AL27)),NOT(ISNUMBER(AM27))),"E_INVALID_DATE",IF(OR(AL27&lt;1900,AL27&gt;9999,AL27&lt;&gt;INT(AL27),AM27&lt;1,AM27&gt;12,AM27&lt;&gt;INT(AM27)),"E_INVALID_DATE",""))),IF(AH27="YEAR",IF(AL27="","E_MISSING_INPUT",IF(NOT(ISNUMBER(AL27)),"E_INVALID_DATE",IF(OR(AL27&lt;1900,AL27&gt;9999,AL27&lt;&gt;INT(AL27)),"E_INVALID_DATE",""))),IF(AH27="RANGE",IF(OR(AN27="",AO27=""),"E_MISSING_INPUT",IF(OR(NOT(ISNUMBER(AN27)),NOT(ISNUMBER(AO27))),"E_INVALID_DATE",IF(OR(AN27&lt;&gt;INT(AN27),AO27&lt;&gt;INT(AO27)),"E_INVALID_DATE",IF(AN27&gt;AO27,"E_REVERSED_BOUNDS","")))),"E_MISSING_INPUT")))))))</f>
        <v/>
      </c>
      <c r="AR27" s="22">
        <f t="shared" si="28"/>
        <v>0</v>
      </c>
      <c r="AS27" s="22">
        <f t="shared" si="29"/>
        <v>0</v>
      </c>
      <c r="AT27" s="28" t="str">
        <f t="shared" si="30"/>
        <v/>
      </c>
      <c r="AU27" s="28" t="str">
        <f t="shared" si="31"/>
        <v/>
      </c>
      <c r="AV27" s="22" t="str">
        <f t="shared" si="32"/>
        <v/>
      </c>
      <c r="AW27" s="22" t="str">
        <f t="shared" si="33"/>
        <v/>
      </c>
      <c r="AX27" s="21" t="str">
        <f t="shared" si="34"/>
        <v>VEC-V03|1|EV1</v>
      </c>
      <c r="AY27" s="22">
        <f>IF(AX27="",0,COUNTIF(nEVT_Key,AX27))</f>
        <v>1</v>
      </c>
      <c r="AZ27" s="21" t="str">
        <f t="shared" si="35"/>
        <v/>
      </c>
      <c r="BA27" s="21" t="str">
        <f>IF(AZ27="","",AZ27&amp;": "&amp;SUBSTITUTE(IFERROR(INDEX(nMSG_Text,MATCH(AZ27,nMSG_Code,0)),""),"[input]",IF(D27="","an Episode_ID","the date fields required by the selected precision")))</f>
        <v/>
      </c>
    </row>
    <row r="28" spans="1:53" x14ac:dyDescent="0.2">
      <c r="A28" s="9" t="s">
        <v>315</v>
      </c>
      <c r="B28" s="11">
        <v>1</v>
      </c>
      <c r="C28" s="9" t="s">
        <v>728</v>
      </c>
      <c r="D28" s="9" t="s">
        <v>745</v>
      </c>
      <c r="E28" s="9" t="s">
        <v>746</v>
      </c>
      <c r="F28" s="9"/>
      <c r="G28" s="16"/>
      <c r="H28" s="9"/>
      <c r="I28" s="9" t="s">
        <v>749</v>
      </c>
      <c r="J28" s="16" t="s">
        <v>4</v>
      </c>
      <c r="K28" s="14">
        <v>45352</v>
      </c>
      <c r="L28" s="25"/>
      <c r="M28" s="9"/>
      <c r="N28" s="11"/>
      <c r="O28" s="11"/>
      <c r="P28" s="14"/>
      <c r="Q28" s="14"/>
      <c r="R28" s="9"/>
      <c r="S28" s="9"/>
      <c r="T28" s="9" t="s">
        <v>531</v>
      </c>
      <c r="U28" s="21" t="str">
        <f>IF(COUNTA(J28:Q28)=0,"",IF(J28="","E_MISSING_INPUT",IF(J28="LAB",AF28,IF(J28="TIMESTAMP",IF(OR(K28="",L28="",M28=""),"E_MISSING_INPUT",IF(OR(NOT(ISNUMBER(K28)),NOT(ISNUMBER(L28))),"E_INVALID_DATE",IF(OR(K28&lt;&gt;INT(K28),L28&lt;0,L28&gt;=1),"E_INVALID_DATE",IF(ISNA(MATCH(M28,nLIST_Offset,0)),"E_INVALID_DATE","")))),IF(J28="DATE",IF(K28="","E_MISSING_INPUT",IF(NOT(ISNUMBER(K28)),"E_INVALID_DATE",IF(K28&lt;&gt;INT(K28),"E_INVALID_DATE",""))),IF(J28="MONTH",IF(OR(N28="",O28=""),"E_MISSING_INPUT",IF(OR(NOT(ISNUMBER(N28)),NOT(ISNUMBER(O28))),"E_INVALID_DATE",IF(OR(N28&lt;1900,N28&gt;9999,N28&lt;&gt;INT(N28),O28&lt;1,O28&gt;12,O28&lt;&gt;INT(O28)),"E_INVALID_DATE",""))),IF(J28="YEAR",IF(N28="","E_MISSING_INPUT",IF(NOT(ISNUMBER(N28)),"E_INVALID_DATE",IF(OR(N28&lt;1900,N28&gt;9999,N28&lt;&gt;INT(N28)),"E_INVALID_DATE",""))),IF(J28="RANGE",IF(OR(P28="",Q28=""),"E_MISSING_INPUT",IF(OR(NOT(ISNUMBER(P28)),NOT(ISNUMBER(Q28))),"E_INVALID_DATE",IF(OR(P28&lt;&gt;INT(P28),Q28&lt;&gt;INT(Q28)),"E_INVALID_DATE",IF(P28&gt;Q28,"E_REVERSED_BOUNDS","")))),"E_MISSING_INPUT"))))))))</f>
        <v/>
      </c>
      <c r="V28" s="22">
        <f t="shared" si="24"/>
        <v>0</v>
      </c>
      <c r="W28" s="22">
        <f t="shared" si="25"/>
        <v>0</v>
      </c>
      <c r="X28" s="28">
        <f>IF(OR(U28&lt;&gt;"",J28=""),"",IF(J28="LAB",INDEX(nMS_M_Lo,AB28),IF(OR(J28="TIMESTAMP",J28="DATE"),K28,IF(J28="MONTH",DATE(N28,O28,1),IF(J28="YEAR",DATE(N28,1,1),P28)))))</f>
        <v>45352</v>
      </c>
      <c r="Y28" s="28">
        <f>IF(OR(U28&lt;&gt;"",J28=""),"",IF(J28="LAB",INDEX(nMS_M_Hi,AC28),IF(OR(J28="TIMESTAMP",J28="DATE"),K28,IF(J28="MONTH",EOMONTH(DATE(N28,O28,1),0),IF(J28="YEAR",DATE(N28,12,31),Q28)))))</f>
        <v>45352</v>
      </c>
      <c r="Z28" s="22" t="str">
        <f t="shared" si="26"/>
        <v/>
      </c>
      <c r="AA28" s="22" t="str">
        <f t="shared" si="27"/>
        <v/>
      </c>
      <c r="AB28" s="22">
        <f>IF(R28="",0,IFERROR(MATCH(A28&amp;"|"&amp;B28&amp;"|"&amp;R28,nMS_Key,0),0))</f>
        <v>0</v>
      </c>
      <c r="AC28" s="22">
        <f>IF(S28="",0,IFERROR(MATCH(A28&amp;"|"&amp;B28&amp;"|"&amp;S28,nMS_Key,0),0))</f>
        <v>0</v>
      </c>
      <c r="AD28" s="21" t="str">
        <f>IF(J28&lt;&gt;"LAB","",IF(R28="","E_MISSING_INPUT",IF(AB28=0,"E_MISSING_INPUT",IF(INDEX(nMS_M_Lo,AB28)="",IF(INDEX(nMS_M_Err,AB28)="","E_MISSING_INPUT",INDEX(nMS_M_Err,AB28)),""))))</f>
        <v/>
      </c>
      <c r="AE28" s="21" t="str">
        <f>IF(J28&lt;&gt;"LAB","",IF(S28="","E_MISSING_INPUT",IF(AC28=0,"E_MISSING_INPUT",IF(INDEX(nMS_M_Lo,AC28)="",IF(INDEX(nMS_M_Err,AC28)="","E_MISSING_INPUT",INDEX(nMS_M_Err,AC28)),""))))</f>
        <v/>
      </c>
      <c r="AF28" s="21" t="str">
        <f>IF(J28&lt;&gt;"LAB","",IF(AND(AD28="",AE28=""),IF(IF(INDEX(nMS_M_HT,AB28)*INDEX(nMS_M_HT,AC28)=1,IF(INDEX(nMS_M_OK,AB28)*INDEX(nMS_M_OK,AC28)=1,INDEX(nMS_M_UTC,AB28)&gt;INDEX(nMS_M_UTC,AC28),INDEX(nMS_M_Loc,AB28)&gt;INDEX(nMS_M_Loc,AC28)),INDEX(nMS_M_Lo,AB28)&gt;INDEX(nMS_M_Hi,AC28)),"E_REVERSED_BOUNDS",""),MID(IF(OR(AD28="E_INVALID_DATE",AE28="E_INVALID_DATE"),"; E_INVALID_DATE","")&amp;IF(OR(AD28="E_REVERSED_BOUNDS",AE28="E_REVERSED_BOUNDS"),"; E_REVERSED_BOUNDS","")&amp;IF(OR(AD28="E_MISSING_INPUT",AE28="E_MISSING_INPUT"),"; E_MISSING_INPUT","")&amp;IF(OR(AD28="E_INVALID_UNIT",AE28="E_INVALID_UNIT"),"; E_INVALID_UNIT",""),3,99)))</f>
        <v/>
      </c>
      <c r="AG28" s="9"/>
      <c r="AH28" s="16"/>
      <c r="AI28" s="14"/>
      <c r="AJ28" s="25"/>
      <c r="AK28" s="9"/>
      <c r="AL28" s="11"/>
      <c r="AM28" s="11"/>
      <c r="AN28" s="14"/>
      <c r="AO28" s="14"/>
      <c r="AP28" s="9"/>
      <c r="AQ28" s="21" t="str">
        <f>IF(COUNTA(AH28:AO28)=0,"",IF(AH28="","E_MISSING_INPUT",IF(AH28="TIMESTAMP",IF(OR(AI28="",AJ28="",AK28=""),"E_MISSING_INPUT",IF(OR(NOT(ISNUMBER(AI28)),NOT(ISNUMBER(AJ28))),"E_INVALID_DATE",IF(OR(AI28&lt;&gt;INT(AI28),AJ28&lt;0,AJ28&gt;=1),"E_INVALID_DATE",IF(ISNA(MATCH(AK28,nLIST_Offset,0)),"E_INVALID_DATE","")))),IF(AH28="DATE",IF(AI28="","E_MISSING_INPUT",IF(NOT(ISNUMBER(AI28)),"E_INVALID_DATE",IF(AI28&lt;&gt;INT(AI28),"E_INVALID_DATE",""))),IF(AH28="MONTH",IF(OR(AL28="",AM28=""),"E_MISSING_INPUT",IF(OR(NOT(ISNUMBER(AL28)),NOT(ISNUMBER(AM28))),"E_INVALID_DATE",IF(OR(AL28&lt;1900,AL28&gt;9999,AL28&lt;&gt;INT(AL28),AM28&lt;1,AM28&gt;12,AM28&lt;&gt;INT(AM28)),"E_INVALID_DATE",""))),IF(AH28="YEAR",IF(AL28="","E_MISSING_INPUT",IF(NOT(ISNUMBER(AL28)),"E_INVALID_DATE",IF(OR(AL28&lt;1900,AL28&gt;9999,AL28&lt;&gt;INT(AL28)),"E_INVALID_DATE",""))),IF(AH28="RANGE",IF(OR(AN28="",AO28=""),"E_MISSING_INPUT",IF(OR(NOT(ISNUMBER(AN28)),NOT(ISNUMBER(AO28))),"E_INVALID_DATE",IF(OR(AN28&lt;&gt;INT(AN28),AO28&lt;&gt;INT(AO28)),"E_INVALID_DATE",IF(AN28&gt;AO28,"E_REVERSED_BOUNDS","")))),"E_MISSING_INPUT")))))))</f>
        <v/>
      </c>
      <c r="AR28" s="22">
        <f t="shared" si="28"/>
        <v>0</v>
      </c>
      <c r="AS28" s="22">
        <f t="shared" si="29"/>
        <v>0</v>
      </c>
      <c r="AT28" s="28" t="str">
        <f t="shared" si="30"/>
        <v/>
      </c>
      <c r="AU28" s="28" t="str">
        <f t="shared" si="31"/>
        <v/>
      </c>
      <c r="AV28" s="22" t="str">
        <f t="shared" si="32"/>
        <v/>
      </c>
      <c r="AW28" s="22" t="str">
        <f t="shared" si="33"/>
        <v/>
      </c>
      <c r="AX28" s="21" t="str">
        <f t="shared" si="34"/>
        <v>VEC-V04|1|EV1</v>
      </c>
      <c r="AY28" s="22">
        <f>IF(AX28="",0,COUNTIF(nEVT_Key,AX28))</f>
        <v>1</v>
      </c>
      <c r="AZ28" s="21" t="str">
        <f t="shared" si="35"/>
        <v/>
      </c>
      <c r="BA28" s="21" t="str">
        <f>IF(AZ28="","",AZ28&amp;": "&amp;SUBSTITUTE(IFERROR(INDEX(nMSG_Text,MATCH(AZ28,nMSG_Code,0)),""),"[input]",IF(D28="","an Episode_ID","the date fields required by the selected precision")))</f>
        <v/>
      </c>
    </row>
    <row r="29" spans="1:53" x14ac:dyDescent="0.2">
      <c r="A29" s="9" t="s">
        <v>317</v>
      </c>
      <c r="B29" s="11">
        <v>1</v>
      </c>
      <c r="C29" s="9" t="s">
        <v>728</v>
      </c>
      <c r="D29" s="9" t="s">
        <v>745</v>
      </c>
      <c r="E29" s="9" t="s">
        <v>746</v>
      </c>
      <c r="F29" s="9"/>
      <c r="G29" s="16"/>
      <c r="H29" s="9"/>
      <c r="I29" s="9" t="s">
        <v>555</v>
      </c>
      <c r="J29" s="16" t="s">
        <v>4</v>
      </c>
      <c r="K29" s="14">
        <v>46037</v>
      </c>
      <c r="L29" s="25"/>
      <c r="M29" s="9"/>
      <c r="N29" s="11"/>
      <c r="O29" s="11"/>
      <c r="P29" s="14"/>
      <c r="Q29" s="14"/>
      <c r="R29" s="9"/>
      <c r="S29" s="9"/>
      <c r="T29" s="9" t="s">
        <v>533</v>
      </c>
      <c r="U29" s="21" t="str">
        <f>IF(COUNTA(J29:Q29)=0,"",IF(J29="","E_MISSING_INPUT",IF(J29="LAB",AF29,IF(J29="TIMESTAMP",IF(OR(K29="",L29="",M29=""),"E_MISSING_INPUT",IF(OR(NOT(ISNUMBER(K29)),NOT(ISNUMBER(L29))),"E_INVALID_DATE",IF(OR(K29&lt;&gt;INT(K29),L29&lt;0,L29&gt;=1),"E_INVALID_DATE",IF(ISNA(MATCH(M29,nLIST_Offset,0)),"E_INVALID_DATE","")))),IF(J29="DATE",IF(K29="","E_MISSING_INPUT",IF(NOT(ISNUMBER(K29)),"E_INVALID_DATE",IF(K29&lt;&gt;INT(K29),"E_INVALID_DATE",""))),IF(J29="MONTH",IF(OR(N29="",O29=""),"E_MISSING_INPUT",IF(OR(NOT(ISNUMBER(N29)),NOT(ISNUMBER(O29))),"E_INVALID_DATE",IF(OR(N29&lt;1900,N29&gt;9999,N29&lt;&gt;INT(N29),O29&lt;1,O29&gt;12,O29&lt;&gt;INT(O29)),"E_INVALID_DATE",""))),IF(J29="YEAR",IF(N29="","E_MISSING_INPUT",IF(NOT(ISNUMBER(N29)),"E_INVALID_DATE",IF(OR(N29&lt;1900,N29&gt;9999,N29&lt;&gt;INT(N29)),"E_INVALID_DATE",""))),IF(J29="RANGE",IF(OR(P29="",Q29=""),"E_MISSING_INPUT",IF(OR(NOT(ISNUMBER(P29)),NOT(ISNUMBER(Q29))),"E_INVALID_DATE",IF(OR(P29&lt;&gt;INT(P29),Q29&lt;&gt;INT(Q29)),"E_INVALID_DATE",IF(P29&gt;Q29,"E_REVERSED_BOUNDS","")))),"E_MISSING_INPUT"))))))))</f>
        <v/>
      </c>
      <c r="V29" s="22">
        <f t="shared" si="24"/>
        <v>0</v>
      </c>
      <c r="W29" s="22">
        <f t="shared" si="25"/>
        <v>0</v>
      </c>
      <c r="X29" s="28">
        <f>IF(OR(U29&lt;&gt;"",J29=""),"",IF(J29="LAB",INDEX(nMS_M_Lo,AB29),IF(OR(J29="TIMESTAMP",J29="DATE"),K29,IF(J29="MONTH",DATE(N29,O29,1),IF(J29="YEAR",DATE(N29,1,1),P29)))))</f>
        <v>46037</v>
      </c>
      <c r="Y29" s="28">
        <f>IF(OR(U29&lt;&gt;"",J29=""),"",IF(J29="LAB",INDEX(nMS_M_Hi,AC29),IF(OR(J29="TIMESTAMP",J29="DATE"),K29,IF(J29="MONTH",EOMONTH(DATE(N29,O29,1),0),IF(J29="YEAR",DATE(N29,12,31),Q29)))))</f>
        <v>46037</v>
      </c>
      <c r="Z29" s="22" t="str">
        <f t="shared" si="26"/>
        <v/>
      </c>
      <c r="AA29" s="22" t="str">
        <f t="shared" si="27"/>
        <v/>
      </c>
      <c r="AB29" s="22">
        <f>IF(R29="",0,IFERROR(MATCH(A29&amp;"|"&amp;B29&amp;"|"&amp;R29,nMS_Key,0),0))</f>
        <v>0</v>
      </c>
      <c r="AC29" s="22">
        <f>IF(S29="",0,IFERROR(MATCH(A29&amp;"|"&amp;B29&amp;"|"&amp;S29,nMS_Key,0),0))</f>
        <v>0</v>
      </c>
      <c r="AD29" s="21" t="str">
        <f>IF(J29&lt;&gt;"LAB","",IF(R29="","E_MISSING_INPUT",IF(AB29=0,"E_MISSING_INPUT",IF(INDEX(nMS_M_Lo,AB29)="",IF(INDEX(nMS_M_Err,AB29)="","E_MISSING_INPUT",INDEX(nMS_M_Err,AB29)),""))))</f>
        <v/>
      </c>
      <c r="AE29" s="21" t="str">
        <f>IF(J29&lt;&gt;"LAB","",IF(S29="","E_MISSING_INPUT",IF(AC29=0,"E_MISSING_INPUT",IF(INDEX(nMS_M_Lo,AC29)="",IF(INDEX(nMS_M_Err,AC29)="","E_MISSING_INPUT",INDEX(nMS_M_Err,AC29)),""))))</f>
        <v/>
      </c>
      <c r="AF29" s="21" t="str">
        <f>IF(J29&lt;&gt;"LAB","",IF(AND(AD29="",AE29=""),IF(IF(INDEX(nMS_M_HT,AB29)*INDEX(nMS_M_HT,AC29)=1,IF(INDEX(nMS_M_OK,AB29)*INDEX(nMS_M_OK,AC29)=1,INDEX(nMS_M_UTC,AB29)&gt;INDEX(nMS_M_UTC,AC29),INDEX(nMS_M_Loc,AB29)&gt;INDEX(nMS_M_Loc,AC29)),INDEX(nMS_M_Lo,AB29)&gt;INDEX(nMS_M_Hi,AC29)),"E_REVERSED_BOUNDS",""),MID(IF(OR(AD29="E_INVALID_DATE",AE29="E_INVALID_DATE"),"; E_INVALID_DATE","")&amp;IF(OR(AD29="E_REVERSED_BOUNDS",AE29="E_REVERSED_BOUNDS"),"; E_REVERSED_BOUNDS","")&amp;IF(OR(AD29="E_MISSING_INPUT",AE29="E_MISSING_INPUT"),"; E_MISSING_INPUT","")&amp;IF(OR(AD29="E_INVALID_UNIT",AE29="E_INVALID_UNIT"),"; E_INVALID_UNIT",""),3,99)))</f>
        <v/>
      </c>
      <c r="AG29" s="9"/>
      <c r="AH29" s="16"/>
      <c r="AI29" s="14"/>
      <c r="AJ29" s="25"/>
      <c r="AK29" s="9"/>
      <c r="AL29" s="11"/>
      <c r="AM29" s="11"/>
      <c r="AN29" s="14"/>
      <c r="AO29" s="14"/>
      <c r="AP29" s="9"/>
      <c r="AQ29" s="21" t="str">
        <f>IF(COUNTA(AH29:AO29)=0,"",IF(AH29="","E_MISSING_INPUT",IF(AH29="TIMESTAMP",IF(OR(AI29="",AJ29="",AK29=""),"E_MISSING_INPUT",IF(OR(NOT(ISNUMBER(AI29)),NOT(ISNUMBER(AJ29))),"E_INVALID_DATE",IF(OR(AI29&lt;&gt;INT(AI29),AJ29&lt;0,AJ29&gt;=1),"E_INVALID_DATE",IF(ISNA(MATCH(AK29,nLIST_Offset,0)),"E_INVALID_DATE","")))),IF(AH29="DATE",IF(AI29="","E_MISSING_INPUT",IF(NOT(ISNUMBER(AI29)),"E_INVALID_DATE",IF(AI29&lt;&gt;INT(AI29),"E_INVALID_DATE",""))),IF(AH29="MONTH",IF(OR(AL29="",AM29=""),"E_MISSING_INPUT",IF(OR(NOT(ISNUMBER(AL29)),NOT(ISNUMBER(AM29))),"E_INVALID_DATE",IF(OR(AL29&lt;1900,AL29&gt;9999,AL29&lt;&gt;INT(AL29),AM29&lt;1,AM29&gt;12,AM29&lt;&gt;INT(AM29)),"E_INVALID_DATE",""))),IF(AH29="YEAR",IF(AL29="","E_MISSING_INPUT",IF(NOT(ISNUMBER(AL29)),"E_INVALID_DATE",IF(OR(AL29&lt;1900,AL29&gt;9999,AL29&lt;&gt;INT(AL29)),"E_INVALID_DATE",""))),IF(AH29="RANGE",IF(OR(AN29="",AO29=""),"E_MISSING_INPUT",IF(OR(NOT(ISNUMBER(AN29)),NOT(ISNUMBER(AO29))),"E_INVALID_DATE",IF(OR(AN29&lt;&gt;INT(AN29),AO29&lt;&gt;INT(AO29)),"E_INVALID_DATE",IF(AN29&gt;AO29,"E_REVERSED_BOUNDS","")))),"E_MISSING_INPUT")))))))</f>
        <v/>
      </c>
      <c r="AR29" s="22">
        <f t="shared" si="28"/>
        <v>0</v>
      </c>
      <c r="AS29" s="22">
        <f t="shared" si="29"/>
        <v>0</v>
      </c>
      <c r="AT29" s="28" t="str">
        <f t="shared" si="30"/>
        <v/>
      </c>
      <c r="AU29" s="28" t="str">
        <f t="shared" si="31"/>
        <v/>
      </c>
      <c r="AV29" s="22" t="str">
        <f t="shared" si="32"/>
        <v/>
      </c>
      <c r="AW29" s="22" t="str">
        <f t="shared" si="33"/>
        <v/>
      </c>
      <c r="AX29" s="21" t="str">
        <f t="shared" si="34"/>
        <v>VEC-V05|1|EV1</v>
      </c>
      <c r="AY29" s="22">
        <f>IF(AX29="",0,COUNTIF(nEVT_Key,AX29))</f>
        <v>1</v>
      </c>
      <c r="AZ29" s="21" t="str">
        <f t="shared" si="35"/>
        <v/>
      </c>
      <c r="BA29" s="21" t="str">
        <f>IF(AZ29="","",AZ29&amp;": "&amp;SUBSTITUTE(IFERROR(INDEX(nMSG_Text,MATCH(AZ29,nMSG_Code,0)),""),"[input]",IF(D29="","an Episode_ID","the date fields required by the selected precision")))</f>
        <v/>
      </c>
    </row>
    <row r="30" spans="1:53" x14ac:dyDescent="0.2">
      <c r="A30" s="9" t="s">
        <v>319</v>
      </c>
      <c r="B30" s="11">
        <v>1</v>
      </c>
      <c r="C30" s="9" t="s">
        <v>728</v>
      </c>
      <c r="D30" s="9" t="s">
        <v>745</v>
      </c>
      <c r="E30" s="9" t="s">
        <v>746</v>
      </c>
      <c r="F30" s="9"/>
      <c r="G30" s="16"/>
      <c r="H30" s="9"/>
      <c r="I30" s="9" t="s">
        <v>528</v>
      </c>
      <c r="J30" s="16" t="s">
        <v>4</v>
      </c>
      <c r="K30" s="14">
        <v>46027</v>
      </c>
      <c r="L30" s="25"/>
      <c r="M30" s="9"/>
      <c r="N30" s="11"/>
      <c r="O30" s="11"/>
      <c r="P30" s="14"/>
      <c r="Q30" s="14"/>
      <c r="R30" s="9"/>
      <c r="S30" s="9"/>
      <c r="T30" s="9" t="s">
        <v>534</v>
      </c>
      <c r="U30" s="21" t="str">
        <f>IF(COUNTA(J30:Q30)=0,"",IF(J30="","E_MISSING_INPUT",IF(J30="LAB",AF30,IF(J30="TIMESTAMP",IF(OR(K30="",L30="",M30=""),"E_MISSING_INPUT",IF(OR(NOT(ISNUMBER(K30)),NOT(ISNUMBER(L30))),"E_INVALID_DATE",IF(OR(K30&lt;&gt;INT(K30),L30&lt;0,L30&gt;=1),"E_INVALID_DATE",IF(ISNA(MATCH(M30,nLIST_Offset,0)),"E_INVALID_DATE","")))),IF(J30="DATE",IF(K30="","E_MISSING_INPUT",IF(NOT(ISNUMBER(K30)),"E_INVALID_DATE",IF(K30&lt;&gt;INT(K30),"E_INVALID_DATE",""))),IF(J30="MONTH",IF(OR(N30="",O30=""),"E_MISSING_INPUT",IF(OR(NOT(ISNUMBER(N30)),NOT(ISNUMBER(O30))),"E_INVALID_DATE",IF(OR(N30&lt;1900,N30&gt;9999,N30&lt;&gt;INT(N30),O30&lt;1,O30&gt;12,O30&lt;&gt;INT(O30)),"E_INVALID_DATE",""))),IF(J30="YEAR",IF(N30="","E_MISSING_INPUT",IF(NOT(ISNUMBER(N30)),"E_INVALID_DATE",IF(OR(N30&lt;1900,N30&gt;9999,N30&lt;&gt;INT(N30)),"E_INVALID_DATE",""))),IF(J30="RANGE",IF(OR(P30="",Q30=""),"E_MISSING_INPUT",IF(OR(NOT(ISNUMBER(P30)),NOT(ISNUMBER(Q30))),"E_INVALID_DATE",IF(OR(P30&lt;&gt;INT(P30),Q30&lt;&gt;INT(Q30)),"E_INVALID_DATE",IF(P30&gt;Q30,"E_REVERSED_BOUNDS","")))),"E_MISSING_INPUT"))))))))</f>
        <v/>
      </c>
      <c r="V30" s="22">
        <f t="shared" si="24"/>
        <v>0</v>
      </c>
      <c r="W30" s="22">
        <f t="shared" si="25"/>
        <v>0</v>
      </c>
      <c r="X30" s="28">
        <f>IF(OR(U30&lt;&gt;"",J30=""),"",IF(J30="LAB",INDEX(nMS_M_Lo,AB30),IF(OR(J30="TIMESTAMP",J30="DATE"),K30,IF(J30="MONTH",DATE(N30,O30,1),IF(J30="YEAR",DATE(N30,1,1),P30)))))</f>
        <v>46027</v>
      </c>
      <c r="Y30" s="28">
        <f>IF(OR(U30&lt;&gt;"",J30=""),"",IF(J30="LAB",INDEX(nMS_M_Hi,AC30),IF(OR(J30="TIMESTAMP",J30="DATE"),K30,IF(J30="MONTH",EOMONTH(DATE(N30,O30,1),0),IF(J30="YEAR",DATE(N30,12,31),Q30)))))</f>
        <v>46027</v>
      </c>
      <c r="Z30" s="22" t="str">
        <f t="shared" si="26"/>
        <v/>
      </c>
      <c r="AA30" s="22" t="str">
        <f t="shared" si="27"/>
        <v/>
      </c>
      <c r="AB30" s="22">
        <f>IF(R30="",0,IFERROR(MATCH(A30&amp;"|"&amp;B30&amp;"|"&amp;R30,nMS_Key,0),0))</f>
        <v>0</v>
      </c>
      <c r="AC30" s="22">
        <f>IF(S30="",0,IFERROR(MATCH(A30&amp;"|"&amp;B30&amp;"|"&amp;S30,nMS_Key,0),0))</f>
        <v>0</v>
      </c>
      <c r="AD30" s="21" t="str">
        <f>IF(J30&lt;&gt;"LAB","",IF(R30="","E_MISSING_INPUT",IF(AB30=0,"E_MISSING_INPUT",IF(INDEX(nMS_M_Lo,AB30)="",IF(INDEX(nMS_M_Err,AB30)="","E_MISSING_INPUT",INDEX(nMS_M_Err,AB30)),""))))</f>
        <v/>
      </c>
      <c r="AE30" s="21" t="str">
        <f>IF(J30&lt;&gt;"LAB","",IF(S30="","E_MISSING_INPUT",IF(AC30=0,"E_MISSING_INPUT",IF(INDEX(nMS_M_Lo,AC30)="",IF(INDEX(nMS_M_Err,AC30)="","E_MISSING_INPUT",INDEX(nMS_M_Err,AC30)),""))))</f>
        <v/>
      </c>
      <c r="AF30" s="21" t="str">
        <f>IF(J30&lt;&gt;"LAB","",IF(AND(AD30="",AE30=""),IF(IF(INDEX(nMS_M_HT,AB30)*INDEX(nMS_M_HT,AC30)=1,IF(INDEX(nMS_M_OK,AB30)*INDEX(nMS_M_OK,AC30)=1,INDEX(nMS_M_UTC,AB30)&gt;INDEX(nMS_M_UTC,AC30),INDEX(nMS_M_Loc,AB30)&gt;INDEX(nMS_M_Loc,AC30)),INDEX(nMS_M_Lo,AB30)&gt;INDEX(nMS_M_Hi,AC30)),"E_REVERSED_BOUNDS",""),MID(IF(OR(AD30="E_INVALID_DATE",AE30="E_INVALID_DATE"),"; E_INVALID_DATE","")&amp;IF(OR(AD30="E_REVERSED_BOUNDS",AE30="E_REVERSED_BOUNDS"),"; E_REVERSED_BOUNDS","")&amp;IF(OR(AD30="E_MISSING_INPUT",AE30="E_MISSING_INPUT"),"; E_MISSING_INPUT","")&amp;IF(OR(AD30="E_INVALID_UNIT",AE30="E_INVALID_UNIT"),"; E_INVALID_UNIT",""),3,99)))</f>
        <v/>
      </c>
      <c r="AG30" s="9"/>
      <c r="AH30" s="16"/>
      <c r="AI30" s="14"/>
      <c r="AJ30" s="25"/>
      <c r="AK30" s="9"/>
      <c r="AL30" s="11"/>
      <c r="AM30" s="11"/>
      <c r="AN30" s="14"/>
      <c r="AO30" s="14"/>
      <c r="AP30" s="9"/>
      <c r="AQ30" s="21" t="str">
        <f>IF(COUNTA(AH30:AO30)=0,"",IF(AH30="","E_MISSING_INPUT",IF(AH30="TIMESTAMP",IF(OR(AI30="",AJ30="",AK30=""),"E_MISSING_INPUT",IF(OR(NOT(ISNUMBER(AI30)),NOT(ISNUMBER(AJ30))),"E_INVALID_DATE",IF(OR(AI30&lt;&gt;INT(AI30),AJ30&lt;0,AJ30&gt;=1),"E_INVALID_DATE",IF(ISNA(MATCH(AK30,nLIST_Offset,0)),"E_INVALID_DATE","")))),IF(AH30="DATE",IF(AI30="","E_MISSING_INPUT",IF(NOT(ISNUMBER(AI30)),"E_INVALID_DATE",IF(AI30&lt;&gt;INT(AI30),"E_INVALID_DATE",""))),IF(AH30="MONTH",IF(OR(AL30="",AM30=""),"E_MISSING_INPUT",IF(OR(NOT(ISNUMBER(AL30)),NOT(ISNUMBER(AM30))),"E_INVALID_DATE",IF(OR(AL30&lt;1900,AL30&gt;9999,AL30&lt;&gt;INT(AL30),AM30&lt;1,AM30&gt;12,AM30&lt;&gt;INT(AM30)),"E_INVALID_DATE",""))),IF(AH30="YEAR",IF(AL30="","E_MISSING_INPUT",IF(NOT(ISNUMBER(AL30)),"E_INVALID_DATE",IF(OR(AL30&lt;1900,AL30&gt;9999,AL30&lt;&gt;INT(AL30)),"E_INVALID_DATE",""))),IF(AH30="RANGE",IF(OR(AN30="",AO30=""),"E_MISSING_INPUT",IF(OR(NOT(ISNUMBER(AN30)),NOT(ISNUMBER(AO30))),"E_INVALID_DATE",IF(OR(AN30&lt;&gt;INT(AN30),AO30&lt;&gt;INT(AO30)),"E_INVALID_DATE",IF(AN30&gt;AO30,"E_REVERSED_BOUNDS","")))),"E_MISSING_INPUT")))))))</f>
        <v/>
      </c>
      <c r="AR30" s="22">
        <f t="shared" si="28"/>
        <v>0</v>
      </c>
      <c r="AS30" s="22">
        <f t="shared" si="29"/>
        <v>0</v>
      </c>
      <c r="AT30" s="28" t="str">
        <f t="shared" si="30"/>
        <v/>
      </c>
      <c r="AU30" s="28" t="str">
        <f t="shared" si="31"/>
        <v/>
      </c>
      <c r="AV30" s="22" t="str">
        <f t="shared" si="32"/>
        <v/>
      </c>
      <c r="AW30" s="22" t="str">
        <f t="shared" si="33"/>
        <v/>
      </c>
      <c r="AX30" s="21" t="str">
        <f t="shared" si="34"/>
        <v>VEC-V06|1|EV1</v>
      </c>
      <c r="AY30" s="22">
        <f>IF(AX30="",0,COUNTIF(nEVT_Key,AX30))</f>
        <v>1</v>
      </c>
      <c r="AZ30" s="21" t="str">
        <f t="shared" si="35"/>
        <v/>
      </c>
      <c r="BA30" s="21" t="str">
        <f>IF(AZ30="","",AZ30&amp;": "&amp;SUBSTITUTE(IFERROR(INDEX(nMSG_Text,MATCH(AZ30,nMSG_Code,0)),""),"[input]",IF(D30="","an Episode_ID","the date fields required by the selected precision")))</f>
        <v/>
      </c>
    </row>
    <row r="31" spans="1:53" x14ac:dyDescent="0.2">
      <c r="A31" s="9" t="s">
        <v>321</v>
      </c>
      <c r="B31" s="11">
        <v>1</v>
      </c>
      <c r="C31" s="9" t="s">
        <v>728</v>
      </c>
      <c r="D31" s="9" t="s">
        <v>745</v>
      </c>
      <c r="E31" s="9" t="s">
        <v>746</v>
      </c>
      <c r="F31" s="9"/>
      <c r="G31" s="16"/>
      <c r="H31" s="9"/>
      <c r="I31" s="9" t="s">
        <v>750</v>
      </c>
      <c r="J31" s="16" t="s">
        <v>3</v>
      </c>
      <c r="K31" s="14">
        <v>46083</v>
      </c>
      <c r="L31" s="25">
        <v>0.83333333333333304</v>
      </c>
      <c r="M31" s="9" t="s">
        <v>20</v>
      </c>
      <c r="N31" s="11"/>
      <c r="O31" s="11"/>
      <c r="P31" s="14"/>
      <c r="Q31" s="14"/>
      <c r="R31" s="9"/>
      <c r="S31" s="9"/>
      <c r="T31" s="9" t="s">
        <v>536</v>
      </c>
      <c r="U31" s="21" t="str">
        <f>IF(COUNTA(J31:Q31)=0,"",IF(J31="","E_MISSING_INPUT",IF(J31="LAB",AF31,IF(J31="TIMESTAMP",IF(OR(K31="",L31="",M31=""),"E_MISSING_INPUT",IF(OR(NOT(ISNUMBER(K31)),NOT(ISNUMBER(L31))),"E_INVALID_DATE",IF(OR(K31&lt;&gt;INT(K31),L31&lt;0,L31&gt;=1),"E_INVALID_DATE",IF(ISNA(MATCH(M31,nLIST_Offset,0)),"E_INVALID_DATE","")))),IF(J31="DATE",IF(K31="","E_MISSING_INPUT",IF(NOT(ISNUMBER(K31)),"E_INVALID_DATE",IF(K31&lt;&gt;INT(K31),"E_INVALID_DATE",""))),IF(J31="MONTH",IF(OR(N31="",O31=""),"E_MISSING_INPUT",IF(OR(NOT(ISNUMBER(N31)),NOT(ISNUMBER(O31))),"E_INVALID_DATE",IF(OR(N31&lt;1900,N31&gt;9999,N31&lt;&gt;INT(N31),O31&lt;1,O31&gt;12,O31&lt;&gt;INT(O31)),"E_INVALID_DATE",""))),IF(J31="YEAR",IF(N31="","E_MISSING_INPUT",IF(NOT(ISNUMBER(N31)),"E_INVALID_DATE",IF(OR(N31&lt;1900,N31&gt;9999,N31&lt;&gt;INT(N31)),"E_INVALID_DATE",""))),IF(J31="RANGE",IF(OR(P31="",Q31=""),"E_MISSING_INPUT",IF(OR(NOT(ISNUMBER(P31)),NOT(ISNUMBER(Q31))),"E_INVALID_DATE",IF(OR(P31&lt;&gt;INT(P31),Q31&lt;&gt;INT(Q31)),"E_INVALID_DATE",IF(P31&gt;Q31,"E_REVERSED_BOUNDS","")))),"E_MISSING_INPUT"))))))))</f>
        <v/>
      </c>
      <c r="V31" s="22">
        <f t="shared" si="24"/>
        <v>1</v>
      </c>
      <c r="W31" s="22">
        <f t="shared" si="25"/>
        <v>1</v>
      </c>
      <c r="X31" s="28">
        <f>IF(OR(U31&lt;&gt;"",J31=""),"",IF(J31="LAB",INDEX(nMS_M_Lo,AB31),IF(OR(J31="TIMESTAMP",J31="DATE"),K31,IF(J31="MONTH",DATE(N31,O31,1),IF(J31="YEAR",DATE(N31,1,1),P31)))))</f>
        <v>46083</v>
      </c>
      <c r="Y31" s="28">
        <f>IF(OR(U31&lt;&gt;"",J31=""),"",IF(J31="LAB",INDEX(nMS_M_Hi,AC31),IF(OR(J31="TIMESTAMP",J31="DATE"),K31,IF(J31="MONTH",EOMONTH(DATE(N31,O31,1),0),IF(J31="YEAR",DATE(N31,12,31),Q31)))))</f>
        <v>46083</v>
      </c>
      <c r="Z31" s="22">
        <f t="shared" si="26"/>
        <v>66360720</v>
      </c>
      <c r="AA31" s="22">
        <f t="shared" si="27"/>
        <v>66361020</v>
      </c>
      <c r="AB31" s="22">
        <f>IF(R31="",0,IFERROR(MATCH(A31&amp;"|"&amp;B31&amp;"|"&amp;R31,nMS_Key,0),0))</f>
        <v>0</v>
      </c>
      <c r="AC31" s="22">
        <f>IF(S31="",0,IFERROR(MATCH(A31&amp;"|"&amp;B31&amp;"|"&amp;S31,nMS_Key,0),0))</f>
        <v>0</v>
      </c>
      <c r="AD31" s="21" t="str">
        <f>IF(J31&lt;&gt;"LAB","",IF(R31="","E_MISSING_INPUT",IF(AB31=0,"E_MISSING_INPUT",IF(INDEX(nMS_M_Lo,AB31)="",IF(INDEX(nMS_M_Err,AB31)="","E_MISSING_INPUT",INDEX(nMS_M_Err,AB31)),""))))</f>
        <v/>
      </c>
      <c r="AE31" s="21" t="str">
        <f>IF(J31&lt;&gt;"LAB","",IF(S31="","E_MISSING_INPUT",IF(AC31=0,"E_MISSING_INPUT",IF(INDEX(nMS_M_Lo,AC31)="",IF(INDEX(nMS_M_Err,AC31)="","E_MISSING_INPUT",INDEX(nMS_M_Err,AC31)),""))))</f>
        <v/>
      </c>
      <c r="AF31" s="21" t="str">
        <f>IF(J31&lt;&gt;"LAB","",IF(AND(AD31="",AE31=""),IF(IF(INDEX(nMS_M_HT,AB31)*INDEX(nMS_M_HT,AC31)=1,IF(INDEX(nMS_M_OK,AB31)*INDEX(nMS_M_OK,AC31)=1,INDEX(nMS_M_UTC,AB31)&gt;INDEX(nMS_M_UTC,AC31),INDEX(nMS_M_Loc,AB31)&gt;INDEX(nMS_M_Loc,AC31)),INDEX(nMS_M_Lo,AB31)&gt;INDEX(nMS_M_Hi,AC31)),"E_REVERSED_BOUNDS",""),MID(IF(OR(AD31="E_INVALID_DATE",AE31="E_INVALID_DATE"),"; E_INVALID_DATE","")&amp;IF(OR(AD31="E_REVERSED_BOUNDS",AE31="E_REVERSED_BOUNDS"),"; E_REVERSED_BOUNDS","")&amp;IF(OR(AD31="E_MISSING_INPUT",AE31="E_MISSING_INPUT"),"; E_MISSING_INPUT","")&amp;IF(OR(AD31="E_INVALID_UNIT",AE31="E_INVALID_UNIT"),"; E_INVALID_UNIT",""),3,99)))</f>
        <v/>
      </c>
      <c r="AG31" s="9"/>
      <c r="AH31" s="16"/>
      <c r="AI31" s="14"/>
      <c r="AJ31" s="25"/>
      <c r="AK31" s="9"/>
      <c r="AL31" s="11"/>
      <c r="AM31" s="11"/>
      <c r="AN31" s="14"/>
      <c r="AO31" s="14"/>
      <c r="AP31" s="9"/>
      <c r="AQ31" s="21" t="str">
        <f>IF(COUNTA(AH31:AO31)=0,"",IF(AH31="","E_MISSING_INPUT",IF(AH31="TIMESTAMP",IF(OR(AI31="",AJ31="",AK31=""),"E_MISSING_INPUT",IF(OR(NOT(ISNUMBER(AI31)),NOT(ISNUMBER(AJ31))),"E_INVALID_DATE",IF(OR(AI31&lt;&gt;INT(AI31),AJ31&lt;0,AJ31&gt;=1),"E_INVALID_DATE",IF(ISNA(MATCH(AK31,nLIST_Offset,0)),"E_INVALID_DATE","")))),IF(AH31="DATE",IF(AI31="","E_MISSING_INPUT",IF(NOT(ISNUMBER(AI31)),"E_INVALID_DATE",IF(AI31&lt;&gt;INT(AI31),"E_INVALID_DATE",""))),IF(AH31="MONTH",IF(OR(AL31="",AM31=""),"E_MISSING_INPUT",IF(OR(NOT(ISNUMBER(AL31)),NOT(ISNUMBER(AM31))),"E_INVALID_DATE",IF(OR(AL31&lt;1900,AL31&gt;9999,AL31&lt;&gt;INT(AL31),AM31&lt;1,AM31&gt;12,AM31&lt;&gt;INT(AM31)),"E_INVALID_DATE",""))),IF(AH31="YEAR",IF(AL31="","E_MISSING_INPUT",IF(NOT(ISNUMBER(AL31)),"E_INVALID_DATE",IF(OR(AL31&lt;1900,AL31&gt;9999,AL31&lt;&gt;INT(AL31)),"E_INVALID_DATE",""))),IF(AH31="RANGE",IF(OR(AN31="",AO31=""),"E_MISSING_INPUT",IF(OR(NOT(ISNUMBER(AN31)),NOT(ISNUMBER(AO31))),"E_INVALID_DATE",IF(OR(AN31&lt;&gt;INT(AN31),AO31&lt;&gt;INT(AO31)),"E_INVALID_DATE",IF(AN31&gt;AO31,"E_REVERSED_BOUNDS","")))),"E_MISSING_INPUT")))))))</f>
        <v/>
      </c>
      <c r="AR31" s="22">
        <f t="shared" si="28"/>
        <v>0</v>
      </c>
      <c r="AS31" s="22">
        <f t="shared" si="29"/>
        <v>0</v>
      </c>
      <c r="AT31" s="28" t="str">
        <f t="shared" si="30"/>
        <v/>
      </c>
      <c r="AU31" s="28" t="str">
        <f t="shared" si="31"/>
        <v/>
      </c>
      <c r="AV31" s="22" t="str">
        <f t="shared" si="32"/>
        <v/>
      </c>
      <c r="AW31" s="22" t="str">
        <f t="shared" si="33"/>
        <v/>
      </c>
      <c r="AX31" s="21" t="str">
        <f t="shared" si="34"/>
        <v>VEC-V07|1|EV1</v>
      </c>
      <c r="AY31" s="22">
        <f>IF(AX31="",0,COUNTIF(nEVT_Key,AX31))</f>
        <v>1</v>
      </c>
      <c r="AZ31" s="21" t="str">
        <f t="shared" si="35"/>
        <v/>
      </c>
      <c r="BA31" s="21" t="str">
        <f>IF(AZ31="","",AZ31&amp;": "&amp;SUBSTITUTE(IFERROR(INDEX(nMSG_Text,MATCH(AZ31,nMSG_Code,0)),""),"[input]",IF(D31="","an Episode_ID","the date fields required by the selected precision")))</f>
        <v/>
      </c>
    </row>
    <row r="32" spans="1:53" x14ac:dyDescent="0.2">
      <c r="A32" s="9" t="s">
        <v>323</v>
      </c>
      <c r="B32" s="11">
        <v>1</v>
      </c>
      <c r="C32" s="9" t="s">
        <v>728</v>
      </c>
      <c r="D32" s="9" t="s">
        <v>745</v>
      </c>
      <c r="E32" s="9" t="s">
        <v>746</v>
      </c>
      <c r="F32" s="9"/>
      <c r="G32" s="16"/>
      <c r="H32" s="9"/>
      <c r="I32" s="9" t="s">
        <v>751</v>
      </c>
      <c r="J32" s="16" t="s">
        <v>4</v>
      </c>
      <c r="K32" s="14">
        <v>46067</v>
      </c>
      <c r="L32" s="25"/>
      <c r="M32" s="9"/>
      <c r="N32" s="11"/>
      <c r="O32" s="11"/>
      <c r="P32" s="14"/>
      <c r="Q32" s="14"/>
      <c r="R32" s="9"/>
      <c r="S32" s="9"/>
      <c r="T32" s="9" t="s">
        <v>538</v>
      </c>
      <c r="U32" s="21" t="str">
        <f>IF(COUNTA(J32:Q32)=0,"",IF(J32="","E_MISSING_INPUT",IF(J32="LAB",AF32,IF(J32="TIMESTAMP",IF(OR(K32="",L32="",M32=""),"E_MISSING_INPUT",IF(OR(NOT(ISNUMBER(K32)),NOT(ISNUMBER(L32))),"E_INVALID_DATE",IF(OR(K32&lt;&gt;INT(K32),L32&lt;0,L32&gt;=1),"E_INVALID_DATE",IF(ISNA(MATCH(M32,nLIST_Offset,0)),"E_INVALID_DATE","")))),IF(J32="DATE",IF(K32="","E_MISSING_INPUT",IF(NOT(ISNUMBER(K32)),"E_INVALID_DATE",IF(K32&lt;&gt;INT(K32),"E_INVALID_DATE",""))),IF(J32="MONTH",IF(OR(N32="",O32=""),"E_MISSING_INPUT",IF(OR(NOT(ISNUMBER(N32)),NOT(ISNUMBER(O32))),"E_INVALID_DATE",IF(OR(N32&lt;1900,N32&gt;9999,N32&lt;&gt;INT(N32),O32&lt;1,O32&gt;12,O32&lt;&gt;INT(O32)),"E_INVALID_DATE",""))),IF(J32="YEAR",IF(N32="","E_MISSING_INPUT",IF(NOT(ISNUMBER(N32)),"E_INVALID_DATE",IF(OR(N32&lt;1900,N32&gt;9999,N32&lt;&gt;INT(N32)),"E_INVALID_DATE",""))),IF(J32="RANGE",IF(OR(P32="",Q32=""),"E_MISSING_INPUT",IF(OR(NOT(ISNUMBER(P32)),NOT(ISNUMBER(Q32))),"E_INVALID_DATE",IF(OR(P32&lt;&gt;INT(P32),Q32&lt;&gt;INT(Q32)),"E_INVALID_DATE",IF(P32&gt;Q32,"E_REVERSED_BOUNDS","")))),"E_MISSING_INPUT"))))))))</f>
        <v/>
      </c>
      <c r="V32" s="22">
        <f t="shared" si="24"/>
        <v>0</v>
      </c>
      <c r="W32" s="22">
        <f t="shared" si="25"/>
        <v>0</v>
      </c>
      <c r="X32" s="28">
        <f>IF(OR(U32&lt;&gt;"",J32=""),"",IF(J32="LAB",INDEX(nMS_M_Lo,AB32),IF(OR(J32="TIMESTAMP",J32="DATE"),K32,IF(J32="MONTH",DATE(N32,O32,1),IF(J32="YEAR",DATE(N32,1,1),P32)))))</f>
        <v>46067</v>
      </c>
      <c r="Y32" s="28">
        <f>IF(OR(U32&lt;&gt;"",J32=""),"",IF(J32="LAB",INDEX(nMS_M_Hi,AC32),IF(OR(J32="TIMESTAMP",J32="DATE"),K32,IF(J32="MONTH",EOMONTH(DATE(N32,O32,1),0),IF(J32="YEAR",DATE(N32,12,31),Q32)))))</f>
        <v>46067</v>
      </c>
      <c r="Z32" s="22" t="str">
        <f t="shared" si="26"/>
        <v/>
      </c>
      <c r="AA32" s="22" t="str">
        <f t="shared" si="27"/>
        <v/>
      </c>
      <c r="AB32" s="22">
        <f>IF(R32="",0,IFERROR(MATCH(A32&amp;"|"&amp;B32&amp;"|"&amp;R32,nMS_Key,0),0))</f>
        <v>0</v>
      </c>
      <c r="AC32" s="22">
        <f>IF(S32="",0,IFERROR(MATCH(A32&amp;"|"&amp;B32&amp;"|"&amp;S32,nMS_Key,0),0))</f>
        <v>0</v>
      </c>
      <c r="AD32" s="21" t="str">
        <f>IF(J32&lt;&gt;"LAB","",IF(R32="","E_MISSING_INPUT",IF(AB32=0,"E_MISSING_INPUT",IF(INDEX(nMS_M_Lo,AB32)="",IF(INDEX(nMS_M_Err,AB32)="","E_MISSING_INPUT",INDEX(nMS_M_Err,AB32)),""))))</f>
        <v/>
      </c>
      <c r="AE32" s="21" t="str">
        <f>IF(J32&lt;&gt;"LAB","",IF(S32="","E_MISSING_INPUT",IF(AC32=0,"E_MISSING_INPUT",IF(INDEX(nMS_M_Lo,AC32)="",IF(INDEX(nMS_M_Err,AC32)="","E_MISSING_INPUT",INDEX(nMS_M_Err,AC32)),""))))</f>
        <v/>
      </c>
      <c r="AF32" s="21" t="str">
        <f>IF(J32&lt;&gt;"LAB","",IF(AND(AD32="",AE32=""),IF(IF(INDEX(nMS_M_HT,AB32)*INDEX(nMS_M_HT,AC32)=1,IF(INDEX(nMS_M_OK,AB32)*INDEX(nMS_M_OK,AC32)=1,INDEX(nMS_M_UTC,AB32)&gt;INDEX(nMS_M_UTC,AC32),INDEX(nMS_M_Loc,AB32)&gt;INDEX(nMS_M_Loc,AC32)),INDEX(nMS_M_Lo,AB32)&gt;INDEX(nMS_M_Hi,AC32)),"E_REVERSED_BOUNDS",""),MID(IF(OR(AD32="E_INVALID_DATE",AE32="E_INVALID_DATE"),"; E_INVALID_DATE","")&amp;IF(OR(AD32="E_REVERSED_BOUNDS",AE32="E_REVERSED_BOUNDS"),"; E_REVERSED_BOUNDS","")&amp;IF(OR(AD32="E_MISSING_INPUT",AE32="E_MISSING_INPUT"),"; E_MISSING_INPUT","")&amp;IF(OR(AD32="E_INVALID_UNIT",AE32="E_INVALID_UNIT"),"; E_INVALID_UNIT",""),3,99)))</f>
        <v/>
      </c>
      <c r="AG32" s="9"/>
      <c r="AH32" s="16"/>
      <c r="AI32" s="14"/>
      <c r="AJ32" s="25"/>
      <c r="AK32" s="9"/>
      <c r="AL32" s="11"/>
      <c r="AM32" s="11"/>
      <c r="AN32" s="14"/>
      <c r="AO32" s="14"/>
      <c r="AP32" s="9"/>
      <c r="AQ32" s="21" t="str">
        <f>IF(COUNTA(AH32:AO32)=0,"",IF(AH32="","E_MISSING_INPUT",IF(AH32="TIMESTAMP",IF(OR(AI32="",AJ32="",AK32=""),"E_MISSING_INPUT",IF(OR(NOT(ISNUMBER(AI32)),NOT(ISNUMBER(AJ32))),"E_INVALID_DATE",IF(OR(AI32&lt;&gt;INT(AI32),AJ32&lt;0,AJ32&gt;=1),"E_INVALID_DATE",IF(ISNA(MATCH(AK32,nLIST_Offset,0)),"E_INVALID_DATE","")))),IF(AH32="DATE",IF(AI32="","E_MISSING_INPUT",IF(NOT(ISNUMBER(AI32)),"E_INVALID_DATE",IF(AI32&lt;&gt;INT(AI32),"E_INVALID_DATE",""))),IF(AH32="MONTH",IF(OR(AL32="",AM32=""),"E_MISSING_INPUT",IF(OR(NOT(ISNUMBER(AL32)),NOT(ISNUMBER(AM32))),"E_INVALID_DATE",IF(OR(AL32&lt;1900,AL32&gt;9999,AL32&lt;&gt;INT(AL32),AM32&lt;1,AM32&gt;12,AM32&lt;&gt;INT(AM32)),"E_INVALID_DATE",""))),IF(AH32="YEAR",IF(AL32="","E_MISSING_INPUT",IF(NOT(ISNUMBER(AL32)),"E_INVALID_DATE",IF(OR(AL32&lt;1900,AL32&gt;9999,AL32&lt;&gt;INT(AL32)),"E_INVALID_DATE",""))),IF(AH32="RANGE",IF(OR(AN32="",AO32=""),"E_MISSING_INPUT",IF(OR(NOT(ISNUMBER(AN32)),NOT(ISNUMBER(AO32))),"E_INVALID_DATE",IF(OR(AN32&lt;&gt;INT(AN32),AO32&lt;&gt;INT(AO32)),"E_INVALID_DATE",IF(AN32&gt;AO32,"E_REVERSED_BOUNDS","")))),"E_MISSING_INPUT")))))))</f>
        <v/>
      </c>
      <c r="AR32" s="22">
        <f t="shared" si="28"/>
        <v>0</v>
      </c>
      <c r="AS32" s="22">
        <f t="shared" si="29"/>
        <v>0</v>
      </c>
      <c r="AT32" s="28" t="str">
        <f t="shared" si="30"/>
        <v/>
      </c>
      <c r="AU32" s="28" t="str">
        <f t="shared" si="31"/>
        <v/>
      </c>
      <c r="AV32" s="22" t="str">
        <f t="shared" si="32"/>
        <v/>
      </c>
      <c r="AW32" s="22" t="str">
        <f t="shared" si="33"/>
        <v/>
      </c>
      <c r="AX32" s="21" t="str">
        <f t="shared" si="34"/>
        <v>VEC-V08|1|EV1</v>
      </c>
      <c r="AY32" s="22">
        <f>IF(AX32="",0,COUNTIF(nEVT_Key,AX32))</f>
        <v>1</v>
      </c>
      <c r="AZ32" s="21" t="str">
        <f t="shared" si="35"/>
        <v/>
      </c>
      <c r="BA32" s="21" t="str">
        <f>IF(AZ32="","",AZ32&amp;": "&amp;SUBSTITUTE(IFERROR(INDEX(nMSG_Text,MATCH(AZ32,nMSG_Code,0)),""),"[input]",IF(D32="","an Episode_ID","the date fields required by the selected precision")))</f>
        <v/>
      </c>
    </row>
    <row r="33" spans="1:53" x14ac:dyDescent="0.2">
      <c r="A33" s="9" t="s">
        <v>325</v>
      </c>
      <c r="B33" s="11">
        <v>1</v>
      </c>
      <c r="C33" s="9" t="s">
        <v>728</v>
      </c>
      <c r="D33" s="9" t="s">
        <v>745</v>
      </c>
      <c r="E33" s="9" t="s">
        <v>746</v>
      </c>
      <c r="F33" s="9"/>
      <c r="G33" s="16"/>
      <c r="H33" s="9"/>
      <c r="I33" s="9" t="s">
        <v>752</v>
      </c>
      <c r="J33" s="16" t="s">
        <v>3</v>
      </c>
      <c r="K33" s="14">
        <v>46327</v>
      </c>
      <c r="L33" s="25">
        <v>6.25E-2</v>
      </c>
      <c r="M33" s="9" t="s">
        <v>20</v>
      </c>
      <c r="N33" s="11"/>
      <c r="O33" s="11"/>
      <c r="P33" s="14"/>
      <c r="Q33" s="14"/>
      <c r="R33" s="9"/>
      <c r="S33" s="9"/>
      <c r="T33" s="9" t="s">
        <v>542</v>
      </c>
      <c r="U33" s="21" t="str">
        <f>IF(COUNTA(J33:Q33)=0,"",IF(J33="","E_MISSING_INPUT",IF(J33="LAB",AF33,IF(J33="TIMESTAMP",IF(OR(K33="",L33="",M33=""),"E_MISSING_INPUT",IF(OR(NOT(ISNUMBER(K33)),NOT(ISNUMBER(L33))),"E_INVALID_DATE",IF(OR(K33&lt;&gt;INT(K33),L33&lt;0,L33&gt;=1),"E_INVALID_DATE",IF(ISNA(MATCH(M33,nLIST_Offset,0)),"E_INVALID_DATE","")))),IF(J33="DATE",IF(K33="","E_MISSING_INPUT",IF(NOT(ISNUMBER(K33)),"E_INVALID_DATE",IF(K33&lt;&gt;INT(K33),"E_INVALID_DATE",""))),IF(J33="MONTH",IF(OR(N33="",O33=""),"E_MISSING_INPUT",IF(OR(NOT(ISNUMBER(N33)),NOT(ISNUMBER(O33))),"E_INVALID_DATE",IF(OR(N33&lt;1900,N33&gt;9999,N33&lt;&gt;INT(N33),O33&lt;1,O33&gt;12,O33&lt;&gt;INT(O33)),"E_INVALID_DATE",""))),IF(J33="YEAR",IF(N33="","E_MISSING_INPUT",IF(NOT(ISNUMBER(N33)),"E_INVALID_DATE",IF(OR(N33&lt;1900,N33&gt;9999,N33&lt;&gt;INT(N33)),"E_INVALID_DATE",""))),IF(J33="RANGE",IF(OR(P33="",Q33=""),"E_MISSING_INPUT",IF(OR(NOT(ISNUMBER(P33)),NOT(ISNUMBER(Q33))),"E_INVALID_DATE",IF(OR(P33&lt;&gt;INT(P33),Q33&lt;&gt;INT(Q33)),"E_INVALID_DATE",IF(P33&gt;Q33,"E_REVERSED_BOUNDS","")))),"E_MISSING_INPUT"))))))))</f>
        <v/>
      </c>
      <c r="V33" s="22">
        <f t="shared" si="24"/>
        <v>1</v>
      </c>
      <c r="W33" s="22">
        <f t="shared" si="25"/>
        <v>1</v>
      </c>
      <c r="X33" s="28">
        <f>IF(OR(U33&lt;&gt;"",J33=""),"",IF(J33="LAB",INDEX(nMS_M_Lo,AB33),IF(OR(J33="TIMESTAMP",J33="DATE"),K33,IF(J33="MONTH",DATE(N33,O33,1),IF(J33="YEAR",DATE(N33,1,1),P33)))))</f>
        <v>46327</v>
      </c>
      <c r="Y33" s="28">
        <f>IF(OR(U33&lt;&gt;"",J33=""),"",IF(J33="LAB",INDEX(nMS_M_Hi,AC33),IF(OR(J33="TIMESTAMP",J33="DATE"),K33,IF(J33="MONTH",EOMONTH(DATE(N33,O33,1),0),IF(J33="YEAR",DATE(N33,12,31),Q33)))))</f>
        <v>46327</v>
      </c>
      <c r="Z33" s="22">
        <f t="shared" si="26"/>
        <v>66710970</v>
      </c>
      <c r="AA33" s="22">
        <f t="shared" si="27"/>
        <v>66711270</v>
      </c>
      <c r="AB33" s="22">
        <f>IF(R33="",0,IFERROR(MATCH(A33&amp;"|"&amp;B33&amp;"|"&amp;R33,nMS_Key,0),0))</f>
        <v>0</v>
      </c>
      <c r="AC33" s="22">
        <f>IF(S33="",0,IFERROR(MATCH(A33&amp;"|"&amp;B33&amp;"|"&amp;S33,nMS_Key,0),0))</f>
        <v>0</v>
      </c>
      <c r="AD33" s="21" t="str">
        <f>IF(J33&lt;&gt;"LAB","",IF(R33="","E_MISSING_INPUT",IF(AB33=0,"E_MISSING_INPUT",IF(INDEX(nMS_M_Lo,AB33)="",IF(INDEX(nMS_M_Err,AB33)="","E_MISSING_INPUT",INDEX(nMS_M_Err,AB33)),""))))</f>
        <v/>
      </c>
      <c r="AE33" s="21" t="str">
        <f>IF(J33&lt;&gt;"LAB","",IF(S33="","E_MISSING_INPUT",IF(AC33=0,"E_MISSING_INPUT",IF(INDEX(nMS_M_Lo,AC33)="",IF(INDEX(nMS_M_Err,AC33)="","E_MISSING_INPUT",INDEX(nMS_M_Err,AC33)),""))))</f>
        <v/>
      </c>
      <c r="AF33" s="21" t="str">
        <f>IF(J33&lt;&gt;"LAB","",IF(AND(AD33="",AE33=""),IF(IF(INDEX(nMS_M_HT,AB33)*INDEX(nMS_M_HT,AC33)=1,IF(INDEX(nMS_M_OK,AB33)*INDEX(nMS_M_OK,AC33)=1,INDEX(nMS_M_UTC,AB33)&gt;INDEX(nMS_M_UTC,AC33),INDEX(nMS_M_Loc,AB33)&gt;INDEX(nMS_M_Loc,AC33)),INDEX(nMS_M_Lo,AB33)&gt;INDEX(nMS_M_Hi,AC33)),"E_REVERSED_BOUNDS",""),MID(IF(OR(AD33="E_INVALID_DATE",AE33="E_INVALID_DATE"),"; E_INVALID_DATE","")&amp;IF(OR(AD33="E_REVERSED_BOUNDS",AE33="E_REVERSED_BOUNDS"),"; E_REVERSED_BOUNDS","")&amp;IF(OR(AD33="E_MISSING_INPUT",AE33="E_MISSING_INPUT"),"; E_MISSING_INPUT","")&amp;IF(OR(AD33="E_INVALID_UNIT",AE33="E_INVALID_UNIT"),"; E_INVALID_UNIT",""),3,99)))</f>
        <v/>
      </c>
      <c r="AG33" s="9"/>
      <c r="AH33" s="16"/>
      <c r="AI33" s="14"/>
      <c r="AJ33" s="25"/>
      <c r="AK33" s="9"/>
      <c r="AL33" s="11"/>
      <c r="AM33" s="11"/>
      <c r="AN33" s="14"/>
      <c r="AO33" s="14"/>
      <c r="AP33" s="9"/>
      <c r="AQ33" s="21" t="str">
        <f>IF(COUNTA(AH33:AO33)=0,"",IF(AH33="","E_MISSING_INPUT",IF(AH33="TIMESTAMP",IF(OR(AI33="",AJ33="",AK33=""),"E_MISSING_INPUT",IF(OR(NOT(ISNUMBER(AI33)),NOT(ISNUMBER(AJ33))),"E_INVALID_DATE",IF(OR(AI33&lt;&gt;INT(AI33),AJ33&lt;0,AJ33&gt;=1),"E_INVALID_DATE",IF(ISNA(MATCH(AK33,nLIST_Offset,0)),"E_INVALID_DATE","")))),IF(AH33="DATE",IF(AI33="","E_MISSING_INPUT",IF(NOT(ISNUMBER(AI33)),"E_INVALID_DATE",IF(AI33&lt;&gt;INT(AI33),"E_INVALID_DATE",""))),IF(AH33="MONTH",IF(OR(AL33="",AM33=""),"E_MISSING_INPUT",IF(OR(NOT(ISNUMBER(AL33)),NOT(ISNUMBER(AM33))),"E_INVALID_DATE",IF(OR(AL33&lt;1900,AL33&gt;9999,AL33&lt;&gt;INT(AL33),AM33&lt;1,AM33&gt;12,AM33&lt;&gt;INT(AM33)),"E_INVALID_DATE",""))),IF(AH33="YEAR",IF(AL33="","E_MISSING_INPUT",IF(NOT(ISNUMBER(AL33)),"E_INVALID_DATE",IF(OR(AL33&lt;1900,AL33&gt;9999,AL33&lt;&gt;INT(AL33)),"E_INVALID_DATE",""))),IF(AH33="RANGE",IF(OR(AN33="",AO33=""),"E_MISSING_INPUT",IF(OR(NOT(ISNUMBER(AN33)),NOT(ISNUMBER(AO33))),"E_INVALID_DATE",IF(OR(AN33&lt;&gt;INT(AN33),AO33&lt;&gt;INT(AO33)),"E_INVALID_DATE",IF(AN33&gt;AO33,"E_REVERSED_BOUNDS","")))),"E_MISSING_INPUT")))))))</f>
        <v/>
      </c>
      <c r="AR33" s="22">
        <f t="shared" si="28"/>
        <v>0</v>
      </c>
      <c r="AS33" s="22">
        <f t="shared" si="29"/>
        <v>0</v>
      </c>
      <c r="AT33" s="28" t="str">
        <f t="shared" si="30"/>
        <v/>
      </c>
      <c r="AU33" s="28" t="str">
        <f t="shared" si="31"/>
        <v/>
      </c>
      <c r="AV33" s="22" t="str">
        <f t="shared" si="32"/>
        <v/>
      </c>
      <c r="AW33" s="22" t="str">
        <f t="shared" si="33"/>
        <v/>
      </c>
      <c r="AX33" s="21" t="str">
        <f t="shared" si="34"/>
        <v>VEC-V09|1|EV1</v>
      </c>
      <c r="AY33" s="22">
        <f>IF(AX33="",0,COUNTIF(nEVT_Key,AX33))</f>
        <v>1</v>
      </c>
      <c r="AZ33" s="21" t="str">
        <f t="shared" si="35"/>
        <v/>
      </c>
      <c r="BA33" s="21" t="str">
        <f>IF(AZ33="","",AZ33&amp;": "&amp;SUBSTITUTE(IFERROR(INDEX(nMSG_Text,MATCH(AZ33,nMSG_Code,0)),""),"[input]",IF(D33="","an Episode_ID","the date fields required by the selected precision")))</f>
        <v/>
      </c>
    </row>
    <row r="34" spans="1:53" x14ac:dyDescent="0.2">
      <c r="A34" s="9" t="s">
        <v>327</v>
      </c>
      <c r="B34" s="11">
        <v>1</v>
      </c>
      <c r="C34" s="9" t="s">
        <v>728</v>
      </c>
      <c r="D34" s="9" t="s">
        <v>745</v>
      </c>
      <c r="E34" s="9" t="s">
        <v>746</v>
      </c>
      <c r="F34" s="9"/>
      <c r="G34" s="16"/>
      <c r="H34" s="9"/>
      <c r="I34" s="9" t="s">
        <v>753</v>
      </c>
      <c r="J34" s="16" t="s">
        <v>3</v>
      </c>
      <c r="K34" s="14">
        <v>46089</v>
      </c>
      <c r="L34" s="25">
        <v>0.14583333333333301</v>
      </c>
      <c r="M34" s="9" t="s">
        <v>11</v>
      </c>
      <c r="N34" s="11"/>
      <c r="O34" s="11"/>
      <c r="P34" s="14"/>
      <c r="Q34" s="14"/>
      <c r="R34" s="9"/>
      <c r="S34" s="9"/>
      <c r="T34" s="9" t="s">
        <v>544</v>
      </c>
      <c r="U34" s="21" t="str">
        <f>IF(COUNTA(J34:Q34)=0,"",IF(J34="","E_MISSING_INPUT",IF(J34="LAB",AF34,IF(J34="TIMESTAMP",IF(OR(K34="",L34="",M34=""),"E_MISSING_INPUT",IF(OR(NOT(ISNUMBER(K34)),NOT(ISNUMBER(L34))),"E_INVALID_DATE",IF(OR(K34&lt;&gt;INT(K34),L34&lt;0,L34&gt;=1),"E_INVALID_DATE",IF(ISNA(MATCH(M34,nLIST_Offset,0)),"E_INVALID_DATE","")))),IF(J34="DATE",IF(K34="","E_MISSING_INPUT",IF(NOT(ISNUMBER(K34)),"E_INVALID_DATE",IF(K34&lt;&gt;INT(K34),"E_INVALID_DATE",""))),IF(J34="MONTH",IF(OR(N34="",O34=""),"E_MISSING_INPUT",IF(OR(NOT(ISNUMBER(N34)),NOT(ISNUMBER(O34))),"E_INVALID_DATE",IF(OR(N34&lt;1900,N34&gt;9999,N34&lt;&gt;INT(N34),O34&lt;1,O34&gt;12,O34&lt;&gt;INT(O34)),"E_INVALID_DATE",""))),IF(J34="YEAR",IF(N34="","E_MISSING_INPUT",IF(NOT(ISNUMBER(N34)),"E_INVALID_DATE",IF(OR(N34&lt;1900,N34&gt;9999,N34&lt;&gt;INT(N34)),"E_INVALID_DATE",""))),IF(J34="RANGE",IF(OR(P34="",Q34=""),"E_MISSING_INPUT",IF(OR(NOT(ISNUMBER(P34)),NOT(ISNUMBER(Q34))),"E_INVALID_DATE",IF(OR(P34&lt;&gt;INT(P34),Q34&lt;&gt;INT(Q34)),"E_INVALID_DATE",IF(P34&gt;Q34,"E_REVERSED_BOUNDS","")))),"E_MISSING_INPUT"))))))))</f>
        <v/>
      </c>
      <c r="V34" s="22">
        <f t="shared" si="24"/>
        <v>1</v>
      </c>
      <c r="W34" s="22">
        <f t="shared" si="25"/>
        <v>0</v>
      </c>
      <c r="X34" s="28">
        <f>IF(OR(U34&lt;&gt;"",J34=""),"",IF(J34="LAB",INDEX(nMS_M_Lo,AB34),IF(OR(J34="TIMESTAMP",J34="DATE"),K34,IF(J34="MONTH",DATE(N34,O34,1),IF(J34="YEAR",DATE(N34,1,1),P34)))))</f>
        <v>46089</v>
      </c>
      <c r="Y34" s="28">
        <f>IF(OR(U34&lt;&gt;"",J34=""),"",IF(J34="LAB",INDEX(nMS_M_Hi,AC34),IF(OR(J34="TIMESTAMP",J34="DATE"),K34,IF(J34="MONTH",EOMONTH(DATE(N34,O34,1),0),IF(J34="YEAR",DATE(N34,12,31),Q34)))))</f>
        <v>46089</v>
      </c>
      <c r="Z34" s="22">
        <f t="shared" si="26"/>
        <v>66368370</v>
      </c>
      <c r="AA34" s="22" t="str">
        <f t="shared" si="27"/>
        <v/>
      </c>
      <c r="AB34" s="22">
        <f>IF(R34="",0,IFERROR(MATCH(A34&amp;"|"&amp;B34&amp;"|"&amp;R34,nMS_Key,0),0))</f>
        <v>0</v>
      </c>
      <c r="AC34" s="22">
        <f>IF(S34="",0,IFERROR(MATCH(A34&amp;"|"&amp;B34&amp;"|"&amp;S34,nMS_Key,0),0))</f>
        <v>0</v>
      </c>
      <c r="AD34" s="21" t="str">
        <f>IF(J34&lt;&gt;"LAB","",IF(R34="","E_MISSING_INPUT",IF(AB34=0,"E_MISSING_INPUT",IF(INDEX(nMS_M_Lo,AB34)="",IF(INDEX(nMS_M_Err,AB34)="","E_MISSING_INPUT",INDEX(nMS_M_Err,AB34)),""))))</f>
        <v/>
      </c>
      <c r="AE34" s="21" t="str">
        <f>IF(J34&lt;&gt;"LAB","",IF(S34="","E_MISSING_INPUT",IF(AC34=0,"E_MISSING_INPUT",IF(INDEX(nMS_M_Lo,AC34)="",IF(INDEX(nMS_M_Err,AC34)="","E_MISSING_INPUT",INDEX(nMS_M_Err,AC34)),""))))</f>
        <v/>
      </c>
      <c r="AF34" s="21" t="str">
        <f>IF(J34&lt;&gt;"LAB","",IF(AND(AD34="",AE34=""),IF(IF(INDEX(nMS_M_HT,AB34)*INDEX(nMS_M_HT,AC34)=1,IF(INDEX(nMS_M_OK,AB34)*INDEX(nMS_M_OK,AC34)=1,INDEX(nMS_M_UTC,AB34)&gt;INDEX(nMS_M_UTC,AC34),INDEX(nMS_M_Loc,AB34)&gt;INDEX(nMS_M_Loc,AC34)),INDEX(nMS_M_Lo,AB34)&gt;INDEX(nMS_M_Hi,AC34)),"E_REVERSED_BOUNDS",""),MID(IF(OR(AD34="E_INVALID_DATE",AE34="E_INVALID_DATE"),"; E_INVALID_DATE","")&amp;IF(OR(AD34="E_REVERSED_BOUNDS",AE34="E_REVERSED_BOUNDS"),"; E_REVERSED_BOUNDS","")&amp;IF(OR(AD34="E_MISSING_INPUT",AE34="E_MISSING_INPUT"),"; E_MISSING_INPUT","")&amp;IF(OR(AD34="E_INVALID_UNIT",AE34="E_INVALID_UNIT"),"; E_INVALID_UNIT",""),3,99)))</f>
        <v/>
      </c>
      <c r="AG34" s="9"/>
      <c r="AH34" s="16"/>
      <c r="AI34" s="14"/>
      <c r="AJ34" s="25"/>
      <c r="AK34" s="9"/>
      <c r="AL34" s="11"/>
      <c r="AM34" s="11"/>
      <c r="AN34" s="14"/>
      <c r="AO34" s="14"/>
      <c r="AP34" s="9"/>
      <c r="AQ34" s="21" t="str">
        <f>IF(COUNTA(AH34:AO34)=0,"",IF(AH34="","E_MISSING_INPUT",IF(AH34="TIMESTAMP",IF(OR(AI34="",AJ34="",AK34=""),"E_MISSING_INPUT",IF(OR(NOT(ISNUMBER(AI34)),NOT(ISNUMBER(AJ34))),"E_INVALID_DATE",IF(OR(AI34&lt;&gt;INT(AI34),AJ34&lt;0,AJ34&gt;=1),"E_INVALID_DATE",IF(ISNA(MATCH(AK34,nLIST_Offset,0)),"E_INVALID_DATE","")))),IF(AH34="DATE",IF(AI34="","E_MISSING_INPUT",IF(NOT(ISNUMBER(AI34)),"E_INVALID_DATE",IF(AI34&lt;&gt;INT(AI34),"E_INVALID_DATE",""))),IF(AH34="MONTH",IF(OR(AL34="",AM34=""),"E_MISSING_INPUT",IF(OR(NOT(ISNUMBER(AL34)),NOT(ISNUMBER(AM34))),"E_INVALID_DATE",IF(OR(AL34&lt;1900,AL34&gt;9999,AL34&lt;&gt;INT(AL34),AM34&lt;1,AM34&gt;12,AM34&lt;&gt;INT(AM34)),"E_INVALID_DATE",""))),IF(AH34="YEAR",IF(AL34="","E_MISSING_INPUT",IF(NOT(ISNUMBER(AL34)),"E_INVALID_DATE",IF(OR(AL34&lt;1900,AL34&gt;9999,AL34&lt;&gt;INT(AL34)),"E_INVALID_DATE",""))),IF(AH34="RANGE",IF(OR(AN34="",AO34=""),"E_MISSING_INPUT",IF(OR(NOT(ISNUMBER(AN34)),NOT(ISNUMBER(AO34))),"E_INVALID_DATE",IF(OR(AN34&lt;&gt;INT(AN34),AO34&lt;&gt;INT(AO34)),"E_INVALID_DATE",IF(AN34&gt;AO34,"E_REVERSED_BOUNDS","")))),"E_MISSING_INPUT")))))))</f>
        <v/>
      </c>
      <c r="AR34" s="22">
        <f t="shared" si="28"/>
        <v>0</v>
      </c>
      <c r="AS34" s="22">
        <f t="shared" si="29"/>
        <v>0</v>
      </c>
      <c r="AT34" s="28" t="str">
        <f t="shared" si="30"/>
        <v/>
      </c>
      <c r="AU34" s="28" t="str">
        <f t="shared" si="31"/>
        <v/>
      </c>
      <c r="AV34" s="22" t="str">
        <f t="shared" si="32"/>
        <v/>
      </c>
      <c r="AW34" s="22" t="str">
        <f t="shared" si="33"/>
        <v/>
      </c>
      <c r="AX34" s="21" t="str">
        <f t="shared" si="34"/>
        <v>VEC-V10|1|EV1</v>
      </c>
      <c r="AY34" s="22">
        <f>IF(AX34="",0,COUNTIF(nEVT_Key,AX34))</f>
        <v>1</v>
      </c>
      <c r="AZ34" s="21" t="str">
        <f t="shared" si="35"/>
        <v/>
      </c>
      <c r="BA34" s="21" t="str">
        <f>IF(AZ34="","",AZ34&amp;": "&amp;SUBSTITUTE(IFERROR(INDEX(nMSG_Text,MATCH(AZ34,nMSG_Code,0)),""),"[input]",IF(D34="","an Episode_ID","the date fields required by the selected precision")))</f>
        <v/>
      </c>
    </row>
    <row r="35" spans="1:53" x14ac:dyDescent="0.2">
      <c r="A35" s="9" t="s">
        <v>329</v>
      </c>
      <c r="B35" s="11">
        <v>1</v>
      </c>
      <c r="C35" s="9" t="s">
        <v>728</v>
      </c>
      <c r="D35" s="9" t="s">
        <v>745</v>
      </c>
      <c r="E35" s="9" t="s">
        <v>746</v>
      </c>
      <c r="F35" s="9"/>
      <c r="G35" s="16"/>
      <c r="H35" s="9"/>
      <c r="I35" s="9" t="s">
        <v>754</v>
      </c>
      <c r="J35" s="16" t="s">
        <v>3</v>
      </c>
      <c r="K35" s="14">
        <v>46113</v>
      </c>
      <c r="L35" s="25">
        <v>0.58333333333333304</v>
      </c>
      <c r="M35" s="9" t="s">
        <v>20</v>
      </c>
      <c r="N35" s="11"/>
      <c r="O35" s="11"/>
      <c r="P35" s="14"/>
      <c r="Q35" s="14"/>
      <c r="R35" s="9"/>
      <c r="S35" s="9"/>
      <c r="T35" s="9" t="s">
        <v>546</v>
      </c>
      <c r="U35" s="21" t="str">
        <f>IF(COUNTA(J35:Q35)=0,"",IF(J35="","E_MISSING_INPUT",IF(J35="LAB",AF35,IF(J35="TIMESTAMP",IF(OR(K35="",L35="",M35=""),"E_MISSING_INPUT",IF(OR(NOT(ISNUMBER(K35)),NOT(ISNUMBER(L35))),"E_INVALID_DATE",IF(OR(K35&lt;&gt;INT(K35),L35&lt;0,L35&gt;=1),"E_INVALID_DATE",IF(ISNA(MATCH(M35,nLIST_Offset,0)),"E_INVALID_DATE","")))),IF(J35="DATE",IF(K35="","E_MISSING_INPUT",IF(NOT(ISNUMBER(K35)),"E_INVALID_DATE",IF(K35&lt;&gt;INT(K35),"E_INVALID_DATE",""))),IF(J35="MONTH",IF(OR(N35="",O35=""),"E_MISSING_INPUT",IF(OR(NOT(ISNUMBER(N35)),NOT(ISNUMBER(O35))),"E_INVALID_DATE",IF(OR(N35&lt;1900,N35&gt;9999,N35&lt;&gt;INT(N35),O35&lt;1,O35&gt;12,O35&lt;&gt;INT(O35)),"E_INVALID_DATE",""))),IF(J35="YEAR",IF(N35="","E_MISSING_INPUT",IF(NOT(ISNUMBER(N35)),"E_INVALID_DATE",IF(OR(N35&lt;1900,N35&gt;9999,N35&lt;&gt;INT(N35)),"E_INVALID_DATE",""))),IF(J35="RANGE",IF(OR(P35="",Q35=""),"E_MISSING_INPUT",IF(OR(NOT(ISNUMBER(P35)),NOT(ISNUMBER(Q35))),"E_INVALID_DATE",IF(OR(P35&lt;&gt;INT(P35),Q35&lt;&gt;INT(Q35)),"E_INVALID_DATE",IF(P35&gt;Q35,"E_REVERSED_BOUNDS","")))),"E_MISSING_INPUT"))))))))</f>
        <v/>
      </c>
      <c r="V35" s="22">
        <f t="shared" si="24"/>
        <v>1</v>
      </c>
      <c r="W35" s="22">
        <f t="shared" si="25"/>
        <v>1</v>
      </c>
      <c r="X35" s="28">
        <f>IF(OR(U35&lt;&gt;"",J35=""),"",IF(J35="LAB",INDEX(nMS_M_Lo,AB35),IF(OR(J35="TIMESTAMP",J35="DATE"),K35,IF(J35="MONTH",DATE(N35,O35,1),IF(J35="YEAR",DATE(N35,1,1),P35)))))</f>
        <v>46113</v>
      </c>
      <c r="Y35" s="28">
        <f>IF(OR(U35&lt;&gt;"",J35=""),"",IF(J35="LAB",INDEX(nMS_M_Hi,AC35),IF(OR(J35="TIMESTAMP",J35="DATE"),K35,IF(J35="MONTH",EOMONTH(DATE(N35,O35,1),0),IF(J35="YEAR",DATE(N35,12,31),Q35)))))</f>
        <v>46113</v>
      </c>
      <c r="Z35" s="22">
        <f t="shared" si="26"/>
        <v>66403560</v>
      </c>
      <c r="AA35" s="22">
        <f t="shared" si="27"/>
        <v>66403860</v>
      </c>
      <c r="AB35" s="22">
        <f>IF(R35="",0,IFERROR(MATCH(A35&amp;"|"&amp;B35&amp;"|"&amp;R35,nMS_Key,0),0))</f>
        <v>0</v>
      </c>
      <c r="AC35" s="22">
        <f>IF(S35="",0,IFERROR(MATCH(A35&amp;"|"&amp;B35&amp;"|"&amp;S35,nMS_Key,0),0))</f>
        <v>0</v>
      </c>
      <c r="AD35" s="21" t="str">
        <f>IF(J35&lt;&gt;"LAB","",IF(R35="","E_MISSING_INPUT",IF(AB35=0,"E_MISSING_INPUT",IF(INDEX(nMS_M_Lo,AB35)="",IF(INDEX(nMS_M_Err,AB35)="","E_MISSING_INPUT",INDEX(nMS_M_Err,AB35)),""))))</f>
        <v/>
      </c>
      <c r="AE35" s="21" t="str">
        <f>IF(J35&lt;&gt;"LAB","",IF(S35="","E_MISSING_INPUT",IF(AC35=0,"E_MISSING_INPUT",IF(INDEX(nMS_M_Lo,AC35)="",IF(INDEX(nMS_M_Err,AC35)="","E_MISSING_INPUT",INDEX(nMS_M_Err,AC35)),""))))</f>
        <v/>
      </c>
      <c r="AF35" s="21" t="str">
        <f>IF(J35&lt;&gt;"LAB","",IF(AND(AD35="",AE35=""),IF(IF(INDEX(nMS_M_HT,AB35)*INDEX(nMS_M_HT,AC35)=1,IF(INDEX(nMS_M_OK,AB35)*INDEX(nMS_M_OK,AC35)=1,INDEX(nMS_M_UTC,AB35)&gt;INDEX(nMS_M_UTC,AC35),INDEX(nMS_M_Loc,AB35)&gt;INDEX(nMS_M_Loc,AC35)),INDEX(nMS_M_Lo,AB35)&gt;INDEX(nMS_M_Hi,AC35)),"E_REVERSED_BOUNDS",""),MID(IF(OR(AD35="E_INVALID_DATE",AE35="E_INVALID_DATE"),"; E_INVALID_DATE","")&amp;IF(OR(AD35="E_REVERSED_BOUNDS",AE35="E_REVERSED_BOUNDS"),"; E_REVERSED_BOUNDS","")&amp;IF(OR(AD35="E_MISSING_INPUT",AE35="E_MISSING_INPUT"),"; E_MISSING_INPUT","")&amp;IF(OR(AD35="E_INVALID_UNIT",AE35="E_INVALID_UNIT"),"; E_INVALID_UNIT",""),3,99)))</f>
        <v/>
      </c>
      <c r="AG35" s="9"/>
      <c r="AH35" s="16"/>
      <c r="AI35" s="14"/>
      <c r="AJ35" s="25"/>
      <c r="AK35" s="9"/>
      <c r="AL35" s="11"/>
      <c r="AM35" s="11"/>
      <c r="AN35" s="14"/>
      <c r="AO35" s="14"/>
      <c r="AP35" s="9"/>
      <c r="AQ35" s="21" t="str">
        <f>IF(COUNTA(AH35:AO35)=0,"",IF(AH35="","E_MISSING_INPUT",IF(AH35="TIMESTAMP",IF(OR(AI35="",AJ35="",AK35=""),"E_MISSING_INPUT",IF(OR(NOT(ISNUMBER(AI35)),NOT(ISNUMBER(AJ35))),"E_INVALID_DATE",IF(OR(AI35&lt;&gt;INT(AI35),AJ35&lt;0,AJ35&gt;=1),"E_INVALID_DATE",IF(ISNA(MATCH(AK35,nLIST_Offset,0)),"E_INVALID_DATE","")))),IF(AH35="DATE",IF(AI35="","E_MISSING_INPUT",IF(NOT(ISNUMBER(AI35)),"E_INVALID_DATE",IF(AI35&lt;&gt;INT(AI35),"E_INVALID_DATE",""))),IF(AH35="MONTH",IF(OR(AL35="",AM35=""),"E_MISSING_INPUT",IF(OR(NOT(ISNUMBER(AL35)),NOT(ISNUMBER(AM35))),"E_INVALID_DATE",IF(OR(AL35&lt;1900,AL35&gt;9999,AL35&lt;&gt;INT(AL35),AM35&lt;1,AM35&gt;12,AM35&lt;&gt;INT(AM35)),"E_INVALID_DATE",""))),IF(AH35="YEAR",IF(AL35="","E_MISSING_INPUT",IF(NOT(ISNUMBER(AL35)),"E_INVALID_DATE",IF(OR(AL35&lt;1900,AL35&gt;9999,AL35&lt;&gt;INT(AL35)),"E_INVALID_DATE",""))),IF(AH35="RANGE",IF(OR(AN35="",AO35=""),"E_MISSING_INPUT",IF(OR(NOT(ISNUMBER(AN35)),NOT(ISNUMBER(AO35))),"E_INVALID_DATE",IF(OR(AN35&lt;&gt;INT(AN35),AO35&lt;&gt;INT(AO35)),"E_INVALID_DATE",IF(AN35&gt;AO35,"E_REVERSED_BOUNDS","")))),"E_MISSING_INPUT")))))))</f>
        <v/>
      </c>
      <c r="AR35" s="22">
        <f t="shared" si="28"/>
        <v>0</v>
      </c>
      <c r="AS35" s="22">
        <f t="shared" si="29"/>
        <v>0</v>
      </c>
      <c r="AT35" s="28" t="str">
        <f t="shared" si="30"/>
        <v/>
      </c>
      <c r="AU35" s="28" t="str">
        <f t="shared" si="31"/>
        <v/>
      </c>
      <c r="AV35" s="22" t="str">
        <f t="shared" si="32"/>
        <v/>
      </c>
      <c r="AW35" s="22" t="str">
        <f t="shared" si="33"/>
        <v/>
      </c>
      <c r="AX35" s="21" t="str">
        <f t="shared" si="34"/>
        <v>VEC-V11|1|EV1</v>
      </c>
      <c r="AY35" s="22">
        <f>IF(AX35="",0,COUNTIF(nEVT_Key,AX35))</f>
        <v>1</v>
      </c>
      <c r="AZ35" s="21" t="str">
        <f t="shared" si="35"/>
        <v/>
      </c>
      <c r="BA35" s="21" t="str">
        <f>IF(AZ35="","",AZ35&amp;": "&amp;SUBSTITUTE(IFERROR(INDEX(nMSG_Text,MATCH(AZ35,nMSG_Code,0)),""),"[input]",IF(D35="","an Episode_ID","the date fields required by the selected precision")))</f>
        <v/>
      </c>
    </row>
    <row r="36" spans="1:53" x14ac:dyDescent="0.2">
      <c r="A36" s="9" t="s">
        <v>331</v>
      </c>
      <c r="B36" s="11">
        <v>1</v>
      </c>
      <c r="C36" s="9" t="s">
        <v>728</v>
      </c>
      <c r="D36" s="9" t="s">
        <v>745</v>
      </c>
      <c r="E36" s="9" t="s">
        <v>746</v>
      </c>
      <c r="F36" s="9"/>
      <c r="G36" s="16"/>
      <c r="H36" s="9"/>
      <c r="I36" s="9" t="s">
        <v>755</v>
      </c>
      <c r="J36" s="16" t="s">
        <v>4</v>
      </c>
      <c r="K36" s="14">
        <v>46152</v>
      </c>
      <c r="L36" s="25"/>
      <c r="M36" s="9"/>
      <c r="N36" s="11"/>
      <c r="O36" s="11"/>
      <c r="P36" s="14"/>
      <c r="Q36" s="14"/>
      <c r="R36" s="9"/>
      <c r="S36" s="9"/>
      <c r="T36" s="9" t="s">
        <v>548</v>
      </c>
      <c r="U36" s="21" t="str">
        <f>IF(COUNTA(J36:Q36)=0,"",IF(J36="","E_MISSING_INPUT",IF(J36="LAB",AF36,IF(J36="TIMESTAMP",IF(OR(K36="",L36="",M36=""),"E_MISSING_INPUT",IF(OR(NOT(ISNUMBER(K36)),NOT(ISNUMBER(L36))),"E_INVALID_DATE",IF(OR(K36&lt;&gt;INT(K36),L36&lt;0,L36&gt;=1),"E_INVALID_DATE",IF(ISNA(MATCH(M36,nLIST_Offset,0)),"E_INVALID_DATE","")))),IF(J36="DATE",IF(K36="","E_MISSING_INPUT",IF(NOT(ISNUMBER(K36)),"E_INVALID_DATE",IF(K36&lt;&gt;INT(K36),"E_INVALID_DATE",""))),IF(J36="MONTH",IF(OR(N36="",O36=""),"E_MISSING_INPUT",IF(OR(NOT(ISNUMBER(N36)),NOT(ISNUMBER(O36))),"E_INVALID_DATE",IF(OR(N36&lt;1900,N36&gt;9999,N36&lt;&gt;INT(N36),O36&lt;1,O36&gt;12,O36&lt;&gt;INT(O36)),"E_INVALID_DATE",""))),IF(J36="YEAR",IF(N36="","E_MISSING_INPUT",IF(NOT(ISNUMBER(N36)),"E_INVALID_DATE",IF(OR(N36&lt;1900,N36&gt;9999,N36&lt;&gt;INT(N36)),"E_INVALID_DATE",""))),IF(J36="RANGE",IF(OR(P36="",Q36=""),"E_MISSING_INPUT",IF(OR(NOT(ISNUMBER(P36)),NOT(ISNUMBER(Q36))),"E_INVALID_DATE",IF(OR(P36&lt;&gt;INT(P36),Q36&lt;&gt;INT(Q36)),"E_INVALID_DATE",IF(P36&gt;Q36,"E_REVERSED_BOUNDS","")))),"E_MISSING_INPUT"))))))))</f>
        <v/>
      </c>
      <c r="V36" s="22">
        <f t="shared" si="24"/>
        <v>0</v>
      </c>
      <c r="W36" s="22">
        <f t="shared" si="25"/>
        <v>0</v>
      </c>
      <c r="X36" s="28">
        <f>IF(OR(U36&lt;&gt;"",J36=""),"",IF(J36="LAB",INDEX(nMS_M_Lo,AB36),IF(OR(J36="TIMESTAMP",J36="DATE"),K36,IF(J36="MONTH",DATE(N36,O36,1),IF(J36="YEAR",DATE(N36,1,1),P36)))))</f>
        <v>46152</v>
      </c>
      <c r="Y36" s="28">
        <f>IF(OR(U36&lt;&gt;"",J36=""),"",IF(J36="LAB",INDEX(nMS_M_Hi,AC36),IF(OR(J36="TIMESTAMP",J36="DATE"),K36,IF(J36="MONTH",EOMONTH(DATE(N36,O36,1),0),IF(J36="YEAR",DATE(N36,12,31),Q36)))))</f>
        <v>46152</v>
      </c>
      <c r="Z36" s="22" t="str">
        <f t="shared" si="26"/>
        <v/>
      </c>
      <c r="AA36" s="22" t="str">
        <f t="shared" si="27"/>
        <v/>
      </c>
      <c r="AB36" s="22">
        <f>IF(R36="",0,IFERROR(MATCH(A36&amp;"|"&amp;B36&amp;"|"&amp;R36,nMS_Key,0),0))</f>
        <v>0</v>
      </c>
      <c r="AC36" s="22">
        <f>IF(S36="",0,IFERROR(MATCH(A36&amp;"|"&amp;B36&amp;"|"&amp;S36,nMS_Key,0),0))</f>
        <v>0</v>
      </c>
      <c r="AD36" s="21" t="str">
        <f>IF(J36&lt;&gt;"LAB","",IF(R36="","E_MISSING_INPUT",IF(AB36=0,"E_MISSING_INPUT",IF(INDEX(nMS_M_Lo,AB36)="",IF(INDEX(nMS_M_Err,AB36)="","E_MISSING_INPUT",INDEX(nMS_M_Err,AB36)),""))))</f>
        <v/>
      </c>
      <c r="AE36" s="21" t="str">
        <f>IF(J36&lt;&gt;"LAB","",IF(S36="","E_MISSING_INPUT",IF(AC36=0,"E_MISSING_INPUT",IF(INDEX(nMS_M_Lo,AC36)="",IF(INDEX(nMS_M_Err,AC36)="","E_MISSING_INPUT",INDEX(nMS_M_Err,AC36)),""))))</f>
        <v/>
      </c>
      <c r="AF36" s="21" t="str">
        <f>IF(J36&lt;&gt;"LAB","",IF(AND(AD36="",AE36=""),IF(IF(INDEX(nMS_M_HT,AB36)*INDEX(nMS_M_HT,AC36)=1,IF(INDEX(nMS_M_OK,AB36)*INDEX(nMS_M_OK,AC36)=1,INDEX(nMS_M_UTC,AB36)&gt;INDEX(nMS_M_UTC,AC36),INDEX(nMS_M_Loc,AB36)&gt;INDEX(nMS_M_Loc,AC36)),INDEX(nMS_M_Lo,AB36)&gt;INDEX(nMS_M_Hi,AC36)),"E_REVERSED_BOUNDS",""),MID(IF(OR(AD36="E_INVALID_DATE",AE36="E_INVALID_DATE"),"; E_INVALID_DATE","")&amp;IF(OR(AD36="E_REVERSED_BOUNDS",AE36="E_REVERSED_BOUNDS"),"; E_REVERSED_BOUNDS","")&amp;IF(OR(AD36="E_MISSING_INPUT",AE36="E_MISSING_INPUT"),"; E_MISSING_INPUT","")&amp;IF(OR(AD36="E_INVALID_UNIT",AE36="E_INVALID_UNIT"),"; E_INVALID_UNIT",""),3,99)))</f>
        <v/>
      </c>
      <c r="AG36" s="9"/>
      <c r="AH36" s="16"/>
      <c r="AI36" s="14"/>
      <c r="AJ36" s="25"/>
      <c r="AK36" s="9"/>
      <c r="AL36" s="11"/>
      <c r="AM36" s="11"/>
      <c r="AN36" s="14"/>
      <c r="AO36" s="14"/>
      <c r="AP36" s="9"/>
      <c r="AQ36" s="21" t="str">
        <f>IF(COUNTA(AH36:AO36)=0,"",IF(AH36="","E_MISSING_INPUT",IF(AH36="TIMESTAMP",IF(OR(AI36="",AJ36="",AK36=""),"E_MISSING_INPUT",IF(OR(NOT(ISNUMBER(AI36)),NOT(ISNUMBER(AJ36))),"E_INVALID_DATE",IF(OR(AI36&lt;&gt;INT(AI36),AJ36&lt;0,AJ36&gt;=1),"E_INVALID_DATE",IF(ISNA(MATCH(AK36,nLIST_Offset,0)),"E_INVALID_DATE","")))),IF(AH36="DATE",IF(AI36="","E_MISSING_INPUT",IF(NOT(ISNUMBER(AI36)),"E_INVALID_DATE",IF(AI36&lt;&gt;INT(AI36),"E_INVALID_DATE",""))),IF(AH36="MONTH",IF(OR(AL36="",AM36=""),"E_MISSING_INPUT",IF(OR(NOT(ISNUMBER(AL36)),NOT(ISNUMBER(AM36))),"E_INVALID_DATE",IF(OR(AL36&lt;1900,AL36&gt;9999,AL36&lt;&gt;INT(AL36),AM36&lt;1,AM36&gt;12,AM36&lt;&gt;INT(AM36)),"E_INVALID_DATE",""))),IF(AH36="YEAR",IF(AL36="","E_MISSING_INPUT",IF(NOT(ISNUMBER(AL36)),"E_INVALID_DATE",IF(OR(AL36&lt;1900,AL36&gt;9999,AL36&lt;&gt;INT(AL36)),"E_INVALID_DATE",""))),IF(AH36="RANGE",IF(OR(AN36="",AO36=""),"E_MISSING_INPUT",IF(OR(NOT(ISNUMBER(AN36)),NOT(ISNUMBER(AO36))),"E_INVALID_DATE",IF(OR(AN36&lt;&gt;INT(AN36),AO36&lt;&gt;INT(AO36)),"E_INVALID_DATE",IF(AN36&gt;AO36,"E_REVERSED_BOUNDS","")))),"E_MISSING_INPUT")))))))</f>
        <v/>
      </c>
      <c r="AR36" s="22">
        <f t="shared" si="28"/>
        <v>0</v>
      </c>
      <c r="AS36" s="22">
        <f t="shared" si="29"/>
        <v>0</v>
      </c>
      <c r="AT36" s="28" t="str">
        <f t="shared" si="30"/>
        <v/>
      </c>
      <c r="AU36" s="28" t="str">
        <f t="shared" si="31"/>
        <v/>
      </c>
      <c r="AV36" s="22" t="str">
        <f t="shared" si="32"/>
        <v/>
      </c>
      <c r="AW36" s="22" t="str">
        <f t="shared" si="33"/>
        <v/>
      </c>
      <c r="AX36" s="21" t="str">
        <f t="shared" si="34"/>
        <v>VEC-V12|1|EV1</v>
      </c>
      <c r="AY36" s="22">
        <f>IF(AX36="",0,COUNTIF(nEVT_Key,AX36))</f>
        <v>1</v>
      </c>
      <c r="AZ36" s="21" t="str">
        <f t="shared" si="35"/>
        <v/>
      </c>
      <c r="BA36" s="21" t="str">
        <f>IF(AZ36="","",AZ36&amp;": "&amp;SUBSTITUTE(IFERROR(INDEX(nMSG_Text,MATCH(AZ36,nMSG_Code,0)),""),"[input]",IF(D36="","an Episode_ID","the date fields required by the selected precision")))</f>
        <v/>
      </c>
    </row>
    <row r="37" spans="1:53" x14ac:dyDescent="0.2">
      <c r="A37" s="9" t="s">
        <v>331</v>
      </c>
      <c r="B37" s="11">
        <v>2</v>
      </c>
      <c r="C37" s="9" t="s">
        <v>728</v>
      </c>
      <c r="D37" s="9" t="s">
        <v>745</v>
      </c>
      <c r="E37" s="9" t="s">
        <v>746</v>
      </c>
      <c r="F37" s="9"/>
      <c r="G37" s="16"/>
      <c r="H37" s="9"/>
      <c r="I37" s="9" t="s">
        <v>756</v>
      </c>
      <c r="J37" s="16" t="s">
        <v>4</v>
      </c>
      <c r="K37" s="14">
        <v>46150</v>
      </c>
      <c r="L37" s="25"/>
      <c r="M37" s="9"/>
      <c r="N37" s="11"/>
      <c r="O37" s="11"/>
      <c r="P37" s="14"/>
      <c r="Q37" s="14"/>
      <c r="R37" s="9"/>
      <c r="S37" s="9"/>
      <c r="T37" s="9" t="s">
        <v>548</v>
      </c>
      <c r="U37" s="21" t="str">
        <f>IF(COUNTA(J37:Q37)=0,"",IF(J37="","E_MISSING_INPUT",IF(J37="LAB",AF37,IF(J37="TIMESTAMP",IF(OR(K37="",L37="",M37=""),"E_MISSING_INPUT",IF(OR(NOT(ISNUMBER(K37)),NOT(ISNUMBER(L37))),"E_INVALID_DATE",IF(OR(K37&lt;&gt;INT(K37),L37&lt;0,L37&gt;=1),"E_INVALID_DATE",IF(ISNA(MATCH(M37,nLIST_Offset,0)),"E_INVALID_DATE","")))),IF(J37="DATE",IF(K37="","E_MISSING_INPUT",IF(NOT(ISNUMBER(K37)),"E_INVALID_DATE",IF(K37&lt;&gt;INT(K37),"E_INVALID_DATE",""))),IF(J37="MONTH",IF(OR(N37="",O37=""),"E_MISSING_INPUT",IF(OR(NOT(ISNUMBER(N37)),NOT(ISNUMBER(O37))),"E_INVALID_DATE",IF(OR(N37&lt;1900,N37&gt;9999,N37&lt;&gt;INT(N37),O37&lt;1,O37&gt;12,O37&lt;&gt;INT(O37)),"E_INVALID_DATE",""))),IF(J37="YEAR",IF(N37="","E_MISSING_INPUT",IF(NOT(ISNUMBER(N37)),"E_INVALID_DATE",IF(OR(N37&lt;1900,N37&gt;9999,N37&lt;&gt;INT(N37)),"E_INVALID_DATE",""))),IF(J37="RANGE",IF(OR(P37="",Q37=""),"E_MISSING_INPUT",IF(OR(NOT(ISNUMBER(P37)),NOT(ISNUMBER(Q37))),"E_INVALID_DATE",IF(OR(P37&lt;&gt;INT(P37),Q37&lt;&gt;INT(Q37)),"E_INVALID_DATE",IF(P37&gt;Q37,"E_REVERSED_BOUNDS","")))),"E_MISSING_INPUT"))))))))</f>
        <v/>
      </c>
      <c r="V37" s="22">
        <f t="shared" si="24"/>
        <v>0</v>
      </c>
      <c r="W37" s="22">
        <f t="shared" si="25"/>
        <v>0</v>
      </c>
      <c r="X37" s="28">
        <f>IF(OR(U37&lt;&gt;"",J37=""),"",IF(J37="LAB",INDEX(nMS_M_Lo,AB37),IF(OR(J37="TIMESTAMP",J37="DATE"),K37,IF(J37="MONTH",DATE(N37,O37,1),IF(J37="YEAR",DATE(N37,1,1),P37)))))</f>
        <v>46150</v>
      </c>
      <c r="Y37" s="28">
        <f>IF(OR(U37&lt;&gt;"",J37=""),"",IF(J37="LAB",INDEX(nMS_M_Hi,AC37),IF(OR(J37="TIMESTAMP",J37="DATE"),K37,IF(J37="MONTH",EOMONTH(DATE(N37,O37,1),0),IF(J37="YEAR",DATE(N37,12,31),Q37)))))</f>
        <v>46150</v>
      </c>
      <c r="Z37" s="22" t="str">
        <f t="shared" si="26"/>
        <v/>
      </c>
      <c r="AA37" s="22" t="str">
        <f t="shared" si="27"/>
        <v/>
      </c>
      <c r="AB37" s="22">
        <f>IF(R37="",0,IFERROR(MATCH(A37&amp;"|"&amp;B37&amp;"|"&amp;R37,nMS_Key,0),0))</f>
        <v>0</v>
      </c>
      <c r="AC37" s="22">
        <f>IF(S37="",0,IFERROR(MATCH(A37&amp;"|"&amp;B37&amp;"|"&amp;S37,nMS_Key,0),0))</f>
        <v>0</v>
      </c>
      <c r="AD37" s="21" t="str">
        <f>IF(J37&lt;&gt;"LAB","",IF(R37="","E_MISSING_INPUT",IF(AB37=0,"E_MISSING_INPUT",IF(INDEX(nMS_M_Lo,AB37)="",IF(INDEX(nMS_M_Err,AB37)="","E_MISSING_INPUT",INDEX(nMS_M_Err,AB37)),""))))</f>
        <v/>
      </c>
      <c r="AE37" s="21" t="str">
        <f>IF(J37&lt;&gt;"LAB","",IF(S37="","E_MISSING_INPUT",IF(AC37=0,"E_MISSING_INPUT",IF(INDEX(nMS_M_Lo,AC37)="",IF(INDEX(nMS_M_Err,AC37)="","E_MISSING_INPUT",INDEX(nMS_M_Err,AC37)),""))))</f>
        <v/>
      </c>
      <c r="AF37" s="21" t="str">
        <f>IF(J37&lt;&gt;"LAB","",IF(AND(AD37="",AE37=""),IF(IF(INDEX(nMS_M_HT,AB37)*INDEX(nMS_M_HT,AC37)=1,IF(INDEX(nMS_M_OK,AB37)*INDEX(nMS_M_OK,AC37)=1,INDEX(nMS_M_UTC,AB37)&gt;INDEX(nMS_M_UTC,AC37),INDEX(nMS_M_Loc,AB37)&gt;INDEX(nMS_M_Loc,AC37)),INDEX(nMS_M_Lo,AB37)&gt;INDEX(nMS_M_Hi,AC37)),"E_REVERSED_BOUNDS",""),MID(IF(OR(AD37="E_INVALID_DATE",AE37="E_INVALID_DATE"),"; E_INVALID_DATE","")&amp;IF(OR(AD37="E_REVERSED_BOUNDS",AE37="E_REVERSED_BOUNDS"),"; E_REVERSED_BOUNDS","")&amp;IF(OR(AD37="E_MISSING_INPUT",AE37="E_MISSING_INPUT"),"; E_MISSING_INPUT","")&amp;IF(OR(AD37="E_INVALID_UNIT",AE37="E_INVALID_UNIT"),"; E_INVALID_UNIT",""),3,99)))</f>
        <v/>
      </c>
      <c r="AG37" s="9"/>
      <c r="AH37" s="16"/>
      <c r="AI37" s="14"/>
      <c r="AJ37" s="25"/>
      <c r="AK37" s="9"/>
      <c r="AL37" s="11"/>
      <c r="AM37" s="11"/>
      <c r="AN37" s="14"/>
      <c r="AO37" s="14"/>
      <c r="AP37" s="9"/>
      <c r="AQ37" s="21" t="str">
        <f>IF(COUNTA(AH37:AO37)=0,"",IF(AH37="","E_MISSING_INPUT",IF(AH37="TIMESTAMP",IF(OR(AI37="",AJ37="",AK37=""),"E_MISSING_INPUT",IF(OR(NOT(ISNUMBER(AI37)),NOT(ISNUMBER(AJ37))),"E_INVALID_DATE",IF(OR(AI37&lt;&gt;INT(AI37),AJ37&lt;0,AJ37&gt;=1),"E_INVALID_DATE",IF(ISNA(MATCH(AK37,nLIST_Offset,0)),"E_INVALID_DATE","")))),IF(AH37="DATE",IF(AI37="","E_MISSING_INPUT",IF(NOT(ISNUMBER(AI37)),"E_INVALID_DATE",IF(AI37&lt;&gt;INT(AI37),"E_INVALID_DATE",""))),IF(AH37="MONTH",IF(OR(AL37="",AM37=""),"E_MISSING_INPUT",IF(OR(NOT(ISNUMBER(AL37)),NOT(ISNUMBER(AM37))),"E_INVALID_DATE",IF(OR(AL37&lt;1900,AL37&gt;9999,AL37&lt;&gt;INT(AL37),AM37&lt;1,AM37&gt;12,AM37&lt;&gt;INT(AM37)),"E_INVALID_DATE",""))),IF(AH37="YEAR",IF(AL37="","E_MISSING_INPUT",IF(NOT(ISNUMBER(AL37)),"E_INVALID_DATE",IF(OR(AL37&lt;1900,AL37&gt;9999,AL37&lt;&gt;INT(AL37)),"E_INVALID_DATE",""))),IF(AH37="RANGE",IF(OR(AN37="",AO37=""),"E_MISSING_INPUT",IF(OR(NOT(ISNUMBER(AN37)),NOT(ISNUMBER(AO37))),"E_INVALID_DATE",IF(OR(AN37&lt;&gt;INT(AN37),AO37&lt;&gt;INT(AO37)),"E_INVALID_DATE",IF(AN37&gt;AO37,"E_REVERSED_BOUNDS","")))),"E_MISSING_INPUT")))))))</f>
        <v/>
      </c>
      <c r="AR37" s="22">
        <f t="shared" si="28"/>
        <v>0</v>
      </c>
      <c r="AS37" s="22">
        <f t="shared" si="29"/>
        <v>0</v>
      </c>
      <c r="AT37" s="28" t="str">
        <f t="shared" si="30"/>
        <v/>
      </c>
      <c r="AU37" s="28" t="str">
        <f t="shared" si="31"/>
        <v/>
      </c>
      <c r="AV37" s="22" t="str">
        <f t="shared" si="32"/>
        <v/>
      </c>
      <c r="AW37" s="22" t="str">
        <f t="shared" si="33"/>
        <v/>
      </c>
      <c r="AX37" s="21" t="str">
        <f t="shared" si="34"/>
        <v>VEC-V12|2|EV1</v>
      </c>
      <c r="AY37" s="22">
        <f>IF(AX37="",0,COUNTIF(nEVT_Key,AX37))</f>
        <v>1</v>
      </c>
      <c r="AZ37" s="21" t="str">
        <f t="shared" si="35"/>
        <v/>
      </c>
      <c r="BA37" s="21" t="str">
        <f>IF(AZ37="","",AZ37&amp;": "&amp;SUBSTITUTE(IFERROR(INDEX(nMSG_Text,MATCH(AZ37,nMSG_Code,0)),""),"[input]",IF(D37="","an Episode_ID","the date fields required by the selected precision")))</f>
        <v/>
      </c>
    </row>
    <row r="38" spans="1:53" x14ac:dyDescent="0.2">
      <c r="A38" s="9" t="s">
        <v>335</v>
      </c>
      <c r="B38" s="11">
        <v>1</v>
      </c>
      <c r="C38" s="9" t="s">
        <v>728</v>
      </c>
      <c r="D38" s="9" t="s">
        <v>745</v>
      </c>
      <c r="E38" s="9" t="s">
        <v>746</v>
      </c>
      <c r="F38" s="9"/>
      <c r="G38" s="16"/>
      <c r="H38" s="9"/>
      <c r="I38" s="9" t="s">
        <v>757</v>
      </c>
      <c r="J38" s="16" t="s">
        <v>4</v>
      </c>
      <c r="K38" s="29" t="s">
        <v>758</v>
      </c>
      <c r="L38" s="25"/>
      <c r="M38" s="9"/>
      <c r="N38" s="11"/>
      <c r="O38" s="11"/>
      <c r="P38" s="14"/>
      <c r="Q38" s="14"/>
      <c r="R38" s="9"/>
      <c r="S38" s="9"/>
      <c r="T38" s="9" t="s">
        <v>550</v>
      </c>
      <c r="U38" s="21" t="str">
        <f>IF(COUNTA(J38:Q38)=0,"",IF(J38="","E_MISSING_INPUT",IF(J38="LAB",AF38,IF(J38="TIMESTAMP",IF(OR(K38="",L38="",M38=""),"E_MISSING_INPUT",IF(OR(NOT(ISNUMBER(K38)),NOT(ISNUMBER(L38))),"E_INVALID_DATE",IF(OR(K38&lt;&gt;INT(K38),L38&lt;0,L38&gt;=1),"E_INVALID_DATE",IF(ISNA(MATCH(M38,nLIST_Offset,0)),"E_INVALID_DATE","")))),IF(J38="DATE",IF(K38="","E_MISSING_INPUT",IF(NOT(ISNUMBER(K38)),"E_INVALID_DATE",IF(K38&lt;&gt;INT(K38),"E_INVALID_DATE",""))),IF(J38="MONTH",IF(OR(N38="",O38=""),"E_MISSING_INPUT",IF(OR(NOT(ISNUMBER(N38)),NOT(ISNUMBER(O38))),"E_INVALID_DATE",IF(OR(N38&lt;1900,N38&gt;9999,N38&lt;&gt;INT(N38),O38&lt;1,O38&gt;12,O38&lt;&gt;INT(O38)),"E_INVALID_DATE",""))),IF(J38="YEAR",IF(N38="","E_MISSING_INPUT",IF(NOT(ISNUMBER(N38)),"E_INVALID_DATE",IF(OR(N38&lt;1900,N38&gt;9999,N38&lt;&gt;INT(N38)),"E_INVALID_DATE",""))),IF(J38="RANGE",IF(OR(P38="",Q38=""),"E_MISSING_INPUT",IF(OR(NOT(ISNUMBER(P38)),NOT(ISNUMBER(Q38))),"E_INVALID_DATE",IF(OR(P38&lt;&gt;INT(P38),Q38&lt;&gt;INT(Q38)),"E_INVALID_DATE",IF(P38&gt;Q38,"E_REVERSED_BOUNDS","")))),"E_MISSING_INPUT"))))))))</f>
        <v>E_INVALID_DATE</v>
      </c>
      <c r="V38" s="22">
        <f t="shared" si="24"/>
        <v>0</v>
      </c>
      <c r="W38" s="22">
        <f t="shared" si="25"/>
        <v>0</v>
      </c>
      <c r="X38" s="28" t="str">
        <f>IF(OR(U38&lt;&gt;"",J38=""),"",IF(J38="LAB",INDEX(nMS_M_Lo,AB38),IF(OR(J38="TIMESTAMP",J38="DATE"),K38,IF(J38="MONTH",DATE(N38,O38,1),IF(J38="YEAR",DATE(N38,1,1),P38)))))</f>
        <v/>
      </c>
      <c r="Y38" s="28" t="str">
        <f>IF(OR(U38&lt;&gt;"",J38=""),"",IF(J38="LAB",INDEX(nMS_M_Hi,AC38),IF(OR(J38="TIMESTAMP",J38="DATE"),K38,IF(J38="MONTH",EOMONTH(DATE(N38,O38,1),0),IF(J38="YEAR",DATE(N38,12,31),Q38)))))</f>
        <v/>
      </c>
      <c r="Z38" s="22" t="str">
        <f t="shared" si="26"/>
        <v/>
      </c>
      <c r="AA38" s="22" t="str">
        <f t="shared" si="27"/>
        <v/>
      </c>
      <c r="AB38" s="22">
        <f>IF(R38="",0,IFERROR(MATCH(A38&amp;"|"&amp;B38&amp;"|"&amp;R38,nMS_Key,0),0))</f>
        <v>0</v>
      </c>
      <c r="AC38" s="22">
        <f>IF(S38="",0,IFERROR(MATCH(A38&amp;"|"&amp;B38&amp;"|"&amp;S38,nMS_Key,0),0))</f>
        <v>0</v>
      </c>
      <c r="AD38" s="21" t="str">
        <f>IF(J38&lt;&gt;"LAB","",IF(R38="","E_MISSING_INPUT",IF(AB38=0,"E_MISSING_INPUT",IF(INDEX(nMS_M_Lo,AB38)="",IF(INDEX(nMS_M_Err,AB38)="","E_MISSING_INPUT",INDEX(nMS_M_Err,AB38)),""))))</f>
        <v/>
      </c>
      <c r="AE38" s="21" t="str">
        <f>IF(J38&lt;&gt;"LAB","",IF(S38="","E_MISSING_INPUT",IF(AC38=0,"E_MISSING_INPUT",IF(INDEX(nMS_M_Lo,AC38)="",IF(INDEX(nMS_M_Err,AC38)="","E_MISSING_INPUT",INDEX(nMS_M_Err,AC38)),""))))</f>
        <v/>
      </c>
      <c r="AF38" s="21" t="str">
        <f>IF(J38&lt;&gt;"LAB","",IF(AND(AD38="",AE38=""),IF(IF(INDEX(nMS_M_HT,AB38)*INDEX(nMS_M_HT,AC38)=1,IF(INDEX(nMS_M_OK,AB38)*INDEX(nMS_M_OK,AC38)=1,INDEX(nMS_M_UTC,AB38)&gt;INDEX(nMS_M_UTC,AC38),INDEX(nMS_M_Loc,AB38)&gt;INDEX(nMS_M_Loc,AC38)),INDEX(nMS_M_Lo,AB38)&gt;INDEX(nMS_M_Hi,AC38)),"E_REVERSED_BOUNDS",""),MID(IF(OR(AD38="E_INVALID_DATE",AE38="E_INVALID_DATE"),"; E_INVALID_DATE","")&amp;IF(OR(AD38="E_REVERSED_BOUNDS",AE38="E_REVERSED_BOUNDS"),"; E_REVERSED_BOUNDS","")&amp;IF(OR(AD38="E_MISSING_INPUT",AE38="E_MISSING_INPUT"),"; E_MISSING_INPUT","")&amp;IF(OR(AD38="E_INVALID_UNIT",AE38="E_INVALID_UNIT"),"; E_INVALID_UNIT",""),3,99)))</f>
        <v/>
      </c>
      <c r="AG38" s="9"/>
      <c r="AH38" s="16"/>
      <c r="AI38" s="14"/>
      <c r="AJ38" s="25"/>
      <c r="AK38" s="9"/>
      <c r="AL38" s="11"/>
      <c r="AM38" s="11"/>
      <c r="AN38" s="14"/>
      <c r="AO38" s="14"/>
      <c r="AP38" s="9"/>
      <c r="AQ38" s="21" t="str">
        <f>IF(COUNTA(AH38:AO38)=0,"",IF(AH38="","E_MISSING_INPUT",IF(AH38="TIMESTAMP",IF(OR(AI38="",AJ38="",AK38=""),"E_MISSING_INPUT",IF(OR(NOT(ISNUMBER(AI38)),NOT(ISNUMBER(AJ38))),"E_INVALID_DATE",IF(OR(AI38&lt;&gt;INT(AI38),AJ38&lt;0,AJ38&gt;=1),"E_INVALID_DATE",IF(ISNA(MATCH(AK38,nLIST_Offset,0)),"E_INVALID_DATE","")))),IF(AH38="DATE",IF(AI38="","E_MISSING_INPUT",IF(NOT(ISNUMBER(AI38)),"E_INVALID_DATE",IF(AI38&lt;&gt;INT(AI38),"E_INVALID_DATE",""))),IF(AH38="MONTH",IF(OR(AL38="",AM38=""),"E_MISSING_INPUT",IF(OR(NOT(ISNUMBER(AL38)),NOT(ISNUMBER(AM38))),"E_INVALID_DATE",IF(OR(AL38&lt;1900,AL38&gt;9999,AL38&lt;&gt;INT(AL38),AM38&lt;1,AM38&gt;12,AM38&lt;&gt;INT(AM38)),"E_INVALID_DATE",""))),IF(AH38="YEAR",IF(AL38="","E_MISSING_INPUT",IF(NOT(ISNUMBER(AL38)),"E_INVALID_DATE",IF(OR(AL38&lt;1900,AL38&gt;9999,AL38&lt;&gt;INT(AL38)),"E_INVALID_DATE",""))),IF(AH38="RANGE",IF(OR(AN38="",AO38=""),"E_MISSING_INPUT",IF(OR(NOT(ISNUMBER(AN38)),NOT(ISNUMBER(AO38))),"E_INVALID_DATE",IF(OR(AN38&lt;&gt;INT(AN38),AO38&lt;&gt;INT(AO38)),"E_INVALID_DATE",IF(AN38&gt;AO38,"E_REVERSED_BOUNDS","")))),"E_MISSING_INPUT")))))))</f>
        <v/>
      </c>
      <c r="AR38" s="22">
        <f t="shared" si="28"/>
        <v>0</v>
      </c>
      <c r="AS38" s="22">
        <f t="shared" si="29"/>
        <v>0</v>
      </c>
      <c r="AT38" s="28" t="str">
        <f t="shared" si="30"/>
        <v/>
      </c>
      <c r="AU38" s="28" t="str">
        <f t="shared" si="31"/>
        <v/>
      </c>
      <c r="AV38" s="22" t="str">
        <f t="shared" si="32"/>
        <v/>
      </c>
      <c r="AW38" s="22" t="str">
        <f t="shared" si="33"/>
        <v/>
      </c>
      <c r="AX38" s="21" t="str">
        <f t="shared" si="34"/>
        <v>VEC-V13|1|EV1</v>
      </c>
      <c r="AY38" s="22">
        <f>IF(AX38="",0,COUNTIF(nEVT_Key,AX38))</f>
        <v>1</v>
      </c>
      <c r="AZ38" s="21" t="str">
        <f t="shared" si="35"/>
        <v>E_INVALID_DATE</v>
      </c>
      <c r="BA38" s="21" t="str">
        <f>IF(AZ38="","",AZ38&amp;": "&amp;SUBSTITUTE(IFERROR(INDEX(nMSG_Text,MATCH(AZ38,nMSG_Code,0)),""),"[input]",IF(D38="","an Episode_ID","the date fields required by the selected precision")))</f>
        <v>E_INVALID_DATE: This date does not exist. Check the source, or record it as a partial date.</v>
      </c>
    </row>
    <row r="39" spans="1:53" x14ac:dyDescent="0.2">
      <c r="A39" s="9" t="s">
        <v>335</v>
      </c>
      <c r="B39" s="11">
        <v>1</v>
      </c>
      <c r="C39" s="9" t="s">
        <v>728</v>
      </c>
      <c r="D39" s="9" t="s">
        <v>759</v>
      </c>
      <c r="E39" s="9" t="s">
        <v>746</v>
      </c>
      <c r="F39" s="9"/>
      <c r="G39" s="16"/>
      <c r="H39" s="9"/>
      <c r="I39" s="9" t="s">
        <v>760</v>
      </c>
      <c r="J39" s="16" t="s">
        <v>4</v>
      </c>
      <c r="K39" s="14">
        <v>46042</v>
      </c>
      <c r="L39" s="25"/>
      <c r="M39" s="9"/>
      <c r="N39" s="11"/>
      <c r="O39" s="11"/>
      <c r="P39" s="14"/>
      <c r="Q39" s="14"/>
      <c r="R39" s="9"/>
      <c r="S39" s="9"/>
      <c r="T39" s="9" t="s">
        <v>550</v>
      </c>
      <c r="U39" s="21" t="str">
        <f>IF(COUNTA(J39:Q39)=0,"",IF(J39="","E_MISSING_INPUT",IF(J39="LAB",AF39,IF(J39="TIMESTAMP",IF(OR(K39="",L39="",M39=""),"E_MISSING_INPUT",IF(OR(NOT(ISNUMBER(K39)),NOT(ISNUMBER(L39))),"E_INVALID_DATE",IF(OR(K39&lt;&gt;INT(K39),L39&lt;0,L39&gt;=1),"E_INVALID_DATE",IF(ISNA(MATCH(M39,nLIST_Offset,0)),"E_INVALID_DATE","")))),IF(J39="DATE",IF(K39="","E_MISSING_INPUT",IF(NOT(ISNUMBER(K39)),"E_INVALID_DATE",IF(K39&lt;&gt;INT(K39),"E_INVALID_DATE",""))),IF(J39="MONTH",IF(OR(N39="",O39=""),"E_MISSING_INPUT",IF(OR(NOT(ISNUMBER(N39)),NOT(ISNUMBER(O39))),"E_INVALID_DATE",IF(OR(N39&lt;1900,N39&gt;9999,N39&lt;&gt;INT(N39),O39&lt;1,O39&gt;12,O39&lt;&gt;INT(O39)),"E_INVALID_DATE",""))),IF(J39="YEAR",IF(N39="","E_MISSING_INPUT",IF(NOT(ISNUMBER(N39)),"E_INVALID_DATE",IF(OR(N39&lt;1900,N39&gt;9999,N39&lt;&gt;INT(N39)),"E_INVALID_DATE",""))),IF(J39="RANGE",IF(OR(P39="",Q39=""),"E_MISSING_INPUT",IF(OR(NOT(ISNUMBER(P39)),NOT(ISNUMBER(Q39))),"E_INVALID_DATE",IF(OR(P39&lt;&gt;INT(P39),Q39&lt;&gt;INT(Q39)),"E_INVALID_DATE",IF(P39&gt;Q39,"E_REVERSED_BOUNDS","")))),"E_MISSING_INPUT"))))))))</f>
        <v/>
      </c>
      <c r="V39" s="22">
        <f t="shared" si="24"/>
        <v>0</v>
      </c>
      <c r="W39" s="22">
        <f t="shared" si="25"/>
        <v>0</v>
      </c>
      <c r="X39" s="28">
        <f>IF(OR(U39&lt;&gt;"",J39=""),"",IF(J39="LAB",INDEX(nMS_M_Lo,AB39),IF(OR(J39="TIMESTAMP",J39="DATE"),K39,IF(J39="MONTH",DATE(N39,O39,1),IF(J39="YEAR",DATE(N39,1,1),P39)))))</f>
        <v>46042</v>
      </c>
      <c r="Y39" s="28">
        <f>IF(OR(U39&lt;&gt;"",J39=""),"",IF(J39="LAB",INDEX(nMS_M_Hi,AC39),IF(OR(J39="TIMESTAMP",J39="DATE"),K39,IF(J39="MONTH",EOMONTH(DATE(N39,O39,1),0),IF(J39="YEAR",DATE(N39,12,31),Q39)))))</f>
        <v>46042</v>
      </c>
      <c r="Z39" s="22" t="str">
        <f t="shared" si="26"/>
        <v/>
      </c>
      <c r="AA39" s="22" t="str">
        <f t="shared" si="27"/>
        <v/>
      </c>
      <c r="AB39" s="22">
        <f>IF(R39="",0,IFERROR(MATCH(A39&amp;"|"&amp;B39&amp;"|"&amp;R39,nMS_Key,0),0))</f>
        <v>0</v>
      </c>
      <c r="AC39" s="22">
        <f>IF(S39="",0,IFERROR(MATCH(A39&amp;"|"&amp;B39&amp;"|"&amp;S39,nMS_Key,0),0))</f>
        <v>0</v>
      </c>
      <c r="AD39" s="21" t="str">
        <f>IF(J39&lt;&gt;"LAB","",IF(R39="","E_MISSING_INPUT",IF(AB39=0,"E_MISSING_INPUT",IF(INDEX(nMS_M_Lo,AB39)="",IF(INDEX(nMS_M_Err,AB39)="","E_MISSING_INPUT",INDEX(nMS_M_Err,AB39)),""))))</f>
        <v/>
      </c>
      <c r="AE39" s="21" t="str">
        <f>IF(J39&lt;&gt;"LAB","",IF(S39="","E_MISSING_INPUT",IF(AC39=0,"E_MISSING_INPUT",IF(INDEX(nMS_M_Lo,AC39)="",IF(INDEX(nMS_M_Err,AC39)="","E_MISSING_INPUT",INDEX(nMS_M_Err,AC39)),""))))</f>
        <v/>
      </c>
      <c r="AF39" s="21" t="str">
        <f>IF(J39&lt;&gt;"LAB","",IF(AND(AD39="",AE39=""),IF(IF(INDEX(nMS_M_HT,AB39)*INDEX(nMS_M_HT,AC39)=1,IF(INDEX(nMS_M_OK,AB39)*INDEX(nMS_M_OK,AC39)=1,INDEX(nMS_M_UTC,AB39)&gt;INDEX(nMS_M_UTC,AC39),INDEX(nMS_M_Loc,AB39)&gt;INDEX(nMS_M_Loc,AC39)),INDEX(nMS_M_Lo,AB39)&gt;INDEX(nMS_M_Hi,AC39)),"E_REVERSED_BOUNDS",""),MID(IF(OR(AD39="E_INVALID_DATE",AE39="E_INVALID_DATE"),"; E_INVALID_DATE","")&amp;IF(OR(AD39="E_REVERSED_BOUNDS",AE39="E_REVERSED_BOUNDS"),"; E_REVERSED_BOUNDS","")&amp;IF(OR(AD39="E_MISSING_INPUT",AE39="E_MISSING_INPUT"),"; E_MISSING_INPUT","")&amp;IF(OR(AD39="E_INVALID_UNIT",AE39="E_INVALID_UNIT"),"; E_INVALID_UNIT",""),3,99)))</f>
        <v/>
      </c>
      <c r="AG39" s="9"/>
      <c r="AH39" s="16"/>
      <c r="AI39" s="14"/>
      <c r="AJ39" s="25"/>
      <c r="AK39" s="9"/>
      <c r="AL39" s="11"/>
      <c r="AM39" s="11"/>
      <c r="AN39" s="14"/>
      <c r="AO39" s="14"/>
      <c r="AP39" s="9"/>
      <c r="AQ39" s="21" t="str">
        <f>IF(COUNTA(AH39:AO39)=0,"",IF(AH39="","E_MISSING_INPUT",IF(AH39="TIMESTAMP",IF(OR(AI39="",AJ39="",AK39=""),"E_MISSING_INPUT",IF(OR(NOT(ISNUMBER(AI39)),NOT(ISNUMBER(AJ39))),"E_INVALID_DATE",IF(OR(AI39&lt;&gt;INT(AI39),AJ39&lt;0,AJ39&gt;=1),"E_INVALID_DATE",IF(ISNA(MATCH(AK39,nLIST_Offset,0)),"E_INVALID_DATE","")))),IF(AH39="DATE",IF(AI39="","E_MISSING_INPUT",IF(NOT(ISNUMBER(AI39)),"E_INVALID_DATE",IF(AI39&lt;&gt;INT(AI39),"E_INVALID_DATE",""))),IF(AH39="MONTH",IF(OR(AL39="",AM39=""),"E_MISSING_INPUT",IF(OR(NOT(ISNUMBER(AL39)),NOT(ISNUMBER(AM39))),"E_INVALID_DATE",IF(OR(AL39&lt;1900,AL39&gt;9999,AL39&lt;&gt;INT(AL39),AM39&lt;1,AM39&gt;12,AM39&lt;&gt;INT(AM39)),"E_INVALID_DATE",""))),IF(AH39="YEAR",IF(AL39="","E_MISSING_INPUT",IF(NOT(ISNUMBER(AL39)),"E_INVALID_DATE",IF(OR(AL39&lt;1900,AL39&gt;9999,AL39&lt;&gt;INT(AL39)),"E_INVALID_DATE",""))),IF(AH39="RANGE",IF(OR(AN39="",AO39=""),"E_MISSING_INPUT",IF(OR(NOT(ISNUMBER(AN39)),NOT(ISNUMBER(AO39))),"E_INVALID_DATE",IF(OR(AN39&lt;&gt;INT(AN39),AO39&lt;&gt;INT(AO39)),"E_INVALID_DATE",IF(AN39&gt;AO39,"E_REVERSED_BOUNDS","")))),"E_MISSING_INPUT")))))))</f>
        <v/>
      </c>
      <c r="AR39" s="22">
        <f t="shared" si="28"/>
        <v>0</v>
      </c>
      <c r="AS39" s="22">
        <f t="shared" si="29"/>
        <v>0</v>
      </c>
      <c r="AT39" s="28" t="str">
        <f t="shared" si="30"/>
        <v/>
      </c>
      <c r="AU39" s="28" t="str">
        <f t="shared" si="31"/>
        <v/>
      </c>
      <c r="AV39" s="22" t="str">
        <f t="shared" si="32"/>
        <v/>
      </c>
      <c r="AW39" s="22" t="str">
        <f t="shared" si="33"/>
        <v/>
      </c>
      <c r="AX39" s="21" t="str">
        <f t="shared" si="34"/>
        <v>VEC-V13|1|EV2</v>
      </c>
      <c r="AY39" s="22">
        <f>IF(AX39="",0,COUNTIF(nEVT_Key,AX39))</f>
        <v>1</v>
      </c>
      <c r="AZ39" s="21" t="str">
        <f t="shared" si="35"/>
        <v/>
      </c>
      <c r="BA39" s="21" t="str">
        <f>IF(AZ39="","",AZ39&amp;": "&amp;SUBSTITUTE(IFERROR(INDEX(nMSG_Text,MATCH(AZ39,nMSG_Code,0)),""),"[input]",IF(D39="","an Episode_ID","the date fields required by the selected precision")))</f>
        <v/>
      </c>
    </row>
    <row r="40" spans="1:53" x14ac:dyDescent="0.2">
      <c r="A40" s="9" t="s">
        <v>337</v>
      </c>
      <c r="B40" s="11">
        <v>1</v>
      </c>
      <c r="C40" s="9" t="s">
        <v>728</v>
      </c>
      <c r="D40" s="9" t="s">
        <v>745</v>
      </c>
      <c r="E40" s="9" t="s">
        <v>746</v>
      </c>
      <c r="F40" s="9"/>
      <c r="G40" s="16"/>
      <c r="H40" s="9" t="s">
        <v>761</v>
      </c>
      <c r="I40" s="9"/>
      <c r="J40" s="16"/>
      <c r="K40" s="14"/>
      <c r="L40" s="25"/>
      <c r="M40" s="9"/>
      <c r="N40" s="11"/>
      <c r="O40" s="11"/>
      <c r="P40" s="14"/>
      <c r="Q40" s="14"/>
      <c r="R40" s="9"/>
      <c r="S40" s="9"/>
      <c r="T40" s="9"/>
      <c r="U40" s="21" t="str">
        <f>IF(COUNTA(J40:Q40)=0,"",IF(J40="","E_MISSING_INPUT",IF(J40="LAB",AF40,IF(J40="TIMESTAMP",IF(OR(K40="",L40="",M40=""),"E_MISSING_INPUT",IF(OR(NOT(ISNUMBER(K40)),NOT(ISNUMBER(L40))),"E_INVALID_DATE",IF(OR(K40&lt;&gt;INT(K40),L40&lt;0,L40&gt;=1),"E_INVALID_DATE",IF(ISNA(MATCH(M40,nLIST_Offset,0)),"E_INVALID_DATE","")))),IF(J40="DATE",IF(K40="","E_MISSING_INPUT",IF(NOT(ISNUMBER(K40)),"E_INVALID_DATE",IF(K40&lt;&gt;INT(K40),"E_INVALID_DATE",""))),IF(J40="MONTH",IF(OR(N40="",O40=""),"E_MISSING_INPUT",IF(OR(NOT(ISNUMBER(N40)),NOT(ISNUMBER(O40))),"E_INVALID_DATE",IF(OR(N40&lt;1900,N40&gt;9999,N40&lt;&gt;INT(N40),O40&lt;1,O40&gt;12,O40&lt;&gt;INT(O40)),"E_INVALID_DATE",""))),IF(J40="YEAR",IF(N40="","E_MISSING_INPUT",IF(NOT(ISNUMBER(N40)),"E_INVALID_DATE",IF(OR(N40&lt;1900,N40&gt;9999,N40&lt;&gt;INT(N40)),"E_INVALID_DATE",""))),IF(J40="RANGE",IF(OR(P40="",Q40=""),"E_MISSING_INPUT",IF(OR(NOT(ISNUMBER(P40)),NOT(ISNUMBER(Q40))),"E_INVALID_DATE",IF(OR(P40&lt;&gt;INT(P40),Q40&lt;&gt;INT(Q40)),"E_INVALID_DATE",IF(P40&gt;Q40,"E_REVERSED_BOUNDS","")))),"E_MISSING_INPUT"))))))))</f>
        <v/>
      </c>
      <c r="V40" s="22">
        <f t="shared" si="24"/>
        <v>0</v>
      </c>
      <c r="W40" s="22">
        <f t="shared" si="25"/>
        <v>0</v>
      </c>
      <c r="X40" s="28" t="str">
        <f>IF(OR(U40&lt;&gt;"",J40=""),"",IF(J40="LAB",INDEX(nMS_M_Lo,AB40),IF(OR(J40="TIMESTAMP",J40="DATE"),K40,IF(J40="MONTH",DATE(N40,O40,1),IF(J40="YEAR",DATE(N40,1,1),P40)))))</f>
        <v/>
      </c>
      <c r="Y40" s="28" t="str">
        <f>IF(OR(U40&lt;&gt;"",J40=""),"",IF(J40="LAB",INDEX(nMS_M_Hi,AC40),IF(OR(J40="TIMESTAMP",J40="DATE"),K40,IF(J40="MONTH",EOMONTH(DATE(N40,O40,1),0),IF(J40="YEAR",DATE(N40,12,31),Q40)))))</f>
        <v/>
      </c>
      <c r="Z40" s="22" t="str">
        <f t="shared" si="26"/>
        <v/>
      </c>
      <c r="AA40" s="22" t="str">
        <f t="shared" si="27"/>
        <v/>
      </c>
      <c r="AB40" s="22">
        <f>IF(R40="",0,IFERROR(MATCH(A40&amp;"|"&amp;B40&amp;"|"&amp;R40,nMS_Key,0),0))</f>
        <v>0</v>
      </c>
      <c r="AC40" s="22">
        <f>IF(S40="",0,IFERROR(MATCH(A40&amp;"|"&amp;B40&amp;"|"&amp;S40,nMS_Key,0),0))</f>
        <v>0</v>
      </c>
      <c r="AD40" s="21" t="str">
        <f>IF(J40&lt;&gt;"LAB","",IF(R40="","E_MISSING_INPUT",IF(AB40=0,"E_MISSING_INPUT",IF(INDEX(nMS_M_Lo,AB40)="",IF(INDEX(nMS_M_Err,AB40)="","E_MISSING_INPUT",INDEX(nMS_M_Err,AB40)),""))))</f>
        <v/>
      </c>
      <c r="AE40" s="21" t="str">
        <f>IF(J40&lt;&gt;"LAB","",IF(S40="","E_MISSING_INPUT",IF(AC40=0,"E_MISSING_INPUT",IF(INDEX(nMS_M_Lo,AC40)="",IF(INDEX(nMS_M_Err,AC40)="","E_MISSING_INPUT",INDEX(nMS_M_Err,AC40)),""))))</f>
        <v/>
      </c>
      <c r="AF40" s="21" t="str">
        <f>IF(J40&lt;&gt;"LAB","",IF(AND(AD40="",AE40=""),IF(IF(INDEX(nMS_M_HT,AB40)*INDEX(nMS_M_HT,AC40)=1,IF(INDEX(nMS_M_OK,AB40)*INDEX(nMS_M_OK,AC40)=1,INDEX(nMS_M_UTC,AB40)&gt;INDEX(nMS_M_UTC,AC40),INDEX(nMS_M_Loc,AB40)&gt;INDEX(nMS_M_Loc,AC40)),INDEX(nMS_M_Lo,AB40)&gt;INDEX(nMS_M_Hi,AC40)),"E_REVERSED_BOUNDS",""),MID(IF(OR(AD40="E_INVALID_DATE",AE40="E_INVALID_DATE"),"; E_INVALID_DATE","")&amp;IF(OR(AD40="E_REVERSED_BOUNDS",AE40="E_REVERSED_BOUNDS"),"; E_REVERSED_BOUNDS","")&amp;IF(OR(AD40="E_MISSING_INPUT",AE40="E_MISSING_INPUT"),"; E_MISSING_INPUT","")&amp;IF(OR(AD40="E_INVALID_UNIT",AE40="E_INVALID_UNIT"),"; E_INVALID_UNIT",""),3,99)))</f>
        <v/>
      </c>
      <c r="AG40" s="9"/>
      <c r="AH40" s="16"/>
      <c r="AI40" s="14"/>
      <c r="AJ40" s="25"/>
      <c r="AK40" s="9"/>
      <c r="AL40" s="11"/>
      <c r="AM40" s="11"/>
      <c r="AN40" s="14"/>
      <c r="AO40" s="14"/>
      <c r="AP40" s="9"/>
      <c r="AQ40" s="21" t="str">
        <f>IF(COUNTA(AH40:AO40)=0,"",IF(AH40="","E_MISSING_INPUT",IF(AH40="TIMESTAMP",IF(OR(AI40="",AJ40="",AK40=""),"E_MISSING_INPUT",IF(OR(NOT(ISNUMBER(AI40)),NOT(ISNUMBER(AJ40))),"E_INVALID_DATE",IF(OR(AI40&lt;&gt;INT(AI40),AJ40&lt;0,AJ40&gt;=1),"E_INVALID_DATE",IF(ISNA(MATCH(AK40,nLIST_Offset,0)),"E_INVALID_DATE","")))),IF(AH40="DATE",IF(AI40="","E_MISSING_INPUT",IF(NOT(ISNUMBER(AI40)),"E_INVALID_DATE",IF(AI40&lt;&gt;INT(AI40),"E_INVALID_DATE",""))),IF(AH40="MONTH",IF(OR(AL40="",AM40=""),"E_MISSING_INPUT",IF(OR(NOT(ISNUMBER(AL40)),NOT(ISNUMBER(AM40))),"E_INVALID_DATE",IF(OR(AL40&lt;1900,AL40&gt;9999,AL40&lt;&gt;INT(AL40),AM40&lt;1,AM40&gt;12,AM40&lt;&gt;INT(AM40)),"E_INVALID_DATE",""))),IF(AH40="YEAR",IF(AL40="","E_MISSING_INPUT",IF(NOT(ISNUMBER(AL40)),"E_INVALID_DATE",IF(OR(AL40&lt;1900,AL40&gt;9999,AL40&lt;&gt;INT(AL40)),"E_INVALID_DATE",""))),IF(AH40="RANGE",IF(OR(AN40="",AO40=""),"E_MISSING_INPUT",IF(OR(NOT(ISNUMBER(AN40)),NOT(ISNUMBER(AO40))),"E_INVALID_DATE",IF(OR(AN40&lt;&gt;INT(AN40),AO40&lt;&gt;INT(AO40)),"E_INVALID_DATE",IF(AN40&gt;AO40,"E_REVERSED_BOUNDS","")))),"E_MISSING_INPUT")))))))</f>
        <v/>
      </c>
      <c r="AR40" s="22">
        <f t="shared" si="28"/>
        <v>0</v>
      </c>
      <c r="AS40" s="22">
        <f t="shared" si="29"/>
        <v>0</v>
      </c>
      <c r="AT40" s="28" t="str">
        <f t="shared" si="30"/>
        <v/>
      </c>
      <c r="AU40" s="28" t="str">
        <f t="shared" si="31"/>
        <v/>
      </c>
      <c r="AV40" s="22" t="str">
        <f t="shared" si="32"/>
        <v/>
      </c>
      <c r="AW40" s="22" t="str">
        <f t="shared" si="33"/>
        <v/>
      </c>
      <c r="AX40" s="21" t="str">
        <f t="shared" si="34"/>
        <v>VEC-V15|1|EV1</v>
      </c>
      <c r="AY40" s="22">
        <f>IF(AX40="",0,COUNTIF(nEVT_Key,AX40))</f>
        <v>1</v>
      </c>
      <c r="AZ40" s="21" t="str">
        <f t="shared" si="35"/>
        <v/>
      </c>
      <c r="BA40" s="21" t="str">
        <f>IF(AZ40="","",AZ40&amp;": "&amp;SUBSTITUTE(IFERROR(INDEX(nMSG_Text,MATCH(AZ40,nMSG_Code,0)),""),"[input]",IF(D40="","an Episode_ID","the date fields required by the selected precision")))</f>
        <v/>
      </c>
    </row>
    <row r="41" spans="1:53" x14ac:dyDescent="0.2">
      <c r="A41" s="9" t="s">
        <v>357</v>
      </c>
      <c r="B41" s="11">
        <v>1</v>
      </c>
      <c r="C41" s="9" t="s">
        <v>728</v>
      </c>
      <c r="D41" s="9" t="s">
        <v>745</v>
      </c>
      <c r="E41" s="9" t="s">
        <v>746</v>
      </c>
      <c r="F41" s="9"/>
      <c r="G41" s="16"/>
      <c r="H41" s="9"/>
      <c r="I41" s="9" t="s">
        <v>762</v>
      </c>
      <c r="J41" s="16" t="s">
        <v>3</v>
      </c>
      <c r="K41" s="14">
        <v>46032</v>
      </c>
      <c r="L41" s="25">
        <v>0.40972222222222199</v>
      </c>
      <c r="M41" s="9" t="s">
        <v>20</v>
      </c>
      <c r="N41" s="11"/>
      <c r="O41" s="11"/>
      <c r="P41" s="14"/>
      <c r="Q41" s="14"/>
      <c r="R41" s="9"/>
      <c r="S41" s="9"/>
      <c r="T41" s="9" t="s">
        <v>558</v>
      </c>
      <c r="U41" s="21" t="str">
        <f>IF(COUNTA(J41:Q41)=0,"",IF(J41="","E_MISSING_INPUT",IF(J41="LAB",AF41,IF(J41="TIMESTAMP",IF(OR(K41="",L41="",M41=""),"E_MISSING_INPUT",IF(OR(NOT(ISNUMBER(K41)),NOT(ISNUMBER(L41))),"E_INVALID_DATE",IF(OR(K41&lt;&gt;INT(K41),L41&lt;0,L41&gt;=1),"E_INVALID_DATE",IF(ISNA(MATCH(M41,nLIST_Offset,0)),"E_INVALID_DATE","")))),IF(J41="DATE",IF(K41="","E_MISSING_INPUT",IF(NOT(ISNUMBER(K41)),"E_INVALID_DATE",IF(K41&lt;&gt;INT(K41),"E_INVALID_DATE",""))),IF(J41="MONTH",IF(OR(N41="",O41=""),"E_MISSING_INPUT",IF(OR(NOT(ISNUMBER(N41)),NOT(ISNUMBER(O41))),"E_INVALID_DATE",IF(OR(N41&lt;1900,N41&gt;9999,N41&lt;&gt;INT(N41),O41&lt;1,O41&gt;12,O41&lt;&gt;INT(O41)),"E_INVALID_DATE",""))),IF(J41="YEAR",IF(N41="","E_MISSING_INPUT",IF(NOT(ISNUMBER(N41)),"E_INVALID_DATE",IF(OR(N41&lt;1900,N41&gt;9999,N41&lt;&gt;INT(N41)),"E_INVALID_DATE",""))),IF(J41="RANGE",IF(OR(P41="",Q41=""),"E_MISSING_INPUT",IF(OR(NOT(ISNUMBER(P41)),NOT(ISNUMBER(Q41))),"E_INVALID_DATE",IF(OR(P41&lt;&gt;INT(P41),Q41&lt;&gt;INT(Q41)),"E_INVALID_DATE",IF(P41&gt;Q41,"E_REVERSED_BOUNDS","")))),"E_MISSING_INPUT"))))))))</f>
        <v/>
      </c>
      <c r="V41" s="22">
        <f t="shared" si="24"/>
        <v>1</v>
      </c>
      <c r="W41" s="22">
        <f t="shared" si="25"/>
        <v>1</v>
      </c>
      <c r="X41" s="28">
        <f>IF(OR(U41&lt;&gt;"",J41=""),"",IF(J41="LAB",INDEX(nMS_M_Lo,AB41),IF(OR(J41="TIMESTAMP",J41="DATE"),K41,IF(J41="MONTH",DATE(N41,O41,1),IF(J41="YEAR",DATE(N41,1,1),P41)))))</f>
        <v>46032</v>
      </c>
      <c r="Y41" s="28">
        <f>IF(OR(U41&lt;&gt;"",J41=""),"",IF(J41="LAB",INDEX(nMS_M_Hi,AC41),IF(OR(J41="TIMESTAMP",J41="DATE"),K41,IF(J41="MONTH",EOMONTH(DATE(N41,O41,1),0),IF(J41="YEAR",DATE(N41,12,31),Q41)))))</f>
        <v>46032</v>
      </c>
      <c r="Z41" s="22">
        <f t="shared" si="26"/>
        <v>66286670</v>
      </c>
      <c r="AA41" s="22">
        <f t="shared" si="27"/>
        <v>66286970</v>
      </c>
      <c r="AB41" s="22">
        <f>IF(R41="",0,IFERROR(MATCH(A41&amp;"|"&amp;B41&amp;"|"&amp;R41,nMS_Key,0),0))</f>
        <v>0</v>
      </c>
      <c r="AC41" s="22">
        <f>IF(S41="",0,IFERROR(MATCH(A41&amp;"|"&amp;B41&amp;"|"&amp;S41,nMS_Key,0),0))</f>
        <v>0</v>
      </c>
      <c r="AD41" s="21" t="str">
        <f>IF(J41&lt;&gt;"LAB","",IF(R41="","E_MISSING_INPUT",IF(AB41=0,"E_MISSING_INPUT",IF(INDEX(nMS_M_Lo,AB41)="",IF(INDEX(nMS_M_Err,AB41)="","E_MISSING_INPUT",INDEX(nMS_M_Err,AB41)),""))))</f>
        <v/>
      </c>
      <c r="AE41" s="21" t="str">
        <f>IF(J41&lt;&gt;"LAB","",IF(S41="","E_MISSING_INPUT",IF(AC41=0,"E_MISSING_INPUT",IF(INDEX(nMS_M_Lo,AC41)="",IF(INDEX(nMS_M_Err,AC41)="","E_MISSING_INPUT",INDEX(nMS_M_Err,AC41)),""))))</f>
        <v/>
      </c>
      <c r="AF41" s="21" t="str">
        <f>IF(J41&lt;&gt;"LAB","",IF(AND(AD41="",AE41=""),IF(IF(INDEX(nMS_M_HT,AB41)*INDEX(nMS_M_HT,AC41)=1,IF(INDEX(nMS_M_OK,AB41)*INDEX(nMS_M_OK,AC41)=1,INDEX(nMS_M_UTC,AB41)&gt;INDEX(nMS_M_UTC,AC41),INDEX(nMS_M_Loc,AB41)&gt;INDEX(nMS_M_Loc,AC41)),INDEX(nMS_M_Lo,AB41)&gt;INDEX(nMS_M_Hi,AC41)),"E_REVERSED_BOUNDS",""),MID(IF(OR(AD41="E_INVALID_DATE",AE41="E_INVALID_DATE"),"; E_INVALID_DATE","")&amp;IF(OR(AD41="E_REVERSED_BOUNDS",AE41="E_REVERSED_BOUNDS"),"; E_REVERSED_BOUNDS","")&amp;IF(OR(AD41="E_MISSING_INPUT",AE41="E_MISSING_INPUT"),"; E_MISSING_INPUT","")&amp;IF(OR(AD41="E_INVALID_UNIT",AE41="E_INVALID_UNIT"),"; E_INVALID_UNIT",""),3,99)))</f>
        <v/>
      </c>
      <c r="AG41" s="9"/>
      <c r="AH41" s="16"/>
      <c r="AI41" s="14"/>
      <c r="AJ41" s="25"/>
      <c r="AK41" s="9"/>
      <c r="AL41" s="11"/>
      <c r="AM41" s="11"/>
      <c r="AN41" s="14"/>
      <c r="AO41" s="14"/>
      <c r="AP41" s="9"/>
      <c r="AQ41" s="21" t="str">
        <f>IF(COUNTA(AH41:AO41)=0,"",IF(AH41="","E_MISSING_INPUT",IF(AH41="TIMESTAMP",IF(OR(AI41="",AJ41="",AK41=""),"E_MISSING_INPUT",IF(OR(NOT(ISNUMBER(AI41)),NOT(ISNUMBER(AJ41))),"E_INVALID_DATE",IF(OR(AI41&lt;&gt;INT(AI41),AJ41&lt;0,AJ41&gt;=1),"E_INVALID_DATE",IF(ISNA(MATCH(AK41,nLIST_Offset,0)),"E_INVALID_DATE","")))),IF(AH41="DATE",IF(AI41="","E_MISSING_INPUT",IF(NOT(ISNUMBER(AI41)),"E_INVALID_DATE",IF(AI41&lt;&gt;INT(AI41),"E_INVALID_DATE",""))),IF(AH41="MONTH",IF(OR(AL41="",AM41=""),"E_MISSING_INPUT",IF(OR(NOT(ISNUMBER(AL41)),NOT(ISNUMBER(AM41))),"E_INVALID_DATE",IF(OR(AL41&lt;1900,AL41&gt;9999,AL41&lt;&gt;INT(AL41),AM41&lt;1,AM41&gt;12,AM41&lt;&gt;INT(AM41)),"E_INVALID_DATE",""))),IF(AH41="YEAR",IF(AL41="","E_MISSING_INPUT",IF(NOT(ISNUMBER(AL41)),"E_INVALID_DATE",IF(OR(AL41&lt;1900,AL41&gt;9999,AL41&lt;&gt;INT(AL41)),"E_INVALID_DATE",""))),IF(AH41="RANGE",IF(OR(AN41="",AO41=""),"E_MISSING_INPUT",IF(OR(NOT(ISNUMBER(AN41)),NOT(ISNUMBER(AO41))),"E_INVALID_DATE",IF(OR(AN41&lt;&gt;INT(AN41),AO41&lt;&gt;INT(AO41)),"E_INVALID_DATE",IF(AN41&gt;AO41,"E_REVERSED_BOUNDS","")))),"E_MISSING_INPUT")))))))</f>
        <v/>
      </c>
      <c r="AR41" s="22">
        <f t="shared" si="28"/>
        <v>0</v>
      </c>
      <c r="AS41" s="22">
        <f t="shared" si="29"/>
        <v>0</v>
      </c>
      <c r="AT41" s="28" t="str">
        <f t="shared" si="30"/>
        <v/>
      </c>
      <c r="AU41" s="28" t="str">
        <f t="shared" si="31"/>
        <v/>
      </c>
      <c r="AV41" s="22" t="str">
        <f t="shared" si="32"/>
        <v/>
      </c>
      <c r="AW41" s="22" t="str">
        <f t="shared" si="33"/>
        <v/>
      </c>
      <c r="AX41" s="21" t="str">
        <f t="shared" si="34"/>
        <v>VEC-V25|1|EV1</v>
      </c>
      <c r="AY41" s="22">
        <f>IF(AX41="",0,COUNTIF(nEVT_Key,AX41))</f>
        <v>1</v>
      </c>
      <c r="AZ41" s="21" t="str">
        <f t="shared" si="35"/>
        <v/>
      </c>
      <c r="BA41" s="21" t="str">
        <f>IF(AZ41="","",AZ41&amp;": "&amp;SUBSTITUTE(IFERROR(INDEX(nMSG_Text,MATCH(AZ41,nMSG_Code,0)),""),"[input]",IF(D41="","an Episode_ID","the date fields required by the selected precision")))</f>
        <v/>
      </c>
    </row>
    <row r="42" spans="1:53" x14ac:dyDescent="0.2">
      <c r="A42" s="9" t="s">
        <v>363</v>
      </c>
      <c r="B42" s="11">
        <v>1</v>
      </c>
      <c r="C42" s="9" t="s">
        <v>728</v>
      </c>
      <c r="D42" s="9" t="s">
        <v>745</v>
      </c>
      <c r="E42" s="9" t="s">
        <v>746</v>
      </c>
      <c r="F42" s="9"/>
      <c r="G42" s="16"/>
      <c r="H42" s="9" t="s">
        <v>763</v>
      </c>
      <c r="I42" s="9"/>
      <c r="J42" s="16"/>
      <c r="K42" s="14"/>
      <c r="L42" s="25"/>
      <c r="M42" s="9"/>
      <c r="N42" s="11"/>
      <c r="O42" s="11"/>
      <c r="P42" s="14"/>
      <c r="Q42" s="14"/>
      <c r="R42" s="9"/>
      <c r="S42" s="9"/>
      <c r="T42" s="9"/>
      <c r="U42" s="21" t="str">
        <f>IF(COUNTA(J42:Q42)=0,"",IF(J42="","E_MISSING_INPUT",IF(J42="LAB",AF42,IF(J42="TIMESTAMP",IF(OR(K42="",L42="",M42=""),"E_MISSING_INPUT",IF(OR(NOT(ISNUMBER(K42)),NOT(ISNUMBER(L42))),"E_INVALID_DATE",IF(OR(K42&lt;&gt;INT(K42),L42&lt;0,L42&gt;=1),"E_INVALID_DATE",IF(ISNA(MATCH(M42,nLIST_Offset,0)),"E_INVALID_DATE","")))),IF(J42="DATE",IF(K42="","E_MISSING_INPUT",IF(NOT(ISNUMBER(K42)),"E_INVALID_DATE",IF(K42&lt;&gt;INT(K42),"E_INVALID_DATE",""))),IF(J42="MONTH",IF(OR(N42="",O42=""),"E_MISSING_INPUT",IF(OR(NOT(ISNUMBER(N42)),NOT(ISNUMBER(O42))),"E_INVALID_DATE",IF(OR(N42&lt;1900,N42&gt;9999,N42&lt;&gt;INT(N42),O42&lt;1,O42&gt;12,O42&lt;&gt;INT(O42)),"E_INVALID_DATE",""))),IF(J42="YEAR",IF(N42="","E_MISSING_INPUT",IF(NOT(ISNUMBER(N42)),"E_INVALID_DATE",IF(OR(N42&lt;1900,N42&gt;9999,N42&lt;&gt;INT(N42)),"E_INVALID_DATE",""))),IF(J42="RANGE",IF(OR(P42="",Q42=""),"E_MISSING_INPUT",IF(OR(NOT(ISNUMBER(P42)),NOT(ISNUMBER(Q42))),"E_INVALID_DATE",IF(OR(P42&lt;&gt;INT(P42),Q42&lt;&gt;INT(Q42)),"E_INVALID_DATE",IF(P42&gt;Q42,"E_REVERSED_BOUNDS","")))),"E_MISSING_INPUT"))))))))</f>
        <v/>
      </c>
      <c r="V42" s="22">
        <f t="shared" si="24"/>
        <v>0</v>
      </c>
      <c r="W42" s="22">
        <f t="shared" si="25"/>
        <v>0</v>
      </c>
      <c r="X42" s="28" t="str">
        <f>IF(OR(U42&lt;&gt;"",J42=""),"",IF(J42="LAB",INDEX(nMS_M_Lo,AB42),IF(OR(J42="TIMESTAMP",J42="DATE"),K42,IF(J42="MONTH",DATE(N42,O42,1),IF(J42="YEAR",DATE(N42,1,1),P42)))))</f>
        <v/>
      </c>
      <c r="Y42" s="28" t="str">
        <f>IF(OR(U42&lt;&gt;"",J42=""),"",IF(J42="LAB",INDEX(nMS_M_Hi,AC42),IF(OR(J42="TIMESTAMP",J42="DATE"),K42,IF(J42="MONTH",EOMONTH(DATE(N42,O42,1),0),IF(J42="YEAR",DATE(N42,12,31),Q42)))))</f>
        <v/>
      </c>
      <c r="Z42" s="22" t="str">
        <f t="shared" si="26"/>
        <v/>
      </c>
      <c r="AA42" s="22" t="str">
        <f t="shared" si="27"/>
        <v/>
      </c>
      <c r="AB42" s="22">
        <f>IF(R42="",0,IFERROR(MATCH(A42&amp;"|"&amp;B42&amp;"|"&amp;R42,nMS_Key,0),0))</f>
        <v>0</v>
      </c>
      <c r="AC42" s="22">
        <f>IF(S42="",0,IFERROR(MATCH(A42&amp;"|"&amp;B42&amp;"|"&amp;S42,nMS_Key,0),0))</f>
        <v>0</v>
      </c>
      <c r="AD42" s="21" t="str">
        <f>IF(J42&lt;&gt;"LAB","",IF(R42="","E_MISSING_INPUT",IF(AB42=0,"E_MISSING_INPUT",IF(INDEX(nMS_M_Lo,AB42)="",IF(INDEX(nMS_M_Err,AB42)="","E_MISSING_INPUT",INDEX(nMS_M_Err,AB42)),""))))</f>
        <v/>
      </c>
      <c r="AE42" s="21" t="str">
        <f>IF(J42&lt;&gt;"LAB","",IF(S42="","E_MISSING_INPUT",IF(AC42=0,"E_MISSING_INPUT",IF(INDEX(nMS_M_Lo,AC42)="",IF(INDEX(nMS_M_Err,AC42)="","E_MISSING_INPUT",INDEX(nMS_M_Err,AC42)),""))))</f>
        <v/>
      </c>
      <c r="AF42" s="21" t="str">
        <f>IF(J42&lt;&gt;"LAB","",IF(AND(AD42="",AE42=""),IF(IF(INDEX(nMS_M_HT,AB42)*INDEX(nMS_M_HT,AC42)=1,IF(INDEX(nMS_M_OK,AB42)*INDEX(nMS_M_OK,AC42)=1,INDEX(nMS_M_UTC,AB42)&gt;INDEX(nMS_M_UTC,AC42),INDEX(nMS_M_Loc,AB42)&gt;INDEX(nMS_M_Loc,AC42)),INDEX(nMS_M_Lo,AB42)&gt;INDEX(nMS_M_Hi,AC42)),"E_REVERSED_BOUNDS",""),MID(IF(OR(AD42="E_INVALID_DATE",AE42="E_INVALID_DATE"),"; E_INVALID_DATE","")&amp;IF(OR(AD42="E_REVERSED_BOUNDS",AE42="E_REVERSED_BOUNDS"),"; E_REVERSED_BOUNDS","")&amp;IF(OR(AD42="E_MISSING_INPUT",AE42="E_MISSING_INPUT"),"; E_MISSING_INPUT","")&amp;IF(OR(AD42="E_INVALID_UNIT",AE42="E_INVALID_UNIT"),"; E_INVALID_UNIT",""),3,99)))</f>
        <v/>
      </c>
      <c r="AG42" s="9"/>
      <c r="AH42" s="16"/>
      <c r="AI42" s="14"/>
      <c r="AJ42" s="25"/>
      <c r="AK42" s="9"/>
      <c r="AL42" s="11"/>
      <c r="AM42" s="11"/>
      <c r="AN42" s="14"/>
      <c r="AO42" s="14"/>
      <c r="AP42" s="9"/>
      <c r="AQ42" s="21" t="str">
        <f>IF(COUNTA(AH42:AO42)=0,"",IF(AH42="","E_MISSING_INPUT",IF(AH42="TIMESTAMP",IF(OR(AI42="",AJ42="",AK42=""),"E_MISSING_INPUT",IF(OR(NOT(ISNUMBER(AI42)),NOT(ISNUMBER(AJ42))),"E_INVALID_DATE",IF(OR(AI42&lt;&gt;INT(AI42),AJ42&lt;0,AJ42&gt;=1),"E_INVALID_DATE",IF(ISNA(MATCH(AK42,nLIST_Offset,0)),"E_INVALID_DATE","")))),IF(AH42="DATE",IF(AI42="","E_MISSING_INPUT",IF(NOT(ISNUMBER(AI42)),"E_INVALID_DATE",IF(AI42&lt;&gt;INT(AI42),"E_INVALID_DATE",""))),IF(AH42="MONTH",IF(OR(AL42="",AM42=""),"E_MISSING_INPUT",IF(OR(NOT(ISNUMBER(AL42)),NOT(ISNUMBER(AM42))),"E_INVALID_DATE",IF(OR(AL42&lt;1900,AL42&gt;9999,AL42&lt;&gt;INT(AL42),AM42&lt;1,AM42&gt;12,AM42&lt;&gt;INT(AM42)),"E_INVALID_DATE",""))),IF(AH42="YEAR",IF(AL42="","E_MISSING_INPUT",IF(NOT(ISNUMBER(AL42)),"E_INVALID_DATE",IF(OR(AL42&lt;1900,AL42&gt;9999,AL42&lt;&gt;INT(AL42)),"E_INVALID_DATE",""))),IF(AH42="RANGE",IF(OR(AN42="",AO42=""),"E_MISSING_INPUT",IF(OR(NOT(ISNUMBER(AN42)),NOT(ISNUMBER(AO42))),"E_INVALID_DATE",IF(OR(AN42&lt;&gt;INT(AN42),AO42&lt;&gt;INT(AO42)),"E_INVALID_DATE",IF(AN42&gt;AO42,"E_REVERSED_BOUNDS","")))),"E_MISSING_INPUT")))))))</f>
        <v/>
      </c>
      <c r="AR42" s="22">
        <f t="shared" si="28"/>
        <v>0</v>
      </c>
      <c r="AS42" s="22">
        <f t="shared" si="29"/>
        <v>0</v>
      </c>
      <c r="AT42" s="28" t="str">
        <f t="shared" si="30"/>
        <v/>
      </c>
      <c r="AU42" s="28" t="str">
        <f t="shared" si="31"/>
        <v/>
      </c>
      <c r="AV42" s="22" t="str">
        <f t="shared" si="32"/>
        <v/>
      </c>
      <c r="AW42" s="22" t="str">
        <f t="shared" si="33"/>
        <v/>
      </c>
      <c r="AX42" s="21" t="str">
        <f t="shared" si="34"/>
        <v>VEC-V28|1|EV1</v>
      </c>
      <c r="AY42" s="22">
        <f>IF(AX42="",0,COUNTIF(nEVT_Key,AX42))</f>
        <v>1</v>
      </c>
      <c r="AZ42" s="21" t="str">
        <f t="shared" si="35"/>
        <v/>
      </c>
      <c r="BA42" s="21" t="str">
        <f>IF(AZ42="","",AZ42&amp;": "&amp;SUBSTITUTE(IFERROR(INDEX(nMSG_Text,MATCH(AZ42,nMSG_Code,0)),""),"[input]",IF(D42="","an Episode_ID","the date fields required by the selected precision")))</f>
        <v/>
      </c>
    </row>
    <row r="43" spans="1:53" x14ac:dyDescent="0.2">
      <c r="A43" s="9" t="s">
        <v>365</v>
      </c>
      <c r="B43" s="11">
        <v>1</v>
      </c>
      <c r="C43" s="9" t="s">
        <v>728</v>
      </c>
      <c r="D43" s="9" t="s">
        <v>745</v>
      </c>
      <c r="E43" s="9" t="s">
        <v>746</v>
      </c>
      <c r="F43" s="9"/>
      <c r="G43" s="16"/>
      <c r="H43" s="9" t="s">
        <v>763</v>
      </c>
      <c r="I43" s="9"/>
      <c r="J43" s="16"/>
      <c r="K43" s="14"/>
      <c r="L43" s="25"/>
      <c r="M43" s="9"/>
      <c r="N43" s="11"/>
      <c r="O43" s="11"/>
      <c r="P43" s="14"/>
      <c r="Q43" s="14"/>
      <c r="R43" s="9"/>
      <c r="S43" s="9"/>
      <c r="T43" s="9"/>
      <c r="U43" s="21" t="str">
        <f>IF(COUNTA(J43:Q43)=0,"",IF(J43="","E_MISSING_INPUT",IF(J43="LAB",AF43,IF(J43="TIMESTAMP",IF(OR(K43="",L43="",M43=""),"E_MISSING_INPUT",IF(OR(NOT(ISNUMBER(K43)),NOT(ISNUMBER(L43))),"E_INVALID_DATE",IF(OR(K43&lt;&gt;INT(K43),L43&lt;0,L43&gt;=1),"E_INVALID_DATE",IF(ISNA(MATCH(M43,nLIST_Offset,0)),"E_INVALID_DATE","")))),IF(J43="DATE",IF(K43="","E_MISSING_INPUT",IF(NOT(ISNUMBER(K43)),"E_INVALID_DATE",IF(K43&lt;&gt;INT(K43),"E_INVALID_DATE",""))),IF(J43="MONTH",IF(OR(N43="",O43=""),"E_MISSING_INPUT",IF(OR(NOT(ISNUMBER(N43)),NOT(ISNUMBER(O43))),"E_INVALID_DATE",IF(OR(N43&lt;1900,N43&gt;9999,N43&lt;&gt;INT(N43),O43&lt;1,O43&gt;12,O43&lt;&gt;INT(O43)),"E_INVALID_DATE",""))),IF(J43="YEAR",IF(N43="","E_MISSING_INPUT",IF(NOT(ISNUMBER(N43)),"E_INVALID_DATE",IF(OR(N43&lt;1900,N43&gt;9999,N43&lt;&gt;INT(N43)),"E_INVALID_DATE",""))),IF(J43="RANGE",IF(OR(P43="",Q43=""),"E_MISSING_INPUT",IF(OR(NOT(ISNUMBER(P43)),NOT(ISNUMBER(Q43))),"E_INVALID_DATE",IF(OR(P43&lt;&gt;INT(P43),Q43&lt;&gt;INT(Q43)),"E_INVALID_DATE",IF(P43&gt;Q43,"E_REVERSED_BOUNDS","")))),"E_MISSING_INPUT"))))))))</f>
        <v/>
      </c>
      <c r="V43" s="22">
        <f t="shared" si="24"/>
        <v>0</v>
      </c>
      <c r="W43" s="22">
        <f t="shared" si="25"/>
        <v>0</v>
      </c>
      <c r="X43" s="28" t="str">
        <f>IF(OR(U43&lt;&gt;"",J43=""),"",IF(J43="LAB",INDEX(nMS_M_Lo,AB43),IF(OR(J43="TIMESTAMP",J43="DATE"),K43,IF(J43="MONTH",DATE(N43,O43,1),IF(J43="YEAR",DATE(N43,1,1),P43)))))</f>
        <v/>
      </c>
      <c r="Y43" s="28" t="str">
        <f>IF(OR(U43&lt;&gt;"",J43=""),"",IF(J43="LAB",INDEX(nMS_M_Hi,AC43),IF(OR(J43="TIMESTAMP",J43="DATE"),K43,IF(J43="MONTH",EOMONTH(DATE(N43,O43,1),0),IF(J43="YEAR",DATE(N43,12,31),Q43)))))</f>
        <v/>
      </c>
      <c r="Z43" s="22" t="str">
        <f t="shared" si="26"/>
        <v/>
      </c>
      <c r="AA43" s="22" t="str">
        <f t="shared" si="27"/>
        <v/>
      </c>
      <c r="AB43" s="22">
        <f>IF(R43="",0,IFERROR(MATCH(A43&amp;"|"&amp;B43&amp;"|"&amp;R43,nMS_Key,0),0))</f>
        <v>0</v>
      </c>
      <c r="AC43" s="22">
        <f>IF(S43="",0,IFERROR(MATCH(A43&amp;"|"&amp;B43&amp;"|"&amp;S43,nMS_Key,0),0))</f>
        <v>0</v>
      </c>
      <c r="AD43" s="21" t="str">
        <f>IF(J43&lt;&gt;"LAB","",IF(R43="","E_MISSING_INPUT",IF(AB43=0,"E_MISSING_INPUT",IF(INDEX(nMS_M_Lo,AB43)="",IF(INDEX(nMS_M_Err,AB43)="","E_MISSING_INPUT",INDEX(nMS_M_Err,AB43)),""))))</f>
        <v/>
      </c>
      <c r="AE43" s="21" t="str">
        <f>IF(J43&lt;&gt;"LAB","",IF(S43="","E_MISSING_INPUT",IF(AC43=0,"E_MISSING_INPUT",IF(INDEX(nMS_M_Lo,AC43)="",IF(INDEX(nMS_M_Err,AC43)="","E_MISSING_INPUT",INDEX(nMS_M_Err,AC43)),""))))</f>
        <v/>
      </c>
      <c r="AF43" s="21" t="str">
        <f>IF(J43&lt;&gt;"LAB","",IF(AND(AD43="",AE43=""),IF(IF(INDEX(nMS_M_HT,AB43)*INDEX(nMS_M_HT,AC43)=1,IF(INDEX(nMS_M_OK,AB43)*INDEX(nMS_M_OK,AC43)=1,INDEX(nMS_M_UTC,AB43)&gt;INDEX(nMS_M_UTC,AC43),INDEX(nMS_M_Loc,AB43)&gt;INDEX(nMS_M_Loc,AC43)),INDEX(nMS_M_Lo,AB43)&gt;INDEX(nMS_M_Hi,AC43)),"E_REVERSED_BOUNDS",""),MID(IF(OR(AD43="E_INVALID_DATE",AE43="E_INVALID_DATE"),"; E_INVALID_DATE","")&amp;IF(OR(AD43="E_REVERSED_BOUNDS",AE43="E_REVERSED_BOUNDS"),"; E_REVERSED_BOUNDS","")&amp;IF(OR(AD43="E_MISSING_INPUT",AE43="E_MISSING_INPUT"),"; E_MISSING_INPUT","")&amp;IF(OR(AD43="E_INVALID_UNIT",AE43="E_INVALID_UNIT"),"; E_INVALID_UNIT",""),3,99)))</f>
        <v/>
      </c>
      <c r="AG43" s="9"/>
      <c r="AH43" s="16"/>
      <c r="AI43" s="14"/>
      <c r="AJ43" s="25"/>
      <c r="AK43" s="9"/>
      <c r="AL43" s="11"/>
      <c r="AM43" s="11"/>
      <c r="AN43" s="14"/>
      <c r="AO43" s="14"/>
      <c r="AP43" s="9"/>
      <c r="AQ43" s="21" t="str">
        <f>IF(COUNTA(AH43:AO43)=0,"",IF(AH43="","E_MISSING_INPUT",IF(AH43="TIMESTAMP",IF(OR(AI43="",AJ43="",AK43=""),"E_MISSING_INPUT",IF(OR(NOT(ISNUMBER(AI43)),NOT(ISNUMBER(AJ43))),"E_INVALID_DATE",IF(OR(AI43&lt;&gt;INT(AI43),AJ43&lt;0,AJ43&gt;=1),"E_INVALID_DATE",IF(ISNA(MATCH(AK43,nLIST_Offset,0)),"E_INVALID_DATE","")))),IF(AH43="DATE",IF(AI43="","E_MISSING_INPUT",IF(NOT(ISNUMBER(AI43)),"E_INVALID_DATE",IF(AI43&lt;&gt;INT(AI43),"E_INVALID_DATE",""))),IF(AH43="MONTH",IF(OR(AL43="",AM43=""),"E_MISSING_INPUT",IF(OR(NOT(ISNUMBER(AL43)),NOT(ISNUMBER(AM43))),"E_INVALID_DATE",IF(OR(AL43&lt;1900,AL43&gt;9999,AL43&lt;&gt;INT(AL43),AM43&lt;1,AM43&gt;12,AM43&lt;&gt;INT(AM43)),"E_INVALID_DATE",""))),IF(AH43="YEAR",IF(AL43="","E_MISSING_INPUT",IF(NOT(ISNUMBER(AL43)),"E_INVALID_DATE",IF(OR(AL43&lt;1900,AL43&gt;9999,AL43&lt;&gt;INT(AL43)),"E_INVALID_DATE",""))),IF(AH43="RANGE",IF(OR(AN43="",AO43=""),"E_MISSING_INPUT",IF(OR(NOT(ISNUMBER(AN43)),NOT(ISNUMBER(AO43))),"E_INVALID_DATE",IF(OR(AN43&lt;&gt;INT(AN43),AO43&lt;&gt;INT(AO43)),"E_INVALID_DATE",IF(AN43&gt;AO43,"E_REVERSED_BOUNDS","")))),"E_MISSING_INPUT")))))))</f>
        <v/>
      </c>
      <c r="AR43" s="22">
        <f t="shared" si="28"/>
        <v>0</v>
      </c>
      <c r="AS43" s="22">
        <f t="shared" si="29"/>
        <v>0</v>
      </c>
      <c r="AT43" s="28" t="str">
        <f t="shared" si="30"/>
        <v/>
      </c>
      <c r="AU43" s="28" t="str">
        <f t="shared" si="31"/>
        <v/>
      </c>
      <c r="AV43" s="22" t="str">
        <f t="shared" si="32"/>
        <v/>
      </c>
      <c r="AW43" s="22" t="str">
        <f t="shared" si="33"/>
        <v/>
      </c>
      <c r="AX43" s="21" t="str">
        <f t="shared" si="34"/>
        <v>VEC-V29|1|EV1</v>
      </c>
      <c r="AY43" s="22">
        <f>IF(AX43="",0,COUNTIF(nEVT_Key,AX43))</f>
        <v>1</v>
      </c>
      <c r="AZ43" s="21" t="str">
        <f t="shared" si="35"/>
        <v/>
      </c>
      <c r="BA43" s="21" t="str">
        <f>IF(AZ43="","",AZ43&amp;": "&amp;SUBSTITUTE(IFERROR(INDEX(nMSG_Text,MATCH(AZ43,nMSG_Code,0)),""),"[input]",IF(D43="","an Episode_ID","the date fields required by the selected precision")))</f>
        <v/>
      </c>
    </row>
    <row r="44" spans="1:53" x14ac:dyDescent="0.2">
      <c r="A44" s="9" t="s">
        <v>367</v>
      </c>
      <c r="B44" s="11">
        <v>1</v>
      </c>
      <c r="C44" s="9" t="s">
        <v>728</v>
      </c>
      <c r="D44" s="9" t="s">
        <v>745</v>
      </c>
      <c r="E44" s="9" t="s">
        <v>746</v>
      </c>
      <c r="F44" s="9"/>
      <c r="G44" s="16"/>
      <c r="H44" s="9" t="s">
        <v>763</v>
      </c>
      <c r="I44" s="9"/>
      <c r="J44" s="16"/>
      <c r="K44" s="14"/>
      <c r="L44" s="25"/>
      <c r="M44" s="9"/>
      <c r="N44" s="11"/>
      <c r="O44" s="11"/>
      <c r="P44" s="14"/>
      <c r="Q44" s="14"/>
      <c r="R44" s="9"/>
      <c r="S44" s="9"/>
      <c r="T44" s="9"/>
      <c r="U44" s="21" t="str">
        <f>IF(COUNTA(J44:Q44)=0,"",IF(J44="","E_MISSING_INPUT",IF(J44="LAB",AF44,IF(J44="TIMESTAMP",IF(OR(K44="",L44="",M44=""),"E_MISSING_INPUT",IF(OR(NOT(ISNUMBER(K44)),NOT(ISNUMBER(L44))),"E_INVALID_DATE",IF(OR(K44&lt;&gt;INT(K44),L44&lt;0,L44&gt;=1),"E_INVALID_DATE",IF(ISNA(MATCH(M44,nLIST_Offset,0)),"E_INVALID_DATE","")))),IF(J44="DATE",IF(K44="","E_MISSING_INPUT",IF(NOT(ISNUMBER(K44)),"E_INVALID_DATE",IF(K44&lt;&gt;INT(K44),"E_INVALID_DATE",""))),IF(J44="MONTH",IF(OR(N44="",O44=""),"E_MISSING_INPUT",IF(OR(NOT(ISNUMBER(N44)),NOT(ISNUMBER(O44))),"E_INVALID_DATE",IF(OR(N44&lt;1900,N44&gt;9999,N44&lt;&gt;INT(N44),O44&lt;1,O44&gt;12,O44&lt;&gt;INT(O44)),"E_INVALID_DATE",""))),IF(J44="YEAR",IF(N44="","E_MISSING_INPUT",IF(NOT(ISNUMBER(N44)),"E_INVALID_DATE",IF(OR(N44&lt;1900,N44&gt;9999,N44&lt;&gt;INT(N44)),"E_INVALID_DATE",""))),IF(J44="RANGE",IF(OR(P44="",Q44=""),"E_MISSING_INPUT",IF(OR(NOT(ISNUMBER(P44)),NOT(ISNUMBER(Q44))),"E_INVALID_DATE",IF(OR(P44&lt;&gt;INT(P44),Q44&lt;&gt;INT(Q44)),"E_INVALID_DATE",IF(P44&gt;Q44,"E_REVERSED_BOUNDS","")))),"E_MISSING_INPUT"))))))))</f>
        <v/>
      </c>
      <c r="V44" s="22">
        <f t="shared" si="24"/>
        <v>0</v>
      </c>
      <c r="W44" s="22">
        <f t="shared" si="25"/>
        <v>0</v>
      </c>
      <c r="X44" s="28" t="str">
        <f>IF(OR(U44&lt;&gt;"",J44=""),"",IF(J44="LAB",INDEX(nMS_M_Lo,AB44),IF(OR(J44="TIMESTAMP",J44="DATE"),K44,IF(J44="MONTH",DATE(N44,O44,1),IF(J44="YEAR",DATE(N44,1,1),P44)))))</f>
        <v/>
      </c>
      <c r="Y44" s="28" t="str">
        <f>IF(OR(U44&lt;&gt;"",J44=""),"",IF(J44="LAB",INDEX(nMS_M_Hi,AC44),IF(OR(J44="TIMESTAMP",J44="DATE"),K44,IF(J44="MONTH",EOMONTH(DATE(N44,O44,1),0),IF(J44="YEAR",DATE(N44,12,31),Q44)))))</f>
        <v/>
      </c>
      <c r="Z44" s="22" t="str">
        <f t="shared" si="26"/>
        <v/>
      </c>
      <c r="AA44" s="22" t="str">
        <f t="shared" si="27"/>
        <v/>
      </c>
      <c r="AB44" s="22">
        <f>IF(R44="",0,IFERROR(MATCH(A44&amp;"|"&amp;B44&amp;"|"&amp;R44,nMS_Key,0),0))</f>
        <v>0</v>
      </c>
      <c r="AC44" s="22">
        <f>IF(S44="",0,IFERROR(MATCH(A44&amp;"|"&amp;B44&amp;"|"&amp;S44,nMS_Key,0),0))</f>
        <v>0</v>
      </c>
      <c r="AD44" s="21" t="str">
        <f>IF(J44&lt;&gt;"LAB","",IF(R44="","E_MISSING_INPUT",IF(AB44=0,"E_MISSING_INPUT",IF(INDEX(nMS_M_Lo,AB44)="",IF(INDEX(nMS_M_Err,AB44)="","E_MISSING_INPUT",INDEX(nMS_M_Err,AB44)),""))))</f>
        <v/>
      </c>
      <c r="AE44" s="21" t="str">
        <f>IF(J44&lt;&gt;"LAB","",IF(S44="","E_MISSING_INPUT",IF(AC44=0,"E_MISSING_INPUT",IF(INDEX(nMS_M_Lo,AC44)="",IF(INDEX(nMS_M_Err,AC44)="","E_MISSING_INPUT",INDEX(nMS_M_Err,AC44)),""))))</f>
        <v/>
      </c>
      <c r="AF44" s="21" t="str">
        <f>IF(J44&lt;&gt;"LAB","",IF(AND(AD44="",AE44=""),IF(IF(INDEX(nMS_M_HT,AB44)*INDEX(nMS_M_HT,AC44)=1,IF(INDEX(nMS_M_OK,AB44)*INDEX(nMS_M_OK,AC44)=1,INDEX(nMS_M_UTC,AB44)&gt;INDEX(nMS_M_UTC,AC44),INDEX(nMS_M_Loc,AB44)&gt;INDEX(nMS_M_Loc,AC44)),INDEX(nMS_M_Lo,AB44)&gt;INDEX(nMS_M_Hi,AC44)),"E_REVERSED_BOUNDS",""),MID(IF(OR(AD44="E_INVALID_DATE",AE44="E_INVALID_DATE"),"; E_INVALID_DATE","")&amp;IF(OR(AD44="E_REVERSED_BOUNDS",AE44="E_REVERSED_BOUNDS"),"; E_REVERSED_BOUNDS","")&amp;IF(OR(AD44="E_MISSING_INPUT",AE44="E_MISSING_INPUT"),"; E_MISSING_INPUT","")&amp;IF(OR(AD44="E_INVALID_UNIT",AE44="E_INVALID_UNIT"),"; E_INVALID_UNIT",""),3,99)))</f>
        <v/>
      </c>
      <c r="AG44" s="9"/>
      <c r="AH44" s="16"/>
      <c r="AI44" s="14"/>
      <c r="AJ44" s="25"/>
      <c r="AK44" s="9"/>
      <c r="AL44" s="11"/>
      <c r="AM44" s="11"/>
      <c r="AN44" s="14"/>
      <c r="AO44" s="14"/>
      <c r="AP44" s="9"/>
      <c r="AQ44" s="21" t="str">
        <f>IF(COUNTA(AH44:AO44)=0,"",IF(AH44="","E_MISSING_INPUT",IF(AH44="TIMESTAMP",IF(OR(AI44="",AJ44="",AK44=""),"E_MISSING_INPUT",IF(OR(NOT(ISNUMBER(AI44)),NOT(ISNUMBER(AJ44))),"E_INVALID_DATE",IF(OR(AI44&lt;&gt;INT(AI44),AJ44&lt;0,AJ44&gt;=1),"E_INVALID_DATE",IF(ISNA(MATCH(AK44,nLIST_Offset,0)),"E_INVALID_DATE","")))),IF(AH44="DATE",IF(AI44="","E_MISSING_INPUT",IF(NOT(ISNUMBER(AI44)),"E_INVALID_DATE",IF(AI44&lt;&gt;INT(AI44),"E_INVALID_DATE",""))),IF(AH44="MONTH",IF(OR(AL44="",AM44=""),"E_MISSING_INPUT",IF(OR(NOT(ISNUMBER(AL44)),NOT(ISNUMBER(AM44))),"E_INVALID_DATE",IF(OR(AL44&lt;1900,AL44&gt;9999,AL44&lt;&gt;INT(AL44),AM44&lt;1,AM44&gt;12,AM44&lt;&gt;INT(AM44)),"E_INVALID_DATE",""))),IF(AH44="YEAR",IF(AL44="","E_MISSING_INPUT",IF(NOT(ISNUMBER(AL44)),"E_INVALID_DATE",IF(OR(AL44&lt;1900,AL44&gt;9999,AL44&lt;&gt;INT(AL44)),"E_INVALID_DATE",""))),IF(AH44="RANGE",IF(OR(AN44="",AO44=""),"E_MISSING_INPUT",IF(OR(NOT(ISNUMBER(AN44)),NOT(ISNUMBER(AO44))),"E_INVALID_DATE",IF(OR(AN44&lt;&gt;INT(AN44),AO44&lt;&gt;INT(AO44)),"E_INVALID_DATE",IF(AN44&gt;AO44,"E_REVERSED_BOUNDS","")))),"E_MISSING_INPUT")))))))</f>
        <v/>
      </c>
      <c r="AR44" s="22">
        <f t="shared" si="28"/>
        <v>0</v>
      </c>
      <c r="AS44" s="22">
        <f t="shared" si="29"/>
        <v>0</v>
      </c>
      <c r="AT44" s="28" t="str">
        <f t="shared" si="30"/>
        <v/>
      </c>
      <c r="AU44" s="28" t="str">
        <f t="shared" si="31"/>
        <v/>
      </c>
      <c r="AV44" s="22" t="str">
        <f t="shared" si="32"/>
        <v/>
      </c>
      <c r="AW44" s="22" t="str">
        <f t="shared" si="33"/>
        <v/>
      </c>
      <c r="AX44" s="21" t="str">
        <f t="shared" si="34"/>
        <v>VEC-V30|1|EV1</v>
      </c>
      <c r="AY44" s="22">
        <f>IF(AX44="",0,COUNTIF(nEVT_Key,AX44))</f>
        <v>1</v>
      </c>
      <c r="AZ44" s="21" t="str">
        <f t="shared" si="35"/>
        <v/>
      </c>
      <c r="BA44" s="21" t="str">
        <f>IF(AZ44="","",AZ44&amp;": "&amp;SUBSTITUTE(IFERROR(INDEX(nMSG_Text,MATCH(AZ44,nMSG_Code,0)),""),"[input]",IF(D44="","an Episode_ID","the date fields required by the selected precision")))</f>
        <v/>
      </c>
    </row>
    <row r="45" spans="1:53" x14ac:dyDescent="0.2">
      <c r="A45" s="9" t="s">
        <v>369</v>
      </c>
      <c r="B45" s="11">
        <v>1</v>
      </c>
      <c r="C45" s="9" t="s">
        <v>728</v>
      </c>
      <c r="D45" s="9" t="s">
        <v>745</v>
      </c>
      <c r="E45" s="9" t="s">
        <v>746</v>
      </c>
      <c r="F45" s="9"/>
      <c r="G45" s="16"/>
      <c r="H45" s="9"/>
      <c r="I45" s="9" t="s">
        <v>767</v>
      </c>
      <c r="J45" s="16" t="s">
        <v>9</v>
      </c>
      <c r="K45" s="14"/>
      <c r="L45" s="25"/>
      <c r="M45" s="9"/>
      <c r="N45" s="11"/>
      <c r="O45" s="11"/>
      <c r="P45" s="14"/>
      <c r="Q45" s="14"/>
      <c r="R45" s="9" t="s">
        <v>764</v>
      </c>
      <c r="S45" s="9" t="s">
        <v>766</v>
      </c>
      <c r="T45" s="9" t="s">
        <v>765</v>
      </c>
      <c r="U45" s="21" t="str">
        <f>IF(COUNTA(J45:Q45)=0,"",IF(J45="","E_MISSING_INPUT",IF(J45="LAB",AF45,IF(J45="TIMESTAMP",IF(OR(K45="",L45="",M45=""),"E_MISSING_INPUT",IF(OR(NOT(ISNUMBER(K45)),NOT(ISNUMBER(L45))),"E_INVALID_DATE",IF(OR(K45&lt;&gt;INT(K45),L45&lt;0,L45&gt;=1),"E_INVALID_DATE",IF(ISNA(MATCH(M45,nLIST_Offset,0)),"E_INVALID_DATE","")))),IF(J45="DATE",IF(K45="","E_MISSING_INPUT",IF(NOT(ISNUMBER(K45)),"E_INVALID_DATE",IF(K45&lt;&gt;INT(K45),"E_INVALID_DATE",""))),IF(J45="MONTH",IF(OR(N45="",O45=""),"E_MISSING_INPUT",IF(OR(NOT(ISNUMBER(N45)),NOT(ISNUMBER(O45))),"E_INVALID_DATE",IF(OR(N45&lt;1900,N45&gt;9999,N45&lt;&gt;INT(N45),O45&lt;1,O45&gt;12,O45&lt;&gt;INT(O45)),"E_INVALID_DATE",""))),IF(J45="YEAR",IF(N45="","E_MISSING_INPUT",IF(NOT(ISNUMBER(N45)),"E_INVALID_DATE",IF(OR(N45&lt;1900,N45&gt;9999,N45&lt;&gt;INT(N45)),"E_INVALID_DATE",""))),IF(J45="RANGE",IF(OR(P45="",Q45=""),"E_MISSING_INPUT",IF(OR(NOT(ISNUMBER(P45)),NOT(ISNUMBER(Q45))),"E_INVALID_DATE",IF(OR(P45&lt;&gt;INT(P45),Q45&lt;&gt;INT(Q45)),"E_INVALID_DATE",IF(P45&gt;Q45,"E_REVERSED_BOUNDS","")))),"E_MISSING_INPUT"))))))))</f>
        <v/>
      </c>
      <c r="V45" s="22">
        <f t="shared" si="24"/>
        <v>0</v>
      </c>
      <c r="W45" s="22">
        <f t="shared" si="25"/>
        <v>0</v>
      </c>
      <c r="X45" s="28">
        <f>IF(OR(U45&lt;&gt;"",J45=""),"",IF(J45="LAB",INDEX(nMS_M_Lo,AB45),IF(OR(J45="TIMESTAMP",J45="DATE"),K45,IF(J45="MONTH",DATE(N45,O45,1),IF(J45="YEAR",DATE(N45,1,1),P45)))))</f>
        <v>46096</v>
      </c>
      <c r="Y45" s="28">
        <f>IF(OR(U45&lt;&gt;"",J45=""),"",IF(J45="LAB",INDEX(nMS_M_Hi,AC45),IF(OR(J45="TIMESTAMP",J45="DATE"),K45,IF(J45="MONTH",EOMONTH(DATE(N45,O45,1),0),IF(J45="YEAR",DATE(N45,12,31),Q45)))))</f>
        <v>46110</v>
      </c>
      <c r="Z45" s="22" t="str">
        <f t="shared" si="26"/>
        <v/>
      </c>
      <c r="AA45" s="22" t="str">
        <f t="shared" si="27"/>
        <v/>
      </c>
      <c r="AB45" s="22">
        <f>IF(R45="",0,IFERROR(MATCH(A45&amp;"|"&amp;B45&amp;"|"&amp;R45,nMS_Key,0),0))</f>
        <v>71</v>
      </c>
      <c r="AC45" s="22">
        <f>IF(S45="",0,IFERROR(MATCH(A45&amp;"|"&amp;B45&amp;"|"&amp;S45,nMS_Key,0),0))</f>
        <v>72</v>
      </c>
      <c r="AD45" s="21" t="str">
        <f>IF(J45&lt;&gt;"LAB","",IF(R45="","E_MISSING_INPUT",IF(AB45=0,"E_MISSING_INPUT",IF(INDEX(nMS_M_Lo,AB45)="",IF(INDEX(nMS_M_Err,AB45)="","E_MISSING_INPUT",INDEX(nMS_M_Err,AB45)),""))))</f>
        <v/>
      </c>
      <c r="AE45" s="21" t="str">
        <f>IF(J45&lt;&gt;"LAB","",IF(S45="","E_MISSING_INPUT",IF(AC45=0,"E_MISSING_INPUT",IF(INDEX(nMS_M_Lo,AC45)="",IF(INDEX(nMS_M_Err,AC45)="","E_MISSING_INPUT",INDEX(nMS_M_Err,AC45)),""))))</f>
        <v/>
      </c>
      <c r="AF45" s="21" t="str">
        <f>IF(J45&lt;&gt;"LAB","",IF(AND(AD45="",AE45=""),IF(IF(INDEX(nMS_M_HT,AB45)*INDEX(nMS_M_HT,AC45)=1,IF(INDEX(nMS_M_OK,AB45)*INDEX(nMS_M_OK,AC45)=1,INDEX(nMS_M_UTC,AB45)&gt;INDEX(nMS_M_UTC,AC45),INDEX(nMS_M_Loc,AB45)&gt;INDEX(nMS_M_Loc,AC45)),INDEX(nMS_M_Lo,AB45)&gt;INDEX(nMS_M_Hi,AC45)),"E_REVERSED_BOUNDS",""),MID(IF(OR(AD45="E_INVALID_DATE",AE45="E_INVALID_DATE"),"; E_INVALID_DATE","")&amp;IF(OR(AD45="E_REVERSED_BOUNDS",AE45="E_REVERSED_BOUNDS"),"; E_REVERSED_BOUNDS","")&amp;IF(OR(AD45="E_MISSING_INPUT",AE45="E_MISSING_INPUT"),"; E_MISSING_INPUT","")&amp;IF(OR(AD45="E_INVALID_UNIT",AE45="E_INVALID_UNIT"),"; E_INVALID_UNIT",""),3,99)))</f>
        <v/>
      </c>
      <c r="AG45" s="9"/>
      <c r="AH45" s="16"/>
      <c r="AI45" s="14"/>
      <c r="AJ45" s="25"/>
      <c r="AK45" s="9"/>
      <c r="AL45" s="11"/>
      <c r="AM45" s="11"/>
      <c r="AN45" s="14"/>
      <c r="AO45" s="14"/>
      <c r="AP45" s="9"/>
      <c r="AQ45" s="21" t="str">
        <f>IF(COUNTA(AH45:AO45)=0,"",IF(AH45="","E_MISSING_INPUT",IF(AH45="TIMESTAMP",IF(OR(AI45="",AJ45="",AK45=""),"E_MISSING_INPUT",IF(OR(NOT(ISNUMBER(AI45)),NOT(ISNUMBER(AJ45))),"E_INVALID_DATE",IF(OR(AI45&lt;&gt;INT(AI45),AJ45&lt;0,AJ45&gt;=1),"E_INVALID_DATE",IF(ISNA(MATCH(AK45,nLIST_Offset,0)),"E_INVALID_DATE","")))),IF(AH45="DATE",IF(AI45="","E_MISSING_INPUT",IF(NOT(ISNUMBER(AI45)),"E_INVALID_DATE",IF(AI45&lt;&gt;INT(AI45),"E_INVALID_DATE",""))),IF(AH45="MONTH",IF(OR(AL45="",AM45=""),"E_MISSING_INPUT",IF(OR(NOT(ISNUMBER(AL45)),NOT(ISNUMBER(AM45))),"E_INVALID_DATE",IF(OR(AL45&lt;1900,AL45&gt;9999,AL45&lt;&gt;INT(AL45),AM45&lt;1,AM45&gt;12,AM45&lt;&gt;INT(AM45)),"E_INVALID_DATE",""))),IF(AH45="YEAR",IF(AL45="","E_MISSING_INPUT",IF(NOT(ISNUMBER(AL45)),"E_INVALID_DATE",IF(OR(AL45&lt;1900,AL45&gt;9999,AL45&lt;&gt;INT(AL45)),"E_INVALID_DATE",""))),IF(AH45="RANGE",IF(OR(AN45="",AO45=""),"E_MISSING_INPUT",IF(OR(NOT(ISNUMBER(AN45)),NOT(ISNUMBER(AO45))),"E_INVALID_DATE",IF(OR(AN45&lt;&gt;INT(AN45),AO45&lt;&gt;INT(AO45)),"E_INVALID_DATE",IF(AN45&gt;AO45,"E_REVERSED_BOUNDS","")))),"E_MISSING_INPUT")))))))</f>
        <v/>
      </c>
      <c r="AR45" s="22">
        <f t="shared" si="28"/>
        <v>0</v>
      </c>
      <c r="AS45" s="22">
        <f t="shared" si="29"/>
        <v>0</v>
      </c>
      <c r="AT45" s="28" t="str">
        <f t="shared" si="30"/>
        <v/>
      </c>
      <c r="AU45" s="28" t="str">
        <f t="shared" si="31"/>
        <v/>
      </c>
      <c r="AV45" s="22" t="str">
        <f t="shared" si="32"/>
        <v/>
      </c>
      <c r="AW45" s="22" t="str">
        <f t="shared" si="33"/>
        <v/>
      </c>
      <c r="AX45" s="21" t="str">
        <f t="shared" si="34"/>
        <v>VEC-V31|1|EV1</v>
      </c>
      <c r="AY45" s="22">
        <f>IF(AX45="",0,COUNTIF(nEVT_Key,AX45))</f>
        <v>1</v>
      </c>
      <c r="AZ45" s="21" t="str">
        <f t="shared" si="35"/>
        <v/>
      </c>
      <c r="BA45" s="21" t="str">
        <f>IF(AZ45="","",AZ45&amp;": "&amp;SUBSTITUTE(IFERROR(INDEX(nMSG_Text,MATCH(AZ45,nMSG_Code,0)),""),"[input]",IF(D45="","an Episode_ID","the date fields required by the selected precision")))</f>
        <v/>
      </c>
    </row>
    <row r="46" spans="1:53" x14ac:dyDescent="0.2">
      <c r="A46" s="9" t="s">
        <v>373</v>
      </c>
      <c r="B46" s="11">
        <v>1</v>
      </c>
      <c r="C46" s="9" t="s">
        <v>728</v>
      </c>
      <c r="D46" s="9" t="s">
        <v>745</v>
      </c>
      <c r="E46" s="9" t="s">
        <v>746</v>
      </c>
      <c r="F46" s="9"/>
      <c r="G46" s="16"/>
      <c r="H46" s="9"/>
      <c r="I46" s="9" t="s">
        <v>750</v>
      </c>
      <c r="J46" s="16" t="s">
        <v>3</v>
      </c>
      <c r="K46" s="14">
        <v>46083</v>
      </c>
      <c r="L46" s="25">
        <v>0.83333333333333304</v>
      </c>
      <c r="M46" s="9" t="s">
        <v>20</v>
      </c>
      <c r="N46" s="11"/>
      <c r="O46" s="11"/>
      <c r="P46" s="14"/>
      <c r="Q46" s="14"/>
      <c r="R46" s="9"/>
      <c r="S46" s="9"/>
      <c r="T46" s="9" t="s">
        <v>673</v>
      </c>
      <c r="U46" s="21" t="str">
        <f>IF(COUNTA(J46:Q46)=0,"",IF(J46="","E_MISSING_INPUT",IF(J46="LAB",AF46,IF(J46="TIMESTAMP",IF(OR(K46="",L46="",M46=""),"E_MISSING_INPUT",IF(OR(NOT(ISNUMBER(K46)),NOT(ISNUMBER(L46))),"E_INVALID_DATE",IF(OR(K46&lt;&gt;INT(K46),L46&lt;0,L46&gt;=1),"E_INVALID_DATE",IF(ISNA(MATCH(M46,nLIST_Offset,0)),"E_INVALID_DATE","")))),IF(J46="DATE",IF(K46="","E_MISSING_INPUT",IF(NOT(ISNUMBER(K46)),"E_INVALID_DATE",IF(K46&lt;&gt;INT(K46),"E_INVALID_DATE",""))),IF(J46="MONTH",IF(OR(N46="",O46=""),"E_MISSING_INPUT",IF(OR(NOT(ISNUMBER(N46)),NOT(ISNUMBER(O46))),"E_INVALID_DATE",IF(OR(N46&lt;1900,N46&gt;9999,N46&lt;&gt;INT(N46),O46&lt;1,O46&gt;12,O46&lt;&gt;INT(O46)),"E_INVALID_DATE",""))),IF(J46="YEAR",IF(N46="","E_MISSING_INPUT",IF(NOT(ISNUMBER(N46)),"E_INVALID_DATE",IF(OR(N46&lt;1900,N46&gt;9999,N46&lt;&gt;INT(N46)),"E_INVALID_DATE",""))),IF(J46="RANGE",IF(OR(P46="",Q46=""),"E_MISSING_INPUT",IF(OR(NOT(ISNUMBER(P46)),NOT(ISNUMBER(Q46))),"E_INVALID_DATE",IF(OR(P46&lt;&gt;INT(P46),Q46&lt;&gt;INT(Q46)),"E_INVALID_DATE",IF(P46&gt;Q46,"E_REVERSED_BOUNDS","")))),"E_MISSING_INPUT"))))))))</f>
        <v/>
      </c>
      <c r="V46" s="22">
        <f t="shared" si="24"/>
        <v>1</v>
      </c>
      <c r="W46" s="22">
        <f t="shared" si="25"/>
        <v>1</v>
      </c>
      <c r="X46" s="28">
        <f>IF(OR(U46&lt;&gt;"",J46=""),"",IF(J46="LAB",INDEX(nMS_M_Lo,AB46),IF(OR(J46="TIMESTAMP",J46="DATE"),K46,IF(J46="MONTH",DATE(N46,O46,1),IF(J46="YEAR",DATE(N46,1,1),P46)))))</f>
        <v>46083</v>
      </c>
      <c r="Y46" s="28">
        <f>IF(OR(U46&lt;&gt;"",J46=""),"",IF(J46="LAB",INDEX(nMS_M_Hi,AC46),IF(OR(J46="TIMESTAMP",J46="DATE"),K46,IF(J46="MONTH",EOMONTH(DATE(N46,O46,1),0),IF(J46="YEAR",DATE(N46,12,31),Q46)))))</f>
        <v>46083</v>
      </c>
      <c r="Z46" s="22">
        <f t="shared" si="26"/>
        <v>66360720</v>
      </c>
      <c r="AA46" s="22">
        <f t="shared" si="27"/>
        <v>66361020</v>
      </c>
      <c r="AB46" s="22">
        <f>IF(R46="",0,IFERROR(MATCH(A46&amp;"|"&amp;B46&amp;"|"&amp;R46,nMS_Key,0),0))</f>
        <v>0</v>
      </c>
      <c r="AC46" s="22">
        <f>IF(S46="",0,IFERROR(MATCH(A46&amp;"|"&amp;B46&amp;"|"&amp;S46,nMS_Key,0),0))</f>
        <v>0</v>
      </c>
      <c r="AD46" s="21" t="str">
        <f>IF(J46&lt;&gt;"LAB","",IF(R46="","E_MISSING_INPUT",IF(AB46=0,"E_MISSING_INPUT",IF(INDEX(nMS_M_Lo,AB46)="",IF(INDEX(nMS_M_Err,AB46)="","E_MISSING_INPUT",INDEX(nMS_M_Err,AB46)),""))))</f>
        <v/>
      </c>
      <c r="AE46" s="21" t="str">
        <f>IF(J46&lt;&gt;"LAB","",IF(S46="","E_MISSING_INPUT",IF(AC46=0,"E_MISSING_INPUT",IF(INDEX(nMS_M_Lo,AC46)="",IF(INDEX(nMS_M_Err,AC46)="","E_MISSING_INPUT",INDEX(nMS_M_Err,AC46)),""))))</f>
        <v/>
      </c>
      <c r="AF46" s="21" t="str">
        <f>IF(J46&lt;&gt;"LAB","",IF(AND(AD46="",AE46=""),IF(IF(INDEX(nMS_M_HT,AB46)*INDEX(nMS_M_HT,AC46)=1,IF(INDEX(nMS_M_OK,AB46)*INDEX(nMS_M_OK,AC46)=1,INDEX(nMS_M_UTC,AB46)&gt;INDEX(nMS_M_UTC,AC46),INDEX(nMS_M_Loc,AB46)&gt;INDEX(nMS_M_Loc,AC46)),INDEX(nMS_M_Lo,AB46)&gt;INDEX(nMS_M_Hi,AC46)),"E_REVERSED_BOUNDS",""),MID(IF(OR(AD46="E_INVALID_DATE",AE46="E_INVALID_DATE"),"; E_INVALID_DATE","")&amp;IF(OR(AD46="E_REVERSED_BOUNDS",AE46="E_REVERSED_BOUNDS"),"; E_REVERSED_BOUNDS","")&amp;IF(OR(AD46="E_MISSING_INPUT",AE46="E_MISSING_INPUT"),"; E_MISSING_INPUT","")&amp;IF(OR(AD46="E_INVALID_UNIT",AE46="E_INVALID_UNIT"),"; E_INVALID_UNIT",""),3,99)))</f>
        <v/>
      </c>
      <c r="AG46" s="9"/>
      <c r="AH46" s="16"/>
      <c r="AI46" s="14"/>
      <c r="AJ46" s="25"/>
      <c r="AK46" s="9"/>
      <c r="AL46" s="11"/>
      <c r="AM46" s="11"/>
      <c r="AN46" s="14"/>
      <c r="AO46" s="14"/>
      <c r="AP46" s="9"/>
      <c r="AQ46" s="21" t="str">
        <f>IF(COUNTA(AH46:AO46)=0,"",IF(AH46="","E_MISSING_INPUT",IF(AH46="TIMESTAMP",IF(OR(AI46="",AJ46="",AK46=""),"E_MISSING_INPUT",IF(OR(NOT(ISNUMBER(AI46)),NOT(ISNUMBER(AJ46))),"E_INVALID_DATE",IF(OR(AI46&lt;&gt;INT(AI46),AJ46&lt;0,AJ46&gt;=1),"E_INVALID_DATE",IF(ISNA(MATCH(AK46,nLIST_Offset,0)),"E_INVALID_DATE","")))),IF(AH46="DATE",IF(AI46="","E_MISSING_INPUT",IF(NOT(ISNUMBER(AI46)),"E_INVALID_DATE",IF(AI46&lt;&gt;INT(AI46),"E_INVALID_DATE",""))),IF(AH46="MONTH",IF(OR(AL46="",AM46=""),"E_MISSING_INPUT",IF(OR(NOT(ISNUMBER(AL46)),NOT(ISNUMBER(AM46))),"E_INVALID_DATE",IF(OR(AL46&lt;1900,AL46&gt;9999,AL46&lt;&gt;INT(AL46),AM46&lt;1,AM46&gt;12,AM46&lt;&gt;INT(AM46)),"E_INVALID_DATE",""))),IF(AH46="YEAR",IF(AL46="","E_MISSING_INPUT",IF(NOT(ISNUMBER(AL46)),"E_INVALID_DATE",IF(OR(AL46&lt;1900,AL46&gt;9999,AL46&lt;&gt;INT(AL46)),"E_INVALID_DATE",""))),IF(AH46="RANGE",IF(OR(AN46="",AO46=""),"E_MISSING_INPUT",IF(OR(NOT(ISNUMBER(AN46)),NOT(ISNUMBER(AO46))),"E_INVALID_DATE",IF(OR(AN46&lt;&gt;INT(AN46),AO46&lt;&gt;INT(AO46)),"E_INVALID_DATE",IF(AN46&gt;AO46,"E_REVERSED_BOUNDS","")))),"E_MISSING_INPUT")))))))</f>
        <v/>
      </c>
      <c r="AR46" s="22">
        <f t="shared" si="28"/>
        <v>0</v>
      </c>
      <c r="AS46" s="22">
        <f t="shared" si="29"/>
        <v>0</v>
      </c>
      <c r="AT46" s="28" t="str">
        <f t="shared" si="30"/>
        <v/>
      </c>
      <c r="AU46" s="28" t="str">
        <f t="shared" si="31"/>
        <v/>
      </c>
      <c r="AV46" s="22" t="str">
        <f t="shared" si="32"/>
        <v/>
      </c>
      <c r="AW46" s="22" t="str">
        <f t="shared" si="33"/>
        <v/>
      </c>
      <c r="AX46" s="21" t="str">
        <f t="shared" si="34"/>
        <v>VEC-V33|1|EV1</v>
      </c>
      <c r="AY46" s="22">
        <f>IF(AX46="",0,COUNTIF(nEVT_Key,AX46))</f>
        <v>1</v>
      </c>
      <c r="AZ46" s="21" t="str">
        <f t="shared" si="35"/>
        <v/>
      </c>
      <c r="BA46" s="21" t="str">
        <f>IF(AZ46="","",AZ46&amp;": "&amp;SUBSTITUTE(IFERROR(INDEX(nMSG_Text,MATCH(AZ46,nMSG_Code,0)),""),"[input]",IF(D46="","an Episode_ID","the date fields required by the selected precision")))</f>
        <v/>
      </c>
    </row>
    <row r="47" spans="1:53" x14ac:dyDescent="0.2">
      <c r="A47" s="9" t="s">
        <v>375</v>
      </c>
      <c r="B47" s="11">
        <v>1</v>
      </c>
      <c r="C47" s="9" t="s">
        <v>728</v>
      </c>
      <c r="D47" s="9" t="s">
        <v>745</v>
      </c>
      <c r="E47" s="9" t="s">
        <v>746</v>
      </c>
      <c r="F47" s="9"/>
      <c r="G47" s="16"/>
      <c r="H47" s="9"/>
      <c r="I47" s="9" t="s">
        <v>768</v>
      </c>
      <c r="J47" s="16" t="s">
        <v>4</v>
      </c>
      <c r="K47" s="14">
        <v>46093</v>
      </c>
      <c r="L47" s="25"/>
      <c r="M47" s="9"/>
      <c r="N47" s="11"/>
      <c r="O47" s="11"/>
      <c r="P47" s="14"/>
      <c r="Q47" s="14"/>
      <c r="R47" s="9"/>
      <c r="S47" s="9"/>
      <c r="T47" s="9" t="s">
        <v>675</v>
      </c>
      <c r="U47" s="21" t="str">
        <f>IF(COUNTA(J47:Q47)=0,"",IF(J47="","E_MISSING_INPUT",IF(J47="LAB",AF47,IF(J47="TIMESTAMP",IF(OR(K47="",L47="",M47=""),"E_MISSING_INPUT",IF(OR(NOT(ISNUMBER(K47)),NOT(ISNUMBER(L47))),"E_INVALID_DATE",IF(OR(K47&lt;&gt;INT(K47),L47&lt;0,L47&gt;=1),"E_INVALID_DATE",IF(ISNA(MATCH(M47,nLIST_Offset,0)),"E_INVALID_DATE","")))),IF(J47="DATE",IF(K47="","E_MISSING_INPUT",IF(NOT(ISNUMBER(K47)),"E_INVALID_DATE",IF(K47&lt;&gt;INT(K47),"E_INVALID_DATE",""))),IF(J47="MONTH",IF(OR(N47="",O47=""),"E_MISSING_INPUT",IF(OR(NOT(ISNUMBER(N47)),NOT(ISNUMBER(O47))),"E_INVALID_DATE",IF(OR(N47&lt;1900,N47&gt;9999,N47&lt;&gt;INT(N47),O47&lt;1,O47&gt;12,O47&lt;&gt;INT(O47)),"E_INVALID_DATE",""))),IF(J47="YEAR",IF(N47="","E_MISSING_INPUT",IF(NOT(ISNUMBER(N47)),"E_INVALID_DATE",IF(OR(N47&lt;1900,N47&gt;9999,N47&lt;&gt;INT(N47)),"E_INVALID_DATE",""))),IF(J47="RANGE",IF(OR(P47="",Q47=""),"E_MISSING_INPUT",IF(OR(NOT(ISNUMBER(P47)),NOT(ISNUMBER(Q47))),"E_INVALID_DATE",IF(OR(P47&lt;&gt;INT(P47),Q47&lt;&gt;INT(Q47)),"E_INVALID_DATE",IF(P47&gt;Q47,"E_REVERSED_BOUNDS","")))),"E_MISSING_INPUT"))))))))</f>
        <v/>
      </c>
      <c r="V47" s="22">
        <f t="shared" si="24"/>
        <v>0</v>
      </c>
      <c r="W47" s="22">
        <f t="shared" si="25"/>
        <v>0</v>
      </c>
      <c r="X47" s="28">
        <f>IF(OR(U47&lt;&gt;"",J47=""),"",IF(J47="LAB",INDEX(nMS_M_Lo,AB47),IF(OR(J47="TIMESTAMP",J47="DATE"),K47,IF(J47="MONTH",DATE(N47,O47,1),IF(J47="YEAR",DATE(N47,1,1),P47)))))</f>
        <v>46093</v>
      </c>
      <c r="Y47" s="28">
        <f>IF(OR(U47&lt;&gt;"",J47=""),"",IF(J47="LAB",INDEX(nMS_M_Hi,AC47),IF(OR(J47="TIMESTAMP",J47="DATE"),K47,IF(J47="MONTH",EOMONTH(DATE(N47,O47,1),0),IF(J47="YEAR",DATE(N47,12,31),Q47)))))</f>
        <v>46093</v>
      </c>
      <c r="Z47" s="22" t="str">
        <f t="shared" si="26"/>
        <v/>
      </c>
      <c r="AA47" s="22" t="str">
        <f t="shared" si="27"/>
        <v/>
      </c>
      <c r="AB47" s="22">
        <f>IF(R47="",0,IFERROR(MATCH(A47&amp;"|"&amp;B47&amp;"|"&amp;R47,nMS_Key,0),0))</f>
        <v>0</v>
      </c>
      <c r="AC47" s="22">
        <f>IF(S47="",0,IFERROR(MATCH(A47&amp;"|"&amp;B47&amp;"|"&amp;S47,nMS_Key,0),0))</f>
        <v>0</v>
      </c>
      <c r="AD47" s="21" t="str">
        <f>IF(J47&lt;&gt;"LAB","",IF(R47="","E_MISSING_INPUT",IF(AB47=0,"E_MISSING_INPUT",IF(INDEX(nMS_M_Lo,AB47)="",IF(INDEX(nMS_M_Err,AB47)="","E_MISSING_INPUT",INDEX(nMS_M_Err,AB47)),""))))</f>
        <v/>
      </c>
      <c r="AE47" s="21" t="str">
        <f>IF(J47&lt;&gt;"LAB","",IF(S47="","E_MISSING_INPUT",IF(AC47=0,"E_MISSING_INPUT",IF(INDEX(nMS_M_Lo,AC47)="",IF(INDEX(nMS_M_Err,AC47)="","E_MISSING_INPUT",INDEX(nMS_M_Err,AC47)),""))))</f>
        <v/>
      </c>
      <c r="AF47" s="21" t="str">
        <f>IF(J47&lt;&gt;"LAB","",IF(AND(AD47="",AE47=""),IF(IF(INDEX(nMS_M_HT,AB47)*INDEX(nMS_M_HT,AC47)=1,IF(INDEX(nMS_M_OK,AB47)*INDEX(nMS_M_OK,AC47)=1,INDEX(nMS_M_UTC,AB47)&gt;INDEX(nMS_M_UTC,AC47),INDEX(nMS_M_Loc,AB47)&gt;INDEX(nMS_M_Loc,AC47)),INDEX(nMS_M_Lo,AB47)&gt;INDEX(nMS_M_Hi,AC47)),"E_REVERSED_BOUNDS",""),MID(IF(OR(AD47="E_INVALID_DATE",AE47="E_INVALID_DATE"),"; E_INVALID_DATE","")&amp;IF(OR(AD47="E_REVERSED_BOUNDS",AE47="E_REVERSED_BOUNDS"),"; E_REVERSED_BOUNDS","")&amp;IF(OR(AD47="E_MISSING_INPUT",AE47="E_MISSING_INPUT"),"; E_MISSING_INPUT","")&amp;IF(OR(AD47="E_INVALID_UNIT",AE47="E_INVALID_UNIT"),"; E_INVALID_UNIT",""),3,99)))</f>
        <v/>
      </c>
      <c r="AG47" s="9"/>
      <c r="AH47" s="16"/>
      <c r="AI47" s="14"/>
      <c r="AJ47" s="25"/>
      <c r="AK47" s="9"/>
      <c r="AL47" s="11"/>
      <c r="AM47" s="11"/>
      <c r="AN47" s="14"/>
      <c r="AO47" s="14"/>
      <c r="AP47" s="9"/>
      <c r="AQ47" s="21" t="str">
        <f>IF(COUNTA(AH47:AO47)=0,"",IF(AH47="","E_MISSING_INPUT",IF(AH47="TIMESTAMP",IF(OR(AI47="",AJ47="",AK47=""),"E_MISSING_INPUT",IF(OR(NOT(ISNUMBER(AI47)),NOT(ISNUMBER(AJ47))),"E_INVALID_DATE",IF(OR(AI47&lt;&gt;INT(AI47),AJ47&lt;0,AJ47&gt;=1),"E_INVALID_DATE",IF(ISNA(MATCH(AK47,nLIST_Offset,0)),"E_INVALID_DATE","")))),IF(AH47="DATE",IF(AI47="","E_MISSING_INPUT",IF(NOT(ISNUMBER(AI47)),"E_INVALID_DATE",IF(AI47&lt;&gt;INT(AI47),"E_INVALID_DATE",""))),IF(AH47="MONTH",IF(OR(AL47="",AM47=""),"E_MISSING_INPUT",IF(OR(NOT(ISNUMBER(AL47)),NOT(ISNUMBER(AM47))),"E_INVALID_DATE",IF(OR(AL47&lt;1900,AL47&gt;9999,AL47&lt;&gt;INT(AL47),AM47&lt;1,AM47&gt;12,AM47&lt;&gt;INT(AM47)),"E_INVALID_DATE",""))),IF(AH47="YEAR",IF(AL47="","E_MISSING_INPUT",IF(NOT(ISNUMBER(AL47)),"E_INVALID_DATE",IF(OR(AL47&lt;1900,AL47&gt;9999,AL47&lt;&gt;INT(AL47)),"E_INVALID_DATE",""))),IF(AH47="RANGE",IF(OR(AN47="",AO47=""),"E_MISSING_INPUT",IF(OR(NOT(ISNUMBER(AN47)),NOT(ISNUMBER(AO47))),"E_INVALID_DATE",IF(OR(AN47&lt;&gt;INT(AN47),AO47&lt;&gt;INT(AO47)),"E_INVALID_DATE",IF(AN47&gt;AO47,"E_REVERSED_BOUNDS","")))),"E_MISSING_INPUT")))))))</f>
        <v/>
      </c>
      <c r="AR47" s="22">
        <f t="shared" si="28"/>
        <v>0</v>
      </c>
      <c r="AS47" s="22">
        <f t="shared" si="29"/>
        <v>0</v>
      </c>
      <c r="AT47" s="28" t="str">
        <f t="shared" si="30"/>
        <v/>
      </c>
      <c r="AU47" s="28" t="str">
        <f t="shared" si="31"/>
        <v/>
      </c>
      <c r="AV47" s="22" t="str">
        <f t="shared" si="32"/>
        <v/>
      </c>
      <c r="AW47" s="22" t="str">
        <f t="shared" si="33"/>
        <v/>
      </c>
      <c r="AX47" s="21" t="str">
        <f t="shared" si="34"/>
        <v>VEC-V34|1|EV1</v>
      </c>
      <c r="AY47" s="22">
        <f>IF(AX47="",0,COUNTIF(nEVT_Key,AX47))</f>
        <v>1</v>
      </c>
      <c r="AZ47" s="21" t="str">
        <f t="shared" si="35"/>
        <v/>
      </c>
      <c r="BA47" s="21" t="str">
        <f>IF(AZ47="","",AZ47&amp;": "&amp;SUBSTITUTE(IFERROR(INDEX(nMSG_Text,MATCH(AZ47,nMSG_Code,0)),""),"[input]",IF(D47="","an Episode_ID","the date fields required by the selected precision")))</f>
        <v/>
      </c>
    </row>
    <row r="48" spans="1:53" x14ac:dyDescent="0.2">
      <c r="A48" s="9" t="s">
        <v>377</v>
      </c>
      <c r="B48" s="11">
        <v>1</v>
      </c>
      <c r="C48" s="9" t="s">
        <v>728</v>
      </c>
      <c r="D48" s="9" t="s">
        <v>745</v>
      </c>
      <c r="E48" s="9" t="s">
        <v>746</v>
      </c>
      <c r="F48" s="9"/>
      <c r="G48" s="16"/>
      <c r="H48" s="9"/>
      <c r="I48" s="9" t="s">
        <v>758</v>
      </c>
      <c r="J48" s="16" t="s">
        <v>4</v>
      </c>
      <c r="K48" s="29" t="s">
        <v>758</v>
      </c>
      <c r="L48" s="25"/>
      <c r="M48" s="9"/>
      <c r="N48" s="11"/>
      <c r="O48" s="11"/>
      <c r="P48" s="14"/>
      <c r="Q48" s="14"/>
      <c r="R48" s="9"/>
      <c r="S48" s="9"/>
      <c r="T48" s="9" t="s">
        <v>575</v>
      </c>
      <c r="U48" s="21" t="str">
        <f>IF(COUNTA(J48:Q48)=0,"",IF(J48="","E_MISSING_INPUT",IF(J48="LAB",AF48,IF(J48="TIMESTAMP",IF(OR(K48="",L48="",M48=""),"E_MISSING_INPUT",IF(OR(NOT(ISNUMBER(K48)),NOT(ISNUMBER(L48))),"E_INVALID_DATE",IF(OR(K48&lt;&gt;INT(K48),L48&lt;0,L48&gt;=1),"E_INVALID_DATE",IF(ISNA(MATCH(M48,nLIST_Offset,0)),"E_INVALID_DATE","")))),IF(J48="DATE",IF(K48="","E_MISSING_INPUT",IF(NOT(ISNUMBER(K48)),"E_INVALID_DATE",IF(K48&lt;&gt;INT(K48),"E_INVALID_DATE",""))),IF(J48="MONTH",IF(OR(N48="",O48=""),"E_MISSING_INPUT",IF(OR(NOT(ISNUMBER(N48)),NOT(ISNUMBER(O48))),"E_INVALID_DATE",IF(OR(N48&lt;1900,N48&gt;9999,N48&lt;&gt;INT(N48),O48&lt;1,O48&gt;12,O48&lt;&gt;INT(O48)),"E_INVALID_DATE",""))),IF(J48="YEAR",IF(N48="","E_MISSING_INPUT",IF(NOT(ISNUMBER(N48)),"E_INVALID_DATE",IF(OR(N48&lt;1900,N48&gt;9999,N48&lt;&gt;INT(N48)),"E_INVALID_DATE",""))),IF(J48="RANGE",IF(OR(P48="",Q48=""),"E_MISSING_INPUT",IF(OR(NOT(ISNUMBER(P48)),NOT(ISNUMBER(Q48))),"E_INVALID_DATE",IF(OR(P48&lt;&gt;INT(P48),Q48&lt;&gt;INT(Q48)),"E_INVALID_DATE",IF(P48&gt;Q48,"E_REVERSED_BOUNDS","")))),"E_MISSING_INPUT"))))))))</f>
        <v>E_INVALID_DATE</v>
      </c>
      <c r="V48" s="22">
        <f t="shared" si="24"/>
        <v>0</v>
      </c>
      <c r="W48" s="22">
        <f t="shared" si="25"/>
        <v>0</v>
      </c>
      <c r="X48" s="28" t="str">
        <f>IF(OR(U48&lt;&gt;"",J48=""),"",IF(J48="LAB",INDEX(nMS_M_Lo,AB48),IF(OR(J48="TIMESTAMP",J48="DATE"),K48,IF(J48="MONTH",DATE(N48,O48,1),IF(J48="YEAR",DATE(N48,1,1),P48)))))</f>
        <v/>
      </c>
      <c r="Y48" s="28" t="str">
        <f>IF(OR(U48&lt;&gt;"",J48=""),"",IF(J48="LAB",INDEX(nMS_M_Hi,AC48),IF(OR(J48="TIMESTAMP",J48="DATE"),K48,IF(J48="MONTH",EOMONTH(DATE(N48,O48,1),0),IF(J48="YEAR",DATE(N48,12,31),Q48)))))</f>
        <v/>
      </c>
      <c r="Z48" s="22" t="str">
        <f t="shared" si="26"/>
        <v/>
      </c>
      <c r="AA48" s="22" t="str">
        <f t="shared" si="27"/>
        <v/>
      </c>
      <c r="AB48" s="22">
        <f>IF(R48="",0,IFERROR(MATCH(A48&amp;"|"&amp;B48&amp;"|"&amp;R48,nMS_Key,0),0))</f>
        <v>0</v>
      </c>
      <c r="AC48" s="22">
        <f>IF(S48="",0,IFERROR(MATCH(A48&amp;"|"&amp;B48&amp;"|"&amp;S48,nMS_Key,0),0))</f>
        <v>0</v>
      </c>
      <c r="AD48" s="21" t="str">
        <f>IF(J48&lt;&gt;"LAB","",IF(R48="","E_MISSING_INPUT",IF(AB48=0,"E_MISSING_INPUT",IF(INDEX(nMS_M_Lo,AB48)="",IF(INDEX(nMS_M_Err,AB48)="","E_MISSING_INPUT",INDEX(nMS_M_Err,AB48)),""))))</f>
        <v/>
      </c>
      <c r="AE48" s="21" t="str">
        <f>IF(J48&lt;&gt;"LAB","",IF(S48="","E_MISSING_INPUT",IF(AC48=0,"E_MISSING_INPUT",IF(INDEX(nMS_M_Lo,AC48)="",IF(INDEX(nMS_M_Err,AC48)="","E_MISSING_INPUT",INDEX(nMS_M_Err,AC48)),""))))</f>
        <v/>
      </c>
      <c r="AF48" s="21" t="str">
        <f>IF(J48&lt;&gt;"LAB","",IF(AND(AD48="",AE48=""),IF(IF(INDEX(nMS_M_HT,AB48)*INDEX(nMS_M_HT,AC48)=1,IF(INDEX(nMS_M_OK,AB48)*INDEX(nMS_M_OK,AC48)=1,INDEX(nMS_M_UTC,AB48)&gt;INDEX(nMS_M_UTC,AC48),INDEX(nMS_M_Loc,AB48)&gt;INDEX(nMS_M_Loc,AC48)),INDEX(nMS_M_Lo,AB48)&gt;INDEX(nMS_M_Hi,AC48)),"E_REVERSED_BOUNDS",""),MID(IF(OR(AD48="E_INVALID_DATE",AE48="E_INVALID_DATE"),"; E_INVALID_DATE","")&amp;IF(OR(AD48="E_REVERSED_BOUNDS",AE48="E_REVERSED_BOUNDS"),"; E_REVERSED_BOUNDS","")&amp;IF(OR(AD48="E_MISSING_INPUT",AE48="E_MISSING_INPUT"),"; E_MISSING_INPUT","")&amp;IF(OR(AD48="E_INVALID_UNIT",AE48="E_INVALID_UNIT"),"; E_INVALID_UNIT",""),3,99)))</f>
        <v/>
      </c>
      <c r="AG48" s="9"/>
      <c r="AH48" s="16"/>
      <c r="AI48" s="14"/>
      <c r="AJ48" s="25"/>
      <c r="AK48" s="9"/>
      <c r="AL48" s="11"/>
      <c r="AM48" s="11"/>
      <c r="AN48" s="14"/>
      <c r="AO48" s="14"/>
      <c r="AP48" s="9"/>
      <c r="AQ48" s="21" t="str">
        <f>IF(COUNTA(AH48:AO48)=0,"",IF(AH48="","E_MISSING_INPUT",IF(AH48="TIMESTAMP",IF(OR(AI48="",AJ48="",AK48=""),"E_MISSING_INPUT",IF(OR(NOT(ISNUMBER(AI48)),NOT(ISNUMBER(AJ48))),"E_INVALID_DATE",IF(OR(AI48&lt;&gt;INT(AI48),AJ48&lt;0,AJ48&gt;=1),"E_INVALID_DATE",IF(ISNA(MATCH(AK48,nLIST_Offset,0)),"E_INVALID_DATE","")))),IF(AH48="DATE",IF(AI48="","E_MISSING_INPUT",IF(NOT(ISNUMBER(AI48)),"E_INVALID_DATE",IF(AI48&lt;&gt;INT(AI48),"E_INVALID_DATE",""))),IF(AH48="MONTH",IF(OR(AL48="",AM48=""),"E_MISSING_INPUT",IF(OR(NOT(ISNUMBER(AL48)),NOT(ISNUMBER(AM48))),"E_INVALID_DATE",IF(OR(AL48&lt;1900,AL48&gt;9999,AL48&lt;&gt;INT(AL48),AM48&lt;1,AM48&gt;12,AM48&lt;&gt;INT(AM48)),"E_INVALID_DATE",""))),IF(AH48="YEAR",IF(AL48="","E_MISSING_INPUT",IF(NOT(ISNUMBER(AL48)),"E_INVALID_DATE",IF(OR(AL48&lt;1900,AL48&gt;9999,AL48&lt;&gt;INT(AL48)),"E_INVALID_DATE",""))),IF(AH48="RANGE",IF(OR(AN48="",AO48=""),"E_MISSING_INPUT",IF(OR(NOT(ISNUMBER(AN48)),NOT(ISNUMBER(AO48))),"E_INVALID_DATE",IF(OR(AN48&lt;&gt;INT(AN48),AO48&lt;&gt;INT(AO48)),"E_INVALID_DATE",IF(AN48&gt;AO48,"E_REVERSED_BOUNDS","")))),"E_MISSING_INPUT")))))))</f>
        <v/>
      </c>
      <c r="AR48" s="22">
        <f t="shared" si="28"/>
        <v>0</v>
      </c>
      <c r="AS48" s="22">
        <f t="shared" si="29"/>
        <v>0</v>
      </c>
      <c r="AT48" s="28" t="str">
        <f t="shared" si="30"/>
        <v/>
      </c>
      <c r="AU48" s="28" t="str">
        <f t="shared" si="31"/>
        <v/>
      </c>
      <c r="AV48" s="22" t="str">
        <f t="shared" si="32"/>
        <v/>
      </c>
      <c r="AW48" s="22" t="str">
        <f t="shared" si="33"/>
        <v/>
      </c>
      <c r="AX48" s="21" t="str">
        <f t="shared" si="34"/>
        <v>VEC-V35|1|EV1</v>
      </c>
      <c r="AY48" s="22">
        <f>IF(AX48="",0,COUNTIF(nEVT_Key,AX48))</f>
        <v>1</v>
      </c>
      <c r="AZ48" s="21" t="str">
        <f t="shared" si="35"/>
        <v>E_INVALID_DATE</v>
      </c>
      <c r="BA48" s="21" t="str">
        <f>IF(AZ48="","",AZ48&amp;": "&amp;SUBSTITUTE(IFERROR(INDEX(nMSG_Text,MATCH(AZ48,nMSG_Code,0)),""),"[input]",IF(D48="","an Episode_ID","the date fields required by the selected precision")))</f>
        <v>E_INVALID_DATE: This date does not exist. Check the source, or record it as a partial date.</v>
      </c>
    </row>
  </sheetData>
  <sheetProtection sheet="1" objects="1" scenarios="1" formatColumns="0" formatRows="0" autoFilter="0"/>
  <autoFilter ref="A4:BA48" xr:uid="{787564E9-5518-4999-88BC-083380B8DFB5}"/>
  <dataValidations count="10">
    <dataValidation type="whole" operator="greaterThanOrEqual" allowBlank="1" showInputMessage="1" showErrorMessage="1" sqref="B5:B19" xr:uid="{5720AEE4-FEFD-4375-AE66-345885F44AE0}">
      <formula1>1</formula1>
    </dataValidation>
    <dataValidation type="list" errorStyle="information" allowBlank="1" showInputMessage="1" showErrorMessage="1" sqref="G5:G19" xr:uid="{391138F9-02F5-488C-AD44-9FA964A157C2}">
      <formula1>nLIST_MissingReason</formula1>
    </dataValidation>
    <dataValidation type="list" allowBlank="1" showInputMessage="1" showErrorMessage="1" prompt="TIMESTAMP: Date + Time + UTC offset (choose unknown if not recorded). DATE: Date only. MONTH: Year + Month. YEAR: Year. RANGE: earliest and latest dates as stated, with the source. LAB: laboratory-defined onset (CALC-SPEC 1.1 C4); enter the Milestone" sqref="J5:J19" xr:uid="{F8280501-40EC-4F21-BF66-4649FF4879AB}">
      <formula1>nLIST_OnsetPrecision</formula1>
    </dataValidation>
    <dataValidation type="date" allowBlank="1" showInputMessage="1" showErrorMessage="1" sqref="K5:K19 P5:P19 Q5:Q19 AI5:AI19 AN5:AN19 AO5:AO19" xr:uid="{1C449FBD-19FC-4DB3-989B-19DFFA757E61}">
      <formula1>1</formula1>
      <formula2>2958465</formula2>
    </dataValidation>
    <dataValidation type="time" allowBlank="1" showInputMessage="1" showErrorMessage="1" sqref="L5:L19" xr:uid="{CB69D130-B2F9-480A-93D1-37053B08D62B}">
      <formula1>0</formula1>
      <formula2>0.9993055</formula2>
    </dataValidation>
    <dataValidation type="list" allowBlank="1" showInputMessage="1" showErrorMessage="1" sqref="M5:M19 AK5:AK19" xr:uid="{CB4B96A6-B1EB-4FD2-A155-AD5069059EF0}">
      <formula1>nLIST_Offset</formula1>
    </dataValidation>
    <dataValidation type="whole" allowBlank="1" showInputMessage="1" showErrorMessage="1" sqref="N5:N19 AL5:AL19" xr:uid="{A61993BB-D7A4-487E-9871-5A86C4FC1445}">
      <formula1>1900</formula1>
      <formula2>9999</formula2>
    </dataValidation>
    <dataValidation type="whole" allowBlank="1" showInputMessage="1" showErrorMessage="1" sqref="O5:O19 AM5:AM19" xr:uid="{72E3FB74-EB37-4E38-A383-EE1DEB6E0183}">
      <formula1>1</formula1>
      <formula2>12</formula2>
    </dataValidation>
    <dataValidation type="list" allowBlank="1" showInputMessage="1" showErrorMessage="1" sqref="AH5:AH19" xr:uid="{A277E7CA-90FE-454A-AC34-027A345DCA5E}">
      <formula1>nLIST_Precision</formula1>
    </dataValidation>
    <dataValidation type="time" allowBlank="1" showInputMessage="1" showErrorMessage="1" sqref="AJ5:AJ19" xr:uid="{2E18236A-E39F-4E2B-B05A-2D09A0A8E711}">
      <formula1>0</formula1>
      <formula2>0.999305555555556</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65C69-AFBF-4293-8349-3925F7D90DFA}">
  <dimension ref="A1:AH76"/>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2" width="7.7109375" style="1" customWidth="1"/>
    <col min="3" max="3" width="11.7109375" style="1" customWidth="1"/>
    <col min="4" max="4" width="14.7109375" style="1" customWidth="1"/>
    <col min="5" max="5" width="10.7109375" style="1" customWidth="1"/>
    <col min="6" max="6" width="30.7109375" style="1" customWidth="1"/>
    <col min="7" max="7" width="8.7109375" style="1" customWidth="1"/>
    <col min="8" max="8" width="9.7109375" style="1" customWidth="1"/>
    <col min="9" max="10" width="12.7109375" style="1" customWidth="1"/>
    <col min="11" max="11" width="20.7109375" style="1" customWidth="1"/>
    <col min="12" max="12" width="26.7109375" style="1" customWidth="1"/>
    <col min="13" max="13" width="11.7109375" style="1" customWidth="1"/>
    <col min="14" max="14" width="15.7109375" style="1" customWidth="1"/>
    <col min="15" max="16" width="9.7109375" style="1" customWidth="1"/>
    <col min="17" max="18" width="7.7109375" style="1" customWidth="1"/>
    <col min="19" max="20" width="15.7109375" style="1" customWidth="1"/>
    <col min="21" max="21" width="22.7109375" style="1" customWidth="1"/>
    <col min="22" max="22" width="12.7109375" style="1" customWidth="1"/>
    <col min="23" max="24" width="6.7109375" style="1" customWidth="1"/>
    <col min="25" max="26" width="14.7109375" style="1" customWidth="1"/>
    <col min="27" max="28" width="11.7109375" style="1" customWidth="1"/>
    <col min="29" max="29" width="14.7109375" style="1" customWidth="1"/>
    <col min="30" max="30" width="10.7109375" style="1" customWidth="1"/>
    <col min="31" max="32" width="5.7109375" style="1" customWidth="1"/>
    <col min="33" max="33" width="14.7109375" style="1" customWidth="1"/>
    <col min="34" max="34" width="40.7109375" style="1" customWidth="1"/>
    <col min="35" max="16384" width="9.140625" style="1"/>
  </cols>
  <sheetData>
    <row r="1" spans="1:34" ht="17.25" x14ac:dyDescent="0.3">
      <c r="A1" s="6" t="s">
        <v>769</v>
      </c>
    </row>
    <row r="2" spans="1:34" x14ac:dyDescent="0.2">
      <c r="A2" s="7" t="s">
        <v>278</v>
      </c>
    </row>
    <row r="3" spans="1:34" x14ac:dyDescent="0.2">
      <c r="A3" s="2" t="s">
        <v>770</v>
      </c>
      <c r="L3" s="2" t="s">
        <v>778</v>
      </c>
      <c r="AC3" s="2" t="s">
        <v>289</v>
      </c>
    </row>
    <row r="4" spans="1:34" ht="66" customHeight="1" x14ac:dyDescent="0.2">
      <c r="A4" s="8" t="s">
        <v>280</v>
      </c>
      <c r="B4" s="8" t="s">
        <v>281</v>
      </c>
      <c r="C4" s="8" t="s">
        <v>771</v>
      </c>
      <c r="D4" s="8" t="s">
        <v>772</v>
      </c>
      <c r="E4" s="8" t="s">
        <v>773</v>
      </c>
      <c r="F4" s="8" t="s">
        <v>774</v>
      </c>
      <c r="G4" s="8" t="s">
        <v>775</v>
      </c>
      <c r="H4" s="8" t="s">
        <v>776</v>
      </c>
      <c r="I4" s="8" t="s">
        <v>777</v>
      </c>
      <c r="J4" s="8" t="s">
        <v>394</v>
      </c>
      <c r="K4" s="8" t="s">
        <v>395</v>
      </c>
      <c r="L4" s="8" t="s">
        <v>779</v>
      </c>
      <c r="M4" s="8" t="s">
        <v>780</v>
      </c>
      <c r="N4" s="8" t="s">
        <v>781</v>
      </c>
      <c r="O4" s="8" t="s">
        <v>782</v>
      </c>
      <c r="P4" s="8" t="s">
        <v>783</v>
      </c>
      <c r="Q4" s="8" t="s">
        <v>784</v>
      </c>
      <c r="R4" s="8" t="s">
        <v>785</v>
      </c>
      <c r="S4" s="8" t="s">
        <v>786</v>
      </c>
      <c r="T4" s="8" t="s">
        <v>787</v>
      </c>
      <c r="U4" s="8" t="s">
        <v>788</v>
      </c>
      <c r="V4" s="19" t="s">
        <v>789</v>
      </c>
      <c r="W4" s="19" t="s">
        <v>790</v>
      </c>
      <c r="X4" s="19" t="s">
        <v>791</v>
      </c>
      <c r="Y4" s="19" t="s">
        <v>792</v>
      </c>
      <c r="Z4" s="19" t="s">
        <v>793</v>
      </c>
      <c r="AA4" s="19" t="s">
        <v>794</v>
      </c>
      <c r="AB4" s="19" t="s">
        <v>795</v>
      </c>
      <c r="AC4" s="19" t="s">
        <v>796</v>
      </c>
      <c r="AD4" s="19" t="s">
        <v>290</v>
      </c>
      <c r="AE4" s="19" t="s">
        <v>797</v>
      </c>
      <c r="AF4" s="19" t="s">
        <v>291</v>
      </c>
      <c r="AG4" s="19" t="s">
        <v>451</v>
      </c>
      <c r="AH4" s="19" t="s">
        <v>293</v>
      </c>
    </row>
    <row r="5" spans="1:34" x14ac:dyDescent="0.2">
      <c r="A5" s="10"/>
      <c r="B5" s="12"/>
      <c r="C5" s="10"/>
      <c r="D5" s="17"/>
      <c r="E5" s="10"/>
      <c r="F5" s="10"/>
      <c r="G5" s="17"/>
      <c r="H5" s="10"/>
      <c r="I5" s="10"/>
      <c r="J5" s="17"/>
      <c r="K5" s="10"/>
      <c r="L5" s="10"/>
      <c r="M5" s="17"/>
      <c r="N5" s="15"/>
      <c r="O5" s="26"/>
      <c r="P5" s="10"/>
      <c r="Q5" s="12"/>
      <c r="R5" s="12"/>
      <c r="S5" s="15"/>
      <c r="T5" s="15"/>
      <c r="U5" s="10"/>
      <c r="V5" s="21" t="str">
        <f>IF(COUNTA(M5:T5)=0,"",IF(M5="","E_MISSING_INPUT",IF(M5="TIMESTAMP",IF(OR(N5="",O5="",P5=""),"E_MISSING_INPUT",IF(OR(NOT(ISNUMBER(N5)),NOT(ISNUMBER(O5))),"E_INVALID_DATE",IF(OR(N5&lt;&gt;INT(N5),O5&lt;0,O5&gt;=1),"E_INVALID_DATE",IF(ISNA(MATCH(P5,nLIST_Offset,0)),"E_INVALID_DATE","")))),IF(M5="DATE",IF(N5="","E_MISSING_INPUT",IF(NOT(ISNUMBER(N5)),"E_INVALID_DATE",IF(N5&lt;&gt;INT(N5),"E_INVALID_DATE",""))),IF(M5="MONTH",IF(OR(Q5="",R5=""),"E_MISSING_INPUT",IF(OR(NOT(ISNUMBER(Q5)),NOT(ISNUMBER(R5))),"E_INVALID_DATE",IF(OR(Q5&lt;1900,Q5&gt;9999,Q5&lt;&gt;INT(Q5),R5&lt;1,R5&gt;12,R5&lt;&gt;INT(R5)),"E_INVALID_DATE",""))),IF(M5="YEAR",IF(Q5="","E_MISSING_INPUT",IF(NOT(ISNUMBER(Q5)),"E_INVALID_DATE",IF(OR(Q5&lt;1900,Q5&gt;9999,Q5&lt;&gt;INT(Q5)),"E_INVALID_DATE",""))),IF(M5="RANGE",IF(OR(S5="",T5=""),"E_MISSING_INPUT",IF(OR(NOT(ISNUMBER(S5)),NOT(ISNUMBER(T5))),"E_INVALID_DATE",IF(OR(S5&lt;&gt;INT(S5),T5&lt;&gt;INT(T5)),"E_INVALID_DATE",IF(S5&gt;T5,"E_REVERSED_BOUNDS","")))),"E_MISSING_INPUT")))))))</f>
        <v/>
      </c>
      <c r="W5" s="22">
        <f t="shared" ref="W5:W44" si="0">IF(AND(V5="",M5="TIMESTAMP"),1,0)</f>
        <v>0</v>
      </c>
      <c r="X5" s="22">
        <f t="shared" ref="X5:X44" si="1">IF(AND(W5=1,P5&lt;&gt;"unknown"),1,0)</f>
        <v>0</v>
      </c>
      <c r="Y5" s="28" t="str">
        <f t="shared" ref="Y5:Y44" si="2">IF(OR(V5&lt;&gt;"",M5=""),"",IF(OR(M5="TIMESTAMP",M5="DATE"),N5,IF(M5="MONTH",DATE(Q5,R5,1),IF(M5="YEAR",DATE(Q5,1,1),S5))))</f>
        <v/>
      </c>
      <c r="Z5" s="28" t="str">
        <f t="shared" ref="Z5:Z44" si="3">IF(OR(V5&lt;&gt;"",M5=""),"",IF(OR(M5="TIMESTAMP",M5="DATE"),N5,IF(M5="MONTH",EOMONTH(DATE(Q5,R5,1),0),IF(M5="YEAR",DATE(Q5,12,31),T5))))</f>
        <v/>
      </c>
      <c r="AA5" s="22" t="str">
        <f t="shared" ref="AA5:AA44" si="4">IF(W5=1,N5*1440+ROUND(O5*1440,0),"")</f>
        <v/>
      </c>
      <c r="AB5" s="22" t="str">
        <f t="shared" ref="AB5:AB44" si="5">IF(X5=1,AA5-(IF(LEFT(P5,1)="-",-1,1)*(VALUE(MID(P5,2,2))*60+VALUE(MID(P5,5,2)))),"")</f>
        <v/>
      </c>
      <c r="AC5" s="21" t="str">
        <f t="shared" ref="AC5:AC44" si="6">IF(C5="","",A5&amp;"|"&amp;B5&amp;"|"&amp;C5)</f>
        <v/>
      </c>
      <c r="AD5" s="21" t="str">
        <f t="shared" ref="AD5:AD44" si="7">IF(C5="","",A5&amp;"|"&amp;B5)</f>
        <v/>
      </c>
      <c r="AE5" s="22">
        <f t="shared" ref="AE5:AE44" si="8">IF(AND(C5&lt;&gt;"",COUNTA(M5:T5)=0),1,0)</f>
        <v>0</v>
      </c>
      <c r="AF5" s="22">
        <f>IF(AC5="",0,COUNTIF(nMS_Key,AC5))</f>
        <v>0</v>
      </c>
      <c r="AG5" s="21" t="str">
        <f t="shared" ref="AG5:AG44" si="9">IF(C5="",IF(COUNTA(F5,M5,N5)&gt;0,"E_MISSING_INPUT",""),IF(AF5&gt;1,"E_DUPLICATE_ID",IF(D5="","E_MISSING_INPUT",V5)))</f>
        <v/>
      </c>
      <c r="AH5" s="21" t="str">
        <f>IF(AG5="","",AG5&amp;": "&amp;SUBSTITUTE(IFERROR(INDEX(nMSG_Text,MATCH(AG5,nMSG_Code,0)),""),"[input]",IF(C5="","a Milestone_ID",IF(D5="","a milestone Type","the date fields required by the selected precision"))))</f>
        <v/>
      </c>
    </row>
    <row r="6" spans="1:34" x14ac:dyDescent="0.2">
      <c r="A6" s="10"/>
      <c r="B6" s="12"/>
      <c r="C6" s="10"/>
      <c r="D6" s="17"/>
      <c r="E6" s="10"/>
      <c r="F6" s="10"/>
      <c r="G6" s="17"/>
      <c r="H6" s="10"/>
      <c r="I6" s="10"/>
      <c r="J6" s="17"/>
      <c r="K6" s="10"/>
      <c r="L6" s="10"/>
      <c r="M6" s="17"/>
      <c r="N6" s="15"/>
      <c r="O6" s="26"/>
      <c r="P6" s="10"/>
      <c r="Q6" s="12"/>
      <c r="R6" s="12"/>
      <c r="S6" s="15"/>
      <c r="T6" s="15"/>
      <c r="U6" s="10"/>
      <c r="V6" s="21" t="str">
        <f>IF(COUNTA(M6:T6)=0,"",IF(M6="","E_MISSING_INPUT",IF(M6="TIMESTAMP",IF(OR(N6="",O6="",P6=""),"E_MISSING_INPUT",IF(OR(NOT(ISNUMBER(N6)),NOT(ISNUMBER(O6))),"E_INVALID_DATE",IF(OR(N6&lt;&gt;INT(N6),O6&lt;0,O6&gt;=1),"E_INVALID_DATE",IF(ISNA(MATCH(P6,nLIST_Offset,0)),"E_INVALID_DATE","")))),IF(M6="DATE",IF(N6="","E_MISSING_INPUT",IF(NOT(ISNUMBER(N6)),"E_INVALID_DATE",IF(N6&lt;&gt;INT(N6),"E_INVALID_DATE",""))),IF(M6="MONTH",IF(OR(Q6="",R6=""),"E_MISSING_INPUT",IF(OR(NOT(ISNUMBER(Q6)),NOT(ISNUMBER(R6))),"E_INVALID_DATE",IF(OR(Q6&lt;1900,Q6&gt;9999,Q6&lt;&gt;INT(Q6),R6&lt;1,R6&gt;12,R6&lt;&gt;INT(R6)),"E_INVALID_DATE",""))),IF(M6="YEAR",IF(Q6="","E_MISSING_INPUT",IF(NOT(ISNUMBER(Q6)),"E_INVALID_DATE",IF(OR(Q6&lt;1900,Q6&gt;9999,Q6&lt;&gt;INT(Q6)),"E_INVALID_DATE",""))),IF(M6="RANGE",IF(OR(S6="",T6=""),"E_MISSING_INPUT",IF(OR(NOT(ISNUMBER(S6)),NOT(ISNUMBER(T6))),"E_INVALID_DATE",IF(OR(S6&lt;&gt;INT(S6),T6&lt;&gt;INT(T6)),"E_INVALID_DATE",IF(S6&gt;T6,"E_REVERSED_BOUNDS","")))),"E_MISSING_INPUT")))))))</f>
        <v/>
      </c>
      <c r="W6" s="22">
        <f t="shared" si="0"/>
        <v>0</v>
      </c>
      <c r="X6" s="22">
        <f t="shared" si="1"/>
        <v>0</v>
      </c>
      <c r="Y6" s="28" t="str">
        <f t="shared" si="2"/>
        <v/>
      </c>
      <c r="Z6" s="28" t="str">
        <f t="shared" si="3"/>
        <v/>
      </c>
      <c r="AA6" s="22" t="str">
        <f t="shared" si="4"/>
        <v/>
      </c>
      <c r="AB6" s="22" t="str">
        <f t="shared" si="5"/>
        <v/>
      </c>
      <c r="AC6" s="21" t="str">
        <f t="shared" si="6"/>
        <v/>
      </c>
      <c r="AD6" s="21" t="str">
        <f t="shared" si="7"/>
        <v/>
      </c>
      <c r="AE6" s="22">
        <f t="shared" si="8"/>
        <v>0</v>
      </c>
      <c r="AF6" s="22">
        <f>IF(AC6="",0,COUNTIF(nMS_Key,AC6))</f>
        <v>0</v>
      </c>
      <c r="AG6" s="21" t="str">
        <f t="shared" si="9"/>
        <v/>
      </c>
      <c r="AH6" s="21" t="str">
        <f>IF(AG6="","",AG6&amp;": "&amp;SUBSTITUTE(IFERROR(INDEX(nMSG_Text,MATCH(AG6,nMSG_Code,0)),""),"[input]",IF(C6="","a Milestone_ID",IF(D6="","a milestone Type","the date fields required by the selected precision"))))</f>
        <v/>
      </c>
    </row>
    <row r="7" spans="1:34" x14ac:dyDescent="0.2">
      <c r="A7" s="10"/>
      <c r="B7" s="12"/>
      <c r="C7" s="10"/>
      <c r="D7" s="17"/>
      <c r="E7" s="10"/>
      <c r="F7" s="10"/>
      <c r="G7" s="17"/>
      <c r="H7" s="10"/>
      <c r="I7" s="10"/>
      <c r="J7" s="17"/>
      <c r="K7" s="10"/>
      <c r="L7" s="10"/>
      <c r="M7" s="17"/>
      <c r="N7" s="15"/>
      <c r="O7" s="26"/>
      <c r="P7" s="10"/>
      <c r="Q7" s="12"/>
      <c r="R7" s="12"/>
      <c r="S7" s="15"/>
      <c r="T7" s="15"/>
      <c r="U7" s="10"/>
      <c r="V7" s="21" t="str">
        <f>IF(COUNTA(M7:T7)=0,"",IF(M7="","E_MISSING_INPUT",IF(M7="TIMESTAMP",IF(OR(N7="",O7="",P7=""),"E_MISSING_INPUT",IF(OR(NOT(ISNUMBER(N7)),NOT(ISNUMBER(O7))),"E_INVALID_DATE",IF(OR(N7&lt;&gt;INT(N7),O7&lt;0,O7&gt;=1),"E_INVALID_DATE",IF(ISNA(MATCH(P7,nLIST_Offset,0)),"E_INVALID_DATE","")))),IF(M7="DATE",IF(N7="","E_MISSING_INPUT",IF(NOT(ISNUMBER(N7)),"E_INVALID_DATE",IF(N7&lt;&gt;INT(N7),"E_INVALID_DATE",""))),IF(M7="MONTH",IF(OR(Q7="",R7=""),"E_MISSING_INPUT",IF(OR(NOT(ISNUMBER(Q7)),NOT(ISNUMBER(R7))),"E_INVALID_DATE",IF(OR(Q7&lt;1900,Q7&gt;9999,Q7&lt;&gt;INT(Q7),R7&lt;1,R7&gt;12,R7&lt;&gt;INT(R7)),"E_INVALID_DATE",""))),IF(M7="YEAR",IF(Q7="","E_MISSING_INPUT",IF(NOT(ISNUMBER(Q7)),"E_INVALID_DATE",IF(OR(Q7&lt;1900,Q7&gt;9999,Q7&lt;&gt;INT(Q7)),"E_INVALID_DATE",""))),IF(M7="RANGE",IF(OR(S7="",T7=""),"E_MISSING_INPUT",IF(OR(NOT(ISNUMBER(S7)),NOT(ISNUMBER(T7))),"E_INVALID_DATE",IF(OR(S7&lt;&gt;INT(S7),T7&lt;&gt;INT(T7)),"E_INVALID_DATE",IF(S7&gt;T7,"E_REVERSED_BOUNDS","")))),"E_MISSING_INPUT")))))))</f>
        <v/>
      </c>
      <c r="W7" s="22">
        <f t="shared" si="0"/>
        <v>0</v>
      </c>
      <c r="X7" s="22">
        <f t="shared" si="1"/>
        <v>0</v>
      </c>
      <c r="Y7" s="28" t="str">
        <f t="shared" si="2"/>
        <v/>
      </c>
      <c r="Z7" s="28" t="str">
        <f t="shared" si="3"/>
        <v/>
      </c>
      <c r="AA7" s="22" t="str">
        <f t="shared" si="4"/>
        <v/>
      </c>
      <c r="AB7" s="22" t="str">
        <f t="shared" si="5"/>
        <v/>
      </c>
      <c r="AC7" s="21" t="str">
        <f t="shared" si="6"/>
        <v/>
      </c>
      <c r="AD7" s="21" t="str">
        <f t="shared" si="7"/>
        <v/>
      </c>
      <c r="AE7" s="22">
        <f t="shared" si="8"/>
        <v>0</v>
      </c>
      <c r="AF7" s="22">
        <f>IF(AC7="",0,COUNTIF(nMS_Key,AC7))</f>
        <v>0</v>
      </c>
      <c r="AG7" s="21" t="str">
        <f t="shared" si="9"/>
        <v/>
      </c>
      <c r="AH7" s="21" t="str">
        <f>IF(AG7="","",AG7&amp;": "&amp;SUBSTITUTE(IFERROR(INDEX(nMSG_Text,MATCH(AG7,nMSG_Code,0)),""),"[input]",IF(C7="","a Milestone_ID",IF(D7="","a milestone Type","the date fields required by the selected precision"))))</f>
        <v/>
      </c>
    </row>
    <row r="8" spans="1:34" x14ac:dyDescent="0.2">
      <c r="A8" s="10"/>
      <c r="B8" s="12"/>
      <c r="C8" s="10"/>
      <c r="D8" s="17"/>
      <c r="E8" s="10"/>
      <c r="F8" s="10"/>
      <c r="G8" s="17"/>
      <c r="H8" s="10"/>
      <c r="I8" s="10"/>
      <c r="J8" s="17"/>
      <c r="K8" s="10"/>
      <c r="L8" s="10"/>
      <c r="M8" s="17"/>
      <c r="N8" s="15"/>
      <c r="O8" s="26"/>
      <c r="P8" s="10"/>
      <c r="Q8" s="12"/>
      <c r="R8" s="12"/>
      <c r="S8" s="15"/>
      <c r="T8" s="15"/>
      <c r="U8" s="10"/>
      <c r="V8" s="21" t="str">
        <f>IF(COUNTA(M8:T8)=0,"",IF(M8="","E_MISSING_INPUT",IF(M8="TIMESTAMP",IF(OR(N8="",O8="",P8=""),"E_MISSING_INPUT",IF(OR(NOT(ISNUMBER(N8)),NOT(ISNUMBER(O8))),"E_INVALID_DATE",IF(OR(N8&lt;&gt;INT(N8),O8&lt;0,O8&gt;=1),"E_INVALID_DATE",IF(ISNA(MATCH(P8,nLIST_Offset,0)),"E_INVALID_DATE","")))),IF(M8="DATE",IF(N8="","E_MISSING_INPUT",IF(NOT(ISNUMBER(N8)),"E_INVALID_DATE",IF(N8&lt;&gt;INT(N8),"E_INVALID_DATE",""))),IF(M8="MONTH",IF(OR(Q8="",R8=""),"E_MISSING_INPUT",IF(OR(NOT(ISNUMBER(Q8)),NOT(ISNUMBER(R8))),"E_INVALID_DATE",IF(OR(Q8&lt;1900,Q8&gt;9999,Q8&lt;&gt;INT(Q8),R8&lt;1,R8&gt;12,R8&lt;&gt;INT(R8)),"E_INVALID_DATE",""))),IF(M8="YEAR",IF(Q8="","E_MISSING_INPUT",IF(NOT(ISNUMBER(Q8)),"E_INVALID_DATE",IF(OR(Q8&lt;1900,Q8&gt;9999,Q8&lt;&gt;INT(Q8)),"E_INVALID_DATE",""))),IF(M8="RANGE",IF(OR(S8="",T8=""),"E_MISSING_INPUT",IF(OR(NOT(ISNUMBER(S8)),NOT(ISNUMBER(T8))),"E_INVALID_DATE",IF(OR(S8&lt;&gt;INT(S8),T8&lt;&gt;INT(T8)),"E_INVALID_DATE",IF(S8&gt;T8,"E_REVERSED_BOUNDS","")))),"E_MISSING_INPUT")))))))</f>
        <v/>
      </c>
      <c r="W8" s="22">
        <f t="shared" si="0"/>
        <v>0</v>
      </c>
      <c r="X8" s="22">
        <f t="shared" si="1"/>
        <v>0</v>
      </c>
      <c r="Y8" s="28" t="str">
        <f t="shared" si="2"/>
        <v/>
      </c>
      <c r="Z8" s="28" t="str">
        <f t="shared" si="3"/>
        <v/>
      </c>
      <c r="AA8" s="22" t="str">
        <f t="shared" si="4"/>
        <v/>
      </c>
      <c r="AB8" s="22" t="str">
        <f t="shared" si="5"/>
        <v/>
      </c>
      <c r="AC8" s="21" t="str">
        <f t="shared" si="6"/>
        <v/>
      </c>
      <c r="AD8" s="21" t="str">
        <f t="shared" si="7"/>
        <v/>
      </c>
      <c r="AE8" s="22">
        <f t="shared" si="8"/>
        <v>0</v>
      </c>
      <c r="AF8" s="22">
        <f>IF(AC8="",0,COUNTIF(nMS_Key,AC8))</f>
        <v>0</v>
      </c>
      <c r="AG8" s="21" t="str">
        <f t="shared" si="9"/>
        <v/>
      </c>
      <c r="AH8" s="21" t="str">
        <f>IF(AG8="","",AG8&amp;": "&amp;SUBSTITUTE(IFERROR(INDEX(nMSG_Text,MATCH(AG8,nMSG_Code,0)),""),"[input]",IF(C8="","a Milestone_ID",IF(D8="","a milestone Type","the date fields required by the selected precision"))))</f>
        <v/>
      </c>
    </row>
    <row r="9" spans="1:34" x14ac:dyDescent="0.2">
      <c r="A9" s="10"/>
      <c r="B9" s="12"/>
      <c r="C9" s="10"/>
      <c r="D9" s="17"/>
      <c r="E9" s="10"/>
      <c r="F9" s="10"/>
      <c r="G9" s="17"/>
      <c r="H9" s="10"/>
      <c r="I9" s="10"/>
      <c r="J9" s="17"/>
      <c r="K9" s="10"/>
      <c r="L9" s="10"/>
      <c r="M9" s="17"/>
      <c r="N9" s="15"/>
      <c r="O9" s="26"/>
      <c r="P9" s="10"/>
      <c r="Q9" s="12"/>
      <c r="R9" s="12"/>
      <c r="S9" s="15"/>
      <c r="T9" s="15"/>
      <c r="U9" s="10"/>
      <c r="V9" s="21" t="str">
        <f>IF(COUNTA(M9:T9)=0,"",IF(M9="","E_MISSING_INPUT",IF(M9="TIMESTAMP",IF(OR(N9="",O9="",P9=""),"E_MISSING_INPUT",IF(OR(NOT(ISNUMBER(N9)),NOT(ISNUMBER(O9))),"E_INVALID_DATE",IF(OR(N9&lt;&gt;INT(N9),O9&lt;0,O9&gt;=1),"E_INVALID_DATE",IF(ISNA(MATCH(P9,nLIST_Offset,0)),"E_INVALID_DATE","")))),IF(M9="DATE",IF(N9="","E_MISSING_INPUT",IF(NOT(ISNUMBER(N9)),"E_INVALID_DATE",IF(N9&lt;&gt;INT(N9),"E_INVALID_DATE",""))),IF(M9="MONTH",IF(OR(Q9="",R9=""),"E_MISSING_INPUT",IF(OR(NOT(ISNUMBER(Q9)),NOT(ISNUMBER(R9))),"E_INVALID_DATE",IF(OR(Q9&lt;1900,Q9&gt;9999,Q9&lt;&gt;INT(Q9),R9&lt;1,R9&gt;12,R9&lt;&gt;INT(R9)),"E_INVALID_DATE",""))),IF(M9="YEAR",IF(Q9="","E_MISSING_INPUT",IF(NOT(ISNUMBER(Q9)),"E_INVALID_DATE",IF(OR(Q9&lt;1900,Q9&gt;9999,Q9&lt;&gt;INT(Q9)),"E_INVALID_DATE",""))),IF(M9="RANGE",IF(OR(S9="",T9=""),"E_MISSING_INPUT",IF(OR(NOT(ISNUMBER(S9)),NOT(ISNUMBER(T9))),"E_INVALID_DATE",IF(OR(S9&lt;&gt;INT(S9),T9&lt;&gt;INT(T9)),"E_INVALID_DATE",IF(S9&gt;T9,"E_REVERSED_BOUNDS","")))),"E_MISSING_INPUT")))))))</f>
        <v/>
      </c>
      <c r="W9" s="22">
        <f t="shared" si="0"/>
        <v>0</v>
      </c>
      <c r="X9" s="22">
        <f t="shared" si="1"/>
        <v>0</v>
      </c>
      <c r="Y9" s="28" t="str">
        <f t="shared" si="2"/>
        <v/>
      </c>
      <c r="Z9" s="28" t="str">
        <f t="shared" si="3"/>
        <v/>
      </c>
      <c r="AA9" s="22" t="str">
        <f t="shared" si="4"/>
        <v/>
      </c>
      <c r="AB9" s="22" t="str">
        <f t="shared" si="5"/>
        <v/>
      </c>
      <c r="AC9" s="21" t="str">
        <f t="shared" si="6"/>
        <v/>
      </c>
      <c r="AD9" s="21" t="str">
        <f t="shared" si="7"/>
        <v/>
      </c>
      <c r="AE9" s="22">
        <f t="shared" si="8"/>
        <v>0</v>
      </c>
      <c r="AF9" s="22">
        <f>IF(AC9="",0,COUNTIF(nMS_Key,AC9))</f>
        <v>0</v>
      </c>
      <c r="AG9" s="21" t="str">
        <f t="shared" si="9"/>
        <v/>
      </c>
      <c r="AH9" s="21" t="str">
        <f>IF(AG9="","",AG9&amp;": "&amp;SUBSTITUTE(IFERROR(INDEX(nMSG_Text,MATCH(AG9,nMSG_Code,0)),""),"[input]",IF(C9="","a Milestone_ID",IF(D9="","a milestone Type","the date fields required by the selected precision"))))</f>
        <v/>
      </c>
    </row>
    <row r="10" spans="1:34" x14ac:dyDescent="0.2">
      <c r="A10" s="10"/>
      <c r="B10" s="12"/>
      <c r="C10" s="10"/>
      <c r="D10" s="17"/>
      <c r="E10" s="10"/>
      <c r="F10" s="10"/>
      <c r="G10" s="17"/>
      <c r="H10" s="10"/>
      <c r="I10" s="10"/>
      <c r="J10" s="17"/>
      <c r="K10" s="10"/>
      <c r="L10" s="10"/>
      <c r="M10" s="17"/>
      <c r="N10" s="15"/>
      <c r="O10" s="26"/>
      <c r="P10" s="10"/>
      <c r="Q10" s="12"/>
      <c r="R10" s="12"/>
      <c r="S10" s="15"/>
      <c r="T10" s="15"/>
      <c r="U10" s="10"/>
      <c r="V10" s="21" t="str">
        <f>IF(COUNTA(M10:T10)=0,"",IF(M10="","E_MISSING_INPUT",IF(M10="TIMESTAMP",IF(OR(N10="",O10="",P10=""),"E_MISSING_INPUT",IF(OR(NOT(ISNUMBER(N10)),NOT(ISNUMBER(O10))),"E_INVALID_DATE",IF(OR(N10&lt;&gt;INT(N10),O10&lt;0,O10&gt;=1),"E_INVALID_DATE",IF(ISNA(MATCH(P10,nLIST_Offset,0)),"E_INVALID_DATE","")))),IF(M10="DATE",IF(N10="","E_MISSING_INPUT",IF(NOT(ISNUMBER(N10)),"E_INVALID_DATE",IF(N10&lt;&gt;INT(N10),"E_INVALID_DATE",""))),IF(M10="MONTH",IF(OR(Q10="",R10=""),"E_MISSING_INPUT",IF(OR(NOT(ISNUMBER(Q10)),NOT(ISNUMBER(R10))),"E_INVALID_DATE",IF(OR(Q10&lt;1900,Q10&gt;9999,Q10&lt;&gt;INT(Q10),R10&lt;1,R10&gt;12,R10&lt;&gt;INT(R10)),"E_INVALID_DATE",""))),IF(M10="YEAR",IF(Q10="","E_MISSING_INPUT",IF(NOT(ISNUMBER(Q10)),"E_INVALID_DATE",IF(OR(Q10&lt;1900,Q10&gt;9999,Q10&lt;&gt;INT(Q10)),"E_INVALID_DATE",""))),IF(M10="RANGE",IF(OR(S10="",T10=""),"E_MISSING_INPUT",IF(OR(NOT(ISNUMBER(S10)),NOT(ISNUMBER(T10))),"E_INVALID_DATE",IF(OR(S10&lt;&gt;INT(S10),T10&lt;&gt;INT(T10)),"E_INVALID_DATE",IF(S10&gt;T10,"E_REVERSED_BOUNDS","")))),"E_MISSING_INPUT")))))))</f>
        <v/>
      </c>
      <c r="W10" s="22">
        <f t="shared" si="0"/>
        <v>0</v>
      </c>
      <c r="X10" s="22">
        <f t="shared" si="1"/>
        <v>0</v>
      </c>
      <c r="Y10" s="28" t="str">
        <f t="shared" si="2"/>
        <v/>
      </c>
      <c r="Z10" s="28" t="str">
        <f t="shared" si="3"/>
        <v/>
      </c>
      <c r="AA10" s="22" t="str">
        <f t="shared" si="4"/>
        <v/>
      </c>
      <c r="AB10" s="22" t="str">
        <f t="shared" si="5"/>
        <v/>
      </c>
      <c r="AC10" s="21" t="str">
        <f t="shared" si="6"/>
        <v/>
      </c>
      <c r="AD10" s="21" t="str">
        <f t="shared" si="7"/>
        <v/>
      </c>
      <c r="AE10" s="22">
        <f t="shared" si="8"/>
        <v>0</v>
      </c>
      <c r="AF10" s="22">
        <f>IF(AC10="",0,COUNTIF(nMS_Key,AC10))</f>
        <v>0</v>
      </c>
      <c r="AG10" s="21" t="str">
        <f t="shared" si="9"/>
        <v/>
      </c>
      <c r="AH10" s="21" t="str">
        <f>IF(AG10="","",AG10&amp;": "&amp;SUBSTITUTE(IFERROR(INDEX(nMSG_Text,MATCH(AG10,nMSG_Code,0)),""),"[input]",IF(C10="","a Milestone_ID",IF(D10="","a milestone Type","the date fields required by the selected precision"))))</f>
        <v/>
      </c>
    </row>
    <row r="11" spans="1:34" x14ac:dyDescent="0.2">
      <c r="A11" s="10"/>
      <c r="B11" s="12"/>
      <c r="C11" s="10"/>
      <c r="D11" s="17"/>
      <c r="E11" s="10"/>
      <c r="F11" s="10"/>
      <c r="G11" s="17"/>
      <c r="H11" s="10"/>
      <c r="I11" s="10"/>
      <c r="J11" s="17"/>
      <c r="K11" s="10"/>
      <c r="L11" s="10"/>
      <c r="M11" s="17"/>
      <c r="N11" s="15"/>
      <c r="O11" s="26"/>
      <c r="P11" s="10"/>
      <c r="Q11" s="12"/>
      <c r="R11" s="12"/>
      <c r="S11" s="15"/>
      <c r="T11" s="15"/>
      <c r="U11" s="10"/>
      <c r="V11" s="21" t="str">
        <f>IF(COUNTA(M11:T11)=0,"",IF(M11="","E_MISSING_INPUT",IF(M11="TIMESTAMP",IF(OR(N11="",O11="",P11=""),"E_MISSING_INPUT",IF(OR(NOT(ISNUMBER(N11)),NOT(ISNUMBER(O11))),"E_INVALID_DATE",IF(OR(N11&lt;&gt;INT(N11),O11&lt;0,O11&gt;=1),"E_INVALID_DATE",IF(ISNA(MATCH(P11,nLIST_Offset,0)),"E_INVALID_DATE","")))),IF(M11="DATE",IF(N11="","E_MISSING_INPUT",IF(NOT(ISNUMBER(N11)),"E_INVALID_DATE",IF(N11&lt;&gt;INT(N11),"E_INVALID_DATE",""))),IF(M11="MONTH",IF(OR(Q11="",R11=""),"E_MISSING_INPUT",IF(OR(NOT(ISNUMBER(Q11)),NOT(ISNUMBER(R11))),"E_INVALID_DATE",IF(OR(Q11&lt;1900,Q11&gt;9999,Q11&lt;&gt;INT(Q11),R11&lt;1,R11&gt;12,R11&lt;&gt;INT(R11)),"E_INVALID_DATE",""))),IF(M11="YEAR",IF(Q11="","E_MISSING_INPUT",IF(NOT(ISNUMBER(Q11)),"E_INVALID_DATE",IF(OR(Q11&lt;1900,Q11&gt;9999,Q11&lt;&gt;INT(Q11)),"E_INVALID_DATE",""))),IF(M11="RANGE",IF(OR(S11="",T11=""),"E_MISSING_INPUT",IF(OR(NOT(ISNUMBER(S11)),NOT(ISNUMBER(T11))),"E_INVALID_DATE",IF(OR(S11&lt;&gt;INT(S11),T11&lt;&gt;INT(T11)),"E_INVALID_DATE",IF(S11&gt;T11,"E_REVERSED_BOUNDS","")))),"E_MISSING_INPUT")))))))</f>
        <v/>
      </c>
      <c r="W11" s="22">
        <f t="shared" si="0"/>
        <v>0</v>
      </c>
      <c r="X11" s="22">
        <f t="shared" si="1"/>
        <v>0</v>
      </c>
      <c r="Y11" s="28" t="str">
        <f t="shared" si="2"/>
        <v/>
      </c>
      <c r="Z11" s="28" t="str">
        <f t="shared" si="3"/>
        <v/>
      </c>
      <c r="AA11" s="22" t="str">
        <f t="shared" si="4"/>
        <v/>
      </c>
      <c r="AB11" s="22" t="str">
        <f t="shared" si="5"/>
        <v/>
      </c>
      <c r="AC11" s="21" t="str">
        <f t="shared" si="6"/>
        <v/>
      </c>
      <c r="AD11" s="21" t="str">
        <f t="shared" si="7"/>
        <v/>
      </c>
      <c r="AE11" s="22">
        <f t="shared" si="8"/>
        <v>0</v>
      </c>
      <c r="AF11" s="22">
        <f>IF(AC11="",0,COUNTIF(nMS_Key,AC11))</f>
        <v>0</v>
      </c>
      <c r="AG11" s="21" t="str">
        <f t="shared" si="9"/>
        <v/>
      </c>
      <c r="AH11" s="21" t="str">
        <f>IF(AG11="","",AG11&amp;": "&amp;SUBSTITUTE(IFERROR(INDEX(nMSG_Text,MATCH(AG11,nMSG_Code,0)),""),"[input]",IF(C11="","a Milestone_ID",IF(D11="","a milestone Type","the date fields required by the selected precision"))))</f>
        <v/>
      </c>
    </row>
    <row r="12" spans="1:34" x14ac:dyDescent="0.2">
      <c r="A12" s="10"/>
      <c r="B12" s="12"/>
      <c r="C12" s="10"/>
      <c r="D12" s="17"/>
      <c r="E12" s="10"/>
      <c r="F12" s="10"/>
      <c r="G12" s="17"/>
      <c r="H12" s="10"/>
      <c r="I12" s="10"/>
      <c r="J12" s="17"/>
      <c r="K12" s="10"/>
      <c r="L12" s="10"/>
      <c r="M12" s="17"/>
      <c r="N12" s="15"/>
      <c r="O12" s="26"/>
      <c r="P12" s="10"/>
      <c r="Q12" s="12"/>
      <c r="R12" s="12"/>
      <c r="S12" s="15"/>
      <c r="T12" s="15"/>
      <c r="U12" s="10"/>
      <c r="V12" s="21" t="str">
        <f>IF(COUNTA(M12:T12)=0,"",IF(M12="","E_MISSING_INPUT",IF(M12="TIMESTAMP",IF(OR(N12="",O12="",P12=""),"E_MISSING_INPUT",IF(OR(NOT(ISNUMBER(N12)),NOT(ISNUMBER(O12))),"E_INVALID_DATE",IF(OR(N12&lt;&gt;INT(N12),O12&lt;0,O12&gt;=1),"E_INVALID_DATE",IF(ISNA(MATCH(P12,nLIST_Offset,0)),"E_INVALID_DATE","")))),IF(M12="DATE",IF(N12="","E_MISSING_INPUT",IF(NOT(ISNUMBER(N12)),"E_INVALID_DATE",IF(N12&lt;&gt;INT(N12),"E_INVALID_DATE",""))),IF(M12="MONTH",IF(OR(Q12="",R12=""),"E_MISSING_INPUT",IF(OR(NOT(ISNUMBER(Q12)),NOT(ISNUMBER(R12))),"E_INVALID_DATE",IF(OR(Q12&lt;1900,Q12&gt;9999,Q12&lt;&gt;INT(Q12),R12&lt;1,R12&gt;12,R12&lt;&gt;INT(R12)),"E_INVALID_DATE",""))),IF(M12="YEAR",IF(Q12="","E_MISSING_INPUT",IF(NOT(ISNUMBER(Q12)),"E_INVALID_DATE",IF(OR(Q12&lt;1900,Q12&gt;9999,Q12&lt;&gt;INT(Q12)),"E_INVALID_DATE",""))),IF(M12="RANGE",IF(OR(S12="",T12=""),"E_MISSING_INPUT",IF(OR(NOT(ISNUMBER(S12)),NOT(ISNUMBER(T12))),"E_INVALID_DATE",IF(OR(S12&lt;&gt;INT(S12),T12&lt;&gt;INT(T12)),"E_INVALID_DATE",IF(S12&gt;T12,"E_REVERSED_BOUNDS","")))),"E_MISSING_INPUT")))))))</f>
        <v/>
      </c>
      <c r="W12" s="22">
        <f t="shared" si="0"/>
        <v>0</v>
      </c>
      <c r="X12" s="22">
        <f t="shared" si="1"/>
        <v>0</v>
      </c>
      <c r="Y12" s="28" t="str">
        <f t="shared" si="2"/>
        <v/>
      </c>
      <c r="Z12" s="28" t="str">
        <f t="shared" si="3"/>
        <v/>
      </c>
      <c r="AA12" s="22" t="str">
        <f t="shared" si="4"/>
        <v/>
      </c>
      <c r="AB12" s="22" t="str">
        <f t="shared" si="5"/>
        <v/>
      </c>
      <c r="AC12" s="21" t="str">
        <f t="shared" si="6"/>
        <v/>
      </c>
      <c r="AD12" s="21" t="str">
        <f t="shared" si="7"/>
        <v/>
      </c>
      <c r="AE12" s="22">
        <f t="shared" si="8"/>
        <v>0</v>
      </c>
      <c r="AF12" s="22">
        <f>IF(AC12="",0,COUNTIF(nMS_Key,AC12))</f>
        <v>0</v>
      </c>
      <c r="AG12" s="21" t="str">
        <f t="shared" si="9"/>
        <v/>
      </c>
      <c r="AH12" s="21" t="str">
        <f>IF(AG12="","",AG12&amp;": "&amp;SUBSTITUTE(IFERROR(INDEX(nMSG_Text,MATCH(AG12,nMSG_Code,0)),""),"[input]",IF(C12="","a Milestone_ID",IF(D12="","a milestone Type","the date fields required by the selected precision"))))</f>
        <v/>
      </c>
    </row>
    <row r="13" spans="1:34" x14ac:dyDescent="0.2">
      <c r="A13" s="10"/>
      <c r="B13" s="12"/>
      <c r="C13" s="10"/>
      <c r="D13" s="17"/>
      <c r="E13" s="10"/>
      <c r="F13" s="10"/>
      <c r="G13" s="17"/>
      <c r="H13" s="10"/>
      <c r="I13" s="10"/>
      <c r="J13" s="17"/>
      <c r="K13" s="10"/>
      <c r="L13" s="10"/>
      <c r="M13" s="17"/>
      <c r="N13" s="15"/>
      <c r="O13" s="26"/>
      <c r="P13" s="10"/>
      <c r="Q13" s="12"/>
      <c r="R13" s="12"/>
      <c r="S13" s="15"/>
      <c r="T13" s="15"/>
      <c r="U13" s="10"/>
      <c r="V13" s="21" t="str">
        <f>IF(COUNTA(M13:T13)=0,"",IF(M13="","E_MISSING_INPUT",IF(M13="TIMESTAMP",IF(OR(N13="",O13="",P13=""),"E_MISSING_INPUT",IF(OR(NOT(ISNUMBER(N13)),NOT(ISNUMBER(O13))),"E_INVALID_DATE",IF(OR(N13&lt;&gt;INT(N13),O13&lt;0,O13&gt;=1),"E_INVALID_DATE",IF(ISNA(MATCH(P13,nLIST_Offset,0)),"E_INVALID_DATE","")))),IF(M13="DATE",IF(N13="","E_MISSING_INPUT",IF(NOT(ISNUMBER(N13)),"E_INVALID_DATE",IF(N13&lt;&gt;INT(N13),"E_INVALID_DATE",""))),IF(M13="MONTH",IF(OR(Q13="",R13=""),"E_MISSING_INPUT",IF(OR(NOT(ISNUMBER(Q13)),NOT(ISNUMBER(R13))),"E_INVALID_DATE",IF(OR(Q13&lt;1900,Q13&gt;9999,Q13&lt;&gt;INT(Q13),R13&lt;1,R13&gt;12,R13&lt;&gt;INT(R13)),"E_INVALID_DATE",""))),IF(M13="YEAR",IF(Q13="","E_MISSING_INPUT",IF(NOT(ISNUMBER(Q13)),"E_INVALID_DATE",IF(OR(Q13&lt;1900,Q13&gt;9999,Q13&lt;&gt;INT(Q13)),"E_INVALID_DATE",""))),IF(M13="RANGE",IF(OR(S13="",T13=""),"E_MISSING_INPUT",IF(OR(NOT(ISNUMBER(S13)),NOT(ISNUMBER(T13))),"E_INVALID_DATE",IF(OR(S13&lt;&gt;INT(S13),T13&lt;&gt;INT(T13)),"E_INVALID_DATE",IF(S13&gt;T13,"E_REVERSED_BOUNDS","")))),"E_MISSING_INPUT")))))))</f>
        <v/>
      </c>
      <c r="W13" s="22">
        <f t="shared" si="0"/>
        <v>0</v>
      </c>
      <c r="X13" s="22">
        <f t="shared" si="1"/>
        <v>0</v>
      </c>
      <c r="Y13" s="28" t="str">
        <f t="shared" si="2"/>
        <v/>
      </c>
      <c r="Z13" s="28" t="str">
        <f t="shared" si="3"/>
        <v/>
      </c>
      <c r="AA13" s="22" t="str">
        <f t="shared" si="4"/>
        <v/>
      </c>
      <c r="AB13" s="22" t="str">
        <f t="shared" si="5"/>
        <v/>
      </c>
      <c r="AC13" s="21" t="str">
        <f t="shared" si="6"/>
        <v/>
      </c>
      <c r="AD13" s="21" t="str">
        <f t="shared" si="7"/>
        <v/>
      </c>
      <c r="AE13" s="22">
        <f t="shared" si="8"/>
        <v>0</v>
      </c>
      <c r="AF13" s="22">
        <f>IF(AC13="",0,COUNTIF(nMS_Key,AC13))</f>
        <v>0</v>
      </c>
      <c r="AG13" s="21" t="str">
        <f t="shared" si="9"/>
        <v/>
      </c>
      <c r="AH13" s="21" t="str">
        <f>IF(AG13="","",AG13&amp;": "&amp;SUBSTITUTE(IFERROR(INDEX(nMSG_Text,MATCH(AG13,nMSG_Code,0)),""),"[input]",IF(C13="","a Milestone_ID",IF(D13="","a milestone Type","the date fields required by the selected precision"))))</f>
        <v/>
      </c>
    </row>
    <row r="14" spans="1:34" x14ac:dyDescent="0.2">
      <c r="A14" s="10"/>
      <c r="B14" s="12"/>
      <c r="C14" s="10"/>
      <c r="D14" s="17"/>
      <c r="E14" s="10"/>
      <c r="F14" s="10"/>
      <c r="G14" s="17"/>
      <c r="H14" s="10"/>
      <c r="I14" s="10"/>
      <c r="J14" s="17"/>
      <c r="K14" s="10"/>
      <c r="L14" s="10"/>
      <c r="M14" s="17"/>
      <c r="N14" s="15"/>
      <c r="O14" s="26"/>
      <c r="P14" s="10"/>
      <c r="Q14" s="12"/>
      <c r="R14" s="12"/>
      <c r="S14" s="15"/>
      <c r="T14" s="15"/>
      <c r="U14" s="10"/>
      <c r="V14" s="21" t="str">
        <f>IF(COUNTA(M14:T14)=0,"",IF(M14="","E_MISSING_INPUT",IF(M14="TIMESTAMP",IF(OR(N14="",O14="",P14=""),"E_MISSING_INPUT",IF(OR(NOT(ISNUMBER(N14)),NOT(ISNUMBER(O14))),"E_INVALID_DATE",IF(OR(N14&lt;&gt;INT(N14),O14&lt;0,O14&gt;=1),"E_INVALID_DATE",IF(ISNA(MATCH(P14,nLIST_Offset,0)),"E_INVALID_DATE","")))),IF(M14="DATE",IF(N14="","E_MISSING_INPUT",IF(NOT(ISNUMBER(N14)),"E_INVALID_DATE",IF(N14&lt;&gt;INT(N14),"E_INVALID_DATE",""))),IF(M14="MONTH",IF(OR(Q14="",R14=""),"E_MISSING_INPUT",IF(OR(NOT(ISNUMBER(Q14)),NOT(ISNUMBER(R14))),"E_INVALID_DATE",IF(OR(Q14&lt;1900,Q14&gt;9999,Q14&lt;&gt;INT(Q14),R14&lt;1,R14&gt;12,R14&lt;&gt;INT(R14)),"E_INVALID_DATE",""))),IF(M14="YEAR",IF(Q14="","E_MISSING_INPUT",IF(NOT(ISNUMBER(Q14)),"E_INVALID_DATE",IF(OR(Q14&lt;1900,Q14&gt;9999,Q14&lt;&gt;INT(Q14)),"E_INVALID_DATE",""))),IF(M14="RANGE",IF(OR(S14="",T14=""),"E_MISSING_INPUT",IF(OR(NOT(ISNUMBER(S14)),NOT(ISNUMBER(T14))),"E_INVALID_DATE",IF(OR(S14&lt;&gt;INT(S14),T14&lt;&gt;INT(T14)),"E_INVALID_DATE",IF(S14&gt;T14,"E_REVERSED_BOUNDS","")))),"E_MISSING_INPUT")))))))</f>
        <v/>
      </c>
      <c r="W14" s="22">
        <f t="shared" si="0"/>
        <v>0</v>
      </c>
      <c r="X14" s="22">
        <f t="shared" si="1"/>
        <v>0</v>
      </c>
      <c r="Y14" s="28" t="str">
        <f t="shared" si="2"/>
        <v/>
      </c>
      <c r="Z14" s="28" t="str">
        <f t="shared" si="3"/>
        <v/>
      </c>
      <c r="AA14" s="22" t="str">
        <f t="shared" si="4"/>
        <v/>
      </c>
      <c r="AB14" s="22" t="str">
        <f t="shared" si="5"/>
        <v/>
      </c>
      <c r="AC14" s="21" t="str">
        <f t="shared" si="6"/>
        <v/>
      </c>
      <c r="AD14" s="21" t="str">
        <f t="shared" si="7"/>
        <v/>
      </c>
      <c r="AE14" s="22">
        <f t="shared" si="8"/>
        <v>0</v>
      </c>
      <c r="AF14" s="22">
        <f>IF(AC14="",0,COUNTIF(nMS_Key,AC14))</f>
        <v>0</v>
      </c>
      <c r="AG14" s="21" t="str">
        <f t="shared" si="9"/>
        <v/>
      </c>
      <c r="AH14" s="21" t="str">
        <f>IF(AG14="","",AG14&amp;": "&amp;SUBSTITUTE(IFERROR(INDEX(nMSG_Text,MATCH(AG14,nMSG_Code,0)),""),"[input]",IF(C14="","a Milestone_ID",IF(D14="","a milestone Type","the date fields required by the selected precision"))))</f>
        <v/>
      </c>
    </row>
    <row r="15" spans="1:34" x14ac:dyDescent="0.2">
      <c r="A15" s="10"/>
      <c r="B15" s="12"/>
      <c r="C15" s="10"/>
      <c r="D15" s="17"/>
      <c r="E15" s="10"/>
      <c r="F15" s="10"/>
      <c r="G15" s="17"/>
      <c r="H15" s="10"/>
      <c r="I15" s="10"/>
      <c r="J15" s="17"/>
      <c r="K15" s="10"/>
      <c r="L15" s="10"/>
      <c r="M15" s="17"/>
      <c r="N15" s="15"/>
      <c r="O15" s="26"/>
      <c r="P15" s="10"/>
      <c r="Q15" s="12"/>
      <c r="R15" s="12"/>
      <c r="S15" s="15"/>
      <c r="T15" s="15"/>
      <c r="U15" s="10"/>
      <c r="V15" s="21" t="str">
        <f>IF(COUNTA(M15:T15)=0,"",IF(M15="","E_MISSING_INPUT",IF(M15="TIMESTAMP",IF(OR(N15="",O15="",P15=""),"E_MISSING_INPUT",IF(OR(NOT(ISNUMBER(N15)),NOT(ISNUMBER(O15))),"E_INVALID_DATE",IF(OR(N15&lt;&gt;INT(N15),O15&lt;0,O15&gt;=1),"E_INVALID_DATE",IF(ISNA(MATCH(P15,nLIST_Offset,0)),"E_INVALID_DATE","")))),IF(M15="DATE",IF(N15="","E_MISSING_INPUT",IF(NOT(ISNUMBER(N15)),"E_INVALID_DATE",IF(N15&lt;&gt;INT(N15),"E_INVALID_DATE",""))),IF(M15="MONTH",IF(OR(Q15="",R15=""),"E_MISSING_INPUT",IF(OR(NOT(ISNUMBER(Q15)),NOT(ISNUMBER(R15))),"E_INVALID_DATE",IF(OR(Q15&lt;1900,Q15&gt;9999,Q15&lt;&gt;INT(Q15),R15&lt;1,R15&gt;12,R15&lt;&gt;INT(R15)),"E_INVALID_DATE",""))),IF(M15="YEAR",IF(Q15="","E_MISSING_INPUT",IF(NOT(ISNUMBER(Q15)),"E_INVALID_DATE",IF(OR(Q15&lt;1900,Q15&gt;9999,Q15&lt;&gt;INT(Q15)),"E_INVALID_DATE",""))),IF(M15="RANGE",IF(OR(S15="",T15=""),"E_MISSING_INPUT",IF(OR(NOT(ISNUMBER(S15)),NOT(ISNUMBER(T15))),"E_INVALID_DATE",IF(OR(S15&lt;&gt;INT(S15),T15&lt;&gt;INT(T15)),"E_INVALID_DATE",IF(S15&gt;T15,"E_REVERSED_BOUNDS","")))),"E_MISSING_INPUT")))))))</f>
        <v/>
      </c>
      <c r="W15" s="22">
        <f t="shared" si="0"/>
        <v>0</v>
      </c>
      <c r="X15" s="22">
        <f t="shared" si="1"/>
        <v>0</v>
      </c>
      <c r="Y15" s="28" t="str">
        <f t="shared" si="2"/>
        <v/>
      </c>
      <c r="Z15" s="28" t="str">
        <f t="shared" si="3"/>
        <v/>
      </c>
      <c r="AA15" s="22" t="str">
        <f t="shared" si="4"/>
        <v/>
      </c>
      <c r="AB15" s="22" t="str">
        <f t="shared" si="5"/>
        <v/>
      </c>
      <c r="AC15" s="21" t="str">
        <f t="shared" si="6"/>
        <v/>
      </c>
      <c r="AD15" s="21" t="str">
        <f t="shared" si="7"/>
        <v/>
      </c>
      <c r="AE15" s="22">
        <f t="shared" si="8"/>
        <v>0</v>
      </c>
      <c r="AF15" s="22">
        <f>IF(AC15="",0,COUNTIF(nMS_Key,AC15))</f>
        <v>0</v>
      </c>
      <c r="AG15" s="21" t="str">
        <f t="shared" si="9"/>
        <v/>
      </c>
      <c r="AH15" s="21" t="str">
        <f>IF(AG15="","",AG15&amp;": "&amp;SUBSTITUTE(IFERROR(INDEX(nMSG_Text,MATCH(AG15,nMSG_Code,0)),""),"[input]",IF(C15="","a Milestone_ID",IF(D15="","a milestone Type","the date fields required by the selected precision"))))</f>
        <v/>
      </c>
    </row>
    <row r="16" spans="1:34" x14ac:dyDescent="0.2">
      <c r="A16" s="10"/>
      <c r="B16" s="12"/>
      <c r="C16" s="10"/>
      <c r="D16" s="17"/>
      <c r="E16" s="10"/>
      <c r="F16" s="10"/>
      <c r="G16" s="17"/>
      <c r="H16" s="10"/>
      <c r="I16" s="10"/>
      <c r="J16" s="17"/>
      <c r="K16" s="10"/>
      <c r="L16" s="10"/>
      <c r="M16" s="17"/>
      <c r="N16" s="15"/>
      <c r="O16" s="26"/>
      <c r="P16" s="10"/>
      <c r="Q16" s="12"/>
      <c r="R16" s="12"/>
      <c r="S16" s="15"/>
      <c r="T16" s="15"/>
      <c r="U16" s="10"/>
      <c r="V16" s="21" t="str">
        <f>IF(COUNTA(M16:T16)=0,"",IF(M16="","E_MISSING_INPUT",IF(M16="TIMESTAMP",IF(OR(N16="",O16="",P16=""),"E_MISSING_INPUT",IF(OR(NOT(ISNUMBER(N16)),NOT(ISNUMBER(O16))),"E_INVALID_DATE",IF(OR(N16&lt;&gt;INT(N16),O16&lt;0,O16&gt;=1),"E_INVALID_DATE",IF(ISNA(MATCH(P16,nLIST_Offset,0)),"E_INVALID_DATE","")))),IF(M16="DATE",IF(N16="","E_MISSING_INPUT",IF(NOT(ISNUMBER(N16)),"E_INVALID_DATE",IF(N16&lt;&gt;INT(N16),"E_INVALID_DATE",""))),IF(M16="MONTH",IF(OR(Q16="",R16=""),"E_MISSING_INPUT",IF(OR(NOT(ISNUMBER(Q16)),NOT(ISNUMBER(R16))),"E_INVALID_DATE",IF(OR(Q16&lt;1900,Q16&gt;9999,Q16&lt;&gt;INT(Q16),R16&lt;1,R16&gt;12,R16&lt;&gt;INT(R16)),"E_INVALID_DATE",""))),IF(M16="YEAR",IF(Q16="","E_MISSING_INPUT",IF(NOT(ISNUMBER(Q16)),"E_INVALID_DATE",IF(OR(Q16&lt;1900,Q16&gt;9999,Q16&lt;&gt;INT(Q16)),"E_INVALID_DATE",""))),IF(M16="RANGE",IF(OR(S16="",T16=""),"E_MISSING_INPUT",IF(OR(NOT(ISNUMBER(S16)),NOT(ISNUMBER(T16))),"E_INVALID_DATE",IF(OR(S16&lt;&gt;INT(S16),T16&lt;&gt;INT(T16)),"E_INVALID_DATE",IF(S16&gt;T16,"E_REVERSED_BOUNDS","")))),"E_MISSING_INPUT")))))))</f>
        <v/>
      </c>
      <c r="W16" s="22">
        <f t="shared" si="0"/>
        <v>0</v>
      </c>
      <c r="X16" s="22">
        <f t="shared" si="1"/>
        <v>0</v>
      </c>
      <c r="Y16" s="28" t="str">
        <f t="shared" si="2"/>
        <v/>
      </c>
      <c r="Z16" s="28" t="str">
        <f t="shared" si="3"/>
        <v/>
      </c>
      <c r="AA16" s="22" t="str">
        <f t="shared" si="4"/>
        <v/>
      </c>
      <c r="AB16" s="22" t="str">
        <f t="shared" si="5"/>
        <v/>
      </c>
      <c r="AC16" s="21" t="str">
        <f t="shared" si="6"/>
        <v/>
      </c>
      <c r="AD16" s="21" t="str">
        <f t="shared" si="7"/>
        <v/>
      </c>
      <c r="AE16" s="22">
        <f t="shared" si="8"/>
        <v>0</v>
      </c>
      <c r="AF16" s="22">
        <f>IF(AC16="",0,COUNTIF(nMS_Key,AC16))</f>
        <v>0</v>
      </c>
      <c r="AG16" s="21" t="str">
        <f t="shared" si="9"/>
        <v/>
      </c>
      <c r="AH16" s="21" t="str">
        <f>IF(AG16="","",AG16&amp;": "&amp;SUBSTITUTE(IFERROR(INDEX(nMSG_Text,MATCH(AG16,nMSG_Code,0)),""),"[input]",IF(C16="","a Milestone_ID",IF(D16="","a milestone Type","the date fields required by the selected precision"))))</f>
        <v/>
      </c>
    </row>
    <row r="17" spans="1:34" x14ac:dyDescent="0.2">
      <c r="A17" s="10"/>
      <c r="B17" s="12"/>
      <c r="C17" s="10"/>
      <c r="D17" s="17"/>
      <c r="E17" s="10"/>
      <c r="F17" s="10"/>
      <c r="G17" s="17"/>
      <c r="H17" s="10"/>
      <c r="I17" s="10"/>
      <c r="J17" s="17"/>
      <c r="K17" s="10"/>
      <c r="L17" s="10"/>
      <c r="M17" s="17"/>
      <c r="N17" s="15"/>
      <c r="O17" s="26"/>
      <c r="P17" s="10"/>
      <c r="Q17" s="12"/>
      <c r="R17" s="12"/>
      <c r="S17" s="15"/>
      <c r="T17" s="15"/>
      <c r="U17" s="10"/>
      <c r="V17" s="21" t="str">
        <f>IF(COUNTA(M17:T17)=0,"",IF(M17="","E_MISSING_INPUT",IF(M17="TIMESTAMP",IF(OR(N17="",O17="",P17=""),"E_MISSING_INPUT",IF(OR(NOT(ISNUMBER(N17)),NOT(ISNUMBER(O17))),"E_INVALID_DATE",IF(OR(N17&lt;&gt;INT(N17),O17&lt;0,O17&gt;=1),"E_INVALID_DATE",IF(ISNA(MATCH(P17,nLIST_Offset,0)),"E_INVALID_DATE","")))),IF(M17="DATE",IF(N17="","E_MISSING_INPUT",IF(NOT(ISNUMBER(N17)),"E_INVALID_DATE",IF(N17&lt;&gt;INT(N17),"E_INVALID_DATE",""))),IF(M17="MONTH",IF(OR(Q17="",R17=""),"E_MISSING_INPUT",IF(OR(NOT(ISNUMBER(Q17)),NOT(ISNUMBER(R17))),"E_INVALID_DATE",IF(OR(Q17&lt;1900,Q17&gt;9999,Q17&lt;&gt;INT(Q17),R17&lt;1,R17&gt;12,R17&lt;&gt;INT(R17)),"E_INVALID_DATE",""))),IF(M17="YEAR",IF(Q17="","E_MISSING_INPUT",IF(NOT(ISNUMBER(Q17)),"E_INVALID_DATE",IF(OR(Q17&lt;1900,Q17&gt;9999,Q17&lt;&gt;INT(Q17)),"E_INVALID_DATE",""))),IF(M17="RANGE",IF(OR(S17="",T17=""),"E_MISSING_INPUT",IF(OR(NOT(ISNUMBER(S17)),NOT(ISNUMBER(T17))),"E_INVALID_DATE",IF(OR(S17&lt;&gt;INT(S17),T17&lt;&gt;INT(T17)),"E_INVALID_DATE",IF(S17&gt;T17,"E_REVERSED_BOUNDS","")))),"E_MISSING_INPUT")))))))</f>
        <v/>
      </c>
      <c r="W17" s="22">
        <f t="shared" si="0"/>
        <v>0</v>
      </c>
      <c r="X17" s="22">
        <f t="shared" si="1"/>
        <v>0</v>
      </c>
      <c r="Y17" s="28" t="str">
        <f t="shared" si="2"/>
        <v/>
      </c>
      <c r="Z17" s="28" t="str">
        <f t="shared" si="3"/>
        <v/>
      </c>
      <c r="AA17" s="22" t="str">
        <f t="shared" si="4"/>
        <v/>
      </c>
      <c r="AB17" s="22" t="str">
        <f t="shared" si="5"/>
        <v/>
      </c>
      <c r="AC17" s="21" t="str">
        <f t="shared" si="6"/>
        <v/>
      </c>
      <c r="AD17" s="21" t="str">
        <f t="shared" si="7"/>
        <v/>
      </c>
      <c r="AE17" s="22">
        <f t="shared" si="8"/>
        <v>0</v>
      </c>
      <c r="AF17" s="22">
        <f>IF(AC17="",0,COUNTIF(nMS_Key,AC17))</f>
        <v>0</v>
      </c>
      <c r="AG17" s="21" t="str">
        <f t="shared" si="9"/>
        <v/>
      </c>
      <c r="AH17" s="21" t="str">
        <f>IF(AG17="","",AG17&amp;": "&amp;SUBSTITUTE(IFERROR(INDEX(nMSG_Text,MATCH(AG17,nMSG_Code,0)),""),"[input]",IF(C17="","a Milestone_ID",IF(D17="","a milestone Type","the date fields required by the selected precision"))))</f>
        <v/>
      </c>
    </row>
    <row r="18" spans="1:34" x14ac:dyDescent="0.2">
      <c r="A18" s="10"/>
      <c r="B18" s="12"/>
      <c r="C18" s="10"/>
      <c r="D18" s="17"/>
      <c r="E18" s="10"/>
      <c r="F18" s="10"/>
      <c r="G18" s="17"/>
      <c r="H18" s="10"/>
      <c r="I18" s="10"/>
      <c r="J18" s="17"/>
      <c r="K18" s="10"/>
      <c r="L18" s="10"/>
      <c r="M18" s="17"/>
      <c r="N18" s="15"/>
      <c r="O18" s="26"/>
      <c r="P18" s="10"/>
      <c r="Q18" s="12"/>
      <c r="R18" s="12"/>
      <c r="S18" s="15"/>
      <c r="T18" s="15"/>
      <c r="U18" s="10"/>
      <c r="V18" s="21" t="str">
        <f>IF(COUNTA(M18:T18)=0,"",IF(M18="","E_MISSING_INPUT",IF(M18="TIMESTAMP",IF(OR(N18="",O18="",P18=""),"E_MISSING_INPUT",IF(OR(NOT(ISNUMBER(N18)),NOT(ISNUMBER(O18))),"E_INVALID_DATE",IF(OR(N18&lt;&gt;INT(N18),O18&lt;0,O18&gt;=1),"E_INVALID_DATE",IF(ISNA(MATCH(P18,nLIST_Offset,0)),"E_INVALID_DATE","")))),IF(M18="DATE",IF(N18="","E_MISSING_INPUT",IF(NOT(ISNUMBER(N18)),"E_INVALID_DATE",IF(N18&lt;&gt;INT(N18),"E_INVALID_DATE",""))),IF(M18="MONTH",IF(OR(Q18="",R18=""),"E_MISSING_INPUT",IF(OR(NOT(ISNUMBER(Q18)),NOT(ISNUMBER(R18))),"E_INVALID_DATE",IF(OR(Q18&lt;1900,Q18&gt;9999,Q18&lt;&gt;INT(Q18),R18&lt;1,R18&gt;12,R18&lt;&gt;INT(R18)),"E_INVALID_DATE",""))),IF(M18="YEAR",IF(Q18="","E_MISSING_INPUT",IF(NOT(ISNUMBER(Q18)),"E_INVALID_DATE",IF(OR(Q18&lt;1900,Q18&gt;9999,Q18&lt;&gt;INT(Q18)),"E_INVALID_DATE",""))),IF(M18="RANGE",IF(OR(S18="",T18=""),"E_MISSING_INPUT",IF(OR(NOT(ISNUMBER(S18)),NOT(ISNUMBER(T18))),"E_INVALID_DATE",IF(OR(S18&lt;&gt;INT(S18),T18&lt;&gt;INT(T18)),"E_INVALID_DATE",IF(S18&gt;T18,"E_REVERSED_BOUNDS","")))),"E_MISSING_INPUT")))))))</f>
        <v/>
      </c>
      <c r="W18" s="22">
        <f t="shared" si="0"/>
        <v>0</v>
      </c>
      <c r="X18" s="22">
        <f t="shared" si="1"/>
        <v>0</v>
      </c>
      <c r="Y18" s="28" t="str">
        <f t="shared" si="2"/>
        <v/>
      </c>
      <c r="Z18" s="28" t="str">
        <f t="shared" si="3"/>
        <v/>
      </c>
      <c r="AA18" s="22" t="str">
        <f t="shared" si="4"/>
        <v/>
      </c>
      <c r="AB18" s="22" t="str">
        <f t="shared" si="5"/>
        <v/>
      </c>
      <c r="AC18" s="21" t="str">
        <f t="shared" si="6"/>
        <v/>
      </c>
      <c r="AD18" s="21" t="str">
        <f t="shared" si="7"/>
        <v/>
      </c>
      <c r="AE18" s="22">
        <f t="shared" si="8"/>
        <v>0</v>
      </c>
      <c r="AF18" s="22">
        <f>IF(AC18="",0,COUNTIF(nMS_Key,AC18))</f>
        <v>0</v>
      </c>
      <c r="AG18" s="21" t="str">
        <f t="shared" si="9"/>
        <v/>
      </c>
      <c r="AH18" s="21" t="str">
        <f>IF(AG18="","",AG18&amp;": "&amp;SUBSTITUTE(IFERROR(INDEX(nMSG_Text,MATCH(AG18,nMSG_Code,0)),""),"[input]",IF(C18="","a Milestone_ID",IF(D18="","a milestone Type","the date fields required by the selected precision"))))</f>
        <v/>
      </c>
    </row>
    <row r="19" spans="1:34" x14ac:dyDescent="0.2">
      <c r="A19" s="10"/>
      <c r="B19" s="12"/>
      <c r="C19" s="10"/>
      <c r="D19" s="17"/>
      <c r="E19" s="10"/>
      <c r="F19" s="10"/>
      <c r="G19" s="17"/>
      <c r="H19" s="10"/>
      <c r="I19" s="10"/>
      <c r="J19" s="17"/>
      <c r="K19" s="10"/>
      <c r="L19" s="10"/>
      <c r="M19" s="17"/>
      <c r="N19" s="15"/>
      <c r="O19" s="26"/>
      <c r="P19" s="10"/>
      <c r="Q19" s="12"/>
      <c r="R19" s="12"/>
      <c r="S19" s="15"/>
      <c r="T19" s="15"/>
      <c r="U19" s="10"/>
      <c r="V19" s="21" t="str">
        <f>IF(COUNTA(M19:T19)=0,"",IF(M19="","E_MISSING_INPUT",IF(M19="TIMESTAMP",IF(OR(N19="",O19="",P19=""),"E_MISSING_INPUT",IF(OR(NOT(ISNUMBER(N19)),NOT(ISNUMBER(O19))),"E_INVALID_DATE",IF(OR(N19&lt;&gt;INT(N19),O19&lt;0,O19&gt;=1),"E_INVALID_DATE",IF(ISNA(MATCH(P19,nLIST_Offset,0)),"E_INVALID_DATE","")))),IF(M19="DATE",IF(N19="","E_MISSING_INPUT",IF(NOT(ISNUMBER(N19)),"E_INVALID_DATE",IF(N19&lt;&gt;INT(N19),"E_INVALID_DATE",""))),IF(M19="MONTH",IF(OR(Q19="",R19=""),"E_MISSING_INPUT",IF(OR(NOT(ISNUMBER(Q19)),NOT(ISNUMBER(R19))),"E_INVALID_DATE",IF(OR(Q19&lt;1900,Q19&gt;9999,Q19&lt;&gt;INT(Q19),R19&lt;1,R19&gt;12,R19&lt;&gt;INT(R19)),"E_INVALID_DATE",""))),IF(M19="YEAR",IF(Q19="","E_MISSING_INPUT",IF(NOT(ISNUMBER(Q19)),"E_INVALID_DATE",IF(OR(Q19&lt;1900,Q19&gt;9999,Q19&lt;&gt;INT(Q19)),"E_INVALID_DATE",""))),IF(M19="RANGE",IF(OR(S19="",T19=""),"E_MISSING_INPUT",IF(OR(NOT(ISNUMBER(S19)),NOT(ISNUMBER(T19))),"E_INVALID_DATE",IF(OR(S19&lt;&gt;INT(S19),T19&lt;&gt;INT(T19)),"E_INVALID_DATE",IF(S19&gt;T19,"E_REVERSED_BOUNDS","")))),"E_MISSING_INPUT")))))))</f>
        <v/>
      </c>
      <c r="W19" s="22">
        <f t="shared" si="0"/>
        <v>0</v>
      </c>
      <c r="X19" s="22">
        <f t="shared" si="1"/>
        <v>0</v>
      </c>
      <c r="Y19" s="28" t="str">
        <f t="shared" si="2"/>
        <v/>
      </c>
      <c r="Z19" s="28" t="str">
        <f t="shared" si="3"/>
        <v/>
      </c>
      <c r="AA19" s="22" t="str">
        <f t="shared" si="4"/>
        <v/>
      </c>
      <c r="AB19" s="22" t="str">
        <f t="shared" si="5"/>
        <v/>
      </c>
      <c r="AC19" s="21" t="str">
        <f t="shared" si="6"/>
        <v/>
      </c>
      <c r="AD19" s="21" t="str">
        <f t="shared" si="7"/>
        <v/>
      </c>
      <c r="AE19" s="22">
        <f t="shared" si="8"/>
        <v>0</v>
      </c>
      <c r="AF19" s="22">
        <f>IF(AC19="",0,COUNTIF(nMS_Key,AC19))</f>
        <v>0</v>
      </c>
      <c r="AG19" s="21" t="str">
        <f t="shared" si="9"/>
        <v/>
      </c>
      <c r="AH19" s="21" t="str">
        <f>IF(AG19="","",AG19&amp;": "&amp;SUBSTITUTE(IFERROR(INDEX(nMSG_Text,MATCH(AG19,nMSG_Code,0)),""),"[input]",IF(C19="","a Milestone_ID",IF(D19="","a milestone Type","the date fields required by the selected precision"))))</f>
        <v/>
      </c>
    </row>
    <row r="20" spans="1:34" x14ac:dyDescent="0.2">
      <c r="A20" s="10"/>
      <c r="B20" s="12"/>
      <c r="C20" s="10"/>
      <c r="D20" s="17"/>
      <c r="E20" s="10"/>
      <c r="F20" s="10"/>
      <c r="G20" s="17"/>
      <c r="H20" s="10"/>
      <c r="I20" s="10"/>
      <c r="J20" s="17"/>
      <c r="K20" s="10"/>
      <c r="L20" s="10"/>
      <c r="M20" s="17"/>
      <c r="N20" s="15"/>
      <c r="O20" s="26"/>
      <c r="P20" s="10"/>
      <c r="Q20" s="12"/>
      <c r="R20" s="12"/>
      <c r="S20" s="15"/>
      <c r="T20" s="15"/>
      <c r="U20" s="10"/>
      <c r="V20" s="21" t="str">
        <f>IF(COUNTA(M20:T20)=0,"",IF(M20="","E_MISSING_INPUT",IF(M20="TIMESTAMP",IF(OR(N20="",O20="",P20=""),"E_MISSING_INPUT",IF(OR(NOT(ISNUMBER(N20)),NOT(ISNUMBER(O20))),"E_INVALID_DATE",IF(OR(N20&lt;&gt;INT(N20),O20&lt;0,O20&gt;=1),"E_INVALID_DATE",IF(ISNA(MATCH(P20,nLIST_Offset,0)),"E_INVALID_DATE","")))),IF(M20="DATE",IF(N20="","E_MISSING_INPUT",IF(NOT(ISNUMBER(N20)),"E_INVALID_DATE",IF(N20&lt;&gt;INT(N20),"E_INVALID_DATE",""))),IF(M20="MONTH",IF(OR(Q20="",R20=""),"E_MISSING_INPUT",IF(OR(NOT(ISNUMBER(Q20)),NOT(ISNUMBER(R20))),"E_INVALID_DATE",IF(OR(Q20&lt;1900,Q20&gt;9999,Q20&lt;&gt;INT(Q20),R20&lt;1,R20&gt;12,R20&lt;&gt;INT(R20)),"E_INVALID_DATE",""))),IF(M20="YEAR",IF(Q20="","E_MISSING_INPUT",IF(NOT(ISNUMBER(Q20)),"E_INVALID_DATE",IF(OR(Q20&lt;1900,Q20&gt;9999,Q20&lt;&gt;INT(Q20)),"E_INVALID_DATE",""))),IF(M20="RANGE",IF(OR(S20="",T20=""),"E_MISSING_INPUT",IF(OR(NOT(ISNUMBER(S20)),NOT(ISNUMBER(T20))),"E_INVALID_DATE",IF(OR(S20&lt;&gt;INT(S20),T20&lt;&gt;INT(T20)),"E_INVALID_DATE",IF(S20&gt;T20,"E_REVERSED_BOUNDS","")))),"E_MISSING_INPUT")))))))</f>
        <v/>
      </c>
      <c r="W20" s="22">
        <f t="shared" si="0"/>
        <v>0</v>
      </c>
      <c r="X20" s="22">
        <f t="shared" si="1"/>
        <v>0</v>
      </c>
      <c r="Y20" s="28" t="str">
        <f t="shared" si="2"/>
        <v/>
      </c>
      <c r="Z20" s="28" t="str">
        <f t="shared" si="3"/>
        <v/>
      </c>
      <c r="AA20" s="22" t="str">
        <f t="shared" si="4"/>
        <v/>
      </c>
      <c r="AB20" s="22" t="str">
        <f t="shared" si="5"/>
        <v/>
      </c>
      <c r="AC20" s="21" t="str">
        <f t="shared" si="6"/>
        <v/>
      </c>
      <c r="AD20" s="21" t="str">
        <f t="shared" si="7"/>
        <v/>
      </c>
      <c r="AE20" s="22">
        <f t="shared" si="8"/>
        <v>0</v>
      </c>
      <c r="AF20" s="22">
        <f>IF(AC20="",0,COUNTIF(nMS_Key,AC20))</f>
        <v>0</v>
      </c>
      <c r="AG20" s="21" t="str">
        <f t="shared" si="9"/>
        <v/>
      </c>
      <c r="AH20" s="21" t="str">
        <f>IF(AG20="","",AG20&amp;": "&amp;SUBSTITUTE(IFERROR(INDEX(nMSG_Text,MATCH(AG20,nMSG_Code,0)),""),"[input]",IF(C20="","a Milestone_ID",IF(D20="","a milestone Type","the date fields required by the selected precision"))))</f>
        <v/>
      </c>
    </row>
    <row r="21" spans="1:34" x14ac:dyDescent="0.2">
      <c r="A21" s="10"/>
      <c r="B21" s="12"/>
      <c r="C21" s="10"/>
      <c r="D21" s="17"/>
      <c r="E21" s="10"/>
      <c r="F21" s="10"/>
      <c r="G21" s="17"/>
      <c r="H21" s="10"/>
      <c r="I21" s="10"/>
      <c r="J21" s="17"/>
      <c r="K21" s="10"/>
      <c r="L21" s="10"/>
      <c r="M21" s="17"/>
      <c r="N21" s="15"/>
      <c r="O21" s="26"/>
      <c r="P21" s="10"/>
      <c r="Q21" s="12"/>
      <c r="R21" s="12"/>
      <c r="S21" s="15"/>
      <c r="T21" s="15"/>
      <c r="U21" s="10"/>
      <c r="V21" s="21" t="str">
        <f>IF(COUNTA(M21:T21)=0,"",IF(M21="","E_MISSING_INPUT",IF(M21="TIMESTAMP",IF(OR(N21="",O21="",P21=""),"E_MISSING_INPUT",IF(OR(NOT(ISNUMBER(N21)),NOT(ISNUMBER(O21))),"E_INVALID_DATE",IF(OR(N21&lt;&gt;INT(N21),O21&lt;0,O21&gt;=1),"E_INVALID_DATE",IF(ISNA(MATCH(P21,nLIST_Offset,0)),"E_INVALID_DATE","")))),IF(M21="DATE",IF(N21="","E_MISSING_INPUT",IF(NOT(ISNUMBER(N21)),"E_INVALID_DATE",IF(N21&lt;&gt;INT(N21),"E_INVALID_DATE",""))),IF(M21="MONTH",IF(OR(Q21="",R21=""),"E_MISSING_INPUT",IF(OR(NOT(ISNUMBER(Q21)),NOT(ISNUMBER(R21))),"E_INVALID_DATE",IF(OR(Q21&lt;1900,Q21&gt;9999,Q21&lt;&gt;INT(Q21),R21&lt;1,R21&gt;12,R21&lt;&gt;INT(R21)),"E_INVALID_DATE",""))),IF(M21="YEAR",IF(Q21="","E_MISSING_INPUT",IF(NOT(ISNUMBER(Q21)),"E_INVALID_DATE",IF(OR(Q21&lt;1900,Q21&gt;9999,Q21&lt;&gt;INT(Q21)),"E_INVALID_DATE",""))),IF(M21="RANGE",IF(OR(S21="",T21=""),"E_MISSING_INPUT",IF(OR(NOT(ISNUMBER(S21)),NOT(ISNUMBER(T21))),"E_INVALID_DATE",IF(OR(S21&lt;&gt;INT(S21),T21&lt;&gt;INT(T21)),"E_INVALID_DATE",IF(S21&gt;T21,"E_REVERSED_BOUNDS","")))),"E_MISSING_INPUT")))))))</f>
        <v/>
      </c>
      <c r="W21" s="22">
        <f t="shared" si="0"/>
        <v>0</v>
      </c>
      <c r="X21" s="22">
        <f t="shared" si="1"/>
        <v>0</v>
      </c>
      <c r="Y21" s="28" t="str">
        <f t="shared" si="2"/>
        <v/>
      </c>
      <c r="Z21" s="28" t="str">
        <f t="shared" si="3"/>
        <v/>
      </c>
      <c r="AA21" s="22" t="str">
        <f t="shared" si="4"/>
        <v/>
      </c>
      <c r="AB21" s="22" t="str">
        <f t="shared" si="5"/>
        <v/>
      </c>
      <c r="AC21" s="21" t="str">
        <f t="shared" si="6"/>
        <v/>
      </c>
      <c r="AD21" s="21" t="str">
        <f t="shared" si="7"/>
        <v/>
      </c>
      <c r="AE21" s="22">
        <f t="shared" si="8"/>
        <v>0</v>
      </c>
      <c r="AF21" s="22">
        <f>IF(AC21="",0,COUNTIF(nMS_Key,AC21))</f>
        <v>0</v>
      </c>
      <c r="AG21" s="21" t="str">
        <f t="shared" si="9"/>
        <v/>
      </c>
      <c r="AH21" s="21" t="str">
        <f>IF(AG21="","",AG21&amp;": "&amp;SUBSTITUTE(IFERROR(INDEX(nMSG_Text,MATCH(AG21,nMSG_Code,0)),""),"[input]",IF(C21="","a Milestone_ID",IF(D21="","a milestone Type","the date fields required by the selected precision"))))</f>
        <v/>
      </c>
    </row>
    <row r="22" spans="1:34" x14ac:dyDescent="0.2">
      <c r="A22" s="10"/>
      <c r="B22" s="12"/>
      <c r="C22" s="10"/>
      <c r="D22" s="17"/>
      <c r="E22" s="10"/>
      <c r="F22" s="10"/>
      <c r="G22" s="17"/>
      <c r="H22" s="10"/>
      <c r="I22" s="10"/>
      <c r="J22" s="17"/>
      <c r="K22" s="10"/>
      <c r="L22" s="10"/>
      <c r="M22" s="17"/>
      <c r="N22" s="15"/>
      <c r="O22" s="26"/>
      <c r="P22" s="10"/>
      <c r="Q22" s="12"/>
      <c r="R22" s="12"/>
      <c r="S22" s="15"/>
      <c r="T22" s="15"/>
      <c r="U22" s="10"/>
      <c r="V22" s="21" t="str">
        <f>IF(COUNTA(M22:T22)=0,"",IF(M22="","E_MISSING_INPUT",IF(M22="TIMESTAMP",IF(OR(N22="",O22="",P22=""),"E_MISSING_INPUT",IF(OR(NOT(ISNUMBER(N22)),NOT(ISNUMBER(O22))),"E_INVALID_DATE",IF(OR(N22&lt;&gt;INT(N22),O22&lt;0,O22&gt;=1),"E_INVALID_DATE",IF(ISNA(MATCH(P22,nLIST_Offset,0)),"E_INVALID_DATE","")))),IF(M22="DATE",IF(N22="","E_MISSING_INPUT",IF(NOT(ISNUMBER(N22)),"E_INVALID_DATE",IF(N22&lt;&gt;INT(N22),"E_INVALID_DATE",""))),IF(M22="MONTH",IF(OR(Q22="",R22=""),"E_MISSING_INPUT",IF(OR(NOT(ISNUMBER(Q22)),NOT(ISNUMBER(R22))),"E_INVALID_DATE",IF(OR(Q22&lt;1900,Q22&gt;9999,Q22&lt;&gt;INT(Q22),R22&lt;1,R22&gt;12,R22&lt;&gt;INT(R22)),"E_INVALID_DATE",""))),IF(M22="YEAR",IF(Q22="","E_MISSING_INPUT",IF(NOT(ISNUMBER(Q22)),"E_INVALID_DATE",IF(OR(Q22&lt;1900,Q22&gt;9999,Q22&lt;&gt;INT(Q22)),"E_INVALID_DATE",""))),IF(M22="RANGE",IF(OR(S22="",T22=""),"E_MISSING_INPUT",IF(OR(NOT(ISNUMBER(S22)),NOT(ISNUMBER(T22))),"E_INVALID_DATE",IF(OR(S22&lt;&gt;INT(S22),T22&lt;&gt;INT(T22)),"E_INVALID_DATE",IF(S22&gt;T22,"E_REVERSED_BOUNDS","")))),"E_MISSING_INPUT")))))))</f>
        <v/>
      </c>
      <c r="W22" s="22">
        <f t="shared" si="0"/>
        <v>0</v>
      </c>
      <c r="X22" s="22">
        <f t="shared" si="1"/>
        <v>0</v>
      </c>
      <c r="Y22" s="28" t="str">
        <f t="shared" si="2"/>
        <v/>
      </c>
      <c r="Z22" s="28" t="str">
        <f t="shared" si="3"/>
        <v/>
      </c>
      <c r="AA22" s="22" t="str">
        <f t="shared" si="4"/>
        <v/>
      </c>
      <c r="AB22" s="22" t="str">
        <f t="shared" si="5"/>
        <v/>
      </c>
      <c r="AC22" s="21" t="str">
        <f t="shared" si="6"/>
        <v/>
      </c>
      <c r="AD22" s="21" t="str">
        <f t="shared" si="7"/>
        <v/>
      </c>
      <c r="AE22" s="22">
        <f t="shared" si="8"/>
        <v>0</v>
      </c>
      <c r="AF22" s="22">
        <f>IF(AC22="",0,COUNTIF(nMS_Key,AC22))</f>
        <v>0</v>
      </c>
      <c r="AG22" s="21" t="str">
        <f t="shared" si="9"/>
        <v/>
      </c>
      <c r="AH22" s="21" t="str">
        <f>IF(AG22="","",AG22&amp;": "&amp;SUBSTITUTE(IFERROR(INDEX(nMSG_Text,MATCH(AG22,nMSG_Code,0)),""),"[input]",IF(C22="","a Milestone_ID",IF(D22="","a milestone Type","the date fields required by the selected precision"))))</f>
        <v/>
      </c>
    </row>
    <row r="23" spans="1:34" x14ac:dyDescent="0.2">
      <c r="A23" s="10"/>
      <c r="B23" s="12"/>
      <c r="C23" s="10"/>
      <c r="D23" s="17"/>
      <c r="E23" s="10"/>
      <c r="F23" s="10"/>
      <c r="G23" s="17"/>
      <c r="H23" s="10"/>
      <c r="I23" s="10"/>
      <c r="J23" s="17"/>
      <c r="K23" s="10"/>
      <c r="L23" s="10"/>
      <c r="M23" s="17"/>
      <c r="N23" s="15"/>
      <c r="O23" s="26"/>
      <c r="P23" s="10"/>
      <c r="Q23" s="12"/>
      <c r="R23" s="12"/>
      <c r="S23" s="15"/>
      <c r="T23" s="15"/>
      <c r="U23" s="10"/>
      <c r="V23" s="21" t="str">
        <f>IF(COUNTA(M23:T23)=0,"",IF(M23="","E_MISSING_INPUT",IF(M23="TIMESTAMP",IF(OR(N23="",O23="",P23=""),"E_MISSING_INPUT",IF(OR(NOT(ISNUMBER(N23)),NOT(ISNUMBER(O23))),"E_INVALID_DATE",IF(OR(N23&lt;&gt;INT(N23),O23&lt;0,O23&gt;=1),"E_INVALID_DATE",IF(ISNA(MATCH(P23,nLIST_Offset,0)),"E_INVALID_DATE","")))),IF(M23="DATE",IF(N23="","E_MISSING_INPUT",IF(NOT(ISNUMBER(N23)),"E_INVALID_DATE",IF(N23&lt;&gt;INT(N23),"E_INVALID_DATE",""))),IF(M23="MONTH",IF(OR(Q23="",R23=""),"E_MISSING_INPUT",IF(OR(NOT(ISNUMBER(Q23)),NOT(ISNUMBER(R23))),"E_INVALID_DATE",IF(OR(Q23&lt;1900,Q23&gt;9999,Q23&lt;&gt;INT(Q23),R23&lt;1,R23&gt;12,R23&lt;&gt;INT(R23)),"E_INVALID_DATE",""))),IF(M23="YEAR",IF(Q23="","E_MISSING_INPUT",IF(NOT(ISNUMBER(Q23)),"E_INVALID_DATE",IF(OR(Q23&lt;1900,Q23&gt;9999,Q23&lt;&gt;INT(Q23)),"E_INVALID_DATE",""))),IF(M23="RANGE",IF(OR(S23="",T23=""),"E_MISSING_INPUT",IF(OR(NOT(ISNUMBER(S23)),NOT(ISNUMBER(T23))),"E_INVALID_DATE",IF(OR(S23&lt;&gt;INT(S23),T23&lt;&gt;INT(T23)),"E_INVALID_DATE",IF(S23&gt;T23,"E_REVERSED_BOUNDS","")))),"E_MISSING_INPUT")))))))</f>
        <v/>
      </c>
      <c r="W23" s="22">
        <f t="shared" si="0"/>
        <v>0</v>
      </c>
      <c r="X23" s="22">
        <f t="shared" si="1"/>
        <v>0</v>
      </c>
      <c r="Y23" s="28" t="str">
        <f t="shared" si="2"/>
        <v/>
      </c>
      <c r="Z23" s="28" t="str">
        <f t="shared" si="3"/>
        <v/>
      </c>
      <c r="AA23" s="22" t="str">
        <f t="shared" si="4"/>
        <v/>
      </c>
      <c r="AB23" s="22" t="str">
        <f t="shared" si="5"/>
        <v/>
      </c>
      <c r="AC23" s="21" t="str">
        <f t="shared" si="6"/>
        <v/>
      </c>
      <c r="AD23" s="21" t="str">
        <f t="shared" si="7"/>
        <v/>
      </c>
      <c r="AE23" s="22">
        <f t="shared" si="8"/>
        <v>0</v>
      </c>
      <c r="AF23" s="22">
        <f>IF(AC23="",0,COUNTIF(nMS_Key,AC23))</f>
        <v>0</v>
      </c>
      <c r="AG23" s="21" t="str">
        <f t="shared" si="9"/>
        <v/>
      </c>
      <c r="AH23" s="21" t="str">
        <f>IF(AG23="","",AG23&amp;": "&amp;SUBSTITUTE(IFERROR(INDEX(nMSG_Text,MATCH(AG23,nMSG_Code,0)),""),"[input]",IF(C23="","a Milestone_ID",IF(D23="","a milestone Type","the date fields required by the selected precision"))))</f>
        <v/>
      </c>
    </row>
    <row r="24" spans="1:34" x14ac:dyDescent="0.2">
      <c r="A24" s="10"/>
      <c r="B24" s="12"/>
      <c r="C24" s="10"/>
      <c r="D24" s="17"/>
      <c r="E24" s="10"/>
      <c r="F24" s="10"/>
      <c r="G24" s="17"/>
      <c r="H24" s="10"/>
      <c r="I24" s="10"/>
      <c r="J24" s="17"/>
      <c r="K24" s="10"/>
      <c r="L24" s="10"/>
      <c r="M24" s="17"/>
      <c r="N24" s="15"/>
      <c r="O24" s="26"/>
      <c r="P24" s="10"/>
      <c r="Q24" s="12"/>
      <c r="R24" s="12"/>
      <c r="S24" s="15"/>
      <c r="T24" s="15"/>
      <c r="U24" s="10"/>
      <c r="V24" s="21" t="str">
        <f>IF(COUNTA(M24:T24)=0,"",IF(M24="","E_MISSING_INPUT",IF(M24="TIMESTAMP",IF(OR(N24="",O24="",P24=""),"E_MISSING_INPUT",IF(OR(NOT(ISNUMBER(N24)),NOT(ISNUMBER(O24))),"E_INVALID_DATE",IF(OR(N24&lt;&gt;INT(N24),O24&lt;0,O24&gt;=1),"E_INVALID_DATE",IF(ISNA(MATCH(P24,nLIST_Offset,0)),"E_INVALID_DATE","")))),IF(M24="DATE",IF(N24="","E_MISSING_INPUT",IF(NOT(ISNUMBER(N24)),"E_INVALID_DATE",IF(N24&lt;&gt;INT(N24),"E_INVALID_DATE",""))),IF(M24="MONTH",IF(OR(Q24="",R24=""),"E_MISSING_INPUT",IF(OR(NOT(ISNUMBER(Q24)),NOT(ISNUMBER(R24))),"E_INVALID_DATE",IF(OR(Q24&lt;1900,Q24&gt;9999,Q24&lt;&gt;INT(Q24),R24&lt;1,R24&gt;12,R24&lt;&gt;INT(R24)),"E_INVALID_DATE",""))),IF(M24="YEAR",IF(Q24="","E_MISSING_INPUT",IF(NOT(ISNUMBER(Q24)),"E_INVALID_DATE",IF(OR(Q24&lt;1900,Q24&gt;9999,Q24&lt;&gt;INT(Q24)),"E_INVALID_DATE",""))),IF(M24="RANGE",IF(OR(S24="",T24=""),"E_MISSING_INPUT",IF(OR(NOT(ISNUMBER(S24)),NOT(ISNUMBER(T24))),"E_INVALID_DATE",IF(OR(S24&lt;&gt;INT(S24),T24&lt;&gt;INT(T24)),"E_INVALID_DATE",IF(S24&gt;T24,"E_REVERSED_BOUNDS","")))),"E_MISSING_INPUT")))))))</f>
        <v/>
      </c>
      <c r="W24" s="22">
        <f t="shared" si="0"/>
        <v>0</v>
      </c>
      <c r="X24" s="22">
        <f t="shared" si="1"/>
        <v>0</v>
      </c>
      <c r="Y24" s="28" t="str">
        <f t="shared" si="2"/>
        <v/>
      </c>
      <c r="Z24" s="28" t="str">
        <f t="shared" si="3"/>
        <v/>
      </c>
      <c r="AA24" s="22" t="str">
        <f t="shared" si="4"/>
        <v/>
      </c>
      <c r="AB24" s="22" t="str">
        <f t="shared" si="5"/>
        <v/>
      </c>
      <c r="AC24" s="21" t="str">
        <f t="shared" si="6"/>
        <v/>
      </c>
      <c r="AD24" s="21" t="str">
        <f t="shared" si="7"/>
        <v/>
      </c>
      <c r="AE24" s="22">
        <f t="shared" si="8"/>
        <v>0</v>
      </c>
      <c r="AF24" s="22">
        <f>IF(AC24="",0,COUNTIF(nMS_Key,AC24))</f>
        <v>0</v>
      </c>
      <c r="AG24" s="21" t="str">
        <f t="shared" si="9"/>
        <v/>
      </c>
      <c r="AH24" s="21" t="str">
        <f>IF(AG24="","",AG24&amp;": "&amp;SUBSTITUTE(IFERROR(INDEX(nMSG_Text,MATCH(AG24,nMSG_Code,0)),""),"[input]",IF(C24="","a Milestone_ID",IF(D24="","a milestone Type","the date fields required by the selected precision"))))</f>
        <v/>
      </c>
    </row>
    <row r="25" spans="1:34" x14ac:dyDescent="0.2">
      <c r="A25" s="10"/>
      <c r="B25" s="12"/>
      <c r="C25" s="10"/>
      <c r="D25" s="17"/>
      <c r="E25" s="10"/>
      <c r="F25" s="10"/>
      <c r="G25" s="17"/>
      <c r="H25" s="10"/>
      <c r="I25" s="10"/>
      <c r="J25" s="17"/>
      <c r="K25" s="10"/>
      <c r="L25" s="10"/>
      <c r="M25" s="17"/>
      <c r="N25" s="15"/>
      <c r="O25" s="26"/>
      <c r="P25" s="10"/>
      <c r="Q25" s="12"/>
      <c r="R25" s="12"/>
      <c r="S25" s="15"/>
      <c r="T25" s="15"/>
      <c r="U25" s="10"/>
      <c r="V25" s="21" t="str">
        <f>IF(COUNTA(M25:T25)=0,"",IF(M25="","E_MISSING_INPUT",IF(M25="TIMESTAMP",IF(OR(N25="",O25="",P25=""),"E_MISSING_INPUT",IF(OR(NOT(ISNUMBER(N25)),NOT(ISNUMBER(O25))),"E_INVALID_DATE",IF(OR(N25&lt;&gt;INT(N25),O25&lt;0,O25&gt;=1),"E_INVALID_DATE",IF(ISNA(MATCH(P25,nLIST_Offset,0)),"E_INVALID_DATE","")))),IF(M25="DATE",IF(N25="","E_MISSING_INPUT",IF(NOT(ISNUMBER(N25)),"E_INVALID_DATE",IF(N25&lt;&gt;INT(N25),"E_INVALID_DATE",""))),IF(M25="MONTH",IF(OR(Q25="",R25=""),"E_MISSING_INPUT",IF(OR(NOT(ISNUMBER(Q25)),NOT(ISNUMBER(R25))),"E_INVALID_DATE",IF(OR(Q25&lt;1900,Q25&gt;9999,Q25&lt;&gt;INT(Q25),R25&lt;1,R25&gt;12,R25&lt;&gt;INT(R25)),"E_INVALID_DATE",""))),IF(M25="YEAR",IF(Q25="","E_MISSING_INPUT",IF(NOT(ISNUMBER(Q25)),"E_INVALID_DATE",IF(OR(Q25&lt;1900,Q25&gt;9999,Q25&lt;&gt;INT(Q25)),"E_INVALID_DATE",""))),IF(M25="RANGE",IF(OR(S25="",T25=""),"E_MISSING_INPUT",IF(OR(NOT(ISNUMBER(S25)),NOT(ISNUMBER(T25))),"E_INVALID_DATE",IF(OR(S25&lt;&gt;INT(S25),T25&lt;&gt;INT(T25)),"E_INVALID_DATE",IF(S25&gt;T25,"E_REVERSED_BOUNDS","")))),"E_MISSING_INPUT")))))))</f>
        <v/>
      </c>
      <c r="W25" s="22">
        <f t="shared" si="0"/>
        <v>0</v>
      </c>
      <c r="X25" s="22">
        <f t="shared" si="1"/>
        <v>0</v>
      </c>
      <c r="Y25" s="28" t="str">
        <f t="shared" si="2"/>
        <v/>
      </c>
      <c r="Z25" s="28" t="str">
        <f t="shared" si="3"/>
        <v/>
      </c>
      <c r="AA25" s="22" t="str">
        <f t="shared" si="4"/>
        <v/>
      </c>
      <c r="AB25" s="22" t="str">
        <f t="shared" si="5"/>
        <v/>
      </c>
      <c r="AC25" s="21" t="str">
        <f t="shared" si="6"/>
        <v/>
      </c>
      <c r="AD25" s="21" t="str">
        <f t="shared" si="7"/>
        <v/>
      </c>
      <c r="AE25" s="22">
        <f t="shared" si="8"/>
        <v>0</v>
      </c>
      <c r="AF25" s="22">
        <f>IF(AC25="",0,COUNTIF(nMS_Key,AC25))</f>
        <v>0</v>
      </c>
      <c r="AG25" s="21" t="str">
        <f t="shared" si="9"/>
        <v/>
      </c>
      <c r="AH25" s="21" t="str">
        <f>IF(AG25="","",AG25&amp;": "&amp;SUBSTITUTE(IFERROR(INDEX(nMSG_Text,MATCH(AG25,nMSG_Code,0)),""),"[input]",IF(C25="","a Milestone_ID",IF(D25="","a milestone Type","the date fields required by the selected precision"))))</f>
        <v/>
      </c>
    </row>
    <row r="26" spans="1:34" x14ac:dyDescent="0.2">
      <c r="A26" s="10"/>
      <c r="B26" s="12"/>
      <c r="C26" s="10"/>
      <c r="D26" s="17"/>
      <c r="E26" s="10"/>
      <c r="F26" s="10"/>
      <c r="G26" s="17"/>
      <c r="H26" s="10"/>
      <c r="I26" s="10"/>
      <c r="J26" s="17"/>
      <c r="K26" s="10"/>
      <c r="L26" s="10"/>
      <c r="M26" s="17"/>
      <c r="N26" s="15"/>
      <c r="O26" s="26"/>
      <c r="P26" s="10"/>
      <c r="Q26" s="12"/>
      <c r="R26" s="12"/>
      <c r="S26" s="15"/>
      <c r="T26" s="15"/>
      <c r="U26" s="10"/>
      <c r="V26" s="21" t="str">
        <f>IF(COUNTA(M26:T26)=0,"",IF(M26="","E_MISSING_INPUT",IF(M26="TIMESTAMP",IF(OR(N26="",O26="",P26=""),"E_MISSING_INPUT",IF(OR(NOT(ISNUMBER(N26)),NOT(ISNUMBER(O26))),"E_INVALID_DATE",IF(OR(N26&lt;&gt;INT(N26),O26&lt;0,O26&gt;=1),"E_INVALID_DATE",IF(ISNA(MATCH(P26,nLIST_Offset,0)),"E_INVALID_DATE","")))),IF(M26="DATE",IF(N26="","E_MISSING_INPUT",IF(NOT(ISNUMBER(N26)),"E_INVALID_DATE",IF(N26&lt;&gt;INT(N26),"E_INVALID_DATE",""))),IF(M26="MONTH",IF(OR(Q26="",R26=""),"E_MISSING_INPUT",IF(OR(NOT(ISNUMBER(Q26)),NOT(ISNUMBER(R26))),"E_INVALID_DATE",IF(OR(Q26&lt;1900,Q26&gt;9999,Q26&lt;&gt;INT(Q26),R26&lt;1,R26&gt;12,R26&lt;&gt;INT(R26)),"E_INVALID_DATE",""))),IF(M26="YEAR",IF(Q26="","E_MISSING_INPUT",IF(NOT(ISNUMBER(Q26)),"E_INVALID_DATE",IF(OR(Q26&lt;1900,Q26&gt;9999,Q26&lt;&gt;INT(Q26)),"E_INVALID_DATE",""))),IF(M26="RANGE",IF(OR(S26="",T26=""),"E_MISSING_INPUT",IF(OR(NOT(ISNUMBER(S26)),NOT(ISNUMBER(T26))),"E_INVALID_DATE",IF(OR(S26&lt;&gt;INT(S26),T26&lt;&gt;INT(T26)),"E_INVALID_DATE",IF(S26&gt;T26,"E_REVERSED_BOUNDS","")))),"E_MISSING_INPUT")))))))</f>
        <v/>
      </c>
      <c r="W26" s="22">
        <f t="shared" si="0"/>
        <v>0</v>
      </c>
      <c r="X26" s="22">
        <f t="shared" si="1"/>
        <v>0</v>
      </c>
      <c r="Y26" s="28" t="str">
        <f t="shared" si="2"/>
        <v/>
      </c>
      <c r="Z26" s="28" t="str">
        <f t="shared" si="3"/>
        <v/>
      </c>
      <c r="AA26" s="22" t="str">
        <f t="shared" si="4"/>
        <v/>
      </c>
      <c r="AB26" s="22" t="str">
        <f t="shared" si="5"/>
        <v/>
      </c>
      <c r="AC26" s="21" t="str">
        <f t="shared" si="6"/>
        <v/>
      </c>
      <c r="AD26" s="21" t="str">
        <f t="shared" si="7"/>
        <v/>
      </c>
      <c r="AE26" s="22">
        <f t="shared" si="8"/>
        <v>0</v>
      </c>
      <c r="AF26" s="22">
        <f>IF(AC26="",0,COUNTIF(nMS_Key,AC26))</f>
        <v>0</v>
      </c>
      <c r="AG26" s="21" t="str">
        <f t="shared" si="9"/>
        <v/>
      </c>
      <c r="AH26" s="21" t="str">
        <f>IF(AG26="","",AG26&amp;": "&amp;SUBSTITUTE(IFERROR(INDEX(nMSG_Text,MATCH(AG26,nMSG_Code,0)),""),"[input]",IF(C26="","a Milestone_ID",IF(D26="","a milestone Type","the date fields required by the selected precision"))))</f>
        <v/>
      </c>
    </row>
    <row r="27" spans="1:34" x14ac:dyDescent="0.2">
      <c r="A27" s="10"/>
      <c r="B27" s="12"/>
      <c r="C27" s="10"/>
      <c r="D27" s="17"/>
      <c r="E27" s="10"/>
      <c r="F27" s="10"/>
      <c r="G27" s="17"/>
      <c r="H27" s="10"/>
      <c r="I27" s="10"/>
      <c r="J27" s="17"/>
      <c r="K27" s="10"/>
      <c r="L27" s="10"/>
      <c r="M27" s="17"/>
      <c r="N27" s="15"/>
      <c r="O27" s="26"/>
      <c r="P27" s="10"/>
      <c r="Q27" s="12"/>
      <c r="R27" s="12"/>
      <c r="S27" s="15"/>
      <c r="T27" s="15"/>
      <c r="U27" s="10"/>
      <c r="V27" s="21" t="str">
        <f>IF(COUNTA(M27:T27)=0,"",IF(M27="","E_MISSING_INPUT",IF(M27="TIMESTAMP",IF(OR(N27="",O27="",P27=""),"E_MISSING_INPUT",IF(OR(NOT(ISNUMBER(N27)),NOT(ISNUMBER(O27))),"E_INVALID_DATE",IF(OR(N27&lt;&gt;INT(N27),O27&lt;0,O27&gt;=1),"E_INVALID_DATE",IF(ISNA(MATCH(P27,nLIST_Offset,0)),"E_INVALID_DATE","")))),IF(M27="DATE",IF(N27="","E_MISSING_INPUT",IF(NOT(ISNUMBER(N27)),"E_INVALID_DATE",IF(N27&lt;&gt;INT(N27),"E_INVALID_DATE",""))),IF(M27="MONTH",IF(OR(Q27="",R27=""),"E_MISSING_INPUT",IF(OR(NOT(ISNUMBER(Q27)),NOT(ISNUMBER(R27))),"E_INVALID_DATE",IF(OR(Q27&lt;1900,Q27&gt;9999,Q27&lt;&gt;INT(Q27),R27&lt;1,R27&gt;12,R27&lt;&gt;INT(R27)),"E_INVALID_DATE",""))),IF(M27="YEAR",IF(Q27="","E_MISSING_INPUT",IF(NOT(ISNUMBER(Q27)),"E_INVALID_DATE",IF(OR(Q27&lt;1900,Q27&gt;9999,Q27&lt;&gt;INT(Q27)),"E_INVALID_DATE",""))),IF(M27="RANGE",IF(OR(S27="",T27=""),"E_MISSING_INPUT",IF(OR(NOT(ISNUMBER(S27)),NOT(ISNUMBER(T27))),"E_INVALID_DATE",IF(OR(S27&lt;&gt;INT(S27),T27&lt;&gt;INT(T27)),"E_INVALID_DATE",IF(S27&gt;T27,"E_REVERSED_BOUNDS","")))),"E_MISSING_INPUT")))))))</f>
        <v/>
      </c>
      <c r="W27" s="22">
        <f t="shared" si="0"/>
        <v>0</v>
      </c>
      <c r="X27" s="22">
        <f t="shared" si="1"/>
        <v>0</v>
      </c>
      <c r="Y27" s="28" t="str">
        <f t="shared" si="2"/>
        <v/>
      </c>
      <c r="Z27" s="28" t="str">
        <f t="shared" si="3"/>
        <v/>
      </c>
      <c r="AA27" s="22" t="str">
        <f t="shared" si="4"/>
        <v/>
      </c>
      <c r="AB27" s="22" t="str">
        <f t="shared" si="5"/>
        <v/>
      </c>
      <c r="AC27" s="21" t="str">
        <f t="shared" si="6"/>
        <v/>
      </c>
      <c r="AD27" s="21" t="str">
        <f t="shared" si="7"/>
        <v/>
      </c>
      <c r="AE27" s="22">
        <f t="shared" si="8"/>
        <v>0</v>
      </c>
      <c r="AF27" s="22">
        <f>IF(AC27="",0,COUNTIF(nMS_Key,AC27))</f>
        <v>0</v>
      </c>
      <c r="AG27" s="21" t="str">
        <f t="shared" si="9"/>
        <v/>
      </c>
      <c r="AH27" s="21" t="str">
        <f>IF(AG27="","",AG27&amp;": "&amp;SUBSTITUTE(IFERROR(INDEX(nMSG_Text,MATCH(AG27,nMSG_Code,0)),""),"[input]",IF(C27="","a Milestone_ID",IF(D27="","a milestone Type","the date fields required by the selected precision"))))</f>
        <v/>
      </c>
    </row>
    <row r="28" spans="1:34" x14ac:dyDescent="0.2">
      <c r="A28" s="10"/>
      <c r="B28" s="12"/>
      <c r="C28" s="10"/>
      <c r="D28" s="17"/>
      <c r="E28" s="10"/>
      <c r="F28" s="10"/>
      <c r="G28" s="17"/>
      <c r="H28" s="10"/>
      <c r="I28" s="10"/>
      <c r="J28" s="17"/>
      <c r="K28" s="10"/>
      <c r="L28" s="10"/>
      <c r="M28" s="17"/>
      <c r="N28" s="15"/>
      <c r="O28" s="26"/>
      <c r="P28" s="10"/>
      <c r="Q28" s="12"/>
      <c r="R28" s="12"/>
      <c r="S28" s="15"/>
      <c r="T28" s="15"/>
      <c r="U28" s="10"/>
      <c r="V28" s="21" t="str">
        <f>IF(COUNTA(M28:T28)=0,"",IF(M28="","E_MISSING_INPUT",IF(M28="TIMESTAMP",IF(OR(N28="",O28="",P28=""),"E_MISSING_INPUT",IF(OR(NOT(ISNUMBER(N28)),NOT(ISNUMBER(O28))),"E_INVALID_DATE",IF(OR(N28&lt;&gt;INT(N28),O28&lt;0,O28&gt;=1),"E_INVALID_DATE",IF(ISNA(MATCH(P28,nLIST_Offset,0)),"E_INVALID_DATE","")))),IF(M28="DATE",IF(N28="","E_MISSING_INPUT",IF(NOT(ISNUMBER(N28)),"E_INVALID_DATE",IF(N28&lt;&gt;INT(N28),"E_INVALID_DATE",""))),IF(M28="MONTH",IF(OR(Q28="",R28=""),"E_MISSING_INPUT",IF(OR(NOT(ISNUMBER(Q28)),NOT(ISNUMBER(R28))),"E_INVALID_DATE",IF(OR(Q28&lt;1900,Q28&gt;9999,Q28&lt;&gt;INT(Q28),R28&lt;1,R28&gt;12,R28&lt;&gt;INT(R28)),"E_INVALID_DATE",""))),IF(M28="YEAR",IF(Q28="","E_MISSING_INPUT",IF(NOT(ISNUMBER(Q28)),"E_INVALID_DATE",IF(OR(Q28&lt;1900,Q28&gt;9999,Q28&lt;&gt;INT(Q28)),"E_INVALID_DATE",""))),IF(M28="RANGE",IF(OR(S28="",T28=""),"E_MISSING_INPUT",IF(OR(NOT(ISNUMBER(S28)),NOT(ISNUMBER(T28))),"E_INVALID_DATE",IF(OR(S28&lt;&gt;INT(S28),T28&lt;&gt;INT(T28)),"E_INVALID_DATE",IF(S28&gt;T28,"E_REVERSED_BOUNDS","")))),"E_MISSING_INPUT")))))))</f>
        <v/>
      </c>
      <c r="W28" s="22">
        <f t="shared" si="0"/>
        <v>0</v>
      </c>
      <c r="X28" s="22">
        <f t="shared" si="1"/>
        <v>0</v>
      </c>
      <c r="Y28" s="28" t="str">
        <f t="shared" si="2"/>
        <v/>
      </c>
      <c r="Z28" s="28" t="str">
        <f t="shared" si="3"/>
        <v/>
      </c>
      <c r="AA28" s="22" t="str">
        <f t="shared" si="4"/>
        <v/>
      </c>
      <c r="AB28" s="22" t="str">
        <f t="shared" si="5"/>
        <v/>
      </c>
      <c r="AC28" s="21" t="str">
        <f t="shared" si="6"/>
        <v/>
      </c>
      <c r="AD28" s="21" t="str">
        <f t="shared" si="7"/>
        <v/>
      </c>
      <c r="AE28" s="22">
        <f t="shared" si="8"/>
        <v>0</v>
      </c>
      <c r="AF28" s="22">
        <f>IF(AC28="",0,COUNTIF(nMS_Key,AC28))</f>
        <v>0</v>
      </c>
      <c r="AG28" s="21" t="str">
        <f t="shared" si="9"/>
        <v/>
      </c>
      <c r="AH28" s="21" t="str">
        <f>IF(AG28="","",AG28&amp;": "&amp;SUBSTITUTE(IFERROR(INDEX(nMSG_Text,MATCH(AG28,nMSG_Code,0)),""),"[input]",IF(C28="","a Milestone_ID",IF(D28="","a milestone Type","the date fields required by the selected precision"))))</f>
        <v/>
      </c>
    </row>
    <row r="29" spans="1:34" x14ac:dyDescent="0.2">
      <c r="A29" s="10"/>
      <c r="B29" s="12"/>
      <c r="C29" s="10"/>
      <c r="D29" s="17"/>
      <c r="E29" s="10"/>
      <c r="F29" s="10"/>
      <c r="G29" s="17"/>
      <c r="H29" s="10"/>
      <c r="I29" s="10"/>
      <c r="J29" s="17"/>
      <c r="K29" s="10"/>
      <c r="L29" s="10"/>
      <c r="M29" s="17"/>
      <c r="N29" s="15"/>
      <c r="O29" s="26"/>
      <c r="P29" s="10"/>
      <c r="Q29" s="12"/>
      <c r="R29" s="12"/>
      <c r="S29" s="15"/>
      <c r="T29" s="15"/>
      <c r="U29" s="10"/>
      <c r="V29" s="21" t="str">
        <f>IF(COUNTA(M29:T29)=0,"",IF(M29="","E_MISSING_INPUT",IF(M29="TIMESTAMP",IF(OR(N29="",O29="",P29=""),"E_MISSING_INPUT",IF(OR(NOT(ISNUMBER(N29)),NOT(ISNUMBER(O29))),"E_INVALID_DATE",IF(OR(N29&lt;&gt;INT(N29),O29&lt;0,O29&gt;=1),"E_INVALID_DATE",IF(ISNA(MATCH(P29,nLIST_Offset,0)),"E_INVALID_DATE","")))),IF(M29="DATE",IF(N29="","E_MISSING_INPUT",IF(NOT(ISNUMBER(N29)),"E_INVALID_DATE",IF(N29&lt;&gt;INT(N29),"E_INVALID_DATE",""))),IF(M29="MONTH",IF(OR(Q29="",R29=""),"E_MISSING_INPUT",IF(OR(NOT(ISNUMBER(Q29)),NOT(ISNUMBER(R29))),"E_INVALID_DATE",IF(OR(Q29&lt;1900,Q29&gt;9999,Q29&lt;&gt;INT(Q29),R29&lt;1,R29&gt;12,R29&lt;&gt;INT(R29)),"E_INVALID_DATE",""))),IF(M29="YEAR",IF(Q29="","E_MISSING_INPUT",IF(NOT(ISNUMBER(Q29)),"E_INVALID_DATE",IF(OR(Q29&lt;1900,Q29&gt;9999,Q29&lt;&gt;INT(Q29)),"E_INVALID_DATE",""))),IF(M29="RANGE",IF(OR(S29="",T29=""),"E_MISSING_INPUT",IF(OR(NOT(ISNUMBER(S29)),NOT(ISNUMBER(T29))),"E_INVALID_DATE",IF(OR(S29&lt;&gt;INT(S29),T29&lt;&gt;INT(T29)),"E_INVALID_DATE",IF(S29&gt;T29,"E_REVERSED_BOUNDS","")))),"E_MISSING_INPUT")))))))</f>
        <v/>
      </c>
      <c r="W29" s="22">
        <f t="shared" si="0"/>
        <v>0</v>
      </c>
      <c r="X29" s="22">
        <f t="shared" si="1"/>
        <v>0</v>
      </c>
      <c r="Y29" s="28" t="str">
        <f t="shared" si="2"/>
        <v/>
      </c>
      <c r="Z29" s="28" t="str">
        <f t="shared" si="3"/>
        <v/>
      </c>
      <c r="AA29" s="22" t="str">
        <f t="shared" si="4"/>
        <v/>
      </c>
      <c r="AB29" s="22" t="str">
        <f t="shared" si="5"/>
        <v/>
      </c>
      <c r="AC29" s="21" t="str">
        <f t="shared" si="6"/>
        <v/>
      </c>
      <c r="AD29" s="21" t="str">
        <f t="shared" si="7"/>
        <v/>
      </c>
      <c r="AE29" s="22">
        <f t="shared" si="8"/>
        <v>0</v>
      </c>
      <c r="AF29" s="22">
        <f>IF(AC29="",0,COUNTIF(nMS_Key,AC29))</f>
        <v>0</v>
      </c>
      <c r="AG29" s="21" t="str">
        <f t="shared" si="9"/>
        <v/>
      </c>
      <c r="AH29" s="21" t="str">
        <f>IF(AG29="","",AG29&amp;": "&amp;SUBSTITUTE(IFERROR(INDEX(nMSG_Text,MATCH(AG29,nMSG_Code,0)),""),"[input]",IF(C29="","a Milestone_ID",IF(D29="","a milestone Type","the date fields required by the selected precision"))))</f>
        <v/>
      </c>
    </row>
    <row r="30" spans="1:34" x14ac:dyDescent="0.2">
      <c r="A30" s="10"/>
      <c r="B30" s="12"/>
      <c r="C30" s="10"/>
      <c r="D30" s="17"/>
      <c r="E30" s="10"/>
      <c r="F30" s="10"/>
      <c r="G30" s="17"/>
      <c r="H30" s="10"/>
      <c r="I30" s="10"/>
      <c r="J30" s="17"/>
      <c r="K30" s="10"/>
      <c r="L30" s="10"/>
      <c r="M30" s="17"/>
      <c r="N30" s="15"/>
      <c r="O30" s="26"/>
      <c r="P30" s="10"/>
      <c r="Q30" s="12"/>
      <c r="R30" s="12"/>
      <c r="S30" s="15"/>
      <c r="T30" s="15"/>
      <c r="U30" s="10"/>
      <c r="V30" s="21" t="str">
        <f>IF(COUNTA(M30:T30)=0,"",IF(M30="","E_MISSING_INPUT",IF(M30="TIMESTAMP",IF(OR(N30="",O30="",P30=""),"E_MISSING_INPUT",IF(OR(NOT(ISNUMBER(N30)),NOT(ISNUMBER(O30))),"E_INVALID_DATE",IF(OR(N30&lt;&gt;INT(N30),O30&lt;0,O30&gt;=1),"E_INVALID_DATE",IF(ISNA(MATCH(P30,nLIST_Offset,0)),"E_INVALID_DATE","")))),IF(M30="DATE",IF(N30="","E_MISSING_INPUT",IF(NOT(ISNUMBER(N30)),"E_INVALID_DATE",IF(N30&lt;&gt;INT(N30),"E_INVALID_DATE",""))),IF(M30="MONTH",IF(OR(Q30="",R30=""),"E_MISSING_INPUT",IF(OR(NOT(ISNUMBER(Q30)),NOT(ISNUMBER(R30))),"E_INVALID_DATE",IF(OR(Q30&lt;1900,Q30&gt;9999,Q30&lt;&gt;INT(Q30),R30&lt;1,R30&gt;12,R30&lt;&gt;INT(R30)),"E_INVALID_DATE",""))),IF(M30="YEAR",IF(Q30="","E_MISSING_INPUT",IF(NOT(ISNUMBER(Q30)),"E_INVALID_DATE",IF(OR(Q30&lt;1900,Q30&gt;9999,Q30&lt;&gt;INT(Q30)),"E_INVALID_DATE",""))),IF(M30="RANGE",IF(OR(S30="",T30=""),"E_MISSING_INPUT",IF(OR(NOT(ISNUMBER(S30)),NOT(ISNUMBER(T30))),"E_INVALID_DATE",IF(OR(S30&lt;&gt;INT(S30),T30&lt;&gt;INT(T30)),"E_INVALID_DATE",IF(S30&gt;T30,"E_REVERSED_BOUNDS","")))),"E_MISSING_INPUT")))))))</f>
        <v/>
      </c>
      <c r="W30" s="22">
        <f t="shared" si="0"/>
        <v>0</v>
      </c>
      <c r="X30" s="22">
        <f t="shared" si="1"/>
        <v>0</v>
      </c>
      <c r="Y30" s="28" t="str">
        <f t="shared" si="2"/>
        <v/>
      </c>
      <c r="Z30" s="28" t="str">
        <f t="shared" si="3"/>
        <v/>
      </c>
      <c r="AA30" s="22" t="str">
        <f t="shared" si="4"/>
        <v/>
      </c>
      <c r="AB30" s="22" t="str">
        <f t="shared" si="5"/>
        <v/>
      </c>
      <c r="AC30" s="21" t="str">
        <f t="shared" si="6"/>
        <v/>
      </c>
      <c r="AD30" s="21" t="str">
        <f t="shared" si="7"/>
        <v/>
      </c>
      <c r="AE30" s="22">
        <f t="shared" si="8"/>
        <v>0</v>
      </c>
      <c r="AF30" s="22">
        <f>IF(AC30="",0,COUNTIF(nMS_Key,AC30))</f>
        <v>0</v>
      </c>
      <c r="AG30" s="21" t="str">
        <f t="shared" si="9"/>
        <v/>
      </c>
      <c r="AH30" s="21" t="str">
        <f>IF(AG30="","",AG30&amp;": "&amp;SUBSTITUTE(IFERROR(INDEX(nMSG_Text,MATCH(AG30,nMSG_Code,0)),""),"[input]",IF(C30="","a Milestone_ID",IF(D30="","a milestone Type","the date fields required by the selected precision"))))</f>
        <v/>
      </c>
    </row>
    <row r="31" spans="1:34" x14ac:dyDescent="0.2">
      <c r="A31" s="10"/>
      <c r="B31" s="12"/>
      <c r="C31" s="10"/>
      <c r="D31" s="17"/>
      <c r="E31" s="10"/>
      <c r="F31" s="10"/>
      <c r="G31" s="17"/>
      <c r="H31" s="10"/>
      <c r="I31" s="10"/>
      <c r="J31" s="17"/>
      <c r="K31" s="10"/>
      <c r="L31" s="10"/>
      <c r="M31" s="17"/>
      <c r="N31" s="15"/>
      <c r="O31" s="26"/>
      <c r="P31" s="10"/>
      <c r="Q31" s="12"/>
      <c r="R31" s="12"/>
      <c r="S31" s="15"/>
      <c r="T31" s="15"/>
      <c r="U31" s="10"/>
      <c r="V31" s="21" t="str">
        <f>IF(COUNTA(M31:T31)=0,"",IF(M31="","E_MISSING_INPUT",IF(M31="TIMESTAMP",IF(OR(N31="",O31="",P31=""),"E_MISSING_INPUT",IF(OR(NOT(ISNUMBER(N31)),NOT(ISNUMBER(O31))),"E_INVALID_DATE",IF(OR(N31&lt;&gt;INT(N31),O31&lt;0,O31&gt;=1),"E_INVALID_DATE",IF(ISNA(MATCH(P31,nLIST_Offset,0)),"E_INVALID_DATE","")))),IF(M31="DATE",IF(N31="","E_MISSING_INPUT",IF(NOT(ISNUMBER(N31)),"E_INVALID_DATE",IF(N31&lt;&gt;INT(N31),"E_INVALID_DATE",""))),IF(M31="MONTH",IF(OR(Q31="",R31=""),"E_MISSING_INPUT",IF(OR(NOT(ISNUMBER(Q31)),NOT(ISNUMBER(R31))),"E_INVALID_DATE",IF(OR(Q31&lt;1900,Q31&gt;9999,Q31&lt;&gt;INT(Q31),R31&lt;1,R31&gt;12,R31&lt;&gt;INT(R31)),"E_INVALID_DATE",""))),IF(M31="YEAR",IF(Q31="","E_MISSING_INPUT",IF(NOT(ISNUMBER(Q31)),"E_INVALID_DATE",IF(OR(Q31&lt;1900,Q31&gt;9999,Q31&lt;&gt;INT(Q31)),"E_INVALID_DATE",""))),IF(M31="RANGE",IF(OR(S31="",T31=""),"E_MISSING_INPUT",IF(OR(NOT(ISNUMBER(S31)),NOT(ISNUMBER(T31))),"E_INVALID_DATE",IF(OR(S31&lt;&gt;INT(S31),T31&lt;&gt;INT(T31)),"E_INVALID_DATE",IF(S31&gt;T31,"E_REVERSED_BOUNDS","")))),"E_MISSING_INPUT")))))))</f>
        <v/>
      </c>
      <c r="W31" s="22">
        <f t="shared" si="0"/>
        <v>0</v>
      </c>
      <c r="X31" s="22">
        <f t="shared" si="1"/>
        <v>0</v>
      </c>
      <c r="Y31" s="28" t="str">
        <f t="shared" si="2"/>
        <v/>
      </c>
      <c r="Z31" s="28" t="str">
        <f t="shared" si="3"/>
        <v/>
      </c>
      <c r="AA31" s="22" t="str">
        <f t="shared" si="4"/>
        <v/>
      </c>
      <c r="AB31" s="22" t="str">
        <f t="shared" si="5"/>
        <v/>
      </c>
      <c r="AC31" s="21" t="str">
        <f t="shared" si="6"/>
        <v/>
      </c>
      <c r="AD31" s="21" t="str">
        <f t="shared" si="7"/>
        <v/>
      </c>
      <c r="AE31" s="22">
        <f t="shared" si="8"/>
        <v>0</v>
      </c>
      <c r="AF31" s="22">
        <f>IF(AC31="",0,COUNTIF(nMS_Key,AC31))</f>
        <v>0</v>
      </c>
      <c r="AG31" s="21" t="str">
        <f t="shared" si="9"/>
        <v/>
      </c>
      <c r="AH31" s="21" t="str">
        <f>IF(AG31="","",AG31&amp;": "&amp;SUBSTITUTE(IFERROR(INDEX(nMSG_Text,MATCH(AG31,nMSG_Code,0)),""),"[input]",IF(C31="","a Milestone_ID",IF(D31="","a milestone Type","the date fields required by the selected precision"))))</f>
        <v/>
      </c>
    </row>
    <row r="32" spans="1:34" x14ac:dyDescent="0.2">
      <c r="A32" s="10"/>
      <c r="B32" s="12"/>
      <c r="C32" s="10"/>
      <c r="D32" s="17"/>
      <c r="E32" s="10"/>
      <c r="F32" s="10"/>
      <c r="G32" s="17"/>
      <c r="H32" s="10"/>
      <c r="I32" s="10"/>
      <c r="J32" s="17"/>
      <c r="K32" s="10"/>
      <c r="L32" s="10"/>
      <c r="M32" s="17"/>
      <c r="N32" s="15"/>
      <c r="O32" s="26"/>
      <c r="P32" s="10"/>
      <c r="Q32" s="12"/>
      <c r="R32" s="12"/>
      <c r="S32" s="15"/>
      <c r="T32" s="15"/>
      <c r="U32" s="10"/>
      <c r="V32" s="21" t="str">
        <f>IF(COUNTA(M32:T32)=0,"",IF(M32="","E_MISSING_INPUT",IF(M32="TIMESTAMP",IF(OR(N32="",O32="",P32=""),"E_MISSING_INPUT",IF(OR(NOT(ISNUMBER(N32)),NOT(ISNUMBER(O32))),"E_INVALID_DATE",IF(OR(N32&lt;&gt;INT(N32),O32&lt;0,O32&gt;=1),"E_INVALID_DATE",IF(ISNA(MATCH(P32,nLIST_Offset,0)),"E_INVALID_DATE","")))),IF(M32="DATE",IF(N32="","E_MISSING_INPUT",IF(NOT(ISNUMBER(N32)),"E_INVALID_DATE",IF(N32&lt;&gt;INT(N32),"E_INVALID_DATE",""))),IF(M32="MONTH",IF(OR(Q32="",R32=""),"E_MISSING_INPUT",IF(OR(NOT(ISNUMBER(Q32)),NOT(ISNUMBER(R32))),"E_INVALID_DATE",IF(OR(Q32&lt;1900,Q32&gt;9999,Q32&lt;&gt;INT(Q32),R32&lt;1,R32&gt;12,R32&lt;&gt;INT(R32)),"E_INVALID_DATE",""))),IF(M32="YEAR",IF(Q32="","E_MISSING_INPUT",IF(NOT(ISNUMBER(Q32)),"E_INVALID_DATE",IF(OR(Q32&lt;1900,Q32&gt;9999,Q32&lt;&gt;INT(Q32)),"E_INVALID_DATE",""))),IF(M32="RANGE",IF(OR(S32="",T32=""),"E_MISSING_INPUT",IF(OR(NOT(ISNUMBER(S32)),NOT(ISNUMBER(T32))),"E_INVALID_DATE",IF(OR(S32&lt;&gt;INT(S32),T32&lt;&gt;INT(T32)),"E_INVALID_DATE",IF(S32&gt;T32,"E_REVERSED_BOUNDS","")))),"E_MISSING_INPUT")))))))</f>
        <v/>
      </c>
      <c r="W32" s="22">
        <f t="shared" si="0"/>
        <v>0</v>
      </c>
      <c r="X32" s="22">
        <f t="shared" si="1"/>
        <v>0</v>
      </c>
      <c r="Y32" s="28" t="str">
        <f t="shared" si="2"/>
        <v/>
      </c>
      <c r="Z32" s="28" t="str">
        <f t="shared" si="3"/>
        <v/>
      </c>
      <c r="AA32" s="22" t="str">
        <f t="shared" si="4"/>
        <v/>
      </c>
      <c r="AB32" s="22" t="str">
        <f t="shared" si="5"/>
        <v/>
      </c>
      <c r="AC32" s="21" t="str">
        <f t="shared" si="6"/>
        <v/>
      </c>
      <c r="AD32" s="21" t="str">
        <f t="shared" si="7"/>
        <v/>
      </c>
      <c r="AE32" s="22">
        <f t="shared" si="8"/>
        <v>0</v>
      </c>
      <c r="AF32" s="22">
        <f>IF(AC32="",0,COUNTIF(nMS_Key,AC32))</f>
        <v>0</v>
      </c>
      <c r="AG32" s="21" t="str">
        <f t="shared" si="9"/>
        <v/>
      </c>
      <c r="AH32" s="21" t="str">
        <f>IF(AG32="","",AG32&amp;": "&amp;SUBSTITUTE(IFERROR(INDEX(nMSG_Text,MATCH(AG32,nMSG_Code,0)),""),"[input]",IF(C32="","a Milestone_ID",IF(D32="","a milestone Type","the date fields required by the selected precision"))))</f>
        <v/>
      </c>
    </row>
    <row r="33" spans="1:34" x14ac:dyDescent="0.2">
      <c r="A33" s="10"/>
      <c r="B33" s="12"/>
      <c r="C33" s="10"/>
      <c r="D33" s="17"/>
      <c r="E33" s="10"/>
      <c r="F33" s="10"/>
      <c r="G33" s="17"/>
      <c r="H33" s="10"/>
      <c r="I33" s="10"/>
      <c r="J33" s="17"/>
      <c r="K33" s="10"/>
      <c r="L33" s="10"/>
      <c r="M33" s="17"/>
      <c r="N33" s="15"/>
      <c r="O33" s="26"/>
      <c r="P33" s="10"/>
      <c r="Q33" s="12"/>
      <c r="R33" s="12"/>
      <c r="S33" s="15"/>
      <c r="T33" s="15"/>
      <c r="U33" s="10"/>
      <c r="V33" s="21" t="str">
        <f>IF(COUNTA(M33:T33)=0,"",IF(M33="","E_MISSING_INPUT",IF(M33="TIMESTAMP",IF(OR(N33="",O33="",P33=""),"E_MISSING_INPUT",IF(OR(NOT(ISNUMBER(N33)),NOT(ISNUMBER(O33))),"E_INVALID_DATE",IF(OR(N33&lt;&gt;INT(N33),O33&lt;0,O33&gt;=1),"E_INVALID_DATE",IF(ISNA(MATCH(P33,nLIST_Offset,0)),"E_INVALID_DATE","")))),IF(M33="DATE",IF(N33="","E_MISSING_INPUT",IF(NOT(ISNUMBER(N33)),"E_INVALID_DATE",IF(N33&lt;&gt;INT(N33),"E_INVALID_DATE",""))),IF(M33="MONTH",IF(OR(Q33="",R33=""),"E_MISSING_INPUT",IF(OR(NOT(ISNUMBER(Q33)),NOT(ISNUMBER(R33))),"E_INVALID_DATE",IF(OR(Q33&lt;1900,Q33&gt;9999,Q33&lt;&gt;INT(Q33),R33&lt;1,R33&gt;12,R33&lt;&gt;INT(R33)),"E_INVALID_DATE",""))),IF(M33="YEAR",IF(Q33="","E_MISSING_INPUT",IF(NOT(ISNUMBER(Q33)),"E_INVALID_DATE",IF(OR(Q33&lt;1900,Q33&gt;9999,Q33&lt;&gt;INT(Q33)),"E_INVALID_DATE",""))),IF(M33="RANGE",IF(OR(S33="",T33=""),"E_MISSING_INPUT",IF(OR(NOT(ISNUMBER(S33)),NOT(ISNUMBER(T33))),"E_INVALID_DATE",IF(OR(S33&lt;&gt;INT(S33),T33&lt;&gt;INT(T33)),"E_INVALID_DATE",IF(S33&gt;T33,"E_REVERSED_BOUNDS","")))),"E_MISSING_INPUT")))))))</f>
        <v/>
      </c>
      <c r="W33" s="22">
        <f t="shared" si="0"/>
        <v>0</v>
      </c>
      <c r="X33" s="22">
        <f t="shared" si="1"/>
        <v>0</v>
      </c>
      <c r="Y33" s="28" t="str">
        <f t="shared" si="2"/>
        <v/>
      </c>
      <c r="Z33" s="28" t="str">
        <f t="shared" si="3"/>
        <v/>
      </c>
      <c r="AA33" s="22" t="str">
        <f t="shared" si="4"/>
        <v/>
      </c>
      <c r="AB33" s="22" t="str">
        <f t="shared" si="5"/>
        <v/>
      </c>
      <c r="AC33" s="21" t="str">
        <f t="shared" si="6"/>
        <v/>
      </c>
      <c r="AD33" s="21" t="str">
        <f t="shared" si="7"/>
        <v/>
      </c>
      <c r="AE33" s="22">
        <f t="shared" si="8"/>
        <v>0</v>
      </c>
      <c r="AF33" s="22">
        <f>IF(AC33="",0,COUNTIF(nMS_Key,AC33))</f>
        <v>0</v>
      </c>
      <c r="AG33" s="21" t="str">
        <f t="shared" si="9"/>
        <v/>
      </c>
      <c r="AH33" s="21" t="str">
        <f>IF(AG33="","",AG33&amp;": "&amp;SUBSTITUTE(IFERROR(INDEX(nMSG_Text,MATCH(AG33,nMSG_Code,0)),""),"[input]",IF(C33="","a Milestone_ID",IF(D33="","a milestone Type","the date fields required by the selected precision"))))</f>
        <v/>
      </c>
    </row>
    <row r="34" spans="1:34" x14ac:dyDescent="0.2">
      <c r="A34" s="10"/>
      <c r="B34" s="12"/>
      <c r="C34" s="10"/>
      <c r="D34" s="17"/>
      <c r="E34" s="10"/>
      <c r="F34" s="10"/>
      <c r="G34" s="17"/>
      <c r="H34" s="10"/>
      <c r="I34" s="10"/>
      <c r="J34" s="17"/>
      <c r="K34" s="10"/>
      <c r="L34" s="10"/>
      <c r="M34" s="17"/>
      <c r="N34" s="15"/>
      <c r="O34" s="26"/>
      <c r="P34" s="10"/>
      <c r="Q34" s="12"/>
      <c r="R34" s="12"/>
      <c r="S34" s="15"/>
      <c r="T34" s="15"/>
      <c r="U34" s="10"/>
      <c r="V34" s="21" t="str">
        <f>IF(COUNTA(M34:T34)=0,"",IF(M34="","E_MISSING_INPUT",IF(M34="TIMESTAMP",IF(OR(N34="",O34="",P34=""),"E_MISSING_INPUT",IF(OR(NOT(ISNUMBER(N34)),NOT(ISNUMBER(O34))),"E_INVALID_DATE",IF(OR(N34&lt;&gt;INT(N34),O34&lt;0,O34&gt;=1),"E_INVALID_DATE",IF(ISNA(MATCH(P34,nLIST_Offset,0)),"E_INVALID_DATE","")))),IF(M34="DATE",IF(N34="","E_MISSING_INPUT",IF(NOT(ISNUMBER(N34)),"E_INVALID_DATE",IF(N34&lt;&gt;INT(N34),"E_INVALID_DATE",""))),IF(M34="MONTH",IF(OR(Q34="",R34=""),"E_MISSING_INPUT",IF(OR(NOT(ISNUMBER(Q34)),NOT(ISNUMBER(R34))),"E_INVALID_DATE",IF(OR(Q34&lt;1900,Q34&gt;9999,Q34&lt;&gt;INT(Q34),R34&lt;1,R34&gt;12,R34&lt;&gt;INT(R34)),"E_INVALID_DATE",""))),IF(M34="YEAR",IF(Q34="","E_MISSING_INPUT",IF(NOT(ISNUMBER(Q34)),"E_INVALID_DATE",IF(OR(Q34&lt;1900,Q34&gt;9999,Q34&lt;&gt;INT(Q34)),"E_INVALID_DATE",""))),IF(M34="RANGE",IF(OR(S34="",T34=""),"E_MISSING_INPUT",IF(OR(NOT(ISNUMBER(S34)),NOT(ISNUMBER(T34))),"E_INVALID_DATE",IF(OR(S34&lt;&gt;INT(S34),T34&lt;&gt;INT(T34)),"E_INVALID_DATE",IF(S34&gt;T34,"E_REVERSED_BOUNDS","")))),"E_MISSING_INPUT")))))))</f>
        <v/>
      </c>
      <c r="W34" s="22">
        <f t="shared" si="0"/>
        <v>0</v>
      </c>
      <c r="X34" s="22">
        <f t="shared" si="1"/>
        <v>0</v>
      </c>
      <c r="Y34" s="28" t="str">
        <f t="shared" si="2"/>
        <v/>
      </c>
      <c r="Z34" s="28" t="str">
        <f t="shared" si="3"/>
        <v/>
      </c>
      <c r="AA34" s="22" t="str">
        <f t="shared" si="4"/>
        <v/>
      </c>
      <c r="AB34" s="22" t="str">
        <f t="shared" si="5"/>
        <v/>
      </c>
      <c r="AC34" s="21" t="str">
        <f t="shared" si="6"/>
        <v/>
      </c>
      <c r="AD34" s="21" t="str">
        <f t="shared" si="7"/>
        <v/>
      </c>
      <c r="AE34" s="22">
        <f t="shared" si="8"/>
        <v>0</v>
      </c>
      <c r="AF34" s="22">
        <f>IF(AC34="",0,COUNTIF(nMS_Key,AC34))</f>
        <v>0</v>
      </c>
      <c r="AG34" s="21" t="str">
        <f t="shared" si="9"/>
        <v/>
      </c>
      <c r="AH34" s="21" t="str">
        <f>IF(AG34="","",AG34&amp;": "&amp;SUBSTITUTE(IFERROR(INDEX(nMSG_Text,MATCH(AG34,nMSG_Code,0)),""),"[input]",IF(C34="","a Milestone_ID",IF(D34="","a milestone Type","the date fields required by the selected precision"))))</f>
        <v/>
      </c>
    </row>
    <row r="35" spans="1:34" x14ac:dyDescent="0.2">
      <c r="A35" s="10"/>
      <c r="B35" s="12"/>
      <c r="C35" s="10"/>
      <c r="D35" s="17"/>
      <c r="E35" s="10"/>
      <c r="F35" s="10"/>
      <c r="G35" s="17"/>
      <c r="H35" s="10"/>
      <c r="I35" s="10"/>
      <c r="J35" s="17"/>
      <c r="K35" s="10"/>
      <c r="L35" s="10"/>
      <c r="M35" s="17"/>
      <c r="N35" s="15"/>
      <c r="O35" s="26"/>
      <c r="P35" s="10"/>
      <c r="Q35" s="12"/>
      <c r="R35" s="12"/>
      <c r="S35" s="15"/>
      <c r="T35" s="15"/>
      <c r="U35" s="10"/>
      <c r="V35" s="21" t="str">
        <f>IF(COUNTA(M35:T35)=0,"",IF(M35="","E_MISSING_INPUT",IF(M35="TIMESTAMP",IF(OR(N35="",O35="",P35=""),"E_MISSING_INPUT",IF(OR(NOT(ISNUMBER(N35)),NOT(ISNUMBER(O35))),"E_INVALID_DATE",IF(OR(N35&lt;&gt;INT(N35),O35&lt;0,O35&gt;=1),"E_INVALID_DATE",IF(ISNA(MATCH(P35,nLIST_Offset,0)),"E_INVALID_DATE","")))),IF(M35="DATE",IF(N35="","E_MISSING_INPUT",IF(NOT(ISNUMBER(N35)),"E_INVALID_DATE",IF(N35&lt;&gt;INT(N35),"E_INVALID_DATE",""))),IF(M35="MONTH",IF(OR(Q35="",R35=""),"E_MISSING_INPUT",IF(OR(NOT(ISNUMBER(Q35)),NOT(ISNUMBER(R35))),"E_INVALID_DATE",IF(OR(Q35&lt;1900,Q35&gt;9999,Q35&lt;&gt;INT(Q35),R35&lt;1,R35&gt;12,R35&lt;&gt;INT(R35)),"E_INVALID_DATE",""))),IF(M35="YEAR",IF(Q35="","E_MISSING_INPUT",IF(NOT(ISNUMBER(Q35)),"E_INVALID_DATE",IF(OR(Q35&lt;1900,Q35&gt;9999,Q35&lt;&gt;INT(Q35)),"E_INVALID_DATE",""))),IF(M35="RANGE",IF(OR(S35="",T35=""),"E_MISSING_INPUT",IF(OR(NOT(ISNUMBER(S35)),NOT(ISNUMBER(T35))),"E_INVALID_DATE",IF(OR(S35&lt;&gt;INT(S35),T35&lt;&gt;INT(T35)),"E_INVALID_DATE",IF(S35&gt;T35,"E_REVERSED_BOUNDS","")))),"E_MISSING_INPUT")))))))</f>
        <v/>
      </c>
      <c r="W35" s="22">
        <f t="shared" si="0"/>
        <v>0</v>
      </c>
      <c r="X35" s="22">
        <f t="shared" si="1"/>
        <v>0</v>
      </c>
      <c r="Y35" s="28" t="str">
        <f t="shared" si="2"/>
        <v/>
      </c>
      <c r="Z35" s="28" t="str">
        <f t="shared" si="3"/>
        <v/>
      </c>
      <c r="AA35" s="22" t="str">
        <f t="shared" si="4"/>
        <v/>
      </c>
      <c r="AB35" s="22" t="str">
        <f t="shared" si="5"/>
        <v/>
      </c>
      <c r="AC35" s="21" t="str">
        <f t="shared" si="6"/>
        <v/>
      </c>
      <c r="AD35" s="21" t="str">
        <f t="shared" si="7"/>
        <v/>
      </c>
      <c r="AE35" s="22">
        <f t="shared" si="8"/>
        <v>0</v>
      </c>
      <c r="AF35" s="22">
        <f>IF(AC35="",0,COUNTIF(nMS_Key,AC35))</f>
        <v>0</v>
      </c>
      <c r="AG35" s="21" t="str">
        <f t="shared" si="9"/>
        <v/>
      </c>
      <c r="AH35" s="21" t="str">
        <f>IF(AG35="","",AG35&amp;": "&amp;SUBSTITUTE(IFERROR(INDEX(nMSG_Text,MATCH(AG35,nMSG_Code,0)),""),"[input]",IF(C35="","a Milestone_ID",IF(D35="","a milestone Type","the date fields required by the selected precision"))))</f>
        <v/>
      </c>
    </row>
    <row r="36" spans="1:34" x14ac:dyDescent="0.2">
      <c r="A36" s="10"/>
      <c r="B36" s="12"/>
      <c r="C36" s="10"/>
      <c r="D36" s="17"/>
      <c r="E36" s="10"/>
      <c r="F36" s="10"/>
      <c r="G36" s="17"/>
      <c r="H36" s="10"/>
      <c r="I36" s="10"/>
      <c r="J36" s="17"/>
      <c r="K36" s="10"/>
      <c r="L36" s="10"/>
      <c r="M36" s="17"/>
      <c r="N36" s="15"/>
      <c r="O36" s="26"/>
      <c r="P36" s="10"/>
      <c r="Q36" s="12"/>
      <c r="R36" s="12"/>
      <c r="S36" s="15"/>
      <c r="T36" s="15"/>
      <c r="U36" s="10"/>
      <c r="V36" s="21" t="str">
        <f>IF(COUNTA(M36:T36)=0,"",IF(M36="","E_MISSING_INPUT",IF(M36="TIMESTAMP",IF(OR(N36="",O36="",P36=""),"E_MISSING_INPUT",IF(OR(NOT(ISNUMBER(N36)),NOT(ISNUMBER(O36))),"E_INVALID_DATE",IF(OR(N36&lt;&gt;INT(N36),O36&lt;0,O36&gt;=1),"E_INVALID_DATE",IF(ISNA(MATCH(P36,nLIST_Offset,0)),"E_INVALID_DATE","")))),IF(M36="DATE",IF(N36="","E_MISSING_INPUT",IF(NOT(ISNUMBER(N36)),"E_INVALID_DATE",IF(N36&lt;&gt;INT(N36),"E_INVALID_DATE",""))),IF(M36="MONTH",IF(OR(Q36="",R36=""),"E_MISSING_INPUT",IF(OR(NOT(ISNUMBER(Q36)),NOT(ISNUMBER(R36))),"E_INVALID_DATE",IF(OR(Q36&lt;1900,Q36&gt;9999,Q36&lt;&gt;INT(Q36),R36&lt;1,R36&gt;12,R36&lt;&gt;INT(R36)),"E_INVALID_DATE",""))),IF(M36="YEAR",IF(Q36="","E_MISSING_INPUT",IF(NOT(ISNUMBER(Q36)),"E_INVALID_DATE",IF(OR(Q36&lt;1900,Q36&gt;9999,Q36&lt;&gt;INT(Q36)),"E_INVALID_DATE",""))),IF(M36="RANGE",IF(OR(S36="",T36=""),"E_MISSING_INPUT",IF(OR(NOT(ISNUMBER(S36)),NOT(ISNUMBER(T36))),"E_INVALID_DATE",IF(OR(S36&lt;&gt;INT(S36),T36&lt;&gt;INT(T36)),"E_INVALID_DATE",IF(S36&gt;T36,"E_REVERSED_BOUNDS","")))),"E_MISSING_INPUT")))))))</f>
        <v/>
      </c>
      <c r="W36" s="22">
        <f t="shared" si="0"/>
        <v>0</v>
      </c>
      <c r="X36" s="22">
        <f t="shared" si="1"/>
        <v>0</v>
      </c>
      <c r="Y36" s="28" t="str">
        <f t="shared" si="2"/>
        <v/>
      </c>
      <c r="Z36" s="28" t="str">
        <f t="shared" si="3"/>
        <v/>
      </c>
      <c r="AA36" s="22" t="str">
        <f t="shared" si="4"/>
        <v/>
      </c>
      <c r="AB36" s="22" t="str">
        <f t="shared" si="5"/>
        <v/>
      </c>
      <c r="AC36" s="21" t="str">
        <f t="shared" si="6"/>
        <v/>
      </c>
      <c r="AD36" s="21" t="str">
        <f t="shared" si="7"/>
        <v/>
      </c>
      <c r="AE36" s="22">
        <f t="shared" si="8"/>
        <v>0</v>
      </c>
      <c r="AF36" s="22">
        <f>IF(AC36="",0,COUNTIF(nMS_Key,AC36))</f>
        <v>0</v>
      </c>
      <c r="AG36" s="21" t="str">
        <f t="shared" si="9"/>
        <v/>
      </c>
      <c r="AH36" s="21" t="str">
        <f>IF(AG36="","",AG36&amp;": "&amp;SUBSTITUTE(IFERROR(INDEX(nMSG_Text,MATCH(AG36,nMSG_Code,0)),""),"[input]",IF(C36="","a Milestone_ID",IF(D36="","a milestone Type","the date fields required by the selected precision"))))</f>
        <v/>
      </c>
    </row>
    <row r="37" spans="1:34" x14ac:dyDescent="0.2">
      <c r="A37" s="10"/>
      <c r="B37" s="12"/>
      <c r="C37" s="10"/>
      <c r="D37" s="17"/>
      <c r="E37" s="10"/>
      <c r="F37" s="10"/>
      <c r="G37" s="17"/>
      <c r="H37" s="10"/>
      <c r="I37" s="10"/>
      <c r="J37" s="17"/>
      <c r="K37" s="10"/>
      <c r="L37" s="10"/>
      <c r="M37" s="17"/>
      <c r="N37" s="15"/>
      <c r="O37" s="26"/>
      <c r="P37" s="10"/>
      <c r="Q37" s="12"/>
      <c r="R37" s="12"/>
      <c r="S37" s="15"/>
      <c r="T37" s="15"/>
      <c r="U37" s="10"/>
      <c r="V37" s="21" t="str">
        <f>IF(COUNTA(M37:T37)=0,"",IF(M37="","E_MISSING_INPUT",IF(M37="TIMESTAMP",IF(OR(N37="",O37="",P37=""),"E_MISSING_INPUT",IF(OR(NOT(ISNUMBER(N37)),NOT(ISNUMBER(O37))),"E_INVALID_DATE",IF(OR(N37&lt;&gt;INT(N37),O37&lt;0,O37&gt;=1),"E_INVALID_DATE",IF(ISNA(MATCH(P37,nLIST_Offset,0)),"E_INVALID_DATE","")))),IF(M37="DATE",IF(N37="","E_MISSING_INPUT",IF(NOT(ISNUMBER(N37)),"E_INVALID_DATE",IF(N37&lt;&gt;INT(N37),"E_INVALID_DATE",""))),IF(M37="MONTH",IF(OR(Q37="",R37=""),"E_MISSING_INPUT",IF(OR(NOT(ISNUMBER(Q37)),NOT(ISNUMBER(R37))),"E_INVALID_DATE",IF(OR(Q37&lt;1900,Q37&gt;9999,Q37&lt;&gt;INT(Q37),R37&lt;1,R37&gt;12,R37&lt;&gt;INT(R37)),"E_INVALID_DATE",""))),IF(M37="YEAR",IF(Q37="","E_MISSING_INPUT",IF(NOT(ISNUMBER(Q37)),"E_INVALID_DATE",IF(OR(Q37&lt;1900,Q37&gt;9999,Q37&lt;&gt;INT(Q37)),"E_INVALID_DATE",""))),IF(M37="RANGE",IF(OR(S37="",T37=""),"E_MISSING_INPUT",IF(OR(NOT(ISNUMBER(S37)),NOT(ISNUMBER(T37))),"E_INVALID_DATE",IF(OR(S37&lt;&gt;INT(S37),T37&lt;&gt;INT(T37)),"E_INVALID_DATE",IF(S37&gt;T37,"E_REVERSED_BOUNDS","")))),"E_MISSING_INPUT")))))))</f>
        <v/>
      </c>
      <c r="W37" s="22">
        <f t="shared" si="0"/>
        <v>0</v>
      </c>
      <c r="X37" s="22">
        <f t="shared" si="1"/>
        <v>0</v>
      </c>
      <c r="Y37" s="28" t="str">
        <f t="shared" si="2"/>
        <v/>
      </c>
      <c r="Z37" s="28" t="str">
        <f t="shared" si="3"/>
        <v/>
      </c>
      <c r="AA37" s="22" t="str">
        <f t="shared" si="4"/>
        <v/>
      </c>
      <c r="AB37" s="22" t="str">
        <f t="shared" si="5"/>
        <v/>
      </c>
      <c r="AC37" s="21" t="str">
        <f t="shared" si="6"/>
        <v/>
      </c>
      <c r="AD37" s="21" t="str">
        <f t="shared" si="7"/>
        <v/>
      </c>
      <c r="AE37" s="22">
        <f t="shared" si="8"/>
        <v>0</v>
      </c>
      <c r="AF37" s="22">
        <f>IF(AC37="",0,COUNTIF(nMS_Key,AC37))</f>
        <v>0</v>
      </c>
      <c r="AG37" s="21" t="str">
        <f t="shared" si="9"/>
        <v/>
      </c>
      <c r="AH37" s="21" t="str">
        <f>IF(AG37="","",AG37&amp;": "&amp;SUBSTITUTE(IFERROR(INDEX(nMSG_Text,MATCH(AG37,nMSG_Code,0)),""),"[input]",IF(C37="","a Milestone_ID",IF(D37="","a milestone Type","the date fields required by the selected precision"))))</f>
        <v/>
      </c>
    </row>
    <row r="38" spans="1:34" x14ac:dyDescent="0.2">
      <c r="A38" s="10"/>
      <c r="B38" s="12"/>
      <c r="C38" s="10"/>
      <c r="D38" s="17"/>
      <c r="E38" s="10"/>
      <c r="F38" s="10"/>
      <c r="G38" s="17"/>
      <c r="H38" s="10"/>
      <c r="I38" s="10"/>
      <c r="J38" s="17"/>
      <c r="K38" s="10"/>
      <c r="L38" s="10"/>
      <c r="M38" s="17"/>
      <c r="N38" s="15"/>
      <c r="O38" s="26"/>
      <c r="P38" s="10"/>
      <c r="Q38" s="12"/>
      <c r="R38" s="12"/>
      <c r="S38" s="15"/>
      <c r="T38" s="15"/>
      <c r="U38" s="10"/>
      <c r="V38" s="21" t="str">
        <f>IF(COUNTA(M38:T38)=0,"",IF(M38="","E_MISSING_INPUT",IF(M38="TIMESTAMP",IF(OR(N38="",O38="",P38=""),"E_MISSING_INPUT",IF(OR(NOT(ISNUMBER(N38)),NOT(ISNUMBER(O38))),"E_INVALID_DATE",IF(OR(N38&lt;&gt;INT(N38),O38&lt;0,O38&gt;=1),"E_INVALID_DATE",IF(ISNA(MATCH(P38,nLIST_Offset,0)),"E_INVALID_DATE","")))),IF(M38="DATE",IF(N38="","E_MISSING_INPUT",IF(NOT(ISNUMBER(N38)),"E_INVALID_DATE",IF(N38&lt;&gt;INT(N38),"E_INVALID_DATE",""))),IF(M38="MONTH",IF(OR(Q38="",R38=""),"E_MISSING_INPUT",IF(OR(NOT(ISNUMBER(Q38)),NOT(ISNUMBER(R38))),"E_INVALID_DATE",IF(OR(Q38&lt;1900,Q38&gt;9999,Q38&lt;&gt;INT(Q38),R38&lt;1,R38&gt;12,R38&lt;&gt;INT(R38)),"E_INVALID_DATE",""))),IF(M38="YEAR",IF(Q38="","E_MISSING_INPUT",IF(NOT(ISNUMBER(Q38)),"E_INVALID_DATE",IF(OR(Q38&lt;1900,Q38&gt;9999,Q38&lt;&gt;INT(Q38)),"E_INVALID_DATE",""))),IF(M38="RANGE",IF(OR(S38="",T38=""),"E_MISSING_INPUT",IF(OR(NOT(ISNUMBER(S38)),NOT(ISNUMBER(T38))),"E_INVALID_DATE",IF(OR(S38&lt;&gt;INT(S38),T38&lt;&gt;INT(T38)),"E_INVALID_DATE",IF(S38&gt;T38,"E_REVERSED_BOUNDS","")))),"E_MISSING_INPUT")))))))</f>
        <v/>
      </c>
      <c r="W38" s="22">
        <f t="shared" si="0"/>
        <v>0</v>
      </c>
      <c r="X38" s="22">
        <f t="shared" si="1"/>
        <v>0</v>
      </c>
      <c r="Y38" s="28" t="str">
        <f t="shared" si="2"/>
        <v/>
      </c>
      <c r="Z38" s="28" t="str">
        <f t="shared" si="3"/>
        <v/>
      </c>
      <c r="AA38" s="22" t="str">
        <f t="shared" si="4"/>
        <v/>
      </c>
      <c r="AB38" s="22" t="str">
        <f t="shared" si="5"/>
        <v/>
      </c>
      <c r="AC38" s="21" t="str">
        <f t="shared" si="6"/>
        <v/>
      </c>
      <c r="AD38" s="21" t="str">
        <f t="shared" si="7"/>
        <v/>
      </c>
      <c r="AE38" s="22">
        <f t="shared" si="8"/>
        <v>0</v>
      </c>
      <c r="AF38" s="22">
        <f>IF(AC38="",0,COUNTIF(nMS_Key,AC38))</f>
        <v>0</v>
      </c>
      <c r="AG38" s="21" t="str">
        <f t="shared" si="9"/>
        <v/>
      </c>
      <c r="AH38" s="21" t="str">
        <f>IF(AG38="","",AG38&amp;": "&amp;SUBSTITUTE(IFERROR(INDEX(nMSG_Text,MATCH(AG38,nMSG_Code,0)),""),"[input]",IF(C38="","a Milestone_ID",IF(D38="","a milestone Type","the date fields required by the selected precision"))))</f>
        <v/>
      </c>
    </row>
    <row r="39" spans="1:34" x14ac:dyDescent="0.2">
      <c r="A39" s="10"/>
      <c r="B39" s="12"/>
      <c r="C39" s="10"/>
      <c r="D39" s="17"/>
      <c r="E39" s="10"/>
      <c r="F39" s="10"/>
      <c r="G39" s="17"/>
      <c r="H39" s="10"/>
      <c r="I39" s="10"/>
      <c r="J39" s="17"/>
      <c r="K39" s="10"/>
      <c r="L39" s="10"/>
      <c r="M39" s="17"/>
      <c r="N39" s="15"/>
      <c r="O39" s="26"/>
      <c r="P39" s="10"/>
      <c r="Q39" s="12"/>
      <c r="R39" s="12"/>
      <c r="S39" s="15"/>
      <c r="T39" s="15"/>
      <c r="U39" s="10"/>
      <c r="V39" s="21" t="str">
        <f>IF(COUNTA(M39:T39)=0,"",IF(M39="","E_MISSING_INPUT",IF(M39="TIMESTAMP",IF(OR(N39="",O39="",P39=""),"E_MISSING_INPUT",IF(OR(NOT(ISNUMBER(N39)),NOT(ISNUMBER(O39))),"E_INVALID_DATE",IF(OR(N39&lt;&gt;INT(N39),O39&lt;0,O39&gt;=1),"E_INVALID_DATE",IF(ISNA(MATCH(P39,nLIST_Offset,0)),"E_INVALID_DATE","")))),IF(M39="DATE",IF(N39="","E_MISSING_INPUT",IF(NOT(ISNUMBER(N39)),"E_INVALID_DATE",IF(N39&lt;&gt;INT(N39),"E_INVALID_DATE",""))),IF(M39="MONTH",IF(OR(Q39="",R39=""),"E_MISSING_INPUT",IF(OR(NOT(ISNUMBER(Q39)),NOT(ISNUMBER(R39))),"E_INVALID_DATE",IF(OR(Q39&lt;1900,Q39&gt;9999,Q39&lt;&gt;INT(Q39),R39&lt;1,R39&gt;12,R39&lt;&gt;INT(R39)),"E_INVALID_DATE",""))),IF(M39="YEAR",IF(Q39="","E_MISSING_INPUT",IF(NOT(ISNUMBER(Q39)),"E_INVALID_DATE",IF(OR(Q39&lt;1900,Q39&gt;9999,Q39&lt;&gt;INT(Q39)),"E_INVALID_DATE",""))),IF(M39="RANGE",IF(OR(S39="",T39=""),"E_MISSING_INPUT",IF(OR(NOT(ISNUMBER(S39)),NOT(ISNUMBER(T39))),"E_INVALID_DATE",IF(OR(S39&lt;&gt;INT(S39),T39&lt;&gt;INT(T39)),"E_INVALID_DATE",IF(S39&gt;T39,"E_REVERSED_BOUNDS","")))),"E_MISSING_INPUT")))))))</f>
        <v/>
      </c>
      <c r="W39" s="22">
        <f t="shared" si="0"/>
        <v>0</v>
      </c>
      <c r="X39" s="22">
        <f t="shared" si="1"/>
        <v>0</v>
      </c>
      <c r="Y39" s="28" t="str">
        <f t="shared" si="2"/>
        <v/>
      </c>
      <c r="Z39" s="28" t="str">
        <f t="shared" si="3"/>
        <v/>
      </c>
      <c r="AA39" s="22" t="str">
        <f t="shared" si="4"/>
        <v/>
      </c>
      <c r="AB39" s="22" t="str">
        <f t="shared" si="5"/>
        <v/>
      </c>
      <c r="AC39" s="21" t="str">
        <f t="shared" si="6"/>
        <v/>
      </c>
      <c r="AD39" s="21" t="str">
        <f t="shared" si="7"/>
        <v/>
      </c>
      <c r="AE39" s="22">
        <f t="shared" si="8"/>
        <v>0</v>
      </c>
      <c r="AF39" s="22">
        <f>IF(AC39="",0,COUNTIF(nMS_Key,AC39))</f>
        <v>0</v>
      </c>
      <c r="AG39" s="21" t="str">
        <f t="shared" si="9"/>
        <v/>
      </c>
      <c r="AH39" s="21" t="str">
        <f>IF(AG39="","",AG39&amp;": "&amp;SUBSTITUTE(IFERROR(INDEX(nMSG_Text,MATCH(AG39,nMSG_Code,0)),""),"[input]",IF(C39="","a Milestone_ID",IF(D39="","a milestone Type","the date fields required by the selected precision"))))</f>
        <v/>
      </c>
    </row>
    <row r="40" spans="1:34" x14ac:dyDescent="0.2">
      <c r="A40" s="10"/>
      <c r="B40" s="12"/>
      <c r="C40" s="10"/>
      <c r="D40" s="17"/>
      <c r="E40" s="10"/>
      <c r="F40" s="10"/>
      <c r="G40" s="17"/>
      <c r="H40" s="10"/>
      <c r="I40" s="10"/>
      <c r="J40" s="17"/>
      <c r="K40" s="10"/>
      <c r="L40" s="10"/>
      <c r="M40" s="17"/>
      <c r="N40" s="15"/>
      <c r="O40" s="26"/>
      <c r="P40" s="10"/>
      <c r="Q40" s="12"/>
      <c r="R40" s="12"/>
      <c r="S40" s="15"/>
      <c r="T40" s="15"/>
      <c r="U40" s="10"/>
      <c r="V40" s="21" t="str">
        <f>IF(COUNTA(M40:T40)=0,"",IF(M40="","E_MISSING_INPUT",IF(M40="TIMESTAMP",IF(OR(N40="",O40="",P40=""),"E_MISSING_INPUT",IF(OR(NOT(ISNUMBER(N40)),NOT(ISNUMBER(O40))),"E_INVALID_DATE",IF(OR(N40&lt;&gt;INT(N40),O40&lt;0,O40&gt;=1),"E_INVALID_DATE",IF(ISNA(MATCH(P40,nLIST_Offset,0)),"E_INVALID_DATE","")))),IF(M40="DATE",IF(N40="","E_MISSING_INPUT",IF(NOT(ISNUMBER(N40)),"E_INVALID_DATE",IF(N40&lt;&gt;INT(N40),"E_INVALID_DATE",""))),IF(M40="MONTH",IF(OR(Q40="",R40=""),"E_MISSING_INPUT",IF(OR(NOT(ISNUMBER(Q40)),NOT(ISNUMBER(R40))),"E_INVALID_DATE",IF(OR(Q40&lt;1900,Q40&gt;9999,Q40&lt;&gt;INT(Q40),R40&lt;1,R40&gt;12,R40&lt;&gt;INT(R40)),"E_INVALID_DATE",""))),IF(M40="YEAR",IF(Q40="","E_MISSING_INPUT",IF(NOT(ISNUMBER(Q40)),"E_INVALID_DATE",IF(OR(Q40&lt;1900,Q40&gt;9999,Q40&lt;&gt;INT(Q40)),"E_INVALID_DATE",""))),IF(M40="RANGE",IF(OR(S40="",T40=""),"E_MISSING_INPUT",IF(OR(NOT(ISNUMBER(S40)),NOT(ISNUMBER(T40))),"E_INVALID_DATE",IF(OR(S40&lt;&gt;INT(S40),T40&lt;&gt;INT(T40)),"E_INVALID_DATE",IF(S40&gt;T40,"E_REVERSED_BOUNDS","")))),"E_MISSING_INPUT")))))))</f>
        <v/>
      </c>
      <c r="W40" s="22">
        <f t="shared" si="0"/>
        <v>0</v>
      </c>
      <c r="X40" s="22">
        <f t="shared" si="1"/>
        <v>0</v>
      </c>
      <c r="Y40" s="28" t="str">
        <f t="shared" si="2"/>
        <v/>
      </c>
      <c r="Z40" s="28" t="str">
        <f t="shared" si="3"/>
        <v/>
      </c>
      <c r="AA40" s="22" t="str">
        <f t="shared" si="4"/>
        <v/>
      </c>
      <c r="AB40" s="22" t="str">
        <f t="shared" si="5"/>
        <v/>
      </c>
      <c r="AC40" s="21" t="str">
        <f t="shared" si="6"/>
        <v/>
      </c>
      <c r="AD40" s="21" t="str">
        <f t="shared" si="7"/>
        <v/>
      </c>
      <c r="AE40" s="22">
        <f t="shared" si="8"/>
        <v>0</v>
      </c>
      <c r="AF40" s="22">
        <f>IF(AC40="",0,COUNTIF(nMS_Key,AC40))</f>
        <v>0</v>
      </c>
      <c r="AG40" s="21" t="str">
        <f t="shared" si="9"/>
        <v/>
      </c>
      <c r="AH40" s="21" t="str">
        <f>IF(AG40="","",AG40&amp;": "&amp;SUBSTITUTE(IFERROR(INDEX(nMSG_Text,MATCH(AG40,nMSG_Code,0)),""),"[input]",IF(C40="","a Milestone_ID",IF(D40="","a milestone Type","the date fields required by the selected precision"))))</f>
        <v/>
      </c>
    </row>
    <row r="41" spans="1:34" x14ac:dyDescent="0.2">
      <c r="A41" s="10"/>
      <c r="B41" s="12"/>
      <c r="C41" s="10"/>
      <c r="D41" s="17"/>
      <c r="E41" s="10"/>
      <c r="F41" s="10"/>
      <c r="G41" s="17"/>
      <c r="H41" s="10"/>
      <c r="I41" s="10"/>
      <c r="J41" s="17"/>
      <c r="K41" s="10"/>
      <c r="L41" s="10"/>
      <c r="M41" s="17"/>
      <c r="N41" s="15"/>
      <c r="O41" s="26"/>
      <c r="P41" s="10"/>
      <c r="Q41" s="12"/>
      <c r="R41" s="12"/>
      <c r="S41" s="15"/>
      <c r="T41" s="15"/>
      <c r="U41" s="10"/>
      <c r="V41" s="21" t="str">
        <f>IF(COUNTA(M41:T41)=0,"",IF(M41="","E_MISSING_INPUT",IF(M41="TIMESTAMP",IF(OR(N41="",O41="",P41=""),"E_MISSING_INPUT",IF(OR(NOT(ISNUMBER(N41)),NOT(ISNUMBER(O41))),"E_INVALID_DATE",IF(OR(N41&lt;&gt;INT(N41),O41&lt;0,O41&gt;=1),"E_INVALID_DATE",IF(ISNA(MATCH(P41,nLIST_Offset,0)),"E_INVALID_DATE","")))),IF(M41="DATE",IF(N41="","E_MISSING_INPUT",IF(NOT(ISNUMBER(N41)),"E_INVALID_DATE",IF(N41&lt;&gt;INT(N41),"E_INVALID_DATE",""))),IF(M41="MONTH",IF(OR(Q41="",R41=""),"E_MISSING_INPUT",IF(OR(NOT(ISNUMBER(Q41)),NOT(ISNUMBER(R41))),"E_INVALID_DATE",IF(OR(Q41&lt;1900,Q41&gt;9999,Q41&lt;&gt;INT(Q41),R41&lt;1,R41&gt;12,R41&lt;&gt;INT(R41)),"E_INVALID_DATE",""))),IF(M41="YEAR",IF(Q41="","E_MISSING_INPUT",IF(NOT(ISNUMBER(Q41)),"E_INVALID_DATE",IF(OR(Q41&lt;1900,Q41&gt;9999,Q41&lt;&gt;INT(Q41)),"E_INVALID_DATE",""))),IF(M41="RANGE",IF(OR(S41="",T41=""),"E_MISSING_INPUT",IF(OR(NOT(ISNUMBER(S41)),NOT(ISNUMBER(T41))),"E_INVALID_DATE",IF(OR(S41&lt;&gt;INT(S41),T41&lt;&gt;INT(T41)),"E_INVALID_DATE",IF(S41&gt;T41,"E_REVERSED_BOUNDS","")))),"E_MISSING_INPUT")))))))</f>
        <v/>
      </c>
      <c r="W41" s="22">
        <f t="shared" si="0"/>
        <v>0</v>
      </c>
      <c r="X41" s="22">
        <f t="shared" si="1"/>
        <v>0</v>
      </c>
      <c r="Y41" s="28" t="str">
        <f t="shared" si="2"/>
        <v/>
      </c>
      <c r="Z41" s="28" t="str">
        <f t="shared" si="3"/>
        <v/>
      </c>
      <c r="AA41" s="22" t="str">
        <f t="shared" si="4"/>
        <v/>
      </c>
      <c r="AB41" s="22" t="str">
        <f t="shared" si="5"/>
        <v/>
      </c>
      <c r="AC41" s="21" t="str">
        <f t="shared" si="6"/>
        <v/>
      </c>
      <c r="AD41" s="21" t="str">
        <f t="shared" si="7"/>
        <v/>
      </c>
      <c r="AE41" s="22">
        <f t="shared" si="8"/>
        <v>0</v>
      </c>
      <c r="AF41" s="22">
        <f>IF(AC41="",0,COUNTIF(nMS_Key,AC41))</f>
        <v>0</v>
      </c>
      <c r="AG41" s="21" t="str">
        <f t="shared" si="9"/>
        <v/>
      </c>
      <c r="AH41" s="21" t="str">
        <f>IF(AG41="","",AG41&amp;": "&amp;SUBSTITUTE(IFERROR(INDEX(nMSG_Text,MATCH(AG41,nMSG_Code,0)),""),"[input]",IF(C41="","a Milestone_ID",IF(D41="","a milestone Type","the date fields required by the selected precision"))))</f>
        <v/>
      </c>
    </row>
    <row r="42" spans="1:34" x14ac:dyDescent="0.2">
      <c r="A42" s="10"/>
      <c r="B42" s="12"/>
      <c r="C42" s="10"/>
      <c r="D42" s="17"/>
      <c r="E42" s="10"/>
      <c r="F42" s="10"/>
      <c r="G42" s="17"/>
      <c r="H42" s="10"/>
      <c r="I42" s="10"/>
      <c r="J42" s="17"/>
      <c r="K42" s="10"/>
      <c r="L42" s="10"/>
      <c r="M42" s="17"/>
      <c r="N42" s="15"/>
      <c r="O42" s="26"/>
      <c r="P42" s="10"/>
      <c r="Q42" s="12"/>
      <c r="R42" s="12"/>
      <c r="S42" s="15"/>
      <c r="T42" s="15"/>
      <c r="U42" s="10"/>
      <c r="V42" s="21" t="str">
        <f>IF(COUNTA(M42:T42)=0,"",IF(M42="","E_MISSING_INPUT",IF(M42="TIMESTAMP",IF(OR(N42="",O42="",P42=""),"E_MISSING_INPUT",IF(OR(NOT(ISNUMBER(N42)),NOT(ISNUMBER(O42))),"E_INVALID_DATE",IF(OR(N42&lt;&gt;INT(N42),O42&lt;0,O42&gt;=1),"E_INVALID_DATE",IF(ISNA(MATCH(P42,nLIST_Offset,0)),"E_INVALID_DATE","")))),IF(M42="DATE",IF(N42="","E_MISSING_INPUT",IF(NOT(ISNUMBER(N42)),"E_INVALID_DATE",IF(N42&lt;&gt;INT(N42),"E_INVALID_DATE",""))),IF(M42="MONTH",IF(OR(Q42="",R42=""),"E_MISSING_INPUT",IF(OR(NOT(ISNUMBER(Q42)),NOT(ISNUMBER(R42))),"E_INVALID_DATE",IF(OR(Q42&lt;1900,Q42&gt;9999,Q42&lt;&gt;INT(Q42),R42&lt;1,R42&gt;12,R42&lt;&gt;INT(R42)),"E_INVALID_DATE",""))),IF(M42="YEAR",IF(Q42="","E_MISSING_INPUT",IF(NOT(ISNUMBER(Q42)),"E_INVALID_DATE",IF(OR(Q42&lt;1900,Q42&gt;9999,Q42&lt;&gt;INT(Q42)),"E_INVALID_DATE",""))),IF(M42="RANGE",IF(OR(S42="",T42=""),"E_MISSING_INPUT",IF(OR(NOT(ISNUMBER(S42)),NOT(ISNUMBER(T42))),"E_INVALID_DATE",IF(OR(S42&lt;&gt;INT(S42),T42&lt;&gt;INT(T42)),"E_INVALID_DATE",IF(S42&gt;T42,"E_REVERSED_BOUNDS","")))),"E_MISSING_INPUT")))))))</f>
        <v/>
      </c>
      <c r="W42" s="22">
        <f t="shared" si="0"/>
        <v>0</v>
      </c>
      <c r="X42" s="22">
        <f t="shared" si="1"/>
        <v>0</v>
      </c>
      <c r="Y42" s="28" t="str">
        <f t="shared" si="2"/>
        <v/>
      </c>
      <c r="Z42" s="28" t="str">
        <f t="shared" si="3"/>
        <v/>
      </c>
      <c r="AA42" s="22" t="str">
        <f t="shared" si="4"/>
        <v/>
      </c>
      <c r="AB42" s="22" t="str">
        <f t="shared" si="5"/>
        <v/>
      </c>
      <c r="AC42" s="21" t="str">
        <f t="shared" si="6"/>
        <v/>
      </c>
      <c r="AD42" s="21" t="str">
        <f t="shared" si="7"/>
        <v/>
      </c>
      <c r="AE42" s="22">
        <f t="shared" si="8"/>
        <v>0</v>
      </c>
      <c r="AF42" s="22">
        <f>IF(AC42="",0,COUNTIF(nMS_Key,AC42))</f>
        <v>0</v>
      </c>
      <c r="AG42" s="21" t="str">
        <f t="shared" si="9"/>
        <v/>
      </c>
      <c r="AH42" s="21" t="str">
        <f>IF(AG42="","",AG42&amp;": "&amp;SUBSTITUTE(IFERROR(INDEX(nMSG_Text,MATCH(AG42,nMSG_Code,0)),""),"[input]",IF(C42="","a Milestone_ID",IF(D42="","a milestone Type","the date fields required by the selected precision"))))</f>
        <v/>
      </c>
    </row>
    <row r="43" spans="1:34" x14ac:dyDescent="0.2">
      <c r="A43" s="10"/>
      <c r="B43" s="12"/>
      <c r="C43" s="10"/>
      <c r="D43" s="17"/>
      <c r="E43" s="10"/>
      <c r="F43" s="10"/>
      <c r="G43" s="17"/>
      <c r="H43" s="10"/>
      <c r="I43" s="10"/>
      <c r="J43" s="17"/>
      <c r="K43" s="10"/>
      <c r="L43" s="10"/>
      <c r="M43" s="17"/>
      <c r="N43" s="15"/>
      <c r="O43" s="26"/>
      <c r="P43" s="10"/>
      <c r="Q43" s="12"/>
      <c r="R43" s="12"/>
      <c r="S43" s="15"/>
      <c r="T43" s="15"/>
      <c r="U43" s="10"/>
      <c r="V43" s="21" t="str">
        <f>IF(COUNTA(M43:T43)=0,"",IF(M43="","E_MISSING_INPUT",IF(M43="TIMESTAMP",IF(OR(N43="",O43="",P43=""),"E_MISSING_INPUT",IF(OR(NOT(ISNUMBER(N43)),NOT(ISNUMBER(O43))),"E_INVALID_DATE",IF(OR(N43&lt;&gt;INT(N43),O43&lt;0,O43&gt;=1),"E_INVALID_DATE",IF(ISNA(MATCH(P43,nLIST_Offset,0)),"E_INVALID_DATE","")))),IF(M43="DATE",IF(N43="","E_MISSING_INPUT",IF(NOT(ISNUMBER(N43)),"E_INVALID_DATE",IF(N43&lt;&gt;INT(N43),"E_INVALID_DATE",""))),IF(M43="MONTH",IF(OR(Q43="",R43=""),"E_MISSING_INPUT",IF(OR(NOT(ISNUMBER(Q43)),NOT(ISNUMBER(R43))),"E_INVALID_DATE",IF(OR(Q43&lt;1900,Q43&gt;9999,Q43&lt;&gt;INT(Q43),R43&lt;1,R43&gt;12,R43&lt;&gt;INT(R43)),"E_INVALID_DATE",""))),IF(M43="YEAR",IF(Q43="","E_MISSING_INPUT",IF(NOT(ISNUMBER(Q43)),"E_INVALID_DATE",IF(OR(Q43&lt;1900,Q43&gt;9999,Q43&lt;&gt;INT(Q43)),"E_INVALID_DATE",""))),IF(M43="RANGE",IF(OR(S43="",T43=""),"E_MISSING_INPUT",IF(OR(NOT(ISNUMBER(S43)),NOT(ISNUMBER(T43))),"E_INVALID_DATE",IF(OR(S43&lt;&gt;INT(S43),T43&lt;&gt;INT(T43)),"E_INVALID_DATE",IF(S43&gt;T43,"E_REVERSED_BOUNDS","")))),"E_MISSING_INPUT")))))))</f>
        <v/>
      </c>
      <c r="W43" s="22">
        <f t="shared" si="0"/>
        <v>0</v>
      </c>
      <c r="X43" s="22">
        <f t="shared" si="1"/>
        <v>0</v>
      </c>
      <c r="Y43" s="28" t="str">
        <f t="shared" si="2"/>
        <v/>
      </c>
      <c r="Z43" s="28" t="str">
        <f t="shared" si="3"/>
        <v/>
      </c>
      <c r="AA43" s="22" t="str">
        <f t="shared" si="4"/>
        <v/>
      </c>
      <c r="AB43" s="22" t="str">
        <f t="shared" si="5"/>
        <v/>
      </c>
      <c r="AC43" s="21" t="str">
        <f t="shared" si="6"/>
        <v/>
      </c>
      <c r="AD43" s="21" t="str">
        <f t="shared" si="7"/>
        <v/>
      </c>
      <c r="AE43" s="22">
        <f t="shared" si="8"/>
        <v>0</v>
      </c>
      <c r="AF43" s="22">
        <f>IF(AC43="",0,COUNTIF(nMS_Key,AC43))</f>
        <v>0</v>
      </c>
      <c r="AG43" s="21" t="str">
        <f t="shared" si="9"/>
        <v/>
      </c>
      <c r="AH43" s="21" t="str">
        <f>IF(AG43="","",AG43&amp;": "&amp;SUBSTITUTE(IFERROR(INDEX(nMSG_Text,MATCH(AG43,nMSG_Code,0)),""),"[input]",IF(C43="","a Milestone_ID",IF(D43="","a milestone Type","the date fields required by the selected precision"))))</f>
        <v/>
      </c>
    </row>
    <row r="44" spans="1:34" x14ac:dyDescent="0.2">
      <c r="A44" s="10"/>
      <c r="B44" s="12"/>
      <c r="C44" s="10"/>
      <c r="D44" s="17"/>
      <c r="E44" s="10"/>
      <c r="F44" s="10"/>
      <c r="G44" s="17"/>
      <c r="H44" s="10"/>
      <c r="I44" s="10"/>
      <c r="J44" s="17"/>
      <c r="K44" s="10"/>
      <c r="L44" s="10"/>
      <c r="M44" s="17"/>
      <c r="N44" s="15"/>
      <c r="O44" s="26"/>
      <c r="P44" s="10"/>
      <c r="Q44" s="12"/>
      <c r="R44" s="12"/>
      <c r="S44" s="15"/>
      <c r="T44" s="15"/>
      <c r="U44" s="10"/>
      <c r="V44" s="21" t="str">
        <f>IF(COUNTA(M44:T44)=0,"",IF(M44="","E_MISSING_INPUT",IF(M44="TIMESTAMP",IF(OR(N44="",O44="",P44=""),"E_MISSING_INPUT",IF(OR(NOT(ISNUMBER(N44)),NOT(ISNUMBER(O44))),"E_INVALID_DATE",IF(OR(N44&lt;&gt;INT(N44),O44&lt;0,O44&gt;=1),"E_INVALID_DATE",IF(ISNA(MATCH(P44,nLIST_Offset,0)),"E_INVALID_DATE","")))),IF(M44="DATE",IF(N44="","E_MISSING_INPUT",IF(NOT(ISNUMBER(N44)),"E_INVALID_DATE",IF(N44&lt;&gt;INT(N44),"E_INVALID_DATE",""))),IF(M44="MONTH",IF(OR(Q44="",R44=""),"E_MISSING_INPUT",IF(OR(NOT(ISNUMBER(Q44)),NOT(ISNUMBER(R44))),"E_INVALID_DATE",IF(OR(Q44&lt;1900,Q44&gt;9999,Q44&lt;&gt;INT(Q44),R44&lt;1,R44&gt;12,R44&lt;&gt;INT(R44)),"E_INVALID_DATE",""))),IF(M44="YEAR",IF(Q44="","E_MISSING_INPUT",IF(NOT(ISNUMBER(Q44)),"E_INVALID_DATE",IF(OR(Q44&lt;1900,Q44&gt;9999,Q44&lt;&gt;INT(Q44)),"E_INVALID_DATE",""))),IF(M44="RANGE",IF(OR(S44="",T44=""),"E_MISSING_INPUT",IF(OR(NOT(ISNUMBER(S44)),NOT(ISNUMBER(T44))),"E_INVALID_DATE",IF(OR(S44&lt;&gt;INT(S44),T44&lt;&gt;INT(T44)),"E_INVALID_DATE",IF(S44&gt;T44,"E_REVERSED_BOUNDS","")))),"E_MISSING_INPUT")))))))</f>
        <v/>
      </c>
      <c r="W44" s="22">
        <f t="shared" si="0"/>
        <v>0</v>
      </c>
      <c r="X44" s="22">
        <f t="shared" si="1"/>
        <v>0</v>
      </c>
      <c r="Y44" s="28" t="str">
        <f t="shared" si="2"/>
        <v/>
      </c>
      <c r="Z44" s="28" t="str">
        <f t="shared" si="3"/>
        <v/>
      </c>
      <c r="AA44" s="22" t="str">
        <f t="shared" si="4"/>
        <v/>
      </c>
      <c r="AB44" s="22" t="str">
        <f t="shared" si="5"/>
        <v/>
      </c>
      <c r="AC44" s="21" t="str">
        <f t="shared" si="6"/>
        <v/>
      </c>
      <c r="AD44" s="21" t="str">
        <f t="shared" si="7"/>
        <v/>
      </c>
      <c r="AE44" s="22">
        <f t="shared" si="8"/>
        <v>0</v>
      </c>
      <c r="AF44" s="22">
        <f>IF(AC44="",0,COUNTIF(nMS_Key,AC44))</f>
        <v>0</v>
      </c>
      <c r="AG44" s="21" t="str">
        <f t="shared" si="9"/>
        <v/>
      </c>
      <c r="AH44" s="21" t="str">
        <f>IF(AG44="","",AG44&amp;": "&amp;SUBSTITUTE(IFERROR(INDEX(nMSG_Text,MATCH(AG44,nMSG_Code,0)),""),"[input]",IF(C44="","a Milestone_ID",IF(D44="","a milestone Type","the date fields required by the selected precision"))))</f>
        <v/>
      </c>
    </row>
    <row r="45" spans="1:34" x14ac:dyDescent="0.2">
      <c r="A45" s="24" t="s">
        <v>294</v>
      </c>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row>
    <row r="46" spans="1:34" x14ac:dyDescent="0.2">
      <c r="A46" s="9" t="s">
        <v>297</v>
      </c>
      <c r="B46" s="11">
        <v>2</v>
      </c>
      <c r="C46" s="9" t="s">
        <v>798</v>
      </c>
      <c r="D46" s="16" t="s">
        <v>121</v>
      </c>
      <c r="E46" s="9"/>
      <c r="F46" s="9" t="s">
        <v>799</v>
      </c>
      <c r="G46" s="16"/>
      <c r="H46" s="9"/>
      <c r="I46" s="9"/>
      <c r="J46" s="16"/>
      <c r="K46" s="9"/>
      <c r="L46" s="9" t="s">
        <v>800</v>
      </c>
      <c r="M46" s="16" t="s">
        <v>3</v>
      </c>
      <c r="N46" s="14">
        <v>46032</v>
      </c>
      <c r="O46" s="25">
        <v>0.36805555555555503</v>
      </c>
      <c r="P46" s="9" t="s">
        <v>20</v>
      </c>
      <c r="Q46" s="11"/>
      <c r="R46" s="11"/>
      <c r="S46" s="14"/>
      <c r="T46" s="14"/>
      <c r="U46" s="9" t="s">
        <v>459</v>
      </c>
      <c r="V46" s="21" t="str">
        <f>IF(COUNTA(M46:T46)=0,"",IF(M46="","E_MISSING_INPUT",IF(M46="TIMESTAMP",IF(OR(N46="",O46="",P46=""),"E_MISSING_INPUT",IF(OR(NOT(ISNUMBER(N46)),NOT(ISNUMBER(O46))),"E_INVALID_DATE",IF(OR(N46&lt;&gt;INT(N46),O46&lt;0,O46&gt;=1),"E_INVALID_DATE",IF(ISNA(MATCH(P46,nLIST_Offset,0)),"E_INVALID_DATE","")))),IF(M46="DATE",IF(N46="","E_MISSING_INPUT",IF(NOT(ISNUMBER(N46)),"E_INVALID_DATE",IF(N46&lt;&gt;INT(N46),"E_INVALID_DATE",""))),IF(M46="MONTH",IF(OR(Q46="",R46=""),"E_MISSING_INPUT",IF(OR(NOT(ISNUMBER(Q46)),NOT(ISNUMBER(R46))),"E_INVALID_DATE",IF(OR(Q46&lt;1900,Q46&gt;9999,Q46&lt;&gt;INT(Q46),R46&lt;1,R46&gt;12,R46&lt;&gt;INT(R46)),"E_INVALID_DATE",""))),IF(M46="YEAR",IF(Q46="","E_MISSING_INPUT",IF(NOT(ISNUMBER(Q46)),"E_INVALID_DATE",IF(OR(Q46&lt;1900,Q46&gt;9999,Q46&lt;&gt;INT(Q46)),"E_INVALID_DATE",""))),IF(M46="RANGE",IF(OR(S46="",T46=""),"E_MISSING_INPUT",IF(OR(NOT(ISNUMBER(S46)),NOT(ISNUMBER(T46))),"E_INVALID_DATE",IF(OR(S46&lt;&gt;INT(S46),T46&lt;&gt;INT(T46)),"E_INVALID_DATE",IF(S46&gt;T46,"E_REVERSED_BOUNDS","")))),"E_MISSING_INPUT")))))))</f>
        <v/>
      </c>
      <c r="W46" s="22">
        <f t="shared" ref="W46:W66" si="10">IF(AND(V46="",M46="TIMESTAMP"),1,0)</f>
        <v>1</v>
      </c>
      <c r="X46" s="22">
        <f t="shared" ref="X46:X66" si="11">IF(AND(W46=1,P46&lt;&gt;"unknown"),1,0)</f>
        <v>1</v>
      </c>
      <c r="Y46" s="28">
        <f t="shared" ref="Y46:Y66" si="12">IF(OR(V46&lt;&gt;"",M46=""),"",IF(OR(M46="TIMESTAMP",M46="DATE"),N46,IF(M46="MONTH",DATE(Q46,R46,1),IF(M46="YEAR",DATE(Q46,1,1),S46))))</f>
        <v>46032</v>
      </c>
      <c r="Z46" s="28">
        <f t="shared" ref="Z46:Z66" si="13">IF(OR(V46&lt;&gt;"",M46=""),"",IF(OR(M46="TIMESTAMP",M46="DATE"),N46,IF(M46="MONTH",EOMONTH(DATE(Q46,R46,1),0),IF(M46="YEAR",DATE(Q46,12,31),T46))))</f>
        <v>46032</v>
      </c>
      <c r="AA46" s="22">
        <f t="shared" ref="AA46:AA66" si="14">IF(W46=1,N46*1440+ROUND(O46*1440,0),"")</f>
        <v>66286610</v>
      </c>
      <c r="AB46" s="22">
        <f t="shared" ref="AB46:AB66" si="15">IF(X46=1,AA46-(IF(LEFT(P46,1)="-",-1,1)*(VALUE(MID(P46,2,2))*60+VALUE(MID(P46,5,2)))),"")</f>
        <v>66286910</v>
      </c>
      <c r="AC46" s="21" t="str">
        <f t="shared" ref="AC46:AC66" si="16">IF(C46="","",A46&amp;"|"&amp;B46&amp;"|"&amp;C46)</f>
        <v>EX-C01|2|M-BASE</v>
      </c>
      <c r="AD46" s="21" t="str">
        <f t="shared" ref="AD46:AD66" si="17">IF(C46="","",A46&amp;"|"&amp;B46)</f>
        <v>EX-C01|2</v>
      </c>
      <c r="AE46" s="22">
        <f t="shared" ref="AE46:AE66" si="18">IF(AND(C46&lt;&gt;"",COUNTA(M46:T46)=0),1,0)</f>
        <v>0</v>
      </c>
      <c r="AF46" s="22">
        <f>IF(AC46="",0,COUNTIF(nMS_Key,AC46))</f>
        <v>1</v>
      </c>
      <c r="AG46" s="21" t="str">
        <f t="shared" ref="AG46:AG66" si="19">IF(C46="",IF(COUNTA(F46,M46,N46)&gt;0,"E_MISSING_INPUT",""),IF(AF46&gt;1,"E_DUPLICATE_ID",IF(D46="","E_MISSING_INPUT",V46)))</f>
        <v/>
      </c>
      <c r="AH46" s="21" t="str">
        <f>IF(AG46="","",AG46&amp;": "&amp;SUBSTITUTE(IFERROR(INDEX(nMSG_Text,MATCH(AG46,nMSG_Code,0)),""),"[input]",IF(C46="","a Milestone_ID",IF(D46="","a milestone Type","the date fields required by the selected precision"))))</f>
        <v/>
      </c>
    </row>
    <row r="47" spans="1:34" x14ac:dyDescent="0.2">
      <c r="A47" s="9" t="s">
        <v>297</v>
      </c>
      <c r="B47" s="11">
        <v>2</v>
      </c>
      <c r="C47" s="9" t="s">
        <v>801</v>
      </c>
      <c r="D47" s="16" t="s">
        <v>125</v>
      </c>
      <c r="E47" s="9"/>
      <c r="F47" s="9" t="s">
        <v>802</v>
      </c>
      <c r="G47" s="16"/>
      <c r="H47" s="9"/>
      <c r="I47" s="9"/>
      <c r="J47" s="16"/>
      <c r="K47" s="9"/>
      <c r="L47" s="9" t="s">
        <v>803</v>
      </c>
      <c r="M47" s="16" t="s">
        <v>3</v>
      </c>
      <c r="N47" s="14">
        <v>46032</v>
      </c>
      <c r="O47" s="25">
        <v>0.38750000000000001</v>
      </c>
      <c r="P47" s="9" t="s">
        <v>20</v>
      </c>
      <c r="Q47" s="11"/>
      <c r="R47" s="11"/>
      <c r="S47" s="14"/>
      <c r="T47" s="14"/>
      <c r="U47" s="9" t="s">
        <v>650</v>
      </c>
      <c r="V47" s="21" t="str">
        <f>IF(COUNTA(M47:T47)=0,"",IF(M47="","E_MISSING_INPUT",IF(M47="TIMESTAMP",IF(OR(N47="",O47="",P47=""),"E_MISSING_INPUT",IF(OR(NOT(ISNUMBER(N47)),NOT(ISNUMBER(O47))),"E_INVALID_DATE",IF(OR(N47&lt;&gt;INT(N47),O47&lt;0,O47&gt;=1),"E_INVALID_DATE",IF(ISNA(MATCH(P47,nLIST_Offset,0)),"E_INVALID_DATE","")))),IF(M47="DATE",IF(N47="","E_MISSING_INPUT",IF(NOT(ISNUMBER(N47)),"E_INVALID_DATE",IF(N47&lt;&gt;INT(N47),"E_INVALID_DATE",""))),IF(M47="MONTH",IF(OR(Q47="",R47=""),"E_MISSING_INPUT",IF(OR(NOT(ISNUMBER(Q47)),NOT(ISNUMBER(R47))),"E_INVALID_DATE",IF(OR(Q47&lt;1900,Q47&gt;9999,Q47&lt;&gt;INT(Q47),R47&lt;1,R47&gt;12,R47&lt;&gt;INT(R47)),"E_INVALID_DATE",""))),IF(M47="YEAR",IF(Q47="","E_MISSING_INPUT",IF(NOT(ISNUMBER(Q47)),"E_INVALID_DATE",IF(OR(Q47&lt;1900,Q47&gt;9999,Q47&lt;&gt;INT(Q47)),"E_INVALID_DATE",""))),IF(M47="RANGE",IF(OR(S47="",T47=""),"E_MISSING_INPUT",IF(OR(NOT(ISNUMBER(S47)),NOT(ISNUMBER(T47))),"E_INVALID_DATE",IF(OR(S47&lt;&gt;INT(S47),T47&lt;&gt;INT(T47)),"E_INVALID_DATE",IF(S47&gt;T47,"E_REVERSED_BOUNDS","")))),"E_MISSING_INPUT")))))))</f>
        <v/>
      </c>
      <c r="W47" s="22">
        <f t="shared" si="10"/>
        <v>1</v>
      </c>
      <c r="X47" s="22">
        <f t="shared" si="11"/>
        <v>1</v>
      </c>
      <c r="Y47" s="28">
        <f t="shared" si="12"/>
        <v>46032</v>
      </c>
      <c r="Z47" s="28">
        <f t="shared" si="13"/>
        <v>46032</v>
      </c>
      <c r="AA47" s="22">
        <f t="shared" si="14"/>
        <v>66286638</v>
      </c>
      <c r="AB47" s="22">
        <f t="shared" si="15"/>
        <v>66286938</v>
      </c>
      <c r="AC47" s="21" t="str">
        <f t="shared" si="16"/>
        <v>EX-C01|2|M-EMERG</v>
      </c>
      <c r="AD47" s="21" t="str">
        <f t="shared" si="17"/>
        <v>EX-C01|2</v>
      </c>
      <c r="AE47" s="22">
        <f t="shared" si="18"/>
        <v>0</v>
      </c>
      <c r="AF47" s="22">
        <f>IF(AC47="",0,COUNTIF(nMS_Key,AC47))</f>
        <v>1</v>
      </c>
      <c r="AG47" s="21" t="str">
        <f t="shared" si="19"/>
        <v/>
      </c>
      <c r="AH47" s="21" t="str">
        <f>IF(AG47="","",AG47&amp;": "&amp;SUBSTITUTE(IFERROR(INDEX(nMSG_Text,MATCH(AG47,nMSG_Code,0)),""),"[input]",IF(C47="","a Milestone_ID",IF(D47="","a milestone Type","the date fields required by the selected precision"))))</f>
        <v/>
      </c>
    </row>
    <row r="48" spans="1:34" x14ac:dyDescent="0.2">
      <c r="A48" s="9" t="s">
        <v>297</v>
      </c>
      <c r="B48" s="11">
        <v>2</v>
      </c>
      <c r="C48" s="9" t="s">
        <v>804</v>
      </c>
      <c r="D48" s="16" t="s">
        <v>126</v>
      </c>
      <c r="E48" s="9"/>
      <c r="F48" s="9" t="s">
        <v>805</v>
      </c>
      <c r="G48" s="16"/>
      <c r="H48" s="9"/>
      <c r="I48" s="9"/>
      <c r="J48" s="16"/>
      <c r="K48" s="9"/>
      <c r="L48" s="9" t="s">
        <v>806</v>
      </c>
      <c r="M48" s="16" t="s">
        <v>3</v>
      </c>
      <c r="N48" s="14">
        <v>46032</v>
      </c>
      <c r="O48" s="25">
        <v>0.39930555555555503</v>
      </c>
      <c r="P48" s="9" t="s">
        <v>20</v>
      </c>
      <c r="Q48" s="11"/>
      <c r="R48" s="11"/>
      <c r="S48" s="14"/>
      <c r="T48" s="14"/>
      <c r="U48" s="9" t="s">
        <v>459</v>
      </c>
      <c r="V48" s="21" t="str">
        <f>IF(COUNTA(M48:T48)=0,"",IF(M48="","E_MISSING_INPUT",IF(M48="TIMESTAMP",IF(OR(N48="",O48="",P48=""),"E_MISSING_INPUT",IF(OR(NOT(ISNUMBER(N48)),NOT(ISNUMBER(O48))),"E_INVALID_DATE",IF(OR(N48&lt;&gt;INT(N48),O48&lt;0,O48&gt;=1),"E_INVALID_DATE",IF(ISNA(MATCH(P48,nLIST_Offset,0)),"E_INVALID_DATE","")))),IF(M48="DATE",IF(N48="","E_MISSING_INPUT",IF(NOT(ISNUMBER(N48)),"E_INVALID_DATE",IF(N48&lt;&gt;INT(N48),"E_INVALID_DATE",""))),IF(M48="MONTH",IF(OR(Q48="",R48=""),"E_MISSING_INPUT",IF(OR(NOT(ISNUMBER(Q48)),NOT(ISNUMBER(R48))),"E_INVALID_DATE",IF(OR(Q48&lt;1900,Q48&gt;9999,Q48&lt;&gt;INT(Q48),R48&lt;1,R48&gt;12,R48&lt;&gt;INT(R48)),"E_INVALID_DATE",""))),IF(M48="YEAR",IF(Q48="","E_MISSING_INPUT",IF(NOT(ISNUMBER(Q48)),"E_INVALID_DATE",IF(OR(Q48&lt;1900,Q48&gt;9999,Q48&lt;&gt;INT(Q48)),"E_INVALID_DATE",""))),IF(M48="RANGE",IF(OR(S48="",T48=""),"E_MISSING_INPUT",IF(OR(NOT(ISNUMBER(S48)),NOT(ISNUMBER(T48))),"E_INVALID_DATE",IF(OR(S48&lt;&gt;INT(S48),T48&lt;&gt;INT(T48)),"E_INVALID_DATE",IF(S48&gt;T48,"E_REVERSED_BOUNDS","")))),"E_MISSING_INPUT")))))))</f>
        <v/>
      </c>
      <c r="W48" s="22">
        <f t="shared" si="10"/>
        <v>1</v>
      </c>
      <c r="X48" s="22">
        <f t="shared" si="11"/>
        <v>1</v>
      </c>
      <c r="Y48" s="28">
        <f t="shared" si="12"/>
        <v>46032</v>
      </c>
      <c r="Z48" s="28">
        <f t="shared" si="13"/>
        <v>46032</v>
      </c>
      <c r="AA48" s="22">
        <f t="shared" si="14"/>
        <v>66286655</v>
      </c>
      <c r="AB48" s="22">
        <f t="shared" si="15"/>
        <v>66286955</v>
      </c>
      <c r="AC48" s="21" t="str">
        <f t="shared" si="16"/>
        <v>EX-C01|2|M-IMPROVE</v>
      </c>
      <c r="AD48" s="21" t="str">
        <f t="shared" si="17"/>
        <v>EX-C01|2</v>
      </c>
      <c r="AE48" s="22">
        <f t="shared" si="18"/>
        <v>0</v>
      </c>
      <c r="AF48" s="22">
        <f>IF(AC48="",0,COUNTIF(nMS_Key,AC48))</f>
        <v>1</v>
      </c>
      <c r="AG48" s="21" t="str">
        <f t="shared" si="19"/>
        <v/>
      </c>
      <c r="AH48" s="21" t="str">
        <f>IF(AG48="","",AG48&amp;": "&amp;SUBSTITUTE(IFERROR(INDEX(nMSG_Text,MATCH(AG48,nMSG_Code,0)),""),"[input]",IF(C48="","a Milestone_ID",IF(D48="","a milestone Type","the date fields required by the selected precision"))))</f>
        <v/>
      </c>
    </row>
    <row r="49" spans="1:34" x14ac:dyDescent="0.2">
      <c r="A49" s="9" t="s">
        <v>297</v>
      </c>
      <c r="B49" s="11">
        <v>2</v>
      </c>
      <c r="C49" s="9" t="s">
        <v>807</v>
      </c>
      <c r="D49" s="16" t="s">
        <v>127</v>
      </c>
      <c r="E49" s="9"/>
      <c r="F49" s="9" t="s">
        <v>808</v>
      </c>
      <c r="G49" s="16"/>
      <c r="H49" s="9"/>
      <c r="I49" s="9"/>
      <c r="J49" s="16"/>
      <c r="K49" s="9"/>
      <c r="L49" s="9" t="s">
        <v>810</v>
      </c>
      <c r="M49" s="16" t="s">
        <v>3</v>
      </c>
      <c r="N49" s="14">
        <v>46032</v>
      </c>
      <c r="O49" s="25">
        <v>0.40972222222222199</v>
      </c>
      <c r="P49" s="9" t="s">
        <v>20</v>
      </c>
      <c r="Q49" s="11"/>
      <c r="R49" s="11"/>
      <c r="S49" s="14"/>
      <c r="T49" s="14"/>
      <c r="U49" s="9" t="s">
        <v>809</v>
      </c>
      <c r="V49" s="21" t="str">
        <f>IF(COUNTA(M49:T49)=0,"",IF(M49="","E_MISSING_INPUT",IF(M49="TIMESTAMP",IF(OR(N49="",O49="",P49=""),"E_MISSING_INPUT",IF(OR(NOT(ISNUMBER(N49)),NOT(ISNUMBER(O49))),"E_INVALID_DATE",IF(OR(N49&lt;&gt;INT(N49),O49&lt;0,O49&gt;=1),"E_INVALID_DATE",IF(ISNA(MATCH(P49,nLIST_Offset,0)),"E_INVALID_DATE","")))),IF(M49="DATE",IF(N49="","E_MISSING_INPUT",IF(NOT(ISNUMBER(N49)),"E_INVALID_DATE",IF(N49&lt;&gt;INT(N49),"E_INVALID_DATE",""))),IF(M49="MONTH",IF(OR(Q49="",R49=""),"E_MISSING_INPUT",IF(OR(NOT(ISNUMBER(Q49)),NOT(ISNUMBER(R49))),"E_INVALID_DATE",IF(OR(Q49&lt;1900,Q49&gt;9999,Q49&lt;&gt;INT(Q49),R49&lt;1,R49&gt;12,R49&lt;&gt;INT(R49)),"E_INVALID_DATE",""))),IF(M49="YEAR",IF(Q49="","E_MISSING_INPUT",IF(NOT(ISNUMBER(Q49)),"E_INVALID_DATE",IF(OR(Q49&lt;1900,Q49&gt;9999,Q49&lt;&gt;INT(Q49)),"E_INVALID_DATE",""))),IF(M49="RANGE",IF(OR(S49="",T49=""),"E_MISSING_INPUT",IF(OR(NOT(ISNUMBER(S49)),NOT(ISNUMBER(T49))),"E_INVALID_DATE",IF(OR(S49&lt;&gt;INT(S49),T49&lt;&gt;INT(T49)),"E_INVALID_DATE",IF(S49&gt;T49,"E_REVERSED_BOUNDS","")))),"E_MISSING_INPUT")))))))</f>
        <v/>
      </c>
      <c r="W49" s="22">
        <f t="shared" si="10"/>
        <v>1</v>
      </c>
      <c r="X49" s="22">
        <f t="shared" si="11"/>
        <v>1</v>
      </c>
      <c r="Y49" s="28">
        <f t="shared" si="12"/>
        <v>46032</v>
      </c>
      <c r="Z49" s="28">
        <f t="shared" si="13"/>
        <v>46032</v>
      </c>
      <c r="AA49" s="22">
        <f t="shared" si="14"/>
        <v>66286670</v>
      </c>
      <c r="AB49" s="22">
        <f t="shared" si="15"/>
        <v>66286970</v>
      </c>
      <c r="AC49" s="21" t="str">
        <f t="shared" si="16"/>
        <v>EX-C01|2|M-DIAG</v>
      </c>
      <c r="AD49" s="21" t="str">
        <f t="shared" si="17"/>
        <v>EX-C01|2</v>
      </c>
      <c r="AE49" s="22">
        <f t="shared" si="18"/>
        <v>0</v>
      </c>
      <c r="AF49" s="22">
        <f>IF(AC49="",0,COUNTIF(nMS_Key,AC49))</f>
        <v>1</v>
      </c>
      <c r="AG49" s="21" t="str">
        <f t="shared" si="19"/>
        <v/>
      </c>
      <c r="AH49" s="21" t="str">
        <f>IF(AG49="","",AG49&amp;": "&amp;SUBSTITUTE(IFERROR(INDEX(nMSG_Text,MATCH(AG49,nMSG_Code,0)),""),"[input]",IF(C49="","a Milestone_ID",IF(D49="","a milestone Type","the date fields required by the selected precision"))))</f>
        <v/>
      </c>
    </row>
    <row r="50" spans="1:34" x14ac:dyDescent="0.2">
      <c r="A50" s="9" t="s">
        <v>297</v>
      </c>
      <c r="B50" s="11">
        <v>2</v>
      </c>
      <c r="C50" s="9" t="s">
        <v>811</v>
      </c>
      <c r="D50" s="16" t="s">
        <v>122</v>
      </c>
      <c r="E50" s="9"/>
      <c r="F50" s="9" t="s">
        <v>812</v>
      </c>
      <c r="G50" s="16"/>
      <c r="H50" s="9"/>
      <c r="I50" s="9"/>
      <c r="J50" s="16" t="s">
        <v>154</v>
      </c>
      <c r="K50" s="9"/>
      <c r="L50" s="9" t="s">
        <v>813</v>
      </c>
      <c r="M50" s="16" t="s">
        <v>3</v>
      </c>
      <c r="N50" s="14">
        <v>46032</v>
      </c>
      <c r="O50" s="25">
        <v>0.42013888888888801</v>
      </c>
      <c r="P50" s="9" t="s">
        <v>20</v>
      </c>
      <c r="Q50" s="11"/>
      <c r="R50" s="11"/>
      <c r="S50" s="14"/>
      <c r="T50" s="14"/>
      <c r="U50" s="9" t="s">
        <v>467</v>
      </c>
      <c r="V50" s="21" t="str">
        <f>IF(COUNTA(M50:T50)=0,"",IF(M50="","E_MISSING_INPUT",IF(M50="TIMESTAMP",IF(OR(N50="",O50="",P50=""),"E_MISSING_INPUT",IF(OR(NOT(ISNUMBER(N50)),NOT(ISNUMBER(O50))),"E_INVALID_DATE",IF(OR(N50&lt;&gt;INT(N50),O50&lt;0,O50&gt;=1),"E_INVALID_DATE",IF(ISNA(MATCH(P50,nLIST_Offset,0)),"E_INVALID_DATE","")))),IF(M50="DATE",IF(N50="","E_MISSING_INPUT",IF(NOT(ISNUMBER(N50)),"E_INVALID_DATE",IF(N50&lt;&gt;INT(N50),"E_INVALID_DATE",""))),IF(M50="MONTH",IF(OR(Q50="",R50=""),"E_MISSING_INPUT",IF(OR(NOT(ISNUMBER(Q50)),NOT(ISNUMBER(R50))),"E_INVALID_DATE",IF(OR(Q50&lt;1900,Q50&gt;9999,Q50&lt;&gt;INT(Q50),R50&lt;1,R50&gt;12,R50&lt;&gt;INT(R50)),"E_INVALID_DATE",""))),IF(M50="YEAR",IF(Q50="","E_MISSING_INPUT",IF(NOT(ISNUMBER(Q50)),"E_INVALID_DATE",IF(OR(Q50&lt;1900,Q50&gt;9999,Q50&lt;&gt;INT(Q50)),"E_INVALID_DATE",""))),IF(M50="RANGE",IF(OR(S50="",T50=""),"E_MISSING_INPUT",IF(OR(NOT(ISNUMBER(S50)),NOT(ISNUMBER(T50))),"E_INVALID_DATE",IF(OR(S50&lt;&gt;INT(S50),T50&lt;&gt;INT(T50)),"E_INVALID_DATE",IF(S50&gt;T50,"E_REVERSED_BOUNDS","")))),"E_MISSING_INPUT")))))))</f>
        <v/>
      </c>
      <c r="W50" s="22">
        <f t="shared" si="10"/>
        <v>1</v>
      </c>
      <c r="X50" s="22">
        <f t="shared" si="11"/>
        <v>1</v>
      </c>
      <c r="Y50" s="28">
        <f t="shared" si="12"/>
        <v>46032</v>
      </c>
      <c r="Z50" s="28">
        <f t="shared" si="13"/>
        <v>46032</v>
      </c>
      <c r="AA50" s="22">
        <f t="shared" si="14"/>
        <v>66286685</v>
      </c>
      <c r="AB50" s="22">
        <f t="shared" si="15"/>
        <v>66286985</v>
      </c>
      <c r="AC50" s="21" t="str">
        <f t="shared" si="16"/>
        <v>EX-C01|2|M-TRYP</v>
      </c>
      <c r="AD50" s="21" t="str">
        <f t="shared" si="17"/>
        <v>EX-C01|2</v>
      </c>
      <c r="AE50" s="22">
        <f t="shared" si="18"/>
        <v>0</v>
      </c>
      <c r="AF50" s="22">
        <f>IF(AC50="",0,COUNTIF(nMS_Key,AC50))</f>
        <v>1</v>
      </c>
      <c r="AG50" s="21" t="str">
        <f t="shared" si="19"/>
        <v/>
      </c>
      <c r="AH50" s="21" t="str">
        <f>IF(AG50="","",AG50&amp;": "&amp;SUBSTITUTE(IFERROR(INDEX(nMSG_Text,MATCH(AG50,nMSG_Code,0)),""),"[input]",IF(C50="","a Milestone_ID",IF(D50="","a milestone Type","the date fields required by the selected precision"))))</f>
        <v/>
      </c>
    </row>
    <row r="51" spans="1:34" x14ac:dyDescent="0.2">
      <c r="A51" s="9" t="s">
        <v>301</v>
      </c>
      <c r="B51" s="11">
        <v>2</v>
      </c>
      <c r="C51" s="9" t="s">
        <v>814</v>
      </c>
      <c r="D51" s="16" t="s">
        <v>123</v>
      </c>
      <c r="E51" s="9"/>
      <c r="F51" s="9" t="s">
        <v>815</v>
      </c>
      <c r="G51" s="16">
        <v>1</v>
      </c>
      <c r="H51" s="9" t="s">
        <v>96</v>
      </c>
      <c r="I51" s="9"/>
      <c r="J51" s="16"/>
      <c r="K51" s="9"/>
      <c r="L51" s="9" t="s">
        <v>816</v>
      </c>
      <c r="M51" s="16" t="s">
        <v>4</v>
      </c>
      <c r="N51" s="14">
        <v>45975</v>
      </c>
      <c r="O51" s="25"/>
      <c r="P51" s="9"/>
      <c r="Q51" s="11"/>
      <c r="R51" s="11"/>
      <c r="S51" s="14"/>
      <c r="T51" s="14"/>
      <c r="U51" s="9" t="s">
        <v>817</v>
      </c>
      <c r="V51" s="21" t="str">
        <f>IF(COUNTA(M51:T51)=0,"",IF(M51="","E_MISSING_INPUT",IF(M51="TIMESTAMP",IF(OR(N51="",O51="",P51=""),"E_MISSING_INPUT",IF(OR(NOT(ISNUMBER(N51)),NOT(ISNUMBER(O51))),"E_INVALID_DATE",IF(OR(N51&lt;&gt;INT(N51),O51&lt;0,O51&gt;=1),"E_INVALID_DATE",IF(ISNA(MATCH(P51,nLIST_Offset,0)),"E_INVALID_DATE","")))),IF(M51="DATE",IF(N51="","E_MISSING_INPUT",IF(NOT(ISNUMBER(N51)),"E_INVALID_DATE",IF(N51&lt;&gt;INT(N51),"E_INVALID_DATE",""))),IF(M51="MONTH",IF(OR(Q51="",R51=""),"E_MISSING_INPUT",IF(OR(NOT(ISNUMBER(Q51)),NOT(ISNUMBER(R51))),"E_INVALID_DATE",IF(OR(Q51&lt;1900,Q51&gt;9999,Q51&lt;&gt;INT(Q51),R51&lt;1,R51&gt;12,R51&lt;&gt;INT(R51)),"E_INVALID_DATE",""))),IF(M51="YEAR",IF(Q51="","E_MISSING_INPUT",IF(NOT(ISNUMBER(Q51)),"E_INVALID_DATE",IF(OR(Q51&lt;1900,Q51&gt;9999,Q51&lt;&gt;INT(Q51)),"E_INVALID_DATE",""))),IF(M51="RANGE",IF(OR(S51="",T51=""),"E_MISSING_INPUT",IF(OR(NOT(ISNUMBER(S51)),NOT(ISNUMBER(T51))),"E_INVALID_DATE",IF(OR(S51&lt;&gt;INT(S51),T51&lt;&gt;INT(T51)),"E_INVALID_DATE",IF(S51&gt;T51,"E_REVERSED_BOUNDS","")))),"E_MISSING_INPUT")))))))</f>
        <v/>
      </c>
      <c r="W51" s="22">
        <f t="shared" si="10"/>
        <v>0</v>
      </c>
      <c r="X51" s="22">
        <f t="shared" si="11"/>
        <v>0</v>
      </c>
      <c r="Y51" s="28">
        <f t="shared" si="12"/>
        <v>45975</v>
      </c>
      <c r="Z51" s="28">
        <f t="shared" si="13"/>
        <v>45975</v>
      </c>
      <c r="AA51" s="22" t="str">
        <f t="shared" si="14"/>
        <v/>
      </c>
      <c r="AB51" s="22" t="str">
        <f t="shared" si="15"/>
        <v/>
      </c>
      <c r="AC51" s="21" t="str">
        <f t="shared" si="16"/>
        <v>EX-C04|2|M-CR1</v>
      </c>
      <c r="AD51" s="21" t="str">
        <f t="shared" si="17"/>
        <v>EX-C04|2</v>
      </c>
      <c r="AE51" s="22">
        <f t="shared" si="18"/>
        <v>0</v>
      </c>
      <c r="AF51" s="22">
        <f>IF(AC51="",0,COUNTIF(nMS_Key,AC51))</f>
        <v>1</v>
      </c>
      <c r="AG51" s="21" t="str">
        <f t="shared" si="19"/>
        <v/>
      </c>
      <c r="AH51" s="21" t="str">
        <f>IF(AG51="","",AG51&amp;": "&amp;SUBSTITUTE(IFERROR(INDEX(nMSG_Text,MATCH(AG51,nMSG_Code,0)),""),"[input]",IF(C51="","a Milestone_ID",IF(D51="","a milestone Type","the date fields required by the selected precision"))))</f>
        <v/>
      </c>
    </row>
    <row r="52" spans="1:34" x14ac:dyDescent="0.2">
      <c r="A52" s="9" t="s">
        <v>301</v>
      </c>
      <c r="B52" s="11">
        <v>2</v>
      </c>
      <c r="C52" s="9" t="s">
        <v>818</v>
      </c>
      <c r="D52" s="16" t="s">
        <v>123</v>
      </c>
      <c r="E52" s="9"/>
      <c r="F52" s="9" t="s">
        <v>815</v>
      </c>
      <c r="G52" s="16">
        <v>1</v>
      </c>
      <c r="H52" s="9" t="s">
        <v>96</v>
      </c>
      <c r="I52" s="9"/>
      <c r="J52" s="16"/>
      <c r="K52" s="9"/>
      <c r="L52" s="9" t="s">
        <v>819</v>
      </c>
      <c r="M52" s="16" t="s">
        <v>4</v>
      </c>
      <c r="N52" s="14">
        <v>46093</v>
      </c>
      <c r="O52" s="25"/>
      <c r="P52" s="9"/>
      <c r="Q52" s="11"/>
      <c r="R52" s="11"/>
      <c r="S52" s="14"/>
      <c r="T52" s="14"/>
      <c r="U52" s="9" t="s">
        <v>817</v>
      </c>
      <c r="V52" s="21" t="str">
        <f>IF(COUNTA(M52:T52)=0,"",IF(M52="","E_MISSING_INPUT",IF(M52="TIMESTAMP",IF(OR(N52="",O52="",P52=""),"E_MISSING_INPUT",IF(OR(NOT(ISNUMBER(N52)),NOT(ISNUMBER(O52))),"E_INVALID_DATE",IF(OR(N52&lt;&gt;INT(N52),O52&lt;0,O52&gt;=1),"E_INVALID_DATE",IF(ISNA(MATCH(P52,nLIST_Offset,0)),"E_INVALID_DATE","")))),IF(M52="DATE",IF(N52="","E_MISSING_INPUT",IF(NOT(ISNUMBER(N52)),"E_INVALID_DATE",IF(N52&lt;&gt;INT(N52),"E_INVALID_DATE",""))),IF(M52="MONTH",IF(OR(Q52="",R52=""),"E_MISSING_INPUT",IF(OR(NOT(ISNUMBER(Q52)),NOT(ISNUMBER(R52))),"E_INVALID_DATE",IF(OR(Q52&lt;1900,Q52&gt;9999,Q52&lt;&gt;INT(Q52),R52&lt;1,R52&gt;12,R52&lt;&gt;INT(R52)),"E_INVALID_DATE",""))),IF(M52="YEAR",IF(Q52="","E_MISSING_INPUT",IF(NOT(ISNUMBER(Q52)),"E_INVALID_DATE",IF(OR(Q52&lt;1900,Q52&gt;9999,Q52&lt;&gt;INT(Q52)),"E_INVALID_DATE",""))),IF(M52="RANGE",IF(OR(S52="",T52=""),"E_MISSING_INPUT",IF(OR(NOT(ISNUMBER(S52)),NOT(ISNUMBER(T52))),"E_INVALID_DATE",IF(OR(S52&lt;&gt;INT(S52),T52&lt;&gt;INT(T52)),"E_INVALID_DATE",IF(S52&gt;T52,"E_REVERSED_BOUNDS","")))),"E_MISSING_INPUT")))))))</f>
        <v/>
      </c>
      <c r="W52" s="22">
        <f t="shared" si="10"/>
        <v>0</v>
      </c>
      <c r="X52" s="22">
        <f t="shared" si="11"/>
        <v>0</v>
      </c>
      <c r="Y52" s="28">
        <f t="shared" si="12"/>
        <v>46093</v>
      </c>
      <c r="Z52" s="28">
        <f t="shared" si="13"/>
        <v>46093</v>
      </c>
      <c r="AA52" s="22" t="str">
        <f t="shared" si="14"/>
        <v/>
      </c>
      <c r="AB52" s="22" t="str">
        <f t="shared" si="15"/>
        <v/>
      </c>
      <c r="AC52" s="21" t="str">
        <f t="shared" si="16"/>
        <v>EX-C04|2|M-CR2</v>
      </c>
      <c r="AD52" s="21" t="str">
        <f t="shared" si="17"/>
        <v>EX-C04|2</v>
      </c>
      <c r="AE52" s="22">
        <f t="shared" si="18"/>
        <v>0</v>
      </c>
      <c r="AF52" s="22">
        <f>IF(AC52="",0,COUNTIF(nMS_Key,AC52))</f>
        <v>1</v>
      </c>
      <c r="AG52" s="21" t="str">
        <f t="shared" si="19"/>
        <v/>
      </c>
      <c r="AH52" s="21" t="str">
        <f>IF(AG52="","",AG52&amp;": "&amp;SUBSTITUTE(IFERROR(INDEX(nMSG_Text,MATCH(AG52,nMSG_Code,0)),""),"[input]",IF(C52="","a Milestone_ID",IF(D52="","a milestone Type","the date fields required by the selected precision"))))</f>
        <v/>
      </c>
    </row>
    <row r="53" spans="1:34" x14ac:dyDescent="0.2">
      <c r="A53" s="9" t="s">
        <v>301</v>
      </c>
      <c r="B53" s="11">
        <v>2</v>
      </c>
      <c r="C53" s="9" t="s">
        <v>820</v>
      </c>
      <c r="D53" s="16" t="s">
        <v>123</v>
      </c>
      <c r="E53" s="9"/>
      <c r="F53" s="9" t="s">
        <v>821</v>
      </c>
      <c r="G53" s="16">
        <v>1.7</v>
      </c>
      <c r="H53" s="9" t="s">
        <v>96</v>
      </c>
      <c r="I53" s="9"/>
      <c r="J53" s="16"/>
      <c r="K53" s="9"/>
      <c r="L53" s="9" t="s">
        <v>822</v>
      </c>
      <c r="M53" s="16" t="s">
        <v>4</v>
      </c>
      <c r="N53" s="14">
        <v>46204</v>
      </c>
      <c r="O53" s="25"/>
      <c r="P53" s="9"/>
      <c r="Q53" s="11"/>
      <c r="R53" s="11"/>
      <c r="S53" s="14"/>
      <c r="T53" s="14"/>
      <c r="U53" s="9" t="s">
        <v>817</v>
      </c>
      <c r="V53" s="21" t="str">
        <f>IF(COUNTA(M53:T53)=0,"",IF(M53="","E_MISSING_INPUT",IF(M53="TIMESTAMP",IF(OR(N53="",O53="",P53=""),"E_MISSING_INPUT",IF(OR(NOT(ISNUMBER(N53)),NOT(ISNUMBER(O53))),"E_INVALID_DATE",IF(OR(N53&lt;&gt;INT(N53),O53&lt;0,O53&gt;=1),"E_INVALID_DATE",IF(ISNA(MATCH(P53,nLIST_Offset,0)),"E_INVALID_DATE","")))),IF(M53="DATE",IF(N53="","E_MISSING_INPUT",IF(NOT(ISNUMBER(N53)),"E_INVALID_DATE",IF(N53&lt;&gt;INT(N53),"E_INVALID_DATE",""))),IF(M53="MONTH",IF(OR(Q53="",R53=""),"E_MISSING_INPUT",IF(OR(NOT(ISNUMBER(Q53)),NOT(ISNUMBER(R53))),"E_INVALID_DATE",IF(OR(Q53&lt;1900,Q53&gt;9999,Q53&lt;&gt;INT(Q53),R53&lt;1,R53&gt;12,R53&lt;&gt;INT(R53)),"E_INVALID_DATE",""))),IF(M53="YEAR",IF(Q53="","E_MISSING_INPUT",IF(NOT(ISNUMBER(Q53)),"E_INVALID_DATE",IF(OR(Q53&lt;1900,Q53&gt;9999,Q53&lt;&gt;INT(Q53)),"E_INVALID_DATE",""))),IF(M53="RANGE",IF(OR(S53="",T53=""),"E_MISSING_INPUT",IF(OR(NOT(ISNUMBER(S53)),NOT(ISNUMBER(T53))),"E_INVALID_DATE",IF(OR(S53&lt;&gt;INT(S53),T53&lt;&gt;INT(T53)),"E_INVALID_DATE",IF(S53&gt;T53,"E_REVERSED_BOUNDS","")))),"E_MISSING_INPUT")))))))</f>
        <v/>
      </c>
      <c r="W53" s="22">
        <f t="shared" si="10"/>
        <v>0</v>
      </c>
      <c r="X53" s="22">
        <f t="shared" si="11"/>
        <v>0</v>
      </c>
      <c r="Y53" s="28">
        <f t="shared" si="12"/>
        <v>46204</v>
      </c>
      <c r="Z53" s="28">
        <f t="shared" si="13"/>
        <v>46204</v>
      </c>
      <c r="AA53" s="22" t="str">
        <f t="shared" si="14"/>
        <v/>
      </c>
      <c r="AB53" s="22" t="str">
        <f t="shared" si="15"/>
        <v/>
      </c>
      <c r="AC53" s="21" t="str">
        <f t="shared" si="16"/>
        <v>EX-C04|2|M-CR3</v>
      </c>
      <c r="AD53" s="21" t="str">
        <f t="shared" si="17"/>
        <v>EX-C04|2</v>
      </c>
      <c r="AE53" s="22">
        <f t="shared" si="18"/>
        <v>0</v>
      </c>
      <c r="AF53" s="22">
        <f>IF(AC53="",0,COUNTIF(nMS_Key,AC53))</f>
        <v>1</v>
      </c>
      <c r="AG53" s="21" t="str">
        <f t="shared" si="19"/>
        <v/>
      </c>
      <c r="AH53" s="21" t="str">
        <f>IF(AG53="","",AG53&amp;": "&amp;SUBSTITUTE(IFERROR(INDEX(nMSG_Text,MATCH(AG53,nMSG_Code,0)),""),"[input]",IF(C53="","a Milestone_ID",IF(D53="","a milestone Type","the date fields required by the selected precision"))))</f>
        <v/>
      </c>
    </row>
    <row r="54" spans="1:34" x14ac:dyDescent="0.2">
      <c r="A54" s="9" t="s">
        <v>301</v>
      </c>
      <c r="B54" s="11">
        <v>2</v>
      </c>
      <c r="C54" s="9" t="s">
        <v>823</v>
      </c>
      <c r="D54" s="16" t="s">
        <v>123</v>
      </c>
      <c r="E54" s="9"/>
      <c r="F54" s="9" t="s">
        <v>824</v>
      </c>
      <c r="G54" s="16">
        <v>2.4</v>
      </c>
      <c r="H54" s="9" t="s">
        <v>96</v>
      </c>
      <c r="I54" s="9"/>
      <c r="J54" s="16"/>
      <c r="K54" s="9"/>
      <c r="L54" s="9" t="s">
        <v>825</v>
      </c>
      <c r="M54" s="16" t="s">
        <v>4</v>
      </c>
      <c r="N54" s="14">
        <v>46208</v>
      </c>
      <c r="O54" s="25"/>
      <c r="P54" s="9"/>
      <c r="Q54" s="11"/>
      <c r="R54" s="11"/>
      <c r="S54" s="14"/>
      <c r="T54" s="14"/>
      <c r="U54" s="9" t="s">
        <v>482</v>
      </c>
      <c r="V54" s="21" t="str">
        <f>IF(COUNTA(M54:T54)=0,"",IF(M54="","E_MISSING_INPUT",IF(M54="TIMESTAMP",IF(OR(N54="",O54="",P54=""),"E_MISSING_INPUT",IF(OR(NOT(ISNUMBER(N54)),NOT(ISNUMBER(O54))),"E_INVALID_DATE",IF(OR(N54&lt;&gt;INT(N54),O54&lt;0,O54&gt;=1),"E_INVALID_DATE",IF(ISNA(MATCH(P54,nLIST_Offset,0)),"E_INVALID_DATE","")))),IF(M54="DATE",IF(N54="","E_MISSING_INPUT",IF(NOT(ISNUMBER(N54)),"E_INVALID_DATE",IF(N54&lt;&gt;INT(N54),"E_INVALID_DATE",""))),IF(M54="MONTH",IF(OR(Q54="",R54=""),"E_MISSING_INPUT",IF(OR(NOT(ISNUMBER(Q54)),NOT(ISNUMBER(R54))),"E_INVALID_DATE",IF(OR(Q54&lt;1900,Q54&gt;9999,Q54&lt;&gt;INT(Q54),R54&lt;1,R54&gt;12,R54&lt;&gt;INT(R54)),"E_INVALID_DATE",""))),IF(M54="YEAR",IF(Q54="","E_MISSING_INPUT",IF(NOT(ISNUMBER(Q54)),"E_INVALID_DATE",IF(OR(Q54&lt;1900,Q54&gt;9999,Q54&lt;&gt;INT(Q54)),"E_INVALID_DATE",""))),IF(M54="RANGE",IF(OR(S54="",T54=""),"E_MISSING_INPUT",IF(OR(NOT(ISNUMBER(S54)),NOT(ISNUMBER(T54))),"E_INVALID_DATE",IF(OR(S54&lt;&gt;INT(S54),T54&lt;&gt;INT(T54)),"E_INVALID_DATE",IF(S54&gt;T54,"E_REVERSED_BOUNDS","")))),"E_MISSING_INPUT")))))))</f>
        <v/>
      </c>
      <c r="W54" s="22">
        <f t="shared" si="10"/>
        <v>0</v>
      </c>
      <c r="X54" s="22">
        <f t="shared" si="11"/>
        <v>0</v>
      </c>
      <c r="Y54" s="28">
        <f t="shared" si="12"/>
        <v>46208</v>
      </c>
      <c r="Z54" s="28">
        <f t="shared" si="13"/>
        <v>46208</v>
      </c>
      <c r="AA54" s="22" t="str">
        <f t="shared" si="14"/>
        <v/>
      </c>
      <c r="AB54" s="22" t="str">
        <f t="shared" si="15"/>
        <v/>
      </c>
      <c r="AC54" s="21" t="str">
        <f t="shared" si="16"/>
        <v>EX-C04|2|M-CR4</v>
      </c>
      <c r="AD54" s="21" t="str">
        <f t="shared" si="17"/>
        <v>EX-C04|2</v>
      </c>
      <c r="AE54" s="22">
        <f t="shared" si="18"/>
        <v>0</v>
      </c>
      <c r="AF54" s="22">
        <f>IF(AC54="",0,COUNTIF(nMS_Key,AC54))</f>
        <v>1</v>
      </c>
      <c r="AG54" s="21" t="str">
        <f t="shared" si="19"/>
        <v/>
      </c>
      <c r="AH54" s="21" t="str">
        <f>IF(AG54="","",AG54&amp;": "&amp;SUBSTITUTE(IFERROR(INDEX(nMSG_Text,MATCH(AG54,nMSG_Code,0)),""),"[input]",IF(C54="","a Milestone_ID",IF(D54="","a milestone Type","the date fields required by the selected precision"))))</f>
        <v/>
      </c>
    </row>
    <row r="55" spans="1:34" x14ac:dyDescent="0.2">
      <c r="A55" s="9" t="s">
        <v>301</v>
      </c>
      <c r="B55" s="11">
        <v>2</v>
      </c>
      <c r="C55" s="9" t="s">
        <v>826</v>
      </c>
      <c r="D55" s="16" t="s">
        <v>124</v>
      </c>
      <c r="E55" s="9"/>
      <c r="F55" s="9" t="s">
        <v>827</v>
      </c>
      <c r="G55" s="16">
        <v>2.9</v>
      </c>
      <c r="H55" s="9" t="s">
        <v>830</v>
      </c>
      <c r="I55" s="9" t="s">
        <v>829</v>
      </c>
      <c r="J55" s="16"/>
      <c r="K55" s="9"/>
      <c r="L55" s="9" t="s">
        <v>828</v>
      </c>
      <c r="M55" s="16" t="s">
        <v>3</v>
      </c>
      <c r="N55" s="14">
        <v>46208</v>
      </c>
      <c r="O55" s="25">
        <v>0.48611111111111099</v>
      </c>
      <c r="P55" s="9" t="s">
        <v>11</v>
      </c>
      <c r="Q55" s="11"/>
      <c r="R55" s="11"/>
      <c r="S55" s="14"/>
      <c r="T55" s="14"/>
      <c r="U55" s="9" t="s">
        <v>482</v>
      </c>
      <c r="V55" s="21" t="str">
        <f>IF(COUNTA(M55:T55)=0,"",IF(M55="","E_MISSING_INPUT",IF(M55="TIMESTAMP",IF(OR(N55="",O55="",P55=""),"E_MISSING_INPUT",IF(OR(NOT(ISNUMBER(N55)),NOT(ISNUMBER(O55))),"E_INVALID_DATE",IF(OR(N55&lt;&gt;INT(N55),O55&lt;0,O55&gt;=1),"E_INVALID_DATE",IF(ISNA(MATCH(P55,nLIST_Offset,0)),"E_INVALID_DATE","")))),IF(M55="DATE",IF(N55="","E_MISSING_INPUT",IF(NOT(ISNUMBER(N55)),"E_INVALID_DATE",IF(N55&lt;&gt;INT(N55),"E_INVALID_DATE",""))),IF(M55="MONTH",IF(OR(Q55="",R55=""),"E_MISSING_INPUT",IF(OR(NOT(ISNUMBER(Q55)),NOT(ISNUMBER(R55))),"E_INVALID_DATE",IF(OR(Q55&lt;1900,Q55&gt;9999,Q55&lt;&gt;INT(Q55),R55&lt;1,R55&gt;12,R55&lt;&gt;INT(R55)),"E_INVALID_DATE",""))),IF(M55="YEAR",IF(Q55="","E_MISSING_INPUT",IF(NOT(ISNUMBER(Q55)),"E_INVALID_DATE",IF(OR(Q55&lt;1900,Q55&gt;9999,Q55&lt;&gt;INT(Q55)),"E_INVALID_DATE",""))),IF(M55="RANGE",IF(OR(S55="",T55=""),"E_MISSING_INPUT",IF(OR(NOT(ISNUMBER(S55)),NOT(ISNUMBER(T55))),"E_INVALID_DATE",IF(OR(S55&lt;&gt;INT(S55),T55&lt;&gt;INT(T55)),"E_INVALID_DATE",IF(S55&gt;T55,"E_REVERSED_BOUNDS","")))),"E_MISSING_INPUT")))))))</f>
        <v/>
      </c>
      <c r="W55" s="22">
        <f t="shared" si="10"/>
        <v>1</v>
      </c>
      <c r="X55" s="22">
        <f t="shared" si="11"/>
        <v>0</v>
      </c>
      <c r="Y55" s="28">
        <f t="shared" si="12"/>
        <v>46208</v>
      </c>
      <c r="Z55" s="28">
        <f t="shared" si="13"/>
        <v>46208</v>
      </c>
      <c r="AA55" s="22">
        <f t="shared" si="14"/>
        <v>66540220</v>
      </c>
      <c r="AB55" s="22" t="str">
        <f t="shared" si="15"/>
        <v/>
      </c>
      <c r="AC55" s="21" t="str">
        <f t="shared" si="16"/>
        <v>EX-C04|2|M-DIGC</v>
      </c>
      <c r="AD55" s="21" t="str">
        <f t="shared" si="17"/>
        <v>EX-C04|2</v>
      </c>
      <c r="AE55" s="22">
        <f t="shared" si="18"/>
        <v>0</v>
      </c>
      <c r="AF55" s="22">
        <f>IF(AC55="",0,COUNTIF(nMS_Key,AC55))</f>
        <v>1</v>
      </c>
      <c r="AG55" s="21" t="str">
        <f t="shared" si="19"/>
        <v/>
      </c>
      <c r="AH55" s="21" t="str">
        <f>IF(AG55="","",AG55&amp;": "&amp;SUBSTITUTE(IFERROR(INDEX(nMSG_Text,MATCH(AG55,nMSG_Code,0)),""),"[input]",IF(C55="","a Milestone_ID",IF(D55="","a milestone Type","the date fields required by the selected precision"))))</f>
        <v/>
      </c>
    </row>
    <row r="56" spans="1:34" x14ac:dyDescent="0.2">
      <c r="A56" s="9" t="s">
        <v>301</v>
      </c>
      <c r="B56" s="11">
        <v>2</v>
      </c>
      <c r="C56" s="9" t="s">
        <v>831</v>
      </c>
      <c r="D56" s="16" t="s">
        <v>122</v>
      </c>
      <c r="E56" s="9"/>
      <c r="F56" s="9" t="s">
        <v>832</v>
      </c>
      <c r="G56" s="16">
        <v>4.8</v>
      </c>
      <c r="H56" s="9" t="s">
        <v>834</v>
      </c>
      <c r="I56" s="9"/>
      <c r="J56" s="16"/>
      <c r="K56" s="9"/>
      <c r="L56" s="9" t="s">
        <v>833</v>
      </c>
      <c r="M56" s="16" t="s">
        <v>4</v>
      </c>
      <c r="N56" s="14">
        <v>46208</v>
      </c>
      <c r="O56" s="25"/>
      <c r="P56" s="9"/>
      <c r="Q56" s="11"/>
      <c r="R56" s="11"/>
      <c r="S56" s="14"/>
      <c r="T56" s="14"/>
      <c r="U56" s="9" t="s">
        <v>482</v>
      </c>
      <c r="V56" s="21" t="str">
        <f>IF(COUNTA(M56:T56)=0,"",IF(M56="","E_MISSING_INPUT",IF(M56="TIMESTAMP",IF(OR(N56="",O56="",P56=""),"E_MISSING_INPUT",IF(OR(NOT(ISNUMBER(N56)),NOT(ISNUMBER(O56))),"E_INVALID_DATE",IF(OR(N56&lt;&gt;INT(N56),O56&lt;0,O56&gt;=1),"E_INVALID_DATE",IF(ISNA(MATCH(P56,nLIST_Offset,0)),"E_INVALID_DATE","")))),IF(M56="DATE",IF(N56="","E_MISSING_INPUT",IF(NOT(ISNUMBER(N56)),"E_INVALID_DATE",IF(N56&lt;&gt;INT(N56),"E_INVALID_DATE",""))),IF(M56="MONTH",IF(OR(Q56="",R56=""),"E_MISSING_INPUT",IF(OR(NOT(ISNUMBER(Q56)),NOT(ISNUMBER(R56))),"E_INVALID_DATE",IF(OR(Q56&lt;1900,Q56&gt;9999,Q56&lt;&gt;INT(Q56),R56&lt;1,R56&gt;12,R56&lt;&gt;INT(R56)),"E_INVALID_DATE",""))),IF(M56="YEAR",IF(Q56="","E_MISSING_INPUT",IF(NOT(ISNUMBER(Q56)),"E_INVALID_DATE",IF(OR(Q56&lt;1900,Q56&gt;9999,Q56&lt;&gt;INT(Q56)),"E_INVALID_DATE",""))),IF(M56="RANGE",IF(OR(S56="",T56=""),"E_MISSING_INPUT",IF(OR(NOT(ISNUMBER(S56)),NOT(ISNUMBER(T56))),"E_INVALID_DATE",IF(OR(S56&lt;&gt;INT(S56),T56&lt;&gt;INT(T56)),"E_INVALID_DATE",IF(S56&gt;T56,"E_REVERSED_BOUNDS","")))),"E_MISSING_INPUT")))))))</f>
        <v/>
      </c>
      <c r="W56" s="22">
        <f t="shared" si="10"/>
        <v>0</v>
      </c>
      <c r="X56" s="22">
        <f t="shared" si="11"/>
        <v>0</v>
      </c>
      <c r="Y56" s="28">
        <f t="shared" si="12"/>
        <v>46208</v>
      </c>
      <c r="Z56" s="28">
        <f t="shared" si="13"/>
        <v>46208</v>
      </c>
      <c r="AA56" s="22" t="str">
        <f t="shared" si="14"/>
        <v/>
      </c>
      <c r="AB56" s="22" t="str">
        <f t="shared" si="15"/>
        <v/>
      </c>
      <c r="AC56" s="21" t="str">
        <f t="shared" si="16"/>
        <v>EX-C04|2|M-K</v>
      </c>
      <c r="AD56" s="21" t="str">
        <f t="shared" si="17"/>
        <v>EX-C04|2</v>
      </c>
      <c r="AE56" s="22">
        <f t="shared" si="18"/>
        <v>0</v>
      </c>
      <c r="AF56" s="22">
        <f>IF(AC56="",0,COUNTIF(nMS_Key,AC56))</f>
        <v>1</v>
      </c>
      <c r="AG56" s="21" t="str">
        <f t="shared" si="19"/>
        <v/>
      </c>
      <c r="AH56" s="21" t="str">
        <f>IF(AG56="","",AG56&amp;": "&amp;SUBSTITUTE(IFERROR(INDEX(nMSG_Text,MATCH(AG56,nMSG_Code,0)),""),"[input]",IF(C56="","a Milestone_ID",IF(D56="","a milestone Type","the date fields required by the selected precision"))))</f>
        <v/>
      </c>
    </row>
    <row r="57" spans="1:34" x14ac:dyDescent="0.2">
      <c r="A57" s="9" t="s">
        <v>301</v>
      </c>
      <c r="B57" s="11">
        <v>2</v>
      </c>
      <c r="C57" s="9" t="s">
        <v>835</v>
      </c>
      <c r="D57" s="16" t="s">
        <v>125</v>
      </c>
      <c r="E57" s="9"/>
      <c r="F57" s="9" t="s">
        <v>836</v>
      </c>
      <c r="G57" s="16"/>
      <c r="H57" s="9"/>
      <c r="I57" s="9"/>
      <c r="J57" s="16"/>
      <c r="K57" s="9"/>
      <c r="L57" s="9" t="s">
        <v>837</v>
      </c>
      <c r="M57" s="16" t="s">
        <v>4</v>
      </c>
      <c r="N57" s="14">
        <v>46208</v>
      </c>
      <c r="O57" s="25"/>
      <c r="P57" s="9"/>
      <c r="Q57" s="11"/>
      <c r="R57" s="11"/>
      <c r="S57" s="14"/>
      <c r="T57" s="14"/>
      <c r="U57" s="9" t="s">
        <v>482</v>
      </c>
      <c r="V57" s="21" t="str">
        <f>IF(COUNTA(M57:T57)=0,"",IF(M57="","E_MISSING_INPUT",IF(M57="TIMESTAMP",IF(OR(N57="",O57="",P57=""),"E_MISSING_INPUT",IF(OR(NOT(ISNUMBER(N57)),NOT(ISNUMBER(O57))),"E_INVALID_DATE",IF(OR(N57&lt;&gt;INT(N57),O57&lt;0,O57&gt;=1),"E_INVALID_DATE",IF(ISNA(MATCH(P57,nLIST_Offset,0)),"E_INVALID_DATE","")))),IF(M57="DATE",IF(N57="","E_MISSING_INPUT",IF(NOT(ISNUMBER(N57)),"E_INVALID_DATE",IF(N57&lt;&gt;INT(N57),"E_INVALID_DATE",""))),IF(M57="MONTH",IF(OR(Q57="",R57=""),"E_MISSING_INPUT",IF(OR(NOT(ISNUMBER(Q57)),NOT(ISNUMBER(R57))),"E_INVALID_DATE",IF(OR(Q57&lt;1900,Q57&gt;9999,Q57&lt;&gt;INT(Q57),R57&lt;1,R57&gt;12,R57&lt;&gt;INT(R57)),"E_INVALID_DATE",""))),IF(M57="YEAR",IF(Q57="","E_MISSING_INPUT",IF(NOT(ISNUMBER(Q57)),"E_INVALID_DATE",IF(OR(Q57&lt;1900,Q57&gt;9999,Q57&lt;&gt;INT(Q57)),"E_INVALID_DATE",""))),IF(M57="RANGE",IF(OR(S57="",T57=""),"E_MISSING_INPUT",IF(OR(NOT(ISNUMBER(S57)),NOT(ISNUMBER(T57))),"E_INVALID_DATE",IF(OR(S57&lt;&gt;INT(S57),T57&lt;&gt;INT(T57)),"E_INVALID_DATE",IF(S57&gt;T57,"E_REVERSED_BOUNDS","")))),"E_MISSING_INPUT")))))))</f>
        <v/>
      </c>
      <c r="W57" s="22">
        <f t="shared" si="10"/>
        <v>0</v>
      </c>
      <c r="X57" s="22">
        <f t="shared" si="11"/>
        <v>0</v>
      </c>
      <c r="Y57" s="28">
        <f t="shared" si="12"/>
        <v>46208</v>
      </c>
      <c r="Z57" s="28">
        <f t="shared" si="13"/>
        <v>46208</v>
      </c>
      <c r="AA57" s="22" t="str">
        <f t="shared" si="14"/>
        <v/>
      </c>
      <c r="AB57" s="22" t="str">
        <f t="shared" si="15"/>
        <v/>
      </c>
      <c r="AC57" s="21" t="str">
        <f t="shared" si="16"/>
        <v>EX-C04|2|M-FLUIDS</v>
      </c>
      <c r="AD57" s="21" t="str">
        <f t="shared" si="17"/>
        <v>EX-C04|2</v>
      </c>
      <c r="AE57" s="22">
        <f t="shared" si="18"/>
        <v>0</v>
      </c>
      <c r="AF57" s="22">
        <f>IF(AC57="",0,COUNTIF(nMS_Key,AC57))</f>
        <v>1</v>
      </c>
      <c r="AG57" s="21" t="str">
        <f t="shared" si="19"/>
        <v/>
      </c>
      <c r="AH57" s="21" t="str">
        <f>IF(AG57="","",AG57&amp;": "&amp;SUBSTITUTE(IFERROR(INDEX(nMSG_Text,MATCH(AG57,nMSG_Code,0)),""),"[input]",IF(C57="","a Milestone_ID",IF(D57="","a milestone Type","the date fields required by the selected precision"))))</f>
        <v/>
      </c>
    </row>
    <row r="58" spans="1:34" x14ac:dyDescent="0.2">
      <c r="A58" s="9" t="s">
        <v>301</v>
      </c>
      <c r="B58" s="11">
        <v>2</v>
      </c>
      <c r="C58" s="9" t="s">
        <v>804</v>
      </c>
      <c r="D58" s="16" t="s">
        <v>126</v>
      </c>
      <c r="E58" s="9"/>
      <c r="F58" s="9" t="s">
        <v>838</v>
      </c>
      <c r="G58" s="16"/>
      <c r="H58" s="9"/>
      <c r="I58" s="9"/>
      <c r="J58" s="16"/>
      <c r="K58" s="9"/>
      <c r="L58" s="9" t="s">
        <v>839</v>
      </c>
      <c r="M58" s="16" t="s">
        <v>4</v>
      </c>
      <c r="N58" s="14">
        <v>46211</v>
      </c>
      <c r="O58" s="25"/>
      <c r="P58" s="9"/>
      <c r="Q58" s="11"/>
      <c r="R58" s="11"/>
      <c r="S58" s="14"/>
      <c r="T58" s="14"/>
      <c r="U58" s="9" t="s">
        <v>840</v>
      </c>
      <c r="V58" s="21" t="str">
        <f>IF(COUNTA(M58:T58)=0,"",IF(M58="","E_MISSING_INPUT",IF(M58="TIMESTAMP",IF(OR(N58="",O58="",P58=""),"E_MISSING_INPUT",IF(OR(NOT(ISNUMBER(N58)),NOT(ISNUMBER(O58))),"E_INVALID_DATE",IF(OR(N58&lt;&gt;INT(N58),O58&lt;0,O58&gt;=1),"E_INVALID_DATE",IF(ISNA(MATCH(P58,nLIST_Offset,0)),"E_INVALID_DATE","")))),IF(M58="DATE",IF(N58="","E_MISSING_INPUT",IF(NOT(ISNUMBER(N58)),"E_INVALID_DATE",IF(N58&lt;&gt;INT(N58),"E_INVALID_DATE",""))),IF(M58="MONTH",IF(OR(Q58="",R58=""),"E_MISSING_INPUT",IF(OR(NOT(ISNUMBER(Q58)),NOT(ISNUMBER(R58))),"E_INVALID_DATE",IF(OR(Q58&lt;1900,Q58&gt;9999,Q58&lt;&gt;INT(Q58),R58&lt;1,R58&gt;12,R58&lt;&gt;INT(R58)),"E_INVALID_DATE",""))),IF(M58="YEAR",IF(Q58="","E_MISSING_INPUT",IF(NOT(ISNUMBER(Q58)),"E_INVALID_DATE",IF(OR(Q58&lt;1900,Q58&gt;9999,Q58&lt;&gt;INT(Q58)),"E_INVALID_DATE",""))),IF(M58="RANGE",IF(OR(S58="",T58=""),"E_MISSING_INPUT",IF(OR(NOT(ISNUMBER(S58)),NOT(ISNUMBER(T58))),"E_INVALID_DATE",IF(OR(S58&lt;&gt;INT(S58),T58&lt;&gt;INT(T58)),"E_INVALID_DATE",IF(S58&gt;T58,"E_REVERSED_BOUNDS","")))),"E_MISSING_INPUT")))))))</f>
        <v/>
      </c>
      <c r="W58" s="22">
        <f t="shared" si="10"/>
        <v>0</v>
      </c>
      <c r="X58" s="22">
        <f t="shared" si="11"/>
        <v>0</v>
      </c>
      <c r="Y58" s="28">
        <f t="shared" si="12"/>
        <v>46211</v>
      </c>
      <c r="Z58" s="28">
        <f t="shared" si="13"/>
        <v>46211</v>
      </c>
      <c r="AA58" s="22" t="str">
        <f t="shared" si="14"/>
        <v/>
      </c>
      <c r="AB58" s="22" t="str">
        <f t="shared" si="15"/>
        <v/>
      </c>
      <c r="AC58" s="21" t="str">
        <f t="shared" si="16"/>
        <v>EX-C04|2|M-IMPROVE</v>
      </c>
      <c r="AD58" s="21" t="str">
        <f t="shared" si="17"/>
        <v>EX-C04|2</v>
      </c>
      <c r="AE58" s="22">
        <f t="shared" si="18"/>
        <v>0</v>
      </c>
      <c r="AF58" s="22">
        <f>IF(AC58="",0,COUNTIF(nMS_Key,AC58))</f>
        <v>1</v>
      </c>
      <c r="AG58" s="21" t="str">
        <f t="shared" si="19"/>
        <v/>
      </c>
      <c r="AH58" s="21" t="str">
        <f>IF(AG58="","",AG58&amp;": "&amp;SUBSTITUTE(IFERROR(INDEX(nMSG_Text,MATCH(AG58,nMSG_Code,0)),""),"[input]",IF(C58="","a Milestone_ID",IF(D58="","a milestone Type","the date fields required by the selected precision"))))</f>
        <v/>
      </c>
    </row>
    <row r="59" spans="1:34" x14ac:dyDescent="0.2">
      <c r="A59" s="9" t="s">
        <v>305</v>
      </c>
      <c r="B59" s="11">
        <v>2</v>
      </c>
      <c r="C59" s="9" t="s">
        <v>841</v>
      </c>
      <c r="D59" s="16" t="s">
        <v>121</v>
      </c>
      <c r="E59" s="9"/>
      <c r="F59" s="9" t="s">
        <v>842</v>
      </c>
      <c r="G59" s="16"/>
      <c r="H59" s="9"/>
      <c r="I59" s="9"/>
      <c r="J59" s="16"/>
      <c r="K59" s="9"/>
      <c r="L59" s="9" t="s">
        <v>843</v>
      </c>
      <c r="M59" s="16" t="s">
        <v>4</v>
      </c>
      <c r="N59" s="14">
        <v>45607</v>
      </c>
      <c r="O59" s="25"/>
      <c r="P59" s="9"/>
      <c r="Q59" s="11"/>
      <c r="R59" s="11"/>
      <c r="S59" s="14"/>
      <c r="T59" s="14"/>
      <c r="U59" s="9" t="s">
        <v>500</v>
      </c>
      <c r="V59" s="21" t="str">
        <f>IF(COUNTA(M59:T59)=0,"",IF(M59="","E_MISSING_INPUT",IF(M59="TIMESTAMP",IF(OR(N59="",O59="",P59=""),"E_MISSING_INPUT",IF(OR(NOT(ISNUMBER(N59)),NOT(ISNUMBER(O59))),"E_INVALID_DATE",IF(OR(N59&lt;&gt;INT(N59),O59&lt;0,O59&gt;=1),"E_INVALID_DATE",IF(ISNA(MATCH(P59,nLIST_Offset,0)),"E_INVALID_DATE","")))),IF(M59="DATE",IF(N59="","E_MISSING_INPUT",IF(NOT(ISNUMBER(N59)),"E_INVALID_DATE",IF(N59&lt;&gt;INT(N59),"E_INVALID_DATE",""))),IF(M59="MONTH",IF(OR(Q59="",R59=""),"E_MISSING_INPUT",IF(OR(NOT(ISNUMBER(Q59)),NOT(ISNUMBER(R59))),"E_INVALID_DATE",IF(OR(Q59&lt;1900,Q59&gt;9999,Q59&lt;&gt;INT(Q59),R59&lt;1,R59&gt;12,R59&lt;&gt;INT(R59)),"E_INVALID_DATE",""))),IF(M59="YEAR",IF(Q59="","E_MISSING_INPUT",IF(NOT(ISNUMBER(Q59)),"E_INVALID_DATE",IF(OR(Q59&lt;1900,Q59&gt;9999,Q59&lt;&gt;INT(Q59)),"E_INVALID_DATE",""))),IF(M59="RANGE",IF(OR(S59="",T59=""),"E_MISSING_INPUT",IF(OR(NOT(ISNUMBER(S59)),NOT(ISNUMBER(T59))),"E_INVALID_DATE",IF(OR(S59&lt;&gt;INT(S59),T59&lt;&gt;INT(T59)),"E_INVALID_DATE",IF(S59&gt;T59,"E_REVERSED_BOUNDS","")))),"E_MISSING_INPUT")))))))</f>
        <v/>
      </c>
      <c r="W59" s="22">
        <f t="shared" si="10"/>
        <v>0</v>
      </c>
      <c r="X59" s="22">
        <f t="shared" si="11"/>
        <v>0</v>
      </c>
      <c r="Y59" s="28">
        <f t="shared" si="12"/>
        <v>45607</v>
      </c>
      <c r="Z59" s="28">
        <f t="shared" si="13"/>
        <v>45607</v>
      </c>
      <c r="AA59" s="22" t="str">
        <f t="shared" si="14"/>
        <v/>
      </c>
      <c r="AB59" s="22" t="str">
        <f t="shared" si="15"/>
        <v/>
      </c>
      <c r="AC59" s="21" t="str">
        <f t="shared" si="16"/>
        <v>EX-C28|2|M-HBV0</v>
      </c>
      <c r="AD59" s="21" t="str">
        <f t="shared" si="17"/>
        <v>EX-C28|2</v>
      </c>
      <c r="AE59" s="22">
        <f t="shared" si="18"/>
        <v>0</v>
      </c>
      <c r="AF59" s="22">
        <f>IF(AC59="",0,COUNTIF(nMS_Key,AC59))</f>
        <v>1</v>
      </c>
      <c r="AG59" s="21" t="str">
        <f t="shared" si="19"/>
        <v/>
      </c>
      <c r="AH59" s="21" t="str">
        <f>IF(AG59="","",AG59&amp;": "&amp;SUBSTITUTE(IFERROR(INDEX(nMSG_Text,MATCH(AG59,nMSG_Code,0)),""),"[input]",IF(C59="","a Milestone_ID",IF(D59="","a milestone Type","the date fields required by the selected precision"))))</f>
        <v/>
      </c>
    </row>
    <row r="60" spans="1:34" x14ac:dyDescent="0.2">
      <c r="A60" s="9" t="s">
        <v>305</v>
      </c>
      <c r="B60" s="11">
        <v>2</v>
      </c>
      <c r="C60" s="9" t="s">
        <v>844</v>
      </c>
      <c r="D60" s="16" t="s">
        <v>122</v>
      </c>
      <c r="E60" s="9"/>
      <c r="F60" s="9" t="s">
        <v>845</v>
      </c>
      <c r="G60" s="16"/>
      <c r="H60" s="9"/>
      <c r="I60" s="9"/>
      <c r="J60" s="16"/>
      <c r="K60" s="9"/>
      <c r="L60" s="9" t="s">
        <v>846</v>
      </c>
      <c r="M60" s="16" t="s">
        <v>4</v>
      </c>
      <c r="N60" s="14">
        <v>45901</v>
      </c>
      <c r="O60" s="25"/>
      <c r="P60" s="9"/>
      <c r="Q60" s="11"/>
      <c r="R60" s="11"/>
      <c r="S60" s="14"/>
      <c r="T60" s="14"/>
      <c r="U60" s="9" t="s">
        <v>500</v>
      </c>
      <c r="V60" s="21" t="str">
        <f>IF(COUNTA(M60:T60)=0,"",IF(M60="","E_MISSING_INPUT",IF(M60="TIMESTAMP",IF(OR(N60="",O60="",P60=""),"E_MISSING_INPUT",IF(OR(NOT(ISNUMBER(N60)),NOT(ISNUMBER(O60))),"E_INVALID_DATE",IF(OR(N60&lt;&gt;INT(N60),O60&lt;0,O60&gt;=1),"E_INVALID_DATE",IF(ISNA(MATCH(P60,nLIST_Offset,0)),"E_INVALID_DATE","")))),IF(M60="DATE",IF(N60="","E_MISSING_INPUT",IF(NOT(ISNUMBER(N60)),"E_INVALID_DATE",IF(N60&lt;&gt;INT(N60),"E_INVALID_DATE",""))),IF(M60="MONTH",IF(OR(Q60="",R60=""),"E_MISSING_INPUT",IF(OR(NOT(ISNUMBER(Q60)),NOT(ISNUMBER(R60))),"E_INVALID_DATE",IF(OR(Q60&lt;1900,Q60&gt;9999,Q60&lt;&gt;INT(Q60),R60&lt;1,R60&gt;12,R60&lt;&gt;INT(R60)),"E_INVALID_DATE",""))),IF(M60="YEAR",IF(Q60="","E_MISSING_INPUT",IF(NOT(ISNUMBER(Q60)),"E_INVALID_DATE",IF(OR(Q60&lt;1900,Q60&gt;9999,Q60&lt;&gt;INT(Q60)),"E_INVALID_DATE",""))),IF(M60="RANGE",IF(OR(S60="",T60=""),"E_MISSING_INPUT",IF(OR(NOT(ISNUMBER(S60)),NOT(ISNUMBER(T60))),"E_INVALID_DATE",IF(OR(S60&lt;&gt;INT(S60),T60&lt;&gt;INT(T60)),"E_INVALID_DATE",IF(S60&gt;T60,"E_REVERSED_BOUNDS","")))),"E_MISSING_INPUT")))))))</f>
        <v/>
      </c>
      <c r="W60" s="22">
        <f t="shared" si="10"/>
        <v>0</v>
      </c>
      <c r="X60" s="22">
        <f t="shared" si="11"/>
        <v>0</v>
      </c>
      <c r="Y60" s="28">
        <f t="shared" si="12"/>
        <v>45901</v>
      </c>
      <c r="Z60" s="28">
        <f t="shared" si="13"/>
        <v>45901</v>
      </c>
      <c r="AA60" s="22" t="str">
        <f t="shared" si="14"/>
        <v/>
      </c>
      <c r="AB60" s="22" t="str">
        <f t="shared" si="15"/>
        <v/>
      </c>
      <c r="AC60" s="21" t="str">
        <f t="shared" si="16"/>
        <v>EX-C28|2|M-HBV1</v>
      </c>
      <c r="AD60" s="21" t="str">
        <f t="shared" si="17"/>
        <v>EX-C28|2</v>
      </c>
      <c r="AE60" s="22">
        <f t="shared" si="18"/>
        <v>0</v>
      </c>
      <c r="AF60" s="22">
        <f>IF(AC60="",0,COUNTIF(nMS_Key,AC60))</f>
        <v>1</v>
      </c>
      <c r="AG60" s="21" t="str">
        <f t="shared" si="19"/>
        <v/>
      </c>
      <c r="AH60" s="21" t="str">
        <f>IF(AG60="","",AG60&amp;": "&amp;SUBSTITUTE(IFERROR(INDEX(nMSG_Text,MATCH(AG60,nMSG_Code,0)),""),"[input]",IF(C60="","a Milestone_ID",IF(D60="","a milestone Type","the date fields required by the selected precision"))))</f>
        <v/>
      </c>
    </row>
    <row r="61" spans="1:34" x14ac:dyDescent="0.2">
      <c r="A61" s="9" t="s">
        <v>305</v>
      </c>
      <c r="B61" s="11">
        <v>2</v>
      </c>
      <c r="C61" s="9" t="s">
        <v>847</v>
      </c>
      <c r="D61" s="16" t="s">
        <v>122</v>
      </c>
      <c r="E61" s="9"/>
      <c r="F61" s="9" t="s">
        <v>845</v>
      </c>
      <c r="G61" s="16"/>
      <c r="H61" s="9"/>
      <c r="I61" s="9"/>
      <c r="J61" s="16"/>
      <c r="K61" s="9"/>
      <c r="L61" s="9" t="s">
        <v>848</v>
      </c>
      <c r="M61" s="16" t="s">
        <v>4</v>
      </c>
      <c r="N61" s="14">
        <v>45992</v>
      </c>
      <c r="O61" s="25"/>
      <c r="P61" s="9"/>
      <c r="Q61" s="11"/>
      <c r="R61" s="11"/>
      <c r="S61" s="14"/>
      <c r="T61" s="14"/>
      <c r="U61" s="9" t="s">
        <v>500</v>
      </c>
      <c r="V61" s="21" t="str">
        <f>IF(COUNTA(M61:T61)=0,"",IF(M61="","E_MISSING_INPUT",IF(M61="TIMESTAMP",IF(OR(N61="",O61="",P61=""),"E_MISSING_INPUT",IF(OR(NOT(ISNUMBER(N61)),NOT(ISNUMBER(O61))),"E_INVALID_DATE",IF(OR(N61&lt;&gt;INT(N61),O61&lt;0,O61&gt;=1),"E_INVALID_DATE",IF(ISNA(MATCH(P61,nLIST_Offset,0)),"E_INVALID_DATE","")))),IF(M61="DATE",IF(N61="","E_MISSING_INPUT",IF(NOT(ISNUMBER(N61)),"E_INVALID_DATE",IF(N61&lt;&gt;INT(N61),"E_INVALID_DATE",""))),IF(M61="MONTH",IF(OR(Q61="",R61=""),"E_MISSING_INPUT",IF(OR(NOT(ISNUMBER(Q61)),NOT(ISNUMBER(R61))),"E_INVALID_DATE",IF(OR(Q61&lt;1900,Q61&gt;9999,Q61&lt;&gt;INT(Q61),R61&lt;1,R61&gt;12,R61&lt;&gt;INT(R61)),"E_INVALID_DATE",""))),IF(M61="YEAR",IF(Q61="","E_MISSING_INPUT",IF(NOT(ISNUMBER(Q61)),"E_INVALID_DATE",IF(OR(Q61&lt;1900,Q61&gt;9999,Q61&lt;&gt;INT(Q61)),"E_INVALID_DATE",""))),IF(M61="RANGE",IF(OR(S61="",T61=""),"E_MISSING_INPUT",IF(OR(NOT(ISNUMBER(S61)),NOT(ISNUMBER(T61))),"E_INVALID_DATE",IF(OR(S61&lt;&gt;INT(S61),T61&lt;&gt;INT(T61)),"E_INVALID_DATE",IF(S61&gt;T61,"E_REVERSED_BOUNDS","")))),"E_MISSING_INPUT")))))))</f>
        <v/>
      </c>
      <c r="W61" s="22">
        <f t="shared" si="10"/>
        <v>0</v>
      </c>
      <c r="X61" s="22">
        <f t="shared" si="11"/>
        <v>0</v>
      </c>
      <c r="Y61" s="28">
        <f t="shared" si="12"/>
        <v>45992</v>
      </c>
      <c r="Z61" s="28">
        <f t="shared" si="13"/>
        <v>45992</v>
      </c>
      <c r="AA61" s="22" t="str">
        <f t="shared" si="14"/>
        <v/>
      </c>
      <c r="AB61" s="22" t="str">
        <f t="shared" si="15"/>
        <v/>
      </c>
      <c r="AC61" s="21" t="str">
        <f t="shared" si="16"/>
        <v>EX-C28|2|M-HBV2</v>
      </c>
      <c r="AD61" s="21" t="str">
        <f t="shared" si="17"/>
        <v>EX-C28|2</v>
      </c>
      <c r="AE61" s="22">
        <f t="shared" si="18"/>
        <v>0</v>
      </c>
      <c r="AF61" s="22">
        <f>IF(AC61="",0,COUNTIF(nMS_Key,AC61))</f>
        <v>1</v>
      </c>
      <c r="AG61" s="21" t="str">
        <f t="shared" si="19"/>
        <v/>
      </c>
      <c r="AH61" s="21" t="str">
        <f>IF(AG61="","",AG61&amp;": "&amp;SUBSTITUTE(IFERROR(INDEX(nMSG_Text,MATCH(AG61,nMSG_Code,0)),""),"[input]",IF(C61="","a Milestone_ID",IF(D61="","a milestone Type","the date fields required by the selected precision"))))</f>
        <v/>
      </c>
    </row>
    <row r="62" spans="1:34" x14ac:dyDescent="0.2">
      <c r="A62" s="9" t="s">
        <v>305</v>
      </c>
      <c r="B62" s="11">
        <v>2</v>
      </c>
      <c r="C62" s="9" t="s">
        <v>740</v>
      </c>
      <c r="D62" s="16" t="s">
        <v>122</v>
      </c>
      <c r="E62" s="9"/>
      <c r="F62" s="9" t="s">
        <v>849</v>
      </c>
      <c r="G62" s="16"/>
      <c r="H62" s="9"/>
      <c r="I62" s="9"/>
      <c r="J62" s="16"/>
      <c r="K62" s="9"/>
      <c r="L62" s="9" t="s">
        <v>850</v>
      </c>
      <c r="M62" s="16" t="s">
        <v>4</v>
      </c>
      <c r="N62" s="14">
        <v>46062</v>
      </c>
      <c r="O62" s="25"/>
      <c r="P62" s="9"/>
      <c r="Q62" s="11"/>
      <c r="R62" s="11"/>
      <c r="S62" s="14"/>
      <c r="T62" s="14"/>
      <c r="U62" s="9" t="s">
        <v>500</v>
      </c>
      <c r="V62" s="21" t="str">
        <f>IF(COUNTA(M62:T62)=0,"",IF(M62="","E_MISSING_INPUT",IF(M62="TIMESTAMP",IF(OR(N62="",O62="",P62=""),"E_MISSING_INPUT",IF(OR(NOT(ISNUMBER(N62)),NOT(ISNUMBER(O62))),"E_INVALID_DATE",IF(OR(N62&lt;&gt;INT(N62),O62&lt;0,O62&gt;=1),"E_INVALID_DATE",IF(ISNA(MATCH(P62,nLIST_Offset,0)),"E_INVALID_DATE","")))),IF(M62="DATE",IF(N62="","E_MISSING_INPUT",IF(NOT(ISNUMBER(N62)),"E_INVALID_DATE",IF(N62&lt;&gt;INT(N62),"E_INVALID_DATE",""))),IF(M62="MONTH",IF(OR(Q62="",R62=""),"E_MISSING_INPUT",IF(OR(NOT(ISNUMBER(Q62)),NOT(ISNUMBER(R62))),"E_INVALID_DATE",IF(OR(Q62&lt;1900,Q62&gt;9999,Q62&lt;&gt;INT(Q62),R62&lt;1,R62&gt;12,R62&lt;&gt;INT(R62)),"E_INVALID_DATE",""))),IF(M62="YEAR",IF(Q62="","E_MISSING_INPUT",IF(NOT(ISNUMBER(Q62)),"E_INVALID_DATE",IF(OR(Q62&lt;1900,Q62&gt;9999,Q62&lt;&gt;INT(Q62)),"E_INVALID_DATE",""))),IF(M62="RANGE",IF(OR(S62="",T62=""),"E_MISSING_INPUT",IF(OR(NOT(ISNUMBER(S62)),NOT(ISNUMBER(T62))),"E_INVALID_DATE",IF(OR(S62&lt;&gt;INT(S62),T62&lt;&gt;INT(T62)),"E_INVALID_DATE",IF(S62&gt;T62,"E_REVERSED_BOUNDS","")))),"E_MISSING_INPUT")))))))</f>
        <v/>
      </c>
      <c r="W62" s="22">
        <f t="shared" si="10"/>
        <v>0</v>
      </c>
      <c r="X62" s="22">
        <f t="shared" si="11"/>
        <v>0</v>
      </c>
      <c r="Y62" s="28">
        <f t="shared" si="12"/>
        <v>46062</v>
      </c>
      <c r="Z62" s="28">
        <f t="shared" si="13"/>
        <v>46062</v>
      </c>
      <c r="AA62" s="22" t="str">
        <f t="shared" si="14"/>
        <v/>
      </c>
      <c r="AB62" s="22" t="str">
        <f t="shared" si="15"/>
        <v/>
      </c>
      <c r="AC62" s="21" t="str">
        <f t="shared" si="16"/>
        <v>EX-C28|2|M-HBV3</v>
      </c>
      <c r="AD62" s="21" t="str">
        <f t="shared" si="17"/>
        <v>EX-C28|2</v>
      </c>
      <c r="AE62" s="22">
        <f t="shared" si="18"/>
        <v>0</v>
      </c>
      <c r="AF62" s="22">
        <f>IF(AC62="",0,COUNTIF(nMS_Key,AC62))</f>
        <v>1</v>
      </c>
      <c r="AG62" s="21" t="str">
        <f t="shared" si="19"/>
        <v/>
      </c>
      <c r="AH62" s="21" t="str">
        <f>IF(AG62="","",AG62&amp;": "&amp;SUBSTITUTE(IFERROR(INDEX(nMSG_Text,MATCH(AG62,nMSG_Code,0)),""),"[input]",IF(C62="","a Milestone_ID",IF(D62="","a milestone Type","the date fields required by the selected precision"))))</f>
        <v/>
      </c>
    </row>
    <row r="63" spans="1:34" x14ac:dyDescent="0.2">
      <c r="A63" s="9" t="s">
        <v>305</v>
      </c>
      <c r="B63" s="11">
        <v>2</v>
      </c>
      <c r="C63" s="9" t="s">
        <v>742</v>
      </c>
      <c r="D63" s="16" t="s">
        <v>122</v>
      </c>
      <c r="E63" s="9"/>
      <c r="F63" s="9" t="s">
        <v>851</v>
      </c>
      <c r="G63" s="16">
        <v>1850</v>
      </c>
      <c r="H63" s="9" t="s">
        <v>852</v>
      </c>
      <c r="I63" s="9"/>
      <c r="J63" s="16"/>
      <c r="K63" s="9"/>
      <c r="L63" s="9" t="s">
        <v>744</v>
      </c>
      <c r="M63" s="16" t="s">
        <v>4</v>
      </c>
      <c r="N63" s="14">
        <v>46154</v>
      </c>
      <c r="O63" s="25"/>
      <c r="P63" s="9"/>
      <c r="Q63" s="11"/>
      <c r="R63" s="11"/>
      <c r="S63" s="14"/>
      <c r="T63" s="14"/>
      <c r="U63" s="9" t="s">
        <v>517</v>
      </c>
      <c r="V63" s="21" t="str">
        <f>IF(COUNTA(M63:T63)=0,"",IF(M63="","E_MISSING_INPUT",IF(M63="TIMESTAMP",IF(OR(N63="",O63="",P63=""),"E_MISSING_INPUT",IF(OR(NOT(ISNUMBER(N63)),NOT(ISNUMBER(O63))),"E_INVALID_DATE",IF(OR(N63&lt;&gt;INT(N63),O63&lt;0,O63&gt;=1),"E_INVALID_DATE",IF(ISNA(MATCH(P63,nLIST_Offset,0)),"E_INVALID_DATE","")))),IF(M63="DATE",IF(N63="","E_MISSING_INPUT",IF(NOT(ISNUMBER(N63)),"E_INVALID_DATE",IF(N63&lt;&gt;INT(N63),"E_INVALID_DATE",""))),IF(M63="MONTH",IF(OR(Q63="",R63=""),"E_MISSING_INPUT",IF(OR(NOT(ISNUMBER(Q63)),NOT(ISNUMBER(R63))),"E_INVALID_DATE",IF(OR(Q63&lt;1900,Q63&gt;9999,Q63&lt;&gt;INT(Q63),R63&lt;1,R63&gt;12,R63&lt;&gt;INT(R63)),"E_INVALID_DATE",""))),IF(M63="YEAR",IF(Q63="","E_MISSING_INPUT",IF(NOT(ISNUMBER(Q63)),"E_INVALID_DATE",IF(OR(Q63&lt;1900,Q63&gt;9999,Q63&lt;&gt;INT(Q63)),"E_INVALID_DATE",""))),IF(M63="RANGE",IF(OR(S63="",T63=""),"E_MISSING_INPUT",IF(OR(NOT(ISNUMBER(S63)),NOT(ISNUMBER(T63))),"E_INVALID_DATE",IF(OR(S63&lt;&gt;INT(S63),T63&lt;&gt;INT(T63)),"E_INVALID_DATE",IF(S63&gt;T63,"E_REVERSED_BOUNDS","")))),"E_MISSING_INPUT")))))))</f>
        <v/>
      </c>
      <c r="W63" s="22">
        <f t="shared" si="10"/>
        <v>0</v>
      </c>
      <c r="X63" s="22">
        <f t="shared" si="11"/>
        <v>0</v>
      </c>
      <c r="Y63" s="28">
        <f t="shared" si="12"/>
        <v>46154</v>
      </c>
      <c r="Z63" s="28">
        <f t="shared" si="13"/>
        <v>46154</v>
      </c>
      <c r="AA63" s="22" t="str">
        <f t="shared" si="14"/>
        <v/>
      </c>
      <c r="AB63" s="22" t="str">
        <f t="shared" si="15"/>
        <v/>
      </c>
      <c r="AC63" s="21" t="str">
        <f t="shared" si="16"/>
        <v>EX-C28|2|M-HBV4</v>
      </c>
      <c r="AD63" s="21" t="str">
        <f t="shared" si="17"/>
        <v>EX-C28|2</v>
      </c>
      <c r="AE63" s="22">
        <f t="shared" si="18"/>
        <v>0</v>
      </c>
      <c r="AF63" s="22">
        <f>IF(AC63="",0,COUNTIF(nMS_Key,AC63))</f>
        <v>1</v>
      </c>
      <c r="AG63" s="21" t="str">
        <f t="shared" si="19"/>
        <v/>
      </c>
      <c r="AH63" s="21" t="str">
        <f>IF(AG63="","",AG63&amp;": "&amp;SUBSTITUTE(IFERROR(INDEX(nMSG_Text,MATCH(AG63,nMSG_Code,0)),""),"[input]",IF(C63="","a Milestone_ID",IF(D63="","a milestone Type","the date fields required by the selected precision"))))</f>
        <v/>
      </c>
    </row>
    <row r="64" spans="1:34" x14ac:dyDescent="0.2">
      <c r="A64" s="9" t="s">
        <v>305</v>
      </c>
      <c r="B64" s="11">
        <v>2</v>
      </c>
      <c r="C64" s="9" t="s">
        <v>853</v>
      </c>
      <c r="D64" s="16" t="s">
        <v>122</v>
      </c>
      <c r="E64" s="9"/>
      <c r="F64" s="9" t="s">
        <v>854</v>
      </c>
      <c r="G64" s="16"/>
      <c r="H64" s="9"/>
      <c r="I64" s="9"/>
      <c r="J64" s="16" t="s">
        <v>153</v>
      </c>
      <c r="K64" s="9" t="s">
        <v>856</v>
      </c>
      <c r="L64" s="9" t="s">
        <v>855</v>
      </c>
      <c r="M64" s="16" t="s">
        <v>4</v>
      </c>
      <c r="N64" s="14">
        <v>46154</v>
      </c>
      <c r="O64" s="25"/>
      <c r="P64" s="9"/>
      <c r="Q64" s="11"/>
      <c r="R64" s="11"/>
      <c r="S64" s="14"/>
      <c r="T64" s="14"/>
      <c r="U64" s="9" t="s">
        <v>517</v>
      </c>
      <c r="V64" s="21" t="str">
        <f>IF(COUNTA(M64:T64)=0,"",IF(M64="","E_MISSING_INPUT",IF(M64="TIMESTAMP",IF(OR(N64="",O64="",P64=""),"E_MISSING_INPUT",IF(OR(NOT(ISNUMBER(N64)),NOT(ISNUMBER(O64))),"E_INVALID_DATE",IF(OR(N64&lt;&gt;INT(N64),O64&lt;0,O64&gt;=1),"E_INVALID_DATE",IF(ISNA(MATCH(P64,nLIST_Offset,0)),"E_INVALID_DATE","")))),IF(M64="DATE",IF(N64="","E_MISSING_INPUT",IF(NOT(ISNUMBER(N64)),"E_INVALID_DATE",IF(N64&lt;&gt;INT(N64),"E_INVALID_DATE",""))),IF(M64="MONTH",IF(OR(Q64="",R64=""),"E_MISSING_INPUT",IF(OR(NOT(ISNUMBER(Q64)),NOT(ISNUMBER(R64))),"E_INVALID_DATE",IF(OR(Q64&lt;1900,Q64&gt;9999,Q64&lt;&gt;INT(Q64),R64&lt;1,R64&gt;12,R64&lt;&gt;INT(R64)),"E_INVALID_DATE",""))),IF(M64="YEAR",IF(Q64="","E_MISSING_INPUT",IF(NOT(ISNUMBER(Q64)),"E_INVALID_DATE",IF(OR(Q64&lt;1900,Q64&gt;9999,Q64&lt;&gt;INT(Q64)),"E_INVALID_DATE",""))),IF(M64="RANGE",IF(OR(S64="",T64=""),"E_MISSING_INPUT",IF(OR(NOT(ISNUMBER(S64)),NOT(ISNUMBER(T64))),"E_INVALID_DATE",IF(OR(S64&lt;&gt;INT(S64),T64&lt;&gt;INT(T64)),"E_INVALID_DATE",IF(S64&gt;T64,"E_REVERSED_BOUNDS","")))),"E_MISSING_INPUT")))))))</f>
        <v/>
      </c>
      <c r="W64" s="22">
        <f t="shared" si="10"/>
        <v>0</v>
      </c>
      <c r="X64" s="22">
        <f t="shared" si="11"/>
        <v>0</v>
      </c>
      <c r="Y64" s="28">
        <f t="shared" si="12"/>
        <v>46154</v>
      </c>
      <c r="Z64" s="28">
        <f t="shared" si="13"/>
        <v>46154</v>
      </c>
      <c r="AA64" s="22" t="str">
        <f t="shared" si="14"/>
        <v/>
      </c>
      <c r="AB64" s="22" t="str">
        <f t="shared" si="15"/>
        <v/>
      </c>
      <c r="AC64" s="21" t="str">
        <f t="shared" si="16"/>
        <v>EX-C28|2|M-BCELL</v>
      </c>
      <c r="AD64" s="21" t="str">
        <f t="shared" si="17"/>
        <v>EX-C28|2</v>
      </c>
      <c r="AE64" s="22">
        <f t="shared" si="18"/>
        <v>0</v>
      </c>
      <c r="AF64" s="22">
        <f>IF(AC64="",0,COUNTIF(nMS_Key,AC64))</f>
        <v>1</v>
      </c>
      <c r="AG64" s="21" t="str">
        <f t="shared" si="19"/>
        <v/>
      </c>
      <c r="AH64" s="21" t="str">
        <f>IF(AG64="","",AG64&amp;": "&amp;SUBSTITUTE(IFERROR(INDEX(nMSG_Text,MATCH(AG64,nMSG_Code,0)),""),"[input]",IF(C64="","a Milestone_ID",IF(D64="","a milestone Type","the date fields required by the selected precision"))))</f>
        <v/>
      </c>
    </row>
    <row r="65" spans="1:34" x14ac:dyDescent="0.2">
      <c r="A65" s="9" t="s">
        <v>305</v>
      </c>
      <c r="B65" s="11">
        <v>2</v>
      </c>
      <c r="C65" s="9" t="s">
        <v>857</v>
      </c>
      <c r="D65" s="16" t="s">
        <v>122</v>
      </c>
      <c r="E65" s="9"/>
      <c r="F65" s="9" t="s">
        <v>858</v>
      </c>
      <c r="G65" s="16">
        <v>142</v>
      </c>
      <c r="H65" s="9" t="s">
        <v>861</v>
      </c>
      <c r="I65" s="9" t="s">
        <v>860</v>
      </c>
      <c r="J65" s="16"/>
      <c r="K65" s="9"/>
      <c r="L65" s="9" t="s">
        <v>859</v>
      </c>
      <c r="M65" s="16" t="s">
        <v>4</v>
      </c>
      <c r="N65" s="14">
        <v>46168</v>
      </c>
      <c r="O65" s="25"/>
      <c r="P65" s="9"/>
      <c r="Q65" s="11"/>
      <c r="R65" s="11"/>
      <c r="S65" s="14"/>
      <c r="T65" s="14"/>
      <c r="U65" s="9" t="s">
        <v>517</v>
      </c>
      <c r="V65" s="21" t="str">
        <f>IF(COUNTA(M65:T65)=0,"",IF(M65="","E_MISSING_INPUT",IF(M65="TIMESTAMP",IF(OR(N65="",O65="",P65=""),"E_MISSING_INPUT",IF(OR(NOT(ISNUMBER(N65)),NOT(ISNUMBER(O65))),"E_INVALID_DATE",IF(OR(N65&lt;&gt;INT(N65),O65&lt;0,O65&gt;=1),"E_INVALID_DATE",IF(ISNA(MATCH(P65,nLIST_Offset,0)),"E_INVALID_DATE","")))),IF(M65="DATE",IF(N65="","E_MISSING_INPUT",IF(NOT(ISNUMBER(N65)),"E_INVALID_DATE",IF(N65&lt;&gt;INT(N65),"E_INVALID_DATE",""))),IF(M65="MONTH",IF(OR(Q65="",R65=""),"E_MISSING_INPUT",IF(OR(NOT(ISNUMBER(Q65)),NOT(ISNUMBER(R65))),"E_INVALID_DATE",IF(OR(Q65&lt;1900,Q65&gt;9999,Q65&lt;&gt;INT(Q65),R65&lt;1,R65&gt;12,R65&lt;&gt;INT(R65)),"E_INVALID_DATE",""))),IF(M65="YEAR",IF(Q65="","E_MISSING_INPUT",IF(NOT(ISNUMBER(Q65)),"E_INVALID_DATE",IF(OR(Q65&lt;1900,Q65&gt;9999,Q65&lt;&gt;INT(Q65)),"E_INVALID_DATE",""))),IF(M65="RANGE",IF(OR(S65="",T65=""),"E_MISSING_INPUT",IF(OR(NOT(ISNUMBER(S65)),NOT(ISNUMBER(T65))),"E_INVALID_DATE",IF(OR(S65&lt;&gt;INT(S65),T65&lt;&gt;INT(T65)),"E_INVALID_DATE",IF(S65&gt;T65,"E_REVERSED_BOUNDS","")))),"E_MISSING_INPUT")))))))</f>
        <v/>
      </c>
      <c r="W65" s="22">
        <f t="shared" si="10"/>
        <v>0</v>
      </c>
      <c r="X65" s="22">
        <f t="shared" si="11"/>
        <v>0</v>
      </c>
      <c r="Y65" s="28">
        <f t="shared" si="12"/>
        <v>46168</v>
      </c>
      <c r="Z65" s="28">
        <f t="shared" si="13"/>
        <v>46168</v>
      </c>
      <c r="AA65" s="22" t="str">
        <f t="shared" si="14"/>
        <v/>
      </c>
      <c r="AB65" s="22" t="str">
        <f t="shared" si="15"/>
        <v/>
      </c>
      <c r="AC65" s="21" t="str">
        <f t="shared" si="16"/>
        <v>EX-C28|2|M-HEP</v>
      </c>
      <c r="AD65" s="21" t="str">
        <f t="shared" si="17"/>
        <v>EX-C28|2</v>
      </c>
      <c r="AE65" s="22">
        <f t="shared" si="18"/>
        <v>0</v>
      </c>
      <c r="AF65" s="22">
        <f>IF(AC65="",0,COUNTIF(nMS_Key,AC65))</f>
        <v>1</v>
      </c>
      <c r="AG65" s="21" t="str">
        <f t="shared" si="19"/>
        <v/>
      </c>
      <c r="AH65" s="21" t="str">
        <f>IF(AG65="","",AG65&amp;": "&amp;SUBSTITUTE(IFERROR(INDEX(nMSG_Text,MATCH(AG65,nMSG_Code,0)),""),"[input]",IF(C65="","a Milestone_ID",IF(D65="","a milestone Type","the date fields required by the selected precision"))))</f>
        <v/>
      </c>
    </row>
    <row r="66" spans="1:34" x14ac:dyDescent="0.2">
      <c r="A66" s="9" t="s">
        <v>305</v>
      </c>
      <c r="B66" s="11">
        <v>2</v>
      </c>
      <c r="C66" s="9" t="s">
        <v>862</v>
      </c>
      <c r="D66" s="16" t="s">
        <v>125</v>
      </c>
      <c r="E66" s="9"/>
      <c r="F66" s="9" t="s">
        <v>863</v>
      </c>
      <c r="G66" s="16"/>
      <c r="H66" s="9"/>
      <c r="I66" s="9"/>
      <c r="J66" s="16"/>
      <c r="K66" s="9"/>
      <c r="L66" s="9" t="s">
        <v>520</v>
      </c>
      <c r="M66" s="16" t="s">
        <v>4</v>
      </c>
      <c r="N66" s="14">
        <v>46169</v>
      </c>
      <c r="O66" s="25"/>
      <c r="P66" s="9"/>
      <c r="Q66" s="11"/>
      <c r="R66" s="11"/>
      <c r="S66" s="14"/>
      <c r="T66" s="14"/>
      <c r="U66" s="9" t="s">
        <v>517</v>
      </c>
      <c r="V66" s="21" t="str">
        <f>IF(COUNTA(M66:T66)=0,"",IF(M66="","E_MISSING_INPUT",IF(M66="TIMESTAMP",IF(OR(N66="",O66="",P66=""),"E_MISSING_INPUT",IF(OR(NOT(ISNUMBER(N66)),NOT(ISNUMBER(O66))),"E_INVALID_DATE",IF(OR(N66&lt;&gt;INT(N66),O66&lt;0,O66&gt;=1),"E_INVALID_DATE",IF(ISNA(MATCH(P66,nLIST_Offset,0)),"E_INVALID_DATE","")))),IF(M66="DATE",IF(N66="","E_MISSING_INPUT",IF(NOT(ISNUMBER(N66)),"E_INVALID_DATE",IF(N66&lt;&gt;INT(N66),"E_INVALID_DATE",""))),IF(M66="MONTH",IF(OR(Q66="",R66=""),"E_MISSING_INPUT",IF(OR(NOT(ISNUMBER(Q66)),NOT(ISNUMBER(R66))),"E_INVALID_DATE",IF(OR(Q66&lt;1900,Q66&gt;9999,Q66&lt;&gt;INT(Q66),R66&lt;1,R66&gt;12,R66&lt;&gt;INT(R66)),"E_INVALID_DATE",""))),IF(M66="YEAR",IF(Q66="","E_MISSING_INPUT",IF(NOT(ISNUMBER(Q66)),"E_INVALID_DATE",IF(OR(Q66&lt;1900,Q66&gt;9999,Q66&lt;&gt;INT(Q66)),"E_INVALID_DATE",""))),IF(M66="RANGE",IF(OR(S66="",T66=""),"E_MISSING_INPUT",IF(OR(NOT(ISNUMBER(S66)),NOT(ISNUMBER(T66))),"E_INVALID_DATE",IF(OR(S66&lt;&gt;INT(S66),T66&lt;&gt;INT(T66)),"E_INVALID_DATE",IF(S66&gt;T66,"E_REVERSED_BOUNDS","")))),"E_MISSING_INPUT")))))))</f>
        <v/>
      </c>
      <c r="W66" s="22">
        <f t="shared" si="10"/>
        <v>0</v>
      </c>
      <c r="X66" s="22">
        <f t="shared" si="11"/>
        <v>0</v>
      </c>
      <c r="Y66" s="28">
        <f t="shared" si="12"/>
        <v>46169</v>
      </c>
      <c r="Z66" s="28">
        <f t="shared" si="13"/>
        <v>46169</v>
      </c>
      <c r="AA66" s="22" t="str">
        <f t="shared" si="14"/>
        <v/>
      </c>
      <c r="AB66" s="22" t="str">
        <f t="shared" si="15"/>
        <v/>
      </c>
      <c r="AC66" s="21" t="str">
        <f t="shared" si="16"/>
        <v>EX-C28|2|M-AV</v>
      </c>
      <c r="AD66" s="21" t="str">
        <f t="shared" si="17"/>
        <v>EX-C28|2</v>
      </c>
      <c r="AE66" s="22">
        <f t="shared" si="18"/>
        <v>0</v>
      </c>
      <c r="AF66" s="22">
        <f>IF(AC66="",0,COUNTIF(nMS_Key,AC66))</f>
        <v>1</v>
      </c>
      <c r="AG66" s="21" t="str">
        <f t="shared" si="19"/>
        <v/>
      </c>
      <c r="AH66" s="21" t="str">
        <f>IF(AG66="","",AG66&amp;": "&amp;SUBSTITUTE(IFERROR(INDEX(nMSG_Text,MATCH(AG66,nMSG_Code,0)),""),"[input]",IF(C66="","a Milestone_ID",IF(D66="","a milestone Type","the date fields required by the selected precision"))))</f>
        <v/>
      </c>
    </row>
    <row r="67" spans="1:34" x14ac:dyDescent="0.2">
      <c r="A67" s="24" t="s">
        <v>295</v>
      </c>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row>
    <row r="68" spans="1:34" x14ac:dyDescent="0.2">
      <c r="A68" s="9" t="s">
        <v>363</v>
      </c>
      <c r="B68" s="11">
        <v>1</v>
      </c>
      <c r="C68" s="9" t="s">
        <v>864</v>
      </c>
      <c r="D68" s="16" t="s">
        <v>126</v>
      </c>
      <c r="E68" s="9"/>
      <c r="F68" s="9" t="s">
        <v>865</v>
      </c>
      <c r="G68" s="16"/>
      <c r="H68" s="9"/>
      <c r="I68" s="9"/>
      <c r="J68" s="16"/>
      <c r="K68" s="9"/>
      <c r="L68" s="9" t="s">
        <v>866</v>
      </c>
      <c r="M68" s="16" t="s">
        <v>3</v>
      </c>
      <c r="N68" s="14">
        <v>46032</v>
      </c>
      <c r="O68" s="25">
        <v>0.39930555555555503</v>
      </c>
      <c r="P68" s="9" t="s">
        <v>20</v>
      </c>
      <c r="Q68" s="11"/>
      <c r="R68" s="11"/>
      <c r="S68" s="14"/>
      <c r="T68" s="14"/>
      <c r="U68" s="9" t="s">
        <v>560</v>
      </c>
      <c r="V68" s="21" t="str">
        <f>IF(COUNTA(M68:T68)=0,"",IF(M68="","E_MISSING_INPUT",IF(M68="TIMESTAMP",IF(OR(N68="",O68="",P68=""),"E_MISSING_INPUT",IF(OR(NOT(ISNUMBER(N68)),NOT(ISNUMBER(O68))),"E_INVALID_DATE",IF(OR(N68&lt;&gt;INT(N68),O68&lt;0,O68&gt;=1),"E_INVALID_DATE",IF(ISNA(MATCH(P68,nLIST_Offset,0)),"E_INVALID_DATE","")))),IF(M68="DATE",IF(N68="","E_MISSING_INPUT",IF(NOT(ISNUMBER(N68)),"E_INVALID_DATE",IF(N68&lt;&gt;INT(N68),"E_INVALID_DATE",""))),IF(M68="MONTH",IF(OR(Q68="",R68=""),"E_MISSING_INPUT",IF(OR(NOT(ISNUMBER(Q68)),NOT(ISNUMBER(R68))),"E_INVALID_DATE",IF(OR(Q68&lt;1900,Q68&gt;9999,Q68&lt;&gt;INT(Q68),R68&lt;1,R68&gt;12,R68&lt;&gt;INT(R68)),"E_INVALID_DATE",""))),IF(M68="YEAR",IF(Q68="","E_MISSING_INPUT",IF(NOT(ISNUMBER(Q68)),"E_INVALID_DATE",IF(OR(Q68&lt;1900,Q68&gt;9999,Q68&lt;&gt;INT(Q68)),"E_INVALID_DATE",""))),IF(M68="RANGE",IF(OR(S68="",T68=""),"E_MISSING_INPUT",IF(OR(NOT(ISNUMBER(S68)),NOT(ISNUMBER(T68))),"E_INVALID_DATE",IF(OR(S68&lt;&gt;INT(S68),T68&lt;&gt;INT(T68)),"E_INVALID_DATE",IF(S68&gt;T68,"E_REVERSED_BOUNDS","")))),"E_MISSING_INPUT")))))))</f>
        <v/>
      </c>
      <c r="W68" s="22">
        <f t="shared" ref="W68:W76" si="20">IF(AND(V68="",M68="TIMESTAMP"),1,0)</f>
        <v>1</v>
      </c>
      <c r="X68" s="22">
        <f t="shared" ref="X68:X76" si="21">IF(AND(W68=1,P68&lt;&gt;"unknown"),1,0)</f>
        <v>1</v>
      </c>
      <c r="Y68" s="28">
        <f t="shared" ref="Y68:Y76" si="22">IF(OR(V68&lt;&gt;"",M68=""),"",IF(OR(M68="TIMESTAMP",M68="DATE"),N68,IF(M68="MONTH",DATE(Q68,R68,1),IF(M68="YEAR",DATE(Q68,1,1),S68))))</f>
        <v>46032</v>
      </c>
      <c r="Z68" s="28">
        <f t="shared" ref="Z68:Z76" si="23">IF(OR(V68&lt;&gt;"",M68=""),"",IF(OR(M68="TIMESTAMP",M68="DATE"),N68,IF(M68="MONTH",EOMONTH(DATE(Q68,R68,1),0),IF(M68="YEAR",DATE(Q68,12,31),T68))))</f>
        <v>46032</v>
      </c>
      <c r="AA68" s="22">
        <f t="shared" ref="AA68:AA76" si="24">IF(W68=1,N68*1440+ROUND(O68*1440,0),"")</f>
        <v>66286655</v>
      </c>
      <c r="AB68" s="22">
        <f t="shared" ref="AB68:AB76" si="25">IF(X68=1,AA68-(IF(LEFT(P68,1)="-",-1,1)*(VALUE(MID(P68,2,2))*60+VALUE(MID(P68,5,2)))),"")</f>
        <v>66286955</v>
      </c>
      <c r="AC68" s="21" t="str">
        <f t="shared" ref="AC68:AC76" si="26">IF(C68="","",A68&amp;"|"&amp;B68&amp;"|"&amp;C68)</f>
        <v>VEC-V28|1|MS-REC</v>
      </c>
      <c r="AD68" s="21" t="str">
        <f t="shared" ref="AD68:AD76" si="27">IF(C68="","",A68&amp;"|"&amp;B68)</f>
        <v>VEC-V28|1</v>
      </c>
      <c r="AE68" s="22">
        <f t="shared" ref="AE68:AE76" si="28">IF(AND(C68&lt;&gt;"",COUNTA(M68:T68)=0),1,0)</f>
        <v>0</v>
      </c>
      <c r="AF68" s="22">
        <f>IF(AC68="",0,COUNTIF(nMS_Key,AC68))</f>
        <v>1</v>
      </c>
      <c r="AG68" s="21" t="str">
        <f t="shared" ref="AG68:AG76" si="29">IF(C68="",IF(COUNTA(F68,M68,N68)&gt;0,"E_MISSING_INPUT",""),IF(AF68&gt;1,"E_DUPLICATE_ID",IF(D68="","E_MISSING_INPUT",V68)))</f>
        <v/>
      </c>
      <c r="AH68" s="21" t="str">
        <f>IF(AG68="","",AG68&amp;": "&amp;SUBSTITUTE(IFERROR(INDEX(nMSG_Text,MATCH(AG68,nMSG_Code,0)),""),"[input]",IF(C68="","a Milestone_ID",IF(D68="","a milestone Type","the date fields required by the selected precision"))))</f>
        <v/>
      </c>
    </row>
    <row r="69" spans="1:34" x14ac:dyDescent="0.2">
      <c r="A69" s="9" t="s">
        <v>363</v>
      </c>
      <c r="B69" s="11">
        <v>1</v>
      </c>
      <c r="C69" s="9" t="s">
        <v>867</v>
      </c>
      <c r="D69" s="16" t="s">
        <v>125</v>
      </c>
      <c r="E69" s="9"/>
      <c r="F69" s="9" t="s">
        <v>868</v>
      </c>
      <c r="G69" s="16"/>
      <c r="H69" s="9"/>
      <c r="I69" s="9"/>
      <c r="J69" s="16"/>
      <c r="K69" s="9"/>
      <c r="L69" s="9" t="s">
        <v>869</v>
      </c>
      <c r="M69" s="16" t="s">
        <v>3</v>
      </c>
      <c r="N69" s="14">
        <v>46032</v>
      </c>
      <c r="O69" s="25">
        <v>0.38750000000000001</v>
      </c>
      <c r="P69" s="9" t="s">
        <v>20</v>
      </c>
      <c r="Q69" s="11"/>
      <c r="R69" s="11"/>
      <c r="S69" s="14"/>
      <c r="T69" s="14"/>
      <c r="U69" s="9" t="s">
        <v>560</v>
      </c>
      <c r="V69" s="21" t="str">
        <f>IF(COUNTA(M69:T69)=0,"",IF(M69="","E_MISSING_INPUT",IF(M69="TIMESTAMP",IF(OR(N69="",O69="",P69=""),"E_MISSING_INPUT",IF(OR(NOT(ISNUMBER(N69)),NOT(ISNUMBER(O69))),"E_INVALID_DATE",IF(OR(N69&lt;&gt;INT(N69),O69&lt;0,O69&gt;=1),"E_INVALID_DATE",IF(ISNA(MATCH(P69,nLIST_Offset,0)),"E_INVALID_DATE","")))),IF(M69="DATE",IF(N69="","E_MISSING_INPUT",IF(NOT(ISNUMBER(N69)),"E_INVALID_DATE",IF(N69&lt;&gt;INT(N69),"E_INVALID_DATE",""))),IF(M69="MONTH",IF(OR(Q69="",R69=""),"E_MISSING_INPUT",IF(OR(NOT(ISNUMBER(Q69)),NOT(ISNUMBER(R69))),"E_INVALID_DATE",IF(OR(Q69&lt;1900,Q69&gt;9999,Q69&lt;&gt;INT(Q69),R69&lt;1,R69&gt;12,R69&lt;&gt;INT(R69)),"E_INVALID_DATE",""))),IF(M69="YEAR",IF(Q69="","E_MISSING_INPUT",IF(NOT(ISNUMBER(Q69)),"E_INVALID_DATE",IF(OR(Q69&lt;1900,Q69&gt;9999,Q69&lt;&gt;INT(Q69)),"E_INVALID_DATE",""))),IF(M69="RANGE",IF(OR(S69="",T69=""),"E_MISSING_INPUT",IF(OR(NOT(ISNUMBER(S69)),NOT(ISNUMBER(T69))),"E_INVALID_DATE",IF(OR(S69&lt;&gt;INT(S69),T69&lt;&gt;INT(T69)),"E_INVALID_DATE",IF(S69&gt;T69,"E_REVERSED_BOUNDS","")))),"E_MISSING_INPUT")))))))</f>
        <v/>
      </c>
      <c r="W69" s="22">
        <f t="shared" si="20"/>
        <v>1</v>
      </c>
      <c r="X69" s="22">
        <f t="shared" si="21"/>
        <v>1</v>
      </c>
      <c r="Y69" s="28">
        <f t="shared" si="22"/>
        <v>46032</v>
      </c>
      <c r="Z69" s="28">
        <f t="shared" si="23"/>
        <v>46032</v>
      </c>
      <c r="AA69" s="22">
        <f t="shared" si="24"/>
        <v>66286638</v>
      </c>
      <c r="AB69" s="22">
        <f t="shared" si="25"/>
        <v>66286938</v>
      </c>
      <c r="AC69" s="21" t="str">
        <f t="shared" si="26"/>
        <v>VEC-V28|1|MS-RX</v>
      </c>
      <c r="AD69" s="21" t="str">
        <f t="shared" si="27"/>
        <v>VEC-V28|1</v>
      </c>
      <c r="AE69" s="22">
        <f t="shared" si="28"/>
        <v>0</v>
      </c>
      <c r="AF69" s="22">
        <f>IF(AC69="",0,COUNTIF(nMS_Key,AC69))</f>
        <v>1</v>
      </c>
      <c r="AG69" s="21" t="str">
        <f t="shared" si="29"/>
        <v/>
      </c>
      <c r="AH69" s="21" t="str">
        <f>IF(AG69="","",AG69&amp;": "&amp;SUBSTITUTE(IFERROR(INDEX(nMSG_Text,MATCH(AG69,nMSG_Code,0)),""),"[input]",IF(C69="","a Milestone_ID",IF(D69="","a milestone Type","the date fields required by the selected precision"))))</f>
        <v/>
      </c>
    </row>
    <row r="70" spans="1:34" x14ac:dyDescent="0.2">
      <c r="A70" s="9" t="s">
        <v>365</v>
      </c>
      <c r="B70" s="11">
        <v>1</v>
      </c>
      <c r="C70" s="9" t="s">
        <v>864</v>
      </c>
      <c r="D70" s="16" t="s">
        <v>126</v>
      </c>
      <c r="E70" s="9"/>
      <c r="F70" s="9" t="s">
        <v>865</v>
      </c>
      <c r="G70" s="16"/>
      <c r="H70" s="9"/>
      <c r="I70" s="9"/>
      <c r="J70" s="16"/>
      <c r="K70" s="9"/>
      <c r="L70" s="9" t="s">
        <v>870</v>
      </c>
      <c r="M70" s="16" t="s">
        <v>4</v>
      </c>
      <c r="N70" s="14">
        <v>46211</v>
      </c>
      <c r="O70" s="25"/>
      <c r="P70" s="9"/>
      <c r="Q70" s="11"/>
      <c r="R70" s="11"/>
      <c r="S70" s="14"/>
      <c r="T70" s="14"/>
      <c r="U70" s="9" t="s">
        <v>563</v>
      </c>
      <c r="V70" s="21" t="str">
        <f>IF(COUNTA(M70:T70)=0,"",IF(M70="","E_MISSING_INPUT",IF(M70="TIMESTAMP",IF(OR(N70="",O70="",P70=""),"E_MISSING_INPUT",IF(OR(NOT(ISNUMBER(N70)),NOT(ISNUMBER(O70))),"E_INVALID_DATE",IF(OR(N70&lt;&gt;INT(N70),O70&lt;0,O70&gt;=1),"E_INVALID_DATE",IF(ISNA(MATCH(P70,nLIST_Offset,0)),"E_INVALID_DATE","")))),IF(M70="DATE",IF(N70="","E_MISSING_INPUT",IF(NOT(ISNUMBER(N70)),"E_INVALID_DATE",IF(N70&lt;&gt;INT(N70),"E_INVALID_DATE",""))),IF(M70="MONTH",IF(OR(Q70="",R70=""),"E_MISSING_INPUT",IF(OR(NOT(ISNUMBER(Q70)),NOT(ISNUMBER(R70))),"E_INVALID_DATE",IF(OR(Q70&lt;1900,Q70&gt;9999,Q70&lt;&gt;INT(Q70),R70&lt;1,R70&gt;12,R70&lt;&gt;INT(R70)),"E_INVALID_DATE",""))),IF(M70="YEAR",IF(Q70="","E_MISSING_INPUT",IF(NOT(ISNUMBER(Q70)),"E_INVALID_DATE",IF(OR(Q70&lt;1900,Q70&gt;9999,Q70&lt;&gt;INT(Q70)),"E_INVALID_DATE",""))),IF(M70="RANGE",IF(OR(S70="",T70=""),"E_MISSING_INPUT",IF(OR(NOT(ISNUMBER(S70)),NOT(ISNUMBER(T70))),"E_INVALID_DATE",IF(OR(S70&lt;&gt;INT(S70),T70&lt;&gt;INT(T70)),"E_INVALID_DATE",IF(S70&gt;T70,"E_REVERSED_BOUNDS","")))),"E_MISSING_INPUT")))))))</f>
        <v/>
      </c>
      <c r="W70" s="22">
        <f t="shared" si="20"/>
        <v>0</v>
      </c>
      <c r="X70" s="22">
        <f t="shared" si="21"/>
        <v>0</v>
      </c>
      <c r="Y70" s="28">
        <f t="shared" si="22"/>
        <v>46211</v>
      </c>
      <c r="Z70" s="28">
        <f t="shared" si="23"/>
        <v>46211</v>
      </c>
      <c r="AA70" s="22" t="str">
        <f t="shared" si="24"/>
        <v/>
      </c>
      <c r="AB70" s="22" t="str">
        <f t="shared" si="25"/>
        <v/>
      </c>
      <c r="AC70" s="21" t="str">
        <f t="shared" si="26"/>
        <v>VEC-V29|1|MS-REC</v>
      </c>
      <c r="AD70" s="21" t="str">
        <f t="shared" si="27"/>
        <v>VEC-V29|1</v>
      </c>
      <c r="AE70" s="22">
        <f t="shared" si="28"/>
        <v>0</v>
      </c>
      <c r="AF70" s="22">
        <f>IF(AC70="",0,COUNTIF(nMS_Key,AC70))</f>
        <v>1</v>
      </c>
      <c r="AG70" s="21" t="str">
        <f t="shared" si="29"/>
        <v/>
      </c>
      <c r="AH70" s="21" t="str">
        <f>IF(AG70="","",AG70&amp;": "&amp;SUBSTITUTE(IFERROR(INDEX(nMSG_Text,MATCH(AG70,nMSG_Code,0)),""),"[input]",IF(C70="","a Milestone_ID",IF(D70="","a milestone Type","the date fields required by the selected precision"))))</f>
        <v/>
      </c>
    </row>
    <row r="71" spans="1:34" x14ac:dyDescent="0.2">
      <c r="A71" s="9" t="s">
        <v>365</v>
      </c>
      <c r="B71" s="11">
        <v>1</v>
      </c>
      <c r="C71" s="9" t="s">
        <v>871</v>
      </c>
      <c r="D71" s="16" t="s">
        <v>125</v>
      </c>
      <c r="E71" s="9"/>
      <c r="F71" s="9" t="s">
        <v>872</v>
      </c>
      <c r="G71" s="16"/>
      <c r="H71" s="9"/>
      <c r="I71" s="9"/>
      <c r="J71" s="16"/>
      <c r="K71" s="9"/>
      <c r="L71" s="9" t="s">
        <v>873</v>
      </c>
      <c r="M71" s="16" t="s">
        <v>4</v>
      </c>
      <c r="N71" s="14">
        <v>46208</v>
      </c>
      <c r="O71" s="25"/>
      <c r="P71" s="9"/>
      <c r="Q71" s="11"/>
      <c r="R71" s="11"/>
      <c r="S71" s="14"/>
      <c r="T71" s="14"/>
      <c r="U71" s="9" t="s">
        <v>563</v>
      </c>
      <c r="V71" s="21" t="str">
        <f>IF(COUNTA(M71:T71)=0,"",IF(M71="","E_MISSING_INPUT",IF(M71="TIMESTAMP",IF(OR(N71="",O71="",P71=""),"E_MISSING_INPUT",IF(OR(NOT(ISNUMBER(N71)),NOT(ISNUMBER(O71))),"E_INVALID_DATE",IF(OR(N71&lt;&gt;INT(N71),O71&lt;0,O71&gt;=1),"E_INVALID_DATE",IF(ISNA(MATCH(P71,nLIST_Offset,0)),"E_INVALID_DATE","")))),IF(M71="DATE",IF(N71="","E_MISSING_INPUT",IF(NOT(ISNUMBER(N71)),"E_INVALID_DATE",IF(N71&lt;&gt;INT(N71),"E_INVALID_DATE",""))),IF(M71="MONTH",IF(OR(Q71="",R71=""),"E_MISSING_INPUT",IF(OR(NOT(ISNUMBER(Q71)),NOT(ISNUMBER(R71))),"E_INVALID_DATE",IF(OR(Q71&lt;1900,Q71&gt;9999,Q71&lt;&gt;INT(Q71),R71&lt;1,R71&gt;12,R71&lt;&gt;INT(R71)),"E_INVALID_DATE",""))),IF(M71="YEAR",IF(Q71="","E_MISSING_INPUT",IF(NOT(ISNUMBER(Q71)),"E_INVALID_DATE",IF(OR(Q71&lt;1900,Q71&gt;9999,Q71&lt;&gt;INT(Q71)),"E_INVALID_DATE",""))),IF(M71="RANGE",IF(OR(S71="",T71=""),"E_MISSING_INPUT",IF(OR(NOT(ISNUMBER(S71)),NOT(ISNUMBER(T71))),"E_INVALID_DATE",IF(OR(S71&lt;&gt;INT(S71),T71&lt;&gt;INT(T71)),"E_INVALID_DATE",IF(S71&gt;T71,"E_REVERSED_BOUNDS","")))),"E_MISSING_INPUT")))))))</f>
        <v/>
      </c>
      <c r="W71" s="22">
        <f t="shared" si="20"/>
        <v>0</v>
      </c>
      <c r="X71" s="22">
        <f t="shared" si="21"/>
        <v>0</v>
      </c>
      <c r="Y71" s="28">
        <f t="shared" si="22"/>
        <v>46208</v>
      </c>
      <c r="Z71" s="28">
        <f t="shared" si="23"/>
        <v>46208</v>
      </c>
      <c r="AA71" s="22" t="str">
        <f t="shared" si="24"/>
        <v/>
      </c>
      <c r="AB71" s="22" t="str">
        <f t="shared" si="25"/>
        <v/>
      </c>
      <c r="AC71" s="21" t="str">
        <f t="shared" si="26"/>
        <v>VEC-V29|1|MS-FLU</v>
      </c>
      <c r="AD71" s="21" t="str">
        <f t="shared" si="27"/>
        <v>VEC-V29|1</v>
      </c>
      <c r="AE71" s="22">
        <f t="shared" si="28"/>
        <v>0</v>
      </c>
      <c r="AF71" s="22">
        <f>IF(AC71="",0,COUNTIF(nMS_Key,AC71))</f>
        <v>1</v>
      </c>
      <c r="AG71" s="21" t="str">
        <f t="shared" si="29"/>
        <v/>
      </c>
      <c r="AH71" s="21" t="str">
        <f>IF(AG71="","",AG71&amp;": "&amp;SUBSTITUTE(IFERROR(INDEX(nMSG_Text,MATCH(AG71,nMSG_Code,0)),""),"[input]",IF(C71="","a Milestone_ID",IF(D71="","a milestone Type","the date fields required by the selected precision"))))</f>
        <v/>
      </c>
    </row>
    <row r="72" spans="1:34" x14ac:dyDescent="0.2">
      <c r="A72" s="9" t="s">
        <v>367</v>
      </c>
      <c r="B72" s="11">
        <v>1</v>
      </c>
      <c r="C72" s="9" t="s">
        <v>864</v>
      </c>
      <c r="D72" s="16" t="s">
        <v>126</v>
      </c>
      <c r="E72" s="9"/>
      <c r="F72" s="9" t="s">
        <v>865</v>
      </c>
      <c r="G72" s="16"/>
      <c r="H72" s="9"/>
      <c r="I72" s="9"/>
      <c r="J72" s="16"/>
      <c r="K72" s="9"/>
      <c r="L72" s="9" t="s">
        <v>870</v>
      </c>
      <c r="M72" s="16" t="s">
        <v>4</v>
      </c>
      <c r="N72" s="14">
        <v>46211</v>
      </c>
      <c r="O72" s="25"/>
      <c r="P72" s="9"/>
      <c r="Q72" s="11"/>
      <c r="R72" s="11"/>
      <c r="S72" s="14"/>
      <c r="T72" s="14"/>
      <c r="U72" s="9" t="s">
        <v>564</v>
      </c>
      <c r="V72" s="21" t="str">
        <f>IF(COUNTA(M72:T72)=0,"",IF(M72="","E_MISSING_INPUT",IF(M72="TIMESTAMP",IF(OR(N72="",O72="",P72=""),"E_MISSING_INPUT",IF(OR(NOT(ISNUMBER(N72)),NOT(ISNUMBER(O72))),"E_INVALID_DATE",IF(OR(N72&lt;&gt;INT(N72),O72&lt;0,O72&gt;=1),"E_INVALID_DATE",IF(ISNA(MATCH(P72,nLIST_Offset,0)),"E_INVALID_DATE","")))),IF(M72="DATE",IF(N72="","E_MISSING_INPUT",IF(NOT(ISNUMBER(N72)),"E_INVALID_DATE",IF(N72&lt;&gt;INT(N72),"E_INVALID_DATE",""))),IF(M72="MONTH",IF(OR(Q72="",R72=""),"E_MISSING_INPUT",IF(OR(NOT(ISNUMBER(Q72)),NOT(ISNUMBER(R72))),"E_INVALID_DATE",IF(OR(Q72&lt;1900,Q72&gt;9999,Q72&lt;&gt;INT(Q72),R72&lt;1,R72&gt;12,R72&lt;&gt;INT(R72)),"E_INVALID_DATE",""))),IF(M72="YEAR",IF(Q72="","E_MISSING_INPUT",IF(NOT(ISNUMBER(Q72)),"E_INVALID_DATE",IF(OR(Q72&lt;1900,Q72&gt;9999,Q72&lt;&gt;INT(Q72)),"E_INVALID_DATE",""))),IF(M72="RANGE",IF(OR(S72="",T72=""),"E_MISSING_INPUT",IF(OR(NOT(ISNUMBER(S72)),NOT(ISNUMBER(T72))),"E_INVALID_DATE",IF(OR(S72&lt;&gt;INT(S72),T72&lt;&gt;INT(T72)),"E_INVALID_DATE",IF(S72&gt;T72,"E_REVERSED_BOUNDS","")))),"E_MISSING_INPUT")))))))</f>
        <v/>
      </c>
      <c r="W72" s="22">
        <f t="shared" si="20"/>
        <v>0</v>
      </c>
      <c r="X72" s="22">
        <f t="shared" si="21"/>
        <v>0</v>
      </c>
      <c r="Y72" s="28">
        <f t="shared" si="22"/>
        <v>46211</v>
      </c>
      <c r="Z72" s="28">
        <f t="shared" si="23"/>
        <v>46211</v>
      </c>
      <c r="AA72" s="22" t="str">
        <f t="shared" si="24"/>
        <v/>
      </c>
      <c r="AB72" s="22" t="str">
        <f t="shared" si="25"/>
        <v/>
      </c>
      <c r="AC72" s="21" t="str">
        <f t="shared" si="26"/>
        <v>VEC-V30|1|MS-REC</v>
      </c>
      <c r="AD72" s="21" t="str">
        <f t="shared" si="27"/>
        <v>VEC-V30|1</v>
      </c>
      <c r="AE72" s="22">
        <f t="shared" si="28"/>
        <v>0</v>
      </c>
      <c r="AF72" s="22">
        <f>IF(AC72="",0,COUNTIF(nMS_Key,AC72))</f>
        <v>1</v>
      </c>
      <c r="AG72" s="21" t="str">
        <f t="shared" si="29"/>
        <v/>
      </c>
      <c r="AH72" s="21" t="str">
        <f>IF(AG72="","",AG72&amp;": "&amp;SUBSTITUTE(IFERROR(INDEX(nMSG_Text,MATCH(AG72,nMSG_Code,0)),""),"[input]",IF(C72="","a Milestone_ID",IF(D72="","a milestone Type","the date fields required by the selected precision"))))</f>
        <v/>
      </c>
    </row>
    <row r="73" spans="1:34" x14ac:dyDescent="0.2">
      <c r="A73" s="9" t="s">
        <v>367</v>
      </c>
      <c r="B73" s="11">
        <v>1</v>
      </c>
      <c r="C73" s="9" t="s">
        <v>874</v>
      </c>
      <c r="D73" s="16" t="s">
        <v>125</v>
      </c>
      <c r="E73" s="9"/>
      <c r="F73" s="9" t="s">
        <v>875</v>
      </c>
      <c r="G73" s="16"/>
      <c r="H73" s="9"/>
      <c r="I73" s="9"/>
      <c r="J73" s="16"/>
      <c r="K73" s="9"/>
      <c r="L73" s="9" t="s">
        <v>876</v>
      </c>
      <c r="M73" s="16" t="s">
        <v>4</v>
      </c>
      <c r="N73" s="14">
        <v>46206</v>
      </c>
      <c r="O73" s="25"/>
      <c r="P73" s="9"/>
      <c r="Q73" s="11"/>
      <c r="R73" s="11"/>
      <c r="S73" s="14"/>
      <c r="T73" s="14"/>
      <c r="U73" s="9" t="s">
        <v>564</v>
      </c>
      <c r="V73" s="21" t="str">
        <f>IF(COUNTA(M73:T73)=0,"",IF(M73="","E_MISSING_INPUT",IF(M73="TIMESTAMP",IF(OR(N73="",O73="",P73=""),"E_MISSING_INPUT",IF(OR(NOT(ISNUMBER(N73)),NOT(ISNUMBER(O73))),"E_INVALID_DATE",IF(OR(N73&lt;&gt;INT(N73),O73&lt;0,O73&gt;=1),"E_INVALID_DATE",IF(ISNA(MATCH(P73,nLIST_Offset,0)),"E_INVALID_DATE","")))),IF(M73="DATE",IF(N73="","E_MISSING_INPUT",IF(NOT(ISNUMBER(N73)),"E_INVALID_DATE",IF(N73&lt;&gt;INT(N73),"E_INVALID_DATE",""))),IF(M73="MONTH",IF(OR(Q73="",R73=""),"E_MISSING_INPUT",IF(OR(NOT(ISNUMBER(Q73)),NOT(ISNUMBER(R73))),"E_INVALID_DATE",IF(OR(Q73&lt;1900,Q73&gt;9999,Q73&lt;&gt;INT(Q73),R73&lt;1,R73&gt;12,R73&lt;&gt;INT(R73)),"E_INVALID_DATE",""))),IF(M73="YEAR",IF(Q73="","E_MISSING_INPUT",IF(NOT(ISNUMBER(Q73)),"E_INVALID_DATE",IF(OR(Q73&lt;1900,Q73&gt;9999,Q73&lt;&gt;INT(Q73)),"E_INVALID_DATE",""))),IF(M73="RANGE",IF(OR(S73="",T73=""),"E_MISSING_INPUT",IF(OR(NOT(ISNUMBER(S73)),NOT(ISNUMBER(T73))),"E_INVALID_DATE",IF(OR(S73&lt;&gt;INT(S73),T73&lt;&gt;INT(T73)),"E_INVALID_DATE",IF(S73&gt;T73,"E_REVERSED_BOUNDS","")))),"E_MISSING_INPUT")))))))</f>
        <v/>
      </c>
      <c r="W73" s="22">
        <f t="shared" si="20"/>
        <v>0</v>
      </c>
      <c r="X73" s="22">
        <f t="shared" si="21"/>
        <v>0</v>
      </c>
      <c r="Y73" s="28">
        <f t="shared" si="22"/>
        <v>46206</v>
      </c>
      <c r="Z73" s="28">
        <f t="shared" si="23"/>
        <v>46206</v>
      </c>
      <c r="AA73" s="22" t="str">
        <f t="shared" si="24"/>
        <v/>
      </c>
      <c r="AB73" s="22" t="str">
        <f t="shared" si="25"/>
        <v/>
      </c>
      <c r="AC73" s="21" t="str">
        <f t="shared" si="26"/>
        <v>VEC-V30|1|MS-PRE</v>
      </c>
      <c r="AD73" s="21" t="str">
        <f t="shared" si="27"/>
        <v>VEC-V30|1</v>
      </c>
      <c r="AE73" s="22">
        <f t="shared" si="28"/>
        <v>0</v>
      </c>
      <c r="AF73" s="22">
        <f>IF(AC73="",0,COUNTIF(nMS_Key,AC73))</f>
        <v>1</v>
      </c>
      <c r="AG73" s="21" t="str">
        <f t="shared" si="29"/>
        <v/>
      </c>
      <c r="AH73" s="21" t="str">
        <f>IF(AG73="","",AG73&amp;": "&amp;SUBSTITUTE(IFERROR(INDEX(nMSG_Text,MATCH(AG73,nMSG_Code,0)),""),"[input]",IF(C73="","a Milestone_ID",IF(D73="","a milestone Type","the date fields required by the selected precision"))))</f>
        <v/>
      </c>
    </row>
    <row r="74" spans="1:34" x14ac:dyDescent="0.2">
      <c r="A74" s="9" t="s">
        <v>367</v>
      </c>
      <c r="B74" s="11">
        <v>1</v>
      </c>
      <c r="C74" s="9" t="s">
        <v>877</v>
      </c>
      <c r="D74" s="16" t="s">
        <v>125</v>
      </c>
      <c r="E74" s="9"/>
      <c r="F74" s="9" t="s">
        <v>878</v>
      </c>
      <c r="G74" s="16"/>
      <c r="H74" s="9"/>
      <c r="I74" s="9"/>
      <c r="J74" s="16"/>
      <c r="K74" s="9"/>
      <c r="L74" s="9" t="s">
        <v>879</v>
      </c>
      <c r="M74" s="16" t="s">
        <v>4</v>
      </c>
      <c r="N74" s="14">
        <v>46212</v>
      </c>
      <c r="O74" s="25"/>
      <c r="P74" s="9"/>
      <c r="Q74" s="11"/>
      <c r="R74" s="11"/>
      <c r="S74" s="14"/>
      <c r="T74" s="14"/>
      <c r="U74" s="9" t="s">
        <v>564</v>
      </c>
      <c r="V74" s="21" t="str">
        <f>IF(COUNTA(M74:T74)=0,"",IF(M74="","E_MISSING_INPUT",IF(M74="TIMESTAMP",IF(OR(N74="",O74="",P74=""),"E_MISSING_INPUT",IF(OR(NOT(ISNUMBER(N74)),NOT(ISNUMBER(O74))),"E_INVALID_DATE",IF(OR(N74&lt;&gt;INT(N74),O74&lt;0,O74&gt;=1),"E_INVALID_DATE",IF(ISNA(MATCH(P74,nLIST_Offset,0)),"E_INVALID_DATE","")))),IF(M74="DATE",IF(N74="","E_MISSING_INPUT",IF(NOT(ISNUMBER(N74)),"E_INVALID_DATE",IF(N74&lt;&gt;INT(N74),"E_INVALID_DATE",""))),IF(M74="MONTH",IF(OR(Q74="",R74=""),"E_MISSING_INPUT",IF(OR(NOT(ISNUMBER(Q74)),NOT(ISNUMBER(R74))),"E_INVALID_DATE",IF(OR(Q74&lt;1900,Q74&gt;9999,Q74&lt;&gt;INT(Q74),R74&lt;1,R74&gt;12,R74&lt;&gt;INT(R74)),"E_INVALID_DATE",""))),IF(M74="YEAR",IF(Q74="","E_MISSING_INPUT",IF(NOT(ISNUMBER(Q74)),"E_INVALID_DATE",IF(OR(Q74&lt;1900,Q74&gt;9999,Q74&lt;&gt;INT(Q74)),"E_INVALID_DATE",""))),IF(M74="RANGE",IF(OR(S74="",T74=""),"E_MISSING_INPUT",IF(OR(NOT(ISNUMBER(S74)),NOT(ISNUMBER(T74))),"E_INVALID_DATE",IF(OR(S74&lt;&gt;INT(S74),T74&lt;&gt;INT(T74)),"E_INVALID_DATE",IF(S74&gt;T74,"E_REVERSED_BOUNDS","")))),"E_MISSING_INPUT")))))))</f>
        <v/>
      </c>
      <c r="W74" s="22">
        <f t="shared" si="20"/>
        <v>0</v>
      </c>
      <c r="X74" s="22">
        <f t="shared" si="21"/>
        <v>0</v>
      </c>
      <c r="Y74" s="28">
        <f t="shared" si="22"/>
        <v>46212</v>
      </c>
      <c r="Z74" s="28">
        <f t="shared" si="23"/>
        <v>46212</v>
      </c>
      <c r="AA74" s="22" t="str">
        <f t="shared" si="24"/>
        <v/>
      </c>
      <c r="AB74" s="22" t="str">
        <f t="shared" si="25"/>
        <v/>
      </c>
      <c r="AC74" s="21" t="str">
        <f t="shared" si="26"/>
        <v>VEC-V30|1|MS-POST</v>
      </c>
      <c r="AD74" s="21" t="str">
        <f t="shared" si="27"/>
        <v>VEC-V30|1</v>
      </c>
      <c r="AE74" s="22">
        <f t="shared" si="28"/>
        <v>0</v>
      </c>
      <c r="AF74" s="22">
        <f>IF(AC74="",0,COUNTIF(nMS_Key,AC74))</f>
        <v>1</v>
      </c>
      <c r="AG74" s="21" t="str">
        <f t="shared" si="29"/>
        <v/>
      </c>
      <c r="AH74" s="21" t="str">
        <f>IF(AG74="","",AG74&amp;": "&amp;SUBSTITUTE(IFERROR(INDEX(nMSG_Text,MATCH(AG74,nMSG_Code,0)),""),"[input]",IF(C74="","a Milestone_ID",IF(D74="","a milestone Type","the date fields required by the selected precision"))))</f>
        <v/>
      </c>
    </row>
    <row r="75" spans="1:34" x14ac:dyDescent="0.2">
      <c r="A75" s="9" t="s">
        <v>369</v>
      </c>
      <c r="B75" s="11">
        <v>1</v>
      </c>
      <c r="C75" s="9" t="s">
        <v>764</v>
      </c>
      <c r="D75" s="16" t="s">
        <v>122</v>
      </c>
      <c r="E75" s="9"/>
      <c r="F75" s="9" t="s">
        <v>880</v>
      </c>
      <c r="G75" s="16"/>
      <c r="H75" s="9"/>
      <c r="I75" s="9"/>
      <c r="J75" s="16"/>
      <c r="K75" s="9"/>
      <c r="L75" s="9" t="s">
        <v>881</v>
      </c>
      <c r="M75" s="16" t="s">
        <v>4</v>
      </c>
      <c r="N75" s="14">
        <v>46096</v>
      </c>
      <c r="O75" s="25"/>
      <c r="P75" s="9"/>
      <c r="Q75" s="11"/>
      <c r="R75" s="11"/>
      <c r="S75" s="14"/>
      <c r="T75" s="14"/>
      <c r="U75" s="9" t="s">
        <v>571</v>
      </c>
      <c r="V75" s="21" t="str">
        <f>IF(COUNTA(M75:T75)=0,"",IF(M75="","E_MISSING_INPUT",IF(M75="TIMESTAMP",IF(OR(N75="",O75="",P75=""),"E_MISSING_INPUT",IF(OR(NOT(ISNUMBER(N75)),NOT(ISNUMBER(O75))),"E_INVALID_DATE",IF(OR(N75&lt;&gt;INT(N75),O75&lt;0,O75&gt;=1),"E_INVALID_DATE",IF(ISNA(MATCH(P75,nLIST_Offset,0)),"E_INVALID_DATE","")))),IF(M75="DATE",IF(N75="","E_MISSING_INPUT",IF(NOT(ISNUMBER(N75)),"E_INVALID_DATE",IF(N75&lt;&gt;INT(N75),"E_INVALID_DATE",""))),IF(M75="MONTH",IF(OR(Q75="",R75=""),"E_MISSING_INPUT",IF(OR(NOT(ISNUMBER(Q75)),NOT(ISNUMBER(R75))),"E_INVALID_DATE",IF(OR(Q75&lt;1900,Q75&gt;9999,Q75&lt;&gt;INT(Q75),R75&lt;1,R75&gt;12,R75&lt;&gt;INT(R75)),"E_INVALID_DATE",""))),IF(M75="YEAR",IF(Q75="","E_MISSING_INPUT",IF(NOT(ISNUMBER(Q75)),"E_INVALID_DATE",IF(OR(Q75&lt;1900,Q75&gt;9999,Q75&lt;&gt;INT(Q75)),"E_INVALID_DATE",""))),IF(M75="RANGE",IF(OR(S75="",T75=""),"E_MISSING_INPUT",IF(OR(NOT(ISNUMBER(S75)),NOT(ISNUMBER(T75))),"E_INVALID_DATE",IF(OR(S75&lt;&gt;INT(S75),T75&lt;&gt;INT(T75)),"E_INVALID_DATE",IF(S75&gt;T75,"E_REVERSED_BOUNDS","")))),"E_MISSING_INPUT")))))))</f>
        <v/>
      </c>
      <c r="W75" s="22">
        <f t="shared" si="20"/>
        <v>0</v>
      </c>
      <c r="X75" s="22">
        <f t="shared" si="21"/>
        <v>0</v>
      </c>
      <c r="Y75" s="28">
        <f t="shared" si="22"/>
        <v>46096</v>
      </c>
      <c r="Z75" s="28">
        <f t="shared" si="23"/>
        <v>46096</v>
      </c>
      <c r="AA75" s="22" t="str">
        <f t="shared" si="24"/>
        <v/>
      </c>
      <c r="AB75" s="22" t="str">
        <f t="shared" si="25"/>
        <v/>
      </c>
      <c r="AC75" s="21" t="str">
        <f t="shared" si="26"/>
        <v>VEC-V31|1|MS-NORMAL</v>
      </c>
      <c r="AD75" s="21" t="str">
        <f t="shared" si="27"/>
        <v>VEC-V31|1</v>
      </c>
      <c r="AE75" s="22">
        <f t="shared" si="28"/>
        <v>0</v>
      </c>
      <c r="AF75" s="22">
        <f>IF(AC75="",0,COUNTIF(nMS_Key,AC75))</f>
        <v>1</v>
      </c>
      <c r="AG75" s="21" t="str">
        <f t="shared" si="29"/>
        <v/>
      </c>
      <c r="AH75" s="21" t="str">
        <f>IF(AG75="","",AG75&amp;": "&amp;SUBSTITUTE(IFERROR(INDEX(nMSG_Text,MATCH(AG75,nMSG_Code,0)),""),"[input]",IF(C75="","a Milestone_ID",IF(D75="","a milestone Type","the date fields required by the selected precision"))))</f>
        <v/>
      </c>
    </row>
    <row r="76" spans="1:34" x14ac:dyDescent="0.2">
      <c r="A76" s="9" t="s">
        <v>369</v>
      </c>
      <c r="B76" s="11">
        <v>1</v>
      </c>
      <c r="C76" s="9" t="s">
        <v>766</v>
      </c>
      <c r="D76" s="16" t="s">
        <v>122</v>
      </c>
      <c r="E76" s="9"/>
      <c r="F76" s="9" t="s">
        <v>882</v>
      </c>
      <c r="G76" s="16"/>
      <c r="H76" s="9"/>
      <c r="I76" s="9"/>
      <c r="J76" s="16"/>
      <c r="K76" s="9"/>
      <c r="L76" s="9" t="s">
        <v>883</v>
      </c>
      <c r="M76" s="16" t="s">
        <v>4</v>
      </c>
      <c r="N76" s="14">
        <v>46110</v>
      </c>
      <c r="O76" s="25"/>
      <c r="P76" s="9"/>
      <c r="Q76" s="11"/>
      <c r="R76" s="11"/>
      <c r="S76" s="14"/>
      <c r="T76" s="14"/>
      <c r="U76" s="9" t="s">
        <v>571</v>
      </c>
      <c r="V76" s="21" t="str">
        <f>IF(COUNTA(M76:T76)=0,"",IF(M76="","E_MISSING_INPUT",IF(M76="TIMESTAMP",IF(OR(N76="",O76="",P76=""),"E_MISSING_INPUT",IF(OR(NOT(ISNUMBER(N76)),NOT(ISNUMBER(O76))),"E_INVALID_DATE",IF(OR(N76&lt;&gt;INT(N76),O76&lt;0,O76&gt;=1),"E_INVALID_DATE",IF(ISNA(MATCH(P76,nLIST_Offset,0)),"E_INVALID_DATE","")))),IF(M76="DATE",IF(N76="","E_MISSING_INPUT",IF(NOT(ISNUMBER(N76)),"E_INVALID_DATE",IF(N76&lt;&gt;INT(N76),"E_INVALID_DATE",""))),IF(M76="MONTH",IF(OR(Q76="",R76=""),"E_MISSING_INPUT",IF(OR(NOT(ISNUMBER(Q76)),NOT(ISNUMBER(R76))),"E_INVALID_DATE",IF(OR(Q76&lt;1900,Q76&gt;9999,Q76&lt;&gt;INT(Q76),R76&lt;1,R76&gt;12,R76&lt;&gt;INT(R76)),"E_INVALID_DATE",""))),IF(M76="YEAR",IF(Q76="","E_MISSING_INPUT",IF(NOT(ISNUMBER(Q76)),"E_INVALID_DATE",IF(OR(Q76&lt;1900,Q76&gt;9999,Q76&lt;&gt;INT(Q76)),"E_INVALID_DATE",""))),IF(M76="RANGE",IF(OR(S76="",T76=""),"E_MISSING_INPUT",IF(OR(NOT(ISNUMBER(S76)),NOT(ISNUMBER(T76))),"E_INVALID_DATE",IF(OR(S76&lt;&gt;INT(S76),T76&lt;&gt;INT(T76)),"E_INVALID_DATE",IF(S76&gt;T76,"E_REVERSED_BOUNDS","")))),"E_MISSING_INPUT")))))))</f>
        <v/>
      </c>
      <c r="W76" s="22">
        <f t="shared" si="20"/>
        <v>0</v>
      </c>
      <c r="X76" s="22">
        <f t="shared" si="21"/>
        <v>0</v>
      </c>
      <c r="Y76" s="28">
        <f t="shared" si="22"/>
        <v>46110</v>
      </c>
      <c r="Z76" s="28">
        <f t="shared" si="23"/>
        <v>46110</v>
      </c>
      <c r="AA76" s="22" t="str">
        <f t="shared" si="24"/>
        <v/>
      </c>
      <c r="AB76" s="22" t="str">
        <f t="shared" si="25"/>
        <v/>
      </c>
      <c r="AC76" s="21" t="str">
        <f t="shared" si="26"/>
        <v>VEC-V31|1|MS-ABNORMAL</v>
      </c>
      <c r="AD76" s="21" t="str">
        <f t="shared" si="27"/>
        <v>VEC-V31|1</v>
      </c>
      <c r="AE76" s="22">
        <f t="shared" si="28"/>
        <v>0</v>
      </c>
      <c r="AF76" s="22">
        <f>IF(AC76="",0,COUNTIF(nMS_Key,AC76))</f>
        <v>1</v>
      </c>
      <c r="AG76" s="21" t="str">
        <f t="shared" si="29"/>
        <v/>
      </c>
      <c r="AH76" s="21" t="str">
        <f>IF(AG76="","",AG76&amp;": "&amp;SUBSTITUTE(IFERROR(INDEX(nMSG_Text,MATCH(AG76,nMSG_Code,0)),""),"[input]",IF(C76="","a Milestone_ID",IF(D76="","a milestone Type","the date fields required by the selected precision"))))</f>
        <v/>
      </c>
    </row>
  </sheetData>
  <sheetProtection sheet="1" objects="1" scenarios="1" formatColumns="0" formatRows="0" autoFilter="0"/>
  <autoFilter ref="A4:AH76" xr:uid="{37065C69-AFBF-4293-8349-3925F7D90DFA}"/>
  <dataValidations count="9">
    <dataValidation type="whole" operator="greaterThanOrEqual" allowBlank="1" showInputMessage="1" showErrorMessage="1" sqref="B5:B44" xr:uid="{DE8A2477-96AB-4DE4-995D-AFED829EF568}">
      <formula1>1</formula1>
    </dataValidation>
    <dataValidation type="list" allowBlank="1" showInputMessage="1" showErrorMessage="1" sqref="D5:D44" xr:uid="{EE0111C1-7979-41DE-9A76-E8181D716046}">
      <formula1>nLIST_MilestoneType</formula1>
    </dataValidation>
    <dataValidation type="list" errorStyle="information" allowBlank="1" showInputMessage="1" showErrorMessage="1" sqref="J5:J44" xr:uid="{DB43B7B1-E9DE-4D38-A271-93D446F718B3}">
      <formula1>nLIST_MissingReason</formula1>
    </dataValidation>
    <dataValidation type="list" allowBlank="1" showInputMessage="1" showErrorMessage="1" prompt="TIMESTAMP: Date + Time + UTC offset (choose unknown if not recorded). DATE: Date only. MONTH: Year + Month. YEAR: Year. RANGE: earliest and latest dates as stated, with the source." sqref="M5:M44" xr:uid="{A2332B20-2AF5-4381-8C1C-26F2CF6C2FE9}">
      <formula1>nLIST_Precision</formula1>
    </dataValidation>
    <dataValidation type="date" allowBlank="1" showInputMessage="1" showErrorMessage="1" sqref="N5:N44 S5:S44 T5:T44" xr:uid="{0717C744-EE81-443C-A51B-F2DE1198DCE2}">
      <formula1>1</formula1>
      <formula2>2958465</formula2>
    </dataValidation>
    <dataValidation type="time" allowBlank="1" showInputMessage="1" showErrorMessage="1" sqref="O5:O44" xr:uid="{F34E932C-43D3-42D7-8ABA-112467821021}">
      <formula1>0</formula1>
      <formula2>0.9993055</formula2>
    </dataValidation>
    <dataValidation type="list" allowBlank="1" showInputMessage="1" showErrorMessage="1" sqref="P5:P44" xr:uid="{CABF6CC3-9448-4AE8-B8F7-A2AFDB28F9AD}">
      <formula1>nLIST_Offset</formula1>
    </dataValidation>
    <dataValidation type="whole" allowBlank="1" showInputMessage="1" showErrorMessage="1" sqref="Q5:Q44" xr:uid="{1B4FB9A6-F247-4EE9-9F5E-07E274EE0B9A}">
      <formula1>1900</formula1>
      <formula2>9999</formula2>
    </dataValidation>
    <dataValidation type="whole" allowBlank="1" showInputMessage="1" showErrorMessage="1" sqref="R5:R44" xr:uid="{72918309-7C82-4FDD-99F9-3B32EC48F5AB}">
      <formula1>1</formula1>
      <formula2>12</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936FE-CE63-4536-87B6-F17DC79D923F}">
  <dimension ref="A1:M58"/>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2" width="7.7109375" style="1" customWidth="1"/>
    <col min="3" max="3" width="8.7109375" style="1" customWidth="1"/>
    <col min="4" max="5" width="12.7109375" style="1" customWidth="1"/>
    <col min="6" max="6" width="40.7109375" style="1" customWidth="1"/>
    <col min="7" max="7" width="12.7109375" style="1" customWidth="1"/>
    <col min="8" max="8" width="14.7109375" style="1" customWidth="1"/>
    <col min="9" max="9" width="5.7109375" style="1" customWidth="1"/>
    <col min="10" max="11" width="6.7109375" style="1" customWidth="1"/>
    <col min="12" max="12" width="14.7109375" style="1" customWidth="1"/>
    <col min="13" max="13" width="40.7109375" style="1" customWidth="1"/>
    <col min="14" max="16384" width="9.140625" style="1"/>
  </cols>
  <sheetData>
    <row r="1" spans="1:13" ht="17.25" x14ac:dyDescent="0.3">
      <c r="A1" s="6" t="s">
        <v>884</v>
      </c>
    </row>
    <row r="2" spans="1:13" x14ac:dyDescent="0.2">
      <c r="A2" s="7" t="s">
        <v>278</v>
      </c>
    </row>
    <row r="3" spans="1:13" x14ac:dyDescent="0.2">
      <c r="A3" s="2" t="s">
        <v>885</v>
      </c>
      <c r="H3" s="2" t="s">
        <v>289</v>
      </c>
    </row>
    <row r="4" spans="1:13" ht="66" customHeight="1" x14ac:dyDescent="0.2">
      <c r="A4" s="8" t="s">
        <v>280</v>
      </c>
      <c r="B4" s="8" t="s">
        <v>281</v>
      </c>
      <c r="C4" s="8" t="s">
        <v>886</v>
      </c>
      <c r="D4" s="8" t="s">
        <v>580</v>
      </c>
      <c r="E4" s="8" t="s">
        <v>887</v>
      </c>
      <c r="F4" s="8" t="s">
        <v>888</v>
      </c>
      <c r="G4" s="8" t="s">
        <v>889</v>
      </c>
      <c r="H4" s="19" t="s">
        <v>890</v>
      </c>
      <c r="I4" s="19" t="s">
        <v>291</v>
      </c>
      <c r="J4" s="19" t="s">
        <v>645</v>
      </c>
      <c r="K4" s="19" t="s">
        <v>891</v>
      </c>
      <c r="L4" s="19" t="s">
        <v>451</v>
      </c>
      <c r="M4" s="19" t="s">
        <v>293</v>
      </c>
    </row>
    <row r="5" spans="1:13" x14ac:dyDescent="0.2">
      <c r="A5" s="10"/>
      <c r="B5" s="12"/>
      <c r="C5" s="10"/>
      <c r="D5" s="10"/>
      <c r="E5" s="10"/>
      <c r="F5" s="10"/>
      <c r="G5" s="10"/>
      <c r="H5" s="21" t="str">
        <f t="shared" ref="H5:H24" si="0">IF(C5="","",A5&amp;"|"&amp;B5&amp;"|"&amp;C5)</f>
        <v/>
      </c>
      <c r="I5" s="22">
        <f>IF(H5="",0,COUNTIF(nLNK_Key,H5))</f>
        <v>0</v>
      </c>
      <c r="J5" s="22">
        <f>IF(C5="",1,IF(COUNTIF(nEXP_Key,A5&amp;"|"&amp;B5&amp;"|"&amp;D5)&gt;0,1,0))</f>
        <v>1</v>
      </c>
      <c r="K5" s="22">
        <f>IF(C5="",1,IF(COUNTIF(nEVT_Key,A5&amp;"|"&amp;B5&amp;"|"&amp;E5)&gt;0,1,0))</f>
        <v>1</v>
      </c>
      <c r="L5" s="21" t="str">
        <f t="shared" ref="L5:L24" si="1">IF(C5="",IF(COUNTA(D5,E5)&gt;0,"E_MISSING_INPUT",""),IF(I5&gt;1,"E_DUPLICATE_ID",IF(OR(J5=0,K5=0,F5=""),"E_MISSING_INPUT","")))</f>
        <v/>
      </c>
      <c r="M5" s="21" t="str">
        <f>IF(L5="","",L5&amp;": "&amp;SUBSTITUTE(IFERROR(INDEX(nMSG_Text,MATCH(L5,nMSG_Code,0)),""),"[input]",IF(C5="","a Link_ID",IF(J5=0,"an Exposures row for "&amp;D5,IF(K5=0,"an Events row for "&amp;E5,"a reason for the pairing")))))</f>
        <v/>
      </c>
    </row>
    <row r="6" spans="1:13" x14ac:dyDescent="0.2">
      <c r="A6" s="10"/>
      <c r="B6" s="12"/>
      <c r="C6" s="10"/>
      <c r="D6" s="10"/>
      <c r="E6" s="10"/>
      <c r="F6" s="10"/>
      <c r="G6" s="10"/>
      <c r="H6" s="21" t="str">
        <f t="shared" si="0"/>
        <v/>
      </c>
      <c r="I6" s="22">
        <f>IF(H6="",0,COUNTIF(nLNK_Key,H6))</f>
        <v>0</v>
      </c>
      <c r="J6" s="22">
        <f>IF(C6="",1,IF(COUNTIF(nEXP_Key,A6&amp;"|"&amp;B6&amp;"|"&amp;D6)&gt;0,1,0))</f>
        <v>1</v>
      </c>
      <c r="K6" s="22">
        <f>IF(C6="",1,IF(COUNTIF(nEVT_Key,A6&amp;"|"&amp;B6&amp;"|"&amp;E6)&gt;0,1,0))</f>
        <v>1</v>
      </c>
      <c r="L6" s="21" t="str">
        <f t="shared" si="1"/>
        <v/>
      </c>
      <c r="M6" s="21" t="str">
        <f>IF(L6="","",L6&amp;": "&amp;SUBSTITUTE(IFERROR(INDEX(nMSG_Text,MATCH(L6,nMSG_Code,0)),""),"[input]",IF(C6="","a Link_ID",IF(J6=0,"an Exposures row for "&amp;D6,IF(K6=0,"an Events row for "&amp;E6,"a reason for the pairing")))))</f>
        <v/>
      </c>
    </row>
    <row r="7" spans="1:13" x14ac:dyDescent="0.2">
      <c r="A7" s="10"/>
      <c r="B7" s="12"/>
      <c r="C7" s="10"/>
      <c r="D7" s="10"/>
      <c r="E7" s="10"/>
      <c r="F7" s="10"/>
      <c r="G7" s="10"/>
      <c r="H7" s="21" t="str">
        <f t="shared" si="0"/>
        <v/>
      </c>
      <c r="I7" s="22">
        <f>IF(H7="",0,COUNTIF(nLNK_Key,H7))</f>
        <v>0</v>
      </c>
      <c r="J7" s="22">
        <f>IF(C7="",1,IF(COUNTIF(nEXP_Key,A7&amp;"|"&amp;B7&amp;"|"&amp;D7)&gt;0,1,0))</f>
        <v>1</v>
      </c>
      <c r="K7" s="22">
        <f>IF(C7="",1,IF(COUNTIF(nEVT_Key,A7&amp;"|"&amp;B7&amp;"|"&amp;E7)&gt;0,1,0))</f>
        <v>1</v>
      </c>
      <c r="L7" s="21" t="str">
        <f t="shared" si="1"/>
        <v/>
      </c>
      <c r="M7" s="21" t="str">
        <f>IF(L7="","",L7&amp;": "&amp;SUBSTITUTE(IFERROR(INDEX(nMSG_Text,MATCH(L7,nMSG_Code,0)),""),"[input]",IF(C7="","a Link_ID",IF(J7=0,"an Exposures row for "&amp;D7,IF(K7=0,"an Events row for "&amp;E7,"a reason for the pairing")))))</f>
        <v/>
      </c>
    </row>
    <row r="8" spans="1:13" x14ac:dyDescent="0.2">
      <c r="A8" s="10"/>
      <c r="B8" s="12"/>
      <c r="C8" s="10"/>
      <c r="D8" s="10"/>
      <c r="E8" s="10"/>
      <c r="F8" s="10"/>
      <c r="G8" s="10"/>
      <c r="H8" s="21" t="str">
        <f t="shared" si="0"/>
        <v/>
      </c>
      <c r="I8" s="22">
        <f>IF(H8="",0,COUNTIF(nLNK_Key,H8))</f>
        <v>0</v>
      </c>
      <c r="J8" s="22">
        <f>IF(C8="",1,IF(COUNTIF(nEXP_Key,A8&amp;"|"&amp;B8&amp;"|"&amp;D8)&gt;0,1,0))</f>
        <v>1</v>
      </c>
      <c r="K8" s="22">
        <f>IF(C8="",1,IF(COUNTIF(nEVT_Key,A8&amp;"|"&amp;B8&amp;"|"&amp;E8)&gt;0,1,0))</f>
        <v>1</v>
      </c>
      <c r="L8" s="21" t="str">
        <f t="shared" si="1"/>
        <v/>
      </c>
      <c r="M8" s="21" t="str">
        <f>IF(L8="","",L8&amp;": "&amp;SUBSTITUTE(IFERROR(INDEX(nMSG_Text,MATCH(L8,nMSG_Code,0)),""),"[input]",IF(C8="","a Link_ID",IF(J8=0,"an Exposures row for "&amp;D8,IF(K8=0,"an Events row for "&amp;E8,"a reason for the pairing")))))</f>
        <v/>
      </c>
    </row>
    <row r="9" spans="1:13" x14ac:dyDescent="0.2">
      <c r="A9" s="10"/>
      <c r="B9" s="12"/>
      <c r="C9" s="10"/>
      <c r="D9" s="10"/>
      <c r="E9" s="10"/>
      <c r="F9" s="10"/>
      <c r="G9" s="10"/>
      <c r="H9" s="21" t="str">
        <f t="shared" si="0"/>
        <v/>
      </c>
      <c r="I9" s="22">
        <f>IF(H9="",0,COUNTIF(nLNK_Key,H9))</f>
        <v>0</v>
      </c>
      <c r="J9" s="22">
        <f>IF(C9="",1,IF(COUNTIF(nEXP_Key,A9&amp;"|"&amp;B9&amp;"|"&amp;D9)&gt;0,1,0))</f>
        <v>1</v>
      </c>
      <c r="K9" s="22">
        <f>IF(C9="",1,IF(COUNTIF(nEVT_Key,A9&amp;"|"&amp;B9&amp;"|"&amp;E9)&gt;0,1,0))</f>
        <v>1</v>
      </c>
      <c r="L9" s="21" t="str">
        <f t="shared" si="1"/>
        <v/>
      </c>
      <c r="M9" s="21" t="str">
        <f>IF(L9="","",L9&amp;": "&amp;SUBSTITUTE(IFERROR(INDEX(nMSG_Text,MATCH(L9,nMSG_Code,0)),""),"[input]",IF(C9="","a Link_ID",IF(J9=0,"an Exposures row for "&amp;D9,IF(K9=0,"an Events row for "&amp;E9,"a reason for the pairing")))))</f>
        <v/>
      </c>
    </row>
    <row r="10" spans="1:13" x14ac:dyDescent="0.2">
      <c r="A10" s="10"/>
      <c r="B10" s="12"/>
      <c r="C10" s="10"/>
      <c r="D10" s="10"/>
      <c r="E10" s="10"/>
      <c r="F10" s="10"/>
      <c r="G10" s="10"/>
      <c r="H10" s="21" t="str">
        <f t="shared" si="0"/>
        <v/>
      </c>
      <c r="I10" s="22">
        <f>IF(H10="",0,COUNTIF(nLNK_Key,H10))</f>
        <v>0</v>
      </c>
      <c r="J10" s="22">
        <f>IF(C10="",1,IF(COUNTIF(nEXP_Key,A10&amp;"|"&amp;B10&amp;"|"&amp;D10)&gt;0,1,0))</f>
        <v>1</v>
      </c>
      <c r="K10" s="22">
        <f>IF(C10="",1,IF(COUNTIF(nEVT_Key,A10&amp;"|"&amp;B10&amp;"|"&amp;E10)&gt;0,1,0))</f>
        <v>1</v>
      </c>
      <c r="L10" s="21" t="str">
        <f t="shared" si="1"/>
        <v/>
      </c>
      <c r="M10" s="21" t="str">
        <f>IF(L10="","",L10&amp;": "&amp;SUBSTITUTE(IFERROR(INDEX(nMSG_Text,MATCH(L10,nMSG_Code,0)),""),"[input]",IF(C10="","a Link_ID",IF(J10=0,"an Exposures row for "&amp;D10,IF(K10=0,"an Events row for "&amp;E10,"a reason for the pairing")))))</f>
        <v/>
      </c>
    </row>
    <row r="11" spans="1:13" x14ac:dyDescent="0.2">
      <c r="A11" s="10"/>
      <c r="B11" s="12"/>
      <c r="C11" s="10"/>
      <c r="D11" s="10"/>
      <c r="E11" s="10"/>
      <c r="F11" s="10"/>
      <c r="G11" s="10"/>
      <c r="H11" s="21" t="str">
        <f t="shared" si="0"/>
        <v/>
      </c>
      <c r="I11" s="22">
        <f>IF(H11="",0,COUNTIF(nLNK_Key,H11))</f>
        <v>0</v>
      </c>
      <c r="J11" s="22">
        <f>IF(C11="",1,IF(COUNTIF(nEXP_Key,A11&amp;"|"&amp;B11&amp;"|"&amp;D11)&gt;0,1,0))</f>
        <v>1</v>
      </c>
      <c r="K11" s="22">
        <f>IF(C11="",1,IF(COUNTIF(nEVT_Key,A11&amp;"|"&amp;B11&amp;"|"&amp;E11)&gt;0,1,0))</f>
        <v>1</v>
      </c>
      <c r="L11" s="21" t="str">
        <f t="shared" si="1"/>
        <v/>
      </c>
      <c r="M11" s="21" t="str">
        <f>IF(L11="","",L11&amp;": "&amp;SUBSTITUTE(IFERROR(INDEX(nMSG_Text,MATCH(L11,nMSG_Code,0)),""),"[input]",IF(C11="","a Link_ID",IF(J11=0,"an Exposures row for "&amp;D11,IF(K11=0,"an Events row for "&amp;E11,"a reason for the pairing")))))</f>
        <v/>
      </c>
    </row>
    <row r="12" spans="1:13" x14ac:dyDescent="0.2">
      <c r="A12" s="10"/>
      <c r="B12" s="12"/>
      <c r="C12" s="10"/>
      <c r="D12" s="10"/>
      <c r="E12" s="10"/>
      <c r="F12" s="10"/>
      <c r="G12" s="10"/>
      <c r="H12" s="21" t="str">
        <f t="shared" si="0"/>
        <v/>
      </c>
      <c r="I12" s="22">
        <f>IF(H12="",0,COUNTIF(nLNK_Key,H12))</f>
        <v>0</v>
      </c>
      <c r="J12" s="22">
        <f>IF(C12="",1,IF(COUNTIF(nEXP_Key,A12&amp;"|"&amp;B12&amp;"|"&amp;D12)&gt;0,1,0))</f>
        <v>1</v>
      </c>
      <c r="K12" s="22">
        <f>IF(C12="",1,IF(COUNTIF(nEVT_Key,A12&amp;"|"&amp;B12&amp;"|"&amp;E12)&gt;0,1,0))</f>
        <v>1</v>
      </c>
      <c r="L12" s="21" t="str">
        <f t="shared" si="1"/>
        <v/>
      </c>
      <c r="M12" s="21" t="str">
        <f>IF(L12="","",L12&amp;": "&amp;SUBSTITUTE(IFERROR(INDEX(nMSG_Text,MATCH(L12,nMSG_Code,0)),""),"[input]",IF(C12="","a Link_ID",IF(J12=0,"an Exposures row for "&amp;D12,IF(K12=0,"an Events row for "&amp;E12,"a reason for the pairing")))))</f>
        <v/>
      </c>
    </row>
    <row r="13" spans="1:13" x14ac:dyDescent="0.2">
      <c r="A13" s="10"/>
      <c r="B13" s="12"/>
      <c r="C13" s="10"/>
      <c r="D13" s="10"/>
      <c r="E13" s="10"/>
      <c r="F13" s="10"/>
      <c r="G13" s="10"/>
      <c r="H13" s="21" t="str">
        <f t="shared" si="0"/>
        <v/>
      </c>
      <c r="I13" s="22">
        <f>IF(H13="",0,COUNTIF(nLNK_Key,H13))</f>
        <v>0</v>
      </c>
      <c r="J13" s="22">
        <f>IF(C13="",1,IF(COUNTIF(nEXP_Key,A13&amp;"|"&amp;B13&amp;"|"&amp;D13)&gt;0,1,0))</f>
        <v>1</v>
      </c>
      <c r="K13" s="22">
        <f>IF(C13="",1,IF(COUNTIF(nEVT_Key,A13&amp;"|"&amp;B13&amp;"|"&amp;E13)&gt;0,1,0))</f>
        <v>1</v>
      </c>
      <c r="L13" s="21" t="str">
        <f t="shared" si="1"/>
        <v/>
      </c>
      <c r="M13" s="21" t="str">
        <f>IF(L13="","",L13&amp;": "&amp;SUBSTITUTE(IFERROR(INDEX(nMSG_Text,MATCH(L13,nMSG_Code,0)),""),"[input]",IF(C13="","a Link_ID",IF(J13=0,"an Exposures row for "&amp;D13,IF(K13=0,"an Events row for "&amp;E13,"a reason for the pairing")))))</f>
        <v/>
      </c>
    </row>
    <row r="14" spans="1:13" x14ac:dyDescent="0.2">
      <c r="A14" s="10"/>
      <c r="B14" s="12"/>
      <c r="C14" s="10"/>
      <c r="D14" s="10"/>
      <c r="E14" s="10"/>
      <c r="F14" s="10"/>
      <c r="G14" s="10"/>
      <c r="H14" s="21" t="str">
        <f t="shared" si="0"/>
        <v/>
      </c>
      <c r="I14" s="22">
        <f>IF(H14="",0,COUNTIF(nLNK_Key,H14))</f>
        <v>0</v>
      </c>
      <c r="J14" s="22">
        <f>IF(C14="",1,IF(COUNTIF(nEXP_Key,A14&amp;"|"&amp;B14&amp;"|"&amp;D14)&gt;0,1,0))</f>
        <v>1</v>
      </c>
      <c r="K14" s="22">
        <f>IF(C14="",1,IF(COUNTIF(nEVT_Key,A14&amp;"|"&amp;B14&amp;"|"&amp;E14)&gt;0,1,0))</f>
        <v>1</v>
      </c>
      <c r="L14" s="21" t="str">
        <f t="shared" si="1"/>
        <v/>
      </c>
      <c r="M14" s="21" t="str">
        <f>IF(L14="","",L14&amp;": "&amp;SUBSTITUTE(IFERROR(INDEX(nMSG_Text,MATCH(L14,nMSG_Code,0)),""),"[input]",IF(C14="","a Link_ID",IF(J14=0,"an Exposures row for "&amp;D14,IF(K14=0,"an Events row for "&amp;E14,"a reason for the pairing")))))</f>
        <v/>
      </c>
    </row>
    <row r="15" spans="1:13" x14ac:dyDescent="0.2">
      <c r="A15" s="10"/>
      <c r="B15" s="12"/>
      <c r="C15" s="10"/>
      <c r="D15" s="10"/>
      <c r="E15" s="10"/>
      <c r="F15" s="10"/>
      <c r="G15" s="10"/>
      <c r="H15" s="21" t="str">
        <f t="shared" si="0"/>
        <v/>
      </c>
      <c r="I15" s="22">
        <f>IF(H15="",0,COUNTIF(nLNK_Key,H15))</f>
        <v>0</v>
      </c>
      <c r="J15" s="22">
        <f>IF(C15="",1,IF(COUNTIF(nEXP_Key,A15&amp;"|"&amp;B15&amp;"|"&amp;D15)&gt;0,1,0))</f>
        <v>1</v>
      </c>
      <c r="K15" s="22">
        <f>IF(C15="",1,IF(COUNTIF(nEVT_Key,A15&amp;"|"&amp;B15&amp;"|"&amp;E15)&gt;0,1,0))</f>
        <v>1</v>
      </c>
      <c r="L15" s="21" t="str">
        <f t="shared" si="1"/>
        <v/>
      </c>
      <c r="M15" s="21" t="str">
        <f>IF(L15="","",L15&amp;": "&amp;SUBSTITUTE(IFERROR(INDEX(nMSG_Text,MATCH(L15,nMSG_Code,0)),""),"[input]",IF(C15="","a Link_ID",IF(J15=0,"an Exposures row for "&amp;D15,IF(K15=0,"an Events row for "&amp;E15,"a reason for the pairing")))))</f>
        <v/>
      </c>
    </row>
    <row r="16" spans="1:13" x14ac:dyDescent="0.2">
      <c r="A16" s="10"/>
      <c r="B16" s="12"/>
      <c r="C16" s="10"/>
      <c r="D16" s="10"/>
      <c r="E16" s="10"/>
      <c r="F16" s="10"/>
      <c r="G16" s="10"/>
      <c r="H16" s="21" t="str">
        <f t="shared" si="0"/>
        <v/>
      </c>
      <c r="I16" s="22">
        <f>IF(H16="",0,COUNTIF(nLNK_Key,H16))</f>
        <v>0</v>
      </c>
      <c r="J16" s="22">
        <f>IF(C16="",1,IF(COUNTIF(nEXP_Key,A16&amp;"|"&amp;B16&amp;"|"&amp;D16)&gt;0,1,0))</f>
        <v>1</v>
      </c>
      <c r="K16" s="22">
        <f>IF(C16="",1,IF(COUNTIF(nEVT_Key,A16&amp;"|"&amp;B16&amp;"|"&amp;E16)&gt;0,1,0))</f>
        <v>1</v>
      </c>
      <c r="L16" s="21" t="str">
        <f t="shared" si="1"/>
        <v/>
      </c>
      <c r="M16" s="21" t="str">
        <f>IF(L16="","",L16&amp;": "&amp;SUBSTITUTE(IFERROR(INDEX(nMSG_Text,MATCH(L16,nMSG_Code,0)),""),"[input]",IF(C16="","a Link_ID",IF(J16=0,"an Exposures row for "&amp;D16,IF(K16=0,"an Events row for "&amp;E16,"a reason for the pairing")))))</f>
        <v/>
      </c>
    </row>
    <row r="17" spans="1:13" x14ac:dyDescent="0.2">
      <c r="A17" s="10"/>
      <c r="B17" s="12"/>
      <c r="C17" s="10"/>
      <c r="D17" s="10"/>
      <c r="E17" s="10"/>
      <c r="F17" s="10"/>
      <c r="G17" s="10"/>
      <c r="H17" s="21" t="str">
        <f t="shared" si="0"/>
        <v/>
      </c>
      <c r="I17" s="22">
        <f>IF(H17="",0,COUNTIF(nLNK_Key,H17))</f>
        <v>0</v>
      </c>
      <c r="J17" s="22">
        <f>IF(C17="",1,IF(COUNTIF(nEXP_Key,A17&amp;"|"&amp;B17&amp;"|"&amp;D17)&gt;0,1,0))</f>
        <v>1</v>
      </c>
      <c r="K17" s="22">
        <f>IF(C17="",1,IF(COUNTIF(nEVT_Key,A17&amp;"|"&amp;B17&amp;"|"&amp;E17)&gt;0,1,0))</f>
        <v>1</v>
      </c>
      <c r="L17" s="21" t="str">
        <f t="shared" si="1"/>
        <v/>
      </c>
      <c r="M17" s="21" t="str">
        <f>IF(L17="","",L17&amp;": "&amp;SUBSTITUTE(IFERROR(INDEX(nMSG_Text,MATCH(L17,nMSG_Code,0)),""),"[input]",IF(C17="","a Link_ID",IF(J17=0,"an Exposures row for "&amp;D17,IF(K17=0,"an Events row for "&amp;E17,"a reason for the pairing")))))</f>
        <v/>
      </c>
    </row>
    <row r="18" spans="1:13" x14ac:dyDescent="0.2">
      <c r="A18" s="10"/>
      <c r="B18" s="12"/>
      <c r="C18" s="10"/>
      <c r="D18" s="10"/>
      <c r="E18" s="10"/>
      <c r="F18" s="10"/>
      <c r="G18" s="10"/>
      <c r="H18" s="21" t="str">
        <f t="shared" si="0"/>
        <v/>
      </c>
      <c r="I18" s="22">
        <f>IF(H18="",0,COUNTIF(nLNK_Key,H18))</f>
        <v>0</v>
      </c>
      <c r="J18" s="22">
        <f>IF(C18="",1,IF(COUNTIF(nEXP_Key,A18&amp;"|"&amp;B18&amp;"|"&amp;D18)&gt;0,1,0))</f>
        <v>1</v>
      </c>
      <c r="K18" s="22">
        <f>IF(C18="",1,IF(COUNTIF(nEVT_Key,A18&amp;"|"&amp;B18&amp;"|"&amp;E18)&gt;0,1,0))</f>
        <v>1</v>
      </c>
      <c r="L18" s="21" t="str">
        <f t="shared" si="1"/>
        <v/>
      </c>
      <c r="M18" s="21" t="str">
        <f>IF(L18="","",L18&amp;": "&amp;SUBSTITUTE(IFERROR(INDEX(nMSG_Text,MATCH(L18,nMSG_Code,0)),""),"[input]",IF(C18="","a Link_ID",IF(J18=0,"an Exposures row for "&amp;D18,IF(K18=0,"an Events row for "&amp;E18,"a reason for the pairing")))))</f>
        <v/>
      </c>
    </row>
    <row r="19" spans="1:13" x14ac:dyDescent="0.2">
      <c r="A19" s="10"/>
      <c r="B19" s="12"/>
      <c r="C19" s="10"/>
      <c r="D19" s="10"/>
      <c r="E19" s="10"/>
      <c r="F19" s="10"/>
      <c r="G19" s="10"/>
      <c r="H19" s="21" t="str">
        <f t="shared" si="0"/>
        <v/>
      </c>
      <c r="I19" s="22">
        <f>IF(H19="",0,COUNTIF(nLNK_Key,H19))</f>
        <v>0</v>
      </c>
      <c r="J19" s="22">
        <f>IF(C19="",1,IF(COUNTIF(nEXP_Key,A19&amp;"|"&amp;B19&amp;"|"&amp;D19)&gt;0,1,0))</f>
        <v>1</v>
      </c>
      <c r="K19" s="22">
        <f>IF(C19="",1,IF(COUNTIF(nEVT_Key,A19&amp;"|"&amp;B19&amp;"|"&amp;E19)&gt;0,1,0))</f>
        <v>1</v>
      </c>
      <c r="L19" s="21" t="str">
        <f t="shared" si="1"/>
        <v/>
      </c>
      <c r="M19" s="21" t="str">
        <f>IF(L19="","",L19&amp;": "&amp;SUBSTITUTE(IFERROR(INDEX(nMSG_Text,MATCH(L19,nMSG_Code,0)),""),"[input]",IF(C19="","a Link_ID",IF(J19=0,"an Exposures row for "&amp;D19,IF(K19=0,"an Events row for "&amp;E19,"a reason for the pairing")))))</f>
        <v/>
      </c>
    </row>
    <row r="20" spans="1:13" x14ac:dyDescent="0.2">
      <c r="A20" s="10"/>
      <c r="B20" s="12"/>
      <c r="C20" s="10"/>
      <c r="D20" s="10"/>
      <c r="E20" s="10"/>
      <c r="F20" s="10"/>
      <c r="G20" s="10"/>
      <c r="H20" s="21" t="str">
        <f t="shared" si="0"/>
        <v/>
      </c>
      <c r="I20" s="22">
        <f>IF(H20="",0,COUNTIF(nLNK_Key,H20))</f>
        <v>0</v>
      </c>
      <c r="J20" s="22">
        <f>IF(C20="",1,IF(COUNTIF(nEXP_Key,A20&amp;"|"&amp;B20&amp;"|"&amp;D20)&gt;0,1,0))</f>
        <v>1</v>
      </c>
      <c r="K20" s="22">
        <f>IF(C20="",1,IF(COUNTIF(nEVT_Key,A20&amp;"|"&amp;B20&amp;"|"&amp;E20)&gt;0,1,0))</f>
        <v>1</v>
      </c>
      <c r="L20" s="21" t="str">
        <f t="shared" si="1"/>
        <v/>
      </c>
      <c r="M20" s="21" t="str">
        <f>IF(L20="","",L20&amp;": "&amp;SUBSTITUTE(IFERROR(INDEX(nMSG_Text,MATCH(L20,nMSG_Code,0)),""),"[input]",IF(C20="","a Link_ID",IF(J20=0,"an Exposures row for "&amp;D20,IF(K20=0,"an Events row for "&amp;E20,"a reason for the pairing")))))</f>
        <v/>
      </c>
    </row>
    <row r="21" spans="1:13" x14ac:dyDescent="0.2">
      <c r="A21" s="10"/>
      <c r="B21" s="12"/>
      <c r="C21" s="10"/>
      <c r="D21" s="10"/>
      <c r="E21" s="10"/>
      <c r="F21" s="10"/>
      <c r="G21" s="10"/>
      <c r="H21" s="21" t="str">
        <f t="shared" si="0"/>
        <v/>
      </c>
      <c r="I21" s="22">
        <f>IF(H21="",0,COUNTIF(nLNK_Key,H21))</f>
        <v>0</v>
      </c>
      <c r="J21" s="22">
        <f>IF(C21="",1,IF(COUNTIF(nEXP_Key,A21&amp;"|"&amp;B21&amp;"|"&amp;D21)&gt;0,1,0))</f>
        <v>1</v>
      </c>
      <c r="K21" s="22">
        <f>IF(C21="",1,IF(COUNTIF(nEVT_Key,A21&amp;"|"&amp;B21&amp;"|"&amp;E21)&gt;0,1,0))</f>
        <v>1</v>
      </c>
      <c r="L21" s="21" t="str">
        <f t="shared" si="1"/>
        <v/>
      </c>
      <c r="M21" s="21" t="str">
        <f>IF(L21="","",L21&amp;": "&amp;SUBSTITUTE(IFERROR(INDEX(nMSG_Text,MATCH(L21,nMSG_Code,0)),""),"[input]",IF(C21="","a Link_ID",IF(J21=0,"an Exposures row for "&amp;D21,IF(K21=0,"an Events row for "&amp;E21,"a reason for the pairing")))))</f>
        <v/>
      </c>
    </row>
    <row r="22" spans="1:13" x14ac:dyDescent="0.2">
      <c r="A22" s="10"/>
      <c r="B22" s="12"/>
      <c r="C22" s="10"/>
      <c r="D22" s="10"/>
      <c r="E22" s="10"/>
      <c r="F22" s="10"/>
      <c r="G22" s="10"/>
      <c r="H22" s="21" t="str">
        <f t="shared" si="0"/>
        <v/>
      </c>
      <c r="I22" s="22">
        <f>IF(H22="",0,COUNTIF(nLNK_Key,H22))</f>
        <v>0</v>
      </c>
      <c r="J22" s="22">
        <f>IF(C22="",1,IF(COUNTIF(nEXP_Key,A22&amp;"|"&amp;B22&amp;"|"&amp;D22)&gt;0,1,0))</f>
        <v>1</v>
      </c>
      <c r="K22" s="22">
        <f>IF(C22="",1,IF(COUNTIF(nEVT_Key,A22&amp;"|"&amp;B22&amp;"|"&amp;E22)&gt;0,1,0))</f>
        <v>1</v>
      </c>
      <c r="L22" s="21" t="str">
        <f t="shared" si="1"/>
        <v/>
      </c>
      <c r="M22" s="21" t="str">
        <f>IF(L22="","",L22&amp;": "&amp;SUBSTITUTE(IFERROR(INDEX(nMSG_Text,MATCH(L22,nMSG_Code,0)),""),"[input]",IF(C22="","a Link_ID",IF(J22=0,"an Exposures row for "&amp;D22,IF(K22=0,"an Events row for "&amp;E22,"a reason for the pairing")))))</f>
        <v/>
      </c>
    </row>
    <row r="23" spans="1:13" x14ac:dyDescent="0.2">
      <c r="A23" s="10"/>
      <c r="B23" s="12"/>
      <c r="C23" s="10"/>
      <c r="D23" s="10"/>
      <c r="E23" s="10"/>
      <c r="F23" s="10"/>
      <c r="G23" s="10"/>
      <c r="H23" s="21" t="str">
        <f t="shared" si="0"/>
        <v/>
      </c>
      <c r="I23" s="22">
        <f>IF(H23="",0,COUNTIF(nLNK_Key,H23))</f>
        <v>0</v>
      </c>
      <c r="J23" s="22">
        <f>IF(C23="",1,IF(COUNTIF(nEXP_Key,A23&amp;"|"&amp;B23&amp;"|"&amp;D23)&gt;0,1,0))</f>
        <v>1</v>
      </c>
      <c r="K23" s="22">
        <f>IF(C23="",1,IF(COUNTIF(nEVT_Key,A23&amp;"|"&amp;B23&amp;"|"&amp;E23)&gt;0,1,0))</f>
        <v>1</v>
      </c>
      <c r="L23" s="21" t="str">
        <f t="shared" si="1"/>
        <v/>
      </c>
      <c r="M23" s="21" t="str">
        <f>IF(L23="","",L23&amp;": "&amp;SUBSTITUTE(IFERROR(INDEX(nMSG_Text,MATCH(L23,nMSG_Code,0)),""),"[input]",IF(C23="","a Link_ID",IF(J23=0,"an Exposures row for "&amp;D23,IF(K23=0,"an Events row for "&amp;E23,"a reason for the pairing")))))</f>
        <v/>
      </c>
    </row>
    <row r="24" spans="1:13" x14ac:dyDescent="0.2">
      <c r="A24" s="10"/>
      <c r="B24" s="12"/>
      <c r="C24" s="10"/>
      <c r="D24" s="10"/>
      <c r="E24" s="10"/>
      <c r="F24" s="10"/>
      <c r="G24" s="10"/>
      <c r="H24" s="21" t="str">
        <f t="shared" si="0"/>
        <v/>
      </c>
      <c r="I24" s="22">
        <f>IF(H24="",0,COUNTIF(nLNK_Key,H24))</f>
        <v>0</v>
      </c>
      <c r="J24" s="22">
        <f>IF(C24="",1,IF(COUNTIF(nEXP_Key,A24&amp;"|"&amp;B24&amp;"|"&amp;D24)&gt;0,1,0))</f>
        <v>1</v>
      </c>
      <c r="K24" s="22">
        <f>IF(C24="",1,IF(COUNTIF(nEVT_Key,A24&amp;"|"&amp;B24&amp;"|"&amp;E24)&gt;0,1,0))</f>
        <v>1</v>
      </c>
      <c r="L24" s="21" t="str">
        <f t="shared" si="1"/>
        <v/>
      </c>
      <c r="M24" s="21" t="str">
        <f>IF(L24="","",L24&amp;": "&amp;SUBSTITUTE(IFERROR(INDEX(nMSG_Text,MATCH(L24,nMSG_Code,0)),""),"[input]",IF(C24="","a Link_ID",IF(J24=0,"an Exposures row for "&amp;D24,IF(K24=0,"an Events row for "&amp;E24,"a reason for the pairing")))))</f>
        <v/>
      </c>
    </row>
    <row r="25" spans="1:13" x14ac:dyDescent="0.2">
      <c r="A25" s="24" t="s">
        <v>294</v>
      </c>
      <c r="B25" s="23"/>
      <c r="C25" s="23"/>
      <c r="D25" s="23"/>
      <c r="E25" s="23"/>
      <c r="F25" s="23"/>
      <c r="G25" s="23"/>
      <c r="H25" s="23"/>
      <c r="I25" s="23"/>
      <c r="J25" s="23"/>
      <c r="K25" s="23"/>
      <c r="L25" s="23"/>
      <c r="M25" s="23"/>
    </row>
    <row r="26" spans="1:13" x14ac:dyDescent="0.2">
      <c r="A26" s="9" t="s">
        <v>297</v>
      </c>
      <c r="B26" s="11">
        <v>2</v>
      </c>
      <c r="C26" s="9" t="s">
        <v>894</v>
      </c>
      <c r="D26" s="9" t="s">
        <v>453</v>
      </c>
      <c r="E26" s="9" t="s">
        <v>729</v>
      </c>
      <c r="F26" s="9" t="s">
        <v>892</v>
      </c>
      <c r="G26" s="9" t="s">
        <v>893</v>
      </c>
      <c r="H26" s="21" t="str">
        <f t="shared" ref="H26:H34" si="2">IF(C26="","",A26&amp;"|"&amp;B26&amp;"|"&amp;C26)</f>
        <v>EX-C01|2|L1</v>
      </c>
      <c r="I26" s="22">
        <f>IF(H26="",0,COUNTIF(nLNK_Key,H26))</f>
        <v>1</v>
      </c>
      <c r="J26" s="22">
        <f>IF(C26="",1,IF(COUNTIF(nEXP_Key,A26&amp;"|"&amp;B26&amp;"|"&amp;D26)&gt;0,1,0))</f>
        <v>1</v>
      </c>
      <c r="K26" s="22">
        <f>IF(C26="",1,IF(COUNTIF(nEVT_Key,A26&amp;"|"&amp;B26&amp;"|"&amp;E26)&gt;0,1,0))</f>
        <v>1</v>
      </c>
      <c r="L26" s="21" t="str">
        <f t="shared" ref="L26:L34" si="3">IF(C26="",IF(COUNTA(D26,E26)&gt;0,"E_MISSING_INPUT",""),IF(I26&gt;1,"E_DUPLICATE_ID",IF(OR(J26=0,K26=0,F26=""),"E_MISSING_INPUT","")))</f>
        <v/>
      </c>
      <c r="M26" s="21" t="str">
        <f>IF(L26="","",L26&amp;": "&amp;SUBSTITUTE(IFERROR(INDEX(nMSG_Text,MATCH(L26,nMSG_Code,0)),""),"[input]",IF(C26="","a Link_ID",IF(J26=0,"an Exposures row for "&amp;D26,IF(K26=0,"an Events row for "&amp;E26,"a reason for the pairing")))))</f>
        <v/>
      </c>
    </row>
    <row r="27" spans="1:13" x14ac:dyDescent="0.2">
      <c r="A27" s="9" t="s">
        <v>297</v>
      </c>
      <c r="B27" s="11">
        <v>2</v>
      </c>
      <c r="C27" s="9" t="s">
        <v>896</v>
      </c>
      <c r="D27" s="9" t="s">
        <v>462</v>
      </c>
      <c r="E27" s="9" t="s">
        <v>729</v>
      </c>
      <c r="F27" s="9" t="s">
        <v>895</v>
      </c>
      <c r="G27" s="9" t="s">
        <v>893</v>
      </c>
      <c r="H27" s="21" t="str">
        <f t="shared" si="2"/>
        <v>EX-C01|2|L2</v>
      </c>
      <c r="I27" s="22">
        <f>IF(H27="",0,COUNTIF(nLNK_Key,H27))</f>
        <v>1</v>
      </c>
      <c r="J27" s="22">
        <f>IF(C27="",1,IF(COUNTIF(nEXP_Key,A27&amp;"|"&amp;B27&amp;"|"&amp;D27)&gt;0,1,0))</f>
        <v>1</v>
      </c>
      <c r="K27" s="22">
        <f>IF(C27="",1,IF(COUNTIF(nEVT_Key,A27&amp;"|"&amp;B27&amp;"|"&amp;E27)&gt;0,1,0))</f>
        <v>1</v>
      </c>
      <c r="L27" s="21" t="str">
        <f t="shared" si="3"/>
        <v/>
      </c>
      <c r="M27" s="21" t="str">
        <f>IF(L27="","",L27&amp;": "&amp;SUBSTITUTE(IFERROR(INDEX(nMSG_Text,MATCH(L27,nMSG_Code,0)),""),"[input]",IF(C27="","a Link_ID",IF(J27=0,"an Exposures row for "&amp;D27,IF(K27=0,"an Events row for "&amp;E27,"a reason for the pairing")))))</f>
        <v/>
      </c>
    </row>
    <row r="28" spans="1:13" x14ac:dyDescent="0.2">
      <c r="A28" s="9" t="s">
        <v>297</v>
      </c>
      <c r="B28" s="11">
        <v>2</v>
      </c>
      <c r="C28" s="9" t="s">
        <v>898</v>
      </c>
      <c r="D28" s="9" t="s">
        <v>470</v>
      </c>
      <c r="E28" s="9" t="s">
        <v>729</v>
      </c>
      <c r="F28" s="9" t="s">
        <v>897</v>
      </c>
      <c r="G28" s="9" t="s">
        <v>893</v>
      </c>
      <c r="H28" s="21" t="str">
        <f t="shared" si="2"/>
        <v>EX-C01|2|L3</v>
      </c>
      <c r="I28" s="22">
        <f>IF(H28="",0,COUNTIF(nLNK_Key,H28))</f>
        <v>1</v>
      </c>
      <c r="J28" s="22">
        <f>IF(C28="",1,IF(COUNTIF(nEXP_Key,A28&amp;"|"&amp;B28&amp;"|"&amp;D28)&gt;0,1,0))</f>
        <v>1</v>
      </c>
      <c r="K28" s="22">
        <f>IF(C28="",1,IF(COUNTIF(nEVT_Key,A28&amp;"|"&amp;B28&amp;"|"&amp;E28)&gt;0,1,0))</f>
        <v>1</v>
      </c>
      <c r="L28" s="21" t="str">
        <f t="shared" si="3"/>
        <v/>
      </c>
      <c r="M28" s="21" t="str">
        <f>IF(L28="","",L28&amp;": "&amp;SUBSTITUTE(IFERROR(INDEX(nMSG_Text,MATCH(L28,nMSG_Code,0)),""),"[input]",IF(C28="","a Link_ID",IF(J28=0,"an Exposures row for "&amp;D28,IF(K28=0,"an Events row for "&amp;E28,"a reason for the pairing")))))</f>
        <v/>
      </c>
    </row>
    <row r="29" spans="1:13" x14ac:dyDescent="0.2">
      <c r="A29" s="9" t="s">
        <v>301</v>
      </c>
      <c r="B29" s="11">
        <v>2</v>
      </c>
      <c r="C29" s="9" t="s">
        <v>894</v>
      </c>
      <c r="D29" s="9" t="s">
        <v>474</v>
      </c>
      <c r="E29" s="9" t="s">
        <v>729</v>
      </c>
      <c r="F29" s="9" t="s">
        <v>899</v>
      </c>
      <c r="G29" s="9" t="s">
        <v>893</v>
      </c>
      <c r="H29" s="21" t="str">
        <f t="shared" si="2"/>
        <v>EX-C04|2|L1</v>
      </c>
      <c r="I29" s="22">
        <f>IF(H29="",0,COUNTIF(nLNK_Key,H29))</f>
        <v>1</v>
      </c>
      <c r="J29" s="22">
        <f>IF(C29="",1,IF(COUNTIF(nEXP_Key,A29&amp;"|"&amp;B29&amp;"|"&amp;D29)&gt;0,1,0))</f>
        <v>1</v>
      </c>
      <c r="K29" s="22">
        <f>IF(C29="",1,IF(COUNTIF(nEVT_Key,A29&amp;"|"&amp;B29&amp;"|"&amp;E29)&gt;0,1,0))</f>
        <v>1</v>
      </c>
      <c r="L29" s="21" t="str">
        <f t="shared" si="3"/>
        <v/>
      </c>
      <c r="M29" s="21" t="str">
        <f>IF(L29="","",L29&amp;": "&amp;SUBSTITUTE(IFERROR(INDEX(nMSG_Text,MATCH(L29,nMSG_Code,0)),""),"[input]",IF(C29="","a Link_ID",IF(J29=0,"an Exposures row for "&amp;D29,IF(K29=0,"an Events row for "&amp;E29,"a reason for the pairing")))))</f>
        <v/>
      </c>
    </row>
    <row r="30" spans="1:13" x14ac:dyDescent="0.2">
      <c r="A30" s="9" t="s">
        <v>301</v>
      </c>
      <c r="B30" s="11">
        <v>2</v>
      </c>
      <c r="C30" s="9" t="s">
        <v>896</v>
      </c>
      <c r="D30" s="9" t="s">
        <v>483</v>
      </c>
      <c r="E30" s="9" t="s">
        <v>729</v>
      </c>
      <c r="F30" s="9" t="s">
        <v>900</v>
      </c>
      <c r="G30" s="9" t="s">
        <v>893</v>
      </c>
      <c r="H30" s="21" t="str">
        <f t="shared" si="2"/>
        <v>EX-C04|2|L2</v>
      </c>
      <c r="I30" s="22">
        <f>IF(H30="",0,COUNTIF(nLNK_Key,H30))</f>
        <v>1</v>
      </c>
      <c r="J30" s="22">
        <f>IF(C30="",1,IF(COUNTIF(nEXP_Key,A30&amp;"|"&amp;B30&amp;"|"&amp;D30)&gt;0,1,0))</f>
        <v>1</v>
      </c>
      <c r="K30" s="22">
        <f>IF(C30="",1,IF(COUNTIF(nEVT_Key,A30&amp;"|"&amp;B30&amp;"|"&amp;E30)&gt;0,1,0))</f>
        <v>1</v>
      </c>
      <c r="L30" s="21" t="str">
        <f t="shared" si="3"/>
        <v/>
      </c>
      <c r="M30" s="21" t="str">
        <f>IF(L30="","",L30&amp;": "&amp;SUBSTITUTE(IFERROR(INDEX(nMSG_Text,MATCH(L30,nMSG_Code,0)),""),"[input]",IF(C30="","a Link_ID",IF(J30=0,"an Exposures row for "&amp;D30,IF(K30=0,"an Events row for "&amp;E30,"a reason for the pairing")))))</f>
        <v/>
      </c>
    </row>
    <row r="31" spans="1:13" x14ac:dyDescent="0.2">
      <c r="A31" s="9" t="s">
        <v>305</v>
      </c>
      <c r="B31" s="11">
        <v>2</v>
      </c>
      <c r="C31" s="9" t="s">
        <v>894</v>
      </c>
      <c r="D31" s="9" t="s">
        <v>495</v>
      </c>
      <c r="E31" s="9" t="s">
        <v>737</v>
      </c>
      <c r="F31" s="9" t="s">
        <v>899</v>
      </c>
      <c r="G31" s="9" t="s">
        <v>893</v>
      </c>
      <c r="H31" s="21" t="str">
        <f t="shared" si="2"/>
        <v>EX-C28|2|L1</v>
      </c>
      <c r="I31" s="22">
        <f>IF(H31="",0,COUNTIF(nLNK_Key,H31))</f>
        <v>1</v>
      </c>
      <c r="J31" s="22">
        <f>IF(C31="",1,IF(COUNTIF(nEXP_Key,A31&amp;"|"&amp;B31&amp;"|"&amp;D31)&gt;0,1,0))</f>
        <v>1</v>
      </c>
      <c r="K31" s="22">
        <f>IF(C31="",1,IF(COUNTIF(nEVT_Key,A31&amp;"|"&amp;B31&amp;"|"&amp;E31)&gt;0,1,0))</f>
        <v>1</v>
      </c>
      <c r="L31" s="21" t="str">
        <f t="shared" si="3"/>
        <v/>
      </c>
      <c r="M31" s="21" t="str">
        <f>IF(L31="","",L31&amp;": "&amp;SUBSTITUTE(IFERROR(INDEX(nMSG_Text,MATCH(L31,nMSG_Code,0)),""),"[input]",IF(C31="","a Link_ID",IF(J31=0,"an Exposures row for "&amp;D31,IF(K31=0,"an Events row for "&amp;E31,"a reason for the pairing")))))</f>
        <v/>
      </c>
    </row>
    <row r="32" spans="1:13" x14ac:dyDescent="0.2">
      <c r="A32" s="9" t="s">
        <v>305</v>
      </c>
      <c r="B32" s="11">
        <v>2</v>
      </c>
      <c r="C32" s="9" t="s">
        <v>896</v>
      </c>
      <c r="D32" s="9" t="s">
        <v>508</v>
      </c>
      <c r="E32" s="9" t="s">
        <v>737</v>
      </c>
      <c r="F32" s="9" t="s">
        <v>901</v>
      </c>
      <c r="G32" s="9" t="s">
        <v>893</v>
      </c>
      <c r="H32" s="21" t="str">
        <f t="shared" si="2"/>
        <v>EX-C28|2|L2</v>
      </c>
      <c r="I32" s="22">
        <f>IF(H32="",0,COUNTIF(nLNK_Key,H32))</f>
        <v>1</v>
      </c>
      <c r="J32" s="22">
        <f>IF(C32="",1,IF(COUNTIF(nEXP_Key,A32&amp;"|"&amp;B32&amp;"|"&amp;D32)&gt;0,1,0))</f>
        <v>1</v>
      </c>
      <c r="K32" s="22">
        <f>IF(C32="",1,IF(COUNTIF(nEVT_Key,A32&amp;"|"&amp;B32&amp;"|"&amp;E32)&gt;0,1,0))</f>
        <v>1</v>
      </c>
      <c r="L32" s="21" t="str">
        <f t="shared" si="3"/>
        <v/>
      </c>
      <c r="M32" s="21" t="str">
        <f>IF(L32="","",L32&amp;": "&amp;SUBSTITUTE(IFERROR(INDEX(nMSG_Text,MATCH(L32,nMSG_Code,0)),""),"[input]",IF(C32="","a Link_ID",IF(J32=0,"an Exposures row for "&amp;D32,IF(K32=0,"an Events row for "&amp;E32,"a reason for the pairing")))))</f>
        <v/>
      </c>
    </row>
    <row r="33" spans="1:13" x14ac:dyDescent="0.2">
      <c r="A33" s="9" t="s">
        <v>305</v>
      </c>
      <c r="B33" s="11">
        <v>2</v>
      </c>
      <c r="C33" s="9" t="s">
        <v>898</v>
      </c>
      <c r="D33" s="9" t="s">
        <v>512</v>
      </c>
      <c r="E33" s="9" t="s">
        <v>737</v>
      </c>
      <c r="F33" s="9" t="s">
        <v>902</v>
      </c>
      <c r="G33" s="9" t="s">
        <v>893</v>
      </c>
      <c r="H33" s="21" t="str">
        <f t="shared" si="2"/>
        <v>EX-C28|2|L3</v>
      </c>
      <c r="I33" s="22">
        <f>IF(H33="",0,COUNTIF(nLNK_Key,H33))</f>
        <v>1</v>
      </c>
      <c r="J33" s="22">
        <f>IF(C33="",1,IF(COUNTIF(nEXP_Key,A33&amp;"|"&amp;B33&amp;"|"&amp;D33)&gt;0,1,0))</f>
        <v>1</v>
      </c>
      <c r="K33" s="22">
        <f>IF(C33="",1,IF(COUNTIF(nEVT_Key,A33&amp;"|"&amp;B33&amp;"|"&amp;E33)&gt;0,1,0))</f>
        <v>1</v>
      </c>
      <c r="L33" s="21" t="str">
        <f t="shared" si="3"/>
        <v/>
      </c>
      <c r="M33" s="21" t="str">
        <f>IF(L33="","",L33&amp;": "&amp;SUBSTITUTE(IFERROR(INDEX(nMSG_Text,MATCH(L33,nMSG_Code,0)),""),"[input]",IF(C33="","a Link_ID",IF(J33=0,"an Exposures row for "&amp;D33,IF(K33=0,"an Events row for "&amp;E33,"a reason for the pairing")))))</f>
        <v/>
      </c>
    </row>
    <row r="34" spans="1:13" x14ac:dyDescent="0.2">
      <c r="A34" s="9" t="s">
        <v>305</v>
      </c>
      <c r="B34" s="11">
        <v>2</v>
      </c>
      <c r="C34" s="9" t="s">
        <v>904</v>
      </c>
      <c r="D34" s="9" t="s">
        <v>503</v>
      </c>
      <c r="E34" s="9" t="s">
        <v>737</v>
      </c>
      <c r="F34" s="9" t="s">
        <v>903</v>
      </c>
      <c r="G34" s="9" t="s">
        <v>893</v>
      </c>
      <c r="H34" s="21" t="str">
        <f t="shared" si="2"/>
        <v>EX-C28|2|L4</v>
      </c>
      <c r="I34" s="22">
        <f>IF(H34="",0,COUNTIF(nLNK_Key,H34))</f>
        <v>1</v>
      </c>
      <c r="J34" s="22">
        <f>IF(C34="",1,IF(COUNTIF(nEXP_Key,A34&amp;"|"&amp;B34&amp;"|"&amp;D34)&gt;0,1,0))</f>
        <v>1</v>
      </c>
      <c r="K34" s="22">
        <f>IF(C34="",1,IF(COUNTIF(nEVT_Key,A34&amp;"|"&amp;B34&amp;"|"&amp;E34)&gt;0,1,0))</f>
        <v>1</v>
      </c>
      <c r="L34" s="21" t="str">
        <f t="shared" si="3"/>
        <v/>
      </c>
      <c r="M34" s="21" t="str">
        <f>IF(L34="","",L34&amp;": "&amp;SUBSTITUTE(IFERROR(INDEX(nMSG_Text,MATCH(L34,nMSG_Code,0)),""),"[input]",IF(C34="","a Link_ID",IF(J34=0,"an Exposures row for "&amp;D34,IF(K34=0,"an Events row for "&amp;E34,"a reason for the pairing")))))</f>
        <v/>
      </c>
    </row>
    <row r="35" spans="1:13" x14ac:dyDescent="0.2">
      <c r="A35" s="24" t="s">
        <v>295</v>
      </c>
      <c r="B35" s="23"/>
      <c r="C35" s="23"/>
      <c r="D35" s="23"/>
      <c r="E35" s="23"/>
      <c r="F35" s="23"/>
      <c r="G35" s="23"/>
      <c r="H35" s="23"/>
      <c r="I35" s="23"/>
      <c r="J35" s="23"/>
      <c r="K35" s="23"/>
      <c r="L35" s="23"/>
      <c r="M35" s="23"/>
    </row>
    <row r="36" spans="1:13" x14ac:dyDescent="0.2">
      <c r="A36" s="9" t="s">
        <v>308</v>
      </c>
      <c r="B36" s="11">
        <v>1</v>
      </c>
      <c r="C36" s="9" t="s">
        <v>894</v>
      </c>
      <c r="D36" s="9" t="s">
        <v>522</v>
      </c>
      <c r="E36" s="9" t="s">
        <v>745</v>
      </c>
      <c r="F36" s="9" t="s">
        <v>905</v>
      </c>
      <c r="G36" s="9" t="s">
        <v>893</v>
      </c>
      <c r="H36" s="21" t="str">
        <f t="shared" ref="H36:H58" si="4">IF(C36="","",A36&amp;"|"&amp;B36&amp;"|"&amp;C36)</f>
        <v>VEC-V01|1|L1</v>
      </c>
      <c r="I36" s="22">
        <f>IF(H36="",0,COUNTIF(nLNK_Key,H36))</f>
        <v>1</v>
      </c>
      <c r="J36" s="22">
        <f>IF(C36="",1,IF(COUNTIF(nEXP_Key,A36&amp;"|"&amp;B36&amp;"|"&amp;D36)&gt;0,1,0))</f>
        <v>1</v>
      </c>
      <c r="K36" s="22">
        <f>IF(C36="",1,IF(COUNTIF(nEVT_Key,A36&amp;"|"&amp;B36&amp;"|"&amp;E36)&gt;0,1,0))</f>
        <v>1</v>
      </c>
      <c r="L36" s="21" t="str">
        <f t="shared" ref="L36:L58" si="5">IF(C36="",IF(COUNTA(D36,E36)&gt;0,"E_MISSING_INPUT",""),IF(I36&gt;1,"E_DUPLICATE_ID",IF(OR(J36=0,K36=0,F36=""),"E_MISSING_INPUT","")))</f>
        <v/>
      </c>
      <c r="M36" s="21" t="str">
        <f>IF(L36="","",L36&amp;": "&amp;SUBSTITUTE(IFERROR(INDEX(nMSG_Text,MATCH(L36,nMSG_Code,0)),""),"[input]",IF(C36="","a Link_ID",IF(J36=0,"an Exposures row for "&amp;D36,IF(K36=0,"an Events row for "&amp;E36,"a reason for the pairing")))))</f>
        <v/>
      </c>
    </row>
    <row r="37" spans="1:13" x14ac:dyDescent="0.2">
      <c r="A37" s="9" t="s">
        <v>311</v>
      </c>
      <c r="B37" s="11">
        <v>1</v>
      </c>
      <c r="C37" s="9" t="s">
        <v>894</v>
      </c>
      <c r="D37" s="9" t="s">
        <v>522</v>
      </c>
      <c r="E37" s="9" t="s">
        <v>745</v>
      </c>
      <c r="F37" s="9" t="s">
        <v>906</v>
      </c>
      <c r="G37" s="9" t="s">
        <v>893</v>
      </c>
      <c r="H37" s="21" t="str">
        <f t="shared" si="4"/>
        <v>VEC-V02|1|L1</v>
      </c>
      <c r="I37" s="22">
        <f>IF(H37="",0,COUNTIF(nLNK_Key,H37))</f>
        <v>1</v>
      </c>
      <c r="J37" s="22">
        <f>IF(C37="",1,IF(COUNTIF(nEXP_Key,A37&amp;"|"&amp;B37&amp;"|"&amp;D37)&gt;0,1,0))</f>
        <v>1</v>
      </c>
      <c r="K37" s="22">
        <f>IF(C37="",1,IF(COUNTIF(nEVT_Key,A37&amp;"|"&amp;B37&amp;"|"&amp;E37)&gt;0,1,0))</f>
        <v>1</v>
      </c>
      <c r="L37" s="21" t="str">
        <f t="shared" si="5"/>
        <v/>
      </c>
      <c r="M37" s="21" t="str">
        <f>IF(L37="","",L37&amp;": "&amp;SUBSTITUTE(IFERROR(INDEX(nMSG_Text,MATCH(L37,nMSG_Code,0)),""),"[input]",IF(C37="","a Link_ID",IF(J37=0,"an Exposures row for "&amp;D37,IF(K37=0,"an Events row for "&amp;E37,"a reason for the pairing")))))</f>
        <v/>
      </c>
    </row>
    <row r="38" spans="1:13" x14ac:dyDescent="0.2">
      <c r="A38" s="9" t="s">
        <v>313</v>
      </c>
      <c r="B38" s="11">
        <v>1</v>
      </c>
      <c r="C38" s="9" t="s">
        <v>894</v>
      </c>
      <c r="D38" s="9" t="s">
        <v>522</v>
      </c>
      <c r="E38" s="9" t="s">
        <v>745</v>
      </c>
      <c r="F38" s="9" t="s">
        <v>907</v>
      </c>
      <c r="G38" s="9" t="s">
        <v>893</v>
      </c>
      <c r="H38" s="21" t="str">
        <f t="shared" si="4"/>
        <v>VEC-V03|1|L1</v>
      </c>
      <c r="I38" s="22">
        <f>IF(H38="",0,COUNTIF(nLNK_Key,H38))</f>
        <v>1</v>
      </c>
      <c r="J38" s="22">
        <f>IF(C38="",1,IF(COUNTIF(nEXP_Key,A38&amp;"|"&amp;B38&amp;"|"&amp;D38)&gt;0,1,0))</f>
        <v>1</v>
      </c>
      <c r="K38" s="22">
        <f>IF(C38="",1,IF(COUNTIF(nEVT_Key,A38&amp;"|"&amp;B38&amp;"|"&amp;E38)&gt;0,1,0))</f>
        <v>1</v>
      </c>
      <c r="L38" s="21" t="str">
        <f t="shared" si="5"/>
        <v/>
      </c>
      <c r="M38" s="21" t="str">
        <f>IF(L38="","",L38&amp;": "&amp;SUBSTITUTE(IFERROR(INDEX(nMSG_Text,MATCH(L38,nMSG_Code,0)),""),"[input]",IF(C38="","a Link_ID",IF(J38=0,"an Exposures row for "&amp;D38,IF(K38=0,"an Events row for "&amp;E38,"a reason for the pairing")))))</f>
        <v/>
      </c>
    </row>
    <row r="39" spans="1:13" x14ac:dyDescent="0.2">
      <c r="A39" s="9" t="s">
        <v>315</v>
      </c>
      <c r="B39" s="11">
        <v>1</v>
      </c>
      <c r="C39" s="9" t="s">
        <v>894</v>
      </c>
      <c r="D39" s="9" t="s">
        <v>522</v>
      </c>
      <c r="E39" s="9" t="s">
        <v>745</v>
      </c>
      <c r="F39" s="9" t="s">
        <v>908</v>
      </c>
      <c r="G39" s="9" t="s">
        <v>893</v>
      </c>
      <c r="H39" s="21" t="str">
        <f t="shared" si="4"/>
        <v>VEC-V04|1|L1</v>
      </c>
      <c r="I39" s="22">
        <f>IF(H39="",0,COUNTIF(nLNK_Key,H39))</f>
        <v>1</v>
      </c>
      <c r="J39" s="22">
        <f>IF(C39="",1,IF(COUNTIF(nEXP_Key,A39&amp;"|"&amp;B39&amp;"|"&amp;D39)&gt;0,1,0))</f>
        <v>1</v>
      </c>
      <c r="K39" s="22">
        <f>IF(C39="",1,IF(COUNTIF(nEVT_Key,A39&amp;"|"&amp;B39&amp;"|"&amp;E39)&gt;0,1,0))</f>
        <v>1</v>
      </c>
      <c r="L39" s="21" t="str">
        <f t="shared" si="5"/>
        <v/>
      </c>
      <c r="M39" s="21" t="str">
        <f>IF(L39="","",L39&amp;": "&amp;SUBSTITUTE(IFERROR(INDEX(nMSG_Text,MATCH(L39,nMSG_Code,0)),""),"[input]",IF(C39="","a Link_ID",IF(J39=0,"an Exposures row for "&amp;D39,IF(K39=0,"an Events row for "&amp;E39,"a reason for the pairing")))))</f>
        <v/>
      </c>
    </row>
    <row r="40" spans="1:13" x14ac:dyDescent="0.2">
      <c r="A40" s="9" t="s">
        <v>317</v>
      </c>
      <c r="B40" s="11">
        <v>1</v>
      </c>
      <c r="C40" s="9" t="s">
        <v>894</v>
      </c>
      <c r="D40" s="9" t="s">
        <v>522</v>
      </c>
      <c r="E40" s="9" t="s">
        <v>745</v>
      </c>
      <c r="F40" s="9" t="s">
        <v>909</v>
      </c>
      <c r="G40" s="9" t="s">
        <v>893</v>
      </c>
      <c r="H40" s="21" t="str">
        <f t="shared" si="4"/>
        <v>VEC-V05|1|L1</v>
      </c>
      <c r="I40" s="22">
        <f>IF(H40="",0,COUNTIF(nLNK_Key,H40))</f>
        <v>1</v>
      </c>
      <c r="J40" s="22">
        <f>IF(C40="",1,IF(COUNTIF(nEXP_Key,A40&amp;"|"&amp;B40&amp;"|"&amp;D40)&gt;0,1,0))</f>
        <v>1</v>
      </c>
      <c r="K40" s="22">
        <f>IF(C40="",1,IF(COUNTIF(nEVT_Key,A40&amp;"|"&amp;B40&amp;"|"&amp;E40)&gt;0,1,0))</f>
        <v>1</v>
      </c>
      <c r="L40" s="21" t="str">
        <f t="shared" si="5"/>
        <v/>
      </c>
      <c r="M40" s="21" t="str">
        <f>IF(L40="","",L40&amp;": "&amp;SUBSTITUTE(IFERROR(INDEX(nMSG_Text,MATCH(L40,nMSG_Code,0)),""),"[input]",IF(C40="","a Link_ID",IF(J40=0,"an Exposures row for "&amp;D40,IF(K40=0,"an Events row for "&amp;E40,"a reason for the pairing")))))</f>
        <v/>
      </c>
    </row>
    <row r="41" spans="1:13" x14ac:dyDescent="0.2">
      <c r="A41" s="9" t="s">
        <v>319</v>
      </c>
      <c r="B41" s="11">
        <v>1</v>
      </c>
      <c r="C41" s="9" t="s">
        <v>894</v>
      </c>
      <c r="D41" s="9" t="s">
        <v>522</v>
      </c>
      <c r="E41" s="9" t="s">
        <v>745</v>
      </c>
      <c r="F41" s="9" t="s">
        <v>910</v>
      </c>
      <c r="G41" s="9" t="s">
        <v>893</v>
      </c>
      <c r="H41" s="21" t="str">
        <f t="shared" si="4"/>
        <v>VEC-V06|1|L1</v>
      </c>
      <c r="I41" s="22">
        <f>IF(H41="",0,COUNTIF(nLNK_Key,H41))</f>
        <v>1</v>
      </c>
      <c r="J41" s="22">
        <f>IF(C41="",1,IF(COUNTIF(nEXP_Key,A41&amp;"|"&amp;B41&amp;"|"&amp;D41)&gt;0,1,0))</f>
        <v>1</v>
      </c>
      <c r="K41" s="22">
        <f>IF(C41="",1,IF(COUNTIF(nEVT_Key,A41&amp;"|"&amp;B41&amp;"|"&amp;E41)&gt;0,1,0))</f>
        <v>1</v>
      </c>
      <c r="L41" s="21" t="str">
        <f t="shared" si="5"/>
        <v/>
      </c>
      <c r="M41" s="21" t="str">
        <f>IF(L41="","",L41&amp;": "&amp;SUBSTITUTE(IFERROR(INDEX(nMSG_Text,MATCH(L41,nMSG_Code,0)),""),"[input]",IF(C41="","a Link_ID",IF(J41=0,"an Exposures row for "&amp;D41,IF(K41=0,"an Events row for "&amp;E41,"a reason for the pairing")))))</f>
        <v/>
      </c>
    </row>
    <row r="42" spans="1:13" x14ac:dyDescent="0.2">
      <c r="A42" s="9" t="s">
        <v>321</v>
      </c>
      <c r="B42" s="11">
        <v>1</v>
      </c>
      <c r="C42" s="9" t="s">
        <v>894</v>
      </c>
      <c r="D42" s="9" t="s">
        <v>522</v>
      </c>
      <c r="E42" s="9" t="s">
        <v>745</v>
      </c>
      <c r="F42" s="9" t="s">
        <v>911</v>
      </c>
      <c r="G42" s="9" t="s">
        <v>893</v>
      </c>
      <c r="H42" s="21" t="str">
        <f t="shared" si="4"/>
        <v>VEC-V07|1|L1</v>
      </c>
      <c r="I42" s="22">
        <f>IF(H42="",0,COUNTIF(nLNK_Key,H42))</f>
        <v>1</v>
      </c>
      <c r="J42" s="22">
        <f>IF(C42="",1,IF(COUNTIF(nEXP_Key,A42&amp;"|"&amp;B42&amp;"|"&amp;D42)&gt;0,1,0))</f>
        <v>1</v>
      </c>
      <c r="K42" s="22">
        <f>IF(C42="",1,IF(COUNTIF(nEVT_Key,A42&amp;"|"&amp;B42&amp;"|"&amp;E42)&gt;0,1,0))</f>
        <v>1</v>
      </c>
      <c r="L42" s="21" t="str">
        <f t="shared" si="5"/>
        <v/>
      </c>
      <c r="M42" s="21" t="str">
        <f>IF(L42="","",L42&amp;": "&amp;SUBSTITUTE(IFERROR(INDEX(nMSG_Text,MATCH(L42,nMSG_Code,0)),""),"[input]",IF(C42="","a Link_ID",IF(J42=0,"an Exposures row for "&amp;D42,IF(K42=0,"an Events row for "&amp;E42,"a reason for the pairing")))))</f>
        <v/>
      </c>
    </row>
    <row r="43" spans="1:13" x14ac:dyDescent="0.2">
      <c r="A43" s="9" t="s">
        <v>323</v>
      </c>
      <c r="B43" s="11">
        <v>1</v>
      </c>
      <c r="C43" s="9" t="s">
        <v>894</v>
      </c>
      <c r="D43" s="9" t="s">
        <v>522</v>
      </c>
      <c r="E43" s="9" t="s">
        <v>745</v>
      </c>
      <c r="F43" s="9" t="s">
        <v>912</v>
      </c>
      <c r="G43" s="9" t="s">
        <v>893</v>
      </c>
      <c r="H43" s="21" t="str">
        <f t="shared" si="4"/>
        <v>VEC-V08|1|L1</v>
      </c>
      <c r="I43" s="22">
        <f>IF(H43="",0,COUNTIF(nLNK_Key,H43))</f>
        <v>1</v>
      </c>
      <c r="J43" s="22">
        <f>IF(C43="",1,IF(COUNTIF(nEXP_Key,A43&amp;"|"&amp;B43&amp;"|"&amp;D43)&gt;0,1,0))</f>
        <v>1</v>
      </c>
      <c r="K43" s="22">
        <f>IF(C43="",1,IF(COUNTIF(nEVT_Key,A43&amp;"|"&amp;B43&amp;"|"&amp;E43)&gt;0,1,0))</f>
        <v>1</v>
      </c>
      <c r="L43" s="21" t="str">
        <f t="shared" si="5"/>
        <v/>
      </c>
      <c r="M43" s="21" t="str">
        <f>IF(L43="","",L43&amp;": "&amp;SUBSTITUTE(IFERROR(INDEX(nMSG_Text,MATCH(L43,nMSG_Code,0)),""),"[input]",IF(C43="","a Link_ID",IF(J43=0,"an Exposures row for "&amp;D43,IF(K43=0,"an Events row for "&amp;E43,"a reason for the pairing")))))</f>
        <v/>
      </c>
    </row>
    <row r="44" spans="1:13" x14ac:dyDescent="0.2">
      <c r="A44" s="9" t="s">
        <v>325</v>
      </c>
      <c r="B44" s="11">
        <v>1</v>
      </c>
      <c r="C44" s="9" t="s">
        <v>894</v>
      </c>
      <c r="D44" s="9" t="s">
        <v>522</v>
      </c>
      <c r="E44" s="9" t="s">
        <v>745</v>
      </c>
      <c r="F44" s="9" t="s">
        <v>913</v>
      </c>
      <c r="G44" s="9" t="s">
        <v>893</v>
      </c>
      <c r="H44" s="21" t="str">
        <f t="shared" si="4"/>
        <v>VEC-V09|1|L1</v>
      </c>
      <c r="I44" s="22">
        <f>IF(H44="",0,COUNTIF(nLNK_Key,H44))</f>
        <v>1</v>
      </c>
      <c r="J44" s="22">
        <f>IF(C44="",1,IF(COUNTIF(nEXP_Key,A44&amp;"|"&amp;B44&amp;"|"&amp;D44)&gt;0,1,0))</f>
        <v>1</v>
      </c>
      <c r="K44" s="22">
        <f>IF(C44="",1,IF(COUNTIF(nEVT_Key,A44&amp;"|"&amp;B44&amp;"|"&amp;E44)&gt;0,1,0))</f>
        <v>1</v>
      </c>
      <c r="L44" s="21" t="str">
        <f t="shared" si="5"/>
        <v/>
      </c>
      <c r="M44" s="21" t="str">
        <f>IF(L44="","",L44&amp;": "&amp;SUBSTITUTE(IFERROR(INDEX(nMSG_Text,MATCH(L44,nMSG_Code,0)),""),"[input]",IF(C44="","a Link_ID",IF(J44=0,"an Exposures row for "&amp;D44,IF(K44=0,"an Events row for "&amp;E44,"a reason for the pairing")))))</f>
        <v/>
      </c>
    </row>
    <row r="45" spans="1:13" x14ac:dyDescent="0.2">
      <c r="A45" s="9" t="s">
        <v>327</v>
      </c>
      <c r="B45" s="11">
        <v>1</v>
      </c>
      <c r="C45" s="9" t="s">
        <v>894</v>
      </c>
      <c r="D45" s="9" t="s">
        <v>522</v>
      </c>
      <c r="E45" s="9" t="s">
        <v>745</v>
      </c>
      <c r="F45" s="9" t="s">
        <v>914</v>
      </c>
      <c r="G45" s="9" t="s">
        <v>893</v>
      </c>
      <c r="H45" s="21" t="str">
        <f t="shared" si="4"/>
        <v>VEC-V10|1|L1</v>
      </c>
      <c r="I45" s="22">
        <f>IF(H45="",0,COUNTIF(nLNK_Key,H45))</f>
        <v>1</v>
      </c>
      <c r="J45" s="22">
        <f>IF(C45="",1,IF(COUNTIF(nEXP_Key,A45&amp;"|"&amp;B45&amp;"|"&amp;D45)&gt;0,1,0))</f>
        <v>1</v>
      </c>
      <c r="K45" s="22">
        <f>IF(C45="",1,IF(COUNTIF(nEVT_Key,A45&amp;"|"&amp;B45&amp;"|"&amp;E45)&gt;0,1,0))</f>
        <v>1</v>
      </c>
      <c r="L45" s="21" t="str">
        <f t="shared" si="5"/>
        <v/>
      </c>
      <c r="M45" s="21" t="str">
        <f>IF(L45="","",L45&amp;": "&amp;SUBSTITUTE(IFERROR(INDEX(nMSG_Text,MATCH(L45,nMSG_Code,0)),""),"[input]",IF(C45="","a Link_ID",IF(J45=0,"an Exposures row for "&amp;D45,IF(K45=0,"an Events row for "&amp;E45,"a reason for the pairing")))))</f>
        <v/>
      </c>
    </row>
    <row r="46" spans="1:13" x14ac:dyDescent="0.2">
      <c r="A46" s="9" t="s">
        <v>329</v>
      </c>
      <c r="B46" s="11">
        <v>1</v>
      </c>
      <c r="C46" s="9" t="s">
        <v>894</v>
      </c>
      <c r="D46" s="9" t="s">
        <v>522</v>
      </c>
      <c r="E46" s="9" t="s">
        <v>745</v>
      </c>
      <c r="F46" s="9" t="s">
        <v>915</v>
      </c>
      <c r="G46" s="9" t="s">
        <v>893</v>
      </c>
      <c r="H46" s="21" t="str">
        <f t="shared" si="4"/>
        <v>VEC-V11|1|L1</v>
      </c>
      <c r="I46" s="22">
        <f>IF(H46="",0,COUNTIF(nLNK_Key,H46))</f>
        <v>1</v>
      </c>
      <c r="J46" s="22">
        <f>IF(C46="",1,IF(COUNTIF(nEXP_Key,A46&amp;"|"&amp;B46&amp;"|"&amp;D46)&gt;0,1,0))</f>
        <v>1</v>
      </c>
      <c r="K46" s="22">
        <f>IF(C46="",1,IF(COUNTIF(nEVT_Key,A46&amp;"|"&amp;B46&amp;"|"&amp;E46)&gt;0,1,0))</f>
        <v>1</v>
      </c>
      <c r="L46" s="21" t="str">
        <f t="shared" si="5"/>
        <v/>
      </c>
      <c r="M46" s="21" t="str">
        <f>IF(L46="","",L46&amp;": "&amp;SUBSTITUTE(IFERROR(INDEX(nMSG_Text,MATCH(L46,nMSG_Code,0)),""),"[input]",IF(C46="","a Link_ID",IF(J46=0,"an Exposures row for "&amp;D46,IF(K46=0,"an Events row for "&amp;E46,"a reason for the pairing")))))</f>
        <v/>
      </c>
    </row>
    <row r="47" spans="1:13" x14ac:dyDescent="0.2">
      <c r="A47" s="9" t="s">
        <v>337</v>
      </c>
      <c r="B47" s="11">
        <v>1</v>
      </c>
      <c r="C47" s="9" t="s">
        <v>894</v>
      </c>
      <c r="D47" s="9" t="s">
        <v>522</v>
      </c>
      <c r="E47" s="9" t="s">
        <v>745</v>
      </c>
      <c r="F47" s="9" t="s">
        <v>916</v>
      </c>
      <c r="G47" s="9" t="s">
        <v>893</v>
      </c>
      <c r="H47" s="21" t="str">
        <f t="shared" si="4"/>
        <v>VEC-V15|1|L1</v>
      </c>
      <c r="I47" s="22">
        <f>IF(H47="",0,COUNTIF(nLNK_Key,H47))</f>
        <v>1</v>
      </c>
      <c r="J47" s="22">
        <f>IF(C47="",1,IF(COUNTIF(nEXP_Key,A47&amp;"|"&amp;B47&amp;"|"&amp;D47)&gt;0,1,0))</f>
        <v>1</v>
      </c>
      <c r="K47" s="22">
        <f>IF(C47="",1,IF(COUNTIF(nEVT_Key,A47&amp;"|"&amp;B47&amp;"|"&amp;E47)&gt;0,1,0))</f>
        <v>1</v>
      </c>
      <c r="L47" s="21" t="str">
        <f t="shared" si="5"/>
        <v/>
      </c>
      <c r="M47" s="21" t="str">
        <f>IF(L47="","",L47&amp;": "&amp;SUBSTITUTE(IFERROR(INDEX(nMSG_Text,MATCH(L47,nMSG_Code,0)),""),"[input]",IF(C47="","a Link_ID",IF(J47=0,"an Exposures row for "&amp;D47,IF(K47=0,"an Events row for "&amp;E47,"a reason for the pairing")))))</f>
        <v/>
      </c>
    </row>
    <row r="48" spans="1:13" x14ac:dyDescent="0.2">
      <c r="A48" s="9" t="s">
        <v>363</v>
      </c>
      <c r="B48" s="11">
        <v>1</v>
      </c>
      <c r="C48" s="9" t="s">
        <v>894</v>
      </c>
      <c r="D48" s="9" t="s">
        <v>522</v>
      </c>
      <c r="E48" s="9" t="s">
        <v>745</v>
      </c>
      <c r="F48" s="9" t="s">
        <v>917</v>
      </c>
      <c r="G48" s="9" t="s">
        <v>893</v>
      </c>
      <c r="H48" s="21" t="str">
        <f t="shared" si="4"/>
        <v>VEC-V28|1|L1</v>
      </c>
      <c r="I48" s="22">
        <f>IF(H48="",0,COUNTIF(nLNK_Key,H48))</f>
        <v>1</v>
      </c>
      <c r="J48" s="22">
        <f>IF(C48="",1,IF(COUNTIF(nEXP_Key,A48&amp;"|"&amp;B48&amp;"|"&amp;D48)&gt;0,1,0))</f>
        <v>1</v>
      </c>
      <c r="K48" s="22">
        <f>IF(C48="",1,IF(COUNTIF(nEVT_Key,A48&amp;"|"&amp;B48&amp;"|"&amp;E48)&gt;0,1,0))</f>
        <v>1</v>
      </c>
      <c r="L48" s="21" t="str">
        <f t="shared" si="5"/>
        <v/>
      </c>
      <c r="M48" s="21" t="str">
        <f>IF(L48="","",L48&amp;": "&amp;SUBSTITUTE(IFERROR(INDEX(nMSG_Text,MATCH(L48,nMSG_Code,0)),""),"[input]",IF(C48="","a Link_ID",IF(J48=0,"an Exposures row for "&amp;D48,IF(K48=0,"an Events row for "&amp;E48,"a reason for the pairing")))))</f>
        <v/>
      </c>
    </row>
    <row r="49" spans="1:13" x14ac:dyDescent="0.2">
      <c r="A49" s="9" t="s">
        <v>365</v>
      </c>
      <c r="B49" s="11">
        <v>1</v>
      </c>
      <c r="C49" s="9" t="s">
        <v>894</v>
      </c>
      <c r="D49" s="9" t="s">
        <v>522</v>
      </c>
      <c r="E49" s="9" t="s">
        <v>745</v>
      </c>
      <c r="F49" s="9" t="s">
        <v>918</v>
      </c>
      <c r="G49" s="9" t="s">
        <v>893</v>
      </c>
      <c r="H49" s="21" t="str">
        <f t="shared" si="4"/>
        <v>VEC-V29|1|L1</v>
      </c>
      <c r="I49" s="22">
        <f>IF(H49="",0,COUNTIF(nLNK_Key,H49))</f>
        <v>1</v>
      </c>
      <c r="J49" s="22">
        <f>IF(C49="",1,IF(COUNTIF(nEXP_Key,A49&amp;"|"&amp;B49&amp;"|"&amp;D49)&gt;0,1,0))</f>
        <v>1</v>
      </c>
      <c r="K49" s="22">
        <f>IF(C49="",1,IF(COUNTIF(nEVT_Key,A49&amp;"|"&amp;B49&amp;"|"&amp;E49)&gt;0,1,0))</f>
        <v>1</v>
      </c>
      <c r="L49" s="21" t="str">
        <f t="shared" si="5"/>
        <v/>
      </c>
      <c r="M49" s="21" t="str">
        <f>IF(L49="","",L49&amp;": "&amp;SUBSTITUTE(IFERROR(INDEX(nMSG_Text,MATCH(L49,nMSG_Code,0)),""),"[input]",IF(C49="","a Link_ID",IF(J49=0,"an Exposures row for "&amp;D49,IF(K49=0,"an Events row for "&amp;E49,"a reason for the pairing")))))</f>
        <v/>
      </c>
    </row>
    <row r="50" spans="1:13" x14ac:dyDescent="0.2">
      <c r="A50" s="9" t="s">
        <v>367</v>
      </c>
      <c r="B50" s="11">
        <v>1</v>
      </c>
      <c r="C50" s="9" t="s">
        <v>894</v>
      </c>
      <c r="D50" s="9" t="s">
        <v>522</v>
      </c>
      <c r="E50" s="9" t="s">
        <v>745</v>
      </c>
      <c r="F50" s="9" t="s">
        <v>919</v>
      </c>
      <c r="G50" s="9" t="s">
        <v>893</v>
      </c>
      <c r="H50" s="21" t="str">
        <f t="shared" si="4"/>
        <v>VEC-V30|1|L1</v>
      </c>
      <c r="I50" s="22">
        <f>IF(H50="",0,COUNTIF(nLNK_Key,H50))</f>
        <v>1</v>
      </c>
      <c r="J50" s="22">
        <f>IF(C50="",1,IF(COUNTIF(nEXP_Key,A50&amp;"|"&amp;B50&amp;"|"&amp;D50)&gt;0,1,0))</f>
        <v>1</v>
      </c>
      <c r="K50" s="22">
        <f>IF(C50="",1,IF(COUNTIF(nEVT_Key,A50&amp;"|"&amp;B50&amp;"|"&amp;E50)&gt;0,1,0))</f>
        <v>1</v>
      </c>
      <c r="L50" s="21" t="str">
        <f t="shared" si="5"/>
        <v/>
      </c>
      <c r="M50" s="21" t="str">
        <f>IF(L50="","",L50&amp;": "&amp;SUBSTITUTE(IFERROR(INDEX(nMSG_Text,MATCH(L50,nMSG_Code,0)),""),"[input]",IF(C50="","a Link_ID",IF(J50=0,"an Exposures row for "&amp;D50,IF(K50=0,"an Events row for "&amp;E50,"a reason for the pairing")))))</f>
        <v/>
      </c>
    </row>
    <row r="51" spans="1:13" x14ac:dyDescent="0.2">
      <c r="A51" s="9" t="s">
        <v>369</v>
      </c>
      <c r="B51" s="11">
        <v>1</v>
      </c>
      <c r="C51" s="9" t="s">
        <v>894</v>
      </c>
      <c r="D51" s="9" t="s">
        <v>522</v>
      </c>
      <c r="E51" s="9" t="s">
        <v>745</v>
      </c>
      <c r="F51" s="9" t="s">
        <v>920</v>
      </c>
      <c r="G51" s="9" t="s">
        <v>893</v>
      </c>
      <c r="H51" s="21" t="str">
        <f t="shared" si="4"/>
        <v>VEC-V31|1|L1</v>
      </c>
      <c r="I51" s="22">
        <f>IF(H51="",0,COUNTIF(nLNK_Key,H51))</f>
        <v>1</v>
      </c>
      <c r="J51" s="22">
        <f>IF(C51="",1,IF(COUNTIF(nEXP_Key,A51&amp;"|"&amp;B51&amp;"|"&amp;D51)&gt;0,1,0))</f>
        <v>1</v>
      </c>
      <c r="K51" s="22">
        <f>IF(C51="",1,IF(COUNTIF(nEVT_Key,A51&amp;"|"&amp;B51&amp;"|"&amp;E51)&gt;0,1,0))</f>
        <v>1</v>
      </c>
      <c r="L51" s="21" t="str">
        <f t="shared" si="5"/>
        <v/>
      </c>
      <c r="M51" s="21" t="str">
        <f>IF(L51="","",L51&amp;": "&amp;SUBSTITUTE(IFERROR(INDEX(nMSG_Text,MATCH(L51,nMSG_Code,0)),""),"[input]",IF(C51="","a Link_ID",IF(J51=0,"an Exposures row for "&amp;D51,IF(K51=0,"an Events row for "&amp;E51,"a reason for the pairing")))))</f>
        <v/>
      </c>
    </row>
    <row r="52" spans="1:13" x14ac:dyDescent="0.2">
      <c r="A52" s="9" t="s">
        <v>373</v>
      </c>
      <c r="B52" s="11">
        <v>1</v>
      </c>
      <c r="C52" s="9" t="s">
        <v>894</v>
      </c>
      <c r="D52" s="9" t="s">
        <v>522</v>
      </c>
      <c r="E52" s="9" t="s">
        <v>745</v>
      </c>
      <c r="F52" s="9" t="s">
        <v>921</v>
      </c>
      <c r="G52" s="9" t="s">
        <v>893</v>
      </c>
      <c r="H52" s="21" t="str">
        <f t="shared" si="4"/>
        <v>VEC-V33|1|L1</v>
      </c>
      <c r="I52" s="22">
        <f>IF(H52="",0,COUNTIF(nLNK_Key,H52))</f>
        <v>1</v>
      </c>
      <c r="J52" s="22">
        <f>IF(C52="",1,IF(COUNTIF(nEXP_Key,A52&amp;"|"&amp;B52&amp;"|"&amp;D52)&gt;0,1,0))</f>
        <v>1</v>
      </c>
      <c r="K52" s="22">
        <f>IF(C52="",1,IF(COUNTIF(nEVT_Key,A52&amp;"|"&amp;B52&amp;"|"&amp;E52)&gt;0,1,0))</f>
        <v>1</v>
      </c>
      <c r="L52" s="21" t="str">
        <f t="shared" si="5"/>
        <v/>
      </c>
      <c r="M52" s="21" t="str">
        <f>IF(L52="","",L52&amp;": "&amp;SUBSTITUTE(IFERROR(INDEX(nMSG_Text,MATCH(L52,nMSG_Code,0)),""),"[input]",IF(C52="","a Link_ID",IF(J52=0,"an Exposures row for "&amp;D52,IF(K52=0,"an Events row for "&amp;E52,"a reason for the pairing")))))</f>
        <v/>
      </c>
    </row>
    <row r="53" spans="1:13" x14ac:dyDescent="0.2">
      <c r="A53" s="9" t="s">
        <v>375</v>
      </c>
      <c r="B53" s="11">
        <v>1</v>
      </c>
      <c r="C53" s="9" t="s">
        <v>894</v>
      </c>
      <c r="D53" s="9" t="s">
        <v>522</v>
      </c>
      <c r="E53" s="9" t="s">
        <v>745</v>
      </c>
      <c r="F53" s="9" t="s">
        <v>922</v>
      </c>
      <c r="G53" s="9" t="s">
        <v>893</v>
      </c>
      <c r="H53" s="21" t="str">
        <f t="shared" si="4"/>
        <v>VEC-V34|1|L1</v>
      </c>
      <c r="I53" s="22">
        <f>IF(H53="",0,COUNTIF(nLNK_Key,H53))</f>
        <v>1</v>
      </c>
      <c r="J53" s="22">
        <f>IF(C53="",1,IF(COUNTIF(nEXP_Key,A53&amp;"|"&amp;B53&amp;"|"&amp;D53)&gt;0,1,0))</f>
        <v>1</v>
      </c>
      <c r="K53" s="22">
        <f>IF(C53="",1,IF(COUNTIF(nEVT_Key,A53&amp;"|"&amp;B53&amp;"|"&amp;E53)&gt;0,1,0))</f>
        <v>1</v>
      </c>
      <c r="L53" s="21" t="str">
        <f t="shared" si="5"/>
        <v/>
      </c>
      <c r="M53" s="21" t="str">
        <f>IF(L53="","",L53&amp;": "&amp;SUBSTITUTE(IFERROR(INDEX(nMSG_Text,MATCH(L53,nMSG_Code,0)),""),"[input]",IF(C53="","a Link_ID",IF(J53=0,"an Exposures row for "&amp;D53,IF(K53=0,"an Events row for "&amp;E53,"a reason for the pairing")))))</f>
        <v/>
      </c>
    </row>
    <row r="54" spans="1:13" x14ac:dyDescent="0.2">
      <c r="A54" s="9" t="s">
        <v>331</v>
      </c>
      <c r="B54" s="11">
        <v>1</v>
      </c>
      <c r="C54" s="9" t="s">
        <v>894</v>
      </c>
      <c r="D54" s="9" t="s">
        <v>522</v>
      </c>
      <c r="E54" s="9" t="s">
        <v>745</v>
      </c>
      <c r="F54" s="9" t="s">
        <v>923</v>
      </c>
      <c r="G54" s="9" t="s">
        <v>893</v>
      </c>
      <c r="H54" s="21" t="str">
        <f t="shared" si="4"/>
        <v>VEC-V12|1|L1</v>
      </c>
      <c r="I54" s="22">
        <f>IF(H54="",0,COUNTIF(nLNK_Key,H54))</f>
        <v>1</v>
      </c>
      <c r="J54" s="22">
        <f>IF(C54="",1,IF(COUNTIF(nEXP_Key,A54&amp;"|"&amp;B54&amp;"|"&amp;D54)&gt;0,1,0))</f>
        <v>1</v>
      </c>
      <c r="K54" s="22">
        <f>IF(C54="",1,IF(COUNTIF(nEVT_Key,A54&amp;"|"&amp;B54&amp;"|"&amp;E54)&gt;0,1,0))</f>
        <v>1</v>
      </c>
      <c r="L54" s="21" t="str">
        <f t="shared" si="5"/>
        <v/>
      </c>
      <c r="M54" s="21" t="str">
        <f>IF(L54="","",L54&amp;": "&amp;SUBSTITUTE(IFERROR(INDEX(nMSG_Text,MATCH(L54,nMSG_Code,0)),""),"[input]",IF(C54="","a Link_ID",IF(J54=0,"an Exposures row for "&amp;D54,IF(K54=0,"an Events row for "&amp;E54,"a reason for the pairing")))))</f>
        <v/>
      </c>
    </row>
    <row r="55" spans="1:13" x14ac:dyDescent="0.2">
      <c r="A55" s="9" t="s">
        <v>331</v>
      </c>
      <c r="B55" s="11">
        <v>2</v>
      </c>
      <c r="C55" s="9" t="s">
        <v>894</v>
      </c>
      <c r="D55" s="9" t="s">
        <v>522</v>
      </c>
      <c r="E55" s="9" t="s">
        <v>745</v>
      </c>
      <c r="F55" s="9" t="s">
        <v>924</v>
      </c>
      <c r="G55" s="9" t="s">
        <v>893</v>
      </c>
      <c r="H55" s="21" t="str">
        <f t="shared" si="4"/>
        <v>VEC-V12|2|L1</v>
      </c>
      <c r="I55" s="22">
        <f>IF(H55="",0,COUNTIF(nLNK_Key,H55))</f>
        <v>1</v>
      </c>
      <c r="J55" s="22">
        <f>IF(C55="",1,IF(COUNTIF(nEXP_Key,A55&amp;"|"&amp;B55&amp;"|"&amp;D55)&gt;0,1,0))</f>
        <v>1</v>
      </c>
      <c r="K55" s="22">
        <f>IF(C55="",1,IF(COUNTIF(nEVT_Key,A55&amp;"|"&amp;B55&amp;"|"&amp;E55)&gt;0,1,0))</f>
        <v>1</v>
      </c>
      <c r="L55" s="21" t="str">
        <f t="shared" si="5"/>
        <v/>
      </c>
      <c r="M55" s="21" t="str">
        <f>IF(L55="","",L55&amp;": "&amp;SUBSTITUTE(IFERROR(INDEX(nMSG_Text,MATCH(L55,nMSG_Code,0)),""),"[input]",IF(C55="","a Link_ID",IF(J55=0,"an Exposures row for "&amp;D55,IF(K55=0,"an Events row for "&amp;E55,"a reason for the pairing")))))</f>
        <v/>
      </c>
    </row>
    <row r="56" spans="1:13" x14ac:dyDescent="0.2">
      <c r="A56" s="9" t="s">
        <v>335</v>
      </c>
      <c r="B56" s="11">
        <v>1</v>
      </c>
      <c r="C56" s="9" t="s">
        <v>894</v>
      </c>
      <c r="D56" s="9" t="s">
        <v>552</v>
      </c>
      <c r="E56" s="9" t="s">
        <v>759</v>
      </c>
      <c r="F56" s="9" t="s">
        <v>925</v>
      </c>
      <c r="G56" s="9" t="s">
        <v>893</v>
      </c>
      <c r="H56" s="21" t="str">
        <f t="shared" si="4"/>
        <v>VEC-V13|1|L1</v>
      </c>
      <c r="I56" s="22">
        <f>IF(H56="",0,COUNTIF(nLNK_Key,H56))</f>
        <v>1</v>
      </c>
      <c r="J56" s="22">
        <f>IF(C56="",1,IF(COUNTIF(nEXP_Key,A56&amp;"|"&amp;B56&amp;"|"&amp;D56)&gt;0,1,0))</f>
        <v>1</v>
      </c>
      <c r="K56" s="22">
        <f>IF(C56="",1,IF(COUNTIF(nEVT_Key,A56&amp;"|"&amp;B56&amp;"|"&amp;E56)&gt;0,1,0))</f>
        <v>1</v>
      </c>
      <c r="L56" s="21" t="str">
        <f t="shared" si="5"/>
        <v/>
      </c>
      <c r="M56" s="21" t="str">
        <f>IF(L56="","",L56&amp;": "&amp;SUBSTITUTE(IFERROR(INDEX(nMSG_Text,MATCH(L56,nMSG_Code,0)),""),"[input]",IF(C56="","a Link_ID",IF(J56=0,"an Exposures row for "&amp;D56,IF(K56=0,"an Events row for "&amp;E56,"a reason for the pairing")))))</f>
        <v/>
      </c>
    </row>
    <row r="57" spans="1:13" x14ac:dyDescent="0.2">
      <c r="A57" s="9" t="s">
        <v>335</v>
      </c>
      <c r="B57" s="11">
        <v>1</v>
      </c>
      <c r="C57" s="9" t="s">
        <v>896</v>
      </c>
      <c r="D57" s="9" t="s">
        <v>522</v>
      </c>
      <c r="E57" s="9" t="s">
        <v>759</v>
      </c>
      <c r="F57" s="9" t="s">
        <v>926</v>
      </c>
      <c r="G57" s="9" t="s">
        <v>893</v>
      </c>
      <c r="H57" s="21" t="str">
        <f t="shared" si="4"/>
        <v>VEC-V13|1|L2</v>
      </c>
      <c r="I57" s="22">
        <f>IF(H57="",0,COUNTIF(nLNK_Key,H57))</f>
        <v>1</v>
      </c>
      <c r="J57" s="22">
        <f>IF(C57="",1,IF(COUNTIF(nEXP_Key,A57&amp;"|"&amp;B57&amp;"|"&amp;D57)&gt;0,1,0))</f>
        <v>1</v>
      </c>
      <c r="K57" s="22">
        <f>IF(C57="",1,IF(COUNTIF(nEVT_Key,A57&amp;"|"&amp;B57&amp;"|"&amp;E57)&gt;0,1,0))</f>
        <v>1</v>
      </c>
      <c r="L57" s="21" t="str">
        <f t="shared" si="5"/>
        <v/>
      </c>
      <c r="M57" s="21" t="str">
        <f>IF(L57="","",L57&amp;": "&amp;SUBSTITUTE(IFERROR(INDEX(nMSG_Text,MATCH(L57,nMSG_Code,0)),""),"[input]",IF(C57="","a Link_ID",IF(J57=0,"an Exposures row for "&amp;D57,IF(K57=0,"an Events row for "&amp;E57,"a reason for the pairing")))))</f>
        <v/>
      </c>
    </row>
    <row r="58" spans="1:13" x14ac:dyDescent="0.2">
      <c r="A58" s="9" t="s">
        <v>335</v>
      </c>
      <c r="B58" s="11">
        <v>1</v>
      </c>
      <c r="C58" s="9" t="s">
        <v>898</v>
      </c>
      <c r="D58" s="9" t="s">
        <v>554</v>
      </c>
      <c r="E58" s="9" t="s">
        <v>745</v>
      </c>
      <c r="F58" s="9" t="s">
        <v>927</v>
      </c>
      <c r="G58" s="9" t="s">
        <v>893</v>
      </c>
      <c r="H58" s="21" t="str">
        <f t="shared" si="4"/>
        <v>VEC-V13|1|L3</v>
      </c>
      <c r="I58" s="22">
        <f>IF(H58="",0,COUNTIF(nLNK_Key,H58))</f>
        <v>1</v>
      </c>
      <c r="J58" s="22">
        <f>IF(C58="",1,IF(COUNTIF(nEXP_Key,A58&amp;"|"&amp;B58&amp;"|"&amp;D58)&gt;0,1,0))</f>
        <v>1</v>
      </c>
      <c r="K58" s="22">
        <f>IF(C58="",1,IF(COUNTIF(nEVT_Key,A58&amp;"|"&amp;B58&amp;"|"&amp;E58)&gt;0,1,0))</f>
        <v>1</v>
      </c>
      <c r="L58" s="21" t="str">
        <f t="shared" si="5"/>
        <v/>
      </c>
      <c r="M58" s="21" t="str">
        <f>IF(L58="","",L58&amp;": "&amp;SUBSTITUTE(IFERROR(INDEX(nMSG_Text,MATCH(L58,nMSG_Code,0)),""),"[input]",IF(C58="","a Link_ID",IF(J58=0,"an Exposures row for "&amp;D58,IF(K58=0,"an Events row for "&amp;E58,"a reason for the pairing")))))</f>
        <v/>
      </c>
    </row>
  </sheetData>
  <sheetProtection sheet="1" objects="1" scenarios="1" formatColumns="0" formatRows="0" autoFilter="0"/>
  <autoFilter ref="A4:M58" xr:uid="{979936FE-CE63-4536-87B6-F17DC79D923F}"/>
  <dataValidations count="1">
    <dataValidation type="whole" operator="greaterThanOrEqual" allowBlank="1" showInputMessage="1" showErrorMessage="1" sqref="B5:B24" xr:uid="{E7DCB2D3-E687-42B7-9DAD-B12F7FCDFA74}">
      <formula1>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F5F89-01A6-4203-9E08-9B6B3F26A171}">
  <dimension ref="A1:FK103"/>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2" width="10.7109375" style="1" customWidth="1"/>
    <col min="3" max="3" width="7.7109375" style="1" customWidth="1"/>
    <col min="4" max="4" width="8.7109375" style="1" customWidth="1"/>
    <col min="5" max="5" width="16.7109375" style="1" customWidth="1"/>
    <col min="6" max="6" width="22.7109375" style="1" customWidth="1"/>
    <col min="7" max="8" width="16.7109375" style="1" customWidth="1"/>
    <col min="9" max="9" width="9.7109375" style="1" customWidth="1"/>
    <col min="10" max="10" width="11.7109375" style="1" customWidth="1"/>
    <col min="11" max="11" width="22.7109375" style="1" customWidth="1"/>
    <col min="12" max="13" width="8.7109375" style="1" customWidth="1"/>
    <col min="14" max="14" width="10.7109375" style="1" customWidth="1"/>
    <col min="15" max="15" width="18.7109375" style="1" customWidth="1"/>
    <col min="16" max="17" width="13.7109375" style="1" customWidth="1"/>
    <col min="18" max="18" width="16.7109375" style="1" customWidth="1"/>
    <col min="19" max="19" width="22.7109375" style="1" customWidth="1"/>
    <col min="20" max="20" width="34.7109375" style="1" customWidth="1"/>
    <col min="21" max="21" width="22.7109375" style="1" customWidth="1"/>
    <col min="22" max="22" width="10.7109375" style="1" customWidth="1"/>
    <col min="23" max="24" width="9.7109375" style="1" customWidth="1"/>
    <col min="25" max="25" width="12.7109375" style="1" customWidth="1"/>
    <col min="26" max="26" width="9.7109375" style="1" customWidth="1"/>
    <col min="27" max="27" width="16.7109375" style="1" customWidth="1"/>
    <col min="28" max="28" width="8.7109375" style="1" customWidth="1"/>
    <col min="29" max="29" width="22.7109375" style="1" customWidth="1"/>
    <col min="30" max="30" width="40.7109375" style="1" customWidth="1"/>
    <col min="31" max="32" width="9.7109375" style="1" customWidth="1"/>
    <col min="33" max="33" width="24.7109375" style="1" customWidth="1"/>
    <col min="34" max="34" width="30.7109375" style="1" customWidth="1"/>
    <col min="35" max="35" width="24.7109375" style="1" customWidth="1"/>
    <col min="36" max="37" width="13.7109375" style="1" customWidth="1"/>
    <col min="38" max="38" width="20.7109375" style="1" customWidth="1"/>
    <col min="39" max="39" width="28.7109375" style="1" customWidth="1"/>
    <col min="40" max="40" width="20.7109375" style="1" customWidth="1"/>
    <col min="41" max="41" width="28.7109375" style="1" customWidth="1"/>
    <col min="42" max="43" width="10.7109375" style="1" customWidth="1"/>
    <col min="44" max="45" width="40.7109375" style="1" customWidth="1"/>
    <col min="46" max="46" width="30.7109375" style="1" customWidth="1"/>
    <col min="47" max="47" width="16.7109375" style="1" customWidth="1"/>
    <col min="48" max="48" width="11.7109375" style="1" customWidth="1"/>
    <col min="49" max="49" width="6.7109375" style="1" customWidth="1"/>
    <col min="50" max="50" width="10.7109375" style="1" customWidth="1"/>
    <col min="51" max="51" width="14.7109375" style="1" customWidth="1"/>
    <col min="52" max="60" width="5.7109375" style="1" customWidth="1"/>
    <col min="61" max="61" width="6.7109375" style="1" customWidth="1"/>
    <col min="62" max="74" width="8.7109375" style="1" customWidth="1"/>
    <col min="75" max="75" width="5.7109375" style="1" customWidth="1"/>
    <col min="76" max="76" width="12.7109375" style="1" customWidth="1"/>
    <col min="77" max="78" width="5.7109375" style="1" customWidth="1"/>
    <col min="79" max="79" width="12.7109375" style="1" customWidth="1"/>
    <col min="80" max="83" width="5.7109375" style="1" customWidth="1"/>
    <col min="84" max="84" width="8.7109375" style="1" customWidth="1"/>
    <col min="85" max="86" width="5.7109375" style="1" customWidth="1"/>
    <col min="87" max="87" width="8.7109375" style="1" customWidth="1"/>
    <col min="88" max="88" width="10.7109375" style="1" customWidth="1"/>
    <col min="89" max="89" width="5.7109375" style="1" customWidth="1"/>
    <col min="90" max="90" width="10.7109375" style="1" customWidth="1"/>
    <col min="91" max="91" width="8.7109375" style="1" customWidth="1"/>
    <col min="92" max="92" width="10.7109375" style="1" customWidth="1"/>
    <col min="93" max="93" width="5.7109375" style="1" customWidth="1"/>
    <col min="94" max="94" width="8.7109375" style="1" customWidth="1"/>
    <col min="95" max="95" width="10.7109375" style="1" customWidth="1"/>
    <col min="96" max="97" width="5.7109375" style="1" customWidth="1"/>
    <col min="98" max="98" width="8.7109375" style="1" customWidth="1"/>
    <col min="99" max="99" width="5.7109375" style="1" customWidth="1"/>
    <col min="100" max="100" width="9.7109375" style="1" customWidth="1"/>
    <col min="101" max="101" width="10.7109375" style="1" customWidth="1"/>
    <col min="102" max="102" width="16.7109375" style="1" customWidth="1"/>
    <col min="103" max="103" width="6.7109375" style="1" customWidth="1"/>
    <col min="104" max="115" width="8.7109375" style="1" customWidth="1"/>
    <col min="116" max="116" width="5.7109375" style="1" customWidth="1"/>
    <col min="117" max="117" width="12.7109375" style="1" customWidth="1"/>
    <col min="118" max="118" width="14.7109375" style="1" customWidth="1"/>
    <col min="119" max="119" width="12.7109375" style="1" customWidth="1"/>
    <col min="120" max="120" width="14.7109375" style="1" customWidth="1"/>
    <col min="121" max="121" width="6.7109375" style="1" customWidth="1"/>
    <col min="122" max="122" width="5.7109375" style="1" customWidth="1"/>
    <col min="123" max="123" width="6.7109375" style="1" customWidth="1"/>
    <col min="124" max="124" width="4.7109375" style="1" customWidth="1"/>
    <col min="125" max="125" width="12.7109375" style="1" customWidth="1"/>
    <col min="126" max="126" width="5.7109375" style="1" customWidth="1"/>
    <col min="127" max="128" width="14.7109375" style="1" customWidth="1"/>
    <col min="129" max="129" width="5.7109375" style="1" customWidth="1"/>
    <col min="130" max="130" width="8.7109375" style="1" customWidth="1"/>
    <col min="131" max="133" width="7.7109375" style="1" customWidth="1"/>
    <col min="134" max="134" width="4.7109375" style="1" customWidth="1"/>
    <col min="135" max="135" width="6.7109375" style="1" customWidth="1"/>
    <col min="136" max="138" width="14.7109375" style="1" customWidth="1"/>
    <col min="139" max="140" width="4.7109375" style="1" customWidth="1"/>
    <col min="141" max="141" width="5.7109375" style="1" customWidth="1"/>
    <col min="142" max="144" width="10.7109375" style="1" customWidth="1"/>
    <col min="145" max="146" width="6.7109375" style="1" customWidth="1"/>
    <col min="147" max="155" width="5.7109375" style="1" customWidth="1"/>
    <col min="156" max="156" width="16.7109375" style="1" customWidth="1"/>
    <col min="157" max="157" width="12.7109375" style="1" customWidth="1"/>
    <col min="158" max="158" width="16.7109375" style="1" customWidth="1"/>
    <col min="159" max="159" width="12.7109375" style="1" customWidth="1"/>
    <col min="160" max="167" width="4.7109375" style="1" customWidth="1"/>
    <col min="168" max="16384" width="9.140625" style="1"/>
  </cols>
  <sheetData>
    <row r="1" spans="1:167" ht="17.25" x14ac:dyDescent="0.3">
      <c r="A1" s="6" t="s">
        <v>959</v>
      </c>
    </row>
    <row r="2" spans="1:167" x14ac:dyDescent="0.2">
      <c r="A2" s="7" t="s">
        <v>960</v>
      </c>
    </row>
    <row r="3" spans="1:167" x14ac:dyDescent="0.2">
      <c r="A3" s="2" t="s">
        <v>961</v>
      </c>
      <c r="T3" s="2" t="s">
        <v>979</v>
      </c>
      <c r="AW3" s="2" t="s">
        <v>1007</v>
      </c>
    </row>
    <row r="4" spans="1:167" ht="66" customHeight="1" x14ac:dyDescent="0.2">
      <c r="A4" s="8" t="s">
        <v>962</v>
      </c>
      <c r="B4" s="8" t="s">
        <v>280</v>
      </c>
      <c r="C4" s="8" t="s">
        <v>281</v>
      </c>
      <c r="D4" s="8" t="s">
        <v>963</v>
      </c>
      <c r="E4" s="8" t="s">
        <v>964</v>
      </c>
      <c r="F4" s="8" t="s">
        <v>965</v>
      </c>
      <c r="G4" s="8" t="s">
        <v>966</v>
      </c>
      <c r="H4" s="8" t="s">
        <v>967</v>
      </c>
      <c r="I4" s="8" t="s">
        <v>968</v>
      </c>
      <c r="J4" s="8" t="s">
        <v>969</v>
      </c>
      <c r="K4" s="8" t="s">
        <v>970</v>
      </c>
      <c r="L4" s="8" t="s">
        <v>971</v>
      </c>
      <c r="M4" s="8" t="s">
        <v>972</v>
      </c>
      <c r="N4" s="8" t="s">
        <v>973</v>
      </c>
      <c r="O4" s="8" t="s">
        <v>974</v>
      </c>
      <c r="P4" s="8" t="s">
        <v>975</v>
      </c>
      <c r="Q4" s="8" t="s">
        <v>976</v>
      </c>
      <c r="R4" s="8" t="s">
        <v>977</v>
      </c>
      <c r="S4" s="8" t="s">
        <v>978</v>
      </c>
      <c r="T4" s="19" t="s">
        <v>980</v>
      </c>
      <c r="U4" s="19" t="s">
        <v>981</v>
      </c>
      <c r="V4" s="19" t="s">
        <v>982</v>
      </c>
      <c r="W4" s="19" t="s">
        <v>983</v>
      </c>
      <c r="X4" s="19" t="s">
        <v>984</v>
      </c>
      <c r="Y4" s="19" t="s">
        <v>776</v>
      </c>
      <c r="Z4" s="19" t="s">
        <v>985</v>
      </c>
      <c r="AA4" s="19" t="s">
        <v>986</v>
      </c>
      <c r="AB4" s="19" t="s">
        <v>987</v>
      </c>
      <c r="AC4" s="19" t="s">
        <v>988</v>
      </c>
      <c r="AD4" s="19" t="s">
        <v>989</v>
      </c>
      <c r="AE4" s="19" t="s">
        <v>990</v>
      </c>
      <c r="AF4" s="19" t="s">
        <v>991</v>
      </c>
      <c r="AG4" s="19" t="s">
        <v>992</v>
      </c>
      <c r="AH4" s="19" t="s">
        <v>993</v>
      </c>
      <c r="AI4" s="19" t="s">
        <v>954</v>
      </c>
      <c r="AJ4" s="19" t="s">
        <v>994</v>
      </c>
      <c r="AK4" s="19" t="s">
        <v>995</v>
      </c>
      <c r="AL4" s="19" t="s">
        <v>996</v>
      </c>
      <c r="AM4" s="19" t="s">
        <v>997</v>
      </c>
      <c r="AN4" s="19" t="s">
        <v>998</v>
      </c>
      <c r="AO4" s="19" t="s">
        <v>999</v>
      </c>
      <c r="AP4" s="19" t="s">
        <v>1000</v>
      </c>
      <c r="AQ4" s="19" t="s">
        <v>1001</v>
      </c>
      <c r="AR4" s="19" t="s">
        <v>1002</v>
      </c>
      <c r="AS4" s="19" t="s">
        <v>1003</v>
      </c>
      <c r="AT4" s="19" t="s">
        <v>1004</v>
      </c>
      <c r="AU4" s="19" t="s">
        <v>1005</v>
      </c>
      <c r="AV4" s="19" t="s">
        <v>1006</v>
      </c>
      <c r="AW4" s="19" t="s">
        <v>1008</v>
      </c>
      <c r="AX4" s="19" t="s">
        <v>1009</v>
      </c>
      <c r="AY4" s="19" t="s">
        <v>1010</v>
      </c>
      <c r="AZ4" s="19" t="s">
        <v>1011</v>
      </c>
      <c r="BA4" s="19" t="s">
        <v>1012</v>
      </c>
      <c r="BB4" s="19" t="s">
        <v>1013</v>
      </c>
      <c r="BC4" s="19" t="s">
        <v>1014</v>
      </c>
      <c r="BD4" s="19" t="s">
        <v>1015</v>
      </c>
      <c r="BE4" s="19" t="s">
        <v>1016</v>
      </c>
      <c r="BF4" s="19" t="s">
        <v>1017</v>
      </c>
      <c r="BG4" s="19" t="s">
        <v>1018</v>
      </c>
      <c r="BH4" s="19" t="s">
        <v>1019</v>
      </c>
      <c r="BI4" s="19" t="s">
        <v>1020</v>
      </c>
      <c r="BJ4" s="19" t="s">
        <v>1021</v>
      </c>
      <c r="BK4" s="19" t="s">
        <v>1022</v>
      </c>
      <c r="BL4" s="19" t="s">
        <v>1023</v>
      </c>
      <c r="BM4" s="19" t="s">
        <v>1024</v>
      </c>
      <c r="BN4" s="19" t="s">
        <v>1025</v>
      </c>
      <c r="BO4" s="19" t="s">
        <v>1026</v>
      </c>
      <c r="BP4" s="19" t="s">
        <v>1027</v>
      </c>
      <c r="BQ4" s="19" t="s">
        <v>1028</v>
      </c>
      <c r="BR4" s="19" t="s">
        <v>1029</v>
      </c>
      <c r="BS4" s="19" t="s">
        <v>1030</v>
      </c>
      <c r="BT4" s="19" t="s">
        <v>1031</v>
      </c>
      <c r="BU4" s="19" t="s">
        <v>1032</v>
      </c>
      <c r="BV4" s="19" t="s">
        <v>1033</v>
      </c>
      <c r="BW4" s="19" t="s">
        <v>1034</v>
      </c>
      <c r="BX4" s="19" t="s">
        <v>1035</v>
      </c>
      <c r="BY4" s="19" t="s">
        <v>1036</v>
      </c>
      <c r="BZ4" s="19" t="s">
        <v>1037</v>
      </c>
      <c r="CA4" s="19" t="s">
        <v>1038</v>
      </c>
      <c r="CB4" s="19" t="s">
        <v>1039</v>
      </c>
      <c r="CC4" s="19" t="s">
        <v>1040</v>
      </c>
      <c r="CD4" s="19" t="s">
        <v>1041</v>
      </c>
      <c r="CE4" s="19" t="s">
        <v>1042</v>
      </c>
      <c r="CF4" s="19" t="s">
        <v>1043</v>
      </c>
      <c r="CG4" s="19" t="s">
        <v>1044</v>
      </c>
      <c r="CH4" s="19" t="s">
        <v>1045</v>
      </c>
      <c r="CI4" s="19" t="s">
        <v>1046</v>
      </c>
      <c r="CJ4" s="19" t="s">
        <v>1047</v>
      </c>
      <c r="CK4" s="19" t="s">
        <v>1048</v>
      </c>
      <c r="CL4" s="19" t="s">
        <v>1049</v>
      </c>
      <c r="CM4" s="19" t="s">
        <v>1050</v>
      </c>
      <c r="CN4" s="19" t="s">
        <v>1051</v>
      </c>
      <c r="CO4" s="19" t="s">
        <v>1052</v>
      </c>
      <c r="CP4" s="19" t="s">
        <v>1050</v>
      </c>
      <c r="CQ4" s="19" t="s">
        <v>1053</v>
      </c>
      <c r="CR4" s="19" t="s">
        <v>1054</v>
      </c>
      <c r="CS4" s="19" t="s">
        <v>1055</v>
      </c>
      <c r="CT4" s="19" t="s">
        <v>1056</v>
      </c>
      <c r="CU4" s="19" t="s">
        <v>1057</v>
      </c>
      <c r="CV4" s="19" t="s">
        <v>1058</v>
      </c>
      <c r="CW4" s="19" t="s">
        <v>1059</v>
      </c>
      <c r="CX4" s="19" t="s">
        <v>1060</v>
      </c>
      <c r="CY4" s="19" t="s">
        <v>1061</v>
      </c>
      <c r="CZ4" s="19" t="s">
        <v>1062</v>
      </c>
      <c r="DA4" s="19" t="s">
        <v>1063</v>
      </c>
      <c r="DB4" s="19" t="s">
        <v>1064</v>
      </c>
      <c r="DC4" s="19" t="s">
        <v>1065</v>
      </c>
      <c r="DD4" s="19" t="s">
        <v>1066</v>
      </c>
      <c r="DE4" s="19" t="s">
        <v>1067</v>
      </c>
      <c r="DF4" s="19" t="s">
        <v>1068</v>
      </c>
      <c r="DG4" s="19" t="s">
        <v>1069</v>
      </c>
      <c r="DH4" s="19" t="s">
        <v>1070</v>
      </c>
      <c r="DI4" s="19" t="s">
        <v>1071</v>
      </c>
      <c r="DJ4" s="19" t="s">
        <v>1072</v>
      </c>
      <c r="DK4" s="19" t="s">
        <v>1073</v>
      </c>
      <c r="DL4" s="19" t="s">
        <v>1074</v>
      </c>
      <c r="DM4" s="19" t="s">
        <v>1075</v>
      </c>
      <c r="DN4" s="19" t="s">
        <v>1076</v>
      </c>
      <c r="DO4" s="19" t="s">
        <v>1077</v>
      </c>
      <c r="DP4" s="19" t="s">
        <v>1078</v>
      </c>
      <c r="DQ4" s="19" t="s">
        <v>1079</v>
      </c>
      <c r="DR4" s="19" t="s">
        <v>1080</v>
      </c>
      <c r="DS4" s="19" t="s">
        <v>1081</v>
      </c>
      <c r="DT4" s="19" t="s">
        <v>1082</v>
      </c>
      <c r="DU4" s="19" t="s">
        <v>1083</v>
      </c>
      <c r="DV4" s="19" t="s">
        <v>1084</v>
      </c>
      <c r="DW4" s="19" t="s">
        <v>1085</v>
      </c>
      <c r="DX4" s="19" t="s">
        <v>1086</v>
      </c>
      <c r="DY4" s="19" t="s">
        <v>1087</v>
      </c>
      <c r="DZ4" s="19" t="s">
        <v>1088</v>
      </c>
      <c r="EA4" s="19" t="s">
        <v>1089</v>
      </c>
      <c r="EB4" s="19" t="s">
        <v>1090</v>
      </c>
      <c r="EC4" s="19" t="s">
        <v>1091</v>
      </c>
      <c r="ED4" s="19" t="s">
        <v>1092</v>
      </c>
      <c r="EE4" s="19" t="s">
        <v>1093</v>
      </c>
      <c r="EF4" s="19" t="s">
        <v>1094</v>
      </c>
      <c r="EG4" s="19" t="s">
        <v>1095</v>
      </c>
      <c r="EH4" s="19" t="s">
        <v>1096</v>
      </c>
      <c r="EI4" s="19" t="s">
        <v>1097</v>
      </c>
      <c r="EJ4" s="19" t="s">
        <v>1098</v>
      </c>
      <c r="EK4" s="19" t="s">
        <v>1099</v>
      </c>
      <c r="EL4" s="19" t="s">
        <v>1100</v>
      </c>
      <c r="EM4" s="19" t="s">
        <v>1101</v>
      </c>
      <c r="EN4" s="19" t="s">
        <v>1102</v>
      </c>
      <c r="EO4" s="19" t="s">
        <v>1103</v>
      </c>
      <c r="EP4" s="19" t="s">
        <v>1104</v>
      </c>
      <c r="EQ4" s="19" t="s">
        <v>1105</v>
      </c>
      <c r="ER4" s="19" t="s">
        <v>1106</v>
      </c>
      <c r="ES4" s="19" t="s">
        <v>1107</v>
      </c>
      <c r="ET4" s="19" t="s">
        <v>1108</v>
      </c>
      <c r="EU4" s="19" t="s">
        <v>1109</v>
      </c>
      <c r="EV4" s="19" t="s">
        <v>1110</v>
      </c>
      <c r="EW4" s="19" t="s">
        <v>1111</v>
      </c>
      <c r="EX4" s="19" t="s">
        <v>1112</v>
      </c>
      <c r="EY4" s="19" t="s">
        <v>1113</v>
      </c>
      <c r="EZ4" s="19" t="s">
        <v>1114</v>
      </c>
      <c r="FA4" s="19" t="s">
        <v>1115</v>
      </c>
      <c r="FB4" s="19" t="s">
        <v>1116</v>
      </c>
      <c r="FC4" s="19" t="s">
        <v>1117</v>
      </c>
      <c r="FD4" s="19" t="s">
        <v>1118</v>
      </c>
      <c r="FE4" s="19" t="s">
        <v>1119</v>
      </c>
      <c r="FF4" s="19" t="s">
        <v>1120</v>
      </c>
      <c r="FG4" s="19" t="s">
        <v>1121</v>
      </c>
      <c r="FH4" s="19" t="s">
        <v>1122</v>
      </c>
      <c r="FI4" s="19" t="s">
        <v>1123</v>
      </c>
      <c r="FJ4" s="19" t="s">
        <v>1124</v>
      </c>
      <c r="FK4" s="19" t="s">
        <v>1125</v>
      </c>
    </row>
    <row r="5" spans="1:167" x14ac:dyDescent="0.2">
      <c r="A5" s="10"/>
      <c r="B5" s="10"/>
      <c r="C5" s="12"/>
      <c r="D5" s="10"/>
      <c r="E5" s="17"/>
      <c r="F5" s="10"/>
      <c r="G5" s="10"/>
      <c r="H5" s="10"/>
      <c r="I5" s="17"/>
      <c r="J5" s="17"/>
      <c r="K5" s="10"/>
      <c r="L5" s="17"/>
      <c r="M5" s="17"/>
      <c r="N5" s="17"/>
      <c r="O5" s="10"/>
      <c r="P5" s="15"/>
      <c r="Q5" s="15"/>
      <c r="R5" s="10"/>
      <c r="S5" s="10"/>
      <c r="T5" s="21" t="str">
        <f t="shared" ref="T5:T44" si="0">IF(AW5=1,"",IF(EI5=0,EG5&amp;": no result is shown",U5&amp;IF(DS5="C1",IF(ABS(DZ5)&gt;=60," ("&amp;FIXED(DZ5/60,1,FALSE)&amp;" hours)",""),"")&amp;IF(AND(DS5="C2",EA5=0,DZ5&lt;&gt;"")," (order within the day from C1: "&amp;AA5&amp;")","")&amp;IF(AB5&lt;&gt;"","; treatment Day "&amp;AB5,"")&amp;IF(AE5&lt;&gt;"","; with constraint "&amp;SUBSTITUTE(AE5&amp;"","-","−")&amp;" to "&amp;SUBSTITUTE(AF5&amp;"","-","−")&amp;" calendar days",IF(EN5&lt;&gt;"","; constraint: "&amp;EN5,""))))</f>
        <v/>
      </c>
      <c r="U5" s="21" t="str">
        <f t="shared" ref="U5:U44" si="1">IF(AW5=1,"",IF(EI5=0,"Not calculable",IF(DS5="C1",SUBSTITUTE(FIXED(DZ5,0,FALSE),"-","−")&amp;" "&amp;IF(ABS(DZ5)=1,SUBSTITUTE(Y5,"minutes","minute"),Y5),IF(DS5="C2",SUBSTITUTE(EA5&amp;"","-","−")&amp;" calendar "&amp;IF(ABS(EA5)=1,"day","days"),IF(AND(EB5&lt;0,EC5&gt;0,EB5&gt;0),"+","")&amp;SUBSTITUTE(EB5&amp;"","-","−")&amp;" to "&amp;IF(AND(EB5&lt;0,EC5&gt;0,EC5&gt;0),"+","")&amp;SUBSTITUTE(EC5&amp;"","-","−")&amp;" calendar days"))))</f>
        <v/>
      </c>
      <c r="V5" s="21" t="str">
        <f t="shared" ref="V5:V44" si="2">IF(EI5=0,"",IF(DS5="C1",DZ5,IF(DS5="C2",EA5,"")))</f>
        <v/>
      </c>
      <c r="W5" s="21" t="str">
        <f t="shared" ref="W5:W44" si="3">IF(AND(EI5=1,DS5="C4"),EB5,"")</f>
        <v/>
      </c>
      <c r="X5" s="21" t="str">
        <f t="shared" ref="X5:X44" si="4">IF(AND(EI5=1,DS5="C4"),EC5,"")</f>
        <v/>
      </c>
      <c r="Y5" s="21" t="str">
        <f t="shared" ref="Y5:Y44" si="5">IF(EI5=0,"",IF(DS5="C1",IF(DY5=1,"minutes (local clock)","minutes"),"calendar days"))</f>
        <v/>
      </c>
      <c r="Z5" s="21" t="str">
        <f t="shared" ref="Z5:Z44" si="6">IF(AW5=1,"",IF(EI5=0,IF(DT5=1,"C7","C1–C6"),IF(DT5=1,"C7 ("&amp;DS5&amp;")",DS5&amp;IF(EJ5=1,"; C3","")&amp;IF(ED5=1,"; C6",""))))</f>
        <v/>
      </c>
      <c r="AA5" s="21" t="str">
        <f t="shared" ref="AA5:AA44" si="7">IF(EI5=0,"",IF(DS5="C1",IF(DZ5&gt;0,"AFTER",IF(DZ5&lt;0,"BEFORE","SIMULTANEOUS")),IF(DS5="C2",IF(EA5&gt;0,"AFTER",IF(EA5&lt;0,"BEFORE",IF(DZ5&lt;&gt;"",IF(DZ5&gt;0,"AFTER",IF(DZ5&lt;0,"BEFORE","SIMULTANEOUS")),"SAME_DATE_ORDER_UNKNOWN"))),IF(EB5&gt;0,"AFTER",IF(EC5&lt;0,"BEFORE",IF(AND(EB5=0,EC5=0),"SAME_DATE_ORDER_UNKNOWN","SEQUENCE_UNCERTAIN"))))))</f>
        <v/>
      </c>
      <c r="AB5" s="21" t="str">
        <f t="shared" ref="AB5:AB44" si="8">IF(AND(EJ5=1,EA5&gt;=0),EA5+1,"")</f>
        <v/>
      </c>
      <c r="AC5" s="21" t="str">
        <f t="shared" ref="AC5:AC44" si="9">IF(AW5=1,"",IF(EG5&lt;&gt;"",EG5,MID(IF(FD5=1,"; W_TZ_UNKNOWN","")&amp;IF(FE5=1,"; W_SAME_DATE_ORDER_UNKNOWN","")&amp;IF(FF5=1,"; W_SEQUENCE_UNCERTAIN","")&amp;IF(FG5=1,"; W_ADMIN_SAME_DATE_AS_ONSET","")&amp;IF(FH5=1,"; W_REPORTED_TIMING_CONFLICT","")&amp;IF(FI5=1,"; W_INTERVENTION_BEFORE_RECOVERY","")&amp;IF(FJ5=1,"; I_TREATMENT_DAY_UNDEFINED","")&amp;IF(FK5=1,"; I_APPROXIMATE_NOT_COMPARED",""),3,999)))</f>
        <v/>
      </c>
      <c r="AD5" s="21" t="str">
        <f>IF(AW5=1,"",MID(IF(ISNUMBER(SEARCH("E_INVALID_DATE",EG5))," | E_INVALID_DATE: "&amp;SUBSTITUTE(IFERROR(INDEX(nMSG_Text,MATCH("E_INVALID_DATE",nMSG_Code,0)),""),"[input]",""),"")&amp;IF(ISNUMBER(SEARCH("E_REVERSED_BOUNDS",EG5))," | E_REVERSED_BOUNDS: "&amp;SUBSTITUTE(IFERROR(INDEX(nMSG_Text,MATCH("E_REVERSED_BOUNDS",nMSG_Code,0)),""),"[input]",""),"")&amp;IF(ISNUMBER(SEARCH("E_DUPLICATE_ID",EG5))," | E_DUPLICATE_ID: "&amp;SUBSTITUTE(IFERROR(INDEX(nMSG_Text,MATCH("E_DUPLICATE_ID",nMSG_Code,0)),""),"[input]",""),"")&amp;IF(ISNUMBER(SEARCH("E_MISSING_LINK",EG5))," | E_MISSING_LINK: "&amp;SUBSTITUTE(IFERROR(INDEX(nMSG_Text,MATCH("E_MISSING_LINK",nMSG_Code,0)),""),"[input]",""),"")&amp;IF(ISNUMBER(SEARCH("E_MISSING_INPUT",EG5))," | E_MISSING_INPUT: "&amp;SUBSTITUTE(IFERROR(INDEX(nMSG_Text,MATCH("E_MISSING_INPUT",nMSG_Code,0)),""),"[input]",IF(EH5="","an input",EH5)),"")&amp;IF(ISNUMBER(SEARCH("E_INVALID_UNIT",EG5))," | E_INVALID_UNIT: "&amp;SUBSTITUTE(IFERROR(INDEX(nMSG_Text,MATCH("E_INVALID_UNIT",nMSG_Code,0)),""),"[input]",""),"")&amp;IF(FD5=1," | W_TZ_UNKNOWN: "&amp;SUBSTITUTE(IFERROR(INDEX(nMSG_Text,MATCH("W_TZ_UNKNOWN",nMSG_Code,0)),""),"[input]",""),"")&amp;IF(FE5=1," | W_SAME_DATE_ORDER_UNKNOWN: "&amp;SUBSTITUTE(IFERROR(INDEX(nMSG_Text,MATCH("W_SAME_DATE_ORDER_UNKNOWN",nMSG_Code,0)),""),"[input]",""),"")&amp;IF(FF5=1," | W_SEQUENCE_UNCERTAIN: "&amp;SUBSTITUTE(IFERROR(INDEX(nMSG_Text,MATCH("W_SEQUENCE_UNCERTAIN",nMSG_Code,0)),""),"[input]",""),"")&amp;IF(FG5=1," | W_ADMIN_SAME_DATE_AS_ONSET: "&amp;SUBSTITUTE(IFERROR(INDEX(nMSG_Text,MATCH("W_ADMIN_SAME_DATE_AS_ONSET",nMSG_Code,0)),""),"[input]",""),"")&amp;IF(FH5=1," | W_REPORTED_TIMING_CONFLICT: "&amp;SUBSTITUTE(IFERROR(INDEX(nMSG_Text,MATCH("W_REPORTED_TIMING_CONFLICT",nMSG_Code,0)),""),"[input]",""),"")&amp;IF(FI5=1," | W_INTERVENTION_BEFORE_RECOVERY: "&amp;SUBSTITUTE(IFERROR(INDEX(nMSG_Text,MATCH("W_INTERVENTION_BEFORE_RECOVERY",nMSG_Code,0)),""),"[input]",""),"")&amp;IF(FJ5=1," | I_TREATMENT_DAY_UNDEFINED: "&amp;SUBSTITUTE(IFERROR(INDEX(nMSG_Text,MATCH("I_TREATMENT_DAY_UNDEFINED",nMSG_Code,0)),""),"[input]",""),"")&amp;IF(FK5=1," | I_APPROXIMATE_NOT_COMPARED: "&amp;SUBSTITUTE(IFERROR(INDEX(nMSG_Text,MATCH("I_APPROXIMATE_NOT_COMPARED",nMSG_Code,0)),""),"[input]",""),""),4,9999))</f>
        <v/>
      </c>
      <c r="AE5" s="21" t="str">
        <f t="shared" ref="AE5:AE44" si="10">IF(OR(EL5="",EN5&lt;&gt;""),"",BR5-EM5)</f>
        <v/>
      </c>
      <c r="AF5" s="21" t="str">
        <f t="shared" ref="AF5:AF44" si="11">IF(OR(EL5="",EN5&lt;&gt;""),"",BS5-EL5)</f>
        <v/>
      </c>
      <c r="AG5" s="21" t="str">
        <f>IF(EN5="","",MID(IF(ISNUMBER(SEARCH("E_REVERSED_BOUNDS",EN5))," | E_REVERSED_BOUNDS: "&amp;SUBSTITUTE(IFERROR(INDEX(nMSG_Text,MATCH("E_REVERSED_BOUNDS",nMSG_Code,0)),""),"[input]",""),"")&amp;IF(ISNUMBER(SEARCH("E_MISSING_INPUT",EN5))," | E_MISSING_INPUT: "&amp;SUBSTITUTE(IFERROR(INDEX(nMSG_Text,MATCH("E_MISSING_INPUT",nMSG_Code,0)),""),"[input]",IF("the source of the constraint"="","an input","the source of the constraint")),""),4,999))</f>
        <v/>
      </c>
      <c r="AH5" s="21" t="str">
        <f t="shared" ref="AH5:AH44" si="12">IF(ED5=0,"",IF(EF5="OVERLAP","Overlaps the computed interval. ",IF(EF5="W_REPORTED_TIMING_CONFLICT","Conflicts with the computed interval; both kept. ",IF(EF5="I_APPROXIMATE_NOT_COMPARED","Not compared. ",IF(EF5="","Not compared (no computed interval). ",EF5&amp;": not compared. "))))&amp;"Reported: "&amp;CHAR(34)&amp;K5&amp;CHAR(34)&amp;IF(AND(ISNUMBER(L5),ISNUMBER(M5))," ["&amp;L5&amp;" to "&amp;M5&amp;" "&amp;N5&amp;"]",""))</f>
        <v/>
      </c>
      <c r="AI5" s="21" t="str">
        <f t="shared" ref="AI5:AI44" si="13">IF(AW5=1,"",IF(EI5=0,"Interval "&amp;A5,AJ5&amp;" → "&amp;AK5&amp;IF(DT5=1," (recovery)","")))</f>
        <v/>
      </c>
      <c r="AJ5" s="21" t="str">
        <f t="shared" ref="AJ5:AJ44" si="14">IF(BG5=1,CW5,IF(AND(E5="FIRST_ADMIN",G5=""),IF(AP5="","",AP5&amp;"/START"),G5&amp;""))</f>
        <v/>
      </c>
      <c r="AK5" s="21" t="str">
        <f t="shared" ref="AK5:AK44" si="15">IF(H5&lt;&gt;"",H5&amp;"",IF(AQ5&lt;&gt;"",AQ5&amp;"/ONSET",""))</f>
        <v/>
      </c>
      <c r="AL5" s="21" t="str">
        <f>IF(CY5=0,"",INDEX(nTP_ISO,CY5))</f>
        <v/>
      </c>
      <c r="AM5" s="21" t="str">
        <f>IF(CY5=0,"",INDEX(nTP_Display,CY5))</f>
        <v/>
      </c>
      <c r="AN5" s="21" t="str">
        <f>IF(BI5=0,"",INDEX(nTP_ISO,BI5))</f>
        <v/>
      </c>
      <c r="AO5" s="21" t="str">
        <f>IF(BI5=0,"",INDEX(nTP_Display,BI5))</f>
        <v/>
      </c>
      <c r="AP5" s="21" t="str">
        <f>IF(BA5=0,"",INDEX(nLNK_Exposure_Episode_ID,BA5)&amp;"")</f>
        <v/>
      </c>
      <c r="AQ5" s="21" t="str">
        <f>IF(BA5=0,"",INDEX(nLNK_Event_Episode_ID,BA5)&amp;"")</f>
        <v/>
      </c>
      <c r="AR5" s="21" t="str">
        <f t="shared" ref="AR5:AR44" si="16">IF(EI5=0,"","Anchor ("&amp;E5&amp;") "&amp;AJ5&amp;": "&amp;AL5&amp;" ["&amp;IF(DB5="TIMESTAMP",IF(DE5=1,"timestamp with UTC offset","timestamp, offset unknown"),IF(DB5="DATE","day",IF(DB5="MONTH","month",IF(DB5="YEAR","year",IF(DB5="LAB","laboratory-defined range","range")))))&amp;"; case measurement; original: "&amp;CHAR(34)&amp;DJ5&amp;CHAR(34)&amp;IF(DK5&lt;&gt;"","; source: "&amp;DK5,"")&amp;"] | End point "&amp;AK5&amp;": "&amp;AN5&amp;" ["&amp;IF(BL5="TIMESTAMP",IF(BO5=1,"timestamp with UTC offset","timestamp, offset unknown"),IF(BL5="DATE","day",IF(BL5="MONTH","month",IF(BL5="YEAR","year",IF(BL5="LAB","laboratory-defined range","range")))))&amp;"; case measurement; original: "&amp;CHAR(34)&amp;BT5&amp;CHAR(34)&amp;IF(BU5&lt;&gt;"","; source: "&amp;BU5,"")&amp;"]")</f>
        <v/>
      </c>
      <c r="AS5" s="21" t="str">
        <f>IF(EI5=0,"",MID(IF(DT5=1," | Recovery interval (C7) computed with "&amp;DS5&amp;".","")&amp;IF(BG5=1," | Anchor selected under C5 (CALC-SPEC 1.1): latest administration with an exact date or time at or before "&amp;IF(BH5=1,"onset","the end point")&amp;" ("&amp;AJ5&amp;"), ordered in UTC when offsets are known; later administrations are never selected.","")&amp;IF(AND(BG5=1,CE5&gt;0)," | Partial-date administrations wholly before the selected one were not candidates: "&amp;FC5&amp;".","")&amp;IF(BV5&lt;&gt;""," | "&amp;BV5,"")&amp;IF(AND(DS5="C2",EA5=0,DZ5&lt;&gt;"")," | Same calendar date; both times are known, so C1 decides the order ("&amp;AA5&amp;").","")&amp;IF(AND(DS5="C2",DD5*BN5=1,DT5=0)," | Calendar-date difference from the recorded local dates; it is never described as elapsed days.","")&amp;IF(AND(DS5="C4",DT5=0)," | Bounds are treated as independent; no single date is imputed from them.","")&amp;IF(EJ5=1," | Treatment day under the inclusive convention (C3); never written to E2B fields automatically.","")&amp;IF(AND(DS5="C4",DT5=0,EK5=0)," | No constraint applied.","")&amp;IF(AND(DS5="C4",EK5=1)," | Constraint applied to the anchor bounds: "&amp;IF(ISNUMBER(P5),"not before "&amp;DAY(P5)&amp;" "&amp;INDEX(nLIST_Months,MONTH(P5))&amp;" "&amp;YEAR(P5),"")&amp;IF(AND(ISNUMBER(P5),ISNUMBER(Q5)),", ","")&amp;IF(ISNUMBER(Q5),"not after "&amp;DAY(Q5)&amp;" "&amp;INDEX(nLIST_Months,MONTH(Q5))&amp;" "&amp;YEAR(Q5),"")&amp;". Source: "&amp;IF(R5="","not recorded",R5)&amp;IF(EN5="",". Constrained result shown beside the unconstrained one.",". Constrained result blocked ("&amp;EN5&amp;")."),"")&amp;IF(DT5=1,IF(EO5&gt;0," | Intervention recorded between cessation and recovery (ends included): "&amp;EZ5&amp;"."," | No intervention is recorded between cessation and recovery; absence of a record is not evidence that none was given."),"")&amp;IF(AND(DT5=1,DV5&gt;0)," | Intervention recorded without a date, so whether it came before recovery is unknown: "&amp;INDEX(nMS_Milestone_ID,MATCH(1,INDEX((nMS_CaseKey=AX5)*(nMS_Type="INTERVENTION")*nMS_Undated,0),0))&amp;IF(DV5&gt;1," and "&amp;(DV5-1)&amp;" more","")&amp;".","")&amp;IF(AND(DT5=1,EP5&gt;0)," | Not counted as interventions, because they are recorded as exposures rather than as intervention milestones (nothing is inferred): "&amp;FB5&amp;". If treatment was given, record it as an intervention milestone.",""),4,9999))</f>
        <v/>
      </c>
      <c r="AT5" s="21" t="str">
        <f t="shared" ref="AT5:AT44" si="17">IF(EI5=0,"","The interval describes the sequence and spacing of recorded times; it is not evidence of causation."&amp;IF(DS5="C4"," The true interval lies between the bounds; no single date is imputed.","")&amp;IF(DT5=1," A recovery interval is not, by itself, evidence of positive dechallenge.",""))</f>
        <v/>
      </c>
      <c r="AU5" s="21" t="str">
        <f t="shared" ref="AU5:AU44" si="18">IF(OR(EI5=0,DT5=0,EO5=0),"",FA5)</f>
        <v/>
      </c>
      <c r="AV5" s="21" t="str">
        <f t="shared" ref="AV5:AV44" si="19">IF(AW5=1,"","CALC-SPEC 1.1")</f>
        <v/>
      </c>
      <c r="AW5" s="22">
        <f t="shared" ref="AW5:AW44" si="20">IF(AND(A5="",D5="",E5="",H5=""),1,0)</f>
        <v>1</v>
      </c>
      <c r="AX5" s="21" t="str">
        <f t="shared" ref="AX5:AX44" si="21">B5&amp;"|"&amp;C5</f>
        <v>|</v>
      </c>
      <c r="AY5" s="21" t="str">
        <f t="shared" ref="AY5:AY44" si="22">IF(A5="","",AX5&amp;"|"&amp;A5)</f>
        <v/>
      </c>
      <c r="AZ5" s="22">
        <f>IF(AY5="",0,COUNTIF(nINT_Key,AY5))</f>
        <v>0</v>
      </c>
      <c r="BA5" s="22">
        <f>IF(D5="",0,IFERROR(MATCH(AX5&amp;"|"&amp;D5,nLNK_Key,0),0))</f>
        <v>0</v>
      </c>
      <c r="BB5" s="22">
        <f>IF(BA5=0,1,INDEX(nLNK_Exp_Found,BA5))</f>
        <v>1</v>
      </c>
      <c r="BC5" s="22">
        <f>IF(BA5=0,1,INDEX(nLNK_Evt_Found,BA5))</f>
        <v>1</v>
      </c>
      <c r="BD5" s="22">
        <f>IF(AP5="",0,COUNTIF(nEXP_Key,AX5&amp;"|"&amp;AP5))</f>
        <v>0</v>
      </c>
      <c r="BE5" s="22">
        <f>IF(AQ5="",0,COUNTIF(nEVT_Key,AX5&amp;"|"&amp;AQ5))</f>
        <v>0</v>
      </c>
      <c r="BF5" s="22">
        <f>IF(ISNA(MATCH(E5,nLIST_AnchorType,0)),0,1)</f>
        <v>0</v>
      </c>
      <c r="BG5" s="22">
        <f t="shared" ref="BG5:BG44" si="23">IF(AND(BF5=1,E5="LAST_DOSE_BEFORE_ONSET",G5=""),1,0)</f>
        <v>0</v>
      </c>
      <c r="BH5" s="22">
        <f t="shared" ref="BH5:BH44" si="24">IF(RIGHT(AK5,6)="/ONSET",1,0)</f>
        <v>0</v>
      </c>
      <c r="BI5" s="22">
        <f>IF(OR(AW5=1,AK5=""),0,IFERROR(MATCH(AX5&amp;"|"&amp;AK5,nTP_Key,0),0))</f>
        <v>0</v>
      </c>
      <c r="BJ5" s="21">
        <f>IF(BI5=0,0,INDEX(nTP_Dup,BI5))</f>
        <v>0</v>
      </c>
      <c r="BK5" s="21" t="str">
        <f>IF(BI5=0,"",INDEX(nTP_Record_Type,BI5))</f>
        <v/>
      </c>
      <c r="BL5" s="21" t="str">
        <f>IF(BI5=0,"",INDEX(nTP_Precision,BI5))</f>
        <v/>
      </c>
      <c r="BM5" s="21" t="str">
        <f>IF(BI5=0,"",INDEX(nTP_Err,BI5))</f>
        <v/>
      </c>
      <c r="BN5" s="21">
        <f>IF(BI5=0,0,INDEX(nTP_HT,BI5))</f>
        <v>0</v>
      </c>
      <c r="BO5" s="21">
        <f>IF(BI5=0,0,INDEX(nTP_OK,BI5))</f>
        <v>0</v>
      </c>
      <c r="BP5" s="21" t="str">
        <f>IF(BI5=0,"",INDEX(nTP_Loc,BI5))</f>
        <v/>
      </c>
      <c r="BQ5" s="21" t="str">
        <f>IF(BI5=0,"",INDEX(nTP_UTC,BI5))</f>
        <v/>
      </c>
      <c r="BR5" s="21" t="str">
        <f>IF(BI5=0,"",INDEX(nTP_Lo,BI5))</f>
        <v/>
      </c>
      <c r="BS5" s="21" t="str">
        <f>IF(BI5=0,"",INDEX(nTP_Hi,BI5))</f>
        <v/>
      </c>
      <c r="BT5" s="21" t="str">
        <f>IF(BI5=0,"",INDEX(nTP_Original_Text,BI5))</f>
        <v/>
      </c>
      <c r="BU5" s="21" t="str">
        <f>IF(BI5=0,"",INDEX(nTP_Source,BI5))</f>
        <v/>
      </c>
      <c r="BV5" s="21" t="str">
        <f>IF(BI5=0,"",INDEX(nTP_Lab_Note,BI5))</f>
        <v/>
      </c>
      <c r="BW5" s="22">
        <f t="shared" ref="BW5:BW44" si="25">IF(AND(BI5&gt;0,BM5=""),1,0)</f>
        <v>0</v>
      </c>
      <c r="BX5" s="21" t="str">
        <f t="shared" ref="BX5:BX44" si="26">AX5&amp;"|"&amp;AP5</f>
        <v>||</v>
      </c>
      <c r="BY5" s="22">
        <f>IF(BG5=0,0,COUNTIF(nTP_CandKey,BX5))</f>
        <v>0</v>
      </c>
      <c r="BZ5" s="22">
        <f>IF(BG5=0,0,COUNTIFS(nTP_CandKey,BX5,nTP_Err,""))</f>
        <v>0</v>
      </c>
      <c r="CA5" s="21" t="str">
        <f>IF(BY5=BZ5,"",IF(COUNTIFS(nTP_CandKey,BX5,nTP_Err,"E_INVALID_DATE")&gt;0,"; E_INVALID_DATE","")&amp;IF(COUNTIFS(nTP_CandKey,BX5,nTP_Err,"E_REVERSED_BOUNDS")&gt;0,"; E_REVERSED_BOUNDS","")&amp;IF(COUNTIFS(nTP_CandKey,BX5,nTP_Err,"E_MISSING_INPUT")&gt;0,"; E_MISSING_INPUT","")&amp;IF(COUNTIFS(nTP_CandKey,BX5,nTP_Err,"E_INVALID_UNIT")&gt;0,"; E_INVALID_UNIT",""))</f>
        <v/>
      </c>
      <c r="CB5" s="22">
        <f t="shared" ref="CB5:CB44" si="27">IF(AND(BG5=1,BZ5&gt;0,BW5=1),1,0)</f>
        <v>0</v>
      </c>
      <c r="CC5" s="22">
        <f>IF(CB5=0,0,SUMPRODUCT((nTP_CandKey=BX5)*(nTP_Err="")*(1-(nTP_HT*BN5*((nTP_OK*BO5*(nTP_UTC_n-N(BQ5))+(1-nTP_OK*BO5)*(nTP_Loc_n-N(BP5)))&lt;=0)+(1-nTP_HT*BN5)*(nTP_Hi_n&lt;N(BR5)))-(nTP_HT*BN5*((nTP_OK*BO5*(nTP_UTC_n-N(BQ5))+(1-nTP_OK*BO5)*(nTP_Loc_n-N(BP5)))&gt;0)+(1-nTP_HT*BN5)*(nTP_Lo_n&gt;N(BS5)))-((1-nTP_HT*BN5)*(nTP_Lo_n=nTP_Hi_n)*(nTP_Lo_n=N(BR5))*(N(BR5)=N(BS5))))))</f>
        <v>0</v>
      </c>
      <c r="CD5" s="22">
        <f>IF(CB5=0,0,SUMPRODUCT((nTP_CandKey=BX5)*nTP_Exact*((nTP_HT*BN5*((nTP_OK*BO5*(nTP_UTC_n-N(BQ5))+(1-nTP_OK*BO5)*(nTP_Loc_n-N(BP5)))&lt;=0)+(1-nTP_HT*BN5)*(nTP_Hi_n&lt;N(BR5)))+((1-nTP_HT*BN5)*(nTP_Lo_n=nTP_Hi_n)*(nTP_Lo_n=N(BR5))*(N(BR5)=N(BS5))))))</f>
        <v>0</v>
      </c>
      <c r="CE5" s="22">
        <f>IF(CB5=0,0,SUMPRODUCT((nTP_CandKey=BX5)*(nTP_Err="")*(1-nTP_Exact)*((nTP_HT*BN5*((nTP_OK*BO5*(nTP_UTC_n-N(BQ5))+(1-nTP_OK*BO5)*(nTP_Loc_n-N(BP5)))&lt;=0)+(1-nTP_HT*BN5)*(nTP_Hi_n&lt;N(BR5)))+((1-nTP_HT*BN5)*(nTP_Lo_n=nTP_Hi_n)*(nTP_Lo_n=N(BR5))*(N(BR5)=N(BS5))))))</f>
        <v>0</v>
      </c>
      <c r="CF5" s="22">
        <f>IF(CD5=0,0,SUMPRODUCT(MAX((nTP_CandKey=BX5)*nTP_Exact*((nTP_HT*BN5*((nTP_OK*BO5*(nTP_UTC_n-N(BQ5))+(1-nTP_OK*BO5)*(nTP_Loc_n-N(BP5)))&lt;=0)+(1-nTP_HT*BN5)*(nTP_Hi_n&lt;N(BR5)))+((1-nTP_HT*BN5)*(nTP_Lo_n=nTP_Hi_n)*(nTP_Lo_n=N(BR5))*(N(BR5)=N(BS5))))*nTP_Lo_n)))</f>
        <v>0</v>
      </c>
      <c r="CG5" s="22">
        <f>IF(CD5=0,0,SUMPRODUCT((nTP_CandKey=BX5)*nTP_Exact*((nTP_HT*BN5*((nTP_OK*BO5*(nTP_UTC_n-N(BQ5))+(1-nTP_OK*BO5)*(nTP_Loc_n-N(BP5)))&lt;=0)+(1-nTP_HT*BN5)*(nTP_Hi_n&lt;N(BR5)))+((1-nTP_HT*BN5)*(nTP_Lo_n=nTP_Hi_n)*(nTP_Lo_n=N(BR5))*(N(BR5)=N(BS5))))*(nTP_Lo_n=CF5)))</f>
        <v>0</v>
      </c>
      <c r="CH5" s="22">
        <f>IF(CD5=0,0,SUMPRODUCT((nTP_CandKey=BX5)*nTP_Exact*((nTP_HT*BN5*((nTP_OK*BO5*(nTP_UTC_n-N(BQ5))+(1-nTP_OK*BO5)*(nTP_Loc_n-N(BP5)))&lt;=0)+(1-nTP_HT*BN5)*(nTP_Hi_n&lt;N(BR5)))+((1-nTP_HT*BN5)*(nTP_Lo_n=nTP_Hi_n)*(nTP_Lo_n=N(BR5))*(N(BR5)=N(BS5))))*(1-nTP_HT)*(nTP_Lo_n=CF5)))</f>
        <v>0</v>
      </c>
      <c r="CI5" s="22">
        <f>IF(CD5=0,0,SUMPRODUCT(MAX((nTP_CandKey=BX5)*nTP_Exact*((nTP_HT*BN5*((nTP_OK*BO5*(nTP_UTC_n-N(BQ5))+(1-nTP_OK*BO5)*(nTP_Loc_n-N(BP5)))&lt;=0)+(1-nTP_HT*BN5)*(nTP_Hi_n&lt;N(BR5)))+((1-nTP_HT*BN5)*(nTP_Lo_n=nTP_Hi_n)*(nTP_Lo_n=N(BR5))*(N(BR5)=N(BS5))))*(1-nTP_HT)*nTP_Lo_n)))</f>
        <v>0</v>
      </c>
      <c r="CJ5" s="22">
        <f>IF(CD5=0,0,SUMPRODUCT(MAX((nTP_CandKey=BX5)*nTP_Exact*((nTP_HT*BN5*((nTP_OK*BO5*(nTP_UTC_n-N(BQ5))+(1-nTP_OK*BO5)*(nTP_Loc_n-N(BP5)))&lt;=0)+(1-nTP_HT*BN5)*(nTP_Hi_n&lt;N(BR5)))+((1-nTP_HT*BN5)*(nTP_Lo_n=nTP_Hi_n)*(nTP_Lo_n=N(BR5))*(N(BR5)=N(BS5))))*nTP_HT*nTP_OK*nTP_UTC_n)))</f>
        <v>0</v>
      </c>
      <c r="CK5" s="22">
        <f>IF(CJ5=0,0,SUMPRODUCT((nTP_CandKey=BX5)*nTP_Exact*((nTP_HT*BN5*((nTP_OK*BO5*(nTP_UTC_n-N(BQ5))+(1-nTP_OK*BO5)*(nTP_Loc_n-N(BP5)))&lt;=0)+(1-nTP_HT*BN5)*(nTP_Hi_n&lt;N(BR5)))+((1-nTP_HT*BN5)*(nTP_Lo_n=nTP_Hi_n)*(nTP_Lo_n=N(BR5))*(N(BR5)=N(BS5))))*nTP_HT*nTP_OK*(nTP_UTC_n=CJ5)))</f>
        <v>0</v>
      </c>
      <c r="CL5" s="22">
        <f>IF(CK5&lt;&gt;1,0,SUMPRODUCT((nTP_CandKey=BX5)*nTP_Exact*((nTP_HT*BN5*((nTP_OK*BO5*(nTP_UTC_n-N(BQ5))+(1-nTP_OK*BO5)*(nTP_Loc_n-N(BP5)))&lt;=0)+(1-nTP_HT*BN5)*(nTP_Hi_n&lt;N(BR5)))+((1-nTP_HT*BN5)*(nTP_Lo_n=nTP_Hi_n)*(nTP_Lo_n=N(BR5))*(N(BR5)=N(BS5))))*nTP_HT*nTP_OK*(nTP_UTC_n=CJ5)*nTP_Loc_n))</f>
        <v>0</v>
      </c>
      <c r="CM5" s="22">
        <f>IF(CK5&lt;&gt;1,0,SUMPRODUCT((nTP_CandKey=BX5)*nTP_Exact*((nTP_HT*BN5*((nTP_OK*BO5*(nTP_UTC_n-N(BQ5))+(1-nTP_OK*BO5)*(nTP_Loc_n-N(BP5)))&lt;=0)+(1-nTP_HT*BN5)*(nTP_Hi_n&lt;N(BR5)))+((1-nTP_HT*BN5)*(nTP_Lo_n=nTP_Hi_n)*(nTP_Lo_n=N(BR5))*(N(BR5)=N(BS5))))*nTP_HT*nTP_OK*(nTP_UTC_n=CJ5)*nTP_Lo_n))</f>
        <v>0</v>
      </c>
      <c r="CN5" s="22">
        <f>IF(CD5=0,0,SUMPRODUCT(MAX((nTP_CandKey=BX5)*nTP_Exact*((nTP_HT*BN5*((nTP_OK*BO5*(nTP_UTC_n-N(BQ5))+(1-nTP_OK*BO5)*(nTP_Loc_n-N(BP5)))&lt;=0)+(1-nTP_HT*BN5)*(nTP_Hi_n&lt;N(BR5)))+((1-nTP_HT*BN5)*(nTP_Lo_n=nTP_Hi_n)*(nTP_Lo_n=N(BR5))*(N(BR5)=N(BS5))))*nTP_HT*(1-nTP_OK)*nTP_Loc_n)))</f>
        <v>0</v>
      </c>
      <c r="CO5" s="22">
        <f>IF(CN5=0,0,SUMPRODUCT((nTP_CandKey=BX5)*nTP_Exact*((nTP_HT*BN5*((nTP_OK*BO5*(nTP_UTC_n-N(BQ5))+(1-nTP_OK*BO5)*(nTP_Loc_n-N(BP5)))&lt;=0)+(1-nTP_HT*BN5)*(nTP_Hi_n&lt;N(BR5)))+((1-nTP_HT*BN5)*(nTP_Lo_n=nTP_Hi_n)*(nTP_Lo_n=N(BR5))*(N(BR5)=N(BS5))))*nTP_HT*(1-nTP_OK)*(nTP_Loc_n=CN5)))</f>
        <v>0</v>
      </c>
      <c r="CP5" s="22">
        <f>IF(CO5&lt;&gt;1,0,SUMPRODUCT((nTP_CandKey=BX5)*nTP_Exact*((nTP_HT*BN5*((nTP_OK*BO5*(nTP_UTC_n-N(BQ5))+(1-nTP_OK*BO5)*(nTP_Loc_n-N(BP5)))&lt;=0)+(1-nTP_HT*BN5)*(nTP_Hi_n&lt;N(BR5)))+((1-nTP_HT*BN5)*(nTP_Lo_n=nTP_Hi_n)*(nTP_Lo_n=N(BR5))*(N(BR5)=N(BS5))))*nTP_HT*(1-nTP_OK)*(nTP_Loc_n=CN5)*nTP_Lo_n))</f>
        <v>0</v>
      </c>
      <c r="CQ5" s="22">
        <f>IF(CD5=0,0,SUMPRODUCT(MAX((nTP_CandKey=BX5)*nTP_Exact*((nTP_HT*BN5*((nTP_OK*BO5*(nTP_UTC_n-N(BQ5))+(1-nTP_OK*BO5)*(nTP_Loc_n-N(BP5)))&lt;=0)+(1-nTP_HT*BN5)*(nTP_Hi_n&lt;N(BR5)))+((1-nTP_HT*BN5)*(nTP_Lo_n=nTP_Hi_n)*(nTP_Lo_n=N(BR5))*(N(BR5)=N(BS5))))*nTP_HT*nTP_OK*nTP_Loc_n)))</f>
        <v>0</v>
      </c>
      <c r="CR5" s="22">
        <f t="shared" ref="CR5:CR44" si="28">IF(CD5=0,0,IF(CH5&gt;0,IF(CG5=1,1,0),IF(AND(CJ5&gt;0,CK5=1,CL5&gt;CN5,CM5&gt;CI5),2,IF(AND(CN5&gt;0,CO5=1,CN5&gt;CQ5,CP5&gt;CI5),3,0))))</f>
        <v>0</v>
      </c>
      <c r="CS5" s="22">
        <f>IF(CR5=0,0,IF(CR5=1,MATCH(1,INDEX((nTP_CandKey=BX5)*nTP_Exact*((nTP_HT*BN5*((nTP_OK*BO5*(nTP_UTC_n-N(BQ5))+(1-nTP_OK*BO5)*(nTP_Loc_n-N(BP5)))&lt;=0)+(1-nTP_HT*BN5)*(nTP_Hi_n&lt;N(BR5)))+((1-nTP_HT*BN5)*(nTP_Lo_n=nTP_Hi_n)*(nTP_Lo_n=N(BR5))*(N(BR5)=N(BS5))))*(1-nTP_HT)*(nTP_Lo_n=CF5),0),0),IF(CR5=2,MATCH(1,INDEX((nTP_CandKey=BX5)*nTP_Exact*((nTP_HT*BN5*((nTP_OK*BO5*(nTP_UTC_n-N(BQ5))+(1-nTP_OK*BO5)*(nTP_Loc_n-N(BP5)))&lt;=0)+(1-nTP_HT*BN5)*(nTP_Hi_n&lt;N(BR5)))+((1-nTP_HT*BN5)*(nTP_Lo_n=nTP_Hi_n)*(nTP_Lo_n=N(BR5))*(N(BR5)=N(BS5))))*nTP_HT*nTP_OK*(nTP_UTC_n=CJ5),0),0),MATCH(1,INDEX((nTP_CandKey=BX5)*nTP_Exact*((nTP_HT*BN5*((nTP_OK*BO5*(nTP_UTC_n-N(BQ5))+(1-nTP_OK*BO5)*(nTP_Loc_n-N(BP5)))&lt;=0)+(1-nTP_HT*BN5)*(nTP_Hi_n&lt;N(BR5)))+((1-nTP_HT*BN5)*(nTP_Lo_n=nTP_Hi_n)*(nTP_Lo_n=N(BR5))*(N(BR5)=N(BS5))))*nTP_HT*(1-nTP_OK)*(nTP_Loc_n=CN5),0),0))))</f>
        <v>0</v>
      </c>
      <c r="CT5" s="22">
        <f>IF(CS5=0,0,INDEX(nTP_Lo_n,CS5))</f>
        <v>0</v>
      </c>
      <c r="CU5" s="22">
        <f>IF(CS5=0,0,SUMPRODUCT((nTP_CandKey=BX5)*(nTP_Err="")*(1-nTP_Exact)*((nTP_HT*BN5*((nTP_OK*BO5*(nTP_UTC_n-N(BQ5))+(1-nTP_OK*BO5)*(nTP_Loc_n-N(BP5)))&lt;=0)+(1-nTP_HT*BN5)*(nTP_Hi_n&lt;N(BR5)))+((1-nTP_HT*BN5)*(nTP_Lo_n=nTP_Hi_n)*(nTP_Lo_n=N(BR5))*(N(BR5)=N(BS5))))*(nTP_Hi_n&gt;=CT5)))</f>
        <v>0</v>
      </c>
      <c r="CV5" s="21" t="str">
        <f t="shared" ref="CV5:CV44" si="29">IF(BG5=0,"",IF(BZ5=0,"none",IF(CB5=0,"",IF(CC5&gt;0,"uncertain",IF(CD5=0,"noneligible",IF(CR5=0,"tie",IF(CU5&gt;0,"partial","")))))))</f>
        <v/>
      </c>
      <c r="CW5" s="21" t="str">
        <f>IF(AND(BG5=1,CB5=1,CV5="",CS5&gt;0),INDEX(nTP_Record_ID,CS5)&amp;"","")</f>
        <v/>
      </c>
      <c r="CX5" s="21" t="str">
        <f>IF(OR(CV5="",BG5=0),"",IF(CV5="none","an administration record (last dose before onset)",IF(CV5="uncertain","the anchor record: "&amp;INDEX(nTP_Record_ID,MATCH(1,INDEX((nTP_CandKey=BX5)*(nTP_Err="")*(1-(nTP_HT*BN5*((nTP_OK*BO5*(nTP_UTC_n-N(BQ5))+(1-nTP_OK*BO5)*(nTP_Loc_n-N(BP5)))&lt;=0)+(1-nTP_HT*BN5)*(nTP_Hi_n&lt;N(BR5)))-(nTP_HT*BN5*((nTP_OK*BO5*(nTP_UTC_n-N(BQ5))+(1-nTP_OK*BO5)*(nTP_Loc_n-N(BP5)))&gt;0)+(1-nTP_HT*BN5)*(nTP_Lo_n&gt;N(BS5)))-((1-nTP_HT*BN5)*(nTP_Lo_n=nTP_Hi_n)*(nTP_Lo_n=N(BR5))*(N(BR5)=N(BS5)))),0),0))&amp;IF(CC5&gt;1," and "&amp;(CC5-1)&amp;" more","")&amp;" may fall before or after the end point, so the last dose cannot be identified from the recorded dates",IF(CV5="noneligible","the anchor record: no administration with an exact date is recorded at or before the end point",IF(CV5="tie","the anchor record: the order of the latest administrations cannot be told from the recorded dates and times","the anchor record: partial-date administration "&amp;INDEX(nTP_Record_ID,MATCH(1,INDEX((nTP_CandKey=BX5)*(nTP_Err="")*(1-nTP_Exact)*((nTP_HT*BN5*((nTP_OK*BO5*(nTP_UTC_n-N(BQ5))+(1-nTP_OK*BO5)*(nTP_Loc_n-N(BP5)))&lt;=0)+(1-nTP_HT*BN5)*(nTP_Hi_n&lt;N(BR5)))+((1-nTP_HT*BN5)*(nTP_Lo_n=nTP_Hi_n)*(nTP_Lo_n=N(BR5))*(N(BR5)=N(BS5))))*(nTP_Hi_n&gt;=CT5),0),0))&amp;" could be the last dose before the end point")))))</f>
        <v/>
      </c>
      <c r="CY5" s="22">
        <f>IF(OR(AW5=1,AJ5=""),0,IFERROR(MATCH(AX5&amp;"|"&amp;AJ5,nTP_Key,0),0))</f>
        <v>0</v>
      </c>
      <c r="CZ5" s="21">
        <f>IF(CY5=0,0,INDEX(nTP_Dup,CY5))</f>
        <v>0</v>
      </c>
      <c r="DA5" s="21" t="str">
        <f>IF(CY5=0,"",INDEX(nTP_Record_Type,CY5))</f>
        <v/>
      </c>
      <c r="DB5" s="21" t="str">
        <f>IF(CY5=0,"",INDEX(nTP_Precision,CY5))</f>
        <v/>
      </c>
      <c r="DC5" s="21" t="str">
        <f>IF(CY5=0,"",INDEX(nTP_Err,CY5))</f>
        <v/>
      </c>
      <c r="DD5" s="21">
        <f>IF(CY5=0,0,INDEX(nTP_HT,CY5))</f>
        <v>0</v>
      </c>
      <c r="DE5" s="21">
        <f>IF(CY5=0,0,INDEX(nTP_OK,CY5))</f>
        <v>0</v>
      </c>
      <c r="DF5" s="21" t="str">
        <f>IF(CY5=0,"",INDEX(nTP_Loc,CY5))</f>
        <v/>
      </c>
      <c r="DG5" s="21" t="str">
        <f>IF(CY5=0,"",INDEX(nTP_UTC,CY5))</f>
        <v/>
      </c>
      <c r="DH5" s="21" t="str">
        <f>IF(CY5=0,"",INDEX(nTP_Lo,CY5))</f>
        <v/>
      </c>
      <c r="DI5" s="21" t="str">
        <f>IF(CY5=0,"",INDEX(nTP_Hi,CY5))</f>
        <v/>
      </c>
      <c r="DJ5" s="21" t="str">
        <f>IF(CY5=0,"",INDEX(nTP_Original_Text,CY5))</f>
        <v/>
      </c>
      <c r="DK5" s="21" t="str">
        <f>IF(CY5=0,"",INDEX(nTP_Source,CY5))</f>
        <v/>
      </c>
      <c r="DL5" s="22">
        <f t="shared" ref="DL5:DL44" si="30">IF(AND(CY5&gt;0,DC5=""),1,0)</f>
        <v>0</v>
      </c>
      <c r="DM5" s="21" t="str">
        <f t="shared" ref="DM5:DM44" si="31">IF(OR(AW5=1,BF5=0),"",IF(BG5=1,IF(BA5=0,"",CA5&amp;IF(CV5="","","; E_MISSING_INPUT")),IF(CY5=0,IF(AND(BA5=0,G5="",E5="FIRST_ADMIN"),"","; E_MISSING_INPUT"),IF(CZ5&gt;1,"; E_DUPLICATE_ID","")&amp;IF(DC5&lt;&gt;"","; "&amp;DC5,""))))</f>
        <v/>
      </c>
      <c r="DN5" s="21" t="str">
        <f t="shared" ref="DN5:DN44" si="32">IF(OR(AW5=1,BF5=0),"",IF(BG5=1,IF(BA5=0,"",CX5),IF(CY5=0,IF(AJ5="",IF(E5="FIRST_ADMIN",IF(BA5=0,"","the first administration (the Start of the linked exposure episode)"),"the anchor record"),"an existing, dated anchor record ("&amp;AJ5&amp;")"),IF(ISNUMBER(SEARCH("E_MISSING_INPUT",DC5)),"the date fields required by the precision of anchor record "&amp;AJ5,""))))</f>
        <v/>
      </c>
      <c r="DO5" s="21" t="str">
        <f t="shared" ref="DO5:DO44" si="33">IF(AW5=1,"",IF(BI5=0,IF(AND(BA5=0,H5=""),"","; E_MISSING_INPUT"),IF(BJ5&gt;1,"; E_DUPLICATE_ID","")&amp;IF(BM5&lt;&gt;"","; "&amp;BM5,"")))</f>
        <v/>
      </c>
      <c r="DP5" s="21" t="str">
        <f t="shared" ref="DP5:DP44" si="34">IF(AW5=1,"",IF(BI5=0,IF(AND(BA5=0,H5=""),"",IF(AK5="","an end-point record (End_Record_ID, or a link to an event episode)","an existing, dated end-point record ("&amp;AK5&amp;")")),IF(ISNUMBER(SEARCH("E_MISSING_INPUT",BM5)),IF(BL5="LAB","the dated last normal and first abnormal tests of the laboratory-defined onset ("&amp;AK5&amp;"); no other date is used in their place","the date fields required by the precision of end-point record "&amp;AK5),"")))</f>
        <v/>
      </c>
      <c r="DQ5" s="21" t="str">
        <f t="shared" ref="DQ5:DQ44" si="35">IF(OR(DL5=0,BW5=0),"",IF(DD5*BN5=1,"C1",IF(AND(OR(DB5="TIMESTAMP",DB5="DATE"),OR(BL5="TIMESTAMP",BL5="DATE")),"C2","C4")))</f>
        <v/>
      </c>
      <c r="DR5" s="22">
        <f>IF(OR(DQ5="",I5=""),0,IF(ISNA(MATCH(I5,nLIST_Mode,0)),1,IF(AND(I5="C1",DQ5&lt;&gt;"C1"),1,IF(AND(I5="C2",DQ5="C4"),1,0))))</f>
        <v>0</v>
      </c>
      <c r="DS5" s="21" t="str">
        <f t="shared" ref="DS5:DS44" si="36">IF(OR(DQ5="",DR5=1),"",IF(I5="",DQ5,I5&amp;""))</f>
        <v/>
      </c>
      <c r="DT5" s="22">
        <f t="shared" ref="DT5:DT44" si="37">IF(AND(E5="CESSATION",BK5="MILESTONE:RECOVERY"),1,0)</f>
        <v>0</v>
      </c>
      <c r="DU5" s="21" t="str">
        <f>IF(DT5=0,"",IF(COUNTIFS(nTP_Case_Key,AX5,nTP_Record_Type,"MILESTONE:INTERVENTION",nTP_Err,"E_INVALID_DATE")&gt;0,"; E_INVALID_DATE","")&amp;IF(COUNTIFS(nTP_Case_Key,AX5,nTP_Record_Type,"MILESTONE:INTERVENTION",nTP_Err,"E_REVERSED_BOUNDS")&gt;0,"; E_REVERSED_BOUNDS","")&amp;IF(COUNTIFS(nTP_Case_Key,AX5,nTP_Record_Type,"MILESTONE:INTERVENTION",nTP_Err,"E_MISSING_INPUT")&gt;0,"; E_MISSING_INPUT","")&amp;IF(COUNTIFS(nTP_Case_Key,AX5,nTP_Record_Type,"MILESTONE:INTERVENTION",nTP_Err,"E_INVALID_UNIT")&gt;0,"; E_INVALID_UNIT",""))</f>
        <v/>
      </c>
      <c r="DV5" s="22">
        <f>IF(DT5=0,0,SUMPRODUCT((nMS_CaseKey=AX5)*(nMS_Type="INTERVENTION")*nMS_Undated))</f>
        <v>0</v>
      </c>
      <c r="DW5" s="21" t="str">
        <f t="shared" ref="DW5:DW44" si="38">IF(AW5=1,"",IF(A5="","; E_MISSING_INPUT","")&amp;IF(AZ5&gt;1,"; E_DUPLICATE_ID","")&amp;IF(BA5=0,"; E_MISSING_LINK",IF(OR(BB5=0,BC5=0),"; E_MISSING_INPUT",""))&amp;IF(OR(BD5&gt;1,BE5&gt;1),"; E_DUPLICATE_ID","")&amp;IF(BF5=0,"; E_MISSING_INPUT",IF(AND(E5="OTHER",TRIM(F5&amp;"")=""),"; E_MISSING_INPUT",""))&amp;DO5&amp;DM5&amp;DU5&amp;IF(DR5=1,"; E_MISSING_INPUT",""))</f>
        <v/>
      </c>
      <c r="DX5" s="21" t="str">
        <f t="shared" ref="DX5:DX44" si="39">IF(AW5=1,"",MID(IF(ISNUMBER(SEARCH("E_INVALID_DATE",DW5)),"; E_INVALID_DATE","")&amp;IF(ISNUMBER(SEARCH("E_REVERSED_BOUNDS",DW5)),"; E_REVERSED_BOUNDS","")&amp;IF(ISNUMBER(SEARCH("E_DUPLICATE_ID",DW5)),"; E_DUPLICATE_ID","")&amp;IF(ISNUMBER(SEARCH("E_MISSING_LINK",DW5)),"; E_MISSING_LINK","")&amp;IF(ISNUMBER(SEARCH("E_MISSING_INPUT",DW5)),"; E_MISSING_INPUT","")&amp;IF(ISNUMBER(SEARCH("E_INVALID_UNIT",DW5)),"; E_INVALID_UNIT",""),3,999))</f>
        <v/>
      </c>
      <c r="DY5" s="22">
        <f t="shared" ref="DY5:DY44" si="40">IF(DE5*BO5=1,0,1)</f>
        <v>1</v>
      </c>
      <c r="DZ5" s="21" t="str">
        <f t="shared" ref="DZ5:DZ44" si="41">IF(AND(DX5="",DL5=1,BW5=1,DD5*BN5=1),IF(DY5=0,BQ5-DG5,BP5-DF5),"")</f>
        <v/>
      </c>
      <c r="EA5" s="21" t="str">
        <f t="shared" ref="EA5:EA44" si="42">IF(AND(DX5="",DS5="C2"),BR5-DH5,"")</f>
        <v/>
      </c>
      <c r="EB5" s="21" t="str">
        <f t="shared" ref="EB5:EB44" si="43">IF(AND(DX5="",DS5="C4"),BR5-DI5,"")</f>
        <v/>
      </c>
      <c r="EC5" s="21" t="str">
        <f t="shared" ref="EC5:EC44" si="44">IF(AND(DX5="",DS5="C4"),BS5-DH5,"")</f>
        <v/>
      </c>
      <c r="ED5" s="22">
        <f t="shared" ref="ED5:ED44" si="45">IF(AND(DT5=0,OR(TRIM(K5&amp;"")&lt;&gt;"",L5&lt;&gt;"")),1,0)</f>
        <v>0</v>
      </c>
      <c r="EE5" s="22">
        <f t="shared" ref="EE5:EE44" si="46">IF(DS5="C1",IF(N5="minutes",1,IF(N5="hours",60,IF(N5="days",1440,0))),IF(OR(DS5="C2",DS5="C4"),IF(N5="calendar days",1,0),0))</f>
        <v>0</v>
      </c>
      <c r="EF5" s="21" t="str">
        <f>IF(ED5=0,"",IF(OR(NOT(ISNUMBER(L5)),NOT(ISNUMBER(M5))),"I_APPROXIMATE_NOT_COMPARED",IF(AND(N5&lt;&gt;"",ISNA(MATCH(N5,nLIST_ReportedUnit,0))),"E_INVALID_UNIT",IF(N5="","E_MISSING_INPUT",IF(L5&gt;M5,"E_REVERSED_BOUNDS",IF(OR(N5="weeks",N5="months",N5="years"),"I_APPROXIMATE_NOT_COMPARED",IF(DX5&lt;&gt;"","",IF(EE5=0,"I_APPROXIMATE_NOT_COMPARED",IF(AND(L5*EE5&lt;=IF(DS5="C4",EC5,IF(DS5="C1",DZ5,EA5)),M5*EE5&gt;=IF(DS5="C4",EB5,IF(DS5="C1",DZ5,EA5))),"OVERLAP","W_REPORTED_TIMING_CONFLICT")))))))))</f>
        <v/>
      </c>
      <c r="EG5" s="21" t="str">
        <f t="shared" ref="EG5:EG44" si="47">IF(AW5=1,"",IF(DX5&lt;&gt;"",DX5,IF(LEFT(EF5,2)="E_",EF5,"")))</f>
        <v/>
      </c>
      <c r="EH5" s="21" t="str">
        <f t="shared" ref="EH5:EH44" si="48">IF(ISERROR(SEARCH("E_MISSING_INPUT",EG5)),"",MID(IF(A5="",", an Interval_ID","")&amp;IF(AND(BA5&gt;0,BB5=0),", an existing drug exposure episode for link "&amp;D5,"")&amp;IF(AND(BA5&gt;0,BC5=0),", an existing event episode for link "&amp;D5,"")&amp;IF(BF5=0,", an anchor type",IF(AND(E5="OTHER",TRIM(F5&amp;"")=""),", a description of the OTHER anchor",""))&amp;IF(DP5&lt;&gt;"",", "&amp;DP5,"")&amp;IF(DN5&lt;&gt;"",", "&amp;DN5,"")&amp;IF(ISNUMBER(SEARCH("E_MISSING_INPUT",DU5)),", a complete date for every recorded intervention of the case version","")&amp;IF(DR5=1,IF(I5="C1",", a time of day and UTC offset (or unknown) on both records: C1 needs two timestamps; leave the rule blank or choose C2 or C4",IF(I5="C2",", an exact date on both records: C2 needs two exact dates; leave the rule blank or choose C4",", a listed rule (C1, C2 or C4), or blank for the finest")),"")&amp;IF(AND(DX5="",EF5="E_MISSING_INPUT"),", the unit of the reported timing",""),3,999))</f>
        <v/>
      </c>
      <c r="EI5" s="22">
        <f t="shared" ref="EI5:EI44" si="49">IF(AND(AW5=0,EG5=""),1,0)</f>
        <v>0</v>
      </c>
      <c r="EJ5" s="22">
        <f t="shared" ref="EJ5:EJ44" si="50">IF(AND(EI5=1,DS5="C2",J5="inclusive",DT5=0),1,0)</f>
        <v>0</v>
      </c>
      <c r="EK5" s="22">
        <f t="shared" ref="EK5:EK44" si="51">IF(AND(EI5=1,DS5="C4",OR(ISNUMBER(P5),ISNUMBER(Q5))),1,0)</f>
        <v>0</v>
      </c>
      <c r="EL5" s="28" t="str">
        <f t="shared" ref="EL5:EL44" si="52">IF(EK5=0,"",IF(ISNUMBER(P5),MAX(DH5,P5),DH5))</f>
        <v/>
      </c>
      <c r="EM5" s="28" t="str">
        <f t="shared" ref="EM5:EM44" si="53">IF(EK5=0,"",IF(ISNUMBER(Q5),MIN(DI5,Q5),DI5))</f>
        <v/>
      </c>
      <c r="EN5" s="21" t="str">
        <f t="shared" ref="EN5:EN44" si="54">IF(EL5="","",MID(IF(EL5&gt;EM5,"; E_REVERSED_BOUNDS","")&amp;IF(TRIM(R5&amp;"")="","; E_MISSING_INPUT",""),3,99))</f>
        <v/>
      </c>
      <c r="EO5" s="22">
        <f>IF(OR(DT5=0,DX5&lt;&gt;""),0,SUMPRODUCT((nTP_Case_Key=AX5)*(nTP_Record_Type="MILESTONE:INTERVENTION")*(nTP_Err="")*(nTP_HT*DD5*BN5*(nTP_OK*DE5*(nTP_UTC_n&gt;=N(DG5))+(1-nTP_OK*DE5)*(nTP_Loc_n&gt;=N(DF5)))*(nTP_OK*BO5*(nTP_UTC_n&lt;=N(BQ5))+(1-nTP_OK*BO5)*(nTP_Loc_n&lt;=N(BP5)))+(1-nTP_HT*DD5*BN5)*(nTP_Hi_n&gt;=N(DH5))*(nTP_Lo_n&lt;=N(BS5)))))</f>
        <v>0</v>
      </c>
      <c r="EP5" s="22">
        <f>IF(OR(DT5=0,DX5&lt;&gt;""),0,SUMPRODUCT((nTP_Case_Key=AX5)*(nTP_Role="treatment of the event")*((nTP_Record_Type="EXPOSURE_START")+(nTP_Record_Type="ADMINISTRATION"))*(nTP_Err="")*(nTP_HT*DD5*BN5*(nTP_OK*DE5*(nTP_UTC_n&gt;=N(DG5))+(1-nTP_OK*DE5)*(nTP_Loc_n&gt;=N(DF5)))*(nTP_OK*BO5*(nTP_UTC_n&lt;=N(BQ5))+(1-nTP_OK*BO5)*(nTP_Loc_n&lt;=N(BP5)))+(1-nTP_HT*DD5*BN5)*(nTP_Hi_n&gt;=N(DH5))*(nTP_Lo_n&lt;=N(BS5)))))</f>
        <v>0</v>
      </c>
      <c r="EQ5" s="22">
        <f>IF(EO5&lt;1,0,IFERROR(_xlfn.AGGREGATE(15,6,nTP_RowN/((nTP_Case_Key=AX5)*(nTP_Record_Type="MILESTONE:INTERVENTION")*(nTP_Err="")*(nTP_HT*DD5*BN5*(nTP_OK*DE5*(nTP_UTC_n&gt;=N(DG5))+(1-nTP_OK*DE5)*(nTP_Loc_n&gt;=N(DF5)))*(nTP_OK*BO5*(nTP_UTC_n&lt;=N(BQ5))+(1-nTP_OK*BO5)*(nTP_Loc_n&lt;=N(BP5)))+(1-nTP_HT*DD5*BN5)*(nTP_Hi_n&gt;=N(DH5))*(nTP_Lo_n&lt;=N(BS5)))),1),0))</f>
        <v>0</v>
      </c>
      <c r="ER5" s="22">
        <f>IF(EO5&lt;2,0,IFERROR(_xlfn.AGGREGATE(15,6,nTP_RowN/((nTP_Case_Key=AX5)*(nTP_Record_Type="MILESTONE:INTERVENTION")*(nTP_Err="")*(nTP_HT*DD5*BN5*(nTP_OK*DE5*(nTP_UTC_n&gt;=N(DG5))+(1-nTP_OK*DE5)*(nTP_Loc_n&gt;=N(DF5)))*(nTP_OK*BO5*(nTP_UTC_n&lt;=N(BQ5))+(1-nTP_OK*BO5)*(nTP_Loc_n&lt;=N(BP5)))+(1-nTP_HT*DD5*BN5)*(nTP_Hi_n&gt;=N(DH5))*(nTP_Lo_n&lt;=N(BS5)))),2),0))</f>
        <v>0</v>
      </c>
      <c r="ES5" s="22">
        <f>IF(EO5&lt;3,0,IFERROR(_xlfn.AGGREGATE(15,6,nTP_RowN/((nTP_Case_Key=AX5)*(nTP_Record_Type="MILESTONE:INTERVENTION")*(nTP_Err="")*(nTP_HT*DD5*BN5*(nTP_OK*DE5*(nTP_UTC_n&gt;=N(DG5))+(1-nTP_OK*DE5)*(nTP_Loc_n&gt;=N(DF5)))*(nTP_OK*BO5*(nTP_UTC_n&lt;=N(BQ5))+(1-nTP_OK*BO5)*(nTP_Loc_n&lt;=N(BP5)))+(1-nTP_HT*DD5*BN5)*(nTP_Hi_n&gt;=N(DH5))*(nTP_Lo_n&lt;=N(BS5)))),3),0))</f>
        <v>0</v>
      </c>
      <c r="ET5" s="22">
        <f>IF(EP5&lt;1,0,IFERROR(_xlfn.AGGREGATE(15,6,nTP_RowN/((nTP_Case_Key=AX5)*(nTP_Role="treatment of the event")*((nTP_Record_Type="EXPOSURE_START")+(nTP_Record_Type="ADMINISTRATION"))*(nTP_Err="")*(nTP_HT*DD5*BN5*(nTP_OK*DE5*(nTP_UTC_n&gt;=N(DG5))+(1-nTP_OK*DE5)*(nTP_Loc_n&gt;=N(DF5)))*(nTP_OK*BO5*(nTP_UTC_n&lt;=N(BQ5))+(1-nTP_OK*BO5)*(nTP_Loc_n&lt;=N(BP5)))+(1-nTP_HT*DD5*BN5)*(nTP_Hi_n&gt;=N(DH5))*(nTP_Lo_n&lt;=N(BS5)))),1),0))</f>
        <v>0</v>
      </c>
      <c r="EU5" s="22">
        <f>IF(EP5&lt;2,0,IFERROR(_xlfn.AGGREGATE(15,6,nTP_RowN/((nTP_Case_Key=AX5)*(nTP_Role="treatment of the event")*((nTP_Record_Type="EXPOSURE_START")+(nTP_Record_Type="ADMINISTRATION"))*(nTP_Err="")*(nTP_HT*DD5*BN5*(nTP_OK*DE5*(nTP_UTC_n&gt;=N(DG5))+(1-nTP_OK*DE5)*(nTP_Loc_n&gt;=N(DF5)))*(nTP_OK*BO5*(nTP_UTC_n&lt;=N(BQ5))+(1-nTP_OK*BO5)*(nTP_Loc_n&lt;=N(BP5)))+(1-nTP_HT*DD5*BN5)*(nTP_Hi_n&gt;=N(DH5))*(nTP_Lo_n&lt;=N(BS5)))),2),0))</f>
        <v>0</v>
      </c>
      <c r="EV5" s="22">
        <f>IF(EP5&lt;3,0,IFERROR(_xlfn.AGGREGATE(15,6,nTP_RowN/((nTP_Case_Key=AX5)*(nTP_Role="treatment of the event")*((nTP_Record_Type="EXPOSURE_START")+(nTP_Record_Type="ADMINISTRATION"))*(nTP_Err="")*(nTP_HT*DD5*BN5*(nTP_OK*DE5*(nTP_UTC_n&gt;=N(DG5))+(1-nTP_OK*DE5)*(nTP_Loc_n&gt;=N(DF5)))*(nTP_OK*BO5*(nTP_UTC_n&lt;=N(BQ5))+(1-nTP_OK*BO5)*(nTP_Loc_n&lt;=N(BP5)))+(1-nTP_HT*DD5*BN5)*(nTP_Hi_n&gt;=N(DH5))*(nTP_Lo_n&lt;=N(BS5)))),3),0))</f>
        <v>0</v>
      </c>
      <c r="EW5" s="22">
        <f>IF(CE5&lt;1,0,IFERROR(_xlfn.AGGREGATE(15,6,nTP_RowN/((nTP_CandKey=BX5)*(nTP_Err="")*(1-nTP_Exact)*((nTP_HT*BN5*((nTP_OK*BO5*(nTP_UTC_n-N(BQ5))+(1-nTP_OK*BO5)*(nTP_Loc_n-N(BP5)))&lt;=0)+(1-nTP_HT*BN5)*(nTP_Hi_n&lt;N(BR5)))+((1-nTP_HT*BN5)*(nTP_Lo_n=nTP_Hi_n)*(nTP_Lo_n=N(BR5))*(N(BR5)=N(BS5))))),1),0))</f>
        <v>0</v>
      </c>
      <c r="EX5" s="22">
        <f>IF(CE5&lt;2,0,IFERROR(_xlfn.AGGREGATE(15,6,nTP_RowN/((nTP_CandKey=BX5)*(nTP_Err="")*(1-nTP_Exact)*((nTP_HT*BN5*((nTP_OK*BO5*(nTP_UTC_n-N(BQ5))+(1-nTP_OK*BO5)*(nTP_Loc_n-N(BP5)))&lt;=0)+(1-nTP_HT*BN5)*(nTP_Hi_n&lt;N(BR5)))+((1-nTP_HT*BN5)*(nTP_Lo_n=nTP_Hi_n)*(nTP_Lo_n=N(BR5))*(N(BR5)=N(BS5))))),2),0))</f>
        <v>0</v>
      </c>
      <c r="EY5" s="22">
        <f>IF(CE5&lt;3,0,IFERROR(_xlfn.AGGREGATE(15,6,nTP_RowN/((nTP_CandKey=BX5)*(nTP_Err="")*(1-nTP_Exact)*((nTP_HT*BN5*((nTP_OK*BO5*(nTP_UTC_n-N(BQ5))+(1-nTP_OK*BO5)*(nTP_Loc_n-N(BP5)))&lt;=0)+(1-nTP_HT*BN5)*(nTP_Hi_n&lt;N(BR5)))+((1-nTP_HT*BN5)*(nTP_Lo_n=nTP_Hi_n)*(nTP_Lo_n=N(BR5))*(N(BR5)=N(BS5))))),3),0))</f>
        <v>0</v>
      </c>
      <c r="EZ5" s="21" t="str">
        <f>IF(EO5=0,"",MID(IF(EQ5&gt;0,"; "&amp;INDEX(nTP_Record_ID,EQ5)&amp;IF(INDEX(nTP_Label,EQ5)="",""," ("&amp;INDEX(nTP_Label,EQ5)&amp;")"),"")&amp;IF(ER5&gt;0,"; "&amp;INDEX(nTP_Record_ID,ER5)&amp;IF(INDEX(nTP_Label,ER5)="",""," ("&amp;INDEX(nTP_Label,ER5)&amp;")"),"")&amp;IF(ES5&gt;0,"; "&amp;INDEX(nTP_Record_ID,ES5)&amp;IF(INDEX(nTP_Label,ES5)="",""," ("&amp;INDEX(nTP_Label,ES5)&amp;")"),"")&amp;IF(EO5&gt;3,"; and "&amp;(EO5-3)&amp;" more",""),3,999))</f>
        <v/>
      </c>
      <c r="FA5" s="21" t="str">
        <f>IF(EO5=0,"",MID(IF(EQ5&gt;0,"; "&amp;INDEX(nTP_Record_ID,EQ5),"")&amp;IF(ER5&gt;0,"; "&amp;INDEX(nTP_Record_ID,ER5),"")&amp;IF(ES5&gt;0,"; "&amp;INDEX(nTP_Record_ID,ES5),"")&amp;IF(EO5&gt;3,"; and "&amp;(EO5-3)&amp;" more",""),3,999))</f>
        <v/>
      </c>
      <c r="FB5" s="21" t="str">
        <f>IF(EP5=0,"",MID(IF(ET5&gt;0,"; "&amp;INDEX(nTP_Record_ID,ET5)&amp;IF(INDEX(nTP_Label,ET5)="",""," ("&amp;INDEX(nTP_Label,ET5)&amp;")"),"")&amp;IF(EU5&gt;0,"; "&amp;INDEX(nTP_Record_ID,EU5)&amp;IF(INDEX(nTP_Label,EU5)="",""," ("&amp;INDEX(nTP_Label,EU5)&amp;")"),"")&amp;IF(EV5&gt;0,"; "&amp;INDEX(nTP_Record_ID,EV5)&amp;IF(INDEX(nTP_Label,EV5)="",""," ("&amp;INDEX(nTP_Label,EV5)&amp;")"),"")&amp;IF(EP5&gt;3,"; and "&amp;(EP5-3)&amp;" more",""),3,999))</f>
        <v/>
      </c>
      <c r="FC5" s="21" t="str">
        <f>IF(CE5=0,"",MID(IF(EW5&gt;0,"; "&amp;INDEX(nTP_Record_ID,EW5),"")&amp;IF(EX5&gt;0,"; "&amp;INDEX(nTP_Record_ID,EX5),"")&amp;IF(EY5&gt;0,"; "&amp;INDEX(nTP_Record_ID,EY5),"")&amp;IF(CE5&gt;3,"; and "&amp;(CE5-3)&amp;" more",""),3,999))</f>
        <v/>
      </c>
      <c r="FD5" s="22">
        <f t="shared" ref="FD5:FD44" si="55">IF(AND(EI5=1,DY5=1,DZ5&lt;&gt;"",OR(DS5="C1",AND(DS5="C2",EA5=0))),1,0)</f>
        <v>0</v>
      </c>
      <c r="FE5" s="22">
        <f t="shared" ref="FE5:FE44" si="56">IF(AND(EI5=1,OR(AND(DS5="C2",EA5=0,DZ5=""),AND(DS5="C4",EB5=0,EC5=0))),1,0)</f>
        <v>0</v>
      </c>
      <c r="FF5" s="22">
        <f t="shared" ref="FF5:FF44" si="57">IF(AA5="SEQUENCE_UNCERTAIN",1,0)</f>
        <v>0</v>
      </c>
      <c r="FG5" s="22">
        <f t="shared" ref="FG5:FG44" si="58">IF(AND(EI5=1,BG5=1,DD5*BN5=0,DH5=BR5,BR5=BS5),1,0)</f>
        <v>0</v>
      </c>
      <c r="FH5" s="22">
        <f t="shared" ref="FH5:FH44" si="59">IF(AND(EI5=1,EF5="W_REPORTED_TIMING_CONFLICT"),1,0)</f>
        <v>0</v>
      </c>
      <c r="FI5" s="22">
        <f t="shared" ref="FI5:FI44" si="60">IF(AND(EI5=1,DT5=1,EO5&gt;0),1,0)</f>
        <v>0</v>
      </c>
      <c r="FJ5" s="22">
        <f t="shared" ref="FJ5:FJ44" si="61">IF(AND(EJ5=1,EA5&lt;0),1,0)</f>
        <v>0</v>
      </c>
      <c r="FK5" s="22">
        <f t="shared" ref="FK5:FK44" si="62">IF(AND(EI5=1,EF5="I_APPROXIMATE_NOT_COMPARED"),1,0)</f>
        <v>0</v>
      </c>
    </row>
    <row r="6" spans="1:167" x14ac:dyDescent="0.2">
      <c r="A6" s="10"/>
      <c r="B6" s="10"/>
      <c r="C6" s="12"/>
      <c r="D6" s="10"/>
      <c r="E6" s="17"/>
      <c r="F6" s="10"/>
      <c r="G6" s="10"/>
      <c r="H6" s="10"/>
      <c r="I6" s="17"/>
      <c r="J6" s="17"/>
      <c r="K6" s="10"/>
      <c r="L6" s="17"/>
      <c r="M6" s="17"/>
      <c r="N6" s="17"/>
      <c r="O6" s="10"/>
      <c r="P6" s="15"/>
      <c r="Q6" s="15"/>
      <c r="R6" s="10"/>
      <c r="S6" s="10"/>
      <c r="T6" s="21" t="str">
        <f t="shared" si="0"/>
        <v/>
      </c>
      <c r="U6" s="21" t="str">
        <f t="shared" si="1"/>
        <v/>
      </c>
      <c r="V6" s="21" t="str">
        <f t="shared" si="2"/>
        <v/>
      </c>
      <c r="W6" s="21" t="str">
        <f t="shared" si="3"/>
        <v/>
      </c>
      <c r="X6" s="21" t="str">
        <f t="shared" si="4"/>
        <v/>
      </c>
      <c r="Y6" s="21" t="str">
        <f t="shared" si="5"/>
        <v/>
      </c>
      <c r="Z6" s="21" t="str">
        <f t="shared" si="6"/>
        <v/>
      </c>
      <c r="AA6" s="21" t="str">
        <f t="shared" si="7"/>
        <v/>
      </c>
      <c r="AB6" s="21" t="str">
        <f t="shared" si="8"/>
        <v/>
      </c>
      <c r="AC6" s="21" t="str">
        <f t="shared" si="9"/>
        <v/>
      </c>
      <c r="AD6" s="21" t="str">
        <f>IF(AW6=1,"",MID(IF(ISNUMBER(SEARCH("E_INVALID_DATE",EG6))," | E_INVALID_DATE: "&amp;SUBSTITUTE(IFERROR(INDEX(nMSG_Text,MATCH("E_INVALID_DATE",nMSG_Code,0)),""),"[input]",""),"")&amp;IF(ISNUMBER(SEARCH("E_REVERSED_BOUNDS",EG6))," | E_REVERSED_BOUNDS: "&amp;SUBSTITUTE(IFERROR(INDEX(nMSG_Text,MATCH("E_REVERSED_BOUNDS",nMSG_Code,0)),""),"[input]",""),"")&amp;IF(ISNUMBER(SEARCH("E_DUPLICATE_ID",EG6))," | E_DUPLICATE_ID: "&amp;SUBSTITUTE(IFERROR(INDEX(nMSG_Text,MATCH("E_DUPLICATE_ID",nMSG_Code,0)),""),"[input]",""),"")&amp;IF(ISNUMBER(SEARCH("E_MISSING_LINK",EG6))," | E_MISSING_LINK: "&amp;SUBSTITUTE(IFERROR(INDEX(nMSG_Text,MATCH("E_MISSING_LINK",nMSG_Code,0)),""),"[input]",""),"")&amp;IF(ISNUMBER(SEARCH("E_MISSING_INPUT",EG6))," | E_MISSING_INPUT: "&amp;SUBSTITUTE(IFERROR(INDEX(nMSG_Text,MATCH("E_MISSING_INPUT",nMSG_Code,0)),""),"[input]",IF(EH6="","an input",EH6)),"")&amp;IF(ISNUMBER(SEARCH("E_INVALID_UNIT",EG6))," | E_INVALID_UNIT: "&amp;SUBSTITUTE(IFERROR(INDEX(nMSG_Text,MATCH("E_INVALID_UNIT",nMSG_Code,0)),""),"[input]",""),"")&amp;IF(FD6=1," | W_TZ_UNKNOWN: "&amp;SUBSTITUTE(IFERROR(INDEX(nMSG_Text,MATCH("W_TZ_UNKNOWN",nMSG_Code,0)),""),"[input]",""),"")&amp;IF(FE6=1," | W_SAME_DATE_ORDER_UNKNOWN: "&amp;SUBSTITUTE(IFERROR(INDEX(nMSG_Text,MATCH("W_SAME_DATE_ORDER_UNKNOWN",nMSG_Code,0)),""),"[input]",""),"")&amp;IF(FF6=1," | W_SEQUENCE_UNCERTAIN: "&amp;SUBSTITUTE(IFERROR(INDEX(nMSG_Text,MATCH("W_SEQUENCE_UNCERTAIN",nMSG_Code,0)),""),"[input]",""),"")&amp;IF(FG6=1," | W_ADMIN_SAME_DATE_AS_ONSET: "&amp;SUBSTITUTE(IFERROR(INDEX(nMSG_Text,MATCH("W_ADMIN_SAME_DATE_AS_ONSET",nMSG_Code,0)),""),"[input]",""),"")&amp;IF(FH6=1," | W_REPORTED_TIMING_CONFLICT: "&amp;SUBSTITUTE(IFERROR(INDEX(nMSG_Text,MATCH("W_REPORTED_TIMING_CONFLICT",nMSG_Code,0)),""),"[input]",""),"")&amp;IF(FI6=1," | W_INTERVENTION_BEFORE_RECOVERY: "&amp;SUBSTITUTE(IFERROR(INDEX(nMSG_Text,MATCH("W_INTERVENTION_BEFORE_RECOVERY",nMSG_Code,0)),""),"[input]",""),"")&amp;IF(FJ6=1," | I_TREATMENT_DAY_UNDEFINED: "&amp;SUBSTITUTE(IFERROR(INDEX(nMSG_Text,MATCH("I_TREATMENT_DAY_UNDEFINED",nMSG_Code,0)),""),"[input]",""),"")&amp;IF(FK6=1," | I_APPROXIMATE_NOT_COMPARED: "&amp;SUBSTITUTE(IFERROR(INDEX(nMSG_Text,MATCH("I_APPROXIMATE_NOT_COMPARED",nMSG_Code,0)),""),"[input]",""),""),4,9999))</f>
        <v/>
      </c>
      <c r="AE6" s="21" t="str">
        <f t="shared" si="10"/>
        <v/>
      </c>
      <c r="AF6" s="21" t="str">
        <f t="shared" si="11"/>
        <v/>
      </c>
      <c r="AG6" s="21" t="str">
        <f>IF(EN6="","",MID(IF(ISNUMBER(SEARCH("E_REVERSED_BOUNDS",EN6))," | E_REVERSED_BOUNDS: "&amp;SUBSTITUTE(IFERROR(INDEX(nMSG_Text,MATCH("E_REVERSED_BOUNDS",nMSG_Code,0)),""),"[input]",""),"")&amp;IF(ISNUMBER(SEARCH("E_MISSING_INPUT",EN6))," | E_MISSING_INPUT: "&amp;SUBSTITUTE(IFERROR(INDEX(nMSG_Text,MATCH("E_MISSING_INPUT",nMSG_Code,0)),""),"[input]",IF("the source of the constraint"="","an input","the source of the constraint")),""),4,999))</f>
        <v/>
      </c>
      <c r="AH6" s="21" t="str">
        <f t="shared" si="12"/>
        <v/>
      </c>
      <c r="AI6" s="21" t="str">
        <f t="shared" si="13"/>
        <v/>
      </c>
      <c r="AJ6" s="21" t="str">
        <f t="shared" si="14"/>
        <v/>
      </c>
      <c r="AK6" s="21" t="str">
        <f t="shared" si="15"/>
        <v/>
      </c>
      <c r="AL6" s="21" t="str">
        <f>IF(CY6=0,"",INDEX(nTP_ISO,CY6))</f>
        <v/>
      </c>
      <c r="AM6" s="21" t="str">
        <f>IF(CY6=0,"",INDEX(nTP_Display,CY6))</f>
        <v/>
      </c>
      <c r="AN6" s="21" t="str">
        <f>IF(BI6=0,"",INDEX(nTP_ISO,BI6))</f>
        <v/>
      </c>
      <c r="AO6" s="21" t="str">
        <f>IF(BI6=0,"",INDEX(nTP_Display,BI6))</f>
        <v/>
      </c>
      <c r="AP6" s="21" t="str">
        <f>IF(BA6=0,"",INDEX(nLNK_Exposure_Episode_ID,BA6)&amp;"")</f>
        <v/>
      </c>
      <c r="AQ6" s="21" t="str">
        <f>IF(BA6=0,"",INDEX(nLNK_Event_Episode_ID,BA6)&amp;"")</f>
        <v/>
      </c>
      <c r="AR6" s="21" t="str">
        <f t="shared" si="16"/>
        <v/>
      </c>
      <c r="AS6" s="21" t="str">
        <f>IF(EI6=0,"",MID(IF(DT6=1," | Recovery interval (C7) computed with "&amp;DS6&amp;".","")&amp;IF(BG6=1," | Anchor selected under C5 (CALC-SPEC 1.1): latest administration with an exact date or time at or before "&amp;IF(BH6=1,"onset","the end point")&amp;" ("&amp;AJ6&amp;"), ordered in UTC when offsets are known; later administrations are never selected.","")&amp;IF(AND(BG6=1,CE6&gt;0)," | Partial-date administrations wholly before the selected one were not candidates: "&amp;FC6&amp;".","")&amp;IF(BV6&lt;&gt;""," | "&amp;BV6,"")&amp;IF(AND(DS6="C2",EA6=0,DZ6&lt;&gt;"")," | Same calendar date; both times are known, so C1 decides the order ("&amp;AA6&amp;").","")&amp;IF(AND(DS6="C2",DD6*BN6=1,DT6=0)," | Calendar-date difference from the recorded local dates; it is never described as elapsed days.","")&amp;IF(AND(DS6="C4",DT6=0)," | Bounds are treated as independent; no single date is imputed from them.","")&amp;IF(EJ6=1," | Treatment day under the inclusive convention (C3); never written to E2B fields automatically.","")&amp;IF(AND(DS6="C4",DT6=0,EK6=0)," | No constraint applied.","")&amp;IF(AND(DS6="C4",EK6=1)," | Constraint applied to the anchor bounds: "&amp;IF(ISNUMBER(P6),"not before "&amp;DAY(P6)&amp;" "&amp;INDEX(nLIST_Months,MONTH(P6))&amp;" "&amp;YEAR(P6),"")&amp;IF(AND(ISNUMBER(P6),ISNUMBER(Q6)),", ","")&amp;IF(ISNUMBER(Q6),"not after "&amp;DAY(Q6)&amp;" "&amp;INDEX(nLIST_Months,MONTH(Q6))&amp;" "&amp;YEAR(Q6),"")&amp;". Source: "&amp;IF(R6="","not recorded",R6)&amp;IF(EN6="",". Constrained result shown beside the unconstrained one.",". Constrained result blocked ("&amp;EN6&amp;")."),"")&amp;IF(DT6=1,IF(EO6&gt;0," | Intervention recorded between cessation and recovery (ends included): "&amp;EZ6&amp;"."," | No intervention is recorded between cessation and recovery; absence of a record is not evidence that none was given."),"")&amp;IF(AND(DT6=1,DV6&gt;0)," | Intervention recorded without a date, so whether it came before recovery is unknown: "&amp;INDEX(nMS_Milestone_ID,MATCH(1,INDEX((nMS_CaseKey=AX6)*(nMS_Type="INTERVENTION")*nMS_Undated,0),0))&amp;IF(DV6&gt;1," and "&amp;(DV6-1)&amp;" more","")&amp;".","")&amp;IF(AND(DT6=1,EP6&gt;0)," | Not counted as interventions, because they are recorded as exposures rather than as intervention milestones (nothing is inferred): "&amp;FB6&amp;". If treatment was given, record it as an intervention milestone.",""),4,9999))</f>
        <v/>
      </c>
      <c r="AT6" s="21" t="str">
        <f t="shared" si="17"/>
        <v/>
      </c>
      <c r="AU6" s="21" t="str">
        <f t="shared" si="18"/>
        <v/>
      </c>
      <c r="AV6" s="21" t="str">
        <f t="shared" si="19"/>
        <v/>
      </c>
      <c r="AW6" s="22">
        <f t="shared" si="20"/>
        <v>1</v>
      </c>
      <c r="AX6" s="21" t="str">
        <f t="shared" si="21"/>
        <v>|</v>
      </c>
      <c r="AY6" s="21" t="str">
        <f t="shared" si="22"/>
        <v/>
      </c>
      <c r="AZ6" s="22">
        <f>IF(AY6="",0,COUNTIF(nINT_Key,AY6))</f>
        <v>0</v>
      </c>
      <c r="BA6" s="22">
        <f>IF(D6="",0,IFERROR(MATCH(AX6&amp;"|"&amp;D6,nLNK_Key,0),0))</f>
        <v>0</v>
      </c>
      <c r="BB6" s="22">
        <f>IF(BA6=0,1,INDEX(nLNK_Exp_Found,BA6))</f>
        <v>1</v>
      </c>
      <c r="BC6" s="22">
        <f>IF(BA6=0,1,INDEX(nLNK_Evt_Found,BA6))</f>
        <v>1</v>
      </c>
      <c r="BD6" s="22">
        <f>IF(AP6="",0,COUNTIF(nEXP_Key,AX6&amp;"|"&amp;AP6))</f>
        <v>0</v>
      </c>
      <c r="BE6" s="22">
        <f>IF(AQ6="",0,COUNTIF(nEVT_Key,AX6&amp;"|"&amp;AQ6))</f>
        <v>0</v>
      </c>
      <c r="BF6" s="22">
        <f>IF(ISNA(MATCH(E6,nLIST_AnchorType,0)),0,1)</f>
        <v>0</v>
      </c>
      <c r="BG6" s="22">
        <f t="shared" si="23"/>
        <v>0</v>
      </c>
      <c r="BH6" s="22">
        <f t="shared" si="24"/>
        <v>0</v>
      </c>
      <c r="BI6" s="22">
        <f>IF(OR(AW6=1,AK6=""),0,IFERROR(MATCH(AX6&amp;"|"&amp;AK6,nTP_Key,0),0))</f>
        <v>0</v>
      </c>
      <c r="BJ6" s="21">
        <f>IF(BI6=0,0,INDEX(nTP_Dup,BI6))</f>
        <v>0</v>
      </c>
      <c r="BK6" s="21" t="str">
        <f>IF(BI6=0,"",INDEX(nTP_Record_Type,BI6))</f>
        <v/>
      </c>
      <c r="BL6" s="21" t="str">
        <f>IF(BI6=0,"",INDEX(nTP_Precision,BI6))</f>
        <v/>
      </c>
      <c r="BM6" s="21" t="str">
        <f>IF(BI6=0,"",INDEX(nTP_Err,BI6))</f>
        <v/>
      </c>
      <c r="BN6" s="21">
        <f>IF(BI6=0,0,INDEX(nTP_HT,BI6))</f>
        <v>0</v>
      </c>
      <c r="BO6" s="21">
        <f>IF(BI6=0,0,INDEX(nTP_OK,BI6))</f>
        <v>0</v>
      </c>
      <c r="BP6" s="21" t="str">
        <f>IF(BI6=0,"",INDEX(nTP_Loc,BI6))</f>
        <v/>
      </c>
      <c r="BQ6" s="21" t="str">
        <f>IF(BI6=0,"",INDEX(nTP_UTC,BI6))</f>
        <v/>
      </c>
      <c r="BR6" s="21" t="str">
        <f>IF(BI6=0,"",INDEX(nTP_Lo,BI6))</f>
        <v/>
      </c>
      <c r="BS6" s="21" t="str">
        <f>IF(BI6=0,"",INDEX(nTP_Hi,BI6))</f>
        <v/>
      </c>
      <c r="BT6" s="21" t="str">
        <f>IF(BI6=0,"",INDEX(nTP_Original_Text,BI6))</f>
        <v/>
      </c>
      <c r="BU6" s="21" t="str">
        <f>IF(BI6=0,"",INDEX(nTP_Source,BI6))</f>
        <v/>
      </c>
      <c r="BV6" s="21" t="str">
        <f>IF(BI6=0,"",INDEX(nTP_Lab_Note,BI6))</f>
        <v/>
      </c>
      <c r="BW6" s="22">
        <f t="shared" si="25"/>
        <v>0</v>
      </c>
      <c r="BX6" s="21" t="str">
        <f t="shared" si="26"/>
        <v>||</v>
      </c>
      <c r="BY6" s="22">
        <f>IF(BG6=0,0,COUNTIF(nTP_CandKey,BX6))</f>
        <v>0</v>
      </c>
      <c r="BZ6" s="22">
        <f>IF(BG6=0,0,COUNTIFS(nTP_CandKey,BX6,nTP_Err,""))</f>
        <v>0</v>
      </c>
      <c r="CA6" s="21" t="str">
        <f>IF(BY6=BZ6,"",IF(COUNTIFS(nTP_CandKey,BX6,nTP_Err,"E_INVALID_DATE")&gt;0,"; E_INVALID_DATE","")&amp;IF(COUNTIFS(nTP_CandKey,BX6,nTP_Err,"E_REVERSED_BOUNDS")&gt;0,"; E_REVERSED_BOUNDS","")&amp;IF(COUNTIFS(nTP_CandKey,BX6,nTP_Err,"E_MISSING_INPUT")&gt;0,"; E_MISSING_INPUT","")&amp;IF(COUNTIFS(nTP_CandKey,BX6,nTP_Err,"E_INVALID_UNIT")&gt;0,"; E_INVALID_UNIT",""))</f>
        <v/>
      </c>
      <c r="CB6" s="22">
        <f t="shared" si="27"/>
        <v>0</v>
      </c>
      <c r="CC6" s="22">
        <f>IF(CB6=0,0,SUMPRODUCT((nTP_CandKey=BX6)*(nTP_Err="")*(1-(nTP_HT*BN6*((nTP_OK*BO6*(nTP_UTC_n-N(BQ6))+(1-nTP_OK*BO6)*(nTP_Loc_n-N(BP6)))&lt;=0)+(1-nTP_HT*BN6)*(nTP_Hi_n&lt;N(BR6)))-(nTP_HT*BN6*((nTP_OK*BO6*(nTP_UTC_n-N(BQ6))+(1-nTP_OK*BO6)*(nTP_Loc_n-N(BP6)))&gt;0)+(1-nTP_HT*BN6)*(nTP_Lo_n&gt;N(BS6)))-((1-nTP_HT*BN6)*(nTP_Lo_n=nTP_Hi_n)*(nTP_Lo_n=N(BR6))*(N(BR6)=N(BS6))))))</f>
        <v>0</v>
      </c>
      <c r="CD6" s="22">
        <f>IF(CB6=0,0,SUMPRODUCT((nTP_CandKey=BX6)*nTP_Exact*((nTP_HT*BN6*((nTP_OK*BO6*(nTP_UTC_n-N(BQ6))+(1-nTP_OK*BO6)*(nTP_Loc_n-N(BP6)))&lt;=0)+(1-nTP_HT*BN6)*(nTP_Hi_n&lt;N(BR6)))+((1-nTP_HT*BN6)*(nTP_Lo_n=nTP_Hi_n)*(nTP_Lo_n=N(BR6))*(N(BR6)=N(BS6))))))</f>
        <v>0</v>
      </c>
      <c r="CE6" s="22">
        <f>IF(CB6=0,0,SUMPRODUCT((nTP_CandKey=BX6)*(nTP_Err="")*(1-nTP_Exact)*((nTP_HT*BN6*((nTP_OK*BO6*(nTP_UTC_n-N(BQ6))+(1-nTP_OK*BO6)*(nTP_Loc_n-N(BP6)))&lt;=0)+(1-nTP_HT*BN6)*(nTP_Hi_n&lt;N(BR6)))+((1-nTP_HT*BN6)*(nTP_Lo_n=nTP_Hi_n)*(nTP_Lo_n=N(BR6))*(N(BR6)=N(BS6))))))</f>
        <v>0</v>
      </c>
      <c r="CF6" s="22">
        <f>IF(CD6=0,0,SUMPRODUCT(MAX((nTP_CandKey=BX6)*nTP_Exact*((nTP_HT*BN6*((nTP_OK*BO6*(nTP_UTC_n-N(BQ6))+(1-nTP_OK*BO6)*(nTP_Loc_n-N(BP6)))&lt;=0)+(1-nTP_HT*BN6)*(nTP_Hi_n&lt;N(BR6)))+((1-nTP_HT*BN6)*(nTP_Lo_n=nTP_Hi_n)*(nTP_Lo_n=N(BR6))*(N(BR6)=N(BS6))))*nTP_Lo_n)))</f>
        <v>0</v>
      </c>
      <c r="CG6" s="22">
        <f>IF(CD6=0,0,SUMPRODUCT((nTP_CandKey=BX6)*nTP_Exact*((nTP_HT*BN6*((nTP_OK*BO6*(nTP_UTC_n-N(BQ6))+(1-nTP_OK*BO6)*(nTP_Loc_n-N(BP6)))&lt;=0)+(1-nTP_HT*BN6)*(nTP_Hi_n&lt;N(BR6)))+((1-nTP_HT*BN6)*(nTP_Lo_n=nTP_Hi_n)*(nTP_Lo_n=N(BR6))*(N(BR6)=N(BS6))))*(nTP_Lo_n=CF6)))</f>
        <v>0</v>
      </c>
      <c r="CH6" s="22">
        <f>IF(CD6=0,0,SUMPRODUCT((nTP_CandKey=BX6)*nTP_Exact*((nTP_HT*BN6*((nTP_OK*BO6*(nTP_UTC_n-N(BQ6))+(1-nTP_OK*BO6)*(nTP_Loc_n-N(BP6)))&lt;=0)+(1-nTP_HT*BN6)*(nTP_Hi_n&lt;N(BR6)))+((1-nTP_HT*BN6)*(nTP_Lo_n=nTP_Hi_n)*(nTP_Lo_n=N(BR6))*(N(BR6)=N(BS6))))*(1-nTP_HT)*(nTP_Lo_n=CF6)))</f>
        <v>0</v>
      </c>
      <c r="CI6" s="22">
        <f>IF(CD6=0,0,SUMPRODUCT(MAX((nTP_CandKey=BX6)*nTP_Exact*((nTP_HT*BN6*((nTP_OK*BO6*(nTP_UTC_n-N(BQ6))+(1-nTP_OK*BO6)*(nTP_Loc_n-N(BP6)))&lt;=0)+(1-nTP_HT*BN6)*(nTP_Hi_n&lt;N(BR6)))+((1-nTP_HT*BN6)*(nTP_Lo_n=nTP_Hi_n)*(nTP_Lo_n=N(BR6))*(N(BR6)=N(BS6))))*(1-nTP_HT)*nTP_Lo_n)))</f>
        <v>0</v>
      </c>
      <c r="CJ6" s="22">
        <f>IF(CD6=0,0,SUMPRODUCT(MAX((nTP_CandKey=BX6)*nTP_Exact*((nTP_HT*BN6*((nTP_OK*BO6*(nTP_UTC_n-N(BQ6))+(1-nTP_OK*BO6)*(nTP_Loc_n-N(BP6)))&lt;=0)+(1-nTP_HT*BN6)*(nTP_Hi_n&lt;N(BR6)))+((1-nTP_HT*BN6)*(nTP_Lo_n=nTP_Hi_n)*(nTP_Lo_n=N(BR6))*(N(BR6)=N(BS6))))*nTP_HT*nTP_OK*nTP_UTC_n)))</f>
        <v>0</v>
      </c>
      <c r="CK6" s="22">
        <f>IF(CJ6=0,0,SUMPRODUCT((nTP_CandKey=BX6)*nTP_Exact*((nTP_HT*BN6*((nTP_OK*BO6*(nTP_UTC_n-N(BQ6))+(1-nTP_OK*BO6)*(nTP_Loc_n-N(BP6)))&lt;=0)+(1-nTP_HT*BN6)*(nTP_Hi_n&lt;N(BR6)))+((1-nTP_HT*BN6)*(nTP_Lo_n=nTP_Hi_n)*(nTP_Lo_n=N(BR6))*(N(BR6)=N(BS6))))*nTP_HT*nTP_OK*(nTP_UTC_n=CJ6)))</f>
        <v>0</v>
      </c>
      <c r="CL6" s="22">
        <f>IF(CK6&lt;&gt;1,0,SUMPRODUCT((nTP_CandKey=BX6)*nTP_Exact*((nTP_HT*BN6*((nTP_OK*BO6*(nTP_UTC_n-N(BQ6))+(1-nTP_OK*BO6)*(nTP_Loc_n-N(BP6)))&lt;=0)+(1-nTP_HT*BN6)*(nTP_Hi_n&lt;N(BR6)))+((1-nTP_HT*BN6)*(nTP_Lo_n=nTP_Hi_n)*(nTP_Lo_n=N(BR6))*(N(BR6)=N(BS6))))*nTP_HT*nTP_OK*(nTP_UTC_n=CJ6)*nTP_Loc_n))</f>
        <v>0</v>
      </c>
      <c r="CM6" s="22">
        <f>IF(CK6&lt;&gt;1,0,SUMPRODUCT((nTP_CandKey=BX6)*nTP_Exact*((nTP_HT*BN6*((nTP_OK*BO6*(nTP_UTC_n-N(BQ6))+(1-nTP_OK*BO6)*(nTP_Loc_n-N(BP6)))&lt;=0)+(1-nTP_HT*BN6)*(nTP_Hi_n&lt;N(BR6)))+((1-nTP_HT*BN6)*(nTP_Lo_n=nTP_Hi_n)*(nTP_Lo_n=N(BR6))*(N(BR6)=N(BS6))))*nTP_HT*nTP_OK*(nTP_UTC_n=CJ6)*nTP_Lo_n))</f>
        <v>0</v>
      </c>
      <c r="CN6" s="22">
        <f>IF(CD6=0,0,SUMPRODUCT(MAX((nTP_CandKey=BX6)*nTP_Exact*((nTP_HT*BN6*((nTP_OK*BO6*(nTP_UTC_n-N(BQ6))+(1-nTP_OK*BO6)*(nTP_Loc_n-N(BP6)))&lt;=0)+(1-nTP_HT*BN6)*(nTP_Hi_n&lt;N(BR6)))+((1-nTP_HT*BN6)*(nTP_Lo_n=nTP_Hi_n)*(nTP_Lo_n=N(BR6))*(N(BR6)=N(BS6))))*nTP_HT*(1-nTP_OK)*nTP_Loc_n)))</f>
        <v>0</v>
      </c>
      <c r="CO6" s="22">
        <f>IF(CN6=0,0,SUMPRODUCT((nTP_CandKey=BX6)*nTP_Exact*((nTP_HT*BN6*((nTP_OK*BO6*(nTP_UTC_n-N(BQ6))+(1-nTP_OK*BO6)*(nTP_Loc_n-N(BP6)))&lt;=0)+(1-nTP_HT*BN6)*(nTP_Hi_n&lt;N(BR6)))+((1-nTP_HT*BN6)*(nTP_Lo_n=nTP_Hi_n)*(nTP_Lo_n=N(BR6))*(N(BR6)=N(BS6))))*nTP_HT*(1-nTP_OK)*(nTP_Loc_n=CN6)))</f>
        <v>0</v>
      </c>
      <c r="CP6" s="22">
        <f>IF(CO6&lt;&gt;1,0,SUMPRODUCT((nTP_CandKey=BX6)*nTP_Exact*((nTP_HT*BN6*((nTP_OK*BO6*(nTP_UTC_n-N(BQ6))+(1-nTP_OK*BO6)*(nTP_Loc_n-N(BP6)))&lt;=0)+(1-nTP_HT*BN6)*(nTP_Hi_n&lt;N(BR6)))+((1-nTP_HT*BN6)*(nTP_Lo_n=nTP_Hi_n)*(nTP_Lo_n=N(BR6))*(N(BR6)=N(BS6))))*nTP_HT*(1-nTP_OK)*(nTP_Loc_n=CN6)*nTP_Lo_n))</f>
        <v>0</v>
      </c>
      <c r="CQ6" s="22">
        <f>IF(CD6=0,0,SUMPRODUCT(MAX((nTP_CandKey=BX6)*nTP_Exact*((nTP_HT*BN6*((nTP_OK*BO6*(nTP_UTC_n-N(BQ6))+(1-nTP_OK*BO6)*(nTP_Loc_n-N(BP6)))&lt;=0)+(1-nTP_HT*BN6)*(nTP_Hi_n&lt;N(BR6)))+((1-nTP_HT*BN6)*(nTP_Lo_n=nTP_Hi_n)*(nTP_Lo_n=N(BR6))*(N(BR6)=N(BS6))))*nTP_HT*nTP_OK*nTP_Loc_n)))</f>
        <v>0</v>
      </c>
      <c r="CR6" s="22">
        <f t="shared" si="28"/>
        <v>0</v>
      </c>
      <c r="CS6" s="22">
        <f>IF(CR6=0,0,IF(CR6=1,MATCH(1,INDEX((nTP_CandKey=BX6)*nTP_Exact*((nTP_HT*BN6*((nTP_OK*BO6*(nTP_UTC_n-N(BQ6))+(1-nTP_OK*BO6)*(nTP_Loc_n-N(BP6)))&lt;=0)+(1-nTP_HT*BN6)*(nTP_Hi_n&lt;N(BR6)))+((1-nTP_HT*BN6)*(nTP_Lo_n=nTP_Hi_n)*(nTP_Lo_n=N(BR6))*(N(BR6)=N(BS6))))*(1-nTP_HT)*(nTP_Lo_n=CF6),0),0),IF(CR6=2,MATCH(1,INDEX((nTP_CandKey=BX6)*nTP_Exact*((nTP_HT*BN6*((nTP_OK*BO6*(nTP_UTC_n-N(BQ6))+(1-nTP_OK*BO6)*(nTP_Loc_n-N(BP6)))&lt;=0)+(1-nTP_HT*BN6)*(nTP_Hi_n&lt;N(BR6)))+((1-nTP_HT*BN6)*(nTP_Lo_n=nTP_Hi_n)*(nTP_Lo_n=N(BR6))*(N(BR6)=N(BS6))))*nTP_HT*nTP_OK*(nTP_UTC_n=CJ6),0),0),MATCH(1,INDEX((nTP_CandKey=BX6)*nTP_Exact*((nTP_HT*BN6*((nTP_OK*BO6*(nTP_UTC_n-N(BQ6))+(1-nTP_OK*BO6)*(nTP_Loc_n-N(BP6)))&lt;=0)+(1-nTP_HT*BN6)*(nTP_Hi_n&lt;N(BR6)))+((1-nTP_HT*BN6)*(nTP_Lo_n=nTP_Hi_n)*(nTP_Lo_n=N(BR6))*(N(BR6)=N(BS6))))*nTP_HT*(1-nTP_OK)*(nTP_Loc_n=CN6),0),0))))</f>
        <v>0</v>
      </c>
      <c r="CT6" s="22">
        <f>IF(CS6=0,0,INDEX(nTP_Lo_n,CS6))</f>
        <v>0</v>
      </c>
      <c r="CU6" s="22">
        <f>IF(CS6=0,0,SUMPRODUCT((nTP_CandKey=BX6)*(nTP_Err="")*(1-nTP_Exact)*((nTP_HT*BN6*((nTP_OK*BO6*(nTP_UTC_n-N(BQ6))+(1-nTP_OK*BO6)*(nTP_Loc_n-N(BP6)))&lt;=0)+(1-nTP_HT*BN6)*(nTP_Hi_n&lt;N(BR6)))+((1-nTP_HT*BN6)*(nTP_Lo_n=nTP_Hi_n)*(nTP_Lo_n=N(BR6))*(N(BR6)=N(BS6))))*(nTP_Hi_n&gt;=CT6)))</f>
        <v>0</v>
      </c>
      <c r="CV6" s="21" t="str">
        <f t="shared" si="29"/>
        <v/>
      </c>
      <c r="CW6" s="21" t="str">
        <f>IF(AND(BG6=1,CB6=1,CV6="",CS6&gt;0),INDEX(nTP_Record_ID,CS6)&amp;"","")</f>
        <v/>
      </c>
      <c r="CX6" s="21" t="str">
        <f>IF(OR(CV6="",BG6=0),"",IF(CV6="none","an administration record (last dose before onset)",IF(CV6="uncertain","the anchor record: "&amp;INDEX(nTP_Record_ID,MATCH(1,INDEX((nTP_CandKey=BX6)*(nTP_Err="")*(1-(nTP_HT*BN6*((nTP_OK*BO6*(nTP_UTC_n-N(BQ6))+(1-nTP_OK*BO6)*(nTP_Loc_n-N(BP6)))&lt;=0)+(1-nTP_HT*BN6)*(nTP_Hi_n&lt;N(BR6)))-(nTP_HT*BN6*((nTP_OK*BO6*(nTP_UTC_n-N(BQ6))+(1-nTP_OK*BO6)*(nTP_Loc_n-N(BP6)))&gt;0)+(1-nTP_HT*BN6)*(nTP_Lo_n&gt;N(BS6)))-((1-nTP_HT*BN6)*(nTP_Lo_n=nTP_Hi_n)*(nTP_Lo_n=N(BR6))*(N(BR6)=N(BS6)))),0),0))&amp;IF(CC6&gt;1," and "&amp;(CC6-1)&amp;" more","")&amp;" may fall before or after the end point, so the last dose cannot be identified from the recorded dates",IF(CV6="noneligible","the anchor record: no administration with an exact date is recorded at or before the end point",IF(CV6="tie","the anchor record: the order of the latest administrations cannot be told from the recorded dates and times","the anchor record: partial-date administration "&amp;INDEX(nTP_Record_ID,MATCH(1,INDEX((nTP_CandKey=BX6)*(nTP_Err="")*(1-nTP_Exact)*((nTP_HT*BN6*((nTP_OK*BO6*(nTP_UTC_n-N(BQ6))+(1-nTP_OK*BO6)*(nTP_Loc_n-N(BP6)))&lt;=0)+(1-nTP_HT*BN6)*(nTP_Hi_n&lt;N(BR6)))+((1-nTP_HT*BN6)*(nTP_Lo_n=nTP_Hi_n)*(nTP_Lo_n=N(BR6))*(N(BR6)=N(BS6))))*(nTP_Hi_n&gt;=CT6),0),0))&amp;" could be the last dose before the end point")))))</f>
        <v/>
      </c>
      <c r="CY6" s="22">
        <f>IF(OR(AW6=1,AJ6=""),0,IFERROR(MATCH(AX6&amp;"|"&amp;AJ6,nTP_Key,0),0))</f>
        <v>0</v>
      </c>
      <c r="CZ6" s="21">
        <f>IF(CY6=0,0,INDEX(nTP_Dup,CY6))</f>
        <v>0</v>
      </c>
      <c r="DA6" s="21" t="str">
        <f>IF(CY6=0,"",INDEX(nTP_Record_Type,CY6))</f>
        <v/>
      </c>
      <c r="DB6" s="21" t="str">
        <f>IF(CY6=0,"",INDEX(nTP_Precision,CY6))</f>
        <v/>
      </c>
      <c r="DC6" s="21" t="str">
        <f>IF(CY6=0,"",INDEX(nTP_Err,CY6))</f>
        <v/>
      </c>
      <c r="DD6" s="21">
        <f>IF(CY6=0,0,INDEX(nTP_HT,CY6))</f>
        <v>0</v>
      </c>
      <c r="DE6" s="21">
        <f>IF(CY6=0,0,INDEX(nTP_OK,CY6))</f>
        <v>0</v>
      </c>
      <c r="DF6" s="21" t="str">
        <f>IF(CY6=0,"",INDEX(nTP_Loc,CY6))</f>
        <v/>
      </c>
      <c r="DG6" s="21" t="str">
        <f>IF(CY6=0,"",INDEX(nTP_UTC,CY6))</f>
        <v/>
      </c>
      <c r="DH6" s="21" t="str">
        <f>IF(CY6=0,"",INDEX(nTP_Lo,CY6))</f>
        <v/>
      </c>
      <c r="DI6" s="21" t="str">
        <f>IF(CY6=0,"",INDEX(nTP_Hi,CY6))</f>
        <v/>
      </c>
      <c r="DJ6" s="21" t="str">
        <f>IF(CY6=0,"",INDEX(nTP_Original_Text,CY6))</f>
        <v/>
      </c>
      <c r="DK6" s="21" t="str">
        <f>IF(CY6=0,"",INDEX(nTP_Source,CY6))</f>
        <v/>
      </c>
      <c r="DL6" s="22">
        <f t="shared" si="30"/>
        <v>0</v>
      </c>
      <c r="DM6" s="21" t="str">
        <f t="shared" si="31"/>
        <v/>
      </c>
      <c r="DN6" s="21" t="str">
        <f t="shared" si="32"/>
        <v/>
      </c>
      <c r="DO6" s="21" t="str">
        <f t="shared" si="33"/>
        <v/>
      </c>
      <c r="DP6" s="21" t="str">
        <f t="shared" si="34"/>
        <v/>
      </c>
      <c r="DQ6" s="21" t="str">
        <f t="shared" si="35"/>
        <v/>
      </c>
      <c r="DR6" s="22">
        <f>IF(OR(DQ6="",I6=""),0,IF(ISNA(MATCH(I6,nLIST_Mode,0)),1,IF(AND(I6="C1",DQ6&lt;&gt;"C1"),1,IF(AND(I6="C2",DQ6="C4"),1,0))))</f>
        <v>0</v>
      </c>
      <c r="DS6" s="21" t="str">
        <f t="shared" si="36"/>
        <v/>
      </c>
      <c r="DT6" s="22">
        <f t="shared" si="37"/>
        <v>0</v>
      </c>
      <c r="DU6" s="21" t="str">
        <f>IF(DT6=0,"",IF(COUNTIFS(nTP_Case_Key,AX6,nTP_Record_Type,"MILESTONE:INTERVENTION",nTP_Err,"E_INVALID_DATE")&gt;0,"; E_INVALID_DATE","")&amp;IF(COUNTIFS(nTP_Case_Key,AX6,nTP_Record_Type,"MILESTONE:INTERVENTION",nTP_Err,"E_REVERSED_BOUNDS")&gt;0,"; E_REVERSED_BOUNDS","")&amp;IF(COUNTIFS(nTP_Case_Key,AX6,nTP_Record_Type,"MILESTONE:INTERVENTION",nTP_Err,"E_MISSING_INPUT")&gt;0,"; E_MISSING_INPUT","")&amp;IF(COUNTIFS(nTP_Case_Key,AX6,nTP_Record_Type,"MILESTONE:INTERVENTION",nTP_Err,"E_INVALID_UNIT")&gt;0,"; E_INVALID_UNIT",""))</f>
        <v/>
      </c>
      <c r="DV6" s="22">
        <f>IF(DT6=0,0,SUMPRODUCT((nMS_CaseKey=AX6)*(nMS_Type="INTERVENTION")*nMS_Undated))</f>
        <v>0</v>
      </c>
      <c r="DW6" s="21" t="str">
        <f t="shared" si="38"/>
        <v/>
      </c>
      <c r="DX6" s="21" t="str">
        <f t="shared" si="39"/>
        <v/>
      </c>
      <c r="DY6" s="22">
        <f t="shared" si="40"/>
        <v>1</v>
      </c>
      <c r="DZ6" s="21" t="str">
        <f t="shared" si="41"/>
        <v/>
      </c>
      <c r="EA6" s="21" t="str">
        <f t="shared" si="42"/>
        <v/>
      </c>
      <c r="EB6" s="21" t="str">
        <f t="shared" si="43"/>
        <v/>
      </c>
      <c r="EC6" s="21" t="str">
        <f t="shared" si="44"/>
        <v/>
      </c>
      <c r="ED6" s="22">
        <f t="shared" si="45"/>
        <v>0</v>
      </c>
      <c r="EE6" s="22">
        <f t="shared" si="46"/>
        <v>0</v>
      </c>
      <c r="EF6" s="21" t="str">
        <f>IF(ED6=0,"",IF(OR(NOT(ISNUMBER(L6)),NOT(ISNUMBER(M6))),"I_APPROXIMATE_NOT_COMPARED",IF(AND(N6&lt;&gt;"",ISNA(MATCH(N6,nLIST_ReportedUnit,0))),"E_INVALID_UNIT",IF(N6="","E_MISSING_INPUT",IF(L6&gt;M6,"E_REVERSED_BOUNDS",IF(OR(N6="weeks",N6="months",N6="years"),"I_APPROXIMATE_NOT_COMPARED",IF(DX6&lt;&gt;"","",IF(EE6=0,"I_APPROXIMATE_NOT_COMPARED",IF(AND(L6*EE6&lt;=IF(DS6="C4",EC6,IF(DS6="C1",DZ6,EA6)),M6*EE6&gt;=IF(DS6="C4",EB6,IF(DS6="C1",DZ6,EA6))),"OVERLAP","W_REPORTED_TIMING_CONFLICT")))))))))</f>
        <v/>
      </c>
      <c r="EG6" s="21" t="str">
        <f t="shared" si="47"/>
        <v/>
      </c>
      <c r="EH6" s="21" t="str">
        <f t="shared" si="48"/>
        <v/>
      </c>
      <c r="EI6" s="22">
        <f t="shared" si="49"/>
        <v>0</v>
      </c>
      <c r="EJ6" s="22">
        <f t="shared" si="50"/>
        <v>0</v>
      </c>
      <c r="EK6" s="22">
        <f t="shared" si="51"/>
        <v>0</v>
      </c>
      <c r="EL6" s="28" t="str">
        <f t="shared" si="52"/>
        <v/>
      </c>
      <c r="EM6" s="28" t="str">
        <f t="shared" si="53"/>
        <v/>
      </c>
      <c r="EN6" s="21" t="str">
        <f t="shared" si="54"/>
        <v/>
      </c>
      <c r="EO6" s="22">
        <f>IF(OR(DT6=0,DX6&lt;&gt;""),0,SUMPRODUCT((nTP_Case_Key=AX6)*(nTP_Record_Type="MILESTONE:INTERVENTION")*(nTP_Err="")*(nTP_HT*DD6*BN6*(nTP_OK*DE6*(nTP_UTC_n&gt;=N(DG6))+(1-nTP_OK*DE6)*(nTP_Loc_n&gt;=N(DF6)))*(nTP_OK*BO6*(nTP_UTC_n&lt;=N(BQ6))+(1-nTP_OK*BO6)*(nTP_Loc_n&lt;=N(BP6)))+(1-nTP_HT*DD6*BN6)*(nTP_Hi_n&gt;=N(DH6))*(nTP_Lo_n&lt;=N(BS6)))))</f>
        <v>0</v>
      </c>
      <c r="EP6" s="22">
        <f>IF(OR(DT6=0,DX6&lt;&gt;""),0,SUMPRODUCT((nTP_Case_Key=AX6)*(nTP_Role="treatment of the event")*((nTP_Record_Type="EXPOSURE_START")+(nTP_Record_Type="ADMINISTRATION"))*(nTP_Err="")*(nTP_HT*DD6*BN6*(nTP_OK*DE6*(nTP_UTC_n&gt;=N(DG6))+(1-nTP_OK*DE6)*(nTP_Loc_n&gt;=N(DF6)))*(nTP_OK*BO6*(nTP_UTC_n&lt;=N(BQ6))+(1-nTP_OK*BO6)*(nTP_Loc_n&lt;=N(BP6)))+(1-nTP_HT*DD6*BN6)*(nTP_Hi_n&gt;=N(DH6))*(nTP_Lo_n&lt;=N(BS6)))))</f>
        <v>0</v>
      </c>
      <c r="EQ6" s="22">
        <f>IF(EO6&lt;1,0,IFERROR(_xlfn.AGGREGATE(15,6,nTP_RowN/((nTP_Case_Key=AX6)*(nTP_Record_Type="MILESTONE:INTERVENTION")*(nTP_Err="")*(nTP_HT*DD6*BN6*(nTP_OK*DE6*(nTP_UTC_n&gt;=N(DG6))+(1-nTP_OK*DE6)*(nTP_Loc_n&gt;=N(DF6)))*(nTP_OK*BO6*(nTP_UTC_n&lt;=N(BQ6))+(1-nTP_OK*BO6)*(nTP_Loc_n&lt;=N(BP6)))+(1-nTP_HT*DD6*BN6)*(nTP_Hi_n&gt;=N(DH6))*(nTP_Lo_n&lt;=N(BS6)))),1),0))</f>
        <v>0</v>
      </c>
      <c r="ER6" s="22">
        <f>IF(EO6&lt;2,0,IFERROR(_xlfn.AGGREGATE(15,6,nTP_RowN/((nTP_Case_Key=AX6)*(nTP_Record_Type="MILESTONE:INTERVENTION")*(nTP_Err="")*(nTP_HT*DD6*BN6*(nTP_OK*DE6*(nTP_UTC_n&gt;=N(DG6))+(1-nTP_OK*DE6)*(nTP_Loc_n&gt;=N(DF6)))*(nTP_OK*BO6*(nTP_UTC_n&lt;=N(BQ6))+(1-nTP_OK*BO6)*(nTP_Loc_n&lt;=N(BP6)))+(1-nTP_HT*DD6*BN6)*(nTP_Hi_n&gt;=N(DH6))*(nTP_Lo_n&lt;=N(BS6)))),2),0))</f>
        <v>0</v>
      </c>
      <c r="ES6" s="22">
        <f>IF(EO6&lt;3,0,IFERROR(_xlfn.AGGREGATE(15,6,nTP_RowN/((nTP_Case_Key=AX6)*(nTP_Record_Type="MILESTONE:INTERVENTION")*(nTP_Err="")*(nTP_HT*DD6*BN6*(nTP_OK*DE6*(nTP_UTC_n&gt;=N(DG6))+(1-nTP_OK*DE6)*(nTP_Loc_n&gt;=N(DF6)))*(nTP_OK*BO6*(nTP_UTC_n&lt;=N(BQ6))+(1-nTP_OK*BO6)*(nTP_Loc_n&lt;=N(BP6)))+(1-nTP_HT*DD6*BN6)*(nTP_Hi_n&gt;=N(DH6))*(nTP_Lo_n&lt;=N(BS6)))),3),0))</f>
        <v>0</v>
      </c>
      <c r="ET6" s="22">
        <f>IF(EP6&lt;1,0,IFERROR(_xlfn.AGGREGATE(15,6,nTP_RowN/((nTP_Case_Key=AX6)*(nTP_Role="treatment of the event")*((nTP_Record_Type="EXPOSURE_START")+(nTP_Record_Type="ADMINISTRATION"))*(nTP_Err="")*(nTP_HT*DD6*BN6*(nTP_OK*DE6*(nTP_UTC_n&gt;=N(DG6))+(1-nTP_OK*DE6)*(nTP_Loc_n&gt;=N(DF6)))*(nTP_OK*BO6*(nTP_UTC_n&lt;=N(BQ6))+(1-nTP_OK*BO6)*(nTP_Loc_n&lt;=N(BP6)))+(1-nTP_HT*DD6*BN6)*(nTP_Hi_n&gt;=N(DH6))*(nTP_Lo_n&lt;=N(BS6)))),1),0))</f>
        <v>0</v>
      </c>
      <c r="EU6" s="22">
        <f>IF(EP6&lt;2,0,IFERROR(_xlfn.AGGREGATE(15,6,nTP_RowN/((nTP_Case_Key=AX6)*(nTP_Role="treatment of the event")*((nTP_Record_Type="EXPOSURE_START")+(nTP_Record_Type="ADMINISTRATION"))*(nTP_Err="")*(nTP_HT*DD6*BN6*(nTP_OK*DE6*(nTP_UTC_n&gt;=N(DG6))+(1-nTP_OK*DE6)*(nTP_Loc_n&gt;=N(DF6)))*(nTP_OK*BO6*(nTP_UTC_n&lt;=N(BQ6))+(1-nTP_OK*BO6)*(nTP_Loc_n&lt;=N(BP6)))+(1-nTP_HT*DD6*BN6)*(nTP_Hi_n&gt;=N(DH6))*(nTP_Lo_n&lt;=N(BS6)))),2),0))</f>
        <v>0</v>
      </c>
      <c r="EV6" s="22">
        <f>IF(EP6&lt;3,0,IFERROR(_xlfn.AGGREGATE(15,6,nTP_RowN/((nTP_Case_Key=AX6)*(nTP_Role="treatment of the event")*((nTP_Record_Type="EXPOSURE_START")+(nTP_Record_Type="ADMINISTRATION"))*(nTP_Err="")*(nTP_HT*DD6*BN6*(nTP_OK*DE6*(nTP_UTC_n&gt;=N(DG6))+(1-nTP_OK*DE6)*(nTP_Loc_n&gt;=N(DF6)))*(nTP_OK*BO6*(nTP_UTC_n&lt;=N(BQ6))+(1-nTP_OK*BO6)*(nTP_Loc_n&lt;=N(BP6)))+(1-nTP_HT*DD6*BN6)*(nTP_Hi_n&gt;=N(DH6))*(nTP_Lo_n&lt;=N(BS6)))),3),0))</f>
        <v>0</v>
      </c>
      <c r="EW6" s="22">
        <f>IF(CE6&lt;1,0,IFERROR(_xlfn.AGGREGATE(15,6,nTP_RowN/((nTP_CandKey=BX6)*(nTP_Err="")*(1-nTP_Exact)*((nTP_HT*BN6*((nTP_OK*BO6*(nTP_UTC_n-N(BQ6))+(1-nTP_OK*BO6)*(nTP_Loc_n-N(BP6)))&lt;=0)+(1-nTP_HT*BN6)*(nTP_Hi_n&lt;N(BR6)))+((1-nTP_HT*BN6)*(nTP_Lo_n=nTP_Hi_n)*(nTP_Lo_n=N(BR6))*(N(BR6)=N(BS6))))),1),0))</f>
        <v>0</v>
      </c>
      <c r="EX6" s="22">
        <f>IF(CE6&lt;2,0,IFERROR(_xlfn.AGGREGATE(15,6,nTP_RowN/((nTP_CandKey=BX6)*(nTP_Err="")*(1-nTP_Exact)*((nTP_HT*BN6*((nTP_OK*BO6*(nTP_UTC_n-N(BQ6))+(1-nTP_OK*BO6)*(nTP_Loc_n-N(BP6)))&lt;=0)+(1-nTP_HT*BN6)*(nTP_Hi_n&lt;N(BR6)))+((1-nTP_HT*BN6)*(nTP_Lo_n=nTP_Hi_n)*(nTP_Lo_n=N(BR6))*(N(BR6)=N(BS6))))),2),0))</f>
        <v>0</v>
      </c>
      <c r="EY6" s="22">
        <f>IF(CE6&lt;3,0,IFERROR(_xlfn.AGGREGATE(15,6,nTP_RowN/((nTP_CandKey=BX6)*(nTP_Err="")*(1-nTP_Exact)*((nTP_HT*BN6*((nTP_OK*BO6*(nTP_UTC_n-N(BQ6))+(1-nTP_OK*BO6)*(nTP_Loc_n-N(BP6)))&lt;=0)+(1-nTP_HT*BN6)*(nTP_Hi_n&lt;N(BR6)))+((1-nTP_HT*BN6)*(nTP_Lo_n=nTP_Hi_n)*(nTP_Lo_n=N(BR6))*(N(BR6)=N(BS6))))),3),0))</f>
        <v>0</v>
      </c>
      <c r="EZ6" s="21" t="str">
        <f>IF(EO6=0,"",MID(IF(EQ6&gt;0,"; "&amp;INDEX(nTP_Record_ID,EQ6)&amp;IF(INDEX(nTP_Label,EQ6)="",""," ("&amp;INDEX(nTP_Label,EQ6)&amp;")"),"")&amp;IF(ER6&gt;0,"; "&amp;INDEX(nTP_Record_ID,ER6)&amp;IF(INDEX(nTP_Label,ER6)="",""," ("&amp;INDEX(nTP_Label,ER6)&amp;")"),"")&amp;IF(ES6&gt;0,"; "&amp;INDEX(nTP_Record_ID,ES6)&amp;IF(INDEX(nTP_Label,ES6)="",""," ("&amp;INDEX(nTP_Label,ES6)&amp;")"),"")&amp;IF(EO6&gt;3,"; and "&amp;(EO6-3)&amp;" more",""),3,999))</f>
        <v/>
      </c>
      <c r="FA6" s="21" t="str">
        <f>IF(EO6=0,"",MID(IF(EQ6&gt;0,"; "&amp;INDEX(nTP_Record_ID,EQ6),"")&amp;IF(ER6&gt;0,"; "&amp;INDEX(nTP_Record_ID,ER6),"")&amp;IF(ES6&gt;0,"; "&amp;INDEX(nTP_Record_ID,ES6),"")&amp;IF(EO6&gt;3,"; and "&amp;(EO6-3)&amp;" more",""),3,999))</f>
        <v/>
      </c>
      <c r="FB6" s="21" t="str">
        <f>IF(EP6=0,"",MID(IF(ET6&gt;0,"; "&amp;INDEX(nTP_Record_ID,ET6)&amp;IF(INDEX(nTP_Label,ET6)="",""," ("&amp;INDEX(nTP_Label,ET6)&amp;")"),"")&amp;IF(EU6&gt;0,"; "&amp;INDEX(nTP_Record_ID,EU6)&amp;IF(INDEX(nTP_Label,EU6)="",""," ("&amp;INDEX(nTP_Label,EU6)&amp;")"),"")&amp;IF(EV6&gt;0,"; "&amp;INDEX(nTP_Record_ID,EV6)&amp;IF(INDEX(nTP_Label,EV6)="",""," ("&amp;INDEX(nTP_Label,EV6)&amp;")"),"")&amp;IF(EP6&gt;3,"; and "&amp;(EP6-3)&amp;" more",""),3,999))</f>
        <v/>
      </c>
      <c r="FC6" s="21" t="str">
        <f>IF(CE6=0,"",MID(IF(EW6&gt;0,"; "&amp;INDEX(nTP_Record_ID,EW6),"")&amp;IF(EX6&gt;0,"; "&amp;INDEX(nTP_Record_ID,EX6),"")&amp;IF(EY6&gt;0,"; "&amp;INDEX(nTP_Record_ID,EY6),"")&amp;IF(CE6&gt;3,"; and "&amp;(CE6-3)&amp;" more",""),3,999))</f>
        <v/>
      </c>
      <c r="FD6" s="22">
        <f t="shared" si="55"/>
        <v>0</v>
      </c>
      <c r="FE6" s="22">
        <f t="shared" si="56"/>
        <v>0</v>
      </c>
      <c r="FF6" s="22">
        <f t="shared" si="57"/>
        <v>0</v>
      </c>
      <c r="FG6" s="22">
        <f t="shared" si="58"/>
        <v>0</v>
      </c>
      <c r="FH6" s="22">
        <f t="shared" si="59"/>
        <v>0</v>
      </c>
      <c r="FI6" s="22">
        <f t="shared" si="60"/>
        <v>0</v>
      </c>
      <c r="FJ6" s="22">
        <f t="shared" si="61"/>
        <v>0</v>
      </c>
      <c r="FK6" s="22">
        <f t="shared" si="62"/>
        <v>0</v>
      </c>
    </row>
    <row r="7" spans="1:167" x14ac:dyDescent="0.2">
      <c r="A7" s="10"/>
      <c r="B7" s="10"/>
      <c r="C7" s="12"/>
      <c r="D7" s="10"/>
      <c r="E7" s="17"/>
      <c r="F7" s="10"/>
      <c r="G7" s="10"/>
      <c r="H7" s="10"/>
      <c r="I7" s="17"/>
      <c r="J7" s="17"/>
      <c r="K7" s="10"/>
      <c r="L7" s="17"/>
      <c r="M7" s="17"/>
      <c r="N7" s="17"/>
      <c r="O7" s="10"/>
      <c r="P7" s="15"/>
      <c r="Q7" s="15"/>
      <c r="R7" s="10"/>
      <c r="S7" s="10"/>
      <c r="T7" s="21" t="str">
        <f t="shared" si="0"/>
        <v/>
      </c>
      <c r="U7" s="21" t="str">
        <f t="shared" si="1"/>
        <v/>
      </c>
      <c r="V7" s="21" t="str">
        <f t="shared" si="2"/>
        <v/>
      </c>
      <c r="W7" s="21" t="str">
        <f t="shared" si="3"/>
        <v/>
      </c>
      <c r="X7" s="21" t="str">
        <f t="shared" si="4"/>
        <v/>
      </c>
      <c r="Y7" s="21" t="str">
        <f t="shared" si="5"/>
        <v/>
      </c>
      <c r="Z7" s="21" t="str">
        <f t="shared" si="6"/>
        <v/>
      </c>
      <c r="AA7" s="21" t="str">
        <f t="shared" si="7"/>
        <v/>
      </c>
      <c r="AB7" s="21" t="str">
        <f t="shared" si="8"/>
        <v/>
      </c>
      <c r="AC7" s="21" t="str">
        <f t="shared" si="9"/>
        <v/>
      </c>
      <c r="AD7" s="21" t="str">
        <f>IF(AW7=1,"",MID(IF(ISNUMBER(SEARCH("E_INVALID_DATE",EG7))," | E_INVALID_DATE: "&amp;SUBSTITUTE(IFERROR(INDEX(nMSG_Text,MATCH("E_INVALID_DATE",nMSG_Code,0)),""),"[input]",""),"")&amp;IF(ISNUMBER(SEARCH("E_REVERSED_BOUNDS",EG7))," | E_REVERSED_BOUNDS: "&amp;SUBSTITUTE(IFERROR(INDEX(nMSG_Text,MATCH("E_REVERSED_BOUNDS",nMSG_Code,0)),""),"[input]",""),"")&amp;IF(ISNUMBER(SEARCH("E_DUPLICATE_ID",EG7))," | E_DUPLICATE_ID: "&amp;SUBSTITUTE(IFERROR(INDEX(nMSG_Text,MATCH("E_DUPLICATE_ID",nMSG_Code,0)),""),"[input]",""),"")&amp;IF(ISNUMBER(SEARCH("E_MISSING_LINK",EG7))," | E_MISSING_LINK: "&amp;SUBSTITUTE(IFERROR(INDEX(nMSG_Text,MATCH("E_MISSING_LINK",nMSG_Code,0)),""),"[input]",""),"")&amp;IF(ISNUMBER(SEARCH("E_MISSING_INPUT",EG7))," | E_MISSING_INPUT: "&amp;SUBSTITUTE(IFERROR(INDEX(nMSG_Text,MATCH("E_MISSING_INPUT",nMSG_Code,0)),""),"[input]",IF(EH7="","an input",EH7)),"")&amp;IF(ISNUMBER(SEARCH("E_INVALID_UNIT",EG7))," | E_INVALID_UNIT: "&amp;SUBSTITUTE(IFERROR(INDEX(nMSG_Text,MATCH("E_INVALID_UNIT",nMSG_Code,0)),""),"[input]",""),"")&amp;IF(FD7=1," | W_TZ_UNKNOWN: "&amp;SUBSTITUTE(IFERROR(INDEX(nMSG_Text,MATCH("W_TZ_UNKNOWN",nMSG_Code,0)),""),"[input]",""),"")&amp;IF(FE7=1," | W_SAME_DATE_ORDER_UNKNOWN: "&amp;SUBSTITUTE(IFERROR(INDEX(nMSG_Text,MATCH("W_SAME_DATE_ORDER_UNKNOWN",nMSG_Code,0)),""),"[input]",""),"")&amp;IF(FF7=1," | W_SEQUENCE_UNCERTAIN: "&amp;SUBSTITUTE(IFERROR(INDEX(nMSG_Text,MATCH("W_SEQUENCE_UNCERTAIN",nMSG_Code,0)),""),"[input]",""),"")&amp;IF(FG7=1," | W_ADMIN_SAME_DATE_AS_ONSET: "&amp;SUBSTITUTE(IFERROR(INDEX(nMSG_Text,MATCH("W_ADMIN_SAME_DATE_AS_ONSET",nMSG_Code,0)),""),"[input]",""),"")&amp;IF(FH7=1," | W_REPORTED_TIMING_CONFLICT: "&amp;SUBSTITUTE(IFERROR(INDEX(nMSG_Text,MATCH("W_REPORTED_TIMING_CONFLICT",nMSG_Code,0)),""),"[input]",""),"")&amp;IF(FI7=1," | W_INTERVENTION_BEFORE_RECOVERY: "&amp;SUBSTITUTE(IFERROR(INDEX(nMSG_Text,MATCH("W_INTERVENTION_BEFORE_RECOVERY",nMSG_Code,0)),""),"[input]",""),"")&amp;IF(FJ7=1," | I_TREATMENT_DAY_UNDEFINED: "&amp;SUBSTITUTE(IFERROR(INDEX(nMSG_Text,MATCH("I_TREATMENT_DAY_UNDEFINED",nMSG_Code,0)),""),"[input]",""),"")&amp;IF(FK7=1," | I_APPROXIMATE_NOT_COMPARED: "&amp;SUBSTITUTE(IFERROR(INDEX(nMSG_Text,MATCH("I_APPROXIMATE_NOT_COMPARED",nMSG_Code,0)),""),"[input]",""),""),4,9999))</f>
        <v/>
      </c>
      <c r="AE7" s="21" t="str">
        <f t="shared" si="10"/>
        <v/>
      </c>
      <c r="AF7" s="21" t="str">
        <f t="shared" si="11"/>
        <v/>
      </c>
      <c r="AG7" s="21" t="str">
        <f>IF(EN7="","",MID(IF(ISNUMBER(SEARCH("E_REVERSED_BOUNDS",EN7))," | E_REVERSED_BOUNDS: "&amp;SUBSTITUTE(IFERROR(INDEX(nMSG_Text,MATCH("E_REVERSED_BOUNDS",nMSG_Code,0)),""),"[input]",""),"")&amp;IF(ISNUMBER(SEARCH("E_MISSING_INPUT",EN7))," | E_MISSING_INPUT: "&amp;SUBSTITUTE(IFERROR(INDEX(nMSG_Text,MATCH("E_MISSING_INPUT",nMSG_Code,0)),""),"[input]",IF("the source of the constraint"="","an input","the source of the constraint")),""),4,999))</f>
        <v/>
      </c>
      <c r="AH7" s="21" t="str">
        <f t="shared" si="12"/>
        <v/>
      </c>
      <c r="AI7" s="21" t="str">
        <f t="shared" si="13"/>
        <v/>
      </c>
      <c r="AJ7" s="21" t="str">
        <f t="shared" si="14"/>
        <v/>
      </c>
      <c r="AK7" s="21" t="str">
        <f t="shared" si="15"/>
        <v/>
      </c>
      <c r="AL7" s="21" t="str">
        <f>IF(CY7=0,"",INDEX(nTP_ISO,CY7))</f>
        <v/>
      </c>
      <c r="AM7" s="21" t="str">
        <f>IF(CY7=0,"",INDEX(nTP_Display,CY7))</f>
        <v/>
      </c>
      <c r="AN7" s="21" t="str">
        <f>IF(BI7=0,"",INDEX(nTP_ISO,BI7))</f>
        <v/>
      </c>
      <c r="AO7" s="21" t="str">
        <f>IF(BI7=0,"",INDEX(nTP_Display,BI7))</f>
        <v/>
      </c>
      <c r="AP7" s="21" t="str">
        <f>IF(BA7=0,"",INDEX(nLNK_Exposure_Episode_ID,BA7)&amp;"")</f>
        <v/>
      </c>
      <c r="AQ7" s="21" t="str">
        <f>IF(BA7=0,"",INDEX(nLNK_Event_Episode_ID,BA7)&amp;"")</f>
        <v/>
      </c>
      <c r="AR7" s="21" t="str">
        <f t="shared" si="16"/>
        <v/>
      </c>
      <c r="AS7" s="21" t="str">
        <f>IF(EI7=0,"",MID(IF(DT7=1," | Recovery interval (C7) computed with "&amp;DS7&amp;".","")&amp;IF(BG7=1," | Anchor selected under C5 (CALC-SPEC 1.1): latest administration with an exact date or time at or before "&amp;IF(BH7=1,"onset","the end point")&amp;" ("&amp;AJ7&amp;"), ordered in UTC when offsets are known; later administrations are never selected.","")&amp;IF(AND(BG7=1,CE7&gt;0)," | Partial-date administrations wholly before the selected one were not candidates: "&amp;FC7&amp;".","")&amp;IF(BV7&lt;&gt;""," | "&amp;BV7,"")&amp;IF(AND(DS7="C2",EA7=0,DZ7&lt;&gt;"")," | Same calendar date; both times are known, so C1 decides the order ("&amp;AA7&amp;").","")&amp;IF(AND(DS7="C2",DD7*BN7=1,DT7=0)," | Calendar-date difference from the recorded local dates; it is never described as elapsed days.","")&amp;IF(AND(DS7="C4",DT7=0)," | Bounds are treated as independent; no single date is imputed from them.","")&amp;IF(EJ7=1," | Treatment day under the inclusive convention (C3); never written to E2B fields automatically.","")&amp;IF(AND(DS7="C4",DT7=0,EK7=0)," | No constraint applied.","")&amp;IF(AND(DS7="C4",EK7=1)," | Constraint applied to the anchor bounds: "&amp;IF(ISNUMBER(P7),"not before "&amp;DAY(P7)&amp;" "&amp;INDEX(nLIST_Months,MONTH(P7))&amp;" "&amp;YEAR(P7),"")&amp;IF(AND(ISNUMBER(P7),ISNUMBER(Q7)),", ","")&amp;IF(ISNUMBER(Q7),"not after "&amp;DAY(Q7)&amp;" "&amp;INDEX(nLIST_Months,MONTH(Q7))&amp;" "&amp;YEAR(Q7),"")&amp;". Source: "&amp;IF(R7="","not recorded",R7)&amp;IF(EN7="",". Constrained result shown beside the unconstrained one.",". Constrained result blocked ("&amp;EN7&amp;")."),"")&amp;IF(DT7=1,IF(EO7&gt;0," | Intervention recorded between cessation and recovery (ends included): "&amp;EZ7&amp;"."," | No intervention is recorded between cessation and recovery; absence of a record is not evidence that none was given."),"")&amp;IF(AND(DT7=1,DV7&gt;0)," | Intervention recorded without a date, so whether it came before recovery is unknown: "&amp;INDEX(nMS_Milestone_ID,MATCH(1,INDEX((nMS_CaseKey=AX7)*(nMS_Type="INTERVENTION")*nMS_Undated,0),0))&amp;IF(DV7&gt;1," and "&amp;(DV7-1)&amp;" more","")&amp;".","")&amp;IF(AND(DT7=1,EP7&gt;0)," | Not counted as interventions, because they are recorded as exposures rather than as intervention milestones (nothing is inferred): "&amp;FB7&amp;". If treatment was given, record it as an intervention milestone.",""),4,9999))</f>
        <v/>
      </c>
      <c r="AT7" s="21" t="str">
        <f t="shared" si="17"/>
        <v/>
      </c>
      <c r="AU7" s="21" t="str">
        <f t="shared" si="18"/>
        <v/>
      </c>
      <c r="AV7" s="21" t="str">
        <f t="shared" si="19"/>
        <v/>
      </c>
      <c r="AW7" s="22">
        <f t="shared" si="20"/>
        <v>1</v>
      </c>
      <c r="AX7" s="21" t="str">
        <f t="shared" si="21"/>
        <v>|</v>
      </c>
      <c r="AY7" s="21" t="str">
        <f t="shared" si="22"/>
        <v/>
      </c>
      <c r="AZ7" s="22">
        <f>IF(AY7="",0,COUNTIF(nINT_Key,AY7))</f>
        <v>0</v>
      </c>
      <c r="BA7" s="22">
        <f>IF(D7="",0,IFERROR(MATCH(AX7&amp;"|"&amp;D7,nLNK_Key,0),0))</f>
        <v>0</v>
      </c>
      <c r="BB7" s="22">
        <f>IF(BA7=0,1,INDEX(nLNK_Exp_Found,BA7))</f>
        <v>1</v>
      </c>
      <c r="BC7" s="22">
        <f>IF(BA7=0,1,INDEX(nLNK_Evt_Found,BA7))</f>
        <v>1</v>
      </c>
      <c r="BD7" s="22">
        <f>IF(AP7="",0,COUNTIF(nEXP_Key,AX7&amp;"|"&amp;AP7))</f>
        <v>0</v>
      </c>
      <c r="BE7" s="22">
        <f>IF(AQ7="",0,COUNTIF(nEVT_Key,AX7&amp;"|"&amp;AQ7))</f>
        <v>0</v>
      </c>
      <c r="BF7" s="22">
        <f>IF(ISNA(MATCH(E7,nLIST_AnchorType,0)),0,1)</f>
        <v>0</v>
      </c>
      <c r="BG7" s="22">
        <f t="shared" si="23"/>
        <v>0</v>
      </c>
      <c r="BH7" s="22">
        <f t="shared" si="24"/>
        <v>0</v>
      </c>
      <c r="BI7" s="22">
        <f>IF(OR(AW7=1,AK7=""),0,IFERROR(MATCH(AX7&amp;"|"&amp;AK7,nTP_Key,0),0))</f>
        <v>0</v>
      </c>
      <c r="BJ7" s="21">
        <f>IF(BI7=0,0,INDEX(nTP_Dup,BI7))</f>
        <v>0</v>
      </c>
      <c r="BK7" s="21" t="str">
        <f>IF(BI7=0,"",INDEX(nTP_Record_Type,BI7))</f>
        <v/>
      </c>
      <c r="BL7" s="21" t="str">
        <f>IF(BI7=0,"",INDEX(nTP_Precision,BI7))</f>
        <v/>
      </c>
      <c r="BM7" s="21" t="str">
        <f>IF(BI7=0,"",INDEX(nTP_Err,BI7))</f>
        <v/>
      </c>
      <c r="BN7" s="21">
        <f>IF(BI7=0,0,INDEX(nTP_HT,BI7))</f>
        <v>0</v>
      </c>
      <c r="BO7" s="21">
        <f>IF(BI7=0,0,INDEX(nTP_OK,BI7))</f>
        <v>0</v>
      </c>
      <c r="BP7" s="21" t="str">
        <f>IF(BI7=0,"",INDEX(nTP_Loc,BI7))</f>
        <v/>
      </c>
      <c r="BQ7" s="21" t="str">
        <f>IF(BI7=0,"",INDEX(nTP_UTC,BI7))</f>
        <v/>
      </c>
      <c r="BR7" s="21" t="str">
        <f>IF(BI7=0,"",INDEX(nTP_Lo,BI7))</f>
        <v/>
      </c>
      <c r="BS7" s="21" t="str">
        <f>IF(BI7=0,"",INDEX(nTP_Hi,BI7))</f>
        <v/>
      </c>
      <c r="BT7" s="21" t="str">
        <f>IF(BI7=0,"",INDEX(nTP_Original_Text,BI7))</f>
        <v/>
      </c>
      <c r="BU7" s="21" t="str">
        <f>IF(BI7=0,"",INDEX(nTP_Source,BI7))</f>
        <v/>
      </c>
      <c r="BV7" s="21" t="str">
        <f>IF(BI7=0,"",INDEX(nTP_Lab_Note,BI7))</f>
        <v/>
      </c>
      <c r="BW7" s="22">
        <f t="shared" si="25"/>
        <v>0</v>
      </c>
      <c r="BX7" s="21" t="str">
        <f t="shared" si="26"/>
        <v>||</v>
      </c>
      <c r="BY7" s="22">
        <f>IF(BG7=0,0,COUNTIF(nTP_CandKey,BX7))</f>
        <v>0</v>
      </c>
      <c r="BZ7" s="22">
        <f>IF(BG7=0,0,COUNTIFS(nTP_CandKey,BX7,nTP_Err,""))</f>
        <v>0</v>
      </c>
      <c r="CA7" s="21" t="str">
        <f>IF(BY7=BZ7,"",IF(COUNTIFS(nTP_CandKey,BX7,nTP_Err,"E_INVALID_DATE")&gt;0,"; E_INVALID_DATE","")&amp;IF(COUNTIFS(nTP_CandKey,BX7,nTP_Err,"E_REVERSED_BOUNDS")&gt;0,"; E_REVERSED_BOUNDS","")&amp;IF(COUNTIFS(nTP_CandKey,BX7,nTP_Err,"E_MISSING_INPUT")&gt;0,"; E_MISSING_INPUT","")&amp;IF(COUNTIFS(nTP_CandKey,BX7,nTP_Err,"E_INVALID_UNIT")&gt;0,"; E_INVALID_UNIT",""))</f>
        <v/>
      </c>
      <c r="CB7" s="22">
        <f t="shared" si="27"/>
        <v>0</v>
      </c>
      <c r="CC7" s="22">
        <f>IF(CB7=0,0,SUMPRODUCT((nTP_CandKey=BX7)*(nTP_Err="")*(1-(nTP_HT*BN7*((nTP_OK*BO7*(nTP_UTC_n-N(BQ7))+(1-nTP_OK*BO7)*(nTP_Loc_n-N(BP7)))&lt;=0)+(1-nTP_HT*BN7)*(nTP_Hi_n&lt;N(BR7)))-(nTP_HT*BN7*((nTP_OK*BO7*(nTP_UTC_n-N(BQ7))+(1-nTP_OK*BO7)*(nTP_Loc_n-N(BP7)))&gt;0)+(1-nTP_HT*BN7)*(nTP_Lo_n&gt;N(BS7)))-((1-nTP_HT*BN7)*(nTP_Lo_n=nTP_Hi_n)*(nTP_Lo_n=N(BR7))*(N(BR7)=N(BS7))))))</f>
        <v>0</v>
      </c>
      <c r="CD7" s="22">
        <f>IF(CB7=0,0,SUMPRODUCT((nTP_CandKey=BX7)*nTP_Exact*((nTP_HT*BN7*((nTP_OK*BO7*(nTP_UTC_n-N(BQ7))+(1-nTP_OK*BO7)*(nTP_Loc_n-N(BP7)))&lt;=0)+(1-nTP_HT*BN7)*(nTP_Hi_n&lt;N(BR7)))+((1-nTP_HT*BN7)*(nTP_Lo_n=nTP_Hi_n)*(nTP_Lo_n=N(BR7))*(N(BR7)=N(BS7))))))</f>
        <v>0</v>
      </c>
      <c r="CE7" s="22">
        <f>IF(CB7=0,0,SUMPRODUCT((nTP_CandKey=BX7)*(nTP_Err="")*(1-nTP_Exact)*((nTP_HT*BN7*((nTP_OK*BO7*(nTP_UTC_n-N(BQ7))+(1-nTP_OK*BO7)*(nTP_Loc_n-N(BP7)))&lt;=0)+(1-nTP_HT*BN7)*(nTP_Hi_n&lt;N(BR7)))+((1-nTP_HT*BN7)*(nTP_Lo_n=nTP_Hi_n)*(nTP_Lo_n=N(BR7))*(N(BR7)=N(BS7))))))</f>
        <v>0</v>
      </c>
      <c r="CF7" s="22">
        <f>IF(CD7=0,0,SUMPRODUCT(MAX((nTP_CandKey=BX7)*nTP_Exact*((nTP_HT*BN7*((nTP_OK*BO7*(nTP_UTC_n-N(BQ7))+(1-nTP_OK*BO7)*(nTP_Loc_n-N(BP7)))&lt;=0)+(1-nTP_HT*BN7)*(nTP_Hi_n&lt;N(BR7)))+((1-nTP_HT*BN7)*(nTP_Lo_n=nTP_Hi_n)*(nTP_Lo_n=N(BR7))*(N(BR7)=N(BS7))))*nTP_Lo_n)))</f>
        <v>0</v>
      </c>
      <c r="CG7" s="22">
        <f>IF(CD7=0,0,SUMPRODUCT((nTP_CandKey=BX7)*nTP_Exact*((nTP_HT*BN7*((nTP_OK*BO7*(nTP_UTC_n-N(BQ7))+(1-nTP_OK*BO7)*(nTP_Loc_n-N(BP7)))&lt;=0)+(1-nTP_HT*BN7)*(nTP_Hi_n&lt;N(BR7)))+((1-nTP_HT*BN7)*(nTP_Lo_n=nTP_Hi_n)*(nTP_Lo_n=N(BR7))*(N(BR7)=N(BS7))))*(nTP_Lo_n=CF7)))</f>
        <v>0</v>
      </c>
      <c r="CH7" s="22">
        <f>IF(CD7=0,0,SUMPRODUCT((nTP_CandKey=BX7)*nTP_Exact*((nTP_HT*BN7*((nTP_OK*BO7*(nTP_UTC_n-N(BQ7))+(1-nTP_OK*BO7)*(nTP_Loc_n-N(BP7)))&lt;=0)+(1-nTP_HT*BN7)*(nTP_Hi_n&lt;N(BR7)))+((1-nTP_HT*BN7)*(nTP_Lo_n=nTP_Hi_n)*(nTP_Lo_n=N(BR7))*(N(BR7)=N(BS7))))*(1-nTP_HT)*(nTP_Lo_n=CF7)))</f>
        <v>0</v>
      </c>
      <c r="CI7" s="22">
        <f>IF(CD7=0,0,SUMPRODUCT(MAX((nTP_CandKey=BX7)*nTP_Exact*((nTP_HT*BN7*((nTP_OK*BO7*(nTP_UTC_n-N(BQ7))+(1-nTP_OK*BO7)*(nTP_Loc_n-N(BP7)))&lt;=0)+(1-nTP_HT*BN7)*(nTP_Hi_n&lt;N(BR7)))+((1-nTP_HT*BN7)*(nTP_Lo_n=nTP_Hi_n)*(nTP_Lo_n=N(BR7))*(N(BR7)=N(BS7))))*(1-nTP_HT)*nTP_Lo_n)))</f>
        <v>0</v>
      </c>
      <c r="CJ7" s="22">
        <f>IF(CD7=0,0,SUMPRODUCT(MAX((nTP_CandKey=BX7)*nTP_Exact*((nTP_HT*BN7*((nTP_OK*BO7*(nTP_UTC_n-N(BQ7))+(1-nTP_OK*BO7)*(nTP_Loc_n-N(BP7)))&lt;=0)+(1-nTP_HT*BN7)*(nTP_Hi_n&lt;N(BR7)))+((1-nTP_HT*BN7)*(nTP_Lo_n=nTP_Hi_n)*(nTP_Lo_n=N(BR7))*(N(BR7)=N(BS7))))*nTP_HT*nTP_OK*nTP_UTC_n)))</f>
        <v>0</v>
      </c>
      <c r="CK7" s="22">
        <f>IF(CJ7=0,0,SUMPRODUCT((nTP_CandKey=BX7)*nTP_Exact*((nTP_HT*BN7*((nTP_OK*BO7*(nTP_UTC_n-N(BQ7))+(1-nTP_OK*BO7)*(nTP_Loc_n-N(BP7)))&lt;=0)+(1-nTP_HT*BN7)*(nTP_Hi_n&lt;N(BR7)))+((1-nTP_HT*BN7)*(nTP_Lo_n=nTP_Hi_n)*(nTP_Lo_n=N(BR7))*(N(BR7)=N(BS7))))*nTP_HT*nTP_OK*(nTP_UTC_n=CJ7)))</f>
        <v>0</v>
      </c>
      <c r="CL7" s="22">
        <f>IF(CK7&lt;&gt;1,0,SUMPRODUCT((nTP_CandKey=BX7)*nTP_Exact*((nTP_HT*BN7*((nTP_OK*BO7*(nTP_UTC_n-N(BQ7))+(1-nTP_OK*BO7)*(nTP_Loc_n-N(BP7)))&lt;=0)+(1-nTP_HT*BN7)*(nTP_Hi_n&lt;N(BR7)))+((1-nTP_HT*BN7)*(nTP_Lo_n=nTP_Hi_n)*(nTP_Lo_n=N(BR7))*(N(BR7)=N(BS7))))*nTP_HT*nTP_OK*(nTP_UTC_n=CJ7)*nTP_Loc_n))</f>
        <v>0</v>
      </c>
      <c r="CM7" s="22">
        <f>IF(CK7&lt;&gt;1,0,SUMPRODUCT((nTP_CandKey=BX7)*nTP_Exact*((nTP_HT*BN7*((nTP_OK*BO7*(nTP_UTC_n-N(BQ7))+(1-nTP_OK*BO7)*(nTP_Loc_n-N(BP7)))&lt;=0)+(1-nTP_HT*BN7)*(nTP_Hi_n&lt;N(BR7)))+((1-nTP_HT*BN7)*(nTP_Lo_n=nTP_Hi_n)*(nTP_Lo_n=N(BR7))*(N(BR7)=N(BS7))))*nTP_HT*nTP_OK*(nTP_UTC_n=CJ7)*nTP_Lo_n))</f>
        <v>0</v>
      </c>
      <c r="CN7" s="22">
        <f>IF(CD7=0,0,SUMPRODUCT(MAX((nTP_CandKey=BX7)*nTP_Exact*((nTP_HT*BN7*((nTP_OK*BO7*(nTP_UTC_n-N(BQ7))+(1-nTP_OK*BO7)*(nTP_Loc_n-N(BP7)))&lt;=0)+(1-nTP_HT*BN7)*(nTP_Hi_n&lt;N(BR7)))+((1-nTP_HT*BN7)*(nTP_Lo_n=nTP_Hi_n)*(nTP_Lo_n=N(BR7))*(N(BR7)=N(BS7))))*nTP_HT*(1-nTP_OK)*nTP_Loc_n)))</f>
        <v>0</v>
      </c>
      <c r="CO7" s="22">
        <f>IF(CN7=0,0,SUMPRODUCT((nTP_CandKey=BX7)*nTP_Exact*((nTP_HT*BN7*((nTP_OK*BO7*(nTP_UTC_n-N(BQ7))+(1-nTP_OK*BO7)*(nTP_Loc_n-N(BP7)))&lt;=0)+(1-nTP_HT*BN7)*(nTP_Hi_n&lt;N(BR7)))+((1-nTP_HT*BN7)*(nTP_Lo_n=nTP_Hi_n)*(nTP_Lo_n=N(BR7))*(N(BR7)=N(BS7))))*nTP_HT*(1-nTP_OK)*(nTP_Loc_n=CN7)))</f>
        <v>0</v>
      </c>
      <c r="CP7" s="22">
        <f>IF(CO7&lt;&gt;1,0,SUMPRODUCT((nTP_CandKey=BX7)*nTP_Exact*((nTP_HT*BN7*((nTP_OK*BO7*(nTP_UTC_n-N(BQ7))+(1-nTP_OK*BO7)*(nTP_Loc_n-N(BP7)))&lt;=0)+(1-nTP_HT*BN7)*(nTP_Hi_n&lt;N(BR7)))+((1-nTP_HT*BN7)*(nTP_Lo_n=nTP_Hi_n)*(nTP_Lo_n=N(BR7))*(N(BR7)=N(BS7))))*nTP_HT*(1-nTP_OK)*(nTP_Loc_n=CN7)*nTP_Lo_n))</f>
        <v>0</v>
      </c>
      <c r="CQ7" s="22">
        <f>IF(CD7=0,0,SUMPRODUCT(MAX((nTP_CandKey=BX7)*nTP_Exact*((nTP_HT*BN7*((nTP_OK*BO7*(nTP_UTC_n-N(BQ7))+(1-nTP_OK*BO7)*(nTP_Loc_n-N(BP7)))&lt;=0)+(1-nTP_HT*BN7)*(nTP_Hi_n&lt;N(BR7)))+((1-nTP_HT*BN7)*(nTP_Lo_n=nTP_Hi_n)*(nTP_Lo_n=N(BR7))*(N(BR7)=N(BS7))))*nTP_HT*nTP_OK*nTP_Loc_n)))</f>
        <v>0</v>
      </c>
      <c r="CR7" s="22">
        <f t="shared" si="28"/>
        <v>0</v>
      </c>
      <c r="CS7" s="22">
        <f>IF(CR7=0,0,IF(CR7=1,MATCH(1,INDEX((nTP_CandKey=BX7)*nTP_Exact*((nTP_HT*BN7*((nTP_OK*BO7*(nTP_UTC_n-N(BQ7))+(1-nTP_OK*BO7)*(nTP_Loc_n-N(BP7)))&lt;=0)+(1-nTP_HT*BN7)*(nTP_Hi_n&lt;N(BR7)))+((1-nTP_HT*BN7)*(nTP_Lo_n=nTP_Hi_n)*(nTP_Lo_n=N(BR7))*(N(BR7)=N(BS7))))*(1-nTP_HT)*(nTP_Lo_n=CF7),0),0),IF(CR7=2,MATCH(1,INDEX((nTP_CandKey=BX7)*nTP_Exact*((nTP_HT*BN7*((nTP_OK*BO7*(nTP_UTC_n-N(BQ7))+(1-nTP_OK*BO7)*(nTP_Loc_n-N(BP7)))&lt;=0)+(1-nTP_HT*BN7)*(nTP_Hi_n&lt;N(BR7)))+((1-nTP_HT*BN7)*(nTP_Lo_n=nTP_Hi_n)*(nTP_Lo_n=N(BR7))*(N(BR7)=N(BS7))))*nTP_HT*nTP_OK*(nTP_UTC_n=CJ7),0),0),MATCH(1,INDEX((nTP_CandKey=BX7)*nTP_Exact*((nTP_HT*BN7*((nTP_OK*BO7*(nTP_UTC_n-N(BQ7))+(1-nTP_OK*BO7)*(nTP_Loc_n-N(BP7)))&lt;=0)+(1-nTP_HT*BN7)*(nTP_Hi_n&lt;N(BR7)))+((1-nTP_HT*BN7)*(nTP_Lo_n=nTP_Hi_n)*(nTP_Lo_n=N(BR7))*(N(BR7)=N(BS7))))*nTP_HT*(1-nTP_OK)*(nTP_Loc_n=CN7),0),0))))</f>
        <v>0</v>
      </c>
      <c r="CT7" s="22">
        <f>IF(CS7=0,0,INDEX(nTP_Lo_n,CS7))</f>
        <v>0</v>
      </c>
      <c r="CU7" s="22">
        <f>IF(CS7=0,0,SUMPRODUCT((nTP_CandKey=BX7)*(nTP_Err="")*(1-nTP_Exact)*((nTP_HT*BN7*((nTP_OK*BO7*(nTP_UTC_n-N(BQ7))+(1-nTP_OK*BO7)*(nTP_Loc_n-N(BP7)))&lt;=0)+(1-nTP_HT*BN7)*(nTP_Hi_n&lt;N(BR7)))+((1-nTP_HT*BN7)*(nTP_Lo_n=nTP_Hi_n)*(nTP_Lo_n=N(BR7))*(N(BR7)=N(BS7))))*(nTP_Hi_n&gt;=CT7)))</f>
        <v>0</v>
      </c>
      <c r="CV7" s="21" t="str">
        <f t="shared" si="29"/>
        <v/>
      </c>
      <c r="CW7" s="21" t="str">
        <f>IF(AND(BG7=1,CB7=1,CV7="",CS7&gt;0),INDEX(nTP_Record_ID,CS7)&amp;"","")</f>
        <v/>
      </c>
      <c r="CX7" s="21" t="str">
        <f>IF(OR(CV7="",BG7=0),"",IF(CV7="none","an administration record (last dose before onset)",IF(CV7="uncertain","the anchor record: "&amp;INDEX(nTP_Record_ID,MATCH(1,INDEX((nTP_CandKey=BX7)*(nTP_Err="")*(1-(nTP_HT*BN7*((nTP_OK*BO7*(nTP_UTC_n-N(BQ7))+(1-nTP_OK*BO7)*(nTP_Loc_n-N(BP7)))&lt;=0)+(1-nTP_HT*BN7)*(nTP_Hi_n&lt;N(BR7)))-(nTP_HT*BN7*((nTP_OK*BO7*(nTP_UTC_n-N(BQ7))+(1-nTP_OK*BO7)*(nTP_Loc_n-N(BP7)))&gt;0)+(1-nTP_HT*BN7)*(nTP_Lo_n&gt;N(BS7)))-((1-nTP_HT*BN7)*(nTP_Lo_n=nTP_Hi_n)*(nTP_Lo_n=N(BR7))*(N(BR7)=N(BS7)))),0),0))&amp;IF(CC7&gt;1," and "&amp;(CC7-1)&amp;" more","")&amp;" may fall before or after the end point, so the last dose cannot be identified from the recorded dates",IF(CV7="noneligible","the anchor record: no administration with an exact date is recorded at or before the end point",IF(CV7="tie","the anchor record: the order of the latest administrations cannot be told from the recorded dates and times","the anchor record: partial-date administration "&amp;INDEX(nTP_Record_ID,MATCH(1,INDEX((nTP_CandKey=BX7)*(nTP_Err="")*(1-nTP_Exact)*((nTP_HT*BN7*((nTP_OK*BO7*(nTP_UTC_n-N(BQ7))+(1-nTP_OK*BO7)*(nTP_Loc_n-N(BP7)))&lt;=0)+(1-nTP_HT*BN7)*(nTP_Hi_n&lt;N(BR7)))+((1-nTP_HT*BN7)*(nTP_Lo_n=nTP_Hi_n)*(nTP_Lo_n=N(BR7))*(N(BR7)=N(BS7))))*(nTP_Hi_n&gt;=CT7),0),0))&amp;" could be the last dose before the end point")))))</f>
        <v/>
      </c>
      <c r="CY7" s="22">
        <f>IF(OR(AW7=1,AJ7=""),0,IFERROR(MATCH(AX7&amp;"|"&amp;AJ7,nTP_Key,0),0))</f>
        <v>0</v>
      </c>
      <c r="CZ7" s="21">
        <f>IF(CY7=0,0,INDEX(nTP_Dup,CY7))</f>
        <v>0</v>
      </c>
      <c r="DA7" s="21" t="str">
        <f>IF(CY7=0,"",INDEX(nTP_Record_Type,CY7))</f>
        <v/>
      </c>
      <c r="DB7" s="21" t="str">
        <f>IF(CY7=0,"",INDEX(nTP_Precision,CY7))</f>
        <v/>
      </c>
      <c r="DC7" s="21" t="str">
        <f>IF(CY7=0,"",INDEX(nTP_Err,CY7))</f>
        <v/>
      </c>
      <c r="DD7" s="21">
        <f>IF(CY7=0,0,INDEX(nTP_HT,CY7))</f>
        <v>0</v>
      </c>
      <c r="DE7" s="21">
        <f>IF(CY7=0,0,INDEX(nTP_OK,CY7))</f>
        <v>0</v>
      </c>
      <c r="DF7" s="21" t="str">
        <f>IF(CY7=0,"",INDEX(nTP_Loc,CY7))</f>
        <v/>
      </c>
      <c r="DG7" s="21" t="str">
        <f>IF(CY7=0,"",INDEX(nTP_UTC,CY7))</f>
        <v/>
      </c>
      <c r="DH7" s="21" t="str">
        <f>IF(CY7=0,"",INDEX(nTP_Lo,CY7))</f>
        <v/>
      </c>
      <c r="DI7" s="21" t="str">
        <f>IF(CY7=0,"",INDEX(nTP_Hi,CY7))</f>
        <v/>
      </c>
      <c r="DJ7" s="21" t="str">
        <f>IF(CY7=0,"",INDEX(nTP_Original_Text,CY7))</f>
        <v/>
      </c>
      <c r="DK7" s="21" t="str">
        <f>IF(CY7=0,"",INDEX(nTP_Source,CY7))</f>
        <v/>
      </c>
      <c r="DL7" s="22">
        <f t="shared" si="30"/>
        <v>0</v>
      </c>
      <c r="DM7" s="21" t="str">
        <f t="shared" si="31"/>
        <v/>
      </c>
      <c r="DN7" s="21" t="str">
        <f t="shared" si="32"/>
        <v/>
      </c>
      <c r="DO7" s="21" t="str">
        <f t="shared" si="33"/>
        <v/>
      </c>
      <c r="DP7" s="21" t="str">
        <f t="shared" si="34"/>
        <v/>
      </c>
      <c r="DQ7" s="21" t="str">
        <f t="shared" si="35"/>
        <v/>
      </c>
      <c r="DR7" s="22">
        <f>IF(OR(DQ7="",I7=""),0,IF(ISNA(MATCH(I7,nLIST_Mode,0)),1,IF(AND(I7="C1",DQ7&lt;&gt;"C1"),1,IF(AND(I7="C2",DQ7="C4"),1,0))))</f>
        <v>0</v>
      </c>
      <c r="DS7" s="21" t="str">
        <f t="shared" si="36"/>
        <v/>
      </c>
      <c r="DT7" s="22">
        <f t="shared" si="37"/>
        <v>0</v>
      </c>
      <c r="DU7" s="21" t="str">
        <f>IF(DT7=0,"",IF(COUNTIFS(nTP_Case_Key,AX7,nTP_Record_Type,"MILESTONE:INTERVENTION",nTP_Err,"E_INVALID_DATE")&gt;0,"; E_INVALID_DATE","")&amp;IF(COUNTIFS(nTP_Case_Key,AX7,nTP_Record_Type,"MILESTONE:INTERVENTION",nTP_Err,"E_REVERSED_BOUNDS")&gt;0,"; E_REVERSED_BOUNDS","")&amp;IF(COUNTIFS(nTP_Case_Key,AX7,nTP_Record_Type,"MILESTONE:INTERVENTION",nTP_Err,"E_MISSING_INPUT")&gt;0,"; E_MISSING_INPUT","")&amp;IF(COUNTIFS(nTP_Case_Key,AX7,nTP_Record_Type,"MILESTONE:INTERVENTION",nTP_Err,"E_INVALID_UNIT")&gt;0,"; E_INVALID_UNIT",""))</f>
        <v/>
      </c>
      <c r="DV7" s="22">
        <f>IF(DT7=0,0,SUMPRODUCT((nMS_CaseKey=AX7)*(nMS_Type="INTERVENTION")*nMS_Undated))</f>
        <v>0</v>
      </c>
      <c r="DW7" s="21" t="str">
        <f t="shared" si="38"/>
        <v/>
      </c>
      <c r="DX7" s="21" t="str">
        <f t="shared" si="39"/>
        <v/>
      </c>
      <c r="DY7" s="22">
        <f t="shared" si="40"/>
        <v>1</v>
      </c>
      <c r="DZ7" s="21" t="str">
        <f t="shared" si="41"/>
        <v/>
      </c>
      <c r="EA7" s="21" t="str">
        <f t="shared" si="42"/>
        <v/>
      </c>
      <c r="EB7" s="21" t="str">
        <f t="shared" si="43"/>
        <v/>
      </c>
      <c r="EC7" s="21" t="str">
        <f t="shared" si="44"/>
        <v/>
      </c>
      <c r="ED7" s="22">
        <f t="shared" si="45"/>
        <v>0</v>
      </c>
      <c r="EE7" s="22">
        <f t="shared" si="46"/>
        <v>0</v>
      </c>
      <c r="EF7" s="21" t="str">
        <f>IF(ED7=0,"",IF(OR(NOT(ISNUMBER(L7)),NOT(ISNUMBER(M7))),"I_APPROXIMATE_NOT_COMPARED",IF(AND(N7&lt;&gt;"",ISNA(MATCH(N7,nLIST_ReportedUnit,0))),"E_INVALID_UNIT",IF(N7="","E_MISSING_INPUT",IF(L7&gt;M7,"E_REVERSED_BOUNDS",IF(OR(N7="weeks",N7="months",N7="years"),"I_APPROXIMATE_NOT_COMPARED",IF(DX7&lt;&gt;"","",IF(EE7=0,"I_APPROXIMATE_NOT_COMPARED",IF(AND(L7*EE7&lt;=IF(DS7="C4",EC7,IF(DS7="C1",DZ7,EA7)),M7*EE7&gt;=IF(DS7="C4",EB7,IF(DS7="C1",DZ7,EA7))),"OVERLAP","W_REPORTED_TIMING_CONFLICT")))))))))</f>
        <v/>
      </c>
      <c r="EG7" s="21" t="str">
        <f t="shared" si="47"/>
        <v/>
      </c>
      <c r="EH7" s="21" t="str">
        <f t="shared" si="48"/>
        <v/>
      </c>
      <c r="EI7" s="22">
        <f t="shared" si="49"/>
        <v>0</v>
      </c>
      <c r="EJ7" s="22">
        <f t="shared" si="50"/>
        <v>0</v>
      </c>
      <c r="EK7" s="22">
        <f t="shared" si="51"/>
        <v>0</v>
      </c>
      <c r="EL7" s="28" t="str">
        <f t="shared" si="52"/>
        <v/>
      </c>
      <c r="EM7" s="28" t="str">
        <f t="shared" si="53"/>
        <v/>
      </c>
      <c r="EN7" s="21" t="str">
        <f t="shared" si="54"/>
        <v/>
      </c>
      <c r="EO7" s="22">
        <f>IF(OR(DT7=0,DX7&lt;&gt;""),0,SUMPRODUCT((nTP_Case_Key=AX7)*(nTP_Record_Type="MILESTONE:INTERVENTION")*(nTP_Err="")*(nTP_HT*DD7*BN7*(nTP_OK*DE7*(nTP_UTC_n&gt;=N(DG7))+(1-nTP_OK*DE7)*(nTP_Loc_n&gt;=N(DF7)))*(nTP_OK*BO7*(nTP_UTC_n&lt;=N(BQ7))+(1-nTP_OK*BO7)*(nTP_Loc_n&lt;=N(BP7)))+(1-nTP_HT*DD7*BN7)*(nTP_Hi_n&gt;=N(DH7))*(nTP_Lo_n&lt;=N(BS7)))))</f>
        <v>0</v>
      </c>
      <c r="EP7" s="22">
        <f>IF(OR(DT7=0,DX7&lt;&gt;""),0,SUMPRODUCT((nTP_Case_Key=AX7)*(nTP_Role="treatment of the event")*((nTP_Record_Type="EXPOSURE_START")+(nTP_Record_Type="ADMINISTRATION"))*(nTP_Err="")*(nTP_HT*DD7*BN7*(nTP_OK*DE7*(nTP_UTC_n&gt;=N(DG7))+(1-nTP_OK*DE7)*(nTP_Loc_n&gt;=N(DF7)))*(nTP_OK*BO7*(nTP_UTC_n&lt;=N(BQ7))+(1-nTP_OK*BO7)*(nTP_Loc_n&lt;=N(BP7)))+(1-nTP_HT*DD7*BN7)*(nTP_Hi_n&gt;=N(DH7))*(nTP_Lo_n&lt;=N(BS7)))))</f>
        <v>0</v>
      </c>
      <c r="EQ7" s="22">
        <f>IF(EO7&lt;1,0,IFERROR(_xlfn.AGGREGATE(15,6,nTP_RowN/((nTP_Case_Key=AX7)*(nTP_Record_Type="MILESTONE:INTERVENTION")*(nTP_Err="")*(nTP_HT*DD7*BN7*(nTP_OK*DE7*(nTP_UTC_n&gt;=N(DG7))+(1-nTP_OK*DE7)*(nTP_Loc_n&gt;=N(DF7)))*(nTP_OK*BO7*(nTP_UTC_n&lt;=N(BQ7))+(1-nTP_OK*BO7)*(nTP_Loc_n&lt;=N(BP7)))+(1-nTP_HT*DD7*BN7)*(nTP_Hi_n&gt;=N(DH7))*(nTP_Lo_n&lt;=N(BS7)))),1),0))</f>
        <v>0</v>
      </c>
      <c r="ER7" s="22">
        <f>IF(EO7&lt;2,0,IFERROR(_xlfn.AGGREGATE(15,6,nTP_RowN/((nTP_Case_Key=AX7)*(nTP_Record_Type="MILESTONE:INTERVENTION")*(nTP_Err="")*(nTP_HT*DD7*BN7*(nTP_OK*DE7*(nTP_UTC_n&gt;=N(DG7))+(1-nTP_OK*DE7)*(nTP_Loc_n&gt;=N(DF7)))*(nTP_OK*BO7*(nTP_UTC_n&lt;=N(BQ7))+(1-nTP_OK*BO7)*(nTP_Loc_n&lt;=N(BP7)))+(1-nTP_HT*DD7*BN7)*(nTP_Hi_n&gt;=N(DH7))*(nTP_Lo_n&lt;=N(BS7)))),2),0))</f>
        <v>0</v>
      </c>
      <c r="ES7" s="22">
        <f>IF(EO7&lt;3,0,IFERROR(_xlfn.AGGREGATE(15,6,nTP_RowN/((nTP_Case_Key=AX7)*(nTP_Record_Type="MILESTONE:INTERVENTION")*(nTP_Err="")*(nTP_HT*DD7*BN7*(nTP_OK*DE7*(nTP_UTC_n&gt;=N(DG7))+(1-nTP_OK*DE7)*(nTP_Loc_n&gt;=N(DF7)))*(nTP_OK*BO7*(nTP_UTC_n&lt;=N(BQ7))+(1-nTP_OK*BO7)*(nTP_Loc_n&lt;=N(BP7)))+(1-nTP_HT*DD7*BN7)*(nTP_Hi_n&gt;=N(DH7))*(nTP_Lo_n&lt;=N(BS7)))),3),0))</f>
        <v>0</v>
      </c>
      <c r="ET7" s="22">
        <f>IF(EP7&lt;1,0,IFERROR(_xlfn.AGGREGATE(15,6,nTP_RowN/((nTP_Case_Key=AX7)*(nTP_Role="treatment of the event")*((nTP_Record_Type="EXPOSURE_START")+(nTP_Record_Type="ADMINISTRATION"))*(nTP_Err="")*(nTP_HT*DD7*BN7*(nTP_OK*DE7*(nTP_UTC_n&gt;=N(DG7))+(1-nTP_OK*DE7)*(nTP_Loc_n&gt;=N(DF7)))*(nTP_OK*BO7*(nTP_UTC_n&lt;=N(BQ7))+(1-nTP_OK*BO7)*(nTP_Loc_n&lt;=N(BP7)))+(1-nTP_HT*DD7*BN7)*(nTP_Hi_n&gt;=N(DH7))*(nTP_Lo_n&lt;=N(BS7)))),1),0))</f>
        <v>0</v>
      </c>
      <c r="EU7" s="22">
        <f>IF(EP7&lt;2,0,IFERROR(_xlfn.AGGREGATE(15,6,nTP_RowN/((nTP_Case_Key=AX7)*(nTP_Role="treatment of the event")*((nTP_Record_Type="EXPOSURE_START")+(nTP_Record_Type="ADMINISTRATION"))*(nTP_Err="")*(nTP_HT*DD7*BN7*(nTP_OK*DE7*(nTP_UTC_n&gt;=N(DG7))+(1-nTP_OK*DE7)*(nTP_Loc_n&gt;=N(DF7)))*(nTP_OK*BO7*(nTP_UTC_n&lt;=N(BQ7))+(1-nTP_OK*BO7)*(nTP_Loc_n&lt;=N(BP7)))+(1-nTP_HT*DD7*BN7)*(nTP_Hi_n&gt;=N(DH7))*(nTP_Lo_n&lt;=N(BS7)))),2),0))</f>
        <v>0</v>
      </c>
      <c r="EV7" s="22">
        <f>IF(EP7&lt;3,0,IFERROR(_xlfn.AGGREGATE(15,6,nTP_RowN/((nTP_Case_Key=AX7)*(nTP_Role="treatment of the event")*((nTP_Record_Type="EXPOSURE_START")+(nTP_Record_Type="ADMINISTRATION"))*(nTP_Err="")*(nTP_HT*DD7*BN7*(nTP_OK*DE7*(nTP_UTC_n&gt;=N(DG7))+(1-nTP_OK*DE7)*(nTP_Loc_n&gt;=N(DF7)))*(nTP_OK*BO7*(nTP_UTC_n&lt;=N(BQ7))+(1-nTP_OK*BO7)*(nTP_Loc_n&lt;=N(BP7)))+(1-nTP_HT*DD7*BN7)*(nTP_Hi_n&gt;=N(DH7))*(nTP_Lo_n&lt;=N(BS7)))),3),0))</f>
        <v>0</v>
      </c>
      <c r="EW7" s="22">
        <f>IF(CE7&lt;1,0,IFERROR(_xlfn.AGGREGATE(15,6,nTP_RowN/((nTP_CandKey=BX7)*(nTP_Err="")*(1-nTP_Exact)*((nTP_HT*BN7*((nTP_OK*BO7*(nTP_UTC_n-N(BQ7))+(1-nTP_OK*BO7)*(nTP_Loc_n-N(BP7)))&lt;=0)+(1-nTP_HT*BN7)*(nTP_Hi_n&lt;N(BR7)))+((1-nTP_HT*BN7)*(nTP_Lo_n=nTP_Hi_n)*(nTP_Lo_n=N(BR7))*(N(BR7)=N(BS7))))),1),0))</f>
        <v>0</v>
      </c>
      <c r="EX7" s="22">
        <f>IF(CE7&lt;2,0,IFERROR(_xlfn.AGGREGATE(15,6,nTP_RowN/((nTP_CandKey=BX7)*(nTP_Err="")*(1-nTP_Exact)*((nTP_HT*BN7*((nTP_OK*BO7*(nTP_UTC_n-N(BQ7))+(1-nTP_OK*BO7)*(nTP_Loc_n-N(BP7)))&lt;=0)+(1-nTP_HT*BN7)*(nTP_Hi_n&lt;N(BR7)))+((1-nTP_HT*BN7)*(nTP_Lo_n=nTP_Hi_n)*(nTP_Lo_n=N(BR7))*(N(BR7)=N(BS7))))),2),0))</f>
        <v>0</v>
      </c>
      <c r="EY7" s="22">
        <f>IF(CE7&lt;3,0,IFERROR(_xlfn.AGGREGATE(15,6,nTP_RowN/((nTP_CandKey=BX7)*(nTP_Err="")*(1-nTP_Exact)*((nTP_HT*BN7*((nTP_OK*BO7*(nTP_UTC_n-N(BQ7))+(1-nTP_OK*BO7)*(nTP_Loc_n-N(BP7)))&lt;=0)+(1-nTP_HT*BN7)*(nTP_Hi_n&lt;N(BR7)))+((1-nTP_HT*BN7)*(nTP_Lo_n=nTP_Hi_n)*(nTP_Lo_n=N(BR7))*(N(BR7)=N(BS7))))),3),0))</f>
        <v>0</v>
      </c>
      <c r="EZ7" s="21" t="str">
        <f>IF(EO7=0,"",MID(IF(EQ7&gt;0,"; "&amp;INDEX(nTP_Record_ID,EQ7)&amp;IF(INDEX(nTP_Label,EQ7)="",""," ("&amp;INDEX(nTP_Label,EQ7)&amp;")"),"")&amp;IF(ER7&gt;0,"; "&amp;INDEX(nTP_Record_ID,ER7)&amp;IF(INDEX(nTP_Label,ER7)="",""," ("&amp;INDEX(nTP_Label,ER7)&amp;")"),"")&amp;IF(ES7&gt;0,"; "&amp;INDEX(nTP_Record_ID,ES7)&amp;IF(INDEX(nTP_Label,ES7)="",""," ("&amp;INDEX(nTP_Label,ES7)&amp;")"),"")&amp;IF(EO7&gt;3,"; and "&amp;(EO7-3)&amp;" more",""),3,999))</f>
        <v/>
      </c>
      <c r="FA7" s="21" t="str">
        <f>IF(EO7=0,"",MID(IF(EQ7&gt;0,"; "&amp;INDEX(nTP_Record_ID,EQ7),"")&amp;IF(ER7&gt;0,"; "&amp;INDEX(nTP_Record_ID,ER7),"")&amp;IF(ES7&gt;0,"; "&amp;INDEX(nTP_Record_ID,ES7),"")&amp;IF(EO7&gt;3,"; and "&amp;(EO7-3)&amp;" more",""),3,999))</f>
        <v/>
      </c>
      <c r="FB7" s="21" t="str">
        <f>IF(EP7=0,"",MID(IF(ET7&gt;0,"; "&amp;INDEX(nTP_Record_ID,ET7)&amp;IF(INDEX(nTP_Label,ET7)="",""," ("&amp;INDEX(nTP_Label,ET7)&amp;")"),"")&amp;IF(EU7&gt;0,"; "&amp;INDEX(nTP_Record_ID,EU7)&amp;IF(INDEX(nTP_Label,EU7)="",""," ("&amp;INDEX(nTP_Label,EU7)&amp;")"),"")&amp;IF(EV7&gt;0,"; "&amp;INDEX(nTP_Record_ID,EV7)&amp;IF(INDEX(nTP_Label,EV7)="",""," ("&amp;INDEX(nTP_Label,EV7)&amp;")"),"")&amp;IF(EP7&gt;3,"; and "&amp;(EP7-3)&amp;" more",""),3,999))</f>
        <v/>
      </c>
      <c r="FC7" s="21" t="str">
        <f>IF(CE7=0,"",MID(IF(EW7&gt;0,"; "&amp;INDEX(nTP_Record_ID,EW7),"")&amp;IF(EX7&gt;0,"; "&amp;INDEX(nTP_Record_ID,EX7),"")&amp;IF(EY7&gt;0,"; "&amp;INDEX(nTP_Record_ID,EY7),"")&amp;IF(CE7&gt;3,"; and "&amp;(CE7-3)&amp;" more",""),3,999))</f>
        <v/>
      </c>
      <c r="FD7" s="22">
        <f t="shared" si="55"/>
        <v>0</v>
      </c>
      <c r="FE7" s="22">
        <f t="shared" si="56"/>
        <v>0</v>
      </c>
      <c r="FF7" s="22">
        <f t="shared" si="57"/>
        <v>0</v>
      </c>
      <c r="FG7" s="22">
        <f t="shared" si="58"/>
        <v>0</v>
      </c>
      <c r="FH7" s="22">
        <f t="shared" si="59"/>
        <v>0</v>
      </c>
      <c r="FI7" s="22">
        <f t="shared" si="60"/>
        <v>0</v>
      </c>
      <c r="FJ7" s="22">
        <f t="shared" si="61"/>
        <v>0</v>
      </c>
      <c r="FK7" s="22">
        <f t="shared" si="62"/>
        <v>0</v>
      </c>
    </row>
    <row r="8" spans="1:167" x14ac:dyDescent="0.2">
      <c r="A8" s="10"/>
      <c r="B8" s="10"/>
      <c r="C8" s="12"/>
      <c r="D8" s="10"/>
      <c r="E8" s="17"/>
      <c r="F8" s="10"/>
      <c r="G8" s="10"/>
      <c r="H8" s="10"/>
      <c r="I8" s="17"/>
      <c r="J8" s="17"/>
      <c r="K8" s="10"/>
      <c r="L8" s="17"/>
      <c r="M8" s="17"/>
      <c r="N8" s="17"/>
      <c r="O8" s="10"/>
      <c r="P8" s="15"/>
      <c r="Q8" s="15"/>
      <c r="R8" s="10"/>
      <c r="S8" s="10"/>
      <c r="T8" s="21" t="str">
        <f t="shared" si="0"/>
        <v/>
      </c>
      <c r="U8" s="21" t="str">
        <f t="shared" si="1"/>
        <v/>
      </c>
      <c r="V8" s="21" t="str">
        <f t="shared" si="2"/>
        <v/>
      </c>
      <c r="W8" s="21" t="str">
        <f t="shared" si="3"/>
        <v/>
      </c>
      <c r="X8" s="21" t="str">
        <f t="shared" si="4"/>
        <v/>
      </c>
      <c r="Y8" s="21" t="str">
        <f t="shared" si="5"/>
        <v/>
      </c>
      <c r="Z8" s="21" t="str">
        <f t="shared" si="6"/>
        <v/>
      </c>
      <c r="AA8" s="21" t="str">
        <f t="shared" si="7"/>
        <v/>
      </c>
      <c r="AB8" s="21" t="str">
        <f t="shared" si="8"/>
        <v/>
      </c>
      <c r="AC8" s="21" t="str">
        <f t="shared" si="9"/>
        <v/>
      </c>
      <c r="AD8" s="21" t="str">
        <f>IF(AW8=1,"",MID(IF(ISNUMBER(SEARCH("E_INVALID_DATE",EG8))," | E_INVALID_DATE: "&amp;SUBSTITUTE(IFERROR(INDEX(nMSG_Text,MATCH("E_INVALID_DATE",nMSG_Code,0)),""),"[input]",""),"")&amp;IF(ISNUMBER(SEARCH("E_REVERSED_BOUNDS",EG8))," | E_REVERSED_BOUNDS: "&amp;SUBSTITUTE(IFERROR(INDEX(nMSG_Text,MATCH("E_REVERSED_BOUNDS",nMSG_Code,0)),""),"[input]",""),"")&amp;IF(ISNUMBER(SEARCH("E_DUPLICATE_ID",EG8))," | E_DUPLICATE_ID: "&amp;SUBSTITUTE(IFERROR(INDEX(nMSG_Text,MATCH("E_DUPLICATE_ID",nMSG_Code,0)),""),"[input]",""),"")&amp;IF(ISNUMBER(SEARCH("E_MISSING_LINK",EG8))," | E_MISSING_LINK: "&amp;SUBSTITUTE(IFERROR(INDEX(nMSG_Text,MATCH("E_MISSING_LINK",nMSG_Code,0)),""),"[input]",""),"")&amp;IF(ISNUMBER(SEARCH("E_MISSING_INPUT",EG8))," | E_MISSING_INPUT: "&amp;SUBSTITUTE(IFERROR(INDEX(nMSG_Text,MATCH("E_MISSING_INPUT",nMSG_Code,0)),""),"[input]",IF(EH8="","an input",EH8)),"")&amp;IF(ISNUMBER(SEARCH("E_INVALID_UNIT",EG8))," | E_INVALID_UNIT: "&amp;SUBSTITUTE(IFERROR(INDEX(nMSG_Text,MATCH("E_INVALID_UNIT",nMSG_Code,0)),""),"[input]",""),"")&amp;IF(FD8=1," | W_TZ_UNKNOWN: "&amp;SUBSTITUTE(IFERROR(INDEX(nMSG_Text,MATCH("W_TZ_UNKNOWN",nMSG_Code,0)),""),"[input]",""),"")&amp;IF(FE8=1," | W_SAME_DATE_ORDER_UNKNOWN: "&amp;SUBSTITUTE(IFERROR(INDEX(nMSG_Text,MATCH("W_SAME_DATE_ORDER_UNKNOWN",nMSG_Code,0)),""),"[input]",""),"")&amp;IF(FF8=1," | W_SEQUENCE_UNCERTAIN: "&amp;SUBSTITUTE(IFERROR(INDEX(nMSG_Text,MATCH("W_SEQUENCE_UNCERTAIN",nMSG_Code,0)),""),"[input]",""),"")&amp;IF(FG8=1," | W_ADMIN_SAME_DATE_AS_ONSET: "&amp;SUBSTITUTE(IFERROR(INDEX(nMSG_Text,MATCH("W_ADMIN_SAME_DATE_AS_ONSET",nMSG_Code,0)),""),"[input]",""),"")&amp;IF(FH8=1," | W_REPORTED_TIMING_CONFLICT: "&amp;SUBSTITUTE(IFERROR(INDEX(nMSG_Text,MATCH("W_REPORTED_TIMING_CONFLICT",nMSG_Code,0)),""),"[input]",""),"")&amp;IF(FI8=1," | W_INTERVENTION_BEFORE_RECOVERY: "&amp;SUBSTITUTE(IFERROR(INDEX(nMSG_Text,MATCH("W_INTERVENTION_BEFORE_RECOVERY",nMSG_Code,0)),""),"[input]",""),"")&amp;IF(FJ8=1," | I_TREATMENT_DAY_UNDEFINED: "&amp;SUBSTITUTE(IFERROR(INDEX(nMSG_Text,MATCH("I_TREATMENT_DAY_UNDEFINED",nMSG_Code,0)),""),"[input]",""),"")&amp;IF(FK8=1," | I_APPROXIMATE_NOT_COMPARED: "&amp;SUBSTITUTE(IFERROR(INDEX(nMSG_Text,MATCH("I_APPROXIMATE_NOT_COMPARED",nMSG_Code,0)),""),"[input]",""),""),4,9999))</f>
        <v/>
      </c>
      <c r="AE8" s="21" t="str">
        <f t="shared" si="10"/>
        <v/>
      </c>
      <c r="AF8" s="21" t="str">
        <f t="shared" si="11"/>
        <v/>
      </c>
      <c r="AG8" s="21" t="str">
        <f>IF(EN8="","",MID(IF(ISNUMBER(SEARCH("E_REVERSED_BOUNDS",EN8))," | E_REVERSED_BOUNDS: "&amp;SUBSTITUTE(IFERROR(INDEX(nMSG_Text,MATCH("E_REVERSED_BOUNDS",nMSG_Code,0)),""),"[input]",""),"")&amp;IF(ISNUMBER(SEARCH("E_MISSING_INPUT",EN8))," | E_MISSING_INPUT: "&amp;SUBSTITUTE(IFERROR(INDEX(nMSG_Text,MATCH("E_MISSING_INPUT",nMSG_Code,0)),""),"[input]",IF("the source of the constraint"="","an input","the source of the constraint")),""),4,999))</f>
        <v/>
      </c>
      <c r="AH8" s="21" t="str">
        <f t="shared" si="12"/>
        <v/>
      </c>
      <c r="AI8" s="21" t="str">
        <f t="shared" si="13"/>
        <v/>
      </c>
      <c r="AJ8" s="21" t="str">
        <f t="shared" si="14"/>
        <v/>
      </c>
      <c r="AK8" s="21" t="str">
        <f t="shared" si="15"/>
        <v/>
      </c>
      <c r="AL8" s="21" t="str">
        <f>IF(CY8=0,"",INDEX(nTP_ISO,CY8))</f>
        <v/>
      </c>
      <c r="AM8" s="21" t="str">
        <f>IF(CY8=0,"",INDEX(nTP_Display,CY8))</f>
        <v/>
      </c>
      <c r="AN8" s="21" t="str">
        <f>IF(BI8=0,"",INDEX(nTP_ISO,BI8))</f>
        <v/>
      </c>
      <c r="AO8" s="21" t="str">
        <f>IF(BI8=0,"",INDEX(nTP_Display,BI8))</f>
        <v/>
      </c>
      <c r="AP8" s="21" t="str">
        <f>IF(BA8=0,"",INDEX(nLNK_Exposure_Episode_ID,BA8)&amp;"")</f>
        <v/>
      </c>
      <c r="AQ8" s="21" t="str">
        <f>IF(BA8=0,"",INDEX(nLNK_Event_Episode_ID,BA8)&amp;"")</f>
        <v/>
      </c>
      <c r="AR8" s="21" t="str">
        <f t="shared" si="16"/>
        <v/>
      </c>
      <c r="AS8" s="21" t="str">
        <f>IF(EI8=0,"",MID(IF(DT8=1," | Recovery interval (C7) computed with "&amp;DS8&amp;".","")&amp;IF(BG8=1," | Anchor selected under C5 (CALC-SPEC 1.1): latest administration with an exact date or time at or before "&amp;IF(BH8=1,"onset","the end point")&amp;" ("&amp;AJ8&amp;"), ordered in UTC when offsets are known; later administrations are never selected.","")&amp;IF(AND(BG8=1,CE8&gt;0)," | Partial-date administrations wholly before the selected one were not candidates: "&amp;FC8&amp;".","")&amp;IF(BV8&lt;&gt;""," | "&amp;BV8,"")&amp;IF(AND(DS8="C2",EA8=0,DZ8&lt;&gt;"")," | Same calendar date; both times are known, so C1 decides the order ("&amp;AA8&amp;").","")&amp;IF(AND(DS8="C2",DD8*BN8=1,DT8=0)," | Calendar-date difference from the recorded local dates; it is never described as elapsed days.","")&amp;IF(AND(DS8="C4",DT8=0)," | Bounds are treated as independent; no single date is imputed from them.","")&amp;IF(EJ8=1," | Treatment day under the inclusive convention (C3); never written to E2B fields automatically.","")&amp;IF(AND(DS8="C4",DT8=0,EK8=0)," | No constraint applied.","")&amp;IF(AND(DS8="C4",EK8=1)," | Constraint applied to the anchor bounds: "&amp;IF(ISNUMBER(P8),"not before "&amp;DAY(P8)&amp;" "&amp;INDEX(nLIST_Months,MONTH(P8))&amp;" "&amp;YEAR(P8),"")&amp;IF(AND(ISNUMBER(P8),ISNUMBER(Q8)),", ","")&amp;IF(ISNUMBER(Q8),"not after "&amp;DAY(Q8)&amp;" "&amp;INDEX(nLIST_Months,MONTH(Q8))&amp;" "&amp;YEAR(Q8),"")&amp;". Source: "&amp;IF(R8="","not recorded",R8)&amp;IF(EN8="",". Constrained result shown beside the unconstrained one.",". Constrained result blocked ("&amp;EN8&amp;")."),"")&amp;IF(DT8=1,IF(EO8&gt;0," | Intervention recorded between cessation and recovery (ends included): "&amp;EZ8&amp;"."," | No intervention is recorded between cessation and recovery; absence of a record is not evidence that none was given."),"")&amp;IF(AND(DT8=1,DV8&gt;0)," | Intervention recorded without a date, so whether it came before recovery is unknown: "&amp;INDEX(nMS_Milestone_ID,MATCH(1,INDEX((nMS_CaseKey=AX8)*(nMS_Type="INTERVENTION")*nMS_Undated,0),0))&amp;IF(DV8&gt;1," and "&amp;(DV8-1)&amp;" more","")&amp;".","")&amp;IF(AND(DT8=1,EP8&gt;0)," | Not counted as interventions, because they are recorded as exposures rather than as intervention milestones (nothing is inferred): "&amp;FB8&amp;". If treatment was given, record it as an intervention milestone.",""),4,9999))</f>
        <v/>
      </c>
      <c r="AT8" s="21" t="str">
        <f t="shared" si="17"/>
        <v/>
      </c>
      <c r="AU8" s="21" t="str">
        <f t="shared" si="18"/>
        <v/>
      </c>
      <c r="AV8" s="21" t="str">
        <f t="shared" si="19"/>
        <v/>
      </c>
      <c r="AW8" s="22">
        <f t="shared" si="20"/>
        <v>1</v>
      </c>
      <c r="AX8" s="21" t="str">
        <f t="shared" si="21"/>
        <v>|</v>
      </c>
      <c r="AY8" s="21" t="str">
        <f t="shared" si="22"/>
        <v/>
      </c>
      <c r="AZ8" s="22">
        <f>IF(AY8="",0,COUNTIF(nINT_Key,AY8))</f>
        <v>0</v>
      </c>
      <c r="BA8" s="22">
        <f>IF(D8="",0,IFERROR(MATCH(AX8&amp;"|"&amp;D8,nLNK_Key,0),0))</f>
        <v>0</v>
      </c>
      <c r="BB8" s="22">
        <f>IF(BA8=0,1,INDEX(nLNK_Exp_Found,BA8))</f>
        <v>1</v>
      </c>
      <c r="BC8" s="22">
        <f>IF(BA8=0,1,INDEX(nLNK_Evt_Found,BA8))</f>
        <v>1</v>
      </c>
      <c r="BD8" s="22">
        <f>IF(AP8="",0,COUNTIF(nEXP_Key,AX8&amp;"|"&amp;AP8))</f>
        <v>0</v>
      </c>
      <c r="BE8" s="22">
        <f>IF(AQ8="",0,COUNTIF(nEVT_Key,AX8&amp;"|"&amp;AQ8))</f>
        <v>0</v>
      </c>
      <c r="BF8" s="22">
        <f>IF(ISNA(MATCH(E8,nLIST_AnchorType,0)),0,1)</f>
        <v>0</v>
      </c>
      <c r="BG8" s="22">
        <f t="shared" si="23"/>
        <v>0</v>
      </c>
      <c r="BH8" s="22">
        <f t="shared" si="24"/>
        <v>0</v>
      </c>
      <c r="BI8" s="22">
        <f>IF(OR(AW8=1,AK8=""),0,IFERROR(MATCH(AX8&amp;"|"&amp;AK8,nTP_Key,0),0))</f>
        <v>0</v>
      </c>
      <c r="BJ8" s="21">
        <f>IF(BI8=0,0,INDEX(nTP_Dup,BI8))</f>
        <v>0</v>
      </c>
      <c r="BK8" s="21" t="str">
        <f>IF(BI8=0,"",INDEX(nTP_Record_Type,BI8))</f>
        <v/>
      </c>
      <c r="BL8" s="21" t="str">
        <f>IF(BI8=0,"",INDEX(nTP_Precision,BI8))</f>
        <v/>
      </c>
      <c r="BM8" s="21" t="str">
        <f>IF(BI8=0,"",INDEX(nTP_Err,BI8))</f>
        <v/>
      </c>
      <c r="BN8" s="21">
        <f>IF(BI8=0,0,INDEX(nTP_HT,BI8))</f>
        <v>0</v>
      </c>
      <c r="BO8" s="21">
        <f>IF(BI8=0,0,INDEX(nTP_OK,BI8))</f>
        <v>0</v>
      </c>
      <c r="BP8" s="21" t="str">
        <f>IF(BI8=0,"",INDEX(nTP_Loc,BI8))</f>
        <v/>
      </c>
      <c r="BQ8" s="21" t="str">
        <f>IF(BI8=0,"",INDEX(nTP_UTC,BI8))</f>
        <v/>
      </c>
      <c r="BR8" s="21" t="str">
        <f>IF(BI8=0,"",INDEX(nTP_Lo,BI8))</f>
        <v/>
      </c>
      <c r="BS8" s="21" t="str">
        <f>IF(BI8=0,"",INDEX(nTP_Hi,BI8))</f>
        <v/>
      </c>
      <c r="BT8" s="21" t="str">
        <f>IF(BI8=0,"",INDEX(nTP_Original_Text,BI8))</f>
        <v/>
      </c>
      <c r="BU8" s="21" t="str">
        <f>IF(BI8=0,"",INDEX(nTP_Source,BI8))</f>
        <v/>
      </c>
      <c r="BV8" s="21" t="str">
        <f>IF(BI8=0,"",INDEX(nTP_Lab_Note,BI8))</f>
        <v/>
      </c>
      <c r="BW8" s="22">
        <f t="shared" si="25"/>
        <v>0</v>
      </c>
      <c r="BX8" s="21" t="str">
        <f t="shared" si="26"/>
        <v>||</v>
      </c>
      <c r="BY8" s="22">
        <f>IF(BG8=0,0,COUNTIF(nTP_CandKey,BX8))</f>
        <v>0</v>
      </c>
      <c r="BZ8" s="22">
        <f>IF(BG8=0,0,COUNTIFS(nTP_CandKey,BX8,nTP_Err,""))</f>
        <v>0</v>
      </c>
      <c r="CA8" s="21" t="str">
        <f>IF(BY8=BZ8,"",IF(COUNTIFS(nTP_CandKey,BX8,nTP_Err,"E_INVALID_DATE")&gt;0,"; E_INVALID_DATE","")&amp;IF(COUNTIFS(nTP_CandKey,BX8,nTP_Err,"E_REVERSED_BOUNDS")&gt;0,"; E_REVERSED_BOUNDS","")&amp;IF(COUNTIFS(nTP_CandKey,BX8,nTP_Err,"E_MISSING_INPUT")&gt;0,"; E_MISSING_INPUT","")&amp;IF(COUNTIFS(nTP_CandKey,BX8,nTP_Err,"E_INVALID_UNIT")&gt;0,"; E_INVALID_UNIT",""))</f>
        <v/>
      </c>
      <c r="CB8" s="22">
        <f t="shared" si="27"/>
        <v>0</v>
      </c>
      <c r="CC8" s="22">
        <f>IF(CB8=0,0,SUMPRODUCT((nTP_CandKey=BX8)*(nTP_Err="")*(1-(nTP_HT*BN8*((nTP_OK*BO8*(nTP_UTC_n-N(BQ8))+(1-nTP_OK*BO8)*(nTP_Loc_n-N(BP8)))&lt;=0)+(1-nTP_HT*BN8)*(nTP_Hi_n&lt;N(BR8)))-(nTP_HT*BN8*((nTP_OK*BO8*(nTP_UTC_n-N(BQ8))+(1-nTP_OK*BO8)*(nTP_Loc_n-N(BP8)))&gt;0)+(1-nTP_HT*BN8)*(nTP_Lo_n&gt;N(BS8)))-((1-nTP_HT*BN8)*(nTP_Lo_n=nTP_Hi_n)*(nTP_Lo_n=N(BR8))*(N(BR8)=N(BS8))))))</f>
        <v>0</v>
      </c>
      <c r="CD8" s="22">
        <f>IF(CB8=0,0,SUMPRODUCT((nTP_CandKey=BX8)*nTP_Exact*((nTP_HT*BN8*((nTP_OK*BO8*(nTP_UTC_n-N(BQ8))+(1-nTP_OK*BO8)*(nTP_Loc_n-N(BP8)))&lt;=0)+(1-nTP_HT*BN8)*(nTP_Hi_n&lt;N(BR8)))+((1-nTP_HT*BN8)*(nTP_Lo_n=nTP_Hi_n)*(nTP_Lo_n=N(BR8))*(N(BR8)=N(BS8))))))</f>
        <v>0</v>
      </c>
      <c r="CE8" s="22">
        <f>IF(CB8=0,0,SUMPRODUCT((nTP_CandKey=BX8)*(nTP_Err="")*(1-nTP_Exact)*((nTP_HT*BN8*((nTP_OK*BO8*(nTP_UTC_n-N(BQ8))+(1-nTP_OK*BO8)*(nTP_Loc_n-N(BP8)))&lt;=0)+(1-nTP_HT*BN8)*(nTP_Hi_n&lt;N(BR8)))+((1-nTP_HT*BN8)*(nTP_Lo_n=nTP_Hi_n)*(nTP_Lo_n=N(BR8))*(N(BR8)=N(BS8))))))</f>
        <v>0</v>
      </c>
      <c r="CF8" s="22">
        <f>IF(CD8=0,0,SUMPRODUCT(MAX((nTP_CandKey=BX8)*nTP_Exact*((nTP_HT*BN8*((nTP_OK*BO8*(nTP_UTC_n-N(BQ8))+(1-nTP_OK*BO8)*(nTP_Loc_n-N(BP8)))&lt;=0)+(1-nTP_HT*BN8)*(nTP_Hi_n&lt;N(BR8)))+((1-nTP_HT*BN8)*(nTP_Lo_n=nTP_Hi_n)*(nTP_Lo_n=N(BR8))*(N(BR8)=N(BS8))))*nTP_Lo_n)))</f>
        <v>0</v>
      </c>
      <c r="CG8" s="22">
        <f>IF(CD8=0,0,SUMPRODUCT((nTP_CandKey=BX8)*nTP_Exact*((nTP_HT*BN8*((nTP_OK*BO8*(nTP_UTC_n-N(BQ8))+(1-nTP_OK*BO8)*(nTP_Loc_n-N(BP8)))&lt;=0)+(1-nTP_HT*BN8)*(nTP_Hi_n&lt;N(BR8)))+((1-nTP_HT*BN8)*(nTP_Lo_n=nTP_Hi_n)*(nTP_Lo_n=N(BR8))*(N(BR8)=N(BS8))))*(nTP_Lo_n=CF8)))</f>
        <v>0</v>
      </c>
      <c r="CH8" s="22">
        <f>IF(CD8=0,0,SUMPRODUCT((nTP_CandKey=BX8)*nTP_Exact*((nTP_HT*BN8*((nTP_OK*BO8*(nTP_UTC_n-N(BQ8))+(1-nTP_OK*BO8)*(nTP_Loc_n-N(BP8)))&lt;=0)+(1-nTP_HT*BN8)*(nTP_Hi_n&lt;N(BR8)))+((1-nTP_HT*BN8)*(nTP_Lo_n=nTP_Hi_n)*(nTP_Lo_n=N(BR8))*(N(BR8)=N(BS8))))*(1-nTP_HT)*(nTP_Lo_n=CF8)))</f>
        <v>0</v>
      </c>
      <c r="CI8" s="22">
        <f>IF(CD8=0,0,SUMPRODUCT(MAX((nTP_CandKey=BX8)*nTP_Exact*((nTP_HT*BN8*((nTP_OK*BO8*(nTP_UTC_n-N(BQ8))+(1-nTP_OK*BO8)*(nTP_Loc_n-N(BP8)))&lt;=0)+(1-nTP_HT*BN8)*(nTP_Hi_n&lt;N(BR8)))+((1-nTP_HT*BN8)*(nTP_Lo_n=nTP_Hi_n)*(nTP_Lo_n=N(BR8))*(N(BR8)=N(BS8))))*(1-nTP_HT)*nTP_Lo_n)))</f>
        <v>0</v>
      </c>
      <c r="CJ8" s="22">
        <f>IF(CD8=0,0,SUMPRODUCT(MAX((nTP_CandKey=BX8)*nTP_Exact*((nTP_HT*BN8*((nTP_OK*BO8*(nTP_UTC_n-N(BQ8))+(1-nTP_OK*BO8)*(nTP_Loc_n-N(BP8)))&lt;=0)+(1-nTP_HT*BN8)*(nTP_Hi_n&lt;N(BR8)))+((1-nTP_HT*BN8)*(nTP_Lo_n=nTP_Hi_n)*(nTP_Lo_n=N(BR8))*(N(BR8)=N(BS8))))*nTP_HT*nTP_OK*nTP_UTC_n)))</f>
        <v>0</v>
      </c>
      <c r="CK8" s="22">
        <f>IF(CJ8=0,0,SUMPRODUCT((nTP_CandKey=BX8)*nTP_Exact*((nTP_HT*BN8*((nTP_OK*BO8*(nTP_UTC_n-N(BQ8))+(1-nTP_OK*BO8)*(nTP_Loc_n-N(BP8)))&lt;=0)+(1-nTP_HT*BN8)*(nTP_Hi_n&lt;N(BR8)))+((1-nTP_HT*BN8)*(nTP_Lo_n=nTP_Hi_n)*(nTP_Lo_n=N(BR8))*(N(BR8)=N(BS8))))*nTP_HT*nTP_OK*(nTP_UTC_n=CJ8)))</f>
        <v>0</v>
      </c>
      <c r="CL8" s="22">
        <f>IF(CK8&lt;&gt;1,0,SUMPRODUCT((nTP_CandKey=BX8)*nTP_Exact*((nTP_HT*BN8*((nTP_OK*BO8*(nTP_UTC_n-N(BQ8))+(1-nTP_OK*BO8)*(nTP_Loc_n-N(BP8)))&lt;=0)+(1-nTP_HT*BN8)*(nTP_Hi_n&lt;N(BR8)))+((1-nTP_HT*BN8)*(nTP_Lo_n=nTP_Hi_n)*(nTP_Lo_n=N(BR8))*(N(BR8)=N(BS8))))*nTP_HT*nTP_OK*(nTP_UTC_n=CJ8)*nTP_Loc_n))</f>
        <v>0</v>
      </c>
      <c r="CM8" s="22">
        <f>IF(CK8&lt;&gt;1,0,SUMPRODUCT((nTP_CandKey=BX8)*nTP_Exact*((nTP_HT*BN8*((nTP_OK*BO8*(nTP_UTC_n-N(BQ8))+(1-nTP_OK*BO8)*(nTP_Loc_n-N(BP8)))&lt;=0)+(1-nTP_HT*BN8)*(nTP_Hi_n&lt;N(BR8)))+((1-nTP_HT*BN8)*(nTP_Lo_n=nTP_Hi_n)*(nTP_Lo_n=N(BR8))*(N(BR8)=N(BS8))))*nTP_HT*nTP_OK*(nTP_UTC_n=CJ8)*nTP_Lo_n))</f>
        <v>0</v>
      </c>
      <c r="CN8" s="22">
        <f>IF(CD8=0,0,SUMPRODUCT(MAX((nTP_CandKey=BX8)*nTP_Exact*((nTP_HT*BN8*((nTP_OK*BO8*(nTP_UTC_n-N(BQ8))+(1-nTP_OK*BO8)*(nTP_Loc_n-N(BP8)))&lt;=0)+(1-nTP_HT*BN8)*(nTP_Hi_n&lt;N(BR8)))+((1-nTP_HT*BN8)*(nTP_Lo_n=nTP_Hi_n)*(nTP_Lo_n=N(BR8))*(N(BR8)=N(BS8))))*nTP_HT*(1-nTP_OK)*nTP_Loc_n)))</f>
        <v>0</v>
      </c>
      <c r="CO8" s="22">
        <f>IF(CN8=0,0,SUMPRODUCT((nTP_CandKey=BX8)*nTP_Exact*((nTP_HT*BN8*((nTP_OK*BO8*(nTP_UTC_n-N(BQ8))+(1-nTP_OK*BO8)*(nTP_Loc_n-N(BP8)))&lt;=0)+(1-nTP_HT*BN8)*(nTP_Hi_n&lt;N(BR8)))+((1-nTP_HT*BN8)*(nTP_Lo_n=nTP_Hi_n)*(nTP_Lo_n=N(BR8))*(N(BR8)=N(BS8))))*nTP_HT*(1-nTP_OK)*(nTP_Loc_n=CN8)))</f>
        <v>0</v>
      </c>
      <c r="CP8" s="22">
        <f>IF(CO8&lt;&gt;1,0,SUMPRODUCT((nTP_CandKey=BX8)*nTP_Exact*((nTP_HT*BN8*((nTP_OK*BO8*(nTP_UTC_n-N(BQ8))+(1-nTP_OK*BO8)*(nTP_Loc_n-N(BP8)))&lt;=0)+(1-nTP_HT*BN8)*(nTP_Hi_n&lt;N(BR8)))+((1-nTP_HT*BN8)*(nTP_Lo_n=nTP_Hi_n)*(nTP_Lo_n=N(BR8))*(N(BR8)=N(BS8))))*nTP_HT*(1-nTP_OK)*(nTP_Loc_n=CN8)*nTP_Lo_n))</f>
        <v>0</v>
      </c>
      <c r="CQ8" s="22">
        <f>IF(CD8=0,0,SUMPRODUCT(MAX((nTP_CandKey=BX8)*nTP_Exact*((nTP_HT*BN8*((nTP_OK*BO8*(nTP_UTC_n-N(BQ8))+(1-nTP_OK*BO8)*(nTP_Loc_n-N(BP8)))&lt;=0)+(1-nTP_HT*BN8)*(nTP_Hi_n&lt;N(BR8)))+((1-nTP_HT*BN8)*(nTP_Lo_n=nTP_Hi_n)*(nTP_Lo_n=N(BR8))*(N(BR8)=N(BS8))))*nTP_HT*nTP_OK*nTP_Loc_n)))</f>
        <v>0</v>
      </c>
      <c r="CR8" s="22">
        <f t="shared" si="28"/>
        <v>0</v>
      </c>
      <c r="CS8" s="22">
        <f>IF(CR8=0,0,IF(CR8=1,MATCH(1,INDEX((nTP_CandKey=BX8)*nTP_Exact*((nTP_HT*BN8*((nTP_OK*BO8*(nTP_UTC_n-N(BQ8))+(1-nTP_OK*BO8)*(nTP_Loc_n-N(BP8)))&lt;=0)+(1-nTP_HT*BN8)*(nTP_Hi_n&lt;N(BR8)))+((1-nTP_HT*BN8)*(nTP_Lo_n=nTP_Hi_n)*(nTP_Lo_n=N(BR8))*(N(BR8)=N(BS8))))*(1-nTP_HT)*(nTP_Lo_n=CF8),0),0),IF(CR8=2,MATCH(1,INDEX((nTP_CandKey=BX8)*nTP_Exact*((nTP_HT*BN8*((nTP_OK*BO8*(nTP_UTC_n-N(BQ8))+(1-nTP_OK*BO8)*(nTP_Loc_n-N(BP8)))&lt;=0)+(1-nTP_HT*BN8)*(nTP_Hi_n&lt;N(BR8)))+((1-nTP_HT*BN8)*(nTP_Lo_n=nTP_Hi_n)*(nTP_Lo_n=N(BR8))*(N(BR8)=N(BS8))))*nTP_HT*nTP_OK*(nTP_UTC_n=CJ8),0),0),MATCH(1,INDEX((nTP_CandKey=BX8)*nTP_Exact*((nTP_HT*BN8*((nTP_OK*BO8*(nTP_UTC_n-N(BQ8))+(1-nTP_OK*BO8)*(nTP_Loc_n-N(BP8)))&lt;=0)+(1-nTP_HT*BN8)*(nTP_Hi_n&lt;N(BR8)))+((1-nTP_HT*BN8)*(nTP_Lo_n=nTP_Hi_n)*(nTP_Lo_n=N(BR8))*(N(BR8)=N(BS8))))*nTP_HT*(1-nTP_OK)*(nTP_Loc_n=CN8),0),0))))</f>
        <v>0</v>
      </c>
      <c r="CT8" s="22">
        <f>IF(CS8=0,0,INDEX(nTP_Lo_n,CS8))</f>
        <v>0</v>
      </c>
      <c r="CU8" s="22">
        <f>IF(CS8=0,0,SUMPRODUCT((nTP_CandKey=BX8)*(nTP_Err="")*(1-nTP_Exact)*((nTP_HT*BN8*((nTP_OK*BO8*(nTP_UTC_n-N(BQ8))+(1-nTP_OK*BO8)*(nTP_Loc_n-N(BP8)))&lt;=0)+(1-nTP_HT*BN8)*(nTP_Hi_n&lt;N(BR8)))+((1-nTP_HT*BN8)*(nTP_Lo_n=nTP_Hi_n)*(nTP_Lo_n=N(BR8))*(N(BR8)=N(BS8))))*(nTP_Hi_n&gt;=CT8)))</f>
        <v>0</v>
      </c>
      <c r="CV8" s="21" t="str">
        <f t="shared" si="29"/>
        <v/>
      </c>
      <c r="CW8" s="21" t="str">
        <f>IF(AND(BG8=1,CB8=1,CV8="",CS8&gt;0),INDEX(nTP_Record_ID,CS8)&amp;"","")</f>
        <v/>
      </c>
      <c r="CX8" s="21" t="str">
        <f>IF(OR(CV8="",BG8=0),"",IF(CV8="none","an administration record (last dose before onset)",IF(CV8="uncertain","the anchor record: "&amp;INDEX(nTP_Record_ID,MATCH(1,INDEX((nTP_CandKey=BX8)*(nTP_Err="")*(1-(nTP_HT*BN8*((nTP_OK*BO8*(nTP_UTC_n-N(BQ8))+(1-nTP_OK*BO8)*(nTP_Loc_n-N(BP8)))&lt;=0)+(1-nTP_HT*BN8)*(nTP_Hi_n&lt;N(BR8)))-(nTP_HT*BN8*((nTP_OK*BO8*(nTP_UTC_n-N(BQ8))+(1-nTP_OK*BO8)*(nTP_Loc_n-N(BP8)))&gt;0)+(1-nTP_HT*BN8)*(nTP_Lo_n&gt;N(BS8)))-((1-nTP_HT*BN8)*(nTP_Lo_n=nTP_Hi_n)*(nTP_Lo_n=N(BR8))*(N(BR8)=N(BS8)))),0),0))&amp;IF(CC8&gt;1," and "&amp;(CC8-1)&amp;" more","")&amp;" may fall before or after the end point, so the last dose cannot be identified from the recorded dates",IF(CV8="noneligible","the anchor record: no administration with an exact date is recorded at or before the end point",IF(CV8="tie","the anchor record: the order of the latest administrations cannot be told from the recorded dates and times","the anchor record: partial-date administration "&amp;INDEX(nTP_Record_ID,MATCH(1,INDEX((nTP_CandKey=BX8)*(nTP_Err="")*(1-nTP_Exact)*((nTP_HT*BN8*((nTP_OK*BO8*(nTP_UTC_n-N(BQ8))+(1-nTP_OK*BO8)*(nTP_Loc_n-N(BP8)))&lt;=0)+(1-nTP_HT*BN8)*(nTP_Hi_n&lt;N(BR8)))+((1-nTP_HT*BN8)*(nTP_Lo_n=nTP_Hi_n)*(nTP_Lo_n=N(BR8))*(N(BR8)=N(BS8))))*(nTP_Hi_n&gt;=CT8),0),0))&amp;" could be the last dose before the end point")))))</f>
        <v/>
      </c>
      <c r="CY8" s="22">
        <f>IF(OR(AW8=1,AJ8=""),0,IFERROR(MATCH(AX8&amp;"|"&amp;AJ8,nTP_Key,0),0))</f>
        <v>0</v>
      </c>
      <c r="CZ8" s="21">
        <f>IF(CY8=0,0,INDEX(nTP_Dup,CY8))</f>
        <v>0</v>
      </c>
      <c r="DA8" s="21" t="str">
        <f>IF(CY8=0,"",INDEX(nTP_Record_Type,CY8))</f>
        <v/>
      </c>
      <c r="DB8" s="21" t="str">
        <f>IF(CY8=0,"",INDEX(nTP_Precision,CY8))</f>
        <v/>
      </c>
      <c r="DC8" s="21" t="str">
        <f>IF(CY8=0,"",INDEX(nTP_Err,CY8))</f>
        <v/>
      </c>
      <c r="DD8" s="21">
        <f>IF(CY8=0,0,INDEX(nTP_HT,CY8))</f>
        <v>0</v>
      </c>
      <c r="DE8" s="21">
        <f>IF(CY8=0,0,INDEX(nTP_OK,CY8))</f>
        <v>0</v>
      </c>
      <c r="DF8" s="21" t="str">
        <f>IF(CY8=0,"",INDEX(nTP_Loc,CY8))</f>
        <v/>
      </c>
      <c r="DG8" s="21" t="str">
        <f>IF(CY8=0,"",INDEX(nTP_UTC,CY8))</f>
        <v/>
      </c>
      <c r="DH8" s="21" t="str">
        <f>IF(CY8=0,"",INDEX(nTP_Lo,CY8))</f>
        <v/>
      </c>
      <c r="DI8" s="21" t="str">
        <f>IF(CY8=0,"",INDEX(nTP_Hi,CY8))</f>
        <v/>
      </c>
      <c r="DJ8" s="21" t="str">
        <f>IF(CY8=0,"",INDEX(nTP_Original_Text,CY8))</f>
        <v/>
      </c>
      <c r="DK8" s="21" t="str">
        <f>IF(CY8=0,"",INDEX(nTP_Source,CY8))</f>
        <v/>
      </c>
      <c r="DL8" s="22">
        <f t="shared" si="30"/>
        <v>0</v>
      </c>
      <c r="DM8" s="21" t="str">
        <f t="shared" si="31"/>
        <v/>
      </c>
      <c r="DN8" s="21" t="str">
        <f t="shared" si="32"/>
        <v/>
      </c>
      <c r="DO8" s="21" t="str">
        <f t="shared" si="33"/>
        <v/>
      </c>
      <c r="DP8" s="21" t="str">
        <f t="shared" si="34"/>
        <v/>
      </c>
      <c r="DQ8" s="21" t="str">
        <f t="shared" si="35"/>
        <v/>
      </c>
      <c r="DR8" s="22">
        <f>IF(OR(DQ8="",I8=""),0,IF(ISNA(MATCH(I8,nLIST_Mode,0)),1,IF(AND(I8="C1",DQ8&lt;&gt;"C1"),1,IF(AND(I8="C2",DQ8="C4"),1,0))))</f>
        <v>0</v>
      </c>
      <c r="DS8" s="21" t="str">
        <f t="shared" si="36"/>
        <v/>
      </c>
      <c r="DT8" s="22">
        <f t="shared" si="37"/>
        <v>0</v>
      </c>
      <c r="DU8" s="21" t="str">
        <f>IF(DT8=0,"",IF(COUNTIFS(nTP_Case_Key,AX8,nTP_Record_Type,"MILESTONE:INTERVENTION",nTP_Err,"E_INVALID_DATE")&gt;0,"; E_INVALID_DATE","")&amp;IF(COUNTIFS(nTP_Case_Key,AX8,nTP_Record_Type,"MILESTONE:INTERVENTION",nTP_Err,"E_REVERSED_BOUNDS")&gt;0,"; E_REVERSED_BOUNDS","")&amp;IF(COUNTIFS(nTP_Case_Key,AX8,nTP_Record_Type,"MILESTONE:INTERVENTION",nTP_Err,"E_MISSING_INPUT")&gt;0,"; E_MISSING_INPUT","")&amp;IF(COUNTIFS(nTP_Case_Key,AX8,nTP_Record_Type,"MILESTONE:INTERVENTION",nTP_Err,"E_INVALID_UNIT")&gt;0,"; E_INVALID_UNIT",""))</f>
        <v/>
      </c>
      <c r="DV8" s="22">
        <f>IF(DT8=0,0,SUMPRODUCT((nMS_CaseKey=AX8)*(nMS_Type="INTERVENTION")*nMS_Undated))</f>
        <v>0</v>
      </c>
      <c r="DW8" s="21" t="str">
        <f t="shared" si="38"/>
        <v/>
      </c>
      <c r="DX8" s="21" t="str">
        <f t="shared" si="39"/>
        <v/>
      </c>
      <c r="DY8" s="22">
        <f t="shared" si="40"/>
        <v>1</v>
      </c>
      <c r="DZ8" s="21" t="str">
        <f t="shared" si="41"/>
        <v/>
      </c>
      <c r="EA8" s="21" t="str">
        <f t="shared" si="42"/>
        <v/>
      </c>
      <c r="EB8" s="21" t="str">
        <f t="shared" si="43"/>
        <v/>
      </c>
      <c r="EC8" s="21" t="str">
        <f t="shared" si="44"/>
        <v/>
      </c>
      <c r="ED8" s="22">
        <f t="shared" si="45"/>
        <v>0</v>
      </c>
      <c r="EE8" s="22">
        <f t="shared" si="46"/>
        <v>0</v>
      </c>
      <c r="EF8" s="21" t="str">
        <f>IF(ED8=0,"",IF(OR(NOT(ISNUMBER(L8)),NOT(ISNUMBER(M8))),"I_APPROXIMATE_NOT_COMPARED",IF(AND(N8&lt;&gt;"",ISNA(MATCH(N8,nLIST_ReportedUnit,0))),"E_INVALID_UNIT",IF(N8="","E_MISSING_INPUT",IF(L8&gt;M8,"E_REVERSED_BOUNDS",IF(OR(N8="weeks",N8="months",N8="years"),"I_APPROXIMATE_NOT_COMPARED",IF(DX8&lt;&gt;"","",IF(EE8=0,"I_APPROXIMATE_NOT_COMPARED",IF(AND(L8*EE8&lt;=IF(DS8="C4",EC8,IF(DS8="C1",DZ8,EA8)),M8*EE8&gt;=IF(DS8="C4",EB8,IF(DS8="C1",DZ8,EA8))),"OVERLAP","W_REPORTED_TIMING_CONFLICT")))))))))</f>
        <v/>
      </c>
      <c r="EG8" s="21" t="str">
        <f t="shared" si="47"/>
        <v/>
      </c>
      <c r="EH8" s="21" t="str">
        <f t="shared" si="48"/>
        <v/>
      </c>
      <c r="EI8" s="22">
        <f t="shared" si="49"/>
        <v>0</v>
      </c>
      <c r="EJ8" s="22">
        <f t="shared" si="50"/>
        <v>0</v>
      </c>
      <c r="EK8" s="22">
        <f t="shared" si="51"/>
        <v>0</v>
      </c>
      <c r="EL8" s="28" t="str">
        <f t="shared" si="52"/>
        <v/>
      </c>
      <c r="EM8" s="28" t="str">
        <f t="shared" si="53"/>
        <v/>
      </c>
      <c r="EN8" s="21" t="str">
        <f t="shared" si="54"/>
        <v/>
      </c>
      <c r="EO8" s="22">
        <f>IF(OR(DT8=0,DX8&lt;&gt;""),0,SUMPRODUCT((nTP_Case_Key=AX8)*(nTP_Record_Type="MILESTONE:INTERVENTION")*(nTP_Err="")*(nTP_HT*DD8*BN8*(nTP_OK*DE8*(nTP_UTC_n&gt;=N(DG8))+(1-nTP_OK*DE8)*(nTP_Loc_n&gt;=N(DF8)))*(nTP_OK*BO8*(nTP_UTC_n&lt;=N(BQ8))+(1-nTP_OK*BO8)*(nTP_Loc_n&lt;=N(BP8)))+(1-nTP_HT*DD8*BN8)*(nTP_Hi_n&gt;=N(DH8))*(nTP_Lo_n&lt;=N(BS8)))))</f>
        <v>0</v>
      </c>
      <c r="EP8" s="22">
        <f>IF(OR(DT8=0,DX8&lt;&gt;""),0,SUMPRODUCT((nTP_Case_Key=AX8)*(nTP_Role="treatment of the event")*((nTP_Record_Type="EXPOSURE_START")+(nTP_Record_Type="ADMINISTRATION"))*(nTP_Err="")*(nTP_HT*DD8*BN8*(nTP_OK*DE8*(nTP_UTC_n&gt;=N(DG8))+(1-nTP_OK*DE8)*(nTP_Loc_n&gt;=N(DF8)))*(nTP_OK*BO8*(nTP_UTC_n&lt;=N(BQ8))+(1-nTP_OK*BO8)*(nTP_Loc_n&lt;=N(BP8)))+(1-nTP_HT*DD8*BN8)*(nTP_Hi_n&gt;=N(DH8))*(nTP_Lo_n&lt;=N(BS8)))))</f>
        <v>0</v>
      </c>
      <c r="EQ8" s="22">
        <f>IF(EO8&lt;1,0,IFERROR(_xlfn.AGGREGATE(15,6,nTP_RowN/((nTP_Case_Key=AX8)*(nTP_Record_Type="MILESTONE:INTERVENTION")*(nTP_Err="")*(nTP_HT*DD8*BN8*(nTP_OK*DE8*(nTP_UTC_n&gt;=N(DG8))+(1-nTP_OK*DE8)*(nTP_Loc_n&gt;=N(DF8)))*(nTP_OK*BO8*(nTP_UTC_n&lt;=N(BQ8))+(1-nTP_OK*BO8)*(nTP_Loc_n&lt;=N(BP8)))+(1-nTP_HT*DD8*BN8)*(nTP_Hi_n&gt;=N(DH8))*(nTP_Lo_n&lt;=N(BS8)))),1),0))</f>
        <v>0</v>
      </c>
      <c r="ER8" s="22">
        <f>IF(EO8&lt;2,0,IFERROR(_xlfn.AGGREGATE(15,6,nTP_RowN/((nTP_Case_Key=AX8)*(nTP_Record_Type="MILESTONE:INTERVENTION")*(nTP_Err="")*(nTP_HT*DD8*BN8*(nTP_OK*DE8*(nTP_UTC_n&gt;=N(DG8))+(1-nTP_OK*DE8)*(nTP_Loc_n&gt;=N(DF8)))*(nTP_OK*BO8*(nTP_UTC_n&lt;=N(BQ8))+(1-nTP_OK*BO8)*(nTP_Loc_n&lt;=N(BP8)))+(1-nTP_HT*DD8*BN8)*(nTP_Hi_n&gt;=N(DH8))*(nTP_Lo_n&lt;=N(BS8)))),2),0))</f>
        <v>0</v>
      </c>
      <c r="ES8" s="22">
        <f>IF(EO8&lt;3,0,IFERROR(_xlfn.AGGREGATE(15,6,nTP_RowN/((nTP_Case_Key=AX8)*(nTP_Record_Type="MILESTONE:INTERVENTION")*(nTP_Err="")*(nTP_HT*DD8*BN8*(nTP_OK*DE8*(nTP_UTC_n&gt;=N(DG8))+(1-nTP_OK*DE8)*(nTP_Loc_n&gt;=N(DF8)))*(nTP_OK*BO8*(nTP_UTC_n&lt;=N(BQ8))+(1-nTP_OK*BO8)*(nTP_Loc_n&lt;=N(BP8)))+(1-nTP_HT*DD8*BN8)*(nTP_Hi_n&gt;=N(DH8))*(nTP_Lo_n&lt;=N(BS8)))),3),0))</f>
        <v>0</v>
      </c>
      <c r="ET8" s="22">
        <f>IF(EP8&lt;1,0,IFERROR(_xlfn.AGGREGATE(15,6,nTP_RowN/((nTP_Case_Key=AX8)*(nTP_Role="treatment of the event")*((nTP_Record_Type="EXPOSURE_START")+(nTP_Record_Type="ADMINISTRATION"))*(nTP_Err="")*(nTP_HT*DD8*BN8*(nTP_OK*DE8*(nTP_UTC_n&gt;=N(DG8))+(1-nTP_OK*DE8)*(nTP_Loc_n&gt;=N(DF8)))*(nTP_OK*BO8*(nTP_UTC_n&lt;=N(BQ8))+(1-nTP_OK*BO8)*(nTP_Loc_n&lt;=N(BP8)))+(1-nTP_HT*DD8*BN8)*(nTP_Hi_n&gt;=N(DH8))*(nTP_Lo_n&lt;=N(BS8)))),1),0))</f>
        <v>0</v>
      </c>
      <c r="EU8" s="22">
        <f>IF(EP8&lt;2,0,IFERROR(_xlfn.AGGREGATE(15,6,nTP_RowN/((nTP_Case_Key=AX8)*(nTP_Role="treatment of the event")*((nTP_Record_Type="EXPOSURE_START")+(nTP_Record_Type="ADMINISTRATION"))*(nTP_Err="")*(nTP_HT*DD8*BN8*(nTP_OK*DE8*(nTP_UTC_n&gt;=N(DG8))+(1-nTP_OK*DE8)*(nTP_Loc_n&gt;=N(DF8)))*(nTP_OK*BO8*(nTP_UTC_n&lt;=N(BQ8))+(1-nTP_OK*BO8)*(nTP_Loc_n&lt;=N(BP8)))+(1-nTP_HT*DD8*BN8)*(nTP_Hi_n&gt;=N(DH8))*(nTP_Lo_n&lt;=N(BS8)))),2),0))</f>
        <v>0</v>
      </c>
      <c r="EV8" s="22">
        <f>IF(EP8&lt;3,0,IFERROR(_xlfn.AGGREGATE(15,6,nTP_RowN/((nTP_Case_Key=AX8)*(nTP_Role="treatment of the event")*((nTP_Record_Type="EXPOSURE_START")+(nTP_Record_Type="ADMINISTRATION"))*(nTP_Err="")*(nTP_HT*DD8*BN8*(nTP_OK*DE8*(nTP_UTC_n&gt;=N(DG8))+(1-nTP_OK*DE8)*(nTP_Loc_n&gt;=N(DF8)))*(nTP_OK*BO8*(nTP_UTC_n&lt;=N(BQ8))+(1-nTP_OK*BO8)*(nTP_Loc_n&lt;=N(BP8)))+(1-nTP_HT*DD8*BN8)*(nTP_Hi_n&gt;=N(DH8))*(nTP_Lo_n&lt;=N(BS8)))),3),0))</f>
        <v>0</v>
      </c>
      <c r="EW8" s="22">
        <f>IF(CE8&lt;1,0,IFERROR(_xlfn.AGGREGATE(15,6,nTP_RowN/((nTP_CandKey=BX8)*(nTP_Err="")*(1-nTP_Exact)*((nTP_HT*BN8*((nTP_OK*BO8*(nTP_UTC_n-N(BQ8))+(1-nTP_OK*BO8)*(nTP_Loc_n-N(BP8)))&lt;=0)+(1-nTP_HT*BN8)*(nTP_Hi_n&lt;N(BR8)))+((1-nTP_HT*BN8)*(nTP_Lo_n=nTP_Hi_n)*(nTP_Lo_n=N(BR8))*(N(BR8)=N(BS8))))),1),0))</f>
        <v>0</v>
      </c>
      <c r="EX8" s="22">
        <f>IF(CE8&lt;2,0,IFERROR(_xlfn.AGGREGATE(15,6,nTP_RowN/((nTP_CandKey=BX8)*(nTP_Err="")*(1-nTP_Exact)*((nTP_HT*BN8*((nTP_OK*BO8*(nTP_UTC_n-N(BQ8))+(1-nTP_OK*BO8)*(nTP_Loc_n-N(BP8)))&lt;=0)+(1-nTP_HT*BN8)*(nTP_Hi_n&lt;N(BR8)))+((1-nTP_HT*BN8)*(nTP_Lo_n=nTP_Hi_n)*(nTP_Lo_n=N(BR8))*(N(BR8)=N(BS8))))),2),0))</f>
        <v>0</v>
      </c>
      <c r="EY8" s="22">
        <f>IF(CE8&lt;3,0,IFERROR(_xlfn.AGGREGATE(15,6,nTP_RowN/((nTP_CandKey=BX8)*(nTP_Err="")*(1-nTP_Exact)*((nTP_HT*BN8*((nTP_OK*BO8*(nTP_UTC_n-N(BQ8))+(1-nTP_OK*BO8)*(nTP_Loc_n-N(BP8)))&lt;=0)+(1-nTP_HT*BN8)*(nTP_Hi_n&lt;N(BR8)))+((1-nTP_HT*BN8)*(nTP_Lo_n=nTP_Hi_n)*(nTP_Lo_n=N(BR8))*(N(BR8)=N(BS8))))),3),0))</f>
        <v>0</v>
      </c>
      <c r="EZ8" s="21" t="str">
        <f>IF(EO8=0,"",MID(IF(EQ8&gt;0,"; "&amp;INDEX(nTP_Record_ID,EQ8)&amp;IF(INDEX(nTP_Label,EQ8)="",""," ("&amp;INDEX(nTP_Label,EQ8)&amp;")"),"")&amp;IF(ER8&gt;0,"; "&amp;INDEX(nTP_Record_ID,ER8)&amp;IF(INDEX(nTP_Label,ER8)="",""," ("&amp;INDEX(nTP_Label,ER8)&amp;")"),"")&amp;IF(ES8&gt;0,"; "&amp;INDEX(nTP_Record_ID,ES8)&amp;IF(INDEX(nTP_Label,ES8)="",""," ("&amp;INDEX(nTP_Label,ES8)&amp;")"),"")&amp;IF(EO8&gt;3,"; and "&amp;(EO8-3)&amp;" more",""),3,999))</f>
        <v/>
      </c>
      <c r="FA8" s="21" t="str">
        <f>IF(EO8=0,"",MID(IF(EQ8&gt;0,"; "&amp;INDEX(nTP_Record_ID,EQ8),"")&amp;IF(ER8&gt;0,"; "&amp;INDEX(nTP_Record_ID,ER8),"")&amp;IF(ES8&gt;0,"; "&amp;INDEX(nTP_Record_ID,ES8),"")&amp;IF(EO8&gt;3,"; and "&amp;(EO8-3)&amp;" more",""),3,999))</f>
        <v/>
      </c>
      <c r="FB8" s="21" t="str">
        <f>IF(EP8=0,"",MID(IF(ET8&gt;0,"; "&amp;INDEX(nTP_Record_ID,ET8)&amp;IF(INDEX(nTP_Label,ET8)="",""," ("&amp;INDEX(nTP_Label,ET8)&amp;")"),"")&amp;IF(EU8&gt;0,"; "&amp;INDEX(nTP_Record_ID,EU8)&amp;IF(INDEX(nTP_Label,EU8)="",""," ("&amp;INDEX(nTP_Label,EU8)&amp;")"),"")&amp;IF(EV8&gt;0,"; "&amp;INDEX(nTP_Record_ID,EV8)&amp;IF(INDEX(nTP_Label,EV8)="",""," ("&amp;INDEX(nTP_Label,EV8)&amp;")"),"")&amp;IF(EP8&gt;3,"; and "&amp;(EP8-3)&amp;" more",""),3,999))</f>
        <v/>
      </c>
      <c r="FC8" s="21" t="str">
        <f>IF(CE8=0,"",MID(IF(EW8&gt;0,"; "&amp;INDEX(nTP_Record_ID,EW8),"")&amp;IF(EX8&gt;0,"; "&amp;INDEX(nTP_Record_ID,EX8),"")&amp;IF(EY8&gt;0,"; "&amp;INDEX(nTP_Record_ID,EY8),"")&amp;IF(CE8&gt;3,"; and "&amp;(CE8-3)&amp;" more",""),3,999))</f>
        <v/>
      </c>
      <c r="FD8" s="22">
        <f t="shared" si="55"/>
        <v>0</v>
      </c>
      <c r="FE8" s="22">
        <f t="shared" si="56"/>
        <v>0</v>
      </c>
      <c r="FF8" s="22">
        <f t="shared" si="57"/>
        <v>0</v>
      </c>
      <c r="FG8" s="22">
        <f t="shared" si="58"/>
        <v>0</v>
      </c>
      <c r="FH8" s="22">
        <f t="shared" si="59"/>
        <v>0</v>
      </c>
      <c r="FI8" s="22">
        <f t="shared" si="60"/>
        <v>0</v>
      </c>
      <c r="FJ8" s="22">
        <f t="shared" si="61"/>
        <v>0</v>
      </c>
      <c r="FK8" s="22">
        <f t="shared" si="62"/>
        <v>0</v>
      </c>
    </row>
    <row r="9" spans="1:167" x14ac:dyDescent="0.2">
      <c r="A9" s="10"/>
      <c r="B9" s="10"/>
      <c r="C9" s="12"/>
      <c r="D9" s="10"/>
      <c r="E9" s="17"/>
      <c r="F9" s="10"/>
      <c r="G9" s="10"/>
      <c r="H9" s="10"/>
      <c r="I9" s="17"/>
      <c r="J9" s="17"/>
      <c r="K9" s="10"/>
      <c r="L9" s="17"/>
      <c r="M9" s="17"/>
      <c r="N9" s="17"/>
      <c r="O9" s="10"/>
      <c r="P9" s="15"/>
      <c r="Q9" s="15"/>
      <c r="R9" s="10"/>
      <c r="S9" s="10"/>
      <c r="T9" s="21" t="str">
        <f t="shared" si="0"/>
        <v/>
      </c>
      <c r="U9" s="21" t="str">
        <f t="shared" si="1"/>
        <v/>
      </c>
      <c r="V9" s="21" t="str">
        <f t="shared" si="2"/>
        <v/>
      </c>
      <c r="W9" s="21" t="str">
        <f t="shared" si="3"/>
        <v/>
      </c>
      <c r="X9" s="21" t="str">
        <f t="shared" si="4"/>
        <v/>
      </c>
      <c r="Y9" s="21" t="str">
        <f t="shared" si="5"/>
        <v/>
      </c>
      <c r="Z9" s="21" t="str">
        <f t="shared" si="6"/>
        <v/>
      </c>
      <c r="AA9" s="21" t="str">
        <f t="shared" si="7"/>
        <v/>
      </c>
      <c r="AB9" s="21" t="str">
        <f t="shared" si="8"/>
        <v/>
      </c>
      <c r="AC9" s="21" t="str">
        <f t="shared" si="9"/>
        <v/>
      </c>
      <c r="AD9" s="21" t="str">
        <f>IF(AW9=1,"",MID(IF(ISNUMBER(SEARCH("E_INVALID_DATE",EG9))," | E_INVALID_DATE: "&amp;SUBSTITUTE(IFERROR(INDEX(nMSG_Text,MATCH("E_INVALID_DATE",nMSG_Code,0)),""),"[input]",""),"")&amp;IF(ISNUMBER(SEARCH("E_REVERSED_BOUNDS",EG9))," | E_REVERSED_BOUNDS: "&amp;SUBSTITUTE(IFERROR(INDEX(nMSG_Text,MATCH("E_REVERSED_BOUNDS",nMSG_Code,0)),""),"[input]",""),"")&amp;IF(ISNUMBER(SEARCH("E_DUPLICATE_ID",EG9))," | E_DUPLICATE_ID: "&amp;SUBSTITUTE(IFERROR(INDEX(nMSG_Text,MATCH("E_DUPLICATE_ID",nMSG_Code,0)),""),"[input]",""),"")&amp;IF(ISNUMBER(SEARCH("E_MISSING_LINK",EG9))," | E_MISSING_LINK: "&amp;SUBSTITUTE(IFERROR(INDEX(nMSG_Text,MATCH("E_MISSING_LINK",nMSG_Code,0)),""),"[input]",""),"")&amp;IF(ISNUMBER(SEARCH("E_MISSING_INPUT",EG9))," | E_MISSING_INPUT: "&amp;SUBSTITUTE(IFERROR(INDEX(nMSG_Text,MATCH("E_MISSING_INPUT",nMSG_Code,0)),""),"[input]",IF(EH9="","an input",EH9)),"")&amp;IF(ISNUMBER(SEARCH("E_INVALID_UNIT",EG9))," | E_INVALID_UNIT: "&amp;SUBSTITUTE(IFERROR(INDEX(nMSG_Text,MATCH("E_INVALID_UNIT",nMSG_Code,0)),""),"[input]",""),"")&amp;IF(FD9=1," | W_TZ_UNKNOWN: "&amp;SUBSTITUTE(IFERROR(INDEX(nMSG_Text,MATCH("W_TZ_UNKNOWN",nMSG_Code,0)),""),"[input]",""),"")&amp;IF(FE9=1," | W_SAME_DATE_ORDER_UNKNOWN: "&amp;SUBSTITUTE(IFERROR(INDEX(nMSG_Text,MATCH("W_SAME_DATE_ORDER_UNKNOWN",nMSG_Code,0)),""),"[input]",""),"")&amp;IF(FF9=1," | W_SEQUENCE_UNCERTAIN: "&amp;SUBSTITUTE(IFERROR(INDEX(nMSG_Text,MATCH("W_SEQUENCE_UNCERTAIN",nMSG_Code,0)),""),"[input]",""),"")&amp;IF(FG9=1," | W_ADMIN_SAME_DATE_AS_ONSET: "&amp;SUBSTITUTE(IFERROR(INDEX(nMSG_Text,MATCH("W_ADMIN_SAME_DATE_AS_ONSET",nMSG_Code,0)),""),"[input]",""),"")&amp;IF(FH9=1," | W_REPORTED_TIMING_CONFLICT: "&amp;SUBSTITUTE(IFERROR(INDEX(nMSG_Text,MATCH("W_REPORTED_TIMING_CONFLICT",nMSG_Code,0)),""),"[input]",""),"")&amp;IF(FI9=1," | W_INTERVENTION_BEFORE_RECOVERY: "&amp;SUBSTITUTE(IFERROR(INDEX(nMSG_Text,MATCH("W_INTERVENTION_BEFORE_RECOVERY",nMSG_Code,0)),""),"[input]",""),"")&amp;IF(FJ9=1," | I_TREATMENT_DAY_UNDEFINED: "&amp;SUBSTITUTE(IFERROR(INDEX(nMSG_Text,MATCH("I_TREATMENT_DAY_UNDEFINED",nMSG_Code,0)),""),"[input]",""),"")&amp;IF(FK9=1," | I_APPROXIMATE_NOT_COMPARED: "&amp;SUBSTITUTE(IFERROR(INDEX(nMSG_Text,MATCH("I_APPROXIMATE_NOT_COMPARED",nMSG_Code,0)),""),"[input]",""),""),4,9999))</f>
        <v/>
      </c>
      <c r="AE9" s="21" t="str">
        <f t="shared" si="10"/>
        <v/>
      </c>
      <c r="AF9" s="21" t="str">
        <f t="shared" si="11"/>
        <v/>
      </c>
      <c r="AG9" s="21" t="str">
        <f>IF(EN9="","",MID(IF(ISNUMBER(SEARCH("E_REVERSED_BOUNDS",EN9))," | E_REVERSED_BOUNDS: "&amp;SUBSTITUTE(IFERROR(INDEX(nMSG_Text,MATCH("E_REVERSED_BOUNDS",nMSG_Code,0)),""),"[input]",""),"")&amp;IF(ISNUMBER(SEARCH("E_MISSING_INPUT",EN9))," | E_MISSING_INPUT: "&amp;SUBSTITUTE(IFERROR(INDEX(nMSG_Text,MATCH("E_MISSING_INPUT",nMSG_Code,0)),""),"[input]",IF("the source of the constraint"="","an input","the source of the constraint")),""),4,999))</f>
        <v/>
      </c>
      <c r="AH9" s="21" t="str">
        <f t="shared" si="12"/>
        <v/>
      </c>
      <c r="AI9" s="21" t="str">
        <f t="shared" si="13"/>
        <v/>
      </c>
      <c r="AJ9" s="21" t="str">
        <f t="shared" si="14"/>
        <v/>
      </c>
      <c r="AK9" s="21" t="str">
        <f t="shared" si="15"/>
        <v/>
      </c>
      <c r="AL9" s="21" t="str">
        <f>IF(CY9=0,"",INDEX(nTP_ISO,CY9))</f>
        <v/>
      </c>
      <c r="AM9" s="21" t="str">
        <f>IF(CY9=0,"",INDEX(nTP_Display,CY9))</f>
        <v/>
      </c>
      <c r="AN9" s="21" t="str">
        <f>IF(BI9=0,"",INDEX(nTP_ISO,BI9))</f>
        <v/>
      </c>
      <c r="AO9" s="21" t="str">
        <f>IF(BI9=0,"",INDEX(nTP_Display,BI9))</f>
        <v/>
      </c>
      <c r="AP9" s="21" t="str">
        <f>IF(BA9=0,"",INDEX(nLNK_Exposure_Episode_ID,BA9)&amp;"")</f>
        <v/>
      </c>
      <c r="AQ9" s="21" t="str">
        <f>IF(BA9=0,"",INDEX(nLNK_Event_Episode_ID,BA9)&amp;"")</f>
        <v/>
      </c>
      <c r="AR9" s="21" t="str">
        <f t="shared" si="16"/>
        <v/>
      </c>
      <c r="AS9" s="21" t="str">
        <f>IF(EI9=0,"",MID(IF(DT9=1," | Recovery interval (C7) computed with "&amp;DS9&amp;".","")&amp;IF(BG9=1," | Anchor selected under C5 (CALC-SPEC 1.1): latest administration with an exact date or time at or before "&amp;IF(BH9=1,"onset","the end point")&amp;" ("&amp;AJ9&amp;"), ordered in UTC when offsets are known; later administrations are never selected.","")&amp;IF(AND(BG9=1,CE9&gt;0)," | Partial-date administrations wholly before the selected one were not candidates: "&amp;FC9&amp;".","")&amp;IF(BV9&lt;&gt;""," | "&amp;BV9,"")&amp;IF(AND(DS9="C2",EA9=0,DZ9&lt;&gt;"")," | Same calendar date; both times are known, so C1 decides the order ("&amp;AA9&amp;").","")&amp;IF(AND(DS9="C2",DD9*BN9=1,DT9=0)," | Calendar-date difference from the recorded local dates; it is never described as elapsed days.","")&amp;IF(AND(DS9="C4",DT9=0)," | Bounds are treated as independent; no single date is imputed from them.","")&amp;IF(EJ9=1," | Treatment day under the inclusive convention (C3); never written to E2B fields automatically.","")&amp;IF(AND(DS9="C4",DT9=0,EK9=0)," | No constraint applied.","")&amp;IF(AND(DS9="C4",EK9=1)," | Constraint applied to the anchor bounds: "&amp;IF(ISNUMBER(P9),"not before "&amp;DAY(P9)&amp;" "&amp;INDEX(nLIST_Months,MONTH(P9))&amp;" "&amp;YEAR(P9),"")&amp;IF(AND(ISNUMBER(P9),ISNUMBER(Q9)),", ","")&amp;IF(ISNUMBER(Q9),"not after "&amp;DAY(Q9)&amp;" "&amp;INDEX(nLIST_Months,MONTH(Q9))&amp;" "&amp;YEAR(Q9),"")&amp;". Source: "&amp;IF(R9="","not recorded",R9)&amp;IF(EN9="",". Constrained result shown beside the unconstrained one.",". Constrained result blocked ("&amp;EN9&amp;")."),"")&amp;IF(DT9=1,IF(EO9&gt;0," | Intervention recorded between cessation and recovery (ends included): "&amp;EZ9&amp;"."," | No intervention is recorded between cessation and recovery; absence of a record is not evidence that none was given."),"")&amp;IF(AND(DT9=1,DV9&gt;0)," | Intervention recorded without a date, so whether it came before recovery is unknown: "&amp;INDEX(nMS_Milestone_ID,MATCH(1,INDEX((nMS_CaseKey=AX9)*(nMS_Type="INTERVENTION")*nMS_Undated,0),0))&amp;IF(DV9&gt;1," and "&amp;(DV9-1)&amp;" more","")&amp;".","")&amp;IF(AND(DT9=1,EP9&gt;0)," | Not counted as interventions, because they are recorded as exposures rather than as intervention milestones (nothing is inferred): "&amp;FB9&amp;". If treatment was given, record it as an intervention milestone.",""),4,9999))</f>
        <v/>
      </c>
      <c r="AT9" s="21" t="str">
        <f t="shared" si="17"/>
        <v/>
      </c>
      <c r="AU9" s="21" t="str">
        <f t="shared" si="18"/>
        <v/>
      </c>
      <c r="AV9" s="21" t="str">
        <f t="shared" si="19"/>
        <v/>
      </c>
      <c r="AW9" s="22">
        <f t="shared" si="20"/>
        <v>1</v>
      </c>
      <c r="AX9" s="21" t="str">
        <f t="shared" si="21"/>
        <v>|</v>
      </c>
      <c r="AY9" s="21" t="str">
        <f t="shared" si="22"/>
        <v/>
      </c>
      <c r="AZ9" s="22">
        <f>IF(AY9="",0,COUNTIF(nINT_Key,AY9))</f>
        <v>0</v>
      </c>
      <c r="BA9" s="22">
        <f>IF(D9="",0,IFERROR(MATCH(AX9&amp;"|"&amp;D9,nLNK_Key,0),0))</f>
        <v>0</v>
      </c>
      <c r="BB9" s="22">
        <f>IF(BA9=0,1,INDEX(nLNK_Exp_Found,BA9))</f>
        <v>1</v>
      </c>
      <c r="BC9" s="22">
        <f>IF(BA9=0,1,INDEX(nLNK_Evt_Found,BA9))</f>
        <v>1</v>
      </c>
      <c r="BD9" s="22">
        <f>IF(AP9="",0,COUNTIF(nEXP_Key,AX9&amp;"|"&amp;AP9))</f>
        <v>0</v>
      </c>
      <c r="BE9" s="22">
        <f>IF(AQ9="",0,COUNTIF(nEVT_Key,AX9&amp;"|"&amp;AQ9))</f>
        <v>0</v>
      </c>
      <c r="BF9" s="22">
        <f>IF(ISNA(MATCH(E9,nLIST_AnchorType,0)),0,1)</f>
        <v>0</v>
      </c>
      <c r="BG9" s="22">
        <f t="shared" si="23"/>
        <v>0</v>
      </c>
      <c r="BH9" s="22">
        <f t="shared" si="24"/>
        <v>0</v>
      </c>
      <c r="BI9" s="22">
        <f>IF(OR(AW9=1,AK9=""),0,IFERROR(MATCH(AX9&amp;"|"&amp;AK9,nTP_Key,0),0))</f>
        <v>0</v>
      </c>
      <c r="BJ9" s="21">
        <f>IF(BI9=0,0,INDEX(nTP_Dup,BI9))</f>
        <v>0</v>
      </c>
      <c r="BK9" s="21" t="str">
        <f>IF(BI9=0,"",INDEX(nTP_Record_Type,BI9))</f>
        <v/>
      </c>
      <c r="BL9" s="21" t="str">
        <f>IF(BI9=0,"",INDEX(nTP_Precision,BI9))</f>
        <v/>
      </c>
      <c r="BM9" s="21" t="str">
        <f>IF(BI9=0,"",INDEX(nTP_Err,BI9))</f>
        <v/>
      </c>
      <c r="BN9" s="21">
        <f>IF(BI9=0,0,INDEX(nTP_HT,BI9))</f>
        <v>0</v>
      </c>
      <c r="BO9" s="21">
        <f>IF(BI9=0,0,INDEX(nTP_OK,BI9))</f>
        <v>0</v>
      </c>
      <c r="BP9" s="21" t="str">
        <f>IF(BI9=0,"",INDEX(nTP_Loc,BI9))</f>
        <v/>
      </c>
      <c r="BQ9" s="21" t="str">
        <f>IF(BI9=0,"",INDEX(nTP_UTC,BI9))</f>
        <v/>
      </c>
      <c r="BR9" s="21" t="str">
        <f>IF(BI9=0,"",INDEX(nTP_Lo,BI9))</f>
        <v/>
      </c>
      <c r="BS9" s="21" t="str">
        <f>IF(BI9=0,"",INDEX(nTP_Hi,BI9))</f>
        <v/>
      </c>
      <c r="BT9" s="21" t="str">
        <f>IF(BI9=0,"",INDEX(nTP_Original_Text,BI9))</f>
        <v/>
      </c>
      <c r="BU9" s="21" t="str">
        <f>IF(BI9=0,"",INDEX(nTP_Source,BI9))</f>
        <v/>
      </c>
      <c r="BV9" s="21" t="str">
        <f>IF(BI9=0,"",INDEX(nTP_Lab_Note,BI9))</f>
        <v/>
      </c>
      <c r="BW9" s="22">
        <f t="shared" si="25"/>
        <v>0</v>
      </c>
      <c r="BX9" s="21" t="str">
        <f t="shared" si="26"/>
        <v>||</v>
      </c>
      <c r="BY9" s="22">
        <f>IF(BG9=0,0,COUNTIF(nTP_CandKey,BX9))</f>
        <v>0</v>
      </c>
      <c r="BZ9" s="22">
        <f>IF(BG9=0,0,COUNTIFS(nTP_CandKey,BX9,nTP_Err,""))</f>
        <v>0</v>
      </c>
      <c r="CA9" s="21" t="str">
        <f>IF(BY9=BZ9,"",IF(COUNTIFS(nTP_CandKey,BX9,nTP_Err,"E_INVALID_DATE")&gt;0,"; E_INVALID_DATE","")&amp;IF(COUNTIFS(nTP_CandKey,BX9,nTP_Err,"E_REVERSED_BOUNDS")&gt;0,"; E_REVERSED_BOUNDS","")&amp;IF(COUNTIFS(nTP_CandKey,BX9,nTP_Err,"E_MISSING_INPUT")&gt;0,"; E_MISSING_INPUT","")&amp;IF(COUNTIFS(nTP_CandKey,BX9,nTP_Err,"E_INVALID_UNIT")&gt;0,"; E_INVALID_UNIT",""))</f>
        <v/>
      </c>
      <c r="CB9" s="22">
        <f t="shared" si="27"/>
        <v>0</v>
      </c>
      <c r="CC9" s="22">
        <f>IF(CB9=0,0,SUMPRODUCT((nTP_CandKey=BX9)*(nTP_Err="")*(1-(nTP_HT*BN9*((nTP_OK*BO9*(nTP_UTC_n-N(BQ9))+(1-nTP_OK*BO9)*(nTP_Loc_n-N(BP9)))&lt;=0)+(1-nTP_HT*BN9)*(nTP_Hi_n&lt;N(BR9)))-(nTP_HT*BN9*((nTP_OK*BO9*(nTP_UTC_n-N(BQ9))+(1-nTP_OK*BO9)*(nTP_Loc_n-N(BP9)))&gt;0)+(1-nTP_HT*BN9)*(nTP_Lo_n&gt;N(BS9)))-((1-nTP_HT*BN9)*(nTP_Lo_n=nTP_Hi_n)*(nTP_Lo_n=N(BR9))*(N(BR9)=N(BS9))))))</f>
        <v>0</v>
      </c>
      <c r="CD9" s="22">
        <f>IF(CB9=0,0,SUMPRODUCT((nTP_CandKey=BX9)*nTP_Exact*((nTP_HT*BN9*((nTP_OK*BO9*(nTP_UTC_n-N(BQ9))+(1-nTP_OK*BO9)*(nTP_Loc_n-N(BP9)))&lt;=0)+(1-nTP_HT*BN9)*(nTP_Hi_n&lt;N(BR9)))+((1-nTP_HT*BN9)*(nTP_Lo_n=nTP_Hi_n)*(nTP_Lo_n=N(BR9))*(N(BR9)=N(BS9))))))</f>
        <v>0</v>
      </c>
      <c r="CE9" s="22">
        <f>IF(CB9=0,0,SUMPRODUCT((nTP_CandKey=BX9)*(nTP_Err="")*(1-nTP_Exact)*((nTP_HT*BN9*((nTP_OK*BO9*(nTP_UTC_n-N(BQ9))+(1-nTP_OK*BO9)*(nTP_Loc_n-N(BP9)))&lt;=0)+(1-nTP_HT*BN9)*(nTP_Hi_n&lt;N(BR9)))+((1-nTP_HT*BN9)*(nTP_Lo_n=nTP_Hi_n)*(nTP_Lo_n=N(BR9))*(N(BR9)=N(BS9))))))</f>
        <v>0</v>
      </c>
      <c r="CF9" s="22">
        <f>IF(CD9=0,0,SUMPRODUCT(MAX((nTP_CandKey=BX9)*nTP_Exact*((nTP_HT*BN9*((nTP_OK*BO9*(nTP_UTC_n-N(BQ9))+(1-nTP_OK*BO9)*(nTP_Loc_n-N(BP9)))&lt;=0)+(1-nTP_HT*BN9)*(nTP_Hi_n&lt;N(BR9)))+((1-nTP_HT*BN9)*(nTP_Lo_n=nTP_Hi_n)*(nTP_Lo_n=N(BR9))*(N(BR9)=N(BS9))))*nTP_Lo_n)))</f>
        <v>0</v>
      </c>
      <c r="CG9" s="22">
        <f>IF(CD9=0,0,SUMPRODUCT((nTP_CandKey=BX9)*nTP_Exact*((nTP_HT*BN9*((nTP_OK*BO9*(nTP_UTC_n-N(BQ9))+(1-nTP_OK*BO9)*(nTP_Loc_n-N(BP9)))&lt;=0)+(1-nTP_HT*BN9)*(nTP_Hi_n&lt;N(BR9)))+((1-nTP_HT*BN9)*(nTP_Lo_n=nTP_Hi_n)*(nTP_Lo_n=N(BR9))*(N(BR9)=N(BS9))))*(nTP_Lo_n=CF9)))</f>
        <v>0</v>
      </c>
      <c r="CH9" s="22">
        <f>IF(CD9=0,0,SUMPRODUCT((nTP_CandKey=BX9)*nTP_Exact*((nTP_HT*BN9*((nTP_OK*BO9*(nTP_UTC_n-N(BQ9))+(1-nTP_OK*BO9)*(nTP_Loc_n-N(BP9)))&lt;=0)+(1-nTP_HT*BN9)*(nTP_Hi_n&lt;N(BR9)))+((1-nTP_HT*BN9)*(nTP_Lo_n=nTP_Hi_n)*(nTP_Lo_n=N(BR9))*(N(BR9)=N(BS9))))*(1-nTP_HT)*(nTP_Lo_n=CF9)))</f>
        <v>0</v>
      </c>
      <c r="CI9" s="22">
        <f>IF(CD9=0,0,SUMPRODUCT(MAX((nTP_CandKey=BX9)*nTP_Exact*((nTP_HT*BN9*((nTP_OK*BO9*(nTP_UTC_n-N(BQ9))+(1-nTP_OK*BO9)*(nTP_Loc_n-N(BP9)))&lt;=0)+(1-nTP_HT*BN9)*(nTP_Hi_n&lt;N(BR9)))+((1-nTP_HT*BN9)*(nTP_Lo_n=nTP_Hi_n)*(nTP_Lo_n=N(BR9))*(N(BR9)=N(BS9))))*(1-nTP_HT)*nTP_Lo_n)))</f>
        <v>0</v>
      </c>
      <c r="CJ9" s="22">
        <f>IF(CD9=0,0,SUMPRODUCT(MAX((nTP_CandKey=BX9)*nTP_Exact*((nTP_HT*BN9*((nTP_OK*BO9*(nTP_UTC_n-N(BQ9))+(1-nTP_OK*BO9)*(nTP_Loc_n-N(BP9)))&lt;=0)+(1-nTP_HT*BN9)*(nTP_Hi_n&lt;N(BR9)))+((1-nTP_HT*BN9)*(nTP_Lo_n=nTP_Hi_n)*(nTP_Lo_n=N(BR9))*(N(BR9)=N(BS9))))*nTP_HT*nTP_OK*nTP_UTC_n)))</f>
        <v>0</v>
      </c>
      <c r="CK9" s="22">
        <f>IF(CJ9=0,0,SUMPRODUCT((nTP_CandKey=BX9)*nTP_Exact*((nTP_HT*BN9*((nTP_OK*BO9*(nTP_UTC_n-N(BQ9))+(1-nTP_OK*BO9)*(nTP_Loc_n-N(BP9)))&lt;=0)+(1-nTP_HT*BN9)*(nTP_Hi_n&lt;N(BR9)))+((1-nTP_HT*BN9)*(nTP_Lo_n=nTP_Hi_n)*(nTP_Lo_n=N(BR9))*(N(BR9)=N(BS9))))*nTP_HT*nTP_OK*(nTP_UTC_n=CJ9)))</f>
        <v>0</v>
      </c>
      <c r="CL9" s="22">
        <f>IF(CK9&lt;&gt;1,0,SUMPRODUCT((nTP_CandKey=BX9)*nTP_Exact*((nTP_HT*BN9*((nTP_OK*BO9*(nTP_UTC_n-N(BQ9))+(1-nTP_OK*BO9)*(nTP_Loc_n-N(BP9)))&lt;=0)+(1-nTP_HT*BN9)*(nTP_Hi_n&lt;N(BR9)))+((1-nTP_HT*BN9)*(nTP_Lo_n=nTP_Hi_n)*(nTP_Lo_n=N(BR9))*(N(BR9)=N(BS9))))*nTP_HT*nTP_OK*(nTP_UTC_n=CJ9)*nTP_Loc_n))</f>
        <v>0</v>
      </c>
      <c r="CM9" s="22">
        <f>IF(CK9&lt;&gt;1,0,SUMPRODUCT((nTP_CandKey=BX9)*nTP_Exact*((nTP_HT*BN9*((nTP_OK*BO9*(nTP_UTC_n-N(BQ9))+(1-nTP_OK*BO9)*(nTP_Loc_n-N(BP9)))&lt;=0)+(1-nTP_HT*BN9)*(nTP_Hi_n&lt;N(BR9)))+((1-nTP_HT*BN9)*(nTP_Lo_n=nTP_Hi_n)*(nTP_Lo_n=N(BR9))*(N(BR9)=N(BS9))))*nTP_HT*nTP_OK*(nTP_UTC_n=CJ9)*nTP_Lo_n))</f>
        <v>0</v>
      </c>
      <c r="CN9" s="22">
        <f>IF(CD9=0,0,SUMPRODUCT(MAX((nTP_CandKey=BX9)*nTP_Exact*((nTP_HT*BN9*((nTP_OK*BO9*(nTP_UTC_n-N(BQ9))+(1-nTP_OK*BO9)*(nTP_Loc_n-N(BP9)))&lt;=0)+(1-nTP_HT*BN9)*(nTP_Hi_n&lt;N(BR9)))+((1-nTP_HT*BN9)*(nTP_Lo_n=nTP_Hi_n)*(nTP_Lo_n=N(BR9))*(N(BR9)=N(BS9))))*nTP_HT*(1-nTP_OK)*nTP_Loc_n)))</f>
        <v>0</v>
      </c>
      <c r="CO9" s="22">
        <f>IF(CN9=0,0,SUMPRODUCT((nTP_CandKey=BX9)*nTP_Exact*((nTP_HT*BN9*((nTP_OK*BO9*(nTP_UTC_n-N(BQ9))+(1-nTP_OK*BO9)*(nTP_Loc_n-N(BP9)))&lt;=0)+(1-nTP_HT*BN9)*(nTP_Hi_n&lt;N(BR9)))+((1-nTP_HT*BN9)*(nTP_Lo_n=nTP_Hi_n)*(nTP_Lo_n=N(BR9))*(N(BR9)=N(BS9))))*nTP_HT*(1-nTP_OK)*(nTP_Loc_n=CN9)))</f>
        <v>0</v>
      </c>
      <c r="CP9" s="22">
        <f>IF(CO9&lt;&gt;1,0,SUMPRODUCT((nTP_CandKey=BX9)*nTP_Exact*((nTP_HT*BN9*((nTP_OK*BO9*(nTP_UTC_n-N(BQ9))+(1-nTP_OK*BO9)*(nTP_Loc_n-N(BP9)))&lt;=0)+(1-nTP_HT*BN9)*(nTP_Hi_n&lt;N(BR9)))+((1-nTP_HT*BN9)*(nTP_Lo_n=nTP_Hi_n)*(nTP_Lo_n=N(BR9))*(N(BR9)=N(BS9))))*nTP_HT*(1-nTP_OK)*(nTP_Loc_n=CN9)*nTP_Lo_n))</f>
        <v>0</v>
      </c>
      <c r="CQ9" s="22">
        <f>IF(CD9=0,0,SUMPRODUCT(MAX((nTP_CandKey=BX9)*nTP_Exact*((nTP_HT*BN9*((nTP_OK*BO9*(nTP_UTC_n-N(BQ9))+(1-nTP_OK*BO9)*(nTP_Loc_n-N(BP9)))&lt;=0)+(1-nTP_HT*BN9)*(nTP_Hi_n&lt;N(BR9)))+((1-nTP_HT*BN9)*(nTP_Lo_n=nTP_Hi_n)*(nTP_Lo_n=N(BR9))*(N(BR9)=N(BS9))))*nTP_HT*nTP_OK*nTP_Loc_n)))</f>
        <v>0</v>
      </c>
      <c r="CR9" s="22">
        <f t="shared" si="28"/>
        <v>0</v>
      </c>
      <c r="CS9" s="22">
        <f>IF(CR9=0,0,IF(CR9=1,MATCH(1,INDEX((nTP_CandKey=BX9)*nTP_Exact*((nTP_HT*BN9*((nTP_OK*BO9*(nTP_UTC_n-N(BQ9))+(1-nTP_OK*BO9)*(nTP_Loc_n-N(BP9)))&lt;=0)+(1-nTP_HT*BN9)*(nTP_Hi_n&lt;N(BR9)))+((1-nTP_HT*BN9)*(nTP_Lo_n=nTP_Hi_n)*(nTP_Lo_n=N(BR9))*(N(BR9)=N(BS9))))*(1-nTP_HT)*(nTP_Lo_n=CF9),0),0),IF(CR9=2,MATCH(1,INDEX((nTP_CandKey=BX9)*nTP_Exact*((nTP_HT*BN9*((nTP_OK*BO9*(nTP_UTC_n-N(BQ9))+(1-nTP_OK*BO9)*(nTP_Loc_n-N(BP9)))&lt;=0)+(1-nTP_HT*BN9)*(nTP_Hi_n&lt;N(BR9)))+((1-nTP_HT*BN9)*(nTP_Lo_n=nTP_Hi_n)*(nTP_Lo_n=N(BR9))*(N(BR9)=N(BS9))))*nTP_HT*nTP_OK*(nTP_UTC_n=CJ9),0),0),MATCH(1,INDEX((nTP_CandKey=BX9)*nTP_Exact*((nTP_HT*BN9*((nTP_OK*BO9*(nTP_UTC_n-N(BQ9))+(1-nTP_OK*BO9)*(nTP_Loc_n-N(BP9)))&lt;=0)+(1-nTP_HT*BN9)*(nTP_Hi_n&lt;N(BR9)))+((1-nTP_HT*BN9)*(nTP_Lo_n=nTP_Hi_n)*(nTP_Lo_n=N(BR9))*(N(BR9)=N(BS9))))*nTP_HT*(1-nTP_OK)*(nTP_Loc_n=CN9),0),0))))</f>
        <v>0</v>
      </c>
      <c r="CT9" s="22">
        <f>IF(CS9=0,0,INDEX(nTP_Lo_n,CS9))</f>
        <v>0</v>
      </c>
      <c r="CU9" s="22">
        <f>IF(CS9=0,0,SUMPRODUCT((nTP_CandKey=BX9)*(nTP_Err="")*(1-nTP_Exact)*((nTP_HT*BN9*((nTP_OK*BO9*(nTP_UTC_n-N(BQ9))+(1-nTP_OK*BO9)*(nTP_Loc_n-N(BP9)))&lt;=0)+(1-nTP_HT*BN9)*(nTP_Hi_n&lt;N(BR9)))+((1-nTP_HT*BN9)*(nTP_Lo_n=nTP_Hi_n)*(nTP_Lo_n=N(BR9))*(N(BR9)=N(BS9))))*(nTP_Hi_n&gt;=CT9)))</f>
        <v>0</v>
      </c>
      <c r="CV9" s="21" t="str">
        <f t="shared" si="29"/>
        <v/>
      </c>
      <c r="CW9" s="21" t="str">
        <f>IF(AND(BG9=1,CB9=1,CV9="",CS9&gt;0),INDEX(nTP_Record_ID,CS9)&amp;"","")</f>
        <v/>
      </c>
      <c r="CX9" s="21" t="str">
        <f>IF(OR(CV9="",BG9=0),"",IF(CV9="none","an administration record (last dose before onset)",IF(CV9="uncertain","the anchor record: "&amp;INDEX(nTP_Record_ID,MATCH(1,INDEX((nTP_CandKey=BX9)*(nTP_Err="")*(1-(nTP_HT*BN9*((nTP_OK*BO9*(nTP_UTC_n-N(BQ9))+(1-nTP_OK*BO9)*(nTP_Loc_n-N(BP9)))&lt;=0)+(1-nTP_HT*BN9)*(nTP_Hi_n&lt;N(BR9)))-(nTP_HT*BN9*((nTP_OK*BO9*(nTP_UTC_n-N(BQ9))+(1-nTP_OK*BO9)*(nTP_Loc_n-N(BP9)))&gt;0)+(1-nTP_HT*BN9)*(nTP_Lo_n&gt;N(BS9)))-((1-nTP_HT*BN9)*(nTP_Lo_n=nTP_Hi_n)*(nTP_Lo_n=N(BR9))*(N(BR9)=N(BS9)))),0),0))&amp;IF(CC9&gt;1," and "&amp;(CC9-1)&amp;" more","")&amp;" may fall before or after the end point, so the last dose cannot be identified from the recorded dates",IF(CV9="noneligible","the anchor record: no administration with an exact date is recorded at or before the end point",IF(CV9="tie","the anchor record: the order of the latest administrations cannot be told from the recorded dates and times","the anchor record: partial-date administration "&amp;INDEX(nTP_Record_ID,MATCH(1,INDEX((nTP_CandKey=BX9)*(nTP_Err="")*(1-nTP_Exact)*((nTP_HT*BN9*((nTP_OK*BO9*(nTP_UTC_n-N(BQ9))+(1-nTP_OK*BO9)*(nTP_Loc_n-N(BP9)))&lt;=0)+(1-nTP_HT*BN9)*(nTP_Hi_n&lt;N(BR9)))+((1-nTP_HT*BN9)*(nTP_Lo_n=nTP_Hi_n)*(nTP_Lo_n=N(BR9))*(N(BR9)=N(BS9))))*(nTP_Hi_n&gt;=CT9),0),0))&amp;" could be the last dose before the end point")))))</f>
        <v/>
      </c>
      <c r="CY9" s="22">
        <f>IF(OR(AW9=1,AJ9=""),0,IFERROR(MATCH(AX9&amp;"|"&amp;AJ9,nTP_Key,0),0))</f>
        <v>0</v>
      </c>
      <c r="CZ9" s="21">
        <f>IF(CY9=0,0,INDEX(nTP_Dup,CY9))</f>
        <v>0</v>
      </c>
      <c r="DA9" s="21" t="str">
        <f>IF(CY9=0,"",INDEX(nTP_Record_Type,CY9))</f>
        <v/>
      </c>
      <c r="DB9" s="21" t="str">
        <f>IF(CY9=0,"",INDEX(nTP_Precision,CY9))</f>
        <v/>
      </c>
      <c r="DC9" s="21" t="str">
        <f>IF(CY9=0,"",INDEX(nTP_Err,CY9))</f>
        <v/>
      </c>
      <c r="DD9" s="21">
        <f>IF(CY9=0,0,INDEX(nTP_HT,CY9))</f>
        <v>0</v>
      </c>
      <c r="DE9" s="21">
        <f>IF(CY9=0,0,INDEX(nTP_OK,CY9))</f>
        <v>0</v>
      </c>
      <c r="DF9" s="21" t="str">
        <f>IF(CY9=0,"",INDEX(nTP_Loc,CY9))</f>
        <v/>
      </c>
      <c r="DG9" s="21" t="str">
        <f>IF(CY9=0,"",INDEX(nTP_UTC,CY9))</f>
        <v/>
      </c>
      <c r="DH9" s="21" t="str">
        <f>IF(CY9=0,"",INDEX(nTP_Lo,CY9))</f>
        <v/>
      </c>
      <c r="DI9" s="21" t="str">
        <f>IF(CY9=0,"",INDEX(nTP_Hi,CY9))</f>
        <v/>
      </c>
      <c r="DJ9" s="21" t="str">
        <f>IF(CY9=0,"",INDEX(nTP_Original_Text,CY9))</f>
        <v/>
      </c>
      <c r="DK9" s="21" t="str">
        <f>IF(CY9=0,"",INDEX(nTP_Source,CY9))</f>
        <v/>
      </c>
      <c r="DL9" s="22">
        <f t="shared" si="30"/>
        <v>0</v>
      </c>
      <c r="DM9" s="21" t="str">
        <f t="shared" si="31"/>
        <v/>
      </c>
      <c r="DN9" s="21" t="str">
        <f t="shared" si="32"/>
        <v/>
      </c>
      <c r="DO9" s="21" t="str">
        <f t="shared" si="33"/>
        <v/>
      </c>
      <c r="DP9" s="21" t="str">
        <f t="shared" si="34"/>
        <v/>
      </c>
      <c r="DQ9" s="21" t="str">
        <f t="shared" si="35"/>
        <v/>
      </c>
      <c r="DR9" s="22">
        <f>IF(OR(DQ9="",I9=""),0,IF(ISNA(MATCH(I9,nLIST_Mode,0)),1,IF(AND(I9="C1",DQ9&lt;&gt;"C1"),1,IF(AND(I9="C2",DQ9="C4"),1,0))))</f>
        <v>0</v>
      </c>
      <c r="DS9" s="21" t="str">
        <f t="shared" si="36"/>
        <v/>
      </c>
      <c r="DT9" s="22">
        <f t="shared" si="37"/>
        <v>0</v>
      </c>
      <c r="DU9" s="21" t="str">
        <f>IF(DT9=0,"",IF(COUNTIFS(nTP_Case_Key,AX9,nTP_Record_Type,"MILESTONE:INTERVENTION",nTP_Err,"E_INVALID_DATE")&gt;0,"; E_INVALID_DATE","")&amp;IF(COUNTIFS(nTP_Case_Key,AX9,nTP_Record_Type,"MILESTONE:INTERVENTION",nTP_Err,"E_REVERSED_BOUNDS")&gt;0,"; E_REVERSED_BOUNDS","")&amp;IF(COUNTIFS(nTP_Case_Key,AX9,nTP_Record_Type,"MILESTONE:INTERVENTION",nTP_Err,"E_MISSING_INPUT")&gt;0,"; E_MISSING_INPUT","")&amp;IF(COUNTIFS(nTP_Case_Key,AX9,nTP_Record_Type,"MILESTONE:INTERVENTION",nTP_Err,"E_INVALID_UNIT")&gt;0,"; E_INVALID_UNIT",""))</f>
        <v/>
      </c>
      <c r="DV9" s="22">
        <f>IF(DT9=0,0,SUMPRODUCT((nMS_CaseKey=AX9)*(nMS_Type="INTERVENTION")*nMS_Undated))</f>
        <v>0</v>
      </c>
      <c r="DW9" s="21" t="str">
        <f t="shared" si="38"/>
        <v/>
      </c>
      <c r="DX9" s="21" t="str">
        <f t="shared" si="39"/>
        <v/>
      </c>
      <c r="DY9" s="22">
        <f t="shared" si="40"/>
        <v>1</v>
      </c>
      <c r="DZ9" s="21" t="str">
        <f t="shared" si="41"/>
        <v/>
      </c>
      <c r="EA9" s="21" t="str">
        <f t="shared" si="42"/>
        <v/>
      </c>
      <c r="EB9" s="21" t="str">
        <f t="shared" si="43"/>
        <v/>
      </c>
      <c r="EC9" s="21" t="str">
        <f t="shared" si="44"/>
        <v/>
      </c>
      <c r="ED9" s="22">
        <f t="shared" si="45"/>
        <v>0</v>
      </c>
      <c r="EE9" s="22">
        <f t="shared" si="46"/>
        <v>0</v>
      </c>
      <c r="EF9" s="21" t="str">
        <f>IF(ED9=0,"",IF(OR(NOT(ISNUMBER(L9)),NOT(ISNUMBER(M9))),"I_APPROXIMATE_NOT_COMPARED",IF(AND(N9&lt;&gt;"",ISNA(MATCH(N9,nLIST_ReportedUnit,0))),"E_INVALID_UNIT",IF(N9="","E_MISSING_INPUT",IF(L9&gt;M9,"E_REVERSED_BOUNDS",IF(OR(N9="weeks",N9="months",N9="years"),"I_APPROXIMATE_NOT_COMPARED",IF(DX9&lt;&gt;"","",IF(EE9=0,"I_APPROXIMATE_NOT_COMPARED",IF(AND(L9*EE9&lt;=IF(DS9="C4",EC9,IF(DS9="C1",DZ9,EA9)),M9*EE9&gt;=IF(DS9="C4",EB9,IF(DS9="C1",DZ9,EA9))),"OVERLAP","W_REPORTED_TIMING_CONFLICT")))))))))</f>
        <v/>
      </c>
      <c r="EG9" s="21" t="str">
        <f t="shared" si="47"/>
        <v/>
      </c>
      <c r="EH9" s="21" t="str">
        <f t="shared" si="48"/>
        <v/>
      </c>
      <c r="EI9" s="22">
        <f t="shared" si="49"/>
        <v>0</v>
      </c>
      <c r="EJ9" s="22">
        <f t="shared" si="50"/>
        <v>0</v>
      </c>
      <c r="EK9" s="22">
        <f t="shared" si="51"/>
        <v>0</v>
      </c>
      <c r="EL9" s="28" t="str">
        <f t="shared" si="52"/>
        <v/>
      </c>
      <c r="EM9" s="28" t="str">
        <f t="shared" si="53"/>
        <v/>
      </c>
      <c r="EN9" s="21" t="str">
        <f t="shared" si="54"/>
        <v/>
      </c>
      <c r="EO9" s="22">
        <f>IF(OR(DT9=0,DX9&lt;&gt;""),0,SUMPRODUCT((nTP_Case_Key=AX9)*(nTP_Record_Type="MILESTONE:INTERVENTION")*(nTP_Err="")*(nTP_HT*DD9*BN9*(nTP_OK*DE9*(nTP_UTC_n&gt;=N(DG9))+(1-nTP_OK*DE9)*(nTP_Loc_n&gt;=N(DF9)))*(nTP_OK*BO9*(nTP_UTC_n&lt;=N(BQ9))+(1-nTP_OK*BO9)*(nTP_Loc_n&lt;=N(BP9)))+(1-nTP_HT*DD9*BN9)*(nTP_Hi_n&gt;=N(DH9))*(nTP_Lo_n&lt;=N(BS9)))))</f>
        <v>0</v>
      </c>
      <c r="EP9" s="22">
        <f>IF(OR(DT9=0,DX9&lt;&gt;""),0,SUMPRODUCT((nTP_Case_Key=AX9)*(nTP_Role="treatment of the event")*((nTP_Record_Type="EXPOSURE_START")+(nTP_Record_Type="ADMINISTRATION"))*(nTP_Err="")*(nTP_HT*DD9*BN9*(nTP_OK*DE9*(nTP_UTC_n&gt;=N(DG9))+(1-nTP_OK*DE9)*(nTP_Loc_n&gt;=N(DF9)))*(nTP_OK*BO9*(nTP_UTC_n&lt;=N(BQ9))+(1-nTP_OK*BO9)*(nTP_Loc_n&lt;=N(BP9)))+(1-nTP_HT*DD9*BN9)*(nTP_Hi_n&gt;=N(DH9))*(nTP_Lo_n&lt;=N(BS9)))))</f>
        <v>0</v>
      </c>
      <c r="EQ9" s="22">
        <f>IF(EO9&lt;1,0,IFERROR(_xlfn.AGGREGATE(15,6,nTP_RowN/((nTP_Case_Key=AX9)*(nTP_Record_Type="MILESTONE:INTERVENTION")*(nTP_Err="")*(nTP_HT*DD9*BN9*(nTP_OK*DE9*(nTP_UTC_n&gt;=N(DG9))+(1-nTP_OK*DE9)*(nTP_Loc_n&gt;=N(DF9)))*(nTP_OK*BO9*(nTP_UTC_n&lt;=N(BQ9))+(1-nTP_OK*BO9)*(nTP_Loc_n&lt;=N(BP9)))+(1-nTP_HT*DD9*BN9)*(nTP_Hi_n&gt;=N(DH9))*(nTP_Lo_n&lt;=N(BS9)))),1),0))</f>
        <v>0</v>
      </c>
      <c r="ER9" s="22">
        <f>IF(EO9&lt;2,0,IFERROR(_xlfn.AGGREGATE(15,6,nTP_RowN/((nTP_Case_Key=AX9)*(nTP_Record_Type="MILESTONE:INTERVENTION")*(nTP_Err="")*(nTP_HT*DD9*BN9*(nTP_OK*DE9*(nTP_UTC_n&gt;=N(DG9))+(1-nTP_OK*DE9)*(nTP_Loc_n&gt;=N(DF9)))*(nTP_OK*BO9*(nTP_UTC_n&lt;=N(BQ9))+(1-nTP_OK*BO9)*(nTP_Loc_n&lt;=N(BP9)))+(1-nTP_HT*DD9*BN9)*(nTP_Hi_n&gt;=N(DH9))*(nTP_Lo_n&lt;=N(BS9)))),2),0))</f>
        <v>0</v>
      </c>
      <c r="ES9" s="22">
        <f>IF(EO9&lt;3,0,IFERROR(_xlfn.AGGREGATE(15,6,nTP_RowN/((nTP_Case_Key=AX9)*(nTP_Record_Type="MILESTONE:INTERVENTION")*(nTP_Err="")*(nTP_HT*DD9*BN9*(nTP_OK*DE9*(nTP_UTC_n&gt;=N(DG9))+(1-nTP_OK*DE9)*(nTP_Loc_n&gt;=N(DF9)))*(nTP_OK*BO9*(nTP_UTC_n&lt;=N(BQ9))+(1-nTP_OK*BO9)*(nTP_Loc_n&lt;=N(BP9)))+(1-nTP_HT*DD9*BN9)*(nTP_Hi_n&gt;=N(DH9))*(nTP_Lo_n&lt;=N(BS9)))),3),0))</f>
        <v>0</v>
      </c>
      <c r="ET9" s="22">
        <f>IF(EP9&lt;1,0,IFERROR(_xlfn.AGGREGATE(15,6,nTP_RowN/((nTP_Case_Key=AX9)*(nTP_Role="treatment of the event")*((nTP_Record_Type="EXPOSURE_START")+(nTP_Record_Type="ADMINISTRATION"))*(nTP_Err="")*(nTP_HT*DD9*BN9*(nTP_OK*DE9*(nTP_UTC_n&gt;=N(DG9))+(1-nTP_OK*DE9)*(nTP_Loc_n&gt;=N(DF9)))*(nTP_OK*BO9*(nTP_UTC_n&lt;=N(BQ9))+(1-nTP_OK*BO9)*(nTP_Loc_n&lt;=N(BP9)))+(1-nTP_HT*DD9*BN9)*(nTP_Hi_n&gt;=N(DH9))*(nTP_Lo_n&lt;=N(BS9)))),1),0))</f>
        <v>0</v>
      </c>
      <c r="EU9" s="22">
        <f>IF(EP9&lt;2,0,IFERROR(_xlfn.AGGREGATE(15,6,nTP_RowN/((nTP_Case_Key=AX9)*(nTP_Role="treatment of the event")*((nTP_Record_Type="EXPOSURE_START")+(nTP_Record_Type="ADMINISTRATION"))*(nTP_Err="")*(nTP_HT*DD9*BN9*(nTP_OK*DE9*(nTP_UTC_n&gt;=N(DG9))+(1-nTP_OK*DE9)*(nTP_Loc_n&gt;=N(DF9)))*(nTP_OK*BO9*(nTP_UTC_n&lt;=N(BQ9))+(1-nTP_OK*BO9)*(nTP_Loc_n&lt;=N(BP9)))+(1-nTP_HT*DD9*BN9)*(nTP_Hi_n&gt;=N(DH9))*(nTP_Lo_n&lt;=N(BS9)))),2),0))</f>
        <v>0</v>
      </c>
      <c r="EV9" s="22">
        <f>IF(EP9&lt;3,0,IFERROR(_xlfn.AGGREGATE(15,6,nTP_RowN/((nTP_Case_Key=AX9)*(nTP_Role="treatment of the event")*((nTP_Record_Type="EXPOSURE_START")+(nTP_Record_Type="ADMINISTRATION"))*(nTP_Err="")*(nTP_HT*DD9*BN9*(nTP_OK*DE9*(nTP_UTC_n&gt;=N(DG9))+(1-nTP_OK*DE9)*(nTP_Loc_n&gt;=N(DF9)))*(nTP_OK*BO9*(nTP_UTC_n&lt;=N(BQ9))+(1-nTP_OK*BO9)*(nTP_Loc_n&lt;=N(BP9)))+(1-nTP_HT*DD9*BN9)*(nTP_Hi_n&gt;=N(DH9))*(nTP_Lo_n&lt;=N(BS9)))),3),0))</f>
        <v>0</v>
      </c>
      <c r="EW9" s="22">
        <f>IF(CE9&lt;1,0,IFERROR(_xlfn.AGGREGATE(15,6,nTP_RowN/((nTP_CandKey=BX9)*(nTP_Err="")*(1-nTP_Exact)*((nTP_HT*BN9*((nTP_OK*BO9*(nTP_UTC_n-N(BQ9))+(1-nTP_OK*BO9)*(nTP_Loc_n-N(BP9)))&lt;=0)+(1-nTP_HT*BN9)*(nTP_Hi_n&lt;N(BR9)))+((1-nTP_HT*BN9)*(nTP_Lo_n=nTP_Hi_n)*(nTP_Lo_n=N(BR9))*(N(BR9)=N(BS9))))),1),0))</f>
        <v>0</v>
      </c>
      <c r="EX9" s="22">
        <f>IF(CE9&lt;2,0,IFERROR(_xlfn.AGGREGATE(15,6,nTP_RowN/((nTP_CandKey=BX9)*(nTP_Err="")*(1-nTP_Exact)*((nTP_HT*BN9*((nTP_OK*BO9*(nTP_UTC_n-N(BQ9))+(1-nTP_OK*BO9)*(nTP_Loc_n-N(BP9)))&lt;=0)+(1-nTP_HT*BN9)*(nTP_Hi_n&lt;N(BR9)))+((1-nTP_HT*BN9)*(nTP_Lo_n=nTP_Hi_n)*(nTP_Lo_n=N(BR9))*(N(BR9)=N(BS9))))),2),0))</f>
        <v>0</v>
      </c>
      <c r="EY9" s="22">
        <f>IF(CE9&lt;3,0,IFERROR(_xlfn.AGGREGATE(15,6,nTP_RowN/((nTP_CandKey=BX9)*(nTP_Err="")*(1-nTP_Exact)*((nTP_HT*BN9*((nTP_OK*BO9*(nTP_UTC_n-N(BQ9))+(1-nTP_OK*BO9)*(nTP_Loc_n-N(BP9)))&lt;=0)+(1-nTP_HT*BN9)*(nTP_Hi_n&lt;N(BR9)))+((1-nTP_HT*BN9)*(nTP_Lo_n=nTP_Hi_n)*(nTP_Lo_n=N(BR9))*(N(BR9)=N(BS9))))),3),0))</f>
        <v>0</v>
      </c>
      <c r="EZ9" s="21" t="str">
        <f>IF(EO9=0,"",MID(IF(EQ9&gt;0,"; "&amp;INDEX(nTP_Record_ID,EQ9)&amp;IF(INDEX(nTP_Label,EQ9)="",""," ("&amp;INDEX(nTP_Label,EQ9)&amp;")"),"")&amp;IF(ER9&gt;0,"; "&amp;INDEX(nTP_Record_ID,ER9)&amp;IF(INDEX(nTP_Label,ER9)="",""," ("&amp;INDEX(nTP_Label,ER9)&amp;")"),"")&amp;IF(ES9&gt;0,"; "&amp;INDEX(nTP_Record_ID,ES9)&amp;IF(INDEX(nTP_Label,ES9)="",""," ("&amp;INDEX(nTP_Label,ES9)&amp;")"),"")&amp;IF(EO9&gt;3,"; and "&amp;(EO9-3)&amp;" more",""),3,999))</f>
        <v/>
      </c>
      <c r="FA9" s="21" t="str">
        <f>IF(EO9=0,"",MID(IF(EQ9&gt;0,"; "&amp;INDEX(nTP_Record_ID,EQ9),"")&amp;IF(ER9&gt;0,"; "&amp;INDEX(nTP_Record_ID,ER9),"")&amp;IF(ES9&gt;0,"; "&amp;INDEX(nTP_Record_ID,ES9),"")&amp;IF(EO9&gt;3,"; and "&amp;(EO9-3)&amp;" more",""),3,999))</f>
        <v/>
      </c>
      <c r="FB9" s="21" t="str">
        <f>IF(EP9=0,"",MID(IF(ET9&gt;0,"; "&amp;INDEX(nTP_Record_ID,ET9)&amp;IF(INDEX(nTP_Label,ET9)="",""," ("&amp;INDEX(nTP_Label,ET9)&amp;")"),"")&amp;IF(EU9&gt;0,"; "&amp;INDEX(nTP_Record_ID,EU9)&amp;IF(INDEX(nTP_Label,EU9)="",""," ("&amp;INDEX(nTP_Label,EU9)&amp;")"),"")&amp;IF(EV9&gt;0,"; "&amp;INDEX(nTP_Record_ID,EV9)&amp;IF(INDEX(nTP_Label,EV9)="",""," ("&amp;INDEX(nTP_Label,EV9)&amp;")"),"")&amp;IF(EP9&gt;3,"; and "&amp;(EP9-3)&amp;" more",""),3,999))</f>
        <v/>
      </c>
      <c r="FC9" s="21" t="str">
        <f>IF(CE9=0,"",MID(IF(EW9&gt;0,"; "&amp;INDEX(nTP_Record_ID,EW9),"")&amp;IF(EX9&gt;0,"; "&amp;INDEX(nTP_Record_ID,EX9),"")&amp;IF(EY9&gt;0,"; "&amp;INDEX(nTP_Record_ID,EY9),"")&amp;IF(CE9&gt;3,"; and "&amp;(CE9-3)&amp;" more",""),3,999))</f>
        <v/>
      </c>
      <c r="FD9" s="22">
        <f t="shared" si="55"/>
        <v>0</v>
      </c>
      <c r="FE9" s="22">
        <f t="shared" si="56"/>
        <v>0</v>
      </c>
      <c r="FF9" s="22">
        <f t="shared" si="57"/>
        <v>0</v>
      </c>
      <c r="FG9" s="22">
        <f t="shared" si="58"/>
        <v>0</v>
      </c>
      <c r="FH9" s="22">
        <f t="shared" si="59"/>
        <v>0</v>
      </c>
      <c r="FI9" s="22">
        <f t="shared" si="60"/>
        <v>0</v>
      </c>
      <c r="FJ9" s="22">
        <f t="shared" si="61"/>
        <v>0</v>
      </c>
      <c r="FK9" s="22">
        <f t="shared" si="62"/>
        <v>0</v>
      </c>
    </row>
    <row r="10" spans="1:167" x14ac:dyDescent="0.2">
      <c r="A10" s="10"/>
      <c r="B10" s="10"/>
      <c r="C10" s="12"/>
      <c r="D10" s="10"/>
      <c r="E10" s="17"/>
      <c r="F10" s="10"/>
      <c r="G10" s="10"/>
      <c r="H10" s="10"/>
      <c r="I10" s="17"/>
      <c r="J10" s="17"/>
      <c r="K10" s="10"/>
      <c r="L10" s="17"/>
      <c r="M10" s="17"/>
      <c r="N10" s="17"/>
      <c r="O10" s="10"/>
      <c r="P10" s="15"/>
      <c r="Q10" s="15"/>
      <c r="R10" s="10"/>
      <c r="S10" s="10"/>
      <c r="T10" s="21" t="str">
        <f t="shared" si="0"/>
        <v/>
      </c>
      <c r="U10" s="21" t="str">
        <f t="shared" si="1"/>
        <v/>
      </c>
      <c r="V10" s="21" t="str">
        <f t="shared" si="2"/>
        <v/>
      </c>
      <c r="W10" s="21" t="str">
        <f t="shared" si="3"/>
        <v/>
      </c>
      <c r="X10" s="21" t="str">
        <f t="shared" si="4"/>
        <v/>
      </c>
      <c r="Y10" s="21" t="str">
        <f t="shared" si="5"/>
        <v/>
      </c>
      <c r="Z10" s="21" t="str">
        <f t="shared" si="6"/>
        <v/>
      </c>
      <c r="AA10" s="21" t="str">
        <f t="shared" si="7"/>
        <v/>
      </c>
      <c r="AB10" s="21" t="str">
        <f t="shared" si="8"/>
        <v/>
      </c>
      <c r="AC10" s="21" t="str">
        <f t="shared" si="9"/>
        <v/>
      </c>
      <c r="AD10" s="21" t="str">
        <f>IF(AW10=1,"",MID(IF(ISNUMBER(SEARCH("E_INVALID_DATE",EG10))," | E_INVALID_DATE: "&amp;SUBSTITUTE(IFERROR(INDEX(nMSG_Text,MATCH("E_INVALID_DATE",nMSG_Code,0)),""),"[input]",""),"")&amp;IF(ISNUMBER(SEARCH("E_REVERSED_BOUNDS",EG10))," | E_REVERSED_BOUNDS: "&amp;SUBSTITUTE(IFERROR(INDEX(nMSG_Text,MATCH("E_REVERSED_BOUNDS",nMSG_Code,0)),""),"[input]",""),"")&amp;IF(ISNUMBER(SEARCH("E_DUPLICATE_ID",EG10))," | E_DUPLICATE_ID: "&amp;SUBSTITUTE(IFERROR(INDEX(nMSG_Text,MATCH("E_DUPLICATE_ID",nMSG_Code,0)),""),"[input]",""),"")&amp;IF(ISNUMBER(SEARCH("E_MISSING_LINK",EG10))," | E_MISSING_LINK: "&amp;SUBSTITUTE(IFERROR(INDEX(nMSG_Text,MATCH("E_MISSING_LINK",nMSG_Code,0)),""),"[input]",""),"")&amp;IF(ISNUMBER(SEARCH("E_MISSING_INPUT",EG10))," | E_MISSING_INPUT: "&amp;SUBSTITUTE(IFERROR(INDEX(nMSG_Text,MATCH("E_MISSING_INPUT",nMSG_Code,0)),""),"[input]",IF(EH10="","an input",EH10)),"")&amp;IF(ISNUMBER(SEARCH("E_INVALID_UNIT",EG10))," | E_INVALID_UNIT: "&amp;SUBSTITUTE(IFERROR(INDEX(nMSG_Text,MATCH("E_INVALID_UNIT",nMSG_Code,0)),""),"[input]",""),"")&amp;IF(FD10=1," | W_TZ_UNKNOWN: "&amp;SUBSTITUTE(IFERROR(INDEX(nMSG_Text,MATCH("W_TZ_UNKNOWN",nMSG_Code,0)),""),"[input]",""),"")&amp;IF(FE10=1," | W_SAME_DATE_ORDER_UNKNOWN: "&amp;SUBSTITUTE(IFERROR(INDEX(nMSG_Text,MATCH("W_SAME_DATE_ORDER_UNKNOWN",nMSG_Code,0)),""),"[input]",""),"")&amp;IF(FF10=1," | W_SEQUENCE_UNCERTAIN: "&amp;SUBSTITUTE(IFERROR(INDEX(nMSG_Text,MATCH("W_SEQUENCE_UNCERTAIN",nMSG_Code,0)),""),"[input]",""),"")&amp;IF(FG10=1," | W_ADMIN_SAME_DATE_AS_ONSET: "&amp;SUBSTITUTE(IFERROR(INDEX(nMSG_Text,MATCH("W_ADMIN_SAME_DATE_AS_ONSET",nMSG_Code,0)),""),"[input]",""),"")&amp;IF(FH10=1," | W_REPORTED_TIMING_CONFLICT: "&amp;SUBSTITUTE(IFERROR(INDEX(nMSG_Text,MATCH("W_REPORTED_TIMING_CONFLICT",nMSG_Code,0)),""),"[input]",""),"")&amp;IF(FI10=1," | W_INTERVENTION_BEFORE_RECOVERY: "&amp;SUBSTITUTE(IFERROR(INDEX(nMSG_Text,MATCH("W_INTERVENTION_BEFORE_RECOVERY",nMSG_Code,0)),""),"[input]",""),"")&amp;IF(FJ10=1," | I_TREATMENT_DAY_UNDEFINED: "&amp;SUBSTITUTE(IFERROR(INDEX(nMSG_Text,MATCH("I_TREATMENT_DAY_UNDEFINED",nMSG_Code,0)),""),"[input]",""),"")&amp;IF(FK10=1," | I_APPROXIMATE_NOT_COMPARED: "&amp;SUBSTITUTE(IFERROR(INDEX(nMSG_Text,MATCH("I_APPROXIMATE_NOT_COMPARED",nMSG_Code,0)),""),"[input]",""),""),4,9999))</f>
        <v/>
      </c>
      <c r="AE10" s="21" t="str">
        <f t="shared" si="10"/>
        <v/>
      </c>
      <c r="AF10" s="21" t="str">
        <f t="shared" si="11"/>
        <v/>
      </c>
      <c r="AG10" s="21" t="str">
        <f>IF(EN10="","",MID(IF(ISNUMBER(SEARCH("E_REVERSED_BOUNDS",EN10))," | E_REVERSED_BOUNDS: "&amp;SUBSTITUTE(IFERROR(INDEX(nMSG_Text,MATCH("E_REVERSED_BOUNDS",nMSG_Code,0)),""),"[input]",""),"")&amp;IF(ISNUMBER(SEARCH("E_MISSING_INPUT",EN10))," | E_MISSING_INPUT: "&amp;SUBSTITUTE(IFERROR(INDEX(nMSG_Text,MATCH("E_MISSING_INPUT",nMSG_Code,0)),""),"[input]",IF("the source of the constraint"="","an input","the source of the constraint")),""),4,999))</f>
        <v/>
      </c>
      <c r="AH10" s="21" t="str">
        <f t="shared" si="12"/>
        <v/>
      </c>
      <c r="AI10" s="21" t="str">
        <f t="shared" si="13"/>
        <v/>
      </c>
      <c r="AJ10" s="21" t="str">
        <f t="shared" si="14"/>
        <v/>
      </c>
      <c r="AK10" s="21" t="str">
        <f t="shared" si="15"/>
        <v/>
      </c>
      <c r="AL10" s="21" t="str">
        <f>IF(CY10=0,"",INDEX(nTP_ISO,CY10))</f>
        <v/>
      </c>
      <c r="AM10" s="21" t="str">
        <f>IF(CY10=0,"",INDEX(nTP_Display,CY10))</f>
        <v/>
      </c>
      <c r="AN10" s="21" t="str">
        <f>IF(BI10=0,"",INDEX(nTP_ISO,BI10))</f>
        <v/>
      </c>
      <c r="AO10" s="21" t="str">
        <f>IF(BI10=0,"",INDEX(nTP_Display,BI10))</f>
        <v/>
      </c>
      <c r="AP10" s="21" t="str">
        <f>IF(BA10=0,"",INDEX(nLNK_Exposure_Episode_ID,BA10)&amp;"")</f>
        <v/>
      </c>
      <c r="AQ10" s="21" t="str">
        <f>IF(BA10=0,"",INDEX(nLNK_Event_Episode_ID,BA10)&amp;"")</f>
        <v/>
      </c>
      <c r="AR10" s="21" t="str">
        <f t="shared" si="16"/>
        <v/>
      </c>
      <c r="AS10" s="21" t="str">
        <f>IF(EI10=0,"",MID(IF(DT10=1," | Recovery interval (C7) computed with "&amp;DS10&amp;".","")&amp;IF(BG10=1," | Anchor selected under C5 (CALC-SPEC 1.1): latest administration with an exact date or time at or before "&amp;IF(BH10=1,"onset","the end point")&amp;" ("&amp;AJ10&amp;"), ordered in UTC when offsets are known; later administrations are never selected.","")&amp;IF(AND(BG10=1,CE10&gt;0)," | Partial-date administrations wholly before the selected one were not candidates: "&amp;FC10&amp;".","")&amp;IF(BV10&lt;&gt;""," | "&amp;BV10,"")&amp;IF(AND(DS10="C2",EA10=0,DZ10&lt;&gt;"")," | Same calendar date; both times are known, so C1 decides the order ("&amp;AA10&amp;").","")&amp;IF(AND(DS10="C2",DD10*BN10=1,DT10=0)," | Calendar-date difference from the recorded local dates; it is never described as elapsed days.","")&amp;IF(AND(DS10="C4",DT10=0)," | Bounds are treated as independent; no single date is imputed from them.","")&amp;IF(EJ10=1," | Treatment day under the inclusive convention (C3); never written to E2B fields automatically.","")&amp;IF(AND(DS10="C4",DT10=0,EK10=0)," | No constraint applied.","")&amp;IF(AND(DS10="C4",EK10=1)," | Constraint applied to the anchor bounds: "&amp;IF(ISNUMBER(P10),"not before "&amp;DAY(P10)&amp;" "&amp;INDEX(nLIST_Months,MONTH(P10))&amp;" "&amp;YEAR(P10),"")&amp;IF(AND(ISNUMBER(P10),ISNUMBER(Q10)),", ","")&amp;IF(ISNUMBER(Q10),"not after "&amp;DAY(Q10)&amp;" "&amp;INDEX(nLIST_Months,MONTH(Q10))&amp;" "&amp;YEAR(Q10),"")&amp;". Source: "&amp;IF(R10="","not recorded",R10)&amp;IF(EN10="",". Constrained result shown beside the unconstrained one.",". Constrained result blocked ("&amp;EN10&amp;")."),"")&amp;IF(DT10=1,IF(EO10&gt;0," | Intervention recorded between cessation and recovery (ends included): "&amp;EZ10&amp;"."," | No intervention is recorded between cessation and recovery; absence of a record is not evidence that none was given."),"")&amp;IF(AND(DT10=1,DV10&gt;0)," | Intervention recorded without a date, so whether it came before recovery is unknown: "&amp;INDEX(nMS_Milestone_ID,MATCH(1,INDEX((nMS_CaseKey=AX10)*(nMS_Type="INTERVENTION")*nMS_Undated,0),0))&amp;IF(DV10&gt;1," and "&amp;(DV10-1)&amp;" more","")&amp;".","")&amp;IF(AND(DT10=1,EP10&gt;0)," | Not counted as interventions, because they are recorded as exposures rather than as intervention milestones (nothing is inferred): "&amp;FB10&amp;". If treatment was given, record it as an intervention milestone.",""),4,9999))</f>
        <v/>
      </c>
      <c r="AT10" s="21" t="str">
        <f t="shared" si="17"/>
        <v/>
      </c>
      <c r="AU10" s="21" t="str">
        <f t="shared" si="18"/>
        <v/>
      </c>
      <c r="AV10" s="21" t="str">
        <f t="shared" si="19"/>
        <v/>
      </c>
      <c r="AW10" s="22">
        <f t="shared" si="20"/>
        <v>1</v>
      </c>
      <c r="AX10" s="21" t="str">
        <f t="shared" si="21"/>
        <v>|</v>
      </c>
      <c r="AY10" s="21" t="str">
        <f t="shared" si="22"/>
        <v/>
      </c>
      <c r="AZ10" s="22">
        <f>IF(AY10="",0,COUNTIF(nINT_Key,AY10))</f>
        <v>0</v>
      </c>
      <c r="BA10" s="22">
        <f>IF(D10="",0,IFERROR(MATCH(AX10&amp;"|"&amp;D10,nLNK_Key,0),0))</f>
        <v>0</v>
      </c>
      <c r="BB10" s="22">
        <f>IF(BA10=0,1,INDEX(nLNK_Exp_Found,BA10))</f>
        <v>1</v>
      </c>
      <c r="BC10" s="22">
        <f>IF(BA10=0,1,INDEX(nLNK_Evt_Found,BA10))</f>
        <v>1</v>
      </c>
      <c r="BD10" s="22">
        <f>IF(AP10="",0,COUNTIF(nEXP_Key,AX10&amp;"|"&amp;AP10))</f>
        <v>0</v>
      </c>
      <c r="BE10" s="22">
        <f>IF(AQ10="",0,COUNTIF(nEVT_Key,AX10&amp;"|"&amp;AQ10))</f>
        <v>0</v>
      </c>
      <c r="BF10" s="22">
        <f>IF(ISNA(MATCH(E10,nLIST_AnchorType,0)),0,1)</f>
        <v>0</v>
      </c>
      <c r="BG10" s="22">
        <f t="shared" si="23"/>
        <v>0</v>
      </c>
      <c r="BH10" s="22">
        <f t="shared" si="24"/>
        <v>0</v>
      </c>
      <c r="BI10" s="22">
        <f>IF(OR(AW10=1,AK10=""),0,IFERROR(MATCH(AX10&amp;"|"&amp;AK10,nTP_Key,0),0))</f>
        <v>0</v>
      </c>
      <c r="BJ10" s="21">
        <f>IF(BI10=0,0,INDEX(nTP_Dup,BI10))</f>
        <v>0</v>
      </c>
      <c r="BK10" s="21" t="str">
        <f>IF(BI10=0,"",INDEX(nTP_Record_Type,BI10))</f>
        <v/>
      </c>
      <c r="BL10" s="21" t="str">
        <f>IF(BI10=0,"",INDEX(nTP_Precision,BI10))</f>
        <v/>
      </c>
      <c r="BM10" s="21" t="str">
        <f>IF(BI10=0,"",INDEX(nTP_Err,BI10))</f>
        <v/>
      </c>
      <c r="BN10" s="21">
        <f>IF(BI10=0,0,INDEX(nTP_HT,BI10))</f>
        <v>0</v>
      </c>
      <c r="BO10" s="21">
        <f>IF(BI10=0,0,INDEX(nTP_OK,BI10))</f>
        <v>0</v>
      </c>
      <c r="BP10" s="21" t="str">
        <f>IF(BI10=0,"",INDEX(nTP_Loc,BI10))</f>
        <v/>
      </c>
      <c r="BQ10" s="21" t="str">
        <f>IF(BI10=0,"",INDEX(nTP_UTC,BI10))</f>
        <v/>
      </c>
      <c r="BR10" s="21" t="str">
        <f>IF(BI10=0,"",INDEX(nTP_Lo,BI10))</f>
        <v/>
      </c>
      <c r="BS10" s="21" t="str">
        <f>IF(BI10=0,"",INDEX(nTP_Hi,BI10))</f>
        <v/>
      </c>
      <c r="BT10" s="21" t="str">
        <f>IF(BI10=0,"",INDEX(nTP_Original_Text,BI10))</f>
        <v/>
      </c>
      <c r="BU10" s="21" t="str">
        <f>IF(BI10=0,"",INDEX(nTP_Source,BI10))</f>
        <v/>
      </c>
      <c r="BV10" s="21" t="str">
        <f>IF(BI10=0,"",INDEX(nTP_Lab_Note,BI10))</f>
        <v/>
      </c>
      <c r="BW10" s="22">
        <f t="shared" si="25"/>
        <v>0</v>
      </c>
      <c r="BX10" s="21" t="str">
        <f t="shared" si="26"/>
        <v>||</v>
      </c>
      <c r="BY10" s="22">
        <f>IF(BG10=0,0,COUNTIF(nTP_CandKey,BX10))</f>
        <v>0</v>
      </c>
      <c r="BZ10" s="22">
        <f>IF(BG10=0,0,COUNTIFS(nTP_CandKey,BX10,nTP_Err,""))</f>
        <v>0</v>
      </c>
      <c r="CA10" s="21" t="str">
        <f>IF(BY10=BZ10,"",IF(COUNTIFS(nTP_CandKey,BX10,nTP_Err,"E_INVALID_DATE")&gt;0,"; E_INVALID_DATE","")&amp;IF(COUNTIFS(nTP_CandKey,BX10,nTP_Err,"E_REVERSED_BOUNDS")&gt;0,"; E_REVERSED_BOUNDS","")&amp;IF(COUNTIFS(nTP_CandKey,BX10,nTP_Err,"E_MISSING_INPUT")&gt;0,"; E_MISSING_INPUT","")&amp;IF(COUNTIFS(nTP_CandKey,BX10,nTP_Err,"E_INVALID_UNIT")&gt;0,"; E_INVALID_UNIT",""))</f>
        <v/>
      </c>
      <c r="CB10" s="22">
        <f t="shared" si="27"/>
        <v>0</v>
      </c>
      <c r="CC10" s="22">
        <f>IF(CB10=0,0,SUMPRODUCT((nTP_CandKey=BX10)*(nTP_Err="")*(1-(nTP_HT*BN10*((nTP_OK*BO10*(nTP_UTC_n-N(BQ10))+(1-nTP_OK*BO10)*(nTP_Loc_n-N(BP10)))&lt;=0)+(1-nTP_HT*BN10)*(nTP_Hi_n&lt;N(BR10)))-(nTP_HT*BN10*((nTP_OK*BO10*(nTP_UTC_n-N(BQ10))+(1-nTP_OK*BO10)*(nTP_Loc_n-N(BP10)))&gt;0)+(1-nTP_HT*BN10)*(nTP_Lo_n&gt;N(BS10)))-((1-nTP_HT*BN10)*(nTP_Lo_n=nTP_Hi_n)*(nTP_Lo_n=N(BR10))*(N(BR10)=N(BS10))))))</f>
        <v>0</v>
      </c>
      <c r="CD10" s="22">
        <f>IF(CB10=0,0,SUMPRODUCT((nTP_CandKey=BX10)*nTP_Exact*((nTP_HT*BN10*((nTP_OK*BO10*(nTP_UTC_n-N(BQ10))+(1-nTP_OK*BO10)*(nTP_Loc_n-N(BP10)))&lt;=0)+(1-nTP_HT*BN10)*(nTP_Hi_n&lt;N(BR10)))+((1-nTP_HT*BN10)*(nTP_Lo_n=nTP_Hi_n)*(nTP_Lo_n=N(BR10))*(N(BR10)=N(BS10))))))</f>
        <v>0</v>
      </c>
      <c r="CE10" s="22">
        <f>IF(CB10=0,0,SUMPRODUCT((nTP_CandKey=BX10)*(nTP_Err="")*(1-nTP_Exact)*((nTP_HT*BN10*((nTP_OK*BO10*(nTP_UTC_n-N(BQ10))+(1-nTP_OK*BO10)*(nTP_Loc_n-N(BP10)))&lt;=0)+(1-nTP_HT*BN10)*(nTP_Hi_n&lt;N(BR10)))+((1-nTP_HT*BN10)*(nTP_Lo_n=nTP_Hi_n)*(nTP_Lo_n=N(BR10))*(N(BR10)=N(BS10))))))</f>
        <v>0</v>
      </c>
      <c r="CF10" s="22">
        <f>IF(CD10=0,0,SUMPRODUCT(MAX((nTP_CandKey=BX10)*nTP_Exact*((nTP_HT*BN10*((nTP_OK*BO10*(nTP_UTC_n-N(BQ10))+(1-nTP_OK*BO10)*(nTP_Loc_n-N(BP10)))&lt;=0)+(1-nTP_HT*BN10)*(nTP_Hi_n&lt;N(BR10)))+((1-nTP_HT*BN10)*(nTP_Lo_n=nTP_Hi_n)*(nTP_Lo_n=N(BR10))*(N(BR10)=N(BS10))))*nTP_Lo_n)))</f>
        <v>0</v>
      </c>
      <c r="CG10" s="22">
        <f>IF(CD10=0,0,SUMPRODUCT((nTP_CandKey=BX10)*nTP_Exact*((nTP_HT*BN10*((nTP_OK*BO10*(nTP_UTC_n-N(BQ10))+(1-nTP_OK*BO10)*(nTP_Loc_n-N(BP10)))&lt;=0)+(1-nTP_HT*BN10)*(nTP_Hi_n&lt;N(BR10)))+((1-nTP_HT*BN10)*(nTP_Lo_n=nTP_Hi_n)*(nTP_Lo_n=N(BR10))*(N(BR10)=N(BS10))))*(nTP_Lo_n=CF10)))</f>
        <v>0</v>
      </c>
      <c r="CH10" s="22">
        <f>IF(CD10=0,0,SUMPRODUCT((nTP_CandKey=BX10)*nTP_Exact*((nTP_HT*BN10*((nTP_OK*BO10*(nTP_UTC_n-N(BQ10))+(1-nTP_OK*BO10)*(nTP_Loc_n-N(BP10)))&lt;=0)+(1-nTP_HT*BN10)*(nTP_Hi_n&lt;N(BR10)))+((1-nTP_HT*BN10)*(nTP_Lo_n=nTP_Hi_n)*(nTP_Lo_n=N(BR10))*(N(BR10)=N(BS10))))*(1-nTP_HT)*(nTP_Lo_n=CF10)))</f>
        <v>0</v>
      </c>
      <c r="CI10" s="22">
        <f>IF(CD10=0,0,SUMPRODUCT(MAX((nTP_CandKey=BX10)*nTP_Exact*((nTP_HT*BN10*((nTP_OK*BO10*(nTP_UTC_n-N(BQ10))+(1-nTP_OK*BO10)*(nTP_Loc_n-N(BP10)))&lt;=0)+(1-nTP_HT*BN10)*(nTP_Hi_n&lt;N(BR10)))+((1-nTP_HT*BN10)*(nTP_Lo_n=nTP_Hi_n)*(nTP_Lo_n=N(BR10))*(N(BR10)=N(BS10))))*(1-nTP_HT)*nTP_Lo_n)))</f>
        <v>0</v>
      </c>
      <c r="CJ10" s="22">
        <f>IF(CD10=0,0,SUMPRODUCT(MAX((nTP_CandKey=BX10)*nTP_Exact*((nTP_HT*BN10*((nTP_OK*BO10*(nTP_UTC_n-N(BQ10))+(1-nTP_OK*BO10)*(nTP_Loc_n-N(BP10)))&lt;=0)+(1-nTP_HT*BN10)*(nTP_Hi_n&lt;N(BR10)))+((1-nTP_HT*BN10)*(nTP_Lo_n=nTP_Hi_n)*(nTP_Lo_n=N(BR10))*(N(BR10)=N(BS10))))*nTP_HT*nTP_OK*nTP_UTC_n)))</f>
        <v>0</v>
      </c>
      <c r="CK10" s="22">
        <f>IF(CJ10=0,0,SUMPRODUCT((nTP_CandKey=BX10)*nTP_Exact*((nTP_HT*BN10*((nTP_OK*BO10*(nTP_UTC_n-N(BQ10))+(1-nTP_OK*BO10)*(nTP_Loc_n-N(BP10)))&lt;=0)+(1-nTP_HT*BN10)*(nTP_Hi_n&lt;N(BR10)))+((1-nTP_HT*BN10)*(nTP_Lo_n=nTP_Hi_n)*(nTP_Lo_n=N(BR10))*(N(BR10)=N(BS10))))*nTP_HT*nTP_OK*(nTP_UTC_n=CJ10)))</f>
        <v>0</v>
      </c>
      <c r="CL10" s="22">
        <f>IF(CK10&lt;&gt;1,0,SUMPRODUCT((nTP_CandKey=BX10)*nTP_Exact*((nTP_HT*BN10*((nTP_OK*BO10*(nTP_UTC_n-N(BQ10))+(1-nTP_OK*BO10)*(nTP_Loc_n-N(BP10)))&lt;=0)+(1-nTP_HT*BN10)*(nTP_Hi_n&lt;N(BR10)))+((1-nTP_HT*BN10)*(nTP_Lo_n=nTP_Hi_n)*(nTP_Lo_n=N(BR10))*(N(BR10)=N(BS10))))*nTP_HT*nTP_OK*(nTP_UTC_n=CJ10)*nTP_Loc_n))</f>
        <v>0</v>
      </c>
      <c r="CM10" s="22">
        <f>IF(CK10&lt;&gt;1,0,SUMPRODUCT((nTP_CandKey=BX10)*nTP_Exact*((nTP_HT*BN10*((nTP_OK*BO10*(nTP_UTC_n-N(BQ10))+(1-nTP_OK*BO10)*(nTP_Loc_n-N(BP10)))&lt;=0)+(1-nTP_HT*BN10)*(nTP_Hi_n&lt;N(BR10)))+((1-nTP_HT*BN10)*(nTP_Lo_n=nTP_Hi_n)*(nTP_Lo_n=N(BR10))*(N(BR10)=N(BS10))))*nTP_HT*nTP_OK*(nTP_UTC_n=CJ10)*nTP_Lo_n))</f>
        <v>0</v>
      </c>
      <c r="CN10" s="22">
        <f>IF(CD10=0,0,SUMPRODUCT(MAX((nTP_CandKey=BX10)*nTP_Exact*((nTP_HT*BN10*((nTP_OK*BO10*(nTP_UTC_n-N(BQ10))+(1-nTP_OK*BO10)*(nTP_Loc_n-N(BP10)))&lt;=0)+(1-nTP_HT*BN10)*(nTP_Hi_n&lt;N(BR10)))+((1-nTP_HT*BN10)*(nTP_Lo_n=nTP_Hi_n)*(nTP_Lo_n=N(BR10))*(N(BR10)=N(BS10))))*nTP_HT*(1-nTP_OK)*nTP_Loc_n)))</f>
        <v>0</v>
      </c>
      <c r="CO10" s="22">
        <f>IF(CN10=0,0,SUMPRODUCT((nTP_CandKey=BX10)*nTP_Exact*((nTP_HT*BN10*((nTP_OK*BO10*(nTP_UTC_n-N(BQ10))+(1-nTP_OK*BO10)*(nTP_Loc_n-N(BP10)))&lt;=0)+(1-nTP_HT*BN10)*(nTP_Hi_n&lt;N(BR10)))+((1-nTP_HT*BN10)*(nTP_Lo_n=nTP_Hi_n)*(nTP_Lo_n=N(BR10))*(N(BR10)=N(BS10))))*nTP_HT*(1-nTP_OK)*(nTP_Loc_n=CN10)))</f>
        <v>0</v>
      </c>
      <c r="CP10" s="22">
        <f>IF(CO10&lt;&gt;1,0,SUMPRODUCT((nTP_CandKey=BX10)*nTP_Exact*((nTP_HT*BN10*((nTP_OK*BO10*(nTP_UTC_n-N(BQ10))+(1-nTP_OK*BO10)*(nTP_Loc_n-N(BP10)))&lt;=0)+(1-nTP_HT*BN10)*(nTP_Hi_n&lt;N(BR10)))+((1-nTP_HT*BN10)*(nTP_Lo_n=nTP_Hi_n)*(nTP_Lo_n=N(BR10))*(N(BR10)=N(BS10))))*nTP_HT*(1-nTP_OK)*(nTP_Loc_n=CN10)*nTP_Lo_n))</f>
        <v>0</v>
      </c>
      <c r="CQ10" s="22">
        <f>IF(CD10=0,0,SUMPRODUCT(MAX((nTP_CandKey=BX10)*nTP_Exact*((nTP_HT*BN10*((nTP_OK*BO10*(nTP_UTC_n-N(BQ10))+(1-nTP_OK*BO10)*(nTP_Loc_n-N(BP10)))&lt;=0)+(1-nTP_HT*BN10)*(nTP_Hi_n&lt;N(BR10)))+((1-nTP_HT*BN10)*(nTP_Lo_n=nTP_Hi_n)*(nTP_Lo_n=N(BR10))*(N(BR10)=N(BS10))))*nTP_HT*nTP_OK*nTP_Loc_n)))</f>
        <v>0</v>
      </c>
      <c r="CR10" s="22">
        <f t="shared" si="28"/>
        <v>0</v>
      </c>
      <c r="CS10" s="22">
        <f>IF(CR10=0,0,IF(CR10=1,MATCH(1,INDEX((nTP_CandKey=BX10)*nTP_Exact*((nTP_HT*BN10*((nTP_OK*BO10*(nTP_UTC_n-N(BQ10))+(1-nTP_OK*BO10)*(nTP_Loc_n-N(BP10)))&lt;=0)+(1-nTP_HT*BN10)*(nTP_Hi_n&lt;N(BR10)))+((1-nTP_HT*BN10)*(nTP_Lo_n=nTP_Hi_n)*(nTP_Lo_n=N(BR10))*(N(BR10)=N(BS10))))*(1-nTP_HT)*(nTP_Lo_n=CF10),0),0),IF(CR10=2,MATCH(1,INDEX((nTP_CandKey=BX10)*nTP_Exact*((nTP_HT*BN10*((nTP_OK*BO10*(nTP_UTC_n-N(BQ10))+(1-nTP_OK*BO10)*(nTP_Loc_n-N(BP10)))&lt;=0)+(1-nTP_HT*BN10)*(nTP_Hi_n&lt;N(BR10)))+((1-nTP_HT*BN10)*(nTP_Lo_n=nTP_Hi_n)*(nTP_Lo_n=N(BR10))*(N(BR10)=N(BS10))))*nTP_HT*nTP_OK*(nTP_UTC_n=CJ10),0),0),MATCH(1,INDEX((nTP_CandKey=BX10)*nTP_Exact*((nTP_HT*BN10*((nTP_OK*BO10*(nTP_UTC_n-N(BQ10))+(1-nTP_OK*BO10)*(nTP_Loc_n-N(BP10)))&lt;=0)+(1-nTP_HT*BN10)*(nTP_Hi_n&lt;N(BR10)))+((1-nTP_HT*BN10)*(nTP_Lo_n=nTP_Hi_n)*(nTP_Lo_n=N(BR10))*(N(BR10)=N(BS10))))*nTP_HT*(1-nTP_OK)*(nTP_Loc_n=CN10),0),0))))</f>
        <v>0</v>
      </c>
      <c r="CT10" s="22">
        <f>IF(CS10=0,0,INDEX(nTP_Lo_n,CS10))</f>
        <v>0</v>
      </c>
      <c r="CU10" s="22">
        <f>IF(CS10=0,0,SUMPRODUCT((nTP_CandKey=BX10)*(nTP_Err="")*(1-nTP_Exact)*((nTP_HT*BN10*((nTP_OK*BO10*(nTP_UTC_n-N(BQ10))+(1-nTP_OK*BO10)*(nTP_Loc_n-N(BP10)))&lt;=0)+(1-nTP_HT*BN10)*(nTP_Hi_n&lt;N(BR10)))+((1-nTP_HT*BN10)*(nTP_Lo_n=nTP_Hi_n)*(nTP_Lo_n=N(BR10))*(N(BR10)=N(BS10))))*(nTP_Hi_n&gt;=CT10)))</f>
        <v>0</v>
      </c>
      <c r="CV10" s="21" t="str">
        <f t="shared" si="29"/>
        <v/>
      </c>
      <c r="CW10" s="21" t="str">
        <f>IF(AND(BG10=1,CB10=1,CV10="",CS10&gt;0),INDEX(nTP_Record_ID,CS10)&amp;"","")</f>
        <v/>
      </c>
      <c r="CX10" s="21" t="str">
        <f>IF(OR(CV10="",BG10=0),"",IF(CV10="none","an administration record (last dose before onset)",IF(CV10="uncertain","the anchor record: "&amp;INDEX(nTP_Record_ID,MATCH(1,INDEX((nTP_CandKey=BX10)*(nTP_Err="")*(1-(nTP_HT*BN10*((nTP_OK*BO10*(nTP_UTC_n-N(BQ10))+(1-nTP_OK*BO10)*(nTP_Loc_n-N(BP10)))&lt;=0)+(1-nTP_HT*BN10)*(nTP_Hi_n&lt;N(BR10)))-(nTP_HT*BN10*((nTP_OK*BO10*(nTP_UTC_n-N(BQ10))+(1-nTP_OK*BO10)*(nTP_Loc_n-N(BP10)))&gt;0)+(1-nTP_HT*BN10)*(nTP_Lo_n&gt;N(BS10)))-((1-nTP_HT*BN10)*(nTP_Lo_n=nTP_Hi_n)*(nTP_Lo_n=N(BR10))*(N(BR10)=N(BS10)))),0),0))&amp;IF(CC10&gt;1," and "&amp;(CC10-1)&amp;" more","")&amp;" may fall before or after the end point, so the last dose cannot be identified from the recorded dates",IF(CV10="noneligible","the anchor record: no administration with an exact date is recorded at or before the end point",IF(CV10="tie","the anchor record: the order of the latest administrations cannot be told from the recorded dates and times","the anchor record: partial-date administration "&amp;INDEX(nTP_Record_ID,MATCH(1,INDEX((nTP_CandKey=BX10)*(nTP_Err="")*(1-nTP_Exact)*((nTP_HT*BN10*((nTP_OK*BO10*(nTP_UTC_n-N(BQ10))+(1-nTP_OK*BO10)*(nTP_Loc_n-N(BP10)))&lt;=0)+(1-nTP_HT*BN10)*(nTP_Hi_n&lt;N(BR10)))+((1-nTP_HT*BN10)*(nTP_Lo_n=nTP_Hi_n)*(nTP_Lo_n=N(BR10))*(N(BR10)=N(BS10))))*(nTP_Hi_n&gt;=CT10),0),0))&amp;" could be the last dose before the end point")))))</f>
        <v/>
      </c>
      <c r="CY10" s="22">
        <f>IF(OR(AW10=1,AJ10=""),0,IFERROR(MATCH(AX10&amp;"|"&amp;AJ10,nTP_Key,0),0))</f>
        <v>0</v>
      </c>
      <c r="CZ10" s="21">
        <f>IF(CY10=0,0,INDEX(nTP_Dup,CY10))</f>
        <v>0</v>
      </c>
      <c r="DA10" s="21" t="str">
        <f>IF(CY10=0,"",INDEX(nTP_Record_Type,CY10))</f>
        <v/>
      </c>
      <c r="DB10" s="21" t="str">
        <f>IF(CY10=0,"",INDEX(nTP_Precision,CY10))</f>
        <v/>
      </c>
      <c r="DC10" s="21" t="str">
        <f>IF(CY10=0,"",INDEX(nTP_Err,CY10))</f>
        <v/>
      </c>
      <c r="DD10" s="21">
        <f>IF(CY10=0,0,INDEX(nTP_HT,CY10))</f>
        <v>0</v>
      </c>
      <c r="DE10" s="21">
        <f>IF(CY10=0,0,INDEX(nTP_OK,CY10))</f>
        <v>0</v>
      </c>
      <c r="DF10" s="21" t="str">
        <f>IF(CY10=0,"",INDEX(nTP_Loc,CY10))</f>
        <v/>
      </c>
      <c r="DG10" s="21" t="str">
        <f>IF(CY10=0,"",INDEX(nTP_UTC,CY10))</f>
        <v/>
      </c>
      <c r="DH10" s="21" t="str">
        <f>IF(CY10=0,"",INDEX(nTP_Lo,CY10))</f>
        <v/>
      </c>
      <c r="DI10" s="21" t="str">
        <f>IF(CY10=0,"",INDEX(nTP_Hi,CY10))</f>
        <v/>
      </c>
      <c r="DJ10" s="21" t="str">
        <f>IF(CY10=0,"",INDEX(nTP_Original_Text,CY10))</f>
        <v/>
      </c>
      <c r="DK10" s="21" t="str">
        <f>IF(CY10=0,"",INDEX(nTP_Source,CY10))</f>
        <v/>
      </c>
      <c r="DL10" s="22">
        <f t="shared" si="30"/>
        <v>0</v>
      </c>
      <c r="DM10" s="21" t="str">
        <f t="shared" si="31"/>
        <v/>
      </c>
      <c r="DN10" s="21" t="str">
        <f t="shared" si="32"/>
        <v/>
      </c>
      <c r="DO10" s="21" t="str">
        <f t="shared" si="33"/>
        <v/>
      </c>
      <c r="DP10" s="21" t="str">
        <f t="shared" si="34"/>
        <v/>
      </c>
      <c r="DQ10" s="21" t="str">
        <f t="shared" si="35"/>
        <v/>
      </c>
      <c r="DR10" s="22">
        <f>IF(OR(DQ10="",I10=""),0,IF(ISNA(MATCH(I10,nLIST_Mode,0)),1,IF(AND(I10="C1",DQ10&lt;&gt;"C1"),1,IF(AND(I10="C2",DQ10="C4"),1,0))))</f>
        <v>0</v>
      </c>
      <c r="DS10" s="21" t="str">
        <f t="shared" si="36"/>
        <v/>
      </c>
      <c r="DT10" s="22">
        <f t="shared" si="37"/>
        <v>0</v>
      </c>
      <c r="DU10" s="21" t="str">
        <f>IF(DT10=0,"",IF(COUNTIFS(nTP_Case_Key,AX10,nTP_Record_Type,"MILESTONE:INTERVENTION",nTP_Err,"E_INVALID_DATE")&gt;0,"; E_INVALID_DATE","")&amp;IF(COUNTIFS(nTP_Case_Key,AX10,nTP_Record_Type,"MILESTONE:INTERVENTION",nTP_Err,"E_REVERSED_BOUNDS")&gt;0,"; E_REVERSED_BOUNDS","")&amp;IF(COUNTIFS(nTP_Case_Key,AX10,nTP_Record_Type,"MILESTONE:INTERVENTION",nTP_Err,"E_MISSING_INPUT")&gt;0,"; E_MISSING_INPUT","")&amp;IF(COUNTIFS(nTP_Case_Key,AX10,nTP_Record_Type,"MILESTONE:INTERVENTION",nTP_Err,"E_INVALID_UNIT")&gt;0,"; E_INVALID_UNIT",""))</f>
        <v/>
      </c>
      <c r="DV10" s="22">
        <f>IF(DT10=0,0,SUMPRODUCT((nMS_CaseKey=AX10)*(nMS_Type="INTERVENTION")*nMS_Undated))</f>
        <v>0</v>
      </c>
      <c r="DW10" s="21" t="str">
        <f t="shared" si="38"/>
        <v/>
      </c>
      <c r="DX10" s="21" t="str">
        <f t="shared" si="39"/>
        <v/>
      </c>
      <c r="DY10" s="22">
        <f t="shared" si="40"/>
        <v>1</v>
      </c>
      <c r="DZ10" s="21" t="str">
        <f t="shared" si="41"/>
        <v/>
      </c>
      <c r="EA10" s="21" t="str">
        <f t="shared" si="42"/>
        <v/>
      </c>
      <c r="EB10" s="21" t="str">
        <f t="shared" si="43"/>
        <v/>
      </c>
      <c r="EC10" s="21" t="str">
        <f t="shared" si="44"/>
        <v/>
      </c>
      <c r="ED10" s="22">
        <f t="shared" si="45"/>
        <v>0</v>
      </c>
      <c r="EE10" s="22">
        <f t="shared" si="46"/>
        <v>0</v>
      </c>
      <c r="EF10" s="21" t="str">
        <f>IF(ED10=0,"",IF(OR(NOT(ISNUMBER(L10)),NOT(ISNUMBER(M10))),"I_APPROXIMATE_NOT_COMPARED",IF(AND(N10&lt;&gt;"",ISNA(MATCH(N10,nLIST_ReportedUnit,0))),"E_INVALID_UNIT",IF(N10="","E_MISSING_INPUT",IF(L10&gt;M10,"E_REVERSED_BOUNDS",IF(OR(N10="weeks",N10="months",N10="years"),"I_APPROXIMATE_NOT_COMPARED",IF(DX10&lt;&gt;"","",IF(EE10=0,"I_APPROXIMATE_NOT_COMPARED",IF(AND(L10*EE10&lt;=IF(DS10="C4",EC10,IF(DS10="C1",DZ10,EA10)),M10*EE10&gt;=IF(DS10="C4",EB10,IF(DS10="C1",DZ10,EA10))),"OVERLAP","W_REPORTED_TIMING_CONFLICT")))))))))</f>
        <v/>
      </c>
      <c r="EG10" s="21" t="str">
        <f t="shared" si="47"/>
        <v/>
      </c>
      <c r="EH10" s="21" t="str">
        <f t="shared" si="48"/>
        <v/>
      </c>
      <c r="EI10" s="22">
        <f t="shared" si="49"/>
        <v>0</v>
      </c>
      <c r="EJ10" s="22">
        <f t="shared" si="50"/>
        <v>0</v>
      </c>
      <c r="EK10" s="22">
        <f t="shared" si="51"/>
        <v>0</v>
      </c>
      <c r="EL10" s="28" t="str">
        <f t="shared" si="52"/>
        <v/>
      </c>
      <c r="EM10" s="28" t="str">
        <f t="shared" si="53"/>
        <v/>
      </c>
      <c r="EN10" s="21" t="str">
        <f t="shared" si="54"/>
        <v/>
      </c>
      <c r="EO10" s="22">
        <f>IF(OR(DT10=0,DX10&lt;&gt;""),0,SUMPRODUCT((nTP_Case_Key=AX10)*(nTP_Record_Type="MILESTONE:INTERVENTION")*(nTP_Err="")*(nTP_HT*DD10*BN10*(nTP_OK*DE10*(nTP_UTC_n&gt;=N(DG10))+(1-nTP_OK*DE10)*(nTP_Loc_n&gt;=N(DF10)))*(nTP_OK*BO10*(nTP_UTC_n&lt;=N(BQ10))+(1-nTP_OK*BO10)*(nTP_Loc_n&lt;=N(BP10)))+(1-nTP_HT*DD10*BN10)*(nTP_Hi_n&gt;=N(DH10))*(nTP_Lo_n&lt;=N(BS10)))))</f>
        <v>0</v>
      </c>
      <c r="EP10" s="22">
        <f>IF(OR(DT10=0,DX10&lt;&gt;""),0,SUMPRODUCT((nTP_Case_Key=AX10)*(nTP_Role="treatment of the event")*((nTP_Record_Type="EXPOSURE_START")+(nTP_Record_Type="ADMINISTRATION"))*(nTP_Err="")*(nTP_HT*DD10*BN10*(nTP_OK*DE10*(nTP_UTC_n&gt;=N(DG10))+(1-nTP_OK*DE10)*(nTP_Loc_n&gt;=N(DF10)))*(nTP_OK*BO10*(nTP_UTC_n&lt;=N(BQ10))+(1-nTP_OK*BO10)*(nTP_Loc_n&lt;=N(BP10)))+(1-nTP_HT*DD10*BN10)*(nTP_Hi_n&gt;=N(DH10))*(nTP_Lo_n&lt;=N(BS10)))))</f>
        <v>0</v>
      </c>
      <c r="EQ10" s="22">
        <f>IF(EO10&lt;1,0,IFERROR(_xlfn.AGGREGATE(15,6,nTP_RowN/((nTP_Case_Key=AX10)*(nTP_Record_Type="MILESTONE:INTERVENTION")*(nTP_Err="")*(nTP_HT*DD10*BN10*(nTP_OK*DE10*(nTP_UTC_n&gt;=N(DG10))+(1-nTP_OK*DE10)*(nTP_Loc_n&gt;=N(DF10)))*(nTP_OK*BO10*(nTP_UTC_n&lt;=N(BQ10))+(1-nTP_OK*BO10)*(nTP_Loc_n&lt;=N(BP10)))+(1-nTP_HT*DD10*BN10)*(nTP_Hi_n&gt;=N(DH10))*(nTP_Lo_n&lt;=N(BS10)))),1),0))</f>
        <v>0</v>
      </c>
      <c r="ER10" s="22">
        <f>IF(EO10&lt;2,0,IFERROR(_xlfn.AGGREGATE(15,6,nTP_RowN/((nTP_Case_Key=AX10)*(nTP_Record_Type="MILESTONE:INTERVENTION")*(nTP_Err="")*(nTP_HT*DD10*BN10*(nTP_OK*DE10*(nTP_UTC_n&gt;=N(DG10))+(1-nTP_OK*DE10)*(nTP_Loc_n&gt;=N(DF10)))*(nTP_OK*BO10*(nTP_UTC_n&lt;=N(BQ10))+(1-nTP_OK*BO10)*(nTP_Loc_n&lt;=N(BP10)))+(1-nTP_HT*DD10*BN10)*(nTP_Hi_n&gt;=N(DH10))*(nTP_Lo_n&lt;=N(BS10)))),2),0))</f>
        <v>0</v>
      </c>
      <c r="ES10" s="22">
        <f>IF(EO10&lt;3,0,IFERROR(_xlfn.AGGREGATE(15,6,nTP_RowN/((nTP_Case_Key=AX10)*(nTP_Record_Type="MILESTONE:INTERVENTION")*(nTP_Err="")*(nTP_HT*DD10*BN10*(nTP_OK*DE10*(nTP_UTC_n&gt;=N(DG10))+(1-nTP_OK*DE10)*(nTP_Loc_n&gt;=N(DF10)))*(nTP_OK*BO10*(nTP_UTC_n&lt;=N(BQ10))+(1-nTP_OK*BO10)*(nTP_Loc_n&lt;=N(BP10)))+(1-nTP_HT*DD10*BN10)*(nTP_Hi_n&gt;=N(DH10))*(nTP_Lo_n&lt;=N(BS10)))),3),0))</f>
        <v>0</v>
      </c>
      <c r="ET10" s="22">
        <f>IF(EP10&lt;1,0,IFERROR(_xlfn.AGGREGATE(15,6,nTP_RowN/((nTP_Case_Key=AX10)*(nTP_Role="treatment of the event")*((nTP_Record_Type="EXPOSURE_START")+(nTP_Record_Type="ADMINISTRATION"))*(nTP_Err="")*(nTP_HT*DD10*BN10*(nTP_OK*DE10*(nTP_UTC_n&gt;=N(DG10))+(1-nTP_OK*DE10)*(nTP_Loc_n&gt;=N(DF10)))*(nTP_OK*BO10*(nTP_UTC_n&lt;=N(BQ10))+(1-nTP_OK*BO10)*(nTP_Loc_n&lt;=N(BP10)))+(1-nTP_HT*DD10*BN10)*(nTP_Hi_n&gt;=N(DH10))*(nTP_Lo_n&lt;=N(BS10)))),1),0))</f>
        <v>0</v>
      </c>
      <c r="EU10" s="22">
        <f>IF(EP10&lt;2,0,IFERROR(_xlfn.AGGREGATE(15,6,nTP_RowN/((nTP_Case_Key=AX10)*(nTP_Role="treatment of the event")*((nTP_Record_Type="EXPOSURE_START")+(nTP_Record_Type="ADMINISTRATION"))*(nTP_Err="")*(nTP_HT*DD10*BN10*(nTP_OK*DE10*(nTP_UTC_n&gt;=N(DG10))+(1-nTP_OK*DE10)*(nTP_Loc_n&gt;=N(DF10)))*(nTP_OK*BO10*(nTP_UTC_n&lt;=N(BQ10))+(1-nTP_OK*BO10)*(nTP_Loc_n&lt;=N(BP10)))+(1-nTP_HT*DD10*BN10)*(nTP_Hi_n&gt;=N(DH10))*(nTP_Lo_n&lt;=N(BS10)))),2),0))</f>
        <v>0</v>
      </c>
      <c r="EV10" s="22">
        <f>IF(EP10&lt;3,0,IFERROR(_xlfn.AGGREGATE(15,6,nTP_RowN/((nTP_Case_Key=AX10)*(nTP_Role="treatment of the event")*((nTP_Record_Type="EXPOSURE_START")+(nTP_Record_Type="ADMINISTRATION"))*(nTP_Err="")*(nTP_HT*DD10*BN10*(nTP_OK*DE10*(nTP_UTC_n&gt;=N(DG10))+(1-nTP_OK*DE10)*(nTP_Loc_n&gt;=N(DF10)))*(nTP_OK*BO10*(nTP_UTC_n&lt;=N(BQ10))+(1-nTP_OK*BO10)*(nTP_Loc_n&lt;=N(BP10)))+(1-nTP_HT*DD10*BN10)*(nTP_Hi_n&gt;=N(DH10))*(nTP_Lo_n&lt;=N(BS10)))),3),0))</f>
        <v>0</v>
      </c>
      <c r="EW10" s="22">
        <f>IF(CE10&lt;1,0,IFERROR(_xlfn.AGGREGATE(15,6,nTP_RowN/((nTP_CandKey=BX10)*(nTP_Err="")*(1-nTP_Exact)*((nTP_HT*BN10*((nTP_OK*BO10*(nTP_UTC_n-N(BQ10))+(1-nTP_OK*BO10)*(nTP_Loc_n-N(BP10)))&lt;=0)+(1-nTP_HT*BN10)*(nTP_Hi_n&lt;N(BR10)))+((1-nTP_HT*BN10)*(nTP_Lo_n=nTP_Hi_n)*(nTP_Lo_n=N(BR10))*(N(BR10)=N(BS10))))),1),0))</f>
        <v>0</v>
      </c>
      <c r="EX10" s="22">
        <f>IF(CE10&lt;2,0,IFERROR(_xlfn.AGGREGATE(15,6,nTP_RowN/((nTP_CandKey=BX10)*(nTP_Err="")*(1-nTP_Exact)*((nTP_HT*BN10*((nTP_OK*BO10*(nTP_UTC_n-N(BQ10))+(1-nTP_OK*BO10)*(nTP_Loc_n-N(BP10)))&lt;=0)+(1-nTP_HT*BN10)*(nTP_Hi_n&lt;N(BR10)))+((1-nTP_HT*BN10)*(nTP_Lo_n=nTP_Hi_n)*(nTP_Lo_n=N(BR10))*(N(BR10)=N(BS10))))),2),0))</f>
        <v>0</v>
      </c>
      <c r="EY10" s="22">
        <f>IF(CE10&lt;3,0,IFERROR(_xlfn.AGGREGATE(15,6,nTP_RowN/((nTP_CandKey=BX10)*(nTP_Err="")*(1-nTP_Exact)*((nTP_HT*BN10*((nTP_OK*BO10*(nTP_UTC_n-N(BQ10))+(1-nTP_OK*BO10)*(nTP_Loc_n-N(BP10)))&lt;=0)+(1-nTP_HT*BN10)*(nTP_Hi_n&lt;N(BR10)))+((1-nTP_HT*BN10)*(nTP_Lo_n=nTP_Hi_n)*(nTP_Lo_n=N(BR10))*(N(BR10)=N(BS10))))),3),0))</f>
        <v>0</v>
      </c>
      <c r="EZ10" s="21" t="str">
        <f>IF(EO10=0,"",MID(IF(EQ10&gt;0,"; "&amp;INDEX(nTP_Record_ID,EQ10)&amp;IF(INDEX(nTP_Label,EQ10)="",""," ("&amp;INDEX(nTP_Label,EQ10)&amp;")"),"")&amp;IF(ER10&gt;0,"; "&amp;INDEX(nTP_Record_ID,ER10)&amp;IF(INDEX(nTP_Label,ER10)="",""," ("&amp;INDEX(nTP_Label,ER10)&amp;")"),"")&amp;IF(ES10&gt;0,"; "&amp;INDEX(nTP_Record_ID,ES10)&amp;IF(INDEX(nTP_Label,ES10)="",""," ("&amp;INDEX(nTP_Label,ES10)&amp;")"),"")&amp;IF(EO10&gt;3,"; and "&amp;(EO10-3)&amp;" more",""),3,999))</f>
        <v/>
      </c>
      <c r="FA10" s="21" t="str">
        <f>IF(EO10=0,"",MID(IF(EQ10&gt;0,"; "&amp;INDEX(nTP_Record_ID,EQ10),"")&amp;IF(ER10&gt;0,"; "&amp;INDEX(nTP_Record_ID,ER10),"")&amp;IF(ES10&gt;0,"; "&amp;INDEX(nTP_Record_ID,ES10),"")&amp;IF(EO10&gt;3,"; and "&amp;(EO10-3)&amp;" more",""),3,999))</f>
        <v/>
      </c>
      <c r="FB10" s="21" t="str">
        <f>IF(EP10=0,"",MID(IF(ET10&gt;0,"; "&amp;INDEX(nTP_Record_ID,ET10)&amp;IF(INDEX(nTP_Label,ET10)="",""," ("&amp;INDEX(nTP_Label,ET10)&amp;")"),"")&amp;IF(EU10&gt;0,"; "&amp;INDEX(nTP_Record_ID,EU10)&amp;IF(INDEX(nTP_Label,EU10)="",""," ("&amp;INDEX(nTP_Label,EU10)&amp;")"),"")&amp;IF(EV10&gt;0,"; "&amp;INDEX(nTP_Record_ID,EV10)&amp;IF(INDEX(nTP_Label,EV10)="",""," ("&amp;INDEX(nTP_Label,EV10)&amp;")"),"")&amp;IF(EP10&gt;3,"; and "&amp;(EP10-3)&amp;" more",""),3,999))</f>
        <v/>
      </c>
      <c r="FC10" s="21" t="str">
        <f>IF(CE10=0,"",MID(IF(EW10&gt;0,"; "&amp;INDEX(nTP_Record_ID,EW10),"")&amp;IF(EX10&gt;0,"; "&amp;INDEX(nTP_Record_ID,EX10),"")&amp;IF(EY10&gt;0,"; "&amp;INDEX(nTP_Record_ID,EY10),"")&amp;IF(CE10&gt;3,"; and "&amp;(CE10-3)&amp;" more",""),3,999))</f>
        <v/>
      </c>
      <c r="FD10" s="22">
        <f t="shared" si="55"/>
        <v>0</v>
      </c>
      <c r="FE10" s="22">
        <f t="shared" si="56"/>
        <v>0</v>
      </c>
      <c r="FF10" s="22">
        <f t="shared" si="57"/>
        <v>0</v>
      </c>
      <c r="FG10" s="22">
        <f t="shared" si="58"/>
        <v>0</v>
      </c>
      <c r="FH10" s="22">
        <f t="shared" si="59"/>
        <v>0</v>
      </c>
      <c r="FI10" s="22">
        <f t="shared" si="60"/>
        <v>0</v>
      </c>
      <c r="FJ10" s="22">
        <f t="shared" si="61"/>
        <v>0</v>
      </c>
      <c r="FK10" s="22">
        <f t="shared" si="62"/>
        <v>0</v>
      </c>
    </row>
    <row r="11" spans="1:167" x14ac:dyDescent="0.2">
      <c r="A11" s="10"/>
      <c r="B11" s="10"/>
      <c r="C11" s="12"/>
      <c r="D11" s="10"/>
      <c r="E11" s="17"/>
      <c r="F11" s="10"/>
      <c r="G11" s="10"/>
      <c r="H11" s="10"/>
      <c r="I11" s="17"/>
      <c r="J11" s="17"/>
      <c r="K11" s="10"/>
      <c r="L11" s="17"/>
      <c r="M11" s="17"/>
      <c r="N11" s="17"/>
      <c r="O11" s="10"/>
      <c r="P11" s="15"/>
      <c r="Q11" s="15"/>
      <c r="R11" s="10"/>
      <c r="S11" s="10"/>
      <c r="T11" s="21" t="str">
        <f t="shared" si="0"/>
        <v/>
      </c>
      <c r="U11" s="21" t="str">
        <f t="shared" si="1"/>
        <v/>
      </c>
      <c r="V11" s="21" t="str">
        <f t="shared" si="2"/>
        <v/>
      </c>
      <c r="W11" s="21" t="str">
        <f t="shared" si="3"/>
        <v/>
      </c>
      <c r="X11" s="21" t="str">
        <f t="shared" si="4"/>
        <v/>
      </c>
      <c r="Y11" s="21" t="str">
        <f t="shared" si="5"/>
        <v/>
      </c>
      <c r="Z11" s="21" t="str">
        <f t="shared" si="6"/>
        <v/>
      </c>
      <c r="AA11" s="21" t="str">
        <f t="shared" si="7"/>
        <v/>
      </c>
      <c r="AB11" s="21" t="str">
        <f t="shared" si="8"/>
        <v/>
      </c>
      <c r="AC11" s="21" t="str">
        <f t="shared" si="9"/>
        <v/>
      </c>
      <c r="AD11" s="21" t="str">
        <f>IF(AW11=1,"",MID(IF(ISNUMBER(SEARCH("E_INVALID_DATE",EG11))," | E_INVALID_DATE: "&amp;SUBSTITUTE(IFERROR(INDEX(nMSG_Text,MATCH("E_INVALID_DATE",nMSG_Code,0)),""),"[input]",""),"")&amp;IF(ISNUMBER(SEARCH("E_REVERSED_BOUNDS",EG11))," | E_REVERSED_BOUNDS: "&amp;SUBSTITUTE(IFERROR(INDEX(nMSG_Text,MATCH("E_REVERSED_BOUNDS",nMSG_Code,0)),""),"[input]",""),"")&amp;IF(ISNUMBER(SEARCH("E_DUPLICATE_ID",EG11))," | E_DUPLICATE_ID: "&amp;SUBSTITUTE(IFERROR(INDEX(nMSG_Text,MATCH("E_DUPLICATE_ID",nMSG_Code,0)),""),"[input]",""),"")&amp;IF(ISNUMBER(SEARCH("E_MISSING_LINK",EG11))," | E_MISSING_LINK: "&amp;SUBSTITUTE(IFERROR(INDEX(nMSG_Text,MATCH("E_MISSING_LINK",nMSG_Code,0)),""),"[input]",""),"")&amp;IF(ISNUMBER(SEARCH("E_MISSING_INPUT",EG11))," | E_MISSING_INPUT: "&amp;SUBSTITUTE(IFERROR(INDEX(nMSG_Text,MATCH("E_MISSING_INPUT",nMSG_Code,0)),""),"[input]",IF(EH11="","an input",EH11)),"")&amp;IF(ISNUMBER(SEARCH("E_INVALID_UNIT",EG11))," | E_INVALID_UNIT: "&amp;SUBSTITUTE(IFERROR(INDEX(nMSG_Text,MATCH("E_INVALID_UNIT",nMSG_Code,0)),""),"[input]",""),"")&amp;IF(FD11=1," | W_TZ_UNKNOWN: "&amp;SUBSTITUTE(IFERROR(INDEX(nMSG_Text,MATCH("W_TZ_UNKNOWN",nMSG_Code,0)),""),"[input]",""),"")&amp;IF(FE11=1," | W_SAME_DATE_ORDER_UNKNOWN: "&amp;SUBSTITUTE(IFERROR(INDEX(nMSG_Text,MATCH("W_SAME_DATE_ORDER_UNKNOWN",nMSG_Code,0)),""),"[input]",""),"")&amp;IF(FF11=1," | W_SEQUENCE_UNCERTAIN: "&amp;SUBSTITUTE(IFERROR(INDEX(nMSG_Text,MATCH("W_SEQUENCE_UNCERTAIN",nMSG_Code,0)),""),"[input]",""),"")&amp;IF(FG11=1," | W_ADMIN_SAME_DATE_AS_ONSET: "&amp;SUBSTITUTE(IFERROR(INDEX(nMSG_Text,MATCH("W_ADMIN_SAME_DATE_AS_ONSET",nMSG_Code,0)),""),"[input]",""),"")&amp;IF(FH11=1," | W_REPORTED_TIMING_CONFLICT: "&amp;SUBSTITUTE(IFERROR(INDEX(nMSG_Text,MATCH("W_REPORTED_TIMING_CONFLICT",nMSG_Code,0)),""),"[input]",""),"")&amp;IF(FI11=1," | W_INTERVENTION_BEFORE_RECOVERY: "&amp;SUBSTITUTE(IFERROR(INDEX(nMSG_Text,MATCH("W_INTERVENTION_BEFORE_RECOVERY",nMSG_Code,0)),""),"[input]",""),"")&amp;IF(FJ11=1," | I_TREATMENT_DAY_UNDEFINED: "&amp;SUBSTITUTE(IFERROR(INDEX(nMSG_Text,MATCH("I_TREATMENT_DAY_UNDEFINED",nMSG_Code,0)),""),"[input]",""),"")&amp;IF(FK11=1," | I_APPROXIMATE_NOT_COMPARED: "&amp;SUBSTITUTE(IFERROR(INDEX(nMSG_Text,MATCH("I_APPROXIMATE_NOT_COMPARED",nMSG_Code,0)),""),"[input]",""),""),4,9999))</f>
        <v/>
      </c>
      <c r="AE11" s="21" t="str">
        <f t="shared" si="10"/>
        <v/>
      </c>
      <c r="AF11" s="21" t="str">
        <f t="shared" si="11"/>
        <v/>
      </c>
      <c r="AG11" s="21" t="str">
        <f>IF(EN11="","",MID(IF(ISNUMBER(SEARCH("E_REVERSED_BOUNDS",EN11))," | E_REVERSED_BOUNDS: "&amp;SUBSTITUTE(IFERROR(INDEX(nMSG_Text,MATCH("E_REVERSED_BOUNDS",nMSG_Code,0)),""),"[input]",""),"")&amp;IF(ISNUMBER(SEARCH("E_MISSING_INPUT",EN11))," | E_MISSING_INPUT: "&amp;SUBSTITUTE(IFERROR(INDEX(nMSG_Text,MATCH("E_MISSING_INPUT",nMSG_Code,0)),""),"[input]",IF("the source of the constraint"="","an input","the source of the constraint")),""),4,999))</f>
        <v/>
      </c>
      <c r="AH11" s="21" t="str">
        <f t="shared" si="12"/>
        <v/>
      </c>
      <c r="AI11" s="21" t="str">
        <f t="shared" si="13"/>
        <v/>
      </c>
      <c r="AJ11" s="21" t="str">
        <f t="shared" si="14"/>
        <v/>
      </c>
      <c r="AK11" s="21" t="str">
        <f t="shared" si="15"/>
        <v/>
      </c>
      <c r="AL11" s="21" t="str">
        <f>IF(CY11=0,"",INDEX(nTP_ISO,CY11))</f>
        <v/>
      </c>
      <c r="AM11" s="21" t="str">
        <f>IF(CY11=0,"",INDEX(nTP_Display,CY11))</f>
        <v/>
      </c>
      <c r="AN11" s="21" t="str">
        <f>IF(BI11=0,"",INDEX(nTP_ISO,BI11))</f>
        <v/>
      </c>
      <c r="AO11" s="21" t="str">
        <f>IF(BI11=0,"",INDEX(nTP_Display,BI11))</f>
        <v/>
      </c>
      <c r="AP11" s="21" t="str">
        <f>IF(BA11=0,"",INDEX(nLNK_Exposure_Episode_ID,BA11)&amp;"")</f>
        <v/>
      </c>
      <c r="AQ11" s="21" t="str">
        <f>IF(BA11=0,"",INDEX(nLNK_Event_Episode_ID,BA11)&amp;"")</f>
        <v/>
      </c>
      <c r="AR11" s="21" t="str">
        <f t="shared" si="16"/>
        <v/>
      </c>
      <c r="AS11" s="21" t="str">
        <f>IF(EI11=0,"",MID(IF(DT11=1," | Recovery interval (C7) computed with "&amp;DS11&amp;".","")&amp;IF(BG11=1," | Anchor selected under C5 (CALC-SPEC 1.1): latest administration with an exact date or time at or before "&amp;IF(BH11=1,"onset","the end point")&amp;" ("&amp;AJ11&amp;"), ordered in UTC when offsets are known; later administrations are never selected.","")&amp;IF(AND(BG11=1,CE11&gt;0)," | Partial-date administrations wholly before the selected one were not candidates: "&amp;FC11&amp;".","")&amp;IF(BV11&lt;&gt;""," | "&amp;BV11,"")&amp;IF(AND(DS11="C2",EA11=0,DZ11&lt;&gt;"")," | Same calendar date; both times are known, so C1 decides the order ("&amp;AA11&amp;").","")&amp;IF(AND(DS11="C2",DD11*BN11=1,DT11=0)," | Calendar-date difference from the recorded local dates; it is never described as elapsed days.","")&amp;IF(AND(DS11="C4",DT11=0)," | Bounds are treated as independent; no single date is imputed from them.","")&amp;IF(EJ11=1," | Treatment day under the inclusive convention (C3); never written to E2B fields automatically.","")&amp;IF(AND(DS11="C4",DT11=0,EK11=0)," | No constraint applied.","")&amp;IF(AND(DS11="C4",EK11=1)," | Constraint applied to the anchor bounds: "&amp;IF(ISNUMBER(P11),"not before "&amp;DAY(P11)&amp;" "&amp;INDEX(nLIST_Months,MONTH(P11))&amp;" "&amp;YEAR(P11),"")&amp;IF(AND(ISNUMBER(P11),ISNUMBER(Q11)),", ","")&amp;IF(ISNUMBER(Q11),"not after "&amp;DAY(Q11)&amp;" "&amp;INDEX(nLIST_Months,MONTH(Q11))&amp;" "&amp;YEAR(Q11),"")&amp;". Source: "&amp;IF(R11="","not recorded",R11)&amp;IF(EN11="",". Constrained result shown beside the unconstrained one.",". Constrained result blocked ("&amp;EN11&amp;")."),"")&amp;IF(DT11=1,IF(EO11&gt;0," | Intervention recorded between cessation and recovery (ends included): "&amp;EZ11&amp;"."," | No intervention is recorded between cessation and recovery; absence of a record is not evidence that none was given."),"")&amp;IF(AND(DT11=1,DV11&gt;0)," | Intervention recorded without a date, so whether it came before recovery is unknown: "&amp;INDEX(nMS_Milestone_ID,MATCH(1,INDEX((nMS_CaseKey=AX11)*(nMS_Type="INTERVENTION")*nMS_Undated,0),0))&amp;IF(DV11&gt;1," and "&amp;(DV11-1)&amp;" more","")&amp;".","")&amp;IF(AND(DT11=1,EP11&gt;0)," | Not counted as interventions, because they are recorded as exposures rather than as intervention milestones (nothing is inferred): "&amp;FB11&amp;". If treatment was given, record it as an intervention milestone.",""),4,9999))</f>
        <v/>
      </c>
      <c r="AT11" s="21" t="str">
        <f t="shared" si="17"/>
        <v/>
      </c>
      <c r="AU11" s="21" t="str">
        <f t="shared" si="18"/>
        <v/>
      </c>
      <c r="AV11" s="21" t="str">
        <f t="shared" si="19"/>
        <v/>
      </c>
      <c r="AW11" s="22">
        <f t="shared" si="20"/>
        <v>1</v>
      </c>
      <c r="AX11" s="21" t="str">
        <f t="shared" si="21"/>
        <v>|</v>
      </c>
      <c r="AY11" s="21" t="str">
        <f t="shared" si="22"/>
        <v/>
      </c>
      <c r="AZ11" s="22">
        <f>IF(AY11="",0,COUNTIF(nINT_Key,AY11))</f>
        <v>0</v>
      </c>
      <c r="BA11" s="22">
        <f>IF(D11="",0,IFERROR(MATCH(AX11&amp;"|"&amp;D11,nLNK_Key,0),0))</f>
        <v>0</v>
      </c>
      <c r="BB11" s="22">
        <f>IF(BA11=0,1,INDEX(nLNK_Exp_Found,BA11))</f>
        <v>1</v>
      </c>
      <c r="BC11" s="22">
        <f>IF(BA11=0,1,INDEX(nLNK_Evt_Found,BA11))</f>
        <v>1</v>
      </c>
      <c r="BD11" s="22">
        <f>IF(AP11="",0,COUNTIF(nEXP_Key,AX11&amp;"|"&amp;AP11))</f>
        <v>0</v>
      </c>
      <c r="BE11" s="22">
        <f>IF(AQ11="",0,COUNTIF(nEVT_Key,AX11&amp;"|"&amp;AQ11))</f>
        <v>0</v>
      </c>
      <c r="BF11" s="22">
        <f>IF(ISNA(MATCH(E11,nLIST_AnchorType,0)),0,1)</f>
        <v>0</v>
      </c>
      <c r="BG11" s="22">
        <f t="shared" si="23"/>
        <v>0</v>
      </c>
      <c r="BH11" s="22">
        <f t="shared" si="24"/>
        <v>0</v>
      </c>
      <c r="BI11" s="22">
        <f>IF(OR(AW11=1,AK11=""),0,IFERROR(MATCH(AX11&amp;"|"&amp;AK11,nTP_Key,0),0))</f>
        <v>0</v>
      </c>
      <c r="BJ11" s="21">
        <f>IF(BI11=0,0,INDEX(nTP_Dup,BI11))</f>
        <v>0</v>
      </c>
      <c r="BK11" s="21" t="str">
        <f>IF(BI11=0,"",INDEX(nTP_Record_Type,BI11))</f>
        <v/>
      </c>
      <c r="BL11" s="21" t="str">
        <f>IF(BI11=0,"",INDEX(nTP_Precision,BI11))</f>
        <v/>
      </c>
      <c r="BM11" s="21" t="str">
        <f>IF(BI11=0,"",INDEX(nTP_Err,BI11))</f>
        <v/>
      </c>
      <c r="BN11" s="21">
        <f>IF(BI11=0,0,INDEX(nTP_HT,BI11))</f>
        <v>0</v>
      </c>
      <c r="BO11" s="21">
        <f>IF(BI11=0,0,INDEX(nTP_OK,BI11))</f>
        <v>0</v>
      </c>
      <c r="BP11" s="21" t="str">
        <f>IF(BI11=0,"",INDEX(nTP_Loc,BI11))</f>
        <v/>
      </c>
      <c r="BQ11" s="21" t="str">
        <f>IF(BI11=0,"",INDEX(nTP_UTC,BI11))</f>
        <v/>
      </c>
      <c r="BR11" s="21" t="str">
        <f>IF(BI11=0,"",INDEX(nTP_Lo,BI11))</f>
        <v/>
      </c>
      <c r="BS11" s="21" t="str">
        <f>IF(BI11=0,"",INDEX(nTP_Hi,BI11))</f>
        <v/>
      </c>
      <c r="BT11" s="21" t="str">
        <f>IF(BI11=0,"",INDEX(nTP_Original_Text,BI11))</f>
        <v/>
      </c>
      <c r="BU11" s="21" t="str">
        <f>IF(BI11=0,"",INDEX(nTP_Source,BI11))</f>
        <v/>
      </c>
      <c r="BV11" s="21" t="str">
        <f>IF(BI11=0,"",INDEX(nTP_Lab_Note,BI11))</f>
        <v/>
      </c>
      <c r="BW11" s="22">
        <f t="shared" si="25"/>
        <v>0</v>
      </c>
      <c r="BX11" s="21" t="str">
        <f t="shared" si="26"/>
        <v>||</v>
      </c>
      <c r="BY11" s="22">
        <f>IF(BG11=0,0,COUNTIF(nTP_CandKey,BX11))</f>
        <v>0</v>
      </c>
      <c r="BZ11" s="22">
        <f>IF(BG11=0,0,COUNTIFS(nTP_CandKey,BX11,nTP_Err,""))</f>
        <v>0</v>
      </c>
      <c r="CA11" s="21" t="str">
        <f>IF(BY11=BZ11,"",IF(COUNTIFS(nTP_CandKey,BX11,nTP_Err,"E_INVALID_DATE")&gt;0,"; E_INVALID_DATE","")&amp;IF(COUNTIFS(nTP_CandKey,BX11,nTP_Err,"E_REVERSED_BOUNDS")&gt;0,"; E_REVERSED_BOUNDS","")&amp;IF(COUNTIFS(nTP_CandKey,BX11,nTP_Err,"E_MISSING_INPUT")&gt;0,"; E_MISSING_INPUT","")&amp;IF(COUNTIFS(nTP_CandKey,BX11,nTP_Err,"E_INVALID_UNIT")&gt;0,"; E_INVALID_UNIT",""))</f>
        <v/>
      </c>
      <c r="CB11" s="22">
        <f t="shared" si="27"/>
        <v>0</v>
      </c>
      <c r="CC11" s="22">
        <f>IF(CB11=0,0,SUMPRODUCT((nTP_CandKey=BX11)*(nTP_Err="")*(1-(nTP_HT*BN11*((nTP_OK*BO11*(nTP_UTC_n-N(BQ11))+(1-nTP_OK*BO11)*(nTP_Loc_n-N(BP11)))&lt;=0)+(1-nTP_HT*BN11)*(nTP_Hi_n&lt;N(BR11)))-(nTP_HT*BN11*((nTP_OK*BO11*(nTP_UTC_n-N(BQ11))+(1-nTP_OK*BO11)*(nTP_Loc_n-N(BP11)))&gt;0)+(1-nTP_HT*BN11)*(nTP_Lo_n&gt;N(BS11)))-((1-nTP_HT*BN11)*(nTP_Lo_n=nTP_Hi_n)*(nTP_Lo_n=N(BR11))*(N(BR11)=N(BS11))))))</f>
        <v>0</v>
      </c>
      <c r="CD11" s="22">
        <f>IF(CB11=0,0,SUMPRODUCT((nTP_CandKey=BX11)*nTP_Exact*((nTP_HT*BN11*((nTP_OK*BO11*(nTP_UTC_n-N(BQ11))+(1-nTP_OK*BO11)*(nTP_Loc_n-N(BP11)))&lt;=0)+(1-nTP_HT*BN11)*(nTP_Hi_n&lt;N(BR11)))+((1-nTP_HT*BN11)*(nTP_Lo_n=nTP_Hi_n)*(nTP_Lo_n=N(BR11))*(N(BR11)=N(BS11))))))</f>
        <v>0</v>
      </c>
      <c r="CE11" s="22">
        <f>IF(CB11=0,0,SUMPRODUCT((nTP_CandKey=BX11)*(nTP_Err="")*(1-nTP_Exact)*((nTP_HT*BN11*((nTP_OK*BO11*(nTP_UTC_n-N(BQ11))+(1-nTP_OK*BO11)*(nTP_Loc_n-N(BP11)))&lt;=0)+(1-nTP_HT*BN11)*(nTP_Hi_n&lt;N(BR11)))+((1-nTP_HT*BN11)*(nTP_Lo_n=nTP_Hi_n)*(nTP_Lo_n=N(BR11))*(N(BR11)=N(BS11))))))</f>
        <v>0</v>
      </c>
      <c r="CF11" s="22">
        <f>IF(CD11=0,0,SUMPRODUCT(MAX((nTP_CandKey=BX11)*nTP_Exact*((nTP_HT*BN11*((nTP_OK*BO11*(nTP_UTC_n-N(BQ11))+(1-nTP_OK*BO11)*(nTP_Loc_n-N(BP11)))&lt;=0)+(1-nTP_HT*BN11)*(nTP_Hi_n&lt;N(BR11)))+((1-nTP_HT*BN11)*(nTP_Lo_n=nTP_Hi_n)*(nTP_Lo_n=N(BR11))*(N(BR11)=N(BS11))))*nTP_Lo_n)))</f>
        <v>0</v>
      </c>
      <c r="CG11" s="22">
        <f>IF(CD11=0,0,SUMPRODUCT((nTP_CandKey=BX11)*nTP_Exact*((nTP_HT*BN11*((nTP_OK*BO11*(nTP_UTC_n-N(BQ11))+(1-nTP_OK*BO11)*(nTP_Loc_n-N(BP11)))&lt;=0)+(1-nTP_HT*BN11)*(nTP_Hi_n&lt;N(BR11)))+((1-nTP_HT*BN11)*(nTP_Lo_n=nTP_Hi_n)*(nTP_Lo_n=N(BR11))*(N(BR11)=N(BS11))))*(nTP_Lo_n=CF11)))</f>
        <v>0</v>
      </c>
      <c r="CH11" s="22">
        <f>IF(CD11=0,0,SUMPRODUCT((nTP_CandKey=BX11)*nTP_Exact*((nTP_HT*BN11*((nTP_OK*BO11*(nTP_UTC_n-N(BQ11))+(1-nTP_OK*BO11)*(nTP_Loc_n-N(BP11)))&lt;=0)+(1-nTP_HT*BN11)*(nTP_Hi_n&lt;N(BR11)))+((1-nTP_HT*BN11)*(nTP_Lo_n=nTP_Hi_n)*(nTP_Lo_n=N(BR11))*(N(BR11)=N(BS11))))*(1-nTP_HT)*(nTP_Lo_n=CF11)))</f>
        <v>0</v>
      </c>
      <c r="CI11" s="22">
        <f>IF(CD11=0,0,SUMPRODUCT(MAX((nTP_CandKey=BX11)*nTP_Exact*((nTP_HT*BN11*((nTP_OK*BO11*(nTP_UTC_n-N(BQ11))+(1-nTP_OK*BO11)*(nTP_Loc_n-N(BP11)))&lt;=0)+(1-nTP_HT*BN11)*(nTP_Hi_n&lt;N(BR11)))+((1-nTP_HT*BN11)*(nTP_Lo_n=nTP_Hi_n)*(nTP_Lo_n=N(BR11))*(N(BR11)=N(BS11))))*(1-nTP_HT)*nTP_Lo_n)))</f>
        <v>0</v>
      </c>
      <c r="CJ11" s="22">
        <f>IF(CD11=0,0,SUMPRODUCT(MAX((nTP_CandKey=BX11)*nTP_Exact*((nTP_HT*BN11*((nTP_OK*BO11*(nTP_UTC_n-N(BQ11))+(1-nTP_OK*BO11)*(nTP_Loc_n-N(BP11)))&lt;=0)+(1-nTP_HT*BN11)*(nTP_Hi_n&lt;N(BR11)))+((1-nTP_HT*BN11)*(nTP_Lo_n=nTP_Hi_n)*(nTP_Lo_n=N(BR11))*(N(BR11)=N(BS11))))*nTP_HT*nTP_OK*nTP_UTC_n)))</f>
        <v>0</v>
      </c>
      <c r="CK11" s="22">
        <f>IF(CJ11=0,0,SUMPRODUCT((nTP_CandKey=BX11)*nTP_Exact*((nTP_HT*BN11*((nTP_OK*BO11*(nTP_UTC_n-N(BQ11))+(1-nTP_OK*BO11)*(nTP_Loc_n-N(BP11)))&lt;=0)+(1-nTP_HT*BN11)*(nTP_Hi_n&lt;N(BR11)))+((1-nTP_HT*BN11)*(nTP_Lo_n=nTP_Hi_n)*(nTP_Lo_n=N(BR11))*(N(BR11)=N(BS11))))*nTP_HT*nTP_OK*(nTP_UTC_n=CJ11)))</f>
        <v>0</v>
      </c>
      <c r="CL11" s="22">
        <f>IF(CK11&lt;&gt;1,0,SUMPRODUCT((nTP_CandKey=BX11)*nTP_Exact*((nTP_HT*BN11*((nTP_OK*BO11*(nTP_UTC_n-N(BQ11))+(1-nTP_OK*BO11)*(nTP_Loc_n-N(BP11)))&lt;=0)+(1-nTP_HT*BN11)*(nTP_Hi_n&lt;N(BR11)))+((1-nTP_HT*BN11)*(nTP_Lo_n=nTP_Hi_n)*(nTP_Lo_n=N(BR11))*(N(BR11)=N(BS11))))*nTP_HT*nTP_OK*(nTP_UTC_n=CJ11)*nTP_Loc_n))</f>
        <v>0</v>
      </c>
      <c r="CM11" s="22">
        <f>IF(CK11&lt;&gt;1,0,SUMPRODUCT((nTP_CandKey=BX11)*nTP_Exact*((nTP_HT*BN11*((nTP_OK*BO11*(nTP_UTC_n-N(BQ11))+(1-nTP_OK*BO11)*(nTP_Loc_n-N(BP11)))&lt;=0)+(1-nTP_HT*BN11)*(nTP_Hi_n&lt;N(BR11)))+((1-nTP_HT*BN11)*(nTP_Lo_n=nTP_Hi_n)*(nTP_Lo_n=N(BR11))*(N(BR11)=N(BS11))))*nTP_HT*nTP_OK*(nTP_UTC_n=CJ11)*nTP_Lo_n))</f>
        <v>0</v>
      </c>
      <c r="CN11" s="22">
        <f>IF(CD11=0,0,SUMPRODUCT(MAX((nTP_CandKey=BX11)*nTP_Exact*((nTP_HT*BN11*((nTP_OK*BO11*(nTP_UTC_n-N(BQ11))+(1-nTP_OK*BO11)*(nTP_Loc_n-N(BP11)))&lt;=0)+(1-nTP_HT*BN11)*(nTP_Hi_n&lt;N(BR11)))+((1-nTP_HT*BN11)*(nTP_Lo_n=nTP_Hi_n)*(nTP_Lo_n=N(BR11))*(N(BR11)=N(BS11))))*nTP_HT*(1-nTP_OK)*nTP_Loc_n)))</f>
        <v>0</v>
      </c>
      <c r="CO11" s="22">
        <f>IF(CN11=0,0,SUMPRODUCT((nTP_CandKey=BX11)*nTP_Exact*((nTP_HT*BN11*((nTP_OK*BO11*(nTP_UTC_n-N(BQ11))+(1-nTP_OK*BO11)*(nTP_Loc_n-N(BP11)))&lt;=0)+(1-nTP_HT*BN11)*(nTP_Hi_n&lt;N(BR11)))+((1-nTP_HT*BN11)*(nTP_Lo_n=nTP_Hi_n)*(nTP_Lo_n=N(BR11))*(N(BR11)=N(BS11))))*nTP_HT*(1-nTP_OK)*(nTP_Loc_n=CN11)))</f>
        <v>0</v>
      </c>
      <c r="CP11" s="22">
        <f>IF(CO11&lt;&gt;1,0,SUMPRODUCT((nTP_CandKey=BX11)*nTP_Exact*((nTP_HT*BN11*((nTP_OK*BO11*(nTP_UTC_n-N(BQ11))+(1-nTP_OK*BO11)*(nTP_Loc_n-N(BP11)))&lt;=0)+(1-nTP_HT*BN11)*(nTP_Hi_n&lt;N(BR11)))+((1-nTP_HT*BN11)*(nTP_Lo_n=nTP_Hi_n)*(nTP_Lo_n=N(BR11))*(N(BR11)=N(BS11))))*nTP_HT*(1-nTP_OK)*(nTP_Loc_n=CN11)*nTP_Lo_n))</f>
        <v>0</v>
      </c>
      <c r="CQ11" s="22">
        <f>IF(CD11=0,0,SUMPRODUCT(MAX((nTP_CandKey=BX11)*nTP_Exact*((nTP_HT*BN11*((nTP_OK*BO11*(nTP_UTC_n-N(BQ11))+(1-nTP_OK*BO11)*(nTP_Loc_n-N(BP11)))&lt;=0)+(1-nTP_HT*BN11)*(nTP_Hi_n&lt;N(BR11)))+((1-nTP_HT*BN11)*(nTP_Lo_n=nTP_Hi_n)*(nTP_Lo_n=N(BR11))*(N(BR11)=N(BS11))))*nTP_HT*nTP_OK*nTP_Loc_n)))</f>
        <v>0</v>
      </c>
      <c r="CR11" s="22">
        <f t="shared" si="28"/>
        <v>0</v>
      </c>
      <c r="CS11" s="22">
        <f>IF(CR11=0,0,IF(CR11=1,MATCH(1,INDEX((nTP_CandKey=BX11)*nTP_Exact*((nTP_HT*BN11*((nTP_OK*BO11*(nTP_UTC_n-N(BQ11))+(1-nTP_OK*BO11)*(nTP_Loc_n-N(BP11)))&lt;=0)+(1-nTP_HT*BN11)*(nTP_Hi_n&lt;N(BR11)))+((1-nTP_HT*BN11)*(nTP_Lo_n=nTP_Hi_n)*(nTP_Lo_n=N(BR11))*(N(BR11)=N(BS11))))*(1-nTP_HT)*(nTP_Lo_n=CF11),0),0),IF(CR11=2,MATCH(1,INDEX((nTP_CandKey=BX11)*nTP_Exact*((nTP_HT*BN11*((nTP_OK*BO11*(nTP_UTC_n-N(BQ11))+(1-nTP_OK*BO11)*(nTP_Loc_n-N(BP11)))&lt;=0)+(1-nTP_HT*BN11)*(nTP_Hi_n&lt;N(BR11)))+((1-nTP_HT*BN11)*(nTP_Lo_n=nTP_Hi_n)*(nTP_Lo_n=N(BR11))*(N(BR11)=N(BS11))))*nTP_HT*nTP_OK*(nTP_UTC_n=CJ11),0),0),MATCH(1,INDEX((nTP_CandKey=BX11)*nTP_Exact*((nTP_HT*BN11*((nTP_OK*BO11*(nTP_UTC_n-N(BQ11))+(1-nTP_OK*BO11)*(nTP_Loc_n-N(BP11)))&lt;=0)+(1-nTP_HT*BN11)*(nTP_Hi_n&lt;N(BR11)))+((1-nTP_HT*BN11)*(nTP_Lo_n=nTP_Hi_n)*(nTP_Lo_n=N(BR11))*(N(BR11)=N(BS11))))*nTP_HT*(1-nTP_OK)*(nTP_Loc_n=CN11),0),0))))</f>
        <v>0</v>
      </c>
      <c r="CT11" s="22">
        <f>IF(CS11=0,0,INDEX(nTP_Lo_n,CS11))</f>
        <v>0</v>
      </c>
      <c r="CU11" s="22">
        <f>IF(CS11=0,0,SUMPRODUCT((nTP_CandKey=BX11)*(nTP_Err="")*(1-nTP_Exact)*((nTP_HT*BN11*((nTP_OK*BO11*(nTP_UTC_n-N(BQ11))+(1-nTP_OK*BO11)*(nTP_Loc_n-N(BP11)))&lt;=0)+(1-nTP_HT*BN11)*(nTP_Hi_n&lt;N(BR11)))+((1-nTP_HT*BN11)*(nTP_Lo_n=nTP_Hi_n)*(nTP_Lo_n=N(BR11))*(N(BR11)=N(BS11))))*(nTP_Hi_n&gt;=CT11)))</f>
        <v>0</v>
      </c>
      <c r="CV11" s="21" t="str">
        <f t="shared" si="29"/>
        <v/>
      </c>
      <c r="CW11" s="21" t="str">
        <f>IF(AND(BG11=1,CB11=1,CV11="",CS11&gt;0),INDEX(nTP_Record_ID,CS11)&amp;"","")</f>
        <v/>
      </c>
      <c r="CX11" s="21" t="str">
        <f>IF(OR(CV11="",BG11=0),"",IF(CV11="none","an administration record (last dose before onset)",IF(CV11="uncertain","the anchor record: "&amp;INDEX(nTP_Record_ID,MATCH(1,INDEX((nTP_CandKey=BX11)*(nTP_Err="")*(1-(nTP_HT*BN11*((nTP_OK*BO11*(nTP_UTC_n-N(BQ11))+(1-nTP_OK*BO11)*(nTP_Loc_n-N(BP11)))&lt;=0)+(1-nTP_HT*BN11)*(nTP_Hi_n&lt;N(BR11)))-(nTP_HT*BN11*((nTP_OK*BO11*(nTP_UTC_n-N(BQ11))+(1-nTP_OK*BO11)*(nTP_Loc_n-N(BP11)))&gt;0)+(1-nTP_HT*BN11)*(nTP_Lo_n&gt;N(BS11)))-((1-nTP_HT*BN11)*(nTP_Lo_n=nTP_Hi_n)*(nTP_Lo_n=N(BR11))*(N(BR11)=N(BS11)))),0),0))&amp;IF(CC11&gt;1," and "&amp;(CC11-1)&amp;" more","")&amp;" may fall before or after the end point, so the last dose cannot be identified from the recorded dates",IF(CV11="noneligible","the anchor record: no administration with an exact date is recorded at or before the end point",IF(CV11="tie","the anchor record: the order of the latest administrations cannot be told from the recorded dates and times","the anchor record: partial-date administration "&amp;INDEX(nTP_Record_ID,MATCH(1,INDEX((nTP_CandKey=BX11)*(nTP_Err="")*(1-nTP_Exact)*((nTP_HT*BN11*((nTP_OK*BO11*(nTP_UTC_n-N(BQ11))+(1-nTP_OK*BO11)*(nTP_Loc_n-N(BP11)))&lt;=0)+(1-nTP_HT*BN11)*(nTP_Hi_n&lt;N(BR11)))+((1-nTP_HT*BN11)*(nTP_Lo_n=nTP_Hi_n)*(nTP_Lo_n=N(BR11))*(N(BR11)=N(BS11))))*(nTP_Hi_n&gt;=CT11),0),0))&amp;" could be the last dose before the end point")))))</f>
        <v/>
      </c>
      <c r="CY11" s="22">
        <f>IF(OR(AW11=1,AJ11=""),0,IFERROR(MATCH(AX11&amp;"|"&amp;AJ11,nTP_Key,0),0))</f>
        <v>0</v>
      </c>
      <c r="CZ11" s="21">
        <f>IF(CY11=0,0,INDEX(nTP_Dup,CY11))</f>
        <v>0</v>
      </c>
      <c r="DA11" s="21" t="str">
        <f>IF(CY11=0,"",INDEX(nTP_Record_Type,CY11))</f>
        <v/>
      </c>
      <c r="DB11" s="21" t="str">
        <f>IF(CY11=0,"",INDEX(nTP_Precision,CY11))</f>
        <v/>
      </c>
      <c r="DC11" s="21" t="str">
        <f>IF(CY11=0,"",INDEX(nTP_Err,CY11))</f>
        <v/>
      </c>
      <c r="DD11" s="21">
        <f>IF(CY11=0,0,INDEX(nTP_HT,CY11))</f>
        <v>0</v>
      </c>
      <c r="DE11" s="21">
        <f>IF(CY11=0,0,INDEX(nTP_OK,CY11))</f>
        <v>0</v>
      </c>
      <c r="DF11" s="21" t="str">
        <f>IF(CY11=0,"",INDEX(nTP_Loc,CY11))</f>
        <v/>
      </c>
      <c r="DG11" s="21" t="str">
        <f>IF(CY11=0,"",INDEX(nTP_UTC,CY11))</f>
        <v/>
      </c>
      <c r="DH11" s="21" t="str">
        <f>IF(CY11=0,"",INDEX(nTP_Lo,CY11))</f>
        <v/>
      </c>
      <c r="DI11" s="21" t="str">
        <f>IF(CY11=0,"",INDEX(nTP_Hi,CY11))</f>
        <v/>
      </c>
      <c r="DJ11" s="21" t="str">
        <f>IF(CY11=0,"",INDEX(nTP_Original_Text,CY11))</f>
        <v/>
      </c>
      <c r="DK11" s="21" t="str">
        <f>IF(CY11=0,"",INDEX(nTP_Source,CY11))</f>
        <v/>
      </c>
      <c r="DL11" s="22">
        <f t="shared" si="30"/>
        <v>0</v>
      </c>
      <c r="DM11" s="21" t="str">
        <f t="shared" si="31"/>
        <v/>
      </c>
      <c r="DN11" s="21" t="str">
        <f t="shared" si="32"/>
        <v/>
      </c>
      <c r="DO11" s="21" t="str">
        <f t="shared" si="33"/>
        <v/>
      </c>
      <c r="DP11" s="21" t="str">
        <f t="shared" si="34"/>
        <v/>
      </c>
      <c r="DQ11" s="21" t="str">
        <f t="shared" si="35"/>
        <v/>
      </c>
      <c r="DR11" s="22">
        <f>IF(OR(DQ11="",I11=""),0,IF(ISNA(MATCH(I11,nLIST_Mode,0)),1,IF(AND(I11="C1",DQ11&lt;&gt;"C1"),1,IF(AND(I11="C2",DQ11="C4"),1,0))))</f>
        <v>0</v>
      </c>
      <c r="DS11" s="21" t="str">
        <f t="shared" si="36"/>
        <v/>
      </c>
      <c r="DT11" s="22">
        <f t="shared" si="37"/>
        <v>0</v>
      </c>
      <c r="DU11" s="21" t="str">
        <f>IF(DT11=0,"",IF(COUNTIFS(nTP_Case_Key,AX11,nTP_Record_Type,"MILESTONE:INTERVENTION",nTP_Err,"E_INVALID_DATE")&gt;0,"; E_INVALID_DATE","")&amp;IF(COUNTIFS(nTP_Case_Key,AX11,nTP_Record_Type,"MILESTONE:INTERVENTION",nTP_Err,"E_REVERSED_BOUNDS")&gt;0,"; E_REVERSED_BOUNDS","")&amp;IF(COUNTIFS(nTP_Case_Key,AX11,nTP_Record_Type,"MILESTONE:INTERVENTION",nTP_Err,"E_MISSING_INPUT")&gt;0,"; E_MISSING_INPUT","")&amp;IF(COUNTIFS(nTP_Case_Key,AX11,nTP_Record_Type,"MILESTONE:INTERVENTION",nTP_Err,"E_INVALID_UNIT")&gt;0,"; E_INVALID_UNIT",""))</f>
        <v/>
      </c>
      <c r="DV11" s="22">
        <f>IF(DT11=0,0,SUMPRODUCT((nMS_CaseKey=AX11)*(nMS_Type="INTERVENTION")*nMS_Undated))</f>
        <v>0</v>
      </c>
      <c r="DW11" s="21" t="str">
        <f t="shared" si="38"/>
        <v/>
      </c>
      <c r="DX11" s="21" t="str">
        <f t="shared" si="39"/>
        <v/>
      </c>
      <c r="DY11" s="22">
        <f t="shared" si="40"/>
        <v>1</v>
      </c>
      <c r="DZ11" s="21" t="str">
        <f t="shared" si="41"/>
        <v/>
      </c>
      <c r="EA11" s="21" t="str">
        <f t="shared" si="42"/>
        <v/>
      </c>
      <c r="EB11" s="21" t="str">
        <f t="shared" si="43"/>
        <v/>
      </c>
      <c r="EC11" s="21" t="str">
        <f t="shared" si="44"/>
        <v/>
      </c>
      <c r="ED11" s="22">
        <f t="shared" si="45"/>
        <v>0</v>
      </c>
      <c r="EE11" s="22">
        <f t="shared" si="46"/>
        <v>0</v>
      </c>
      <c r="EF11" s="21" t="str">
        <f>IF(ED11=0,"",IF(OR(NOT(ISNUMBER(L11)),NOT(ISNUMBER(M11))),"I_APPROXIMATE_NOT_COMPARED",IF(AND(N11&lt;&gt;"",ISNA(MATCH(N11,nLIST_ReportedUnit,0))),"E_INVALID_UNIT",IF(N11="","E_MISSING_INPUT",IF(L11&gt;M11,"E_REVERSED_BOUNDS",IF(OR(N11="weeks",N11="months",N11="years"),"I_APPROXIMATE_NOT_COMPARED",IF(DX11&lt;&gt;"","",IF(EE11=0,"I_APPROXIMATE_NOT_COMPARED",IF(AND(L11*EE11&lt;=IF(DS11="C4",EC11,IF(DS11="C1",DZ11,EA11)),M11*EE11&gt;=IF(DS11="C4",EB11,IF(DS11="C1",DZ11,EA11))),"OVERLAP","W_REPORTED_TIMING_CONFLICT")))))))))</f>
        <v/>
      </c>
      <c r="EG11" s="21" t="str">
        <f t="shared" si="47"/>
        <v/>
      </c>
      <c r="EH11" s="21" t="str">
        <f t="shared" si="48"/>
        <v/>
      </c>
      <c r="EI11" s="22">
        <f t="shared" si="49"/>
        <v>0</v>
      </c>
      <c r="EJ11" s="22">
        <f t="shared" si="50"/>
        <v>0</v>
      </c>
      <c r="EK11" s="22">
        <f t="shared" si="51"/>
        <v>0</v>
      </c>
      <c r="EL11" s="28" t="str">
        <f t="shared" si="52"/>
        <v/>
      </c>
      <c r="EM11" s="28" t="str">
        <f t="shared" si="53"/>
        <v/>
      </c>
      <c r="EN11" s="21" t="str">
        <f t="shared" si="54"/>
        <v/>
      </c>
      <c r="EO11" s="22">
        <f>IF(OR(DT11=0,DX11&lt;&gt;""),0,SUMPRODUCT((nTP_Case_Key=AX11)*(nTP_Record_Type="MILESTONE:INTERVENTION")*(nTP_Err="")*(nTP_HT*DD11*BN11*(nTP_OK*DE11*(nTP_UTC_n&gt;=N(DG11))+(1-nTP_OK*DE11)*(nTP_Loc_n&gt;=N(DF11)))*(nTP_OK*BO11*(nTP_UTC_n&lt;=N(BQ11))+(1-nTP_OK*BO11)*(nTP_Loc_n&lt;=N(BP11)))+(1-nTP_HT*DD11*BN11)*(nTP_Hi_n&gt;=N(DH11))*(nTP_Lo_n&lt;=N(BS11)))))</f>
        <v>0</v>
      </c>
      <c r="EP11" s="22">
        <f>IF(OR(DT11=0,DX11&lt;&gt;""),0,SUMPRODUCT((nTP_Case_Key=AX11)*(nTP_Role="treatment of the event")*((nTP_Record_Type="EXPOSURE_START")+(nTP_Record_Type="ADMINISTRATION"))*(nTP_Err="")*(nTP_HT*DD11*BN11*(nTP_OK*DE11*(nTP_UTC_n&gt;=N(DG11))+(1-nTP_OK*DE11)*(nTP_Loc_n&gt;=N(DF11)))*(nTP_OK*BO11*(nTP_UTC_n&lt;=N(BQ11))+(1-nTP_OK*BO11)*(nTP_Loc_n&lt;=N(BP11)))+(1-nTP_HT*DD11*BN11)*(nTP_Hi_n&gt;=N(DH11))*(nTP_Lo_n&lt;=N(BS11)))))</f>
        <v>0</v>
      </c>
      <c r="EQ11" s="22">
        <f>IF(EO11&lt;1,0,IFERROR(_xlfn.AGGREGATE(15,6,nTP_RowN/((nTP_Case_Key=AX11)*(nTP_Record_Type="MILESTONE:INTERVENTION")*(nTP_Err="")*(nTP_HT*DD11*BN11*(nTP_OK*DE11*(nTP_UTC_n&gt;=N(DG11))+(1-nTP_OK*DE11)*(nTP_Loc_n&gt;=N(DF11)))*(nTP_OK*BO11*(nTP_UTC_n&lt;=N(BQ11))+(1-nTP_OK*BO11)*(nTP_Loc_n&lt;=N(BP11)))+(1-nTP_HT*DD11*BN11)*(nTP_Hi_n&gt;=N(DH11))*(nTP_Lo_n&lt;=N(BS11)))),1),0))</f>
        <v>0</v>
      </c>
      <c r="ER11" s="22">
        <f>IF(EO11&lt;2,0,IFERROR(_xlfn.AGGREGATE(15,6,nTP_RowN/((nTP_Case_Key=AX11)*(nTP_Record_Type="MILESTONE:INTERVENTION")*(nTP_Err="")*(nTP_HT*DD11*BN11*(nTP_OK*DE11*(nTP_UTC_n&gt;=N(DG11))+(1-nTP_OK*DE11)*(nTP_Loc_n&gt;=N(DF11)))*(nTP_OK*BO11*(nTP_UTC_n&lt;=N(BQ11))+(1-nTP_OK*BO11)*(nTP_Loc_n&lt;=N(BP11)))+(1-nTP_HT*DD11*BN11)*(nTP_Hi_n&gt;=N(DH11))*(nTP_Lo_n&lt;=N(BS11)))),2),0))</f>
        <v>0</v>
      </c>
      <c r="ES11" s="22">
        <f>IF(EO11&lt;3,0,IFERROR(_xlfn.AGGREGATE(15,6,nTP_RowN/((nTP_Case_Key=AX11)*(nTP_Record_Type="MILESTONE:INTERVENTION")*(nTP_Err="")*(nTP_HT*DD11*BN11*(nTP_OK*DE11*(nTP_UTC_n&gt;=N(DG11))+(1-nTP_OK*DE11)*(nTP_Loc_n&gt;=N(DF11)))*(nTP_OK*BO11*(nTP_UTC_n&lt;=N(BQ11))+(1-nTP_OK*BO11)*(nTP_Loc_n&lt;=N(BP11)))+(1-nTP_HT*DD11*BN11)*(nTP_Hi_n&gt;=N(DH11))*(nTP_Lo_n&lt;=N(BS11)))),3),0))</f>
        <v>0</v>
      </c>
      <c r="ET11" s="22">
        <f>IF(EP11&lt;1,0,IFERROR(_xlfn.AGGREGATE(15,6,nTP_RowN/((nTP_Case_Key=AX11)*(nTP_Role="treatment of the event")*((nTP_Record_Type="EXPOSURE_START")+(nTP_Record_Type="ADMINISTRATION"))*(nTP_Err="")*(nTP_HT*DD11*BN11*(nTP_OK*DE11*(nTP_UTC_n&gt;=N(DG11))+(1-nTP_OK*DE11)*(nTP_Loc_n&gt;=N(DF11)))*(nTP_OK*BO11*(nTP_UTC_n&lt;=N(BQ11))+(1-nTP_OK*BO11)*(nTP_Loc_n&lt;=N(BP11)))+(1-nTP_HT*DD11*BN11)*(nTP_Hi_n&gt;=N(DH11))*(nTP_Lo_n&lt;=N(BS11)))),1),0))</f>
        <v>0</v>
      </c>
      <c r="EU11" s="22">
        <f>IF(EP11&lt;2,0,IFERROR(_xlfn.AGGREGATE(15,6,nTP_RowN/((nTP_Case_Key=AX11)*(nTP_Role="treatment of the event")*((nTP_Record_Type="EXPOSURE_START")+(nTP_Record_Type="ADMINISTRATION"))*(nTP_Err="")*(nTP_HT*DD11*BN11*(nTP_OK*DE11*(nTP_UTC_n&gt;=N(DG11))+(1-nTP_OK*DE11)*(nTP_Loc_n&gt;=N(DF11)))*(nTP_OK*BO11*(nTP_UTC_n&lt;=N(BQ11))+(1-nTP_OK*BO11)*(nTP_Loc_n&lt;=N(BP11)))+(1-nTP_HT*DD11*BN11)*(nTP_Hi_n&gt;=N(DH11))*(nTP_Lo_n&lt;=N(BS11)))),2),0))</f>
        <v>0</v>
      </c>
      <c r="EV11" s="22">
        <f>IF(EP11&lt;3,0,IFERROR(_xlfn.AGGREGATE(15,6,nTP_RowN/((nTP_Case_Key=AX11)*(nTP_Role="treatment of the event")*((nTP_Record_Type="EXPOSURE_START")+(nTP_Record_Type="ADMINISTRATION"))*(nTP_Err="")*(nTP_HT*DD11*BN11*(nTP_OK*DE11*(nTP_UTC_n&gt;=N(DG11))+(1-nTP_OK*DE11)*(nTP_Loc_n&gt;=N(DF11)))*(nTP_OK*BO11*(nTP_UTC_n&lt;=N(BQ11))+(1-nTP_OK*BO11)*(nTP_Loc_n&lt;=N(BP11)))+(1-nTP_HT*DD11*BN11)*(nTP_Hi_n&gt;=N(DH11))*(nTP_Lo_n&lt;=N(BS11)))),3),0))</f>
        <v>0</v>
      </c>
      <c r="EW11" s="22">
        <f>IF(CE11&lt;1,0,IFERROR(_xlfn.AGGREGATE(15,6,nTP_RowN/((nTP_CandKey=BX11)*(nTP_Err="")*(1-nTP_Exact)*((nTP_HT*BN11*((nTP_OK*BO11*(nTP_UTC_n-N(BQ11))+(1-nTP_OK*BO11)*(nTP_Loc_n-N(BP11)))&lt;=0)+(1-nTP_HT*BN11)*(nTP_Hi_n&lt;N(BR11)))+((1-nTP_HT*BN11)*(nTP_Lo_n=nTP_Hi_n)*(nTP_Lo_n=N(BR11))*(N(BR11)=N(BS11))))),1),0))</f>
        <v>0</v>
      </c>
      <c r="EX11" s="22">
        <f>IF(CE11&lt;2,0,IFERROR(_xlfn.AGGREGATE(15,6,nTP_RowN/((nTP_CandKey=BX11)*(nTP_Err="")*(1-nTP_Exact)*((nTP_HT*BN11*((nTP_OK*BO11*(nTP_UTC_n-N(BQ11))+(1-nTP_OK*BO11)*(nTP_Loc_n-N(BP11)))&lt;=0)+(1-nTP_HT*BN11)*(nTP_Hi_n&lt;N(BR11)))+((1-nTP_HT*BN11)*(nTP_Lo_n=nTP_Hi_n)*(nTP_Lo_n=N(BR11))*(N(BR11)=N(BS11))))),2),0))</f>
        <v>0</v>
      </c>
      <c r="EY11" s="22">
        <f>IF(CE11&lt;3,0,IFERROR(_xlfn.AGGREGATE(15,6,nTP_RowN/((nTP_CandKey=BX11)*(nTP_Err="")*(1-nTP_Exact)*((nTP_HT*BN11*((nTP_OK*BO11*(nTP_UTC_n-N(BQ11))+(1-nTP_OK*BO11)*(nTP_Loc_n-N(BP11)))&lt;=0)+(1-nTP_HT*BN11)*(nTP_Hi_n&lt;N(BR11)))+((1-nTP_HT*BN11)*(nTP_Lo_n=nTP_Hi_n)*(nTP_Lo_n=N(BR11))*(N(BR11)=N(BS11))))),3),0))</f>
        <v>0</v>
      </c>
      <c r="EZ11" s="21" t="str">
        <f>IF(EO11=0,"",MID(IF(EQ11&gt;0,"; "&amp;INDEX(nTP_Record_ID,EQ11)&amp;IF(INDEX(nTP_Label,EQ11)="",""," ("&amp;INDEX(nTP_Label,EQ11)&amp;")"),"")&amp;IF(ER11&gt;0,"; "&amp;INDEX(nTP_Record_ID,ER11)&amp;IF(INDEX(nTP_Label,ER11)="",""," ("&amp;INDEX(nTP_Label,ER11)&amp;")"),"")&amp;IF(ES11&gt;0,"; "&amp;INDEX(nTP_Record_ID,ES11)&amp;IF(INDEX(nTP_Label,ES11)="",""," ("&amp;INDEX(nTP_Label,ES11)&amp;")"),"")&amp;IF(EO11&gt;3,"; and "&amp;(EO11-3)&amp;" more",""),3,999))</f>
        <v/>
      </c>
      <c r="FA11" s="21" t="str">
        <f>IF(EO11=0,"",MID(IF(EQ11&gt;0,"; "&amp;INDEX(nTP_Record_ID,EQ11),"")&amp;IF(ER11&gt;0,"; "&amp;INDEX(nTP_Record_ID,ER11),"")&amp;IF(ES11&gt;0,"; "&amp;INDEX(nTP_Record_ID,ES11),"")&amp;IF(EO11&gt;3,"; and "&amp;(EO11-3)&amp;" more",""),3,999))</f>
        <v/>
      </c>
      <c r="FB11" s="21" t="str">
        <f>IF(EP11=0,"",MID(IF(ET11&gt;0,"; "&amp;INDEX(nTP_Record_ID,ET11)&amp;IF(INDEX(nTP_Label,ET11)="",""," ("&amp;INDEX(nTP_Label,ET11)&amp;")"),"")&amp;IF(EU11&gt;0,"; "&amp;INDEX(nTP_Record_ID,EU11)&amp;IF(INDEX(nTP_Label,EU11)="",""," ("&amp;INDEX(nTP_Label,EU11)&amp;")"),"")&amp;IF(EV11&gt;0,"; "&amp;INDEX(nTP_Record_ID,EV11)&amp;IF(INDEX(nTP_Label,EV11)="",""," ("&amp;INDEX(nTP_Label,EV11)&amp;")"),"")&amp;IF(EP11&gt;3,"; and "&amp;(EP11-3)&amp;" more",""),3,999))</f>
        <v/>
      </c>
      <c r="FC11" s="21" t="str">
        <f>IF(CE11=0,"",MID(IF(EW11&gt;0,"; "&amp;INDEX(nTP_Record_ID,EW11),"")&amp;IF(EX11&gt;0,"; "&amp;INDEX(nTP_Record_ID,EX11),"")&amp;IF(EY11&gt;0,"; "&amp;INDEX(nTP_Record_ID,EY11),"")&amp;IF(CE11&gt;3,"; and "&amp;(CE11-3)&amp;" more",""),3,999))</f>
        <v/>
      </c>
      <c r="FD11" s="22">
        <f t="shared" si="55"/>
        <v>0</v>
      </c>
      <c r="FE11" s="22">
        <f t="shared" si="56"/>
        <v>0</v>
      </c>
      <c r="FF11" s="22">
        <f t="shared" si="57"/>
        <v>0</v>
      </c>
      <c r="FG11" s="22">
        <f t="shared" si="58"/>
        <v>0</v>
      </c>
      <c r="FH11" s="22">
        <f t="shared" si="59"/>
        <v>0</v>
      </c>
      <c r="FI11" s="22">
        <f t="shared" si="60"/>
        <v>0</v>
      </c>
      <c r="FJ11" s="22">
        <f t="shared" si="61"/>
        <v>0</v>
      </c>
      <c r="FK11" s="22">
        <f t="shared" si="62"/>
        <v>0</v>
      </c>
    </row>
    <row r="12" spans="1:167" x14ac:dyDescent="0.2">
      <c r="A12" s="10"/>
      <c r="B12" s="10"/>
      <c r="C12" s="12"/>
      <c r="D12" s="10"/>
      <c r="E12" s="17"/>
      <c r="F12" s="10"/>
      <c r="G12" s="10"/>
      <c r="H12" s="10"/>
      <c r="I12" s="17"/>
      <c r="J12" s="17"/>
      <c r="K12" s="10"/>
      <c r="L12" s="17"/>
      <c r="M12" s="17"/>
      <c r="N12" s="17"/>
      <c r="O12" s="10"/>
      <c r="P12" s="15"/>
      <c r="Q12" s="15"/>
      <c r="R12" s="10"/>
      <c r="S12" s="10"/>
      <c r="T12" s="21" t="str">
        <f t="shared" si="0"/>
        <v/>
      </c>
      <c r="U12" s="21" t="str">
        <f t="shared" si="1"/>
        <v/>
      </c>
      <c r="V12" s="21" t="str">
        <f t="shared" si="2"/>
        <v/>
      </c>
      <c r="W12" s="21" t="str">
        <f t="shared" si="3"/>
        <v/>
      </c>
      <c r="X12" s="21" t="str">
        <f t="shared" si="4"/>
        <v/>
      </c>
      <c r="Y12" s="21" t="str">
        <f t="shared" si="5"/>
        <v/>
      </c>
      <c r="Z12" s="21" t="str">
        <f t="shared" si="6"/>
        <v/>
      </c>
      <c r="AA12" s="21" t="str">
        <f t="shared" si="7"/>
        <v/>
      </c>
      <c r="AB12" s="21" t="str">
        <f t="shared" si="8"/>
        <v/>
      </c>
      <c r="AC12" s="21" t="str">
        <f t="shared" si="9"/>
        <v/>
      </c>
      <c r="AD12" s="21" t="str">
        <f>IF(AW12=1,"",MID(IF(ISNUMBER(SEARCH("E_INVALID_DATE",EG12))," | E_INVALID_DATE: "&amp;SUBSTITUTE(IFERROR(INDEX(nMSG_Text,MATCH("E_INVALID_DATE",nMSG_Code,0)),""),"[input]",""),"")&amp;IF(ISNUMBER(SEARCH("E_REVERSED_BOUNDS",EG12))," | E_REVERSED_BOUNDS: "&amp;SUBSTITUTE(IFERROR(INDEX(nMSG_Text,MATCH("E_REVERSED_BOUNDS",nMSG_Code,0)),""),"[input]",""),"")&amp;IF(ISNUMBER(SEARCH("E_DUPLICATE_ID",EG12))," | E_DUPLICATE_ID: "&amp;SUBSTITUTE(IFERROR(INDEX(nMSG_Text,MATCH("E_DUPLICATE_ID",nMSG_Code,0)),""),"[input]",""),"")&amp;IF(ISNUMBER(SEARCH("E_MISSING_LINK",EG12))," | E_MISSING_LINK: "&amp;SUBSTITUTE(IFERROR(INDEX(nMSG_Text,MATCH("E_MISSING_LINK",nMSG_Code,0)),""),"[input]",""),"")&amp;IF(ISNUMBER(SEARCH("E_MISSING_INPUT",EG12))," | E_MISSING_INPUT: "&amp;SUBSTITUTE(IFERROR(INDEX(nMSG_Text,MATCH("E_MISSING_INPUT",nMSG_Code,0)),""),"[input]",IF(EH12="","an input",EH12)),"")&amp;IF(ISNUMBER(SEARCH("E_INVALID_UNIT",EG12))," | E_INVALID_UNIT: "&amp;SUBSTITUTE(IFERROR(INDEX(nMSG_Text,MATCH("E_INVALID_UNIT",nMSG_Code,0)),""),"[input]",""),"")&amp;IF(FD12=1," | W_TZ_UNKNOWN: "&amp;SUBSTITUTE(IFERROR(INDEX(nMSG_Text,MATCH("W_TZ_UNKNOWN",nMSG_Code,0)),""),"[input]",""),"")&amp;IF(FE12=1," | W_SAME_DATE_ORDER_UNKNOWN: "&amp;SUBSTITUTE(IFERROR(INDEX(nMSG_Text,MATCH("W_SAME_DATE_ORDER_UNKNOWN",nMSG_Code,0)),""),"[input]",""),"")&amp;IF(FF12=1," | W_SEQUENCE_UNCERTAIN: "&amp;SUBSTITUTE(IFERROR(INDEX(nMSG_Text,MATCH("W_SEQUENCE_UNCERTAIN",nMSG_Code,0)),""),"[input]",""),"")&amp;IF(FG12=1," | W_ADMIN_SAME_DATE_AS_ONSET: "&amp;SUBSTITUTE(IFERROR(INDEX(nMSG_Text,MATCH("W_ADMIN_SAME_DATE_AS_ONSET",nMSG_Code,0)),""),"[input]",""),"")&amp;IF(FH12=1," | W_REPORTED_TIMING_CONFLICT: "&amp;SUBSTITUTE(IFERROR(INDEX(nMSG_Text,MATCH("W_REPORTED_TIMING_CONFLICT",nMSG_Code,0)),""),"[input]",""),"")&amp;IF(FI12=1," | W_INTERVENTION_BEFORE_RECOVERY: "&amp;SUBSTITUTE(IFERROR(INDEX(nMSG_Text,MATCH("W_INTERVENTION_BEFORE_RECOVERY",nMSG_Code,0)),""),"[input]",""),"")&amp;IF(FJ12=1," | I_TREATMENT_DAY_UNDEFINED: "&amp;SUBSTITUTE(IFERROR(INDEX(nMSG_Text,MATCH("I_TREATMENT_DAY_UNDEFINED",nMSG_Code,0)),""),"[input]",""),"")&amp;IF(FK12=1," | I_APPROXIMATE_NOT_COMPARED: "&amp;SUBSTITUTE(IFERROR(INDEX(nMSG_Text,MATCH("I_APPROXIMATE_NOT_COMPARED",nMSG_Code,0)),""),"[input]",""),""),4,9999))</f>
        <v/>
      </c>
      <c r="AE12" s="21" t="str">
        <f t="shared" si="10"/>
        <v/>
      </c>
      <c r="AF12" s="21" t="str">
        <f t="shared" si="11"/>
        <v/>
      </c>
      <c r="AG12" s="21" t="str">
        <f>IF(EN12="","",MID(IF(ISNUMBER(SEARCH("E_REVERSED_BOUNDS",EN12))," | E_REVERSED_BOUNDS: "&amp;SUBSTITUTE(IFERROR(INDEX(nMSG_Text,MATCH("E_REVERSED_BOUNDS",nMSG_Code,0)),""),"[input]",""),"")&amp;IF(ISNUMBER(SEARCH("E_MISSING_INPUT",EN12))," | E_MISSING_INPUT: "&amp;SUBSTITUTE(IFERROR(INDEX(nMSG_Text,MATCH("E_MISSING_INPUT",nMSG_Code,0)),""),"[input]",IF("the source of the constraint"="","an input","the source of the constraint")),""),4,999))</f>
        <v/>
      </c>
      <c r="AH12" s="21" t="str">
        <f t="shared" si="12"/>
        <v/>
      </c>
      <c r="AI12" s="21" t="str">
        <f t="shared" si="13"/>
        <v/>
      </c>
      <c r="AJ12" s="21" t="str">
        <f t="shared" si="14"/>
        <v/>
      </c>
      <c r="AK12" s="21" t="str">
        <f t="shared" si="15"/>
        <v/>
      </c>
      <c r="AL12" s="21" t="str">
        <f>IF(CY12=0,"",INDEX(nTP_ISO,CY12))</f>
        <v/>
      </c>
      <c r="AM12" s="21" t="str">
        <f>IF(CY12=0,"",INDEX(nTP_Display,CY12))</f>
        <v/>
      </c>
      <c r="AN12" s="21" t="str">
        <f>IF(BI12=0,"",INDEX(nTP_ISO,BI12))</f>
        <v/>
      </c>
      <c r="AO12" s="21" t="str">
        <f>IF(BI12=0,"",INDEX(nTP_Display,BI12))</f>
        <v/>
      </c>
      <c r="AP12" s="21" t="str">
        <f>IF(BA12=0,"",INDEX(nLNK_Exposure_Episode_ID,BA12)&amp;"")</f>
        <v/>
      </c>
      <c r="AQ12" s="21" t="str">
        <f>IF(BA12=0,"",INDEX(nLNK_Event_Episode_ID,BA12)&amp;"")</f>
        <v/>
      </c>
      <c r="AR12" s="21" t="str">
        <f t="shared" si="16"/>
        <v/>
      </c>
      <c r="AS12" s="21" t="str">
        <f>IF(EI12=0,"",MID(IF(DT12=1," | Recovery interval (C7) computed with "&amp;DS12&amp;".","")&amp;IF(BG12=1," | Anchor selected under C5 (CALC-SPEC 1.1): latest administration with an exact date or time at or before "&amp;IF(BH12=1,"onset","the end point")&amp;" ("&amp;AJ12&amp;"), ordered in UTC when offsets are known; later administrations are never selected.","")&amp;IF(AND(BG12=1,CE12&gt;0)," | Partial-date administrations wholly before the selected one were not candidates: "&amp;FC12&amp;".","")&amp;IF(BV12&lt;&gt;""," | "&amp;BV12,"")&amp;IF(AND(DS12="C2",EA12=0,DZ12&lt;&gt;"")," | Same calendar date; both times are known, so C1 decides the order ("&amp;AA12&amp;").","")&amp;IF(AND(DS12="C2",DD12*BN12=1,DT12=0)," | Calendar-date difference from the recorded local dates; it is never described as elapsed days.","")&amp;IF(AND(DS12="C4",DT12=0)," | Bounds are treated as independent; no single date is imputed from them.","")&amp;IF(EJ12=1," | Treatment day under the inclusive convention (C3); never written to E2B fields automatically.","")&amp;IF(AND(DS12="C4",DT12=0,EK12=0)," | No constraint applied.","")&amp;IF(AND(DS12="C4",EK12=1)," | Constraint applied to the anchor bounds: "&amp;IF(ISNUMBER(P12),"not before "&amp;DAY(P12)&amp;" "&amp;INDEX(nLIST_Months,MONTH(P12))&amp;" "&amp;YEAR(P12),"")&amp;IF(AND(ISNUMBER(P12),ISNUMBER(Q12)),", ","")&amp;IF(ISNUMBER(Q12),"not after "&amp;DAY(Q12)&amp;" "&amp;INDEX(nLIST_Months,MONTH(Q12))&amp;" "&amp;YEAR(Q12),"")&amp;". Source: "&amp;IF(R12="","not recorded",R12)&amp;IF(EN12="",". Constrained result shown beside the unconstrained one.",". Constrained result blocked ("&amp;EN12&amp;")."),"")&amp;IF(DT12=1,IF(EO12&gt;0," | Intervention recorded between cessation and recovery (ends included): "&amp;EZ12&amp;"."," | No intervention is recorded between cessation and recovery; absence of a record is not evidence that none was given."),"")&amp;IF(AND(DT12=1,DV12&gt;0)," | Intervention recorded without a date, so whether it came before recovery is unknown: "&amp;INDEX(nMS_Milestone_ID,MATCH(1,INDEX((nMS_CaseKey=AX12)*(nMS_Type="INTERVENTION")*nMS_Undated,0),0))&amp;IF(DV12&gt;1," and "&amp;(DV12-1)&amp;" more","")&amp;".","")&amp;IF(AND(DT12=1,EP12&gt;0)," | Not counted as interventions, because they are recorded as exposures rather than as intervention milestones (nothing is inferred): "&amp;FB12&amp;". If treatment was given, record it as an intervention milestone.",""),4,9999))</f>
        <v/>
      </c>
      <c r="AT12" s="21" t="str">
        <f t="shared" si="17"/>
        <v/>
      </c>
      <c r="AU12" s="21" t="str">
        <f t="shared" si="18"/>
        <v/>
      </c>
      <c r="AV12" s="21" t="str">
        <f t="shared" si="19"/>
        <v/>
      </c>
      <c r="AW12" s="22">
        <f t="shared" si="20"/>
        <v>1</v>
      </c>
      <c r="AX12" s="21" t="str">
        <f t="shared" si="21"/>
        <v>|</v>
      </c>
      <c r="AY12" s="21" t="str">
        <f t="shared" si="22"/>
        <v/>
      </c>
      <c r="AZ12" s="22">
        <f>IF(AY12="",0,COUNTIF(nINT_Key,AY12))</f>
        <v>0</v>
      </c>
      <c r="BA12" s="22">
        <f>IF(D12="",0,IFERROR(MATCH(AX12&amp;"|"&amp;D12,nLNK_Key,0),0))</f>
        <v>0</v>
      </c>
      <c r="BB12" s="22">
        <f>IF(BA12=0,1,INDEX(nLNK_Exp_Found,BA12))</f>
        <v>1</v>
      </c>
      <c r="BC12" s="22">
        <f>IF(BA12=0,1,INDEX(nLNK_Evt_Found,BA12))</f>
        <v>1</v>
      </c>
      <c r="BD12" s="22">
        <f>IF(AP12="",0,COUNTIF(nEXP_Key,AX12&amp;"|"&amp;AP12))</f>
        <v>0</v>
      </c>
      <c r="BE12" s="22">
        <f>IF(AQ12="",0,COUNTIF(nEVT_Key,AX12&amp;"|"&amp;AQ12))</f>
        <v>0</v>
      </c>
      <c r="BF12" s="22">
        <f>IF(ISNA(MATCH(E12,nLIST_AnchorType,0)),0,1)</f>
        <v>0</v>
      </c>
      <c r="BG12" s="22">
        <f t="shared" si="23"/>
        <v>0</v>
      </c>
      <c r="BH12" s="22">
        <f t="shared" si="24"/>
        <v>0</v>
      </c>
      <c r="BI12" s="22">
        <f>IF(OR(AW12=1,AK12=""),0,IFERROR(MATCH(AX12&amp;"|"&amp;AK12,nTP_Key,0),0))</f>
        <v>0</v>
      </c>
      <c r="BJ12" s="21">
        <f>IF(BI12=0,0,INDEX(nTP_Dup,BI12))</f>
        <v>0</v>
      </c>
      <c r="BK12" s="21" t="str">
        <f>IF(BI12=0,"",INDEX(nTP_Record_Type,BI12))</f>
        <v/>
      </c>
      <c r="BL12" s="21" t="str">
        <f>IF(BI12=0,"",INDEX(nTP_Precision,BI12))</f>
        <v/>
      </c>
      <c r="BM12" s="21" t="str">
        <f>IF(BI12=0,"",INDEX(nTP_Err,BI12))</f>
        <v/>
      </c>
      <c r="BN12" s="21">
        <f>IF(BI12=0,0,INDEX(nTP_HT,BI12))</f>
        <v>0</v>
      </c>
      <c r="BO12" s="21">
        <f>IF(BI12=0,0,INDEX(nTP_OK,BI12))</f>
        <v>0</v>
      </c>
      <c r="BP12" s="21" t="str">
        <f>IF(BI12=0,"",INDEX(nTP_Loc,BI12))</f>
        <v/>
      </c>
      <c r="BQ12" s="21" t="str">
        <f>IF(BI12=0,"",INDEX(nTP_UTC,BI12))</f>
        <v/>
      </c>
      <c r="BR12" s="21" t="str">
        <f>IF(BI12=0,"",INDEX(nTP_Lo,BI12))</f>
        <v/>
      </c>
      <c r="BS12" s="21" t="str">
        <f>IF(BI12=0,"",INDEX(nTP_Hi,BI12))</f>
        <v/>
      </c>
      <c r="BT12" s="21" t="str">
        <f>IF(BI12=0,"",INDEX(nTP_Original_Text,BI12))</f>
        <v/>
      </c>
      <c r="BU12" s="21" t="str">
        <f>IF(BI12=0,"",INDEX(nTP_Source,BI12))</f>
        <v/>
      </c>
      <c r="BV12" s="21" t="str">
        <f>IF(BI12=0,"",INDEX(nTP_Lab_Note,BI12))</f>
        <v/>
      </c>
      <c r="BW12" s="22">
        <f t="shared" si="25"/>
        <v>0</v>
      </c>
      <c r="BX12" s="21" t="str">
        <f t="shared" si="26"/>
        <v>||</v>
      </c>
      <c r="BY12" s="22">
        <f>IF(BG12=0,0,COUNTIF(nTP_CandKey,BX12))</f>
        <v>0</v>
      </c>
      <c r="BZ12" s="22">
        <f>IF(BG12=0,0,COUNTIFS(nTP_CandKey,BX12,nTP_Err,""))</f>
        <v>0</v>
      </c>
      <c r="CA12" s="21" t="str">
        <f>IF(BY12=BZ12,"",IF(COUNTIFS(nTP_CandKey,BX12,nTP_Err,"E_INVALID_DATE")&gt;0,"; E_INVALID_DATE","")&amp;IF(COUNTIFS(nTP_CandKey,BX12,nTP_Err,"E_REVERSED_BOUNDS")&gt;0,"; E_REVERSED_BOUNDS","")&amp;IF(COUNTIFS(nTP_CandKey,BX12,nTP_Err,"E_MISSING_INPUT")&gt;0,"; E_MISSING_INPUT","")&amp;IF(COUNTIFS(nTP_CandKey,BX12,nTP_Err,"E_INVALID_UNIT")&gt;0,"; E_INVALID_UNIT",""))</f>
        <v/>
      </c>
      <c r="CB12" s="22">
        <f t="shared" si="27"/>
        <v>0</v>
      </c>
      <c r="CC12" s="22">
        <f>IF(CB12=0,0,SUMPRODUCT((nTP_CandKey=BX12)*(nTP_Err="")*(1-(nTP_HT*BN12*((nTP_OK*BO12*(nTP_UTC_n-N(BQ12))+(1-nTP_OK*BO12)*(nTP_Loc_n-N(BP12)))&lt;=0)+(1-nTP_HT*BN12)*(nTP_Hi_n&lt;N(BR12)))-(nTP_HT*BN12*((nTP_OK*BO12*(nTP_UTC_n-N(BQ12))+(1-nTP_OK*BO12)*(nTP_Loc_n-N(BP12)))&gt;0)+(1-nTP_HT*BN12)*(nTP_Lo_n&gt;N(BS12)))-((1-nTP_HT*BN12)*(nTP_Lo_n=nTP_Hi_n)*(nTP_Lo_n=N(BR12))*(N(BR12)=N(BS12))))))</f>
        <v>0</v>
      </c>
      <c r="CD12" s="22">
        <f>IF(CB12=0,0,SUMPRODUCT((nTP_CandKey=BX12)*nTP_Exact*((nTP_HT*BN12*((nTP_OK*BO12*(nTP_UTC_n-N(BQ12))+(1-nTP_OK*BO12)*(nTP_Loc_n-N(BP12)))&lt;=0)+(1-nTP_HT*BN12)*(nTP_Hi_n&lt;N(BR12)))+((1-nTP_HT*BN12)*(nTP_Lo_n=nTP_Hi_n)*(nTP_Lo_n=N(BR12))*(N(BR12)=N(BS12))))))</f>
        <v>0</v>
      </c>
      <c r="CE12" s="22">
        <f>IF(CB12=0,0,SUMPRODUCT((nTP_CandKey=BX12)*(nTP_Err="")*(1-nTP_Exact)*((nTP_HT*BN12*((nTP_OK*BO12*(nTP_UTC_n-N(BQ12))+(1-nTP_OK*BO12)*(nTP_Loc_n-N(BP12)))&lt;=0)+(1-nTP_HT*BN12)*(nTP_Hi_n&lt;N(BR12)))+((1-nTP_HT*BN12)*(nTP_Lo_n=nTP_Hi_n)*(nTP_Lo_n=N(BR12))*(N(BR12)=N(BS12))))))</f>
        <v>0</v>
      </c>
      <c r="CF12" s="22">
        <f>IF(CD12=0,0,SUMPRODUCT(MAX((nTP_CandKey=BX12)*nTP_Exact*((nTP_HT*BN12*((nTP_OK*BO12*(nTP_UTC_n-N(BQ12))+(1-nTP_OK*BO12)*(nTP_Loc_n-N(BP12)))&lt;=0)+(1-nTP_HT*BN12)*(nTP_Hi_n&lt;N(BR12)))+((1-nTP_HT*BN12)*(nTP_Lo_n=nTP_Hi_n)*(nTP_Lo_n=N(BR12))*(N(BR12)=N(BS12))))*nTP_Lo_n)))</f>
        <v>0</v>
      </c>
      <c r="CG12" s="22">
        <f>IF(CD12=0,0,SUMPRODUCT((nTP_CandKey=BX12)*nTP_Exact*((nTP_HT*BN12*((nTP_OK*BO12*(nTP_UTC_n-N(BQ12))+(1-nTP_OK*BO12)*(nTP_Loc_n-N(BP12)))&lt;=0)+(1-nTP_HT*BN12)*(nTP_Hi_n&lt;N(BR12)))+((1-nTP_HT*BN12)*(nTP_Lo_n=nTP_Hi_n)*(nTP_Lo_n=N(BR12))*(N(BR12)=N(BS12))))*(nTP_Lo_n=CF12)))</f>
        <v>0</v>
      </c>
      <c r="CH12" s="22">
        <f>IF(CD12=0,0,SUMPRODUCT((nTP_CandKey=BX12)*nTP_Exact*((nTP_HT*BN12*((nTP_OK*BO12*(nTP_UTC_n-N(BQ12))+(1-nTP_OK*BO12)*(nTP_Loc_n-N(BP12)))&lt;=0)+(1-nTP_HT*BN12)*(nTP_Hi_n&lt;N(BR12)))+((1-nTP_HT*BN12)*(nTP_Lo_n=nTP_Hi_n)*(nTP_Lo_n=N(BR12))*(N(BR12)=N(BS12))))*(1-nTP_HT)*(nTP_Lo_n=CF12)))</f>
        <v>0</v>
      </c>
      <c r="CI12" s="22">
        <f>IF(CD12=0,0,SUMPRODUCT(MAX((nTP_CandKey=BX12)*nTP_Exact*((nTP_HT*BN12*((nTP_OK*BO12*(nTP_UTC_n-N(BQ12))+(1-nTP_OK*BO12)*(nTP_Loc_n-N(BP12)))&lt;=0)+(1-nTP_HT*BN12)*(nTP_Hi_n&lt;N(BR12)))+((1-nTP_HT*BN12)*(nTP_Lo_n=nTP_Hi_n)*(nTP_Lo_n=N(BR12))*(N(BR12)=N(BS12))))*(1-nTP_HT)*nTP_Lo_n)))</f>
        <v>0</v>
      </c>
      <c r="CJ12" s="22">
        <f>IF(CD12=0,0,SUMPRODUCT(MAX((nTP_CandKey=BX12)*nTP_Exact*((nTP_HT*BN12*((nTP_OK*BO12*(nTP_UTC_n-N(BQ12))+(1-nTP_OK*BO12)*(nTP_Loc_n-N(BP12)))&lt;=0)+(1-nTP_HT*BN12)*(nTP_Hi_n&lt;N(BR12)))+((1-nTP_HT*BN12)*(nTP_Lo_n=nTP_Hi_n)*(nTP_Lo_n=N(BR12))*(N(BR12)=N(BS12))))*nTP_HT*nTP_OK*nTP_UTC_n)))</f>
        <v>0</v>
      </c>
      <c r="CK12" s="22">
        <f>IF(CJ12=0,0,SUMPRODUCT((nTP_CandKey=BX12)*nTP_Exact*((nTP_HT*BN12*((nTP_OK*BO12*(nTP_UTC_n-N(BQ12))+(1-nTP_OK*BO12)*(nTP_Loc_n-N(BP12)))&lt;=0)+(1-nTP_HT*BN12)*(nTP_Hi_n&lt;N(BR12)))+((1-nTP_HT*BN12)*(nTP_Lo_n=nTP_Hi_n)*(nTP_Lo_n=N(BR12))*(N(BR12)=N(BS12))))*nTP_HT*nTP_OK*(nTP_UTC_n=CJ12)))</f>
        <v>0</v>
      </c>
      <c r="CL12" s="22">
        <f>IF(CK12&lt;&gt;1,0,SUMPRODUCT((nTP_CandKey=BX12)*nTP_Exact*((nTP_HT*BN12*((nTP_OK*BO12*(nTP_UTC_n-N(BQ12))+(1-nTP_OK*BO12)*(nTP_Loc_n-N(BP12)))&lt;=0)+(1-nTP_HT*BN12)*(nTP_Hi_n&lt;N(BR12)))+((1-nTP_HT*BN12)*(nTP_Lo_n=nTP_Hi_n)*(nTP_Lo_n=N(BR12))*(N(BR12)=N(BS12))))*nTP_HT*nTP_OK*(nTP_UTC_n=CJ12)*nTP_Loc_n))</f>
        <v>0</v>
      </c>
      <c r="CM12" s="22">
        <f>IF(CK12&lt;&gt;1,0,SUMPRODUCT((nTP_CandKey=BX12)*nTP_Exact*((nTP_HT*BN12*((nTP_OK*BO12*(nTP_UTC_n-N(BQ12))+(1-nTP_OK*BO12)*(nTP_Loc_n-N(BP12)))&lt;=0)+(1-nTP_HT*BN12)*(nTP_Hi_n&lt;N(BR12)))+((1-nTP_HT*BN12)*(nTP_Lo_n=nTP_Hi_n)*(nTP_Lo_n=N(BR12))*(N(BR12)=N(BS12))))*nTP_HT*nTP_OK*(nTP_UTC_n=CJ12)*nTP_Lo_n))</f>
        <v>0</v>
      </c>
      <c r="CN12" s="22">
        <f>IF(CD12=0,0,SUMPRODUCT(MAX((nTP_CandKey=BX12)*nTP_Exact*((nTP_HT*BN12*((nTP_OK*BO12*(nTP_UTC_n-N(BQ12))+(1-nTP_OK*BO12)*(nTP_Loc_n-N(BP12)))&lt;=0)+(1-nTP_HT*BN12)*(nTP_Hi_n&lt;N(BR12)))+((1-nTP_HT*BN12)*(nTP_Lo_n=nTP_Hi_n)*(nTP_Lo_n=N(BR12))*(N(BR12)=N(BS12))))*nTP_HT*(1-nTP_OK)*nTP_Loc_n)))</f>
        <v>0</v>
      </c>
      <c r="CO12" s="22">
        <f>IF(CN12=0,0,SUMPRODUCT((nTP_CandKey=BX12)*nTP_Exact*((nTP_HT*BN12*((nTP_OK*BO12*(nTP_UTC_n-N(BQ12))+(1-nTP_OK*BO12)*(nTP_Loc_n-N(BP12)))&lt;=0)+(1-nTP_HT*BN12)*(nTP_Hi_n&lt;N(BR12)))+((1-nTP_HT*BN12)*(nTP_Lo_n=nTP_Hi_n)*(nTP_Lo_n=N(BR12))*(N(BR12)=N(BS12))))*nTP_HT*(1-nTP_OK)*(nTP_Loc_n=CN12)))</f>
        <v>0</v>
      </c>
      <c r="CP12" s="22">
        <f>IF(CO12&lt;&gt;1,0,SUMPRODUCT((nTP_CandKey=BX12)*nTP_Exact*((nTP_HT*BN12*((nTP_OK*BO12*(nTP_UTC_n-N(BQ12))+(1-nTP_OK*BO12)*(nTP_Loc_n-N(BP12)))&lt;=0)+(1-nTP_HT*BN12)*(nTP_Hi_n&lt;N(BR12)))+((1-nTP_HT*BN12)*(nTP_Lo_n=nTP_Hi_n)*(nTP_Lo_n=N(BR12))*(N(BR12)=N(BS12))))*nTP_HT*(1-nTP_OK)*(nTP_Loc_n=CN12)*nTP_Lo_n))</f>
        <v>0</v>
      </c>
      <c r="CQ12" s="22">
        <f>IF(CD12=0,0,SUMPRODUCT(MAX((nTP_CandKey=BX12)*nTP_Exact*((nTP_HT*BN12*((nTP_OK*BO12*(nTP_UTC_n-N(BQ12))+(1-nTP_OK*BO12)*(nTP_Loc_n-N(BP12)))&lt;=0)+(1-nTP_HT*BN12)*(nTP_Hi_n&lt;N(BR12)))+((1-nTP_HT*BN12)*(nTP_Lo_n=nTP_Hi_n)*(nTP_Lo_n=N(BR12))*(N(BR12)=N(BS12))))*nTP_HT*nTP_OK*nTP_Loc_n)))</f>
        <v>0</v>
      </c>
      <c r="CR12" s="22">
        <f t="shared" si="28"/>
        <v>0</v>
      </c>
      <c r="CS12" s="22">
        <f>IF(CR12=0,0,IF(CR12=1,MATCH(1,INDEX((nTP_CandKey=BX12)*nTP_Exact*((nTP_HT*BN12*((nTP_OK*BO12*(nTP_UTC_n-N(BQ12))+(1-nTP_OK*BO12)*(nTP_Loc_n-N(BP12)))&lt;=0)+(1-nTP_HT*BN12)*(nTP_Hi_n&lt;N(BR12)))+((1-nTP_HT*BN12)*(nTP_Lo_n=nTP_Hi_n)*(nTP_Lo_n=N(BR12))*(N(BR12)=N(BS12))))*(1-nTP_HT)*(nTP_Lo_n=CF12),0),0),IF(CR12=2,MATCH(1,INDEX((nTP_CandKey=BX12)*nTP_Exact*((nTP_HT*BN12*((nTP_OK*BO12*(nTP_UTC_n-N(BQ12))+(1-nTP_OK*BO12)*(nTP_Loc_n-N(BP12)))&lt;=0)+(1-nTP_HT*BN12)*(nTP_Hi_n&lt;N(BR12)))+((1-nTP_HT*BN12)*(nTP_Lo_n=nTP_Hi_n)*(nTP_Lo_n=N(BR12))*(N(BR12)=N(BS12))))*nTP_HT*nTP_OK*(nTP_UTC_n=CJ12),0),0),MATCH(1,INDEX((nTP_CandKey=BX12)*nTP_Exact*((nTP_HT*BN12*((nTP_OK*BO12*(nTP_UTC_n-N(BQ12))+(1-nTP_OK*BO12)*(nTP_Loc_n-N(BP12)))&lt;=0)+(1-nTP_HT*BN12)*(nTP_Hi_n&lt;N(BR12)))+((1-nTP_HT*BN12)*(nTP_Lo_n=nTP_Hi_n)*(nTP_Lo_n=N(BR12))*(N(BR12)=N(BS12))))*nTP_HT*(1-nTP_OK)*(nTP_Loc_n=CN12),0),0))))</f>
        <v>0</v>
      </c>
      <c r="CT12" s="22">
        <f>IF(CS12=0,0,INDEX(nTP_Lo_n,CS12))</f>
        <v>0</v>
      </c>
      <c r="CU12" s="22">
        <f>IF(CS12=0,0,SUMPRODUCT((nTP_CandKey=BX12)*(nTP_Err="")*(1-nTP_Exact)*((nTP_HT*BN12*((nTP_OK*BO12*(nTP_UTC_n-N(BQ12))+(1-nTP_OK*BO12)*(nTP_Loc_n-N(BP12)))&lt;=0)+(1-nTP_HT*BN12)*(nTP_Hi_n&lt;N(BR12)))+((1-nTP_HT*BN12)*(nTP_Lo_n=nTP_Hi_n)*(nTP_Lo_n=N(BR12))*(N(BR12)=N(BS12))))*(nTP_Hi_n&gt;=CT12)))</f>
        <v>0</v>
      </c>
      <c r="CV12" s="21" t="str">
        <f t="shared" si="29"/>
        <v/>
      </c>
      <c r="CW12" s="21" t="str">
        <f>IF(AND(BG12=1,CB12=1,CV12="",CS12&gt;0),INDEX(nTP_Record_ID,CS12)&amp;"","")</f>
        <v/>
      </c>
      <c r="CX12" s="21" t="str">
        <f>IF(OR(CV12="",BG12=0),"",IF(CV12="none","an administration record (last dose before onset)",IF(CV12="uncertain","the anchor record: "&amp;INDEX(nTP_Record_ID,MATCH(1,INDEX((nTP_CandKey=BX12)*(nTP_Err="")*(1-(nTP_HT*BN12*((nTP_OK*BO12*(nTP_UTC_n-N(BQ12))+(1-nTP_OK*BO12)*(nTP_Loc_n-N(BP12)))&lt;=0)+(1-nTP_HT*BN12)*(nTP_Hi_n&lt;N(BR12)))-(nTP_HT*BN12*((nTP_OK*BO12*(nTP_UTC_n-N(BQ12))+(1-nTP_OK*BO12)*(nTP_Loc_n-N(BP12)))&gt;0)+(1-nTP_HT*BN12)*(nTP_Lo_n&gt;N(BS12)))-((1-nTP_HT*BN12)*(nTP_Lo_n=nTP_Hi_n)*(nTP_Lo_n=N(BR12))*(N(BR12)=N(BS12)))),0),0))&amp;IF(CC12&gt;1," and "&amp;(CC12-1)&amp;" more","")&amp;" may fall before or after the end point, so the last dose cannot be identified from the recorded dates",IF(CV12="noneligible","the anchor record: no administration with an exact date is recorded at or before the end point",IF(CV12="tie","the anchor record: the order of the latest administrations cannot be told from the recorded dates and times","the anchor record: partial-date administration "&amp;INDEX(nTP_Record_ID,MATCH(1,INDEX((nTP_CandKey=BX12)*(nTP_Err="")*(1-nTP_Exact)*((nTP_HT*BN12*((nTP_OK*BO12*(nTP_UTC_n-N(BQ12))+(1-nTP_OK*BO12)*(nTP_Loc_n-N(BP12)))&lt;=0)+(1-nTP_HT*BN12)*(nTP_Hi_n&lt;N(BR12)))+((1-nTP_HT*BN12)*(nTP_Lo_n=nTP_Hi_n)*(nTP_Lo_n=N(BR12))*(N(BR12)=N(BS12))))*(nTP_Hi_n&gt;=CT12),0),0))&amp;" could be the last dose before the end point")))))</f>
        <v/>
      </c>
      <c r="CY12" s="22">
        <f>IF(OR(AW12=1,AJ12=""),0,IFERROR(MATCH(AX12&amp;"|"&amp;AJ12,nTP_Key,0),0))</f>
        <v>0</v>
      </c>
      <c r="CZ12" s="21">
        <f>IF(CY12=0,0,INDEX(nTP_Dup,CY12))</f>
        <v>0</v>
      </c>
      <c r="DA12" s="21" t="str">
        <f>IF(CY12=0,"",INDEX(nTP_Record_Type,CY12))</f>
        <v/>
      </c>
      <c r="DB12" s="21" t="str">
        <f>IF(CY12=0,"",INDEX(nTP_Precision,CY12))</f>
        <v/>
      </c>
      <c r="DC12" s="21" t="str">
        <f>IF(CY12=0,"",INDEX(nTP_Err,CY12))</f>
        <v/>
      </c>
      <c r="DD12" s="21">
        <f>IF(CY12=0,0,INDEX(nTP_HT,CY12))</f>
        <v>0</v>
      </c>
      <c r="DE12" s="21">
        <f>IF(CY12=0,0,INDEX(nTP_OK,CY12))</f>
        <v>0</v>
      </c>
      <c r="DF12" s="21" t="str">
        <f>IF(CY12=0,"",INDEX(nTP_Loc,CY12))</f>
        <v/>
      </c>
      <c r="DG12" s="21" t="str">
        <f>IF(CY12=0,"",INDEX(nTP_UTC,CY12))</f>
        <v/>
      </c>
      <c r="DH12" s="21" t="str">
        <f>IF(CY12=0,"",INDEX(nTP_Lo,CY12))</f>
        <v/>
      </c>
      <c r="DI12" s="21" t="str">
        <f>IF(CY12=0,"",INDEX(nTP_Hi,CY12))</f>
        <v/>
      </c>
      <c r="DJ12" s="21" t="str">
        <f>IF(CY12=0,"",INDEX(nTP_Original_Text,CY12))</f>
        <v/>
      </c>
      <c r="DK12" s="21" t="str">
        <f>IF(CY12=0,"",INDEX(nTP_Source,CY12))</f>
        <v/>
      </c>
      <c r="DL12" s="22">
        <f t="shared" si="30"/>
        <v>0</v>
      </c>
      <c r="DM12" s="21" t="str">
        <f t="shared" si="31"/>
        <v/>
      </c>
      <c r="DN12" s="21" t="str">
        <f t="shared" si="32"/>
        <v/>
      </c>
      <c r="DO12" s="21" t="str">
        <f t="shared" si="33"/>
        <v/>
      </c>
      <c r="DP12" s="21" t="str">
        <f t="shared" si="34"/>
        <v/>
      </c>
      <c r="DQ12" s="21" t="str">
        <f t="shared" si="35"/>
        <v/>
      </c>
      <c r="DR12" s="22">
        <f>IF(OR(DQ12="",I12=""),0,IF(ISNA(MATCH(I12,nLIST_Mode,0)),1,IF(AND(I12="C1",DQ12&lt;&gt;"C1"),1,IF(AND(I12="C2",DQ12="C4"),1,0))))</f>
        <v>0</v>
      </c>
      <c r="DS12" s="21" t="str">
        <f t="shared" si="36"/>
        <v/>
      </c>
      <c r="DT12" s="22">
        <f t="shared" si="37"/>
        <v>0</v>
      </c>
      <c r="DU12" s="21" t="str">
        <f>IF(DT12=0,"",IF(COUNTIFS(nTP_Case_Key,AX12,nTP_Record_Type,"MILESTONE:INTERVENTION",nTP_Err,"E_INVALID_DATE")&gt;0,"; E_INVALID_DATE","")&amp;IF(COUNTIFS(nTP_Case_Key,AX12,nTP_Record_Type,"MILESTONE:INTERVENTION",nTP_Err,"E_REVERSED_BOUNDS")&gt;0,"; E_REVERSED_BOUNDS","")&amp;IF(COUNTIFS(nTP_Case_Key,AX12,nTP_Record_Type,"MILESTONE:INTERVENTION",nTP_Err,"E_MISSING_INPUT")&gt;0,"; E_MISSING_INPUT","")&amp;IF(COUNTIFS(nTP_Case_Key,AX12,nTP_Record_Type,"MILESTONE:INTERVENTION",nTP_Err,"E_INVALID_UNIT")&gt;0,"; E_INVALID_UNIT",""))</f>
        <v/>
      </c>
      <c r="DV12" s="22">
        <f>IF(DT12=0,0,SUMPRODUCT((nMS_CaseKey=AX12)*(nMS_Type="INTERVENTION")*nMS_Undated))</f>
        <v>0</v>
      </c>
      <c r="DW12" s="21" t="str">
        <f t="shared" si="38"/>
        <v/>
      </c>
      <c r="DX12" s="21" t="str">
        <f t="shared" si="39"/>
        <v/>
      </c>
      <c r="DY12" s="22">
        <f t="shared" si="40"/>
        <v>1</v>
      </c>
      <c r="DZ12" s="21" t="str">
        <f t="shared" si="41"/>
        <v/>
      </c>
      <c r="EA12" s="21" t="str">
        <f t="shared" si="42"/>
        <v/>
      </c>
      <c r="EB12" s="21" t="str">
        <f t="shared" si="43"/>
        <v/>
      </c>
      <c r="EC12" s="21" t="str">
        <f t="shared" si="44"/>
        <v/>
      </c>
      <c r="ED12" s="22">
        <f t="shared" si="45"/>
        <v>0</v>
      </c>
      <c r="EE12" s="22">
        <f t="shared" si="46"/>
        <v>0</v>
      </c>
      <c r="EF12" s="21" t="str">
        <f>IF(ED12=0,"",IF(OR(NOT(ISNUMBER(L12)),NOT(ISNUMBER(M12))),"I_APPROXIMATE_NOT_COMPARED",IF(AND(N12&lt;&gt;"",ISNA(MATCH(N12,nLIST_ReportedUnit,0))),"E_INVALID_UNIT",IF(N12="","E_MISSING_INPUT",IF(L12&gt;M12,"E_REVERSED_BOUNDS",IF(OR(N12="weeks",N12="months",N12="years"),"I_APPROXIMATE_NOT_COMPARED",IF(DX12&lt;&gt;"","",IF(EE12=0,"I_APPROXIMATE_NOT_COMPARED",IF(AND(L12*EE12&lt;=IF(DS12="C4",EC12,IF(DS12="C1",DZ12,EA12)),M12*EE12&gt;=IF(DS12="C4",EB12,IF(DS12="C1",DZ12,EA12))),"OVERLAP","W_REPORTED_TIMING_CONFLICT")))))))))</f>
        <v/>
      </c>
      <c r="EG12" s="21" t="str">
        <f t="shared" si="47"/>
        <v/>
      </c>
      <c r="EH12" s="21" t="str">
        <f t="shared" si="48"/>
        <v/>
      </c>
      <c r="EI12" s="22">
        <f t="shared" si="49"/>
        <v>0</v>
      </c>
      <c r="EJ12" s="22">
        <f t="shared" si="50"/>
        <v>0</v>
      </c>
      <c r="EK12" s="22">
        <f t="shared" si="51"/>
        <v>0</v>
      </c>
      <c r="EL12" s="28" t="str">
        <f t="shared" si="52"/>
        <v/>
      </c>
      <c r="EM12" s="28" t="str">
        <f t="shared" si="53"/>
        <v/>
      </c>
      <c r="EN12" s="21" t="str">
        <f t="shared" si="54"/>
        <v/>
      </c>
      <c r="EO12" s="22">
        <f>IF(OR(DT12=0,DX12&lt;&gt;""),0,SUMPRODUCT((nTP_Case_Key=AX12)*(nTP_Record_Type="MILESTONE:INTERVENTION")*(nTP_Err="")*(nTP_HT*DD12*BN12*(nTP_OK*DE12*(nTP_UTC_n&gt;=N(DG12))+(1-nTP_OK*DE12)*(nTP_Loc_n&gt;=N(DF12)))*(nTP_OK*BO12*(nTP_UTC_n&lt;=N(BQ12))+(1-nTP_OK*BO12)*(nTP_Loc_n&lt;=N(BP12)))+(1-nTP_HT*DD12*BN12)*(nTP_Hi_n&gt;=N(DH12))*(nTP_Lo_n&lt;=N(BS12)))))</f>
        <v>0</v>
      </c>
      <c r="EP12" s="22">
        <f>IF(OR(DT12=0,DX12&lt;&gt;""),0,SUMPRODUCT((nTP_Case_Key=AX12)*(nTP_Role="treatment of the event")*((nTP_Record_Type="EXPOSURE_START")+(nTP_Record_Type="ADMINISTRATION"))*(nTP_Err="")*(nTP_HT*DD12*BN12*(nTP_OK*DE12*(nTP_UTC_n&gt;=N(DG12))+(1-nTP_OK*DE12)*(nTP_Loc_n&gt;=N(DF12)))*(nTP_OK*BO12*(nTP_UTC_n&lt;=N(BQ12))+(1-nTP_OK*BO12)*(nTP_Loc_n&lt;=N(BP12)))+(1-nTP_HT*DD12*BN12)*(nTP_Hi_n&gt;=N(DH12))*(nTP_Lo_n&lt;=N(BS12)))))</f>
        <v>0</v>
      </c>
      <c r="EQ12" s="22">
        <f>IF(EO12&lt;1,0,IFERROR(_xlfn.AGGREGATE(15,6,nTP_RowN/((nTP_Case_Key=AX12)*(nTP_Record_Type="MILESTONE:INTERVENTION")*(nTP_Err="")*(nTP_HT*DD12*BN12*(nTP_OK*DE12*(nTP_UTC_n&gt;=N(DG12))+(1-nTP_OK*DE12)*(nTP_Loc_n&gt;=N(DF12)))*(nTP_OK*BO12*(nTP_UTC_n&lt;=N(BQ12))+(1-nTP_OK*BO12)*(nTP_Loc_n&lt;=N(BP12)))+(1-nTP_HT*DD12*BN12)*(nTP_Hi_n&gt;=N(DH12))*(nTP_Lo_n&lt;=N(BS12)))),1),0))</f>
        <v>0</v>
      </c>
      <c r="ER12" s="22">
        <f>IF(EO12&lt;2,0,IFERROR(_xlfn.AGGREGATE(15,6,nTP_RowN/((nTP_Case_Key=AX12)*(nTP_Record_Type="MILESTONE:INTERVENTION")*(nTP_Err="")*(nTP_HT*DD12*BN12*(nTP_OK*DE12*(nTP_UTC_n&gt;=N(DG12))+(1-nTP_OK*DE12)*(nTP_Loc_n&gt;=N(DF12)))*(nTP_OK*BO12*(nTP_UTC_n&lt;=N(BQ12))+(1-nTP_OK*BO12)*(nTP_Loc_n&lt;=N(BP12)))+(1-nTP_HT*DD12*BN12)*(nTP_Hi_n&gt;=N(DH12))*(nTP_Lo_n&lt;=N(BS12)))),2),0))</f>
        <v>0</v>
      </c>
      <c r="ES12" s="22">
        <f>IF(EO12&lt;3,0,IFERROR(_xlfn.AGGREGATE(15,6,nTP_RowN/((nTP_Case_Key=AX12)*(nTP_Record_Type="MILESTONE:INTERVENTION")*(nTP_Err="")*(nTP_HT*DD12*BN12*(nTP_OK*DE12*(nTP_UTC_n&gt;=N(DG12))+(1-nTP_OK*DE12)*(nTP_Loc_n&gt;=N(DF12)))*(nTP_OK*BO12*(nTP_UTC_n&lt;=N(BQ12))+(1-nTP_OK*BO12)*(nTP_Loc_n&lt;=N(BP12)))+(1-nTP_HT*DD12*BN12)*(nTP_Hi_n&gt;=N(DH12))*(nTP_Lo_n&lt;=N(BS12)))),3),0))</f>
        <v>0</v>
      </c>
      <c r="ET12" s="22">
        <f>IF(EP12&lt;1,0,IFERROR(_xlfn.AGGREGATE(15,6,nTP_RowN/((nTP_Case_Key=AX12)*(nTP_Role="treatment of the event")*((nTP_Record_Type="EXPOSURE_START")+(nTP_Record_Type="ADMINISTRATION"))*(nTP_Err="")*(nTP_HT*DD12*BN12*(nTP_OK*DE12*(nTP_UTC_n&gt;=N(DG12))+(1-nTP_OK*DE12)*(nTP_Loc_n&gt;=N(DF12)))*(nTP_OK*BO12*(nTP_UTC_n&lt;=N(BQ12))+(1-nTP_OK*BO12)*(nTP_Loc_n&lt;=N(BP12)))+(1-nTP_HT*DD12*BN12)*(nTP_Hi_n&gt;=N(DH12))*(nTP_Lo_n&lt;=N(BS12)))),1),0))</f>
        <v>0</v>
      </c>
      <c r="EU12" s="22">
        <f>IF(EP12&lt;2,0,IFERROR(_xlfn.AGGREGATE(15,6,nTP_RowN/((nTP_Case_Key=AX12)*(nTP_Role="treatment of the event")*((nTP_Record_Type="EXPOSURE_START")+(nTP_Record_Type="ADMINISTRATION"))*(nTP_Err="")*(nTP_HT*DD12*BN12*(nTP_OK*DE12*(nTP_UTC_n&gt;=N(DG12))+(1-nTP_OK*DE12)*(nTP_Loc_n&gt;=N(DF12)))*(nTP_OK*BO12*(nTP_UTC_n&lt;=N(BQ12))+(1-nTP_OK*BO12)*(nTP_Loc_n&lt;=N(BP12)))+(1-nTP_HT*DD12*BN12)*(nTP_Hi_n&gt;=N(DH12))*(nTP_Lo_n&lt;=N(BS12)))),2),0))</f>
        <v>0</v>
      </c>
      <c r="EV12" s="22">
        <f>IF(EP12&lt;3,0,IFERROR(_xlfn.AGGREGATE(15,6,nTP_RowN/((nTP_Case_Key=AX12)*(nTP_Role="treatment of the event")*((nTP_Record_Type="EXPOSURE_START")+(nTP_Record_Type="ADMINISTRATION"))*(nTP_Err="")*(nTP_HT*DD12*BN12*(nTP_OK*DE12*(nTP_UTC_n&gt;=N(DG12))+(1-nTP_OK*DE12)*(nTP_Loc_n&gt;=N(DF12)))*(nTP_OK*BO12*(nTP_UTC_n&lt;=N(BQ12))+(1-nTP_OK*BO12)*(nTP_Loc_n&lt;=N(BP12)))+(1-nTP_HT*DD12*BN12)*(nTP_Hi_n&gt;=N(DH12))*(nTP_Lo_n&lt;=N(BS12)))),3),0))</f>
        <v>0</v>
      </c>
      <c r="EW12" s="22">
        <f>IF(CE12&lt;1,0,IFERROR(_xlfn.AGGREGATE(15,6,nTP_RowN/((nTP_CandKey=BX12)*(nTP_Err="")*(1-nTP_Exact)*((nTP_HT*BN12*((nTP_OK*BO12*(nTP_UTC_n-N(BQ12))+(1-nTP_OK*BO12)*(nTP_Loc_n-N(BP12)))&lt;=0)+(1-nTP_HT*BN12)*(nTP_Hi_n&lt;N(BR12)))+((1-nTP_HT*BN12)*(nTP_Lo_n=nTP_Hi_n)*(nTP_Lo_n=N(BR12))*(N(BR12)=N(BS12))))),1),0))</f>
        <v>0</v>
      </c>
      <c r="EX12" s="22">
        <f>IF(CE12&lt;2,0,IFERROR(_xlfn.AGGREGATE(15,6,nTP_RowN/((nTP_CandKey=BX12)*(nTP_Err="")*(1-nTP_Exact)*((nTP_HT*BN12*((nTP_OK*BO12*(nTP_UTC_n-N(BQ12))+(1-nTP_OK*BO12)*(nTP_Loc_n-N(BP12)))&lt;=0)+(1-nTP_HT*BN12)*(nTP_Hi_n&lt;N(BR12)))+((1-nTP_HT*BN12)*(nTP_Lo_n=nTP_Hi_n)*(nTP_Lo_n=N(BR12))*(N(BR12)=N(BS12))))),2),0))</f>
        <v>0</v>
      </c>
      <c r="EY12" s="22">
        <f>IF(CE12&lt;3,0,IFERROR(_xlfn.AGGREGATE(15,6,nTP_RowN/((nTP_CandKey=BX12)*(nTP_Err="")*(1-nTP_Exact)*((nTP_HT*BN12*((nTP_OK*BO12*(nTP_UTC_n-N(BQ12))+(1-nTP_OK*BO12)*(nTP_Loc_n-N(BP12)))&lt;=0)+(1-nTP_HT*BN12)*(nTP_Hi_n&lt;N(BR12)))+((1-nTP_HT*BN12)*(nTP_Lo_n=nTP_Hi_n)*(nTP_Lo_n=N(BR12))*(N(BR12)=N(BS12))))),3),0))</f>
        <v>0</v>
      </c>
      <c r="EZ12" s="21" t="str">
        <f>IF(EO12=0,"",MID(IF(EQ12&gt;0,"; "&amp;INDEX(nTP_Record_ID,EQ12)&amp;IF(INDEX(nTP_Label,EQ12)="",""," ("&amp;INDEX(nTP_Label,EQ12)&amp;")"),"")&amp;IF(ER12&gt;0,"; "&amp;INDEX(nTP_Record_ID,ER12)&amp;IF(INDEX(nTP_Label,ER12)="",""," ("&amp;INDEX(nTP_Label,ER12)&amp;")"),"")&amp;IF(ES12&gt;0,"; "&amp;INDEX(nTP_Record_ID,ES12)&amp;IF(INDEX(nTP_Label,ES12)="",""," ("&amp;INDEX(nTP_Label,ES12)&amp;")"),"")&amp;IF(EO12&gt;3,"; and "&amp;(EO12-3)&amp;" more",""),3,999))</f>
        <v/>
      </c>
      <c r="FA12" s="21" t="str">
        <f>IF(EO12=0,"",MID(IF(EQ12&gt;0,"; "&amp;INDEX(nTP_Record_ID,EQ12),"")&amp;IF(ER12&gt;0,"; "&amp;INDEX(nTP_Record_ID,ER12),"")&amp;IF(ES12&gt;0,"; "&amp;INDEX(nTP_Record_ID,ES12),"")&amp;IF(EO12&gt;3,"; and "&amp;(EO12-3)&amp;" more",""),3,999))</f>
        <v/>
      </c>
      <c r="FB12" s="21" t="str">
        <f>IF(EP12=0,"",MID(IF(ET12&gt;0,"; "&amp;INDEX(nTP_Record_ID,ET12)&amp;IF(INDEX(nTP_Label,ET12)="",""," ("&amp;INDEX(nTP_Label,ET12)&amp;")"),"")&amp;IF(EU12&gt;0,"; "&amp;INDEX(nTP_Record_ID,EU12)&amp;IF(INDEX(nTP_Label,EU12)="",""," ("&amp;INDEX(nTP_Label,EU12)&amp;")"),"")&amp;IF(EV12&gt;0,"; "&amp;INDEX(nTP_Record_ID,EV12)&amp;IF(INDEX(nTP_Label,EV12)="",""," ("&amp;INDEX(nTP_Label,EV12)&amp;")"),"")&amp;IF(EP12&gt;3,"; and "&amp;(EP12-3)&amp;" more",""),3,999))</f>
        <v/>
      </c>
      <c r="FC12" s="21" t="str">
        <f>IF(CE12=0,"",MID(IF(EW12&gt;0,"; "&amp;INDEX(nTP_Record_ID,EW12),"")&amp;IF(EX12&gt;0,"; "&amp;INDEX(nTP_Record_ID,EX12),"")&amp;IF(EY12&gt;0,"; "&amp;INDEX(nTP_Record_ID,EY12),"")&amp;IF(CE12&gt;3,"; and "&amp;(CE12-3)&amp;" more",""),3,999))</f>
        <v/>
      </c>
      <c r="FD12" s="22">
        <f t="shared" si="55"/>
        <v>0</v>
      </c>
      <c r="FE12" s="22">
        <f t="shared" si="56"/>
        <v>0</v>
      </c>
      <c r="FF12" s="22">
        <f t="shared" si="57"/>
        <v>0</v>
      </c>
      <c r="FG12" s="22">
        <f t="shared" si="58"/>
        <v>0</v>
      </c>
      <c r="FH12" s="22">
        <f t="shared" si="59"/>
        <v>0</v>
      </c>
      <c r="FI12" s="22">
        <f t="shared" si="60"/>
        <v>0</v>
      </c>
      <c r="FJ12" s="22">
        <f t="shared" si="61"/>
        <v>0</v>
      </c>
      <c r="FK12" s="22">
        <f t="shared" si="62"/>
        <v>0</v>
      </c>
    </row>
    <row r="13" spans="1:167" x14ac:dyDescent="0.2">
      <c r="A13" s="10"/>
      <c r="B13" s="10"/>
      <c r="C13" s="12"/>
      <c r="D13" s="10"/>
      <c r="E13" s="17"/>
      <c r="F13" s="10"/>
      <c r="G13" s="10"/>
      <c r="H13" s="10"/>
      <c r="I13" s="17"/>
      <c r="J13" s="17"/>
      <c r="K13" s="10"/>
      <c r="L13" s="17"/>
      <c r="M13" s="17"/>
      <c r="N13" s="17"/>
      <c r="O13" s="10"/>
      <c r="P13" s="15"/>
      <c r="Q13" s="15"/>
      <c r="R13" s="10"/>
      <c r="S13" s="10"/>
      <c r="T13" s="21" t="str">
        <f t="shared" si="0"/>
        <v/>
      </c>
      <c r="U13" s="21" t="str">
        <f t="shared" si="1"/>
        <v/>
      </c>
      <c r="V13" s="21" t="str">
        <f t="shared" si="2"/>
        <v/>
      </c>
      <c r="W13" s="21" t="str">
        <f t="shared" si="3"/>
        <v/>
      </c>
      <c r="X13" s="21" t="str">
        <f t="shared" si="4"/>
        <v/>
      </c>
      <c r="Y13" s="21" t="str">
        <f t="shared" si="5"/>
        <v/>
      </c>
      <c r="Z13" s="21" t="str">
        <f t="shared" si="6"/>
        <v/>
      </c>
      <c r="AA13" s="21" t="str">
        <f t="shared" si="7"/>
        <v/>
      </c>
      <c r="AB13" s="21" t="str">
        <f t="shared" si="8"/>
        <v/>
      </c>
      <c r="AC13" s="21" t="str">
        <f t="shared" si="9"/>
        <v/>
      </c>
      <c r="AD13" s="21" t="str">
        <f>IF(AW13=1,"",MID(IF(ISNUMBER(SEARCH("E_INVALID_DATE",EG13))," | E_INVALID_DATE: "&amp;SUBSTITUTE(IFERROR(INDEX(nMSG_Text,MATCH("E_INVALID_DATE",nMSG_Code,0)),""),"[input]",""),"")&amp;IF(ISNUMBER(SEARCH("E_REVERSED_BOUNDS",EG13))," | E_REVERSED_BOUNDS: "&amp;SUBSTITUTE(IFERROR(INDEX(nMSG_Text,MATCH("E_REVERSED_BOUNDS",nMSG_Code,0)),""),"[input]",""),"")&amp;IF(ISNUMBER(SEARCH("E_DUPLICATE_ID",EG13))," | E_DUPLICATE_ID: "&amp;SUBSTITUTE(IFERROR(INDEX(nMSG_Text,MATCH("E_DUPLICATE_ID",nMSG_Code,0)),""),"[input]",""),"")&amp;IF(ISNUMBER(SEARCH("E_MISSING_LINK",EG13))," | E_MISSING_LINK: "&amp;SUBSTITUTE(IFERROR(INDEX(nMSG_Text,MATCH("E_MISSING_LINK",nMSG_Code,0)),""),"[input]",""),"")&amp;IF(ISNUMBER(SEARCH("E_MISSING_INPUT",EG13))," | E_MISSING_INPUT: "&amp;SUBSTITUTE(IFERROR(INDEX(nMSG_Text,MATCH("E_MISSING_INPUT",nMSG_Code,0)),""),"[input]",IF(EH13="","an input",EH13)),"")&amp;IF(ISNUMBER(SEARCH("E_INVALID_UNIT",EG13))," | E_INVALID_UNIT: "&amp;SUBSTITUTE(IFERROR(INDEX(nMSG_Text,MATCH("E_INVALID_UNIT",nMSG_Code,0)),""),"[input]",""),"")&amp;IF(FD13=1," | W_TZ_UNKNOWN: "&amp;SUBSTITUTE(IFERROR(INDEX(nMSG_Text,MATCH("W_TZ_UNKNOWN",nMSG_Code,0)),""),"[input]",""),"")&amp;IF(FE13=1," | W_SAME_DATE_ORDER_UNKNOWN: "&amp;SUBSTITUTE(IFERROR(INDEX(nMSG_Text,MATCH("W_SAME_DATE_ORDER_UNKNOWN",nMSG_Code,0)),""),"[input]",""),"")&amp;IF(FF13=1," | W_SEQUENCE_UNCERTAIN: "&amp;SUBSTITUTE(IFERROR(INDEX(nMSG_Text,MATCH("W_SEQUENCE_UNCERTAIN",nMSG_Code,0)),""),"[input]",""),"")&amp;IF(FG13=1," | W_ADMIN_SAME_DATE_AS_ONSET: "&amp;SUBSTITUTE(IFERROR(INDEX(nMSG_Text,MATCH("W_ADMIN_SAME_DATE_AS_ONSET",nMSG_Code,0)),""),"[input]",""),"")&amp;IF(FH13=1," | W_REPORTED_TIMING_CONFLICT: "&amp;SUBSTITUTE(IFERROR(INDEX(nMSG_Text,MATCH("W_REPORTED_TIMING_CONFLICT",nMSG_Code,0)),""),"[input]",""),"")&amp;IF(FI13=1," | W_INTERVENTION_BEFORE_RECOVERY: "&amp;SUBSTITUTE(IFERROR(INDEX(nMSG_Text,MATCH("W_INTERVENTION_BEFORE_RECOVERY",nMSG_Code,0)),""),"[input]",""),"")&amp;IF(FJ13=1," | I_TREATMENT_DAY_UNDEFINED: "&amp;SUBSTITUTE(IFERROR(INDEX(nMSG_Text,MATCH("I_TREATMENT_DAY_UNDEFINED",nMSG_Code,0)),""),"[input]",""),"")&amp;IF(FK13=1," | I_APPROXIMATE_NOT_COMPARED: "&amp;SUBSTITUTE(IFERROR(INDEX(nMSG_Text,MATCH("I_APPROXIMATE_NOT_COMPARED",nMSG_Code,0)),""),"[input]",""),""),4,9999))</f>
        <v/>
      </c>
      <c r="AE13" s="21" t="str">
        <f t="shared" si="10"/>
        <v/>
      </c>
      <c r="AF13" s="21" t="str">
        <f t="shared" si="11"/>
        <v/>
      </c>
      <c r="AG13" s="21" t="str">
        <f>IF(EN13="","",MID(IF(ISNUMBER(SEARCH("E_REVERSED_BOUNDS",EN13))," | E_REVERSED_BOUNDS: "&amp;SUBSTITUTE(IFERROR(INDEX(nMSG_Text,MATCH("E_REVERSED_BOUNDS",nMSG_Code,0)),""),"[input]",""),"")&amp;IF(ISNUMBER(SEARCH("E_MISSING_INPUT",EN13))," | E_MISSING_INPUT: "&amp;SUBSTITUTE(IFERROR(INDEX(nMSG_Text,MATCH("E_MISSING_INPUT",nMSG_Code,0)),""),"[input]",IF("the source of the constraint"="","an input","the source of the constraint")),""),4,999))</f>
        <v/>
      </c>
      <c r="AH13" s="21" t="str">
        <f t="shared" si="12"/>
        <v/>
      </c>
      <c r="AI13" s="21" t="str">
        <f t="shared" si="13"/>
        <v/>
      </c>
      <c r="AJ13" s="21" t="str">
        <f t="shared" si="14"/>
        <v/>
      </c>
      <c r="AK13" s="21" t="str">
        <f t="shared" si="15"/>
        <v/>
      </c>
      <c r="AL13" s="21" t="str">
        <f>IF(CY13=0,"",INDEX(nTP_ISO,CY13))</f>
        <v/>
      </c>
      <c r="AM13" s="21" t="str">
        <f>IF(CY13=0,"",INDEX(nTP_Display,CY13))</f>
        <v/>
      </c>
      <c r="AN13" s="21" t="str">
        <f>IF(BI13=0,"",INDEX(nTP_ISO,BI13))</f>
        <v/>
      </c>
      <c r="AO13" s="21" t="str">
        <f>IF(BI13=0,"",INDEX(nTP_Display,BI13))</f>
        <v/>
      </c>
      <c r="AP13" s="21" t="str">
        <f>IF(BA13=0,"",INDEX(nLNK_Exposure_Episode_ID,BA13)&amp;"")</f>
        <v/>
      </c>
      <c r="AQ13" s="21" t="str">
        <f>IF(BA13=0,"",INDEX(nLNK_Event_Episode_ID,BA13)&amp;"")</f>
        <v/>
      </c>
      <c r="AR13" s="21" t="str">
        <f t="shared" si="16"/>
        <v/>
      </c>
      <c r="AS13" s="21" t="str">
        <f>IF(EI13=0,"",MID(IF(DT13=1," | Recovery interval (C7) computed with "&amp;DS13&amp;".","")&amp;IF(BG13=1," | Anchor selected under C5 (CALC-SPEC 1.1): latest administration with an exact date or time at or before "&amp;IF(BH13=1,"onset","the end point")&amp;" ("&amp;AJ13&amp;"), ordered in UTC when offsets are known; later administrations are never selected.","")&amp;IF(AND(BG13=1,CE13&gt;0)," | Partial-date administrations wholly before the selected one were not candidates: "&amp;FC13&amp;".","")&amp;IF(BV13&lt;&gt;""," | "&amp;BV13,"")&amp;IF(AND(DS13="C2",EA13=0,DZ13&lt;&gt;"")," | Same calendar date; both times are known, so C1 decides the order ("&amp;AA13&amp;").","")&amp;IF(AND(DS13="C2",DD13*BN13=1,DT13=0)," | Calendar-date difference from the recorded local dates; it is never described as elapsed days.","")&amp;IF(AND(DS13="C4",DT13=0)," | Bounds are treated as independent; no single date is imputed from them.","")&amp;IF(EJ13=1," | Treatment day under the inclusive convention (C3); never written to E2B fields automatically.","")&amp;IF(AND(DS13="C4",DT13=0,EK13=0)," | No constraint applied.","")&amp;IF(AND(DS13="C4",EK13=1)," | Constraint applied to the anchor bounds: "&amp;IF(ISNUMBER(P13),"not before "&amp;DAY(P13)&amp;" "&amp;INDEX(nLIST_Months,MONTH(P13))&amp;" "&amp;YEAR(P13),"")&amp;IF(AND(ISNUMBER(P13),ISNUMBER(Q13)),", ","")&amp;IF(ISNUMBER(Q13),"not after "&amp;DAY(Q13)&amp;" "&amp;INDEX(nLIST_Months,MONTH(Q13))&amp;" "&amp;YEAR(Q13),"")&amp;". Source: "&amp;IF(R13="","not recorded",R13)&amp;IF(EN13="",". Constrained result shown beside the unconstrained one.",". Constrained result blocked ("&amp;EN13&amp;")."),"")&amp;IF(DT13=1,IF(EO13&gt;0," | Intervention recorded between cessation and recovery (ends included): "&amp;EZ13&amp;"."," | No intervention is recorded between cessation and recovery; absence of a record is not evidence that none was given."),"")&amp;IF(AND(DT13=1,DV13&gt;0)," | Intervention recorded without a date, so whether it came before recovery is unknown: "&amp;INDEX(nMS_Milestone_ID,MATCH(1,INDEX((nMS_CaseKey=AX13)*(nMS_Type="INTERVENTION")*nMS_Undated,0),0))&amp;IF(DV13&gt;1," and "&amp;(DV13-1)&amp;" more","")&amp;".","")&amp;IF(AND(DT13=1,EP13&gt;0)," | Not counted as interventions, because they are recorded as exposures rather than as intervention milestones (nothing is inferred): "&amp;FB13&amp;". If treatment was given, record it as an intervention milestone.",""),4,9999))</f>
        <v/>
      </c>
      <c r="AT13" s="21" t="str">
        <f t="shared" si="17"/>
        <v/>
      </c>
      <c r="AU13" s="21" t="str">
        <f t="shared" si="18"/>
        <v/>
      </c>
      <c r="AV13" s="21" t="str">
        <f t="shared" si="19"/>
        <v/>
      </c>
      <c r="AW13" s="22">
        <f t="shared" si="20"/>
        <v>1</v>
      </c>
      <c r="AX13" s="21" t="str">
        <f t="shared" si="21"/>
        <v>|</v>
      </c>
      <c r="AY13" s="21" t="str">
        <f t="shared" si="22"/>
        <v/>
      </c>
      <c r="AZ13" s="22">
        <f>IF(AY13="",0,COUNTIF(nINT_Key,AY13))</f>
        <v>0</v>
      </c>
      <c r="BA13" s="22">
        <f>IF(D13="",0,IFERROR(MATCH(AX13&amp;"|"&amp;D13,nLNK_Key,0),0))</f>
        <v>0</v>
      </c>
      <c r="BB13" s="22">
        <f>IF(BA13=0,1,INDEX(nLNK_Exp_Found,BA13))</f>
        <v>1</v>
      </c>
      <c r="BC13" s="22">
        <f>IF(BA13=0,1,INDEX(nLNK_Evt_Found,BA13))</f>
        <v>1</v>
      </c>
      <c r="BD13" s="22">
        <f>IF(AP13="",0,COUNTIF(nEXP_Key,AX13&amp;"|"&amp;AP13))</f>
        <v>0</v>
      </c>
      <c r="BE13" s="22">
        <f>IF(AQ13="",0,COUNTIF(nEVT_Key,AX13&amp;"|"&amp;AQ13))</f>
        <v>0</v>
      </c>
      <c r="BF13" s="22">
        <f>IF(ISNA(MATCH(E13,nLIST_AnchorType,0)),0,1)</f>
        <v>0</v>
      </c>
      <c r="BG13" s="22">
        <f t="shared" si="23"/>
        <v>0</v>
      </c>
      <c r="BH13" s="22">
        <f t="shared" si="24"/>
        <v>0</v>
      </c>
      <c r="BI13" s="22">
        <f>IF(OR(AW13=1,AK13=""),0,IFERROR(MATCH(AX13&amp;"|"&amp;AK13,nTP_Key,0),0))</f>
        <v>0</v>
      </c>
      <c r="BJ13" s="21">
        <f>IF(BI13=0,0,INDEX(nTP_Dup,BI13))</f>
        <v>0</v>
      </c>
      <c r="BK13" s="21" t="str">
        <f>IF(BI13=0,"",INDEX(nTP_Record_Type,BI13))</f>
        <v/>
      </c>
      <c r="BL13" s="21" t="str">
        <f>IF(BI13=0,"",INDEX(nTP_Precision,BI13))</f>
        <v/>
      </c>
      <c r="BM13" s="21" t="str">
        <f>IF(BI13=0,"",INDEX(nTP_Err,BI13))</f>
        <v/>
      </c>
      <c r="BN13" s="21">
        <f>IF(BI13=0,0,INDEX(nTP_HT,BI13))</f>
        <v>0</v>
      </c>
      <c r="BO13" s="21">
        <f>IF(BI13=0,0,INDEX(nTP_OK,BI13))</f>
        <v>0</v>
      </c>
      <c r="BP13" s="21" t="str">
        <f>IF(BI13=0,"",INDEX(nTP_Loc,BI13))</f>
        <v/>
      </c>
      <c r="BQ13" s="21" t="str">
        <f>IF(BI13=0,"",INDEX(nTP_UTC,BI13))</f>
        <v/>
      </c>
      <c r="BR13" s="21" t="str">
        <f>IF(BI13=0,"",INDEX(nTP_Lo,BI13))</f>
        <v/>
      </c>
      <c r="BS13" s="21" t="str">
        <f>IF(BI13=0,"",INDEX(nTP_Hi,BI13))</f>
        <v/>
      </c>
      <c r="BT13" s="21" t="str">
        <f>IF(BI13=0,"",INDEX(nTP_Original_Text,BI13))</f>
        <v/>
      </c>
      <c r="BU13" s="21" t="str">
        <f>IF(BI13=0,"",INDEX(nTP_Source,BI13))</f>
        <v/>
      </c>
      <c r="BV13" s="21" t="str">
        <f>IF(BI13=0,"",INDEX(nTP_Lab_Note,BI13))</f>
        <v/>
      </c>
      <c r="BW13" s="22">
        <f t="shared" si="25"/>
        <v>0</v>
      </c>
      <c r="BX13" s="21" t="str">
        <f t="shared" si="26"/>
        <v>||</v>
      </c>
      <c r="BY13" s="22">
        <f>IF(BG13=0,0,COUNTIF(nTP_CandKey,BX13))</f>
        <v>0</v>
      </c>
      <c r="BZ13" s="22">
        <f>IF(BG13=0,0,COUNTIFS(nTP_CandKey,BX13,nTP_Err,""))</f>
        <v>0</v>
      </c>
      <c r="CA13" s="21" t="str">
        <f>IF(BY13=BZ13,"",IF(COUNTIFS(nTP_CandKey,BX13,nTP_Err,"E_INVALID_DATE")&gt;0,"; E_INVALID_DATE","")&amp;IF(COUNTIFS(nTP_CandKey,BX13,nTP_Err,"E_REVERSED_BOUNDS")&gt;0,"; E_REVERSED_BOUNDS","")&amp;IF(COUNTIFS(nTP_CandKey,BX13,nTP_Err,"E_MISSING_INPUT")&gt;0,"; E_MISSING_INPUT","")&amp;IF(COUNTIFS(nTP_CandKey,BX13,nTP_Err,"E_INVALID_UNIT")&gt;0,"; E_INVALID_UNIT",""))</f>
        <v/>
      </c>
      <c r="CB13" s="22">
        <f t="shared" si="27"/>
        <v>0</v>
      </c>
      <c r="CC13" s="22">
        <f>IF(CB13=0,0,SUMPRODUCT((nTP_CandKey=BX13)*(nTP_Err="")*(1-(nTP_HT*BN13*((nTP_OK*BO13*(nTP_UTC_n-N(BQ13))+(1-nTP_OK*BO13)*(nTP_Loc_n-N(BP13)))&lt;=0)+(1-nTP_HT*BN13)*(nTP_Hi_n&lt;N(BR13)))-(nTP_HT*BN13*((nTP_OK*BO13*(nTP_UTC_n-N(BQ13))+(1-nTP_OK*BO13)*(nTP_Loc_n-N(BP13)))&gt;0)+(1-nTP_HT*BN13)*(nTP_Lo_n&gt;N(BS13)))-((1-nTP_HT*BN13)*(nTP_Lo_n=nTP_Hi_n)*(nTP_Lo_n=N(BR13))*(N(BR13)=N(BS13))))))</f>
        <v>0</v>
      </c>
      <c r="CD13" s="22">
        <f>IF(CB13=0,0,SUMPRODUCT((nTP_CandKey=BX13)*nTP_Exact*((nTP_HT*BN13*((nTP_OK*BO13*(nTP_UTC_n-N(BQ13))+(1-nTP_OK*BO13)*(nTP_Loc_n-N(BP13)))&lt;=0)+(1-nTP_HT*BN13)*(nTP_Hi_n&lt;N(BR13)))+((1-nTP_HT*BN13)*(nTP_Lo_n=nTP_Hi_n)*(nTP_Lo_n=N(BR13))*(N(BR13)=N(BS13))))))</f>
        <v>0</v>
      </c>
      <c r="CE13" s="22">
        <f>IF(CB13=0,0,SUMPRODUCT((nTP_CandKey=BX13)*(nTP_Err="")*(1-nTP_Exact)*((nTP_HT*BN13*((nTP_OK*BO13*(nTP_UTC_n-N(BQ13))+(1-nTP_OK*BO13)*(nTP_Loc_n-N(BP13)))&lt;=0)+(1-nTP_HT*BN13)*(nTP_Hi_n&lt;N(BR13)))+((1-nTP_HT*BN13)*(nTP_Lo_n=nTP_Hi_n)*(nTP_Lo_n=N(BR13))*(N(BR13)=N(BS13))))))</f>
        <v>0</v>
      </c>
      <c r="CF13" s="22">
        <f>IF(CD13=0,0,SUMPRODUCT(MAX((nTP_CandKey=BX13)*nTP_Exact*((nTP_HT*BN13*((nTP_OK*BO13*(nTP_UTC_n-N(BQ13))+(1-nTP_OK*BO13)*(nTP_Loc_n-N(BP13)))&lt;=0)+(1-nTP_HT*BN13)*(nTP_Hi_n&lt;N(BR13)))+((1-nTP_HT*BN13)*(nTP_Lo_n=nTP_Hi_n)*(nTP_Lo_n=N(BR13))*(N(BR13)=N(BS13))))*nTP_Lo_n)))</f>
        <v>0</v>
      </c>
      <c r="CG13" s="22">
        <f>IF(CD13=0,0,SUMPRODUCT((nTP_CandKey=BX13)*nTP_Exact*((nTP_HT*BN13*((nTP_OK*BO13*(nTP_UTC_n-N(BQ13))+(1-nTP_OK*BO13)*(nTP_Loc_n-N(BP13)))&lt;=0)+(1-nTP_HT*BN13)*(nTP_Hi_n&lt;N(BR13)))+((1-nTP_HT*BN13)*(nTP_Lo_n=nTP_Hi_n)*(nTP_Lo_n=N(BR13))*(N(BR13)=N(BS13))))*(nTP_Lo_n=CF13)))</f>
        <v>0</v>
      </c>
      <c r="CH13" s="22">
        <f>IF(CD13=0,0,SUMPRODUCT((nTP_CandKey=BX13)*nTP_Exact*((nTP_HT*BN13*((nTP_OK*BO13*(nTP_UTC_n-N(BQ13))+(1-nTP_OK*BO13)*(nTP_Loc_n-N(BP13)))&lt;=0)+(1-nTP_HT*BN13)*(nTP_Hi_n&lt;N(BR13)))+((1-nTP_HT*BN13)*(nTP_Lo_n=nTP_Hi_n)*(nTP_Lo_n=N(BR13))*(N(BR13)=N(BS13))))*(1-nTP_HT)*(nTP_Lo_n=CF13)))</f>
        <v>0</v>
      </c>
      <c r="CI13" s="22">
        <f>IF(CD13=0,0,SUMPRODUCT(MAX((nTP_CandKey=BX13)*nTP_Exact*((nTP_HT*BN13*((nTP_OK*BO13*(nTP_UTC_n-N(BQ13))+(1-nTP_OK*BO13)*(nTP_Loc_n-N(BP13)))&lt;=0)+(1-nTP_HT*BN13)*(nTP_Hi_n&lt;N(BR13)))+((1-nTP_HT*BN13)*(nTP_Lo_n=nTP_Hi_n)*(nTP_Lo_n=N(BR13))*(N(BR13)=N(BS13))))*(1-nTP_HT)*nTP_Lo_n)))</f>
        <v>0</v>
      </c>
      <c r="CJ13" s="22">
        <f>IF(CD13=0,0,SUMPRODUCT(MAX((nTP_CandKey=BX13)*nTP_Exact*((nTP_HT*BN13*((nTP_OK*BO13*(nTP_UTC_n-N(BQ13))+(1-nTP_OK*BO13)*(nTP_Loc_n-N(BP13)))&lt;=0)+(1-nTP_HT*BN13)*(nTP_Hi_n&lt;N(BR13)))+((1-nTP_HT*BN13)*(nTP_Lo_n=nTP_Hi_n)*(nTP_Lo_n=N(BR13))*(N(BR13)=N(BS13))))*nTP_HT*nTP_OK*nTP_UTC_n)))</f>
        <v>0</v>
      </c>
      <c r="CK13" s="22">
        <f>IF(CJ13=0,0,SUMPRODUCT((nTP_CandKey=BX13)*nTP_Exact*((nTP_HT*BN13*((nTP_OK*BO13*(nTP_UTC_n-N(BQ13))+(1-nTP_OK*BO13)*(nTP_Loc_n-N(BP13)))&lt;=0)+(1-nTP_HT*BN13)*(nTP_Hi_n&lt;N(BR13)))+((1-nTP_HT*BN13)*(nTP_Lo_n=nTP_Hi_n)*(nTP_Lo_n=N(BR13))*(N(BR13)=N(BS13))))*nTP_HT*nTP_OK*(nTP_UTC_n=CJ13)))</f>
        <v>0</v>
      </c>
      <c r="CL13" s="22">
        <f>IF(CK13&lt;&gt;1,0,SUMPRODUCT((nTP_CandKey=BX13)*nTP_Exact*((nTP_HT*BN13*((nTP_OK*BO13*(nTP_UTC_n-N(BQ13))+(1-nTP_OK*BO13)*(nTP_Loc_n-N(BP13)))&lt;=0)+(1-nTP_HT*BN13)*(nTP_Hi_n&lt;N(BR13)))+((1-nTP_HT*BN13)*(nTP_Lo_n=nTP_Hi_n)*(nTP_Lo_n=N(BR13))*(N(BR13)=N(BS13))))*nTP_HT*nTP_OK*(nTP_UTC_n=CJ13)*nTP_Loc_n))</f>
        <v>0</v>
      </c>
      <c r="CM13" s="22">
        <f>IF(CK13&lt;&gt;1,0,SUMPRODUCT((nTP_CandKey=BX13)*nTP_Exact*((nTP_HT*BN13*((nTP_OK*BO13*(nTP_UTC_n-N(BQ13))+(1-nTP_OK*BO13)*(nTP_Loc_n-N(BP13)))&lt;=0)+(1-nTP_HT*BN13)*(nTP_Hi_n&lt;N(BR13)))+((1-nTP_HT*BN13)*(nTP_Lo_n=nTP_Hi_n)*(nTP_Lo_n=N(BR13))*(N(BR13)=N(BS13))))*nTP_HT*nTP_OK*(nTP_UTC_n=CJ13)*nTP_Lo_n))</f>
        <v>0</v>
      </c>
      <c r="CN13" s="22">
        <f>IF(CD13=0,0,SUMPRODUCT(MAX((nTP_CandKey=BX13)*nTP_Exact*((nTP_HT*BN13*((nTP_OK*BO13*(nTP_UTC_n-N(BQ13))+(1-nTP_OK*BO13)*(nTP_Loc_n-N(BP13)))&lt;=0)+(1-nTP_HT*BN13)*(nTP_Hi_n&lt;N(BR13)))+((1-nTP_HT*BN13)*(nTP_Lo_n=nTP_Hi_n)*(nTP_Lo_n=N(BR13))*(N(BR13)=N(BS13))))*nTP_HT*(1-nTP_OK)*nTP_Loc_n)))</f>
        <v>0</v>
      </c>
      <c r="CO13" s="22">
        <f>IF(CN13=0,0,SUMPRODUCT((nTP_CandKey=BX13)*nTP_Exact*((nTP_HT*BN13*((nTP_OK*BO13*(nTP_UTC_n-N(BQ13))+(1-nTP_OK*BO13)*(nTP_Loc_n-N(BP13)))&lt;=0)+(1-nTP_HT*BN13)*(nTP_Hi_n&lt;N(BR13)))+((1-nTP_HT*BN13)*(nTP_Lo_n=nTP_Hi_n)*(nTP_Lo_n=N(BR13))*(N(BR13)=N(BS13))))*nTP_HT*(1-nTP_OK)*(nTP_Loc_n=CN13)))</f>
        <v>0</v>
      </c>
      <c r="CP13" s="22">
        <f>IF(CO13&lt;&gt;1,0,SUMPRODUCT((nTP_CandKey=BX13)*nTP_Exact*((nTP_HT*BN13*((nTP_OK*BO13*(nTP_UTC_n-N(BQ13))+(1-nTP_OK*BO13)*(nTP_Loc_n-N(BP13)))&lt;=0)+(1-nTP_HT*BN13)*(nTP_Hi_n&lt;N(BR13)))+((1-nTP_HT*BN13)*(nTP_Lo_n=nTP_Hi_n)*(nTP_Lo_n=N(BR13))*(N(BR13)=N(BS13))))*nTP_HT*(1-nTP_OK)*(nTP_Loc_n=CN13)*nTP_Lo_n))</f>
        <v>0</v>
      </c>
      <c r="CQ13" s="22">
        <f>IF(CD13=0,0,SUMPRODUCT(MAX((nTP_CandKey=BX13)*nTP_Exact*((nTP_HT*BN13*((nTP_OK*BO13*(nTP_UTC_n-N(BQ13))+(1-nTP_OK*BO13)*(nTP_Loc_n-N(BP13)))&lt;=0)+(1-nTP_HT*BN13)*(nTP_Hi_n&lt;N(BR13)))+((1-nTP_HT*BN13)*(nTP_Lo_n=nTP_Hi_n)*(nTP_Lo_n=N(BR13))*(N(BR13)=N(BS13))))*nTP_HT*nTP_OK*nTP_Loc_n)))</f>
        <v>0</v>
      </c>
      <c r="CR13" s="22">
        <f t="shared" si="28"/>
        <v>0</v>
      </c>
      <c r="CS13" s="22">
        <f>IF(CR13=0,0,IF(CR13=1,MATCH(1,INDEX((nTP_CandKey=BX13)*nTP_Exact*((nTP_HT*BN13*((nTP_OK*BO13*(nTP_UTC_n-N(BQ13))+(1-nTP_OK*BO13)*(nTP_Loc_n-N(BP13)))&lt;=0)+(1-nTP_HT*BN13)*(nTP_Hi_n&lt;N(BR13)))+((1-nTP_HT*BN13)*(nTP_Lo_n=nTP_Hi_n)*(nTP_Lo_n=N(BR13))*(N(BR13)=N(BS13))))*(1-nTP_HT)*(nTP_Lo_n=CF13),0),0),IF(CR13=2,MATCH(1,INDEX((nTP_CandKey=BX13)*nTP_Exact*((nTP_HT*BN13*((nTP_OK*BO13*(nTP_UTC_n-N(BQ13))+(1-nTP_OK*BO13)*(nTP_Loc_n-N(BP13)))&lt;=0)+(1-nTP_HT*BN13)*(nTP_Hi_n&lt;N(BR13)))+((1-nTP_HT*BN13)*(nTP_Lo_n=nTP_Hi_n)*(nTP_Lo_n=N(BR13))*(N(BR13)=N(BS13))))*nTP_HT*nTP_OK*(nTP_UTC_n=CJ13),0),0),MATCH(1,INDEX((nTP_CandKey=BX13)*nTP_Exact*((nTP_HT*BN13*((nTP_OK*BO13*(nTP_UTC_n-N(BQ13))+(1-nTP_OK*BO13)*(nTP_Loc_n-N(BP13)))&lt;=0)+(1-nTP_HT*BN13)*(nTP_Hi_n&lt;N(BR13)))+((1-nTP_HT*BN13)*(nTP_Lo_n=nTP_Hi_n)*(nTP_Lo_n=N(BR13))*(N(BR13)=N(BS13))))*nTP_HT*(1-nTP_OK)*(nTP_Loc_n=CN13),0),0))))</f>
        <v>0</v>
      </c>
      <c r="CT13" s="22">
        <f>IF(CS13=0,0,INDEX(nTP_Lo_n,CS13))</f>
        <v>0</v>
      </c>
      <c r="CU13" s="22">
        <f>IF(CS13=0,0,SUMPRODUCT((nTP_CandKey=BX13)*(nTP_Err="")*(1-nTP_Exact)*((nTP_HT*BN13*((nTP_OK*BO13*(nTP_UTC_n-N(BQ13))+(1-nTP_OK*BO13)*(nTP_Loc_n-N(BP13)))&lt;=0)+(1-nTP_HT*BN13)*(nTP_Hi_n&lt;N(BR13)))+((1-nTP_HT*BN13)*(nTP_Lo_n=nTP_Hi_n)*(nTP_Lo_n=N(BR13))*(N(BR13)=N(BS13))))*(nTP_Hi_n&gt;=CT13)))</f>
        <v>0</v>
      </c>
      <c r="CV13" s="21" t="str">
        <f t="shared" si="29"/>
        <v/>
      </c>
      <c r="CW13" s="21" t="str">
        <f>IF(AND(BG13=1,CB13=1,CV13="",CS13&gt;0),INDEX(nTP_Record_ID,CS13)&amp;"","")</f>
        <v/>
      </c>
      <c r="CX13" s="21" t="str">
        <f>IF(OR(CV13="",BG13=0),"",IF(CV13="none","an administration record (last dose before onset)",IF(CV13="uncertain","the anchor record: "&amp;INDEX(nTP_Record_ID,MATCH(1,INDEX((nTP_CandKey=BX13)*(nTP_Err="")*(1-(nTP_HT*BN13*((nTP_OK*BO13*(nTP_UTC_n-N(BQ13))+(1-nTP_OK*BO13)*(nTP_Loc_n-N(BP13)))&lt;=0)+(1-nTP_HT*BN13)*(nTP_Hi_n&lt;N(BR13)))-(nTP_HT*BN13*((nTP_OK*BO13*(nTP_UTC_n-N(BQ13))+(1-nTP_OK*BO13)*(nTP_Loc_n-N(BP13)))&gt;0)+(1-nTP_HT*BN13)*(nTP_Lo_n&gt;N(BS13)))-((1-nTP_HT*BN13)*(nTP_Lo_n=nTP_Hi_n)*(nTP_Lo_n=N(BR13))*(N(BR13)=N(BS13)))),0),0))&amp;IF(CC13&gt;1," and "&amp;(CC13-1)&amp;" more","")&amp;" may fall before or after the end point, so the last dose cannot be identified from the recorded dates",IF(CV13="noneligible","the anchor record: no administration with an exact date is recorded at or before the end point",IF(CV13="tie","the anchor record: the order of the latest administrations cannot be told from the recorded dates and times","the anchor record: partial-date administration "&amp;INDEX(nTP_Record_ID,MATCH(1,INDEX((nTP_CandKey=BX13)*(nTP_Err="")*(1-nTP_Exact)*((nTP_HT*BN13*((nTP_OK*BO13*(nTP_UTC_n-N(BQ13))+(1-nTP_OK*BO13)*(nTP_Loc_n-N(BP13)))&lt;=0)+(1-nTP_HT*BN13)*(nTP_Hi_n&lt;N(BR13)))+((1-nTP_HT*BN13)*(nTP_Lo_n=nTP_Hi_n)*(nTP_Lo_n=N(BR13))*(N(BR13)=N(BS13))))*(nTP_Hi_n&gt;=CT13),0),0))&amp;" could be the last dose before the end point")))))</f>
        <v/>
      </c>
      <c r="CY13" s="22">
        <f>IF(OR(AW13=1,AJ13=""),0,IFERROR(MATCH(AX13&amp;"|"&amp;AJ13,nTP_Key,0),0))</f>
        <v>0</v>
      </c>
      <c r="CZ13" s="21">
        <f>IF(CY13=0,0,INDEX(nTP_Dup,CY13))</f>
        <v>0</v>
      </c>
      <c r="DA13" s="21" t="str">
        <f>IF(CY13=0,"",INDEX(nTP_Record_Type,CY13))</f>
        <v/>
      </c>
      <c r="DB13" s="21" t="str">
        <f>IF(CY13=0,"",INDEX(nTP_Precision,CY13))</f>
        <v/>
      </c>
      <c r="DC13" s="21" t="str">
        <f>IF(CY13=0,"",INDEX(nTP_Err,CY13))</f>
        <v/>
      </c>
      <c r="DD13" s="21">
        <f>IF(CY13=0,0,INDEX(nTP_HT,CY13))</f>
        <v>0</v>
      </c>
      <c r="DE13" s="21">
        <f>IF(CY13=0,0,INDEX(nTP_OK,CY13))</f>
        <v>0</v>
      </c>
      <c r="DF13" s="21" t="str">
        <f>IF(CY13=0,"",INDEX(nTP_Loc,CY13))</f>
        <v/>
      </c>
      <c r="DG13" s="21" t="str">
        <f>IF(CY13=0,"",INDEX(nTP_UTC,CY13))</f>
        <v/>
      </c>
      <c r="DH13" s="21" t="str">
        <f>IF(CY13=0,"",INDEX(nTP_Lo,CY13))</f>
        <v/>
      </c>
      <c r="DI13" s="21" t="str">
        <f>IF(CY13=0,"",INDEX(nTP_Hi,CY13))</f>
        <v/>
      </c>
      <c r="DJ13" s="21" t="str">
        <f>IF(CY13=0,"",INDEX(nTP_Original_Text,CY13))</f>
        <v/>
      </c>
      <c r="DK13" s="21" t="str">
        <f>IF(CY13=0,"",INDEX(nTP_Source,CY13))</f>
        <v/>
      </c>
      <c r="DL13" s="22">
        <f t="shared" si="30"/>
        <v>0</v>
      </c>
      <c r="DM13" s="21" t="str">
        <f t="shared" si="31"/>
        <v/>
      </c>
      <c r="DN13" s="21" t="str">
        <f t="shared" si="32"/>
        <v/>
      </c>
      <c r="DO13" s="21" t="str">
        <f t="shared" si="33"/>
        <v/>
      </c>
      <c r="DP13" s="21" t="str">
        <f t="shared" si="34"/>
        <v/>
      </c>
      <c r="DQ13" s="21" t="str">
        <f t="shared" si="35"/>
        <v/>
      </c>
      <c r="DR13" s="22">
        <f>IF(OR(DQ13="",I13=""),0,IF(ISNA(MATCH(I13,nLIST_Mode,0)),1,IF(AND(I13="C1",DQ13&lt;&gt;"C1"),1,IF(AND(I13="C2",DQ13="C4"),1,0))))</f>
        <v>0</v>
      </c>
      <c r="DS13" s="21" t="str">
        <f t="shared" si="36"/>
        <v/>
      </c>
      <c r="DT13" s="22">
        <f t="shared" si="37"/>
        <v>0</v>
      </c>
      <c r="DU13" s="21" t="str">
        <f>IF(DT13=0,"",IF(COUNTIFS(nTP_Case_Key,AX13,nTP_Record_Type,"MILESTONE:INTERVENTION",nTP_Err,"E_INVALID_DATE")&gt;0,"; E_INVALID_DATE","")&amp;IF(COUNTIFS(nTP_Case_Key,AX13,nTP_Record_Type,"MILESTONE:INTERVENTION",nTP_Err,"E_REVERSED_BOUNDS")&gt;0,"; E_REVERSED_BOUNDS","")&amp;IF(COUNTIFS(nTP_Case_Key,AX13,nTP_Record_Type,"MILESTONE:INTERVENTION",nTP_Err,"E_MISSING_INPUT")&gt;0,"; E_MISSING_INPUT","")&amp;IF(COUNTIFS(nTP_Case_Key,AX13,nTP_Record_Type,"MILESTONE:INTERVENTION",nTP_Err,"E_INVALID_UNIT")&gt;0,"; E_INVALID_UNIT",""))</f>
        <v/>
      </c>
      <c r="DV13" s="22">
        <f>IF(DT13=0,0,SUMPRODUCT((nMS_CaseKey=AX13)*(nMS_Type="INTERVENTION")*nMS_Undated))</f>
        <v>0</v>
      </c>
      <c r="DW13" s="21" t="str">
        <f t="shared" si="38"/>
        <v/>
      </c>
      <c r="DX13" s="21" t="str">
        <f t="shared" si="39"/>
        <v/>
      </c>
      <c r="DY13" s="22">
        <f t="shared" si="40"/>
        <v>1</v>
      </c>
      <c r="DZ13" s="21" t="str">
        <f t="shared" si="41"/>
        <v/>
      </c>
      <c r="EA13" s="21" t="str">
        <f t="shared" si="42"/>
        <v/>
      </c>
      <c r="EB13" s="21" t="str">
        <f t="shared" si="43"/>
        <v/>
      </c>
      <c r="EC13" s="21" t="str">
        <f t="shared" si="44"/>
        <v/>
      </c>
      <c r="ED13" s="22">
        <f t="shared" si="45"/>
        <v>0</v>
      </c>
      <c r="EE13" s="22">
        <f t="shared" si="46"/>
        <v>0</v>
      </c>
      <c r="EF13" s="21" t="str">
        <f>IF(ED13=0,"",IF(OR(NOT(ISNUMBER(L13)),NOT(ISNUMBER(M13))),"I_APPROXIMATE_NOT_COMPARED",IF(AND(N13&lt;&gt;"",ISNA(MATCH(N13,nLIST_ReportedUnit,0))),"E_INVALID_UNIT",IF(N13="","E_MISSING_INPUT",IF(L13&gt;M13,"E_REVERSED_BOUNDS",IF(OR(N13="weeks",N13="months",N13="years"),"I_APPROXIMATE_NOT_COMPARED",IF(DX13&lt;&gt;"","",IF(EE13=0,"I_APPROXIMATE_NOT_COMPARED",IF(AND(L13*EE13&lt;=IF(DS13="C4",EC13,IF(DS13="C1",DZ13,EA13)),M13*EE13&gt;=IF(DS13="C4",EB13,IF(DS13="C1",DZ13,EA13))),"OVERLAP","W_REPORTED_TIMING_CONFLICT")))))))))</f>
        <v/>
      </c>
      <c r="EG13" s="21" t="str">
        <f t="shared" si="47"/>
        <v/>
      </c>
      <c r="EH13" s="21" t="str">
        <f t="shared" si="48"/>
        <v/>
      </c>
      <c r="EI13" s="22">
        <f t="shared" si="49"/>
        <v>0</v>
      </c>
      <c r="EJ13" s="22">
        <f t="shared" si="50"/>
        <v>0</v>
      </c>
      <c r="EK13" s="22">
        <f t="shared" si="51"/>
        <v>0</v>
      </c>
      <c r="EL13" s="28" t="str">
        <f t="shared" si="52"/>
        <v/>
      </c>
      <c r="EM13" s="28" t="str">
        <f t="shared" si="53"/>
        <v/>
      </c>
      <c r="EN13" s="21" t="str">
        <f t="shared" si="54"/>
        <v/>
      </c>
      <c r="EO13" s="22">
        <f>IF(OR(DT13=0,DX13&lt;&gt;""),0,SUMPRODUCT((nTP_Case_Key=AX13)*(nTP_Record_Type="MILESTONE:INTERVENTION")*(nTP_Err="")*(nTP_HT*DD13*BN13*(nTP_OK*DE13*(nTP_UTC_n&gt;=N(DG13))+(1-nTP_OK*DE13)*(nTP_Loc_n&gt;=N(DF13)))*(nTP_OK*BO13*(nTP_UTC_n&lt;=N(BQ13))+(1-nTP_OK*BO13)*(nTP_Loc_n&lt;=N(BP13)))+(1-nTP_HT*DD13*BN13)*(nTP_Hi_n&gt;=N(DH13))*(nTP_Lo_n&lt;=N(BS13)))))</f>
        <v>0</v>
      </c>
      <c r="EP13" s="22">
        <f>IF(OR(DT13=0,DX13&lt;&gt;""),0,SUMPRODUCT((nTP_Case_Key=AX13)*(nTP_Role="treatment of the event")*((nTP_Record_Type="EXPOSURE_START")+(nTP_Record_Type="ADMINISTRATION"))*(nTP_Err="")*(nTP_HT*DD13*BN13*(nTP_OK*DE13*(nTP_UTC_n&gt;=N(DG13))+(1-nTP_OK*DE13)*(nTP_Loc_n&gt;=N(DF13)))*(nTP_OK*BO13*(nTP_UTC_n&lt;=N(BQ13))+(1-nTP_OK*BO13)*(nTP_Loc_n&lt;=N(BP13)))+(1-nTP_HT*DD13*BN13)*(nTP_Hi_n&gt;=N(DH13))*(nTP_Lo_n&lt;=N(BS13)))))</f>
        <v>0</v>
      </c>
      <c r="EQ13" s="22">
        <f>IF(EO13&lt;1,0,IFERROR(_xlfn.AGGREGATE(15,6,nTP_RowN/((nTP_Case_Key=AX13)*(nTP_Record_Type="MILESTONE:INTERVENTION")*(nTP_Err="")*(nTP_HT*DD13*BN13*(nTP_OK*DE13*(nTP_UTC_n&gt;=N(DG13))+(1-nTP_OK*DE13)*(nTP_Loc_n&gt;=N(DF13)))*(nTP_OK*BO13*(nTP_UTC_n&lt;=N(BQ13))+(1-nTP_OK*BO13)*(nTP_Loc_n&lt;=N(BP13)))+(1-nTP_HT*DD13*BN13)*(nTP_Hi_n&gt;=N(DH13))*(nTP_Lo_n&lt;=N(BS13)))),1),0))</f>
        <v>0</v>
      </c>
      <c r="ER13" s="22">
        <f>IF(EO13&lt;2,0,IFERROR(_xlfn.AGGREGATE(15,6,nTP_RowN/((nTP_Case_Key=AX13)*(nTP_Record_Type="MILESTONE:INTERVENTION")*(nTP_Err="")*(nTP_HT*DD13*BN13*(nTP_OK*DE13*(nTP_UTC_n&gt;=N(DG13))+(1-nTP_OK*DE13)*(nTP_Loc_n&gt;=N(DF13)))*(nTP_OK*BO13*(nTP_UTC_n&lt;=N(BQ13))+(1-nTP_OK*BO13)*(nTP_Loc_n&lt;=N(BP13)))+(1-nTP_HT*DD13*BN13)*(nTP_Hi_n&gt;=N(DH13))*(nTP_Lo_n&lt;=N(BS13)))),2),0))</f>
        <v>0</v>
      </c>
      <c r="ES13" s="22">
        <f>IF(EO13&lt;3,0,IFERROR(_xlfn.AGGREGATE(15,6,nTP_RowN/((nTP_Case_Key=AX13)*(nTP_Record_Type="MILESTONE:INTERVENTION")*(nTP_Err="")*(nTP_HT*DD13*BN13*(nTP_OK*DE13*(nTP_UTC_n&gt;=N(DG13))+(1-nTP_OK*DE13)*(nTP_Loc_n&gt;=N(DF13)))*(nTP_OK*BO13*(nTP_UTC_n&lt;=N(BQ13))+(1-nTP_OK*BO13)*(nTP_Loc_n&lt;=N(BP13)))+(1-nTP_HT*DD13*BN13)*(nTP_Hi_n&gt;=N(DH13))*(nTP_Lo_n&lt;=N(BS13)))),3),0))</f>
        <v>0</v>
      </c>
      <c r="ET13" s="22">
        <f>IF(EP13&lt;1,0,IFERROR(_xlfn.AGGREGATE(15,6,nTP_RowN/((nTP_Case_Key=AX13)*(nTP_Role="treatment of the event")*((nTP_Record_Type="EXPOSURE_START")+(nTP_Record_Type="ADMINISTRATION"))*(nTP_Err="")*(nTP_HT*DD13*BN13*(nTP_OK*DE13*(nTP_UTC_n&gt;=N(DG13))+(1-nTP_OK*DE13)*(nTP_Loc_n&gt;=N(DF13)))*(nTP_OK*BO13*(nTP_UTC_n&lt;=N(BQ13))+(1-nTP_OK*BO13)*(nTP_Loc_n&lt;=N(BP13)))+(1-nTP_HT*DD13*BN13)*(nTP_Hi_n&gt;=N(DH13))*(nTP_Lo_n&lt;=N(BS13)))),1),0))</f>
        <v>0</v>
      </c>
      <c r="EU13" s="22">
        <f>IF(EP13&lt;2,0,IFERROR(_xlfn.AGGREGATE(15,6,nTP_RowN/((nTP_Case_Key=AX13)*(nTP_Role="treatment of the event")*((nTP_Record_Type="EXPOSURE_START")+(nTP_Record_Type="ADMINISTRATION"))*(nTP_Err="")*(nTP_HT*DD13*BN13*(nTP_OK*DE13*(nTP_UTC_n&gt;=N(DG13))+(1-nTP_OK*DE13)*(nTP_Loc_n&gt;=N(DF13)))*(nTP_OK*BO13*(nTP_UTC_n&lt;=N(BQ13))+(1-nTP_OK*BO13)*(nTP_Loc_n&lt;=N(BP13)))+(1-nTP_HT*DD13*BN13)*(nTP_Hi_n&gt;=N(DH13))*(nTP_Lo_n&lt;=N(BS13)))),2),0))</f>
        <v>0</v>
      </c>
      <c r="EV13" s="22">
        <f>IF(EP13&lt;3,0,IFERROR(_xlfn.AGGREGATE(15,6,nTP_RowN/((nTP_Case_Key=AX13)*(nTP_Role="treatment of the event")*((nTP_Record_Type="EXPOSURE_START")+(nTP_Record_Type="ADMINISTRATION"))*(nTP_Err="")*(nTP_HT*DD13*BN13*(nTP_OK*DE13*(nTP_UTC_n&gt;=N(DG13))+(1-nTP_OK*DE13)*(nTP_Loc_n&gt;=N(DF13)))*(nTP_OK*BO13*(nTP_UTC_n&lt;=N(BQ13))+(1-nTP_OK*BO13)*(nTP_Loc_n&lt;=N(BP13)))+(1-nTP_HT*DD13*BN13)*(nTP_Hi_n&gt;=N(DH13))*(nTP_Lo_n&lt;=N(BS13)))),3),0))</f>
        <v>0</v>
      </c>
      <c r="EW13" s="22">
        <f>IF(CE13&lt;1,0,IFERROR(_xlfn.AGGREGATE(15,6,nTP_RowN/((nTP_CandKey=BX13)*(nTP_Err="")*(1-nTP_Exact)*((nTP_HT*BN13*((nTP_OK*BO13*(nTP_UTC_n-N(BQ13))+(1-nTP_OK*BO13)*(nTP_Loc_n-N(BP13)))&lt;=0)+(1-nTP_HT*BN13)*(nTP_Hi_n&lt;N(BR13)))+((1-nTP_HT*BN13)*(nTP_Lo_n=nTP_Hi_n)*(nTP_Lo_n=N(BR13))*(N(BR13)=N(BS13))))),1),0))</f>
        <v>0</v>
      </c>
      <c r="EX13" s="22">
        <f>IF(CE13&lt;2,0,IFERROR(_xlfn.AGGREGATE(15,6,nTP_RowN/((nTP_CandKey=BX13)*(nTP_Err="")*(1-nTP_Exact)*((nTP_HT*BN13*((nTP_OK*BO13*(nTP_UTC_n-N(BQ13))+(1-nTP_OK*BO13)*(nTP_Loc_n-N(BP13)))&lt;=0)+(1-nTP_HT*BN13)*(nTP_Hi_n&lt;N(BR13)))+((1-nTP_HT*BN13)*(nTP_Lo_n=nTP_Hi_n)*(nTP_Lo_n=N(BR13))*(N(BR13)=N(BS13))))),2),0))</f>
        <v>0</v>
      </c>
      <c r="EY13" s="22">
        <f>IF(CE13&lt;3,0,IFERROR(_xlfn.AGGREGATE(15,6,nTP_RowN/((nTP_CandKey=BX13)*(nTP_Err="")*(1-nTP_Exact)*((nTP_HT*BN13*((nTP_OK*BO13*(nTP_UTC_n-N(BQ13))+(1-nTP_OK*BO13)*(nTP_Loc_n-N(BP13)))&lt;=0)+(1-nTP_HT*BN13)*(nTP_Hi_n&lt;N(BR13)))+((1-nTP_HT*BN13)*(nTP_Lo_n=nTP_Hi_n)*(nTP_Lo_n=N(BR13))*(N(BR13)=N(BS13))))),3),0))</f>
        <v>0</v>
      </c>
      <c r="EZ13" s="21" t="str">
        <f>IF(EO13=0,"",MID(IF(EQ13&gt;0,"; "&amp;INDEX(nTP_Record_ID,EQ13)&amp;IF(INDEX(nTP_Label,EQ13)="",""," ("&amp;INDEX(nTP_Label,EQ13)&amp;")"),"")&amp;IF(ER13&gt;0,"; "&amp;INDEX(nTP_Record_ID,ER13)&amp;IF(INDEX(nTP_Label,ER13)="",""," ("&amp;INDEX(nTP_Label,ER13)&amp;")"),"")&amp;IF(ES13&gt;0,"; "&amp;INDEX(nTP_Record_ID,ES13)&amp;IF(INDEX(nTP_Label,ES13)="",""," ("&amp;INDEX(nTP_Label,ES13)&amp;")"),"")&amp;IF(EO13&gt;3,"; and "&amp;(EO13-3)&amp;" more",""),3,999))</f>
        <v/>
      </c>
      <c r="FA13" s="21" t="str">
        <f>IF(EO13=0,"",MID(IF(EQ13&gt;0,"; "&amp;INDEX(nTP_Record_ID,EQ13),"")&amp;IF(ER13&gt;0,"; "&amp;INDEX(nTP_Record_ID,ER13),"")&amp;IF(ES13&gt;0,"; "&amp;INDEX(nTP_Record_ID,ES13),"")&amp;IF(EO13&gt;3,"; and "&amp;(EO13-3)&amp;" more",""),3,999))</f>
        <v/>
      </c>
      <c r="FB13" s="21" t="str">
        <f>IF(EP13=0,"",MID(IF(ET13&gt;0,"; "&amp;INDEX(nTP_Record_ID,ET13)&amp;IF(INDEX(nTP_Label,ET13)="",""," ("&amp;INDEX(nTP_Label,ET13)&amp;")"),"")&amp;IF(EU13&gt;0,"; "&amp;INDEX(nTP_Record_ID,EU13)&amp;IF(INDEX(nTP_Label,EU13)="",""," ("&amp;INDEX(nTP_Label,EU13)&amp;")"),"")&amp;IF(EV13&gt;0,"; "&amp;INDEX(nTP_Record_ID,EV13)&amp;IF(INDEX(nTP_Label,EV13)="",""," ("&amp;INDEX(nTP_Label,EV13)&amp;")"),"")&amp;IF(EP13&gt;3,"; and "&amp;(EP13-3)&amp;" more",""),3,999))</f>
        <v/>
      </c>
      <c r="FC13" s="21" t="str">
        <f>IF(CE13=0,"",MID(IF(EW13&gt;0,"; "&amp;INDEX(nTP_Record_ID,EW13),"")&amp;IF(EX13&gt;0,"; "&amp;INDEX(nTP_Record_ID,EX13),"")&amp;IF(EY13&gt;0,"; "&amp;INDEX(nTP_Record_ID,EY13),"")&amp;IF(CE13&gt;3,"; and "&amp;(CE13-3)&amp;" more",""),3,999))</f>
        <v/>
      </c>
      <c r="FD13" s="22">
        <f t="shared" si="55"/>
        <v>0</v>
      </c>
      <c r="FE13" s="22">
        <f t="shared" si="56"/>
        <v>0</v>
      </c>
      <c r="FF13" s="22">
        <f t="shared" si="57"/>
        <v>0</v>
      </c>
      <c r="FG13" s="22">
        <f t="shared" si="58"/>
        <v>0</v>
      </c>
      <c r="FH13" s="22">
        <f t="shared" si="59"/>
        <v>0</v>
      </c>
      <c r="FI13" s="22">
        <f t="shared" si="60"/>
        <v>0</v>
      </c>
      <c r="FJ13" s="22">
        <f t="shared" si="61"/>
        <v>0</v>
      </c>
      <c r="FK13" s="22">
        <f t="shared" si="62"/>
        <v>0</v>
      </c>
    </row>
    <row r="14" spans="1:167" x14ac:dyDescent="0.2">
      <c r="A14" s="10"/>
      <c r="B14" s="10"/>
      <c r="C14" s="12"/>
      <c r="D14" s="10"/>
      <c r="E14" s="17"/>
      <c r="F14" s="10"/>
      <c r="G14" s="10"/>
      <c r="H14" s="10"/>
      <c r="I14" s="17"/>
      <c r="J14" s="17"/>
      <c r="K14" s="10"/>
      <c r="L14" s="17"/>
      <c r="M14" s="17"/>
      <c r="N14" s="17"/>
      <c r="O14" s="10"/>
      <c r="P14" s="15"/>
      <c r="Q14" s="15"/>
      <c r="R14" s="10"/>
      <c r="S14" s="10"/>
      <c r="T14" s="21" t="str">
        <f t="shared" si="0"/>
        <v/>
      </c>
      <c r="U14" s="21" t="str">
        <f t="shared" si="1"/>
        <v/>
      </c>
      <c r="V14" s="21" t="str">
        <f t="shared" si="2"/>
        <v/>
      </c>
      <c r="W14" s="21" t="str">
        <f t="shared" si="3"/>
        <v/>
      </c>
      <c r="X14" s="21" t="str">
        <f t="shared" si="4"/>
        <v/>
      </c>
      <c r="Y14" s="21" t="str">
        <f t="shared" si="5"/>
        <v/>
      </c>
      <c r="Z14" s="21" t="str">
        <f t="shared" si="6"/>
        <v/>
      </c>
      <c r="AA14" s="21" t="str">
        <f t="shared" si="7"/>
        <v/>
      </c>
      <c r="AB14" s="21" t="str">
        <f t="shared" si="8"/>
        <v/>
      </c>
      <c r="AC14" s="21" t="str">
        <f t="shared" si="9"/>
        <v/>
      </c>
      <c r="AD14" s="21" t="str">
        <f>IF(AW14=1,"",MID(IF(ISNUMBER(SEARCH("E_INVALID_DATE",EG14))," | E_INVALID_DATE: "&amp;SUBSTITUTE(IFERROR(INDEX(nMSG_Text,MATCH("E_INVALID_DATE",nMSG_Code,0)),""),"[input]",""),"")&amp;IF(ISNUMBER(SEARCH("E_REVERSED_BOUNDS",EG14))," | E_REVERSED_BOUNDS: "&amp;SUBSTITUTE(IFERROR(INDEX(nMSG_Text,MATCH("E_REVERSED_BOUNDS",nMSG_Code,0)),""),"[input]",""),"")&amp;IF(ISNUMBER(SEARCH("E_DUPLICATE_ID",EG14))," | E_DUPLICATE_ID: "&amp;SUBSTITUTE(IFERROR(INDEX(nMSG_Text,MATCH("E_DUPLICATE_ID",nMSG_Code,0)),""),"[input]",""),"")&amp;IF(ISNUMBER(SEARCH("E_MISSING_LINK",EG14))," | E_MISSING_LINK: "&amp;SUBSTITUTE(IFERROR(INDEX(nMSG_Text,MATCH("E_MISSING_LINK",nMSG_Code,0)),""),"[input]",""),"")&amp;IF(ISNUMBER(SEARCH("E_MISSING_INPUT",EG14))," | E_MISSING_INPUT: "&amp;SUBSTITUTE(IFERROR(INDEX(nMSG_Text,MATCH("E_MISSING_INPUT",nMSG_Code,0)),""),"[input]",IF(EH14="","an input",EH14)),"")&amp;IF(ISNUMBER(SEARCH("E_INVALID_UNIT",EG14))," | E_INVALID_UNIT: "&amp;SUBSTITUTE(IFERROR(INDEX(nMSG_Text,MATCH("E_INVALID_UNIT",nMSG_Code,0)),""),"[input]",""),"")&amp;IF(FD14=1," | W_TZ_UNKNOWN: "&amp;SUBSTITUTE(IFERROR(INDEX(nMSG_Text,MATCH("W_TZ_UNKNOWN",nMSG_Code,0)),""),"[input]",""),"")&amp;IF(FE14=1," | W_SAME_DATE_ORDER_UNKNOWN: "&amp;SUBSTITUTE(IFERROR(INDEX(nMSG_Text,MATCH("W_SAME_DATE_ORDER_UNKNOWN",nMSG_Code,0)),""),"[input]",""),"")&amp;IF(FF14=1," | W_SEQUENCE_UNCERTAIN: "&amp;SUBSTITUTE(IFERROR(INDEX(nMSG_Text,MATCH("W_SEQUENCE_UNCERTAIN",nMSG_Code,0)),""),"[input]",""),"")&amp;IF(FG14=1," | W_ADMIN_SAME_DATE_AS_ONSET: "&amp;SUBSTITUTE(IFERROR(INDEX(nMSG_Text,MATCH("W_ADMIN_SAME_DATE_AS_ONSET",nMSG_Code,0)),""),"[input]",""),"")&amp;IF(FH14=1," | W_REPORTED_TIMING_CONFLICT: "&amp;SUBSTITUTE(IFERROR(INDEX(nMSG_Text,MATCH("W_REPORTED_TIMING_CONFLICT",nMSG_Code,0)),""),"[input]",""),"")&amp;IF(FI14=1," | W_INTERVENTION_BEFORE_RECOVERY: "&amp;SUBSTITUTE(IFERROR(INDEX(nMSG_Text,MATCH("W_INTERVENTION_BEFORE_RECOVERY",nMSG_Code,0)),""),"[input]",""),"")&amp;IF(FJ14=1," | I_TREATMENT_DAY_UNDEFINED: "&amp;SUBSTITUTE(IFERROR(INDEX(nMSG_Text,MATCH("I_TREATMENT_DAY_UNDEFINED",nMSG_Code,0)),""),"[input]",""),"")&amp;IF(FK14=1," | I_APPROXIMATE_NOT_COMPARED: "&amp;SUBSTITUTE(IFERROR(INDEX(nMSG_Text,MATCH("I_APPROXIMATE_NOT_COMPARED",nMSG_Code,0)),""),"[input]",""),""),4,9999))</f>
        <v/>
      </c>
      <c r="AE14" s="21" t="str">
        <f t="shared" si="10"/>
        <v/>
      </c>
      <c r="AF14" s="21" t="str">
        <f t="shared" si="11"/>
        <v/>
      </c>
      <c r="AG14" s="21" t="str">
        <f>IF(EN14="","",MID(IF(ISNUMBER(SEARCH("E_REVERSED_BOUNDS",EN14))," | E_REVERSED_BOUNDS: "&amp;SUBSTITUTE(IFERROR(INDEX(nMSG_Text,MATCH("E_REVERSED_BOUNDS",nMSG_Code,0)),""),"[input]",""),"")&amp;IF(ISNUMBER(SEARCH("E_MISSING_INPUT",EN14))," | E_MISSING_INPUT: "&amp;SUBSTITUTE(IFERROR(INDEX(nMSG_Text,MATCH("E_MISSING_INPUT",nMSG_Code,0)),""),"[input]",IF("the source of the constraint"="","an input","the source of the constraint")),""),4,999))</f>
        <v/>
      </c>
      <c r="AH14" s="21" t="str">
        <f t="shared" si="12"/>
        <v/>
      </c>
      <c r="AI14" s="21" t="str">
        <f t="shared" si="13"/>
        <v/>
      </c>
      <c r="AJ14" s="21" t="str">
        <f t="shared" si="14"/>
        <v/>
      </c>
      <c r="AK14" s="21" t="str">
        <f t="shared" si="15"/>
        <v/>
      </c>
      <c r="AL14" s="21" t="str">
        <f>IF(CY14=0,"",INDEX(nTP_ISO,CY14))</f>
        <v/>
      </c>
      <c r="AM14" s="21" t="str">
        <f>IF(CY14=0,"",INDEX(nTP_Display,CY14))</f>
        <v/>
      </c>
      <c r="AN14" s="21" t="str">
        <f>IF(BI14=0,"",INDEX(nTP_ISO,BI14))</f>
        <v/>
      </c>
      <c r="AO14" s="21" t="str">
        <f>IF(BI14=0,"",INDEX(nTP_Display,BI14))</f>
        <v/>
      </c>
      <c r="AP14" s="21" t="str">
        <f>IF(BA14=0,"",INDEX(nLNK_Exposure_Episode_ID,BA14)&amp;"")</f>
        <v/>
      </c>
      <c r="AQ14" s="21" t="str">
        <f>IF(BA14=0,"",INDEX(nLNK_Event_Episode_ID,BA14)&amp;"")</f>
        <v/>
      </c>
      <c r="AR14" s="21" t="str">
        <f t="shared" si="16"/>
        <v/>
      </c>
      <c r="AS14" s="21" t="str">
        <f>IF(EI14=0,"",MID(IF(DT14=1," | Recovery interval (C7) computed with "&amp;DS14&amp;".","")&amp;IF(BG14=1," | Anchor selected under C5 (CALC-SPEC 1.1): latest administration with an exact date or time at or before "&amp;IF(BH14=1,"onset","the end point")&amp;" ("&amp;AJ14&amp;"), ordered in UTC when offsets are known; later administrations are never selected.","")&amp;IF(AND(BG14=1,CE14&gt;0)," | Partial-date administrations wholly before the selected one were not candidates: "&amp;FC14&amp;".","")&amp;IF(BV14&lt;&gt;""," | "&amp;BV14,"")&amp;IF(AND(DS14="C2",EA14=0,DZ14&lt;&gt;"")," | Same calendar date; both times are known, so C1 decides the order ("&amp;AA14&amp;").","")&amp;IF(AND(DS14="C2",DD14*BN14=1,DT14=0)," | Calendar-date difference from the recorded local dates; it is never described as elapsed days.","")&amp;IF(AND(DS14="C4",DT14=0)," | Bounds are treated as independent; no single date is imputed from them.","")&amp;IF(EJ14=1," | Treatment day under the inclusive convention (C3); never written to E2B fields automatically.","")&amp;IF(AND(DS14="C4",DT14=0,EK14=0)," | No constraint applied.","")&amp;IF(AND(DS14="C4",EK14=1)," | Constraint applied to the anchor bounds: "&amp;IF(ISNUMBER(P14),"not before "&amp;DAY(P14)&amp;" "&amp;INDEX(nLIST_Months,MONTH(P14))&amp;" "&amp;YEAR(P14),"")&amp;IF(AND(ISNUMBER(P14),ISNUMBER(Q14)),", ","")&amp;IF(ISNUMBER(Q14),"not after "&amp;DAY(Q14)&amp;" "&amp;INDEX(nLIST_Months,MONTH(Q14))&amp;" "&amp;YEAR(Q14),"")&amp;". Source: "&amp;IF(R14="","not recorded",R14)&amp;IF(EN14="",". Constrained result shown beside the unconstrained one.",". Constrained result blocked ("&amp;EN14&amp;")."),"")&amp;IF(DT14=1,IF(EO14&gt;0," | Intervention recorded between cessation and recovery (ends included): "&amp;EZ14&amp;"."," | No intervention is recorded between cessation and recovery; absence of a record is not evidence that none was given."),"")&amp;IF(AND(DT14=1,DV14&gt;0)," | Intervention recorded without a date, so whether it came before recovery is unknown: "&amp;INDEX(nMS_Milestone_ID,MATCH(1,INDEX((nMS_CaseKey=AX14)*(nMS_Type="INTERVENTION")*nMS_Undated,0),0))&amp;IF(DV14&gt;1," and "&amp;(DV14-1)&amp;" more","")&amp;".","")&amp;IF(AND(DT14=1,EP14&gt;0)," | Not counted as interventions, because they are recorded as exposures rather than as intervention milestones (nothing is inferred): "&amp;FB14&amp;". If treatment was given, record it as an intervention milestone.",""),4,9999))</f>
        <v/>
      </c>
      <c r="AT14" s="21" t="str">
        <f t="shared" si="17"/>
        <v/>
      </c>
      <c r="AU14" s="21" t="str">
        <f t="shared" si="18"/>
        <v/>
      </c>
      <c r="AV14" s="21" t="str">
        <f t="shared" si="19"/>
        <v/>
      </c>
      <c r="AW14" s="22">
        <f t="shared" si="20"/>
        <v>1</v>
      </c>
      <c r="AX14" s="21" t="str">
        <f t="shared" si="21"/>
        <v>|</v>
      </c>
      <c r="AY14" s="21" t="str">
        <f t="shared" si="22"/>
        <v/>
      </c>
      <c r="AZ14" s="22">
        <f>IF(AY14="",0,COUNTIF(nINT_Key,AY14))</f>
        <v>0</v>
      </c>
      <c r="BA14" s="22">
        <f>IF(D14="",0,IFERROR(MATCH(AX14&amp;"|"&amp;D14,nLNK_Key,0),0))</f>
        <v>0</v>
      </c>
      <c r="BB14" s="22">
        <f>IF(BA14=0,1,INDEX(nLNK_Exp_Found,BA14))</f>
        <v>1</v>
      </c>
      <c r="BC14" s="22">
        <f>IF(BA14=0,1,INDEX(nLNK_Evt_Found,BA14))</f>
        <v>1</v>
      </c>
      <c r="BD14" s="22">
        <f>IF(AP14="",0,COUNTIF(nEXP_Key,AX14&amp;"|"&amp;AP14))</f>
        <v>0</v>
      </c>
      <c r="BE14" s="22">
        <f>IF(AQ14="",0,COUNTIF(nEVT_Key,AX14&amp;"|"&amp;AQ14))</f>
        <v>0</v>
      </c>
      <c r="BF14" s="22">
        <f>IF(ISNA(MATCH(E14,nLIST_AnchorType,0)),0,1)</f>
        <v>0</v>
      </c>
      <c r="BG14" s="22">
        <f t="shared" si="23"/>
        <v>0</v>
      </c>
      <c r="BH14" s="22">
        <f t="shared" si="24"/>
        <v>0</v>
      </c>
      <c r="BI14" s="22">
        <f>IF(OR(AW14=1,AK14=""),0,IFERROR(MATCH(AX14&amp;"|"&amp;AK14,nTP_Key,0),0))</f>
        <v>0</v>
      </c>
      <c r="BJ14" s="21">
        <f>IF(BI14=0,0,INDEX(nTP_Dup,BI14))</f>
        <v>0</v>
      </c>
      <c r="BK14" s="21" t="str">
        <f>IF(BI14=0,"",INDEX(nTP_Record_Type,BI14))</f>
        <v/>
      </c>
      <c r="BL14" s="21" t="str">
        <f>IF(BI14=0,"",INDEX(nTP_Precision,BI14))</f>
        <v/>
      </c>
      <c r="BM14" s="21" t="str">
        <f>IF(BI14=0,"",INDEX(nTP_Err,BI14))</f>
        <v/>
      </c>
      <c r="BN14" s="21">
        <f>IF(BI14=0,0,INDEX(nTP_HT,BI14))</f>
        <v>0</v>
      </c>
      <c r="BO14" s="21">
        <f>IF(BI14=0,0,INDEX(nTP_OK,BI14))</f>
        <v>0</v>
      </c>
      <c r="BP14" s="21" t="str">
        <f>IF(BI14=0,"",INDEX(nTP_Loc,BI14))</f>
        <v/>
      </c>
      <c r="BQ14" s="21" t="str">
        <f>IF(BI14=0,"",INDEX(nTP_UTC,BI14))</f>
        <v/>
      </c>
      <c r="BR14" s="21" t="str">
        <f>IF(BI14=0,"",INDEX(nTP_Lo,BI14))</f>
        <v/>
      </c>
      <c r="BS14" s="21" t="str">
        <f>IF(BI14=0,"",INDEX(nTP_Hi,BI14))</f>
        <v/>
      </c>
      <c r="BT14" s="21" t="str">
        <f>IF(BI14=0,"",INDEX(nTP_Original_Text,BI14))</f>
        <v/>
      </c>
      <c r="BU14" s="21" t="str">
        <f>IF(BI14=0,"",INDEX(nTP_Source,BI14))</f>
        <v/>
      </c>
      <c r="BV14" s="21" t="str">
        <f>IF(BI14=0,"",INDEX(nTP_Lab_Note,BI14))</f>
        <v/>
      </c>
      <c r="BW14" s="22">
        <f t="shared" si="25"/>
        <v>0</v>
      </c>
      <c r="BX14" s="21" t="str">
        <f t="shared" si="26"/>
        <v>||</v>
      </c>
      <c r="BY14" s="22">
        <f>IF(BG14=0,0,COUNTIF(nTP_CandKey,BX14))</f>
        <v>0</v>
      </c>
      <c r="BZ14" s="22">
        <f>IF(BG14=0,0,COUNTIFS(nTP_CandKey,BX14,nTP_Err,""))</f>
        <v>0</v>
      </c>
      <c r="CA14" s="21" t="str">
        <f>IF(BY14=BZ14,"",IF(COUNTIFS(nTP_CandKey,BX14,nTP_Err,"E_INVALID_DATE")&gt;0,"; E_INVALID_DATE","")&amp;IF(COUNTIFS(nTP_CandKey,BX14,nTP_Err,"E_REVERSED_BOUNDS")&gt;0,"; E_REVERSED_BOUNDS","")&amp;IF(COUNTIFS(nTP_CandKey,BX14,nTP_Err,"E_MISSING_INPUT")&gt;0,"; E_MISSING_INPUT","")&amp;IF(COUNTIFS(nTP_CandKey,BX14,nTP_Err,"E_INVALID_UNIT")&gt;0,"; E_INVALID_UNIT",""))</f>
        <v/>
      </c>
      <c r="CB14" s="22">
        <f t="shared" si="27"/>
        <v>0</v>
      </c>
      <c r="CC14" s="22">
        <f>IF(CB14=0,0,SUMPRODUCT((nTP_CandKey=BX14)*(nTP_Err="")*(1-(nTP_HT*BN14*((nTP_OK*BO14*(nTP_UTC_n-N(BQ14))+(1-nTP_OK*BO14)*(nTP_Loc_n-N(BP14)))&lt;=0)+(1-nTP_HT*BN14)*(nTP_Hi_n&lt;N(BR14)))-(nTP_HT*BN14*((nTP_OK*BO14*(nTP_UTC_n-N(BQ14))+(1-nTP_OK*BO14)*(nTP_Loc_n-N(BP14)))&gt;0)+(1-nTP_HT*BN14)*(nTP_Lo_n&gt;N(BS14)))-((1-nTP_HT*BN14)*(nTP_Lo_n=nTP_Hi_n)*(nTP_Lo_n=N(BR14))*(N(BR14)=N(BS14))))))</f>
        <v>0</v>
      </c>
      <c r="CD14" s="22">
        <f>IF(CB14=0,0,SUMPRODUCT((nTP_CandKey=BX14)*nTP_Exact*((nTP_HT*BN14*((nTP_OK*BO14*(nTP_UTC_n-N(BQ14))+(1-nTP_OK*BO14)*(nTP_Loc_n-N(BP14)))&lt;=0)+(1-nTP_HT*BN14)*(nTP_Hi_n&lt;N(BR14)))+((1-nTP_HT*BN14)*(nTP_Lo_n=nTP_Hi_n)*(nTP_Lo_n=N(BR14))*(N(BR14)=N(BS14))))))</f>
        <v>0</v>
      </c>
      <c r="CE14" s="22">
        <f>IF(CB14=0,0,SUMPRODUCT((nTP_CandKey=BX14)*(nTP_Err="")*(1-nTP_Exact)*((nTP_HT*BN14*((nTP_OK*BO14*(nTP_UTC_n-N(BQ14))+(1-nTP_OK*BO14)*(nTP_Loc_n-N(BP14)))&lt;=0)+(1-nTP_HT*BN14)*(nTP_Hi_n&lt;N(BR14)))+((1-nTP_HT*BN14)*(nTP_Lo_n=nTP_Hi_n)*(nTP_Lo_n=N(BR14))*(N(BR14)=N(BS14))))))</f>
        <v>0</v>
      </c>
      <c r="CF14" s="22">
        <f>IF(CD14=0,0,SUMPRODUCT(MAX((nTP_CandKey=BX14)*nTP_Exact*((nTP_HT*BN14*((nTP_OK*BO14*(nTP_UTC_n-N(BQ14))+(1-nTP_OK*BO14)*(nTP_Loc_n-N(BP14)))&lt;=0)+(1-nTP_HT*BN14)*(nTP_Hi_n&lt;N(BR14)))+((1-nTP_HT*BN14)*(nTP_Lo_n=nTP_Hi_n)*(nTP_Lo_n=N(BR14))*(N(BR14)=N(BS14))))*nTP_Lo_n)))</f>
        <v>0</v>
      </c>
      <c r="CG14" s="22">
        <f>IF(CD14=0,0,SUMPRODUCT((nTP_CandKey=BX14)*nTP_Exact*((nTP_HT*BN14*((nTP_OK*BO14*(nTP_UTC_n-N(BQ14))+(1-nTP_OK*BO14)*(nTP_Loc_n-N(BP14)))&lt;=0)+(1-nTP_HT*BN14)*(nTP_Hi_n&lt;N(BR14)))+((1-nTP_HT*BN14)*(nTP_Lo_n=nTP_Hi_n)*(nTP_Lo_n=N(BR14))*(N(BR14)=N(BS14))))*(nTP_Lo_n=CF14)))</f>
        <v>0</v>
      </c>
      <c r="CH14" s="22">
        <f>IF(CD14=0,0,SUMPRODUCT((nTP_CandKey=BX14)*nTP_Exact*((nTP_HT*BN14*((nTP_OK*BO14*(nTP_UTC_n-N(BQ14))+(1-nTP_OK*BO14)*(nTP_Loc_n-N(BP14)))&lt;=0)+(1-nTP_HT*BN14)*(nTP_Hi_n&lt;N(BR14)))+((1-nTP_HT*BN14)*(nTP_Lo_n=nTP_Hi_n)*(nTP_Lo_n=N(BR14))*(N(BR14)=N(BS14))))*(1-nTP_HT)*(nTP_Lo_n=CF14)))</f>
        <v>0</v>
      </c>
      <c r="CI14" s="22">
        <f>IF(CD14=0,0,SUMPRODUCT(MAX((nTP_CandKey=BX14)*nTP_Exact*((nTP_HT*BN14*((nTP_OK*BO14*(nTP_UTC_n-N(BQ14))+(1-nTP_OK*BO14)*(nTP_Loc_n-N(BP14)))&lt;=0)+(1-nTP_HT*BN14)*(nTP_Hi_n&lt;N(BR14)))+((1-nTP_HT*BN14)*(nTP_Lo_n=nTP_Hi_n)*(nTP_Lo_n=N(BR14))*(N(BR14)=N(BS14))))*(1-nTP_HT)*nTP_Lo_n)))</f>
        <v>0</v>
      </c>
      <c r="CJ14" s="22">
        <f>IF(CD14=0,0,SUMPRODUCT(MAX((nTP_CandKey=BX14)*nTP_Exact*((nTP_HT*BN14*((nTP_OK*BO14*(nTP_UTC_n-N(BQ14))+(1-nTP_OK*BO14)*(nTP_Loc_n-N(BP14)))&lt;=0)+(1-nTP_HT*BN14)*(nTP_Hi_n&lt;N(BR14)))+((1-nTP_HT*BN14)*(nTP_Lo_n=nTP_Hi_n)*(nTP_Lo_n=N(BR14))*(N(BR14)=N(BS14))))*nTP_HT*nTP_OK*nTP_UTC_n)))</f>
        <v>0</v>
      </c>
      <c r="CK14" s="22">
        <f>IF(CJ14=0,0,SUMPRODUCT((nTP_CandKey=BX14)*nTP_Exact*((nTP_HT*BN14*((nTP_OK*BO14*(nTP_UTC_n-N(BQ14))+(1-nTP_OK*BO14)*(nTP_Loc_n-N(BP14)))&lt;=0)+(1-nTP_HT*BN14)*(nTP_Hi_n&lt;N(BR14)))+((1-nTP_HT*BN14)*(nTP_Lo_n=nTP_Hi_n)*(nTP_Lo_n=N(BR14))*(N(BR14)=N(BS14))))*nTP_HT*nTP_OK*(nTP_UTC_n=CJ14)))</f>
        <v>0</v>
      </c>
      <c r="CL14" s="22">
        <f>IF(CK14&lt;&gt;1,0,SUMPRODUCT((nTP_CandKey=BX14)*nTP_Exact*((nTP_HT*BN14*((nTP_OK*BO14*(nTP_UTC_n-N(BQ14))+(1-nTP_OK*BO14)*(nTP_Loc_n-N(BP14)))&lt;=0)+(1-nTP_HT*BN14)*(nTP_Hi_n&lt;N(BR14)))+((1-nTP_HT*BN14)*(nTP_Lo_n=nTP_Hi_n)*(nTP_Lo_n=N(BR14))*(N(BR14)=N(BS14))))*nTP_HT*nTP_OK*(nTP_UTC_n=CJ14)*nTP_Loc_n))</f>
        <v>0</v>
      </c>
      <c r="CM14" s="22">
        <f>IF(CK14&lt;&gt;1,0,SUMPRODUCT((nTP_CandKey=BX14)*nTP_Exact*((nTP_HT*BN14*((nTP_OK*BO14*(nTP_UTC_n-N(BQ14))+(1-nTP_OK*BO14)*(nTP_Loc_n-N(BP14)))&lt;=0)+(1-nTP_HT*BN14)*(nTP_Hi_n&lt;N(BR14)))+((1-nTP_HT*BN14)*(nTP_Lo_n=nTP_Hi_n)*(nTP_Lo_n=N(BR14))*(N(BR14)=N(BS14))))*nTP_HT*nTP_OK*(nTP_UTC_n=CJ14)*nTP_Lo_n))</f>
        <v>0</v>
      </c>
      <c r="CN14" s="22">
        <f>IF(CD14=0,0,SUMPRODUCT(MAX((nTP_CandKey=BX14)*nTP_Exact*((nTP_HT*BN14*((nTP_OK*BO14*(nTP_UTC_n-N(BQ14))+(1-nTP_OK*BO14)*(nTP_Loc_n-N(BP14)))&lt;=0)+(1-nTP_HT*BN14)*(nTP_Hi_n&lt;N(BR14)))+((1-nTP_HT*BN14)*(nTP_Lo_n=nTP_Hi_n)*(nTP_Lo_n=N(BR14))*(N(BR14)=N(BS14))))*nTP_HT*(1-nTP_OK)*nTP_Loc_n)))</f>
        <v>0</v>
      </c>
      <c r="CO14" s="22">
        <f>IF(CN14=0,0,SUMPRODUCT((nTP_CandKey=BX14)*nTP_Exact*((nTP_HT*BN14*((nTP_OK*BO14*(nTP_UTC_n-N(BQ14))+(1-nTP_OK*BO14)*(nTP_Loc_n-N(BP14)))&lt;=0)+(1-nTP_HT*BN14)*(nTP_Hi_n&lt;N(BR14)))+((1-nTP_HT*BN14)*(nTP_Lo_n=nTP_Hi_n)*(nTP_Lo_n=N(BR14))*(N(BR14)=N(BS14))))*nTP_HT*(1-nTP_OK)*(nTP_Loc_n=CN14)))</f>
        <v>0</v>
      </c>
      <c r="CP14" s="22">
        <f>IF(CO14&lt;&gt;1,0,SUMPRODUCT((nTP_CandKey=BX14)*nTP_Exact*((nTP_HT*BN14*((nTP_OK*BO14*(nTP_UTC_n-N(BQ14))+(1-nTP_OK*BO14)*(nTP_Loc_n-N(BP14)))&lt;=0)+(1-nTP_HT*BN14)*(nTP_Hi_n&lt;N(BR14)))+((1-nTP_HT*BN14)*(nTP_Lo_n=nTP_Hi_n)*(nTP_Lo_n=N(BR14))*(N(BR14)=N(BS14))))*nTP_HT*(1-nTP_OK)*(nTP_Loc_n=CN14)*nTP_Lo_n))</f>
        <v>0</v>
      </c>
      <c r="CQ14" s="22">
        <f>IF(CD14=0,0,SUMPRODUCT(MAX((nTP_CandKey=BX14)*nTP_Exact*((nTP_HT*BN14*((nTP_OK*BO14*(nTP_UTC_n-N(BQ14))+(1-nTP_OK*BO14)*(nTP_Loc_n-N(BP14)))&lt;=0)+(1-nTP_HT*BN14)*(nTP_Hi_n&lt;N(BR14)))+((1-nTP_HT*BN14)*(nTP_Lo_n=nTP_Hi_n)*(nTP_Lo_n=N(BR14))*(N(BR14)=N(BS14))))*nTP_HT*nTP_OK*nTP_Loc_n)))</f>
        <v>0</v>
      </c>
      <c r="CR14" s="22">
        <f t="shared" si="28"/>
        <v>0</v>
      </c>
      <c r="CS14" s="22">
        <f>IF(CR14=0,0,IF(CR14=1,MATCH(1,INDEX((nTP_CandKey=BX14)*nTP_Exact*((nTP_HT*BN14*((nTP_OK*BO14*(nTP_UTC_n-N(BQ14))+(1-nTP_OK*BO14)*(nTP_Loc_n-N(BP14)))&lt;=0)+(1-nTP_HT*BN14)*(nTP_Hi_n&lt;N(BR14)))+((1-nTP_HT*BN14)*(nTP_Lo_n=nTP_Hi_n)*(nTP_Lo_n=N(BR14))*(N(BR14)=N(BS14))))*(1-nTP_HT)*(nTP_Lo_n=CF14),0),0),IF(CR14=2,MATCH(1,INDEX((nTP_CandKey=BX14)*nTP_Exact*((nTP_HT*BN14*((nTP_OK*BO14*(nTP_UTC_n-N(BQ14))+(1-nTP_OK*BO14)*(nTP_Loc_n-N(BP14)))&lt;=0)+(1-nTP_HT*BN14)*(nTP_Hi_n&lt;N(BR14)))+((1-nTP_HT*BN14)*(nTP_Lo_n=nTP_Hi_n)*(nTP_Lo_n=N(BR14))*(N(BR14)=N(BS14))))*nTP_HT*nTP_OK*(nTP_UTC_n=CJ14),0),0),MATCH(1,INDEX((nTP_CandKey=BX14)*nTP_Exact*((nTP_HT*BN14*((nTP_OK*BO14*(nTP_UTC_n-N(BQ14))+(1-nTP_OK*BO14)*(nTP_Loc_n-N(BP14)))&lt;=0)+(1-nTP_HT*BN14)*(nTP_Hi_n&lt;N(BR14)))+((1-nTP_HT*BN14)*(nTP_Lo_n=nTP_Hi_n)*(nTP_Lo_n=N(BR14))*(N(BR14)=N(BS14))))*nTP_HT*(1-nTP_OK)*(nTP_Loc_n=CN14),0),0))))</f>
        <v>0</v>
      </c>
      <c r="CT14" s="22">
        <f>IF(CS14=0,0,INDEX(nTP_Lo_n,CS14))</f>
        <v>0</v>
      </c>
      <c r="CU14" s="22">
        <f>IF(CS14=0,0,SUMPRODUCT((nTP_CandKey=BX14)*(nTP_Err="")*(1-nTP_Exact)*((nTP_HT*BN14*((nTP_OK*BO14*(nTP_UTC_n-N(BQ14))+(1-nTP_OK*BO14)*(nTP_Loc_n-N(BP14)))&lt;=0)+(1-nTP_HT*BN14)*(nTP_Hi_n&lt;N(BR14)))+((1-nTP_HT*BN14)*(nTP_Lo_n=nTP_Hi_n)*(nTP_Lo_n=N(BR14))*(N(BR14)=N(BS14))))*(nTP_Hi_n&gt;=CT14)))</f>
        <v>0</v>
      </c>
      <c r="CV14" s="21" t="str">
        <f t="shared" si="29"/>
        <v/>
      </c>
      <c r="CW14" s="21" t="str">
        <f>IF(AND(BG14=1,CB14=1,CV14="",CS14&gt;0),INDEX(nTP_Record_ID,CS14)&amp;"","")</f>
        <v/>
      </c>
      <c r="CX14" s="21" t="str">
        <f>IF(OR(CV14="",BG14=0),"",IF(CV14="none","an administration record (last dose before onset)",IF(CV14="uncertain","the anchor record: "&amp;INDEX(nTP_Record_ID,MATCH(1,INDEX((nTP_CandKey=BX14)*(nTP_Err="")*(1-(nTP_HT*BN14*((nTP_OK*BO14*(nTP_UTC_n-N(BQ14))+(1-nTP_OK*BO14)*(nTP_Loc_n-N(BP14)))&lt;=0)+(1-nTP_HT*BN14)*(nTP_Hi_n&lt;N(BR14)))-(nTP_HT*BN14*((nTP_OK*BO14*(nTP_UTC_n-N(BQ14))+(1-nTP_OK*BO14)*(nTP_Loc_n-N(BP14)))&gt;0)+(1-nTP_HT*BN14)*(nTP_Lo_n&gt;N(BS14)))-((1-nTP_HT*BN14)*(nTP_Lo_n=nTP_Hi_n)*(nTP_Lo_n=N(BR14))*(N(BR14)=N(BS14)))),0),0))&amp;IF(CC14&gt;1," and "&amp;(CC14-1)&amp;" more","")&amp;" may fall before or after the end point, so the last dose cannot be identified from the recorded dates",IF(CV14="noneligible","the anchor record: no administration with an exact date is recorded at or before the end point",IF(CV14="tie","the anchor record: the order of the latest administrations cannot be told from the recorded dates and times","the anchor record: partial-date administration "&amp;INDEX(nTP_Record_ID,MATCH(1,INDEX((nTP_CandKey=BX14)*(nTP_Err="")*(1-nTP_Exact)*((nTP_HT*BN14*((nTP_OK*BO14*(nTP_UTC_n-N(BQ14))+(1-nTP_OK*BO14)*(nTP_Loc_n-N(BP14)))&lt;=0)+(1-nTP_HT*BN14)*(nTP_Hi_n&lt;N(BR14)))+((1-nTP_HT*BN14)*(nTP_Lo_n=nTP_Hi_n)*(nTP_Lo_n=N(BR14))*(N(BR14)=N(BS14))))*(nTP_Hi_n&gt;=CT14),0),0))&amp;" could be the last dose before the end point")))))</f>
        <v/>
      </c>
      <c r="CY14" s="22">
        <f>IF(OR(AW14=1,AJ14=""),0,IFERROR(MATCH(AX14&amp;"|"&amp;AJ14,nTP_Key,0),0))</f>
        <v>0</v>
      </c>
      <c r="CZ14" s="21">
        <f>IF(CY14=0,0,INDEX(nTP_Dup,CY14))</f>
        <v>0</v>
      </c>
      <c r="DA14" s="21" t="str">
        <f>IF(CY14=0,"",INDEX(nTP_Record_Type,CY14))</f>
        <v/>
      </c>
      <c r="DB14" s="21" t="str">
        <f>IF(CY14=0,"",INDEX(nTP_Precision,CY14))</f>
        <v/>
      </c>
      <c r="DC14" s="21" t="str">
        <f>IF(CY14=0,"",INDEX(nTP_Err,CY14))</f>
        <v/>
      </c>
      <c r="DD14" s="21">
        <f>IF(CY14=0,0,INDEX(nTP_HT,CY14))</f>
        <v>0</v>
      </c>
      <c r="DE14" s="21">
        <f>IF(CY14=0,0,INDEX(nTP_OK,CY14))</f>
        <v>0</v>
      </c>
      <c r="DF14" s="21" t="str">
        <f>IF(CY14=0,"",INDEX(nTP_Loc,CY14))</f>
        <v/>
      </c>
      <c r="DG14" s="21" t="str">
        <f>IF(CY14=0,"",INDEX(nTP_UTC,CY14))</f>
        <v/>
      </c>
      <c r="DH14" s="21" t="str">
        <f>IF(CY14=0,"",INDEX(nTP_Lo,CY14))</f>
        <v/>
      </c>
      <c r="DI14" s="21" t="str">
        <f>IF(CY14=0,"",INDEX(nTP_Hi,CY14))</f>
        <v/>
      </c>
      <c r="DJ14" s="21" t="str">
        <f>IF(CY14=0,"",INDEX(nTP_Original_Text,CY14))</f>
        <v/>
      </c>
      <c r="DK14" s="21" t="str">
        <f>IF(CY14=0,"",INDEX(nTP_Source,CY14))</f>
        <v/>
      </c>
      <c r="DL14" s="22">
        <f t="shared" si="30"/>
        <v>0</v>
      </c>
      <c r="DM14" s="21" t="str">
        <f t="shared" si="31"/>
        <v/>
      </c>
      <c r="DN14" s="21" t="str">
        <f t="shared" si="32"/>
        <v/>
      </c>
      <c r="DO14" s="21" t="str">
        <f t="shared" si="33"/>
        <v/>
      </c>
      <c r="DP14" s="21" t="str">
        <f t="shared" si="34"/>
        <v/>
      </c>
      <c r="DQ14" s="21" t="str">
        <f t="shared" si="35"/>
        <v/>
      </c>
      <c r="DR14" s="22">
        <f>IF(OR(DQ14="",I14=""),0,IF(ISNA(MATCH(I14,nLIST_Mode,0)),1,IF(AND(I14="C1",DQ14&lt;&gt;"C1"),1,IF(AND(I14="C2",DQ14="C4"),1,0))))</f>
        <v>0</v>
      </c>
      <c r="DS14" s="21" t="str">
        <f t="shared" si="36"/>
        <v/>
      </c>
      <c r="DT14" s="22">
        <f t="shared" si="37"/>
        <v>0</v>
      </c>
      <c r="DU14" s="21" t="str">
        <f>IF(DT14=0,"",IF(COUNTIFS(nTP_Case_Key,AX14,nTP_Record_Type,"MILESTONE:INTERVENTION",nTP_Err,"E_INVALID_DATE")&gt;0,"; E_INVALID_DATE","")&amp;IF(COUNTIFS(nTP_Case_Key,AX14,nTP_Record_Type,"MILESTONE:INTERVENTION",nTP_Err,"E_REVERSED_BOUNDS")&gt;0,"; E_REVERSED_BOUNDS","")&amp;IF(COUNTIFS(nTP_Case_Key,AX14,nTP_Record_Type,"MILESTONE:INTERVENTION",nTP_Err,"E_MISSING_INPUT")&gt;0,"; E_MISSING_INPUT","")&amp;IF(COUNTIFS(nTP_Case_Key,AX14,nTP_Record_Type,"MILESTONE:INTERVENTION",nTP_Err,"E_INVALID_UNIT")&gt;0,"; E_INVALID_UNIT",""))</f>
        <v/>
      </c>
      <c r="DV14" s="22">
        <f>IF(DT14=0,0,SUMPRODUCT((nMS_CaseKey=AX14)*(nMS_Type="INTERVENTION")*nMS_Undated))</f>
        <v>0</v>
      </c>
      <c r="DW14" s="21" t="str">
        <f t="shared" si="38"/>
        <v/>
      </c>
      <c r="DX14" s="21" t="str">
        <f t="shared" si="39"/>
        <v/>
      </c>
      <c r="DY14" s="22">
        <f t="shared" si="40"/>
        <v>1</v>
      </c>
      <c r="DZ14" s="21" t="str">
        <f t="shared" si="41"/>
        <v/>
      </c>
      <c r="EA14" s="21" t="str">
        <f t="shared" si="42"/>
        <v/>
      </c>
      <c r="EB14" s="21" t="str">
        <f t="shared" si="43"/>
        <v/>
      </c>
      <c r="EC14" s="21" t="str">
        <f t="shared" si="44"/>
        <v/>
      </c>
      <c r="ED14" s="22">
        <f t="shared" si="45"/>
        <v>0</v>
      </c>
      <c r="EE14" s="22">
        <f t="shared" si="46"/>
        <v>0</v>
      </c>
      <c r="EF14" s="21" t="str">
        <f>IF(ED14=0,"",IF(OR(NOT(ISNUMBER(L14)),NOT(ISNUMBER(M14))),"I_APPROXIMATE_NOT_COMPARED",IF(AND(N14&lt;&gt;"",ISNA(MATCH(N14,nLIST_ReportedUnit,0))),"E_INVALID_UNIT",IF(N14="","E_MISSING_INPUT",IF(L14&gt;M14,"E_REVERSED_BOUNDS",IF(OR(N14="weeks",N14="months",N14="years"),"I_APPROXIMATE_NOT_COMPARED",IF(DX14&lt;&gt;"","",IF(EE14=0,"I_APPROXIMATE_NOT_COMPARED",IF(AND(L14*EE14&lt;=IF(DS14="C4",EC14,IF(DS14="C1",DZ14,EA14)),M14*EE14&gt;=IF(DS14="C4",EB14,IF(DS14="C1",DZ14,EA14))),"OVERLAP","W_REPORTED_TIMING_CONFLICT")))))))))</f>
        <v/>
      </c>
      <c r="EG14" s="21" t="str">
        <f t="shared" si="47"/>
        <v/>
      </c>
      <c r="EH14" s="21" t="str">
        <f t="shared" si="48"/>
        <v/>
      </c>
      <c r="EI14" s="22">
        <f t="shared" si="49"/>
        <v>0</v>
      </c>
      <c r="EJ14" s="22">
        <f t="shared" si="50"/>
        <v>0</v>
      </c>
      <c r="EK14" s="22">
        <f t="shared" si="51"/>
        <v>0</v>
      </c>
      <c r="EL14" s="28" t="str">
        <f t="shared" si="52"/>
        <v/>
      </c>
      <c r="EM14" s="28" t="str">
        <f t="shared" si="53"/>
        <v/>
      </c>
      <c r="EN14" s="21" t="str">
        <f t="shared" si="54"/>
        <v/>
      </c>
      <c r="EO14" s="22">
        <f>IF(OR(DT14=0,DX14&lt;&gt;""),0,SUMPRODUCT((nTP_Case_Key=AX14)*(nTP_Record_Type="MILESTONE:INTERVENTION")*(nTP_Err="")*(nTP_HT*DD14*BN14*(nTP_OK*DE14*(nTP_UTC_n&gt;=N(DG14))+(1-nTP_OK*DE14)*(nTP_Loc_n&gt;=N(DF14)))*(nTP_OK*BO14*(nTP_UTC_n&lt;=N(BQ14))+(1-nTP_OK*BO14)*(nTP_Loc_n&lt;=N(BP14)))+(1-nTP_HT*DD14*BN14)*(nTP_Hi_n&gt;=N(DH14))*(nTP_Lo_n&lt;=N(BS14)))))</f>
        <v>0</v>
      </c>
      <c r="EP14" s="22">
        <f>IF(OR(DT14=0,DX14&lt;&gt;""),0,SUMPRODUCT((nTP_Case_Key=AX14)*(nTP_Role="treatment of the event")*((nTP_Record_Type="EXPOSURE_START")+(nTP_Record_Type="ADMINISTRATION"))*(nTP_Err="")*(nTP_HT*DD14*BN14*(nTP_OK*DE14*(nTP_UTC_n&gt;=N(DG14))+(1-nTP_OK*DE14)*(nTP_Loc_n&gt;=N(DF14)))*(nTP_OK*BO14*(nTP_UTC_n&lt;=N(BQ14))+(1-nTP_OK*BO14)*(nTP_Loc_n&lt;=N(BP14)))+(1-nTP_HT*DD14*BN14)*(nTP_Hi_n&gt;=N(DH14))*(nTP_Lo_n&lt;=N(BS14)))))</f>
        <v>0</v>
      </c>
      <c r="EQ14" s="22">
        <f>IF(EO14&lt;1,0,IFERROR(_xlfn.AGGREGATE(15,6,nTP_RowN/((nTP_Case_Key=AX14)*(nTP_Record_Type="MILESTONE:INTERVENTION")*(nTP_Err="")*(nTP_HT*DD14*BN14*(nTP_OK*DE14*(nTP_UTC_n&gt;=N(DG14))+(1-nTP_OK*DE14)*(nTP_Loc_n&gt;=N(DF14)))*(nTP_OK*BO14*(nTP_UTC_n&lt;=N(BQ14))+(1-nTP_OK*BO14)*(nTP_Loc_n&lt;=N(BP14)))+(1-nTP_HT*DD14*BN14)*(nTP_Hi_n&gt;=N(DH14))*(nTP_Lo_n&lt;=N(BS14)))),1),0))</f>
        <v>0</v>
      </c>
      <c r="ER14" s="22">
        <f>IF(EO14&lt;2,0,IFERROR(_xlfn.AGGREGATE(15,6,nTP_RowN/((nTP_Case_Key=AX14)*(nTP_Record_Type="MILESTONE:INTERVENTION")*(nTP_Err="")*(nTP_HT*DD14*BN14*(nTP_OK*DE14*(nTP_UTC_n&gt;=N(DG14))+(1-nTP_OK*DE14)*(nTP_Loc_n&gt;=N(DF14)))*(nTP_OK*BO14*(nTP_UTC_n&lt;=N(BQ14))+(1-nTP_OK*BO14)*(nTP_Loc_n&lt;=N(BP14)))+(1-nTP_HT*DD14*BN14)*(nTP_Hi_n&gt;=N(DH14))*(nTP_Lo_n&lt;=N(BS14)))),2),0))</f>
        <v>0</v>
      </c>
      <c r="ES14" s="22">
        <f>IF(EO14&lt;3,0,IFERROR(_xlfn.AGGREGATE(15,6,nTP_RowN/((nTP_Case_Key=AX14)*(nTP_Record_Type="MILESTONE:INTERVENTION")*(nTP_Err="")*(nTP_HT*DD14*BN14*(nTP_OK*DE14*(nTP_UTC_n&gt;=N(DG14))+(1-nTP_OK*DE14)*(nTP_Loc_n&gt;=N(DF14)))*(nTP_OK*BO14*(nTP_UTC_n&lt;=N(BQ14))+(1-nTP_OK*BO14)*(nTP_Loc_n&lt;=N(BP14)))+(1-nTP_HT*DD14*BN14)*(nTP_Hi_n&gt;=N(DH14))*(nTP_Lo_n&lt;=N(BS14)))),3),0))</f>
        <v>0</v>
      </c>
      <c r="ET14" s="22">
        <f>IF(EP14&lt;1,0,IFERROR(_xlfn.AGGREGATE(15,6,nTP_RowN/((nTP_Case_Key=AX14)*(nTP_Role="treatment of the event")*((nTP_Record_Type="EXPOSURE_START")+(nTP_Record_Type="ADMINISTRATION"))*(nTP_Err="")*(nTP_HT*DD14*BN14*(nTP_OK*DE14*(nTP_UTC_n&gt;=N(DG14))+(1-nTP_OK*DE14)*(nTP_Loc_n&gt;=N(DF14)))*(nTP_OK*BO14*(nTP_UTC_n&lt;=N(BQ14))+(1-nTP_OK*BO14)*(nTP_Loc_n&lt;=N(BP14)))+(1-nTP_HT*DD14*BN14)*(nTP_Hi_n&gt;=N(DH14))*(nTP_Lo_n&lt;=N(BS14)))),1),0))</f>
        <v>0</v>
      </c>
      <c r="EU14" s="22">
        <f>IF(EP14&lt;2,0,IFERROR(_xlfn.AGGREGATE(15,6,nTP_RowN/((nTP_Case_Key=AX14)*(nTP_Role="treatment of the event")*((nTP_Record_Type="EXPOSURE_START")+(nTP_Record_Type="ADMINISTRATION"))*(nTP_Err="")*(nTP_HT*DD14*BN14*(nTP_OK*DE14*(nTP_UTC_n&gt;=N(DG14))+(1-nTP_OK*DE14)*(nTP_Loc_n&gt;=N(DF14)))*(nTP_OK*BO14*(nTP_UTC_n&lt;=N(BQ14))+(1-nTP_OK*BO14)*(nTP_Loc_n&lt;=N(BP14)))+(1-nTP_HT*DD14*BN14)*(nTP_Hi_n&gt;=N(DH14))*(nTP_Lo_n&lt;=N(BS14)))),2),0))</f>
        <v>0</v>
      </c>
      <c r="EV14" s="22">
        <f>IF(EP14&lt;3,0,IFERROR(_xlfn.AGGREGATE(15,6,nTP_RowN/((nTP_Case_Key=AX14)*(nTP_Role="treatment of the event")*((nTP_Record_Type="EXPOSURE_START")+(nTP_Record_Type="ADMINISTRATION"))*(nTP_Err="")*(nTP_HT*DD14*BN14*(nTP_OK*DE14*(nTP_UTC_n&gt;=N(DG14))+(1-nTP_OK*DE14)*(nTP_Loc_n&gt;=N(DF14)))*(nTP_OK*BO14*(nTP_UTC_n&lt;=N(BQ14))+(1-nTP_OK*BO14)*(nTP_Loc_n&lt;=N(BP14)))+(1-nTP_HT*DD14*BN14)*(nTP_Hi_n&gt;=N(DH14))*(nTP_Lo_n&lt;=N(BS14)))),3),0))</f>
        <v>0</v>
      </c>
      <c r="EW14" s="22">
        <f>IF(CE14&lt;1,0,IFERROR(_xlfn.AGGREGATE(15,6,nTP_RowN/((nTP_CandKey=BX14)*(nTP_Err="")*(1-nTP_Exact)*((nTP_HT*BN14*((nTP_OK*BO14*(nTP_UTC_n-N(BQ14))+(1-nTP_OK*BO14)*(nTP_Loc_n-N(BP14)))&lt;=0)+(1-nTP_HT*BN14)*(nTP_Hi_n&lt;N(BR14)))+((1-nTP_HT*BN14)*(nTP_Lo_n=nTP_Hi_n)*(nTP_Lo_n=N(BR14))*(N(BR14)=N(BS14))))),1),0))</f>
        <v>0</v>
      </c>
      <c r="EX14" s="22">
        <f>IF(CE14&lt;2,0,IFERROR(_xlfn.AGGREGATE(15,6,nTP_RowN/((nTP_CandKey=BX14)*(nTP_Err="")*(1-nTP_Exact)*((nTP_HT*BN14*((nTP_OK*BO14*(nTP_UTC_n-N(BQ14))+(1-nTP_OK*BO14)*(nTP_Loc_n-N(BP14)))&lt;=0)+(1-nTP_HT*BN14)*(nTP_Hi_n&lt;N(BR14)))+((1-nTP_HT*BN14)*(nTP_Lo_n=nTP_Hi_n)*(nTP_Lo_n=N(BR14))*(N(BR14)=N(BS14))))),2),0))</f>
        <v>0</v>
      </c>
      <c r="EY14" s="22">
        <f>IF(CE14&lt;3,0,IFERROR(_xlfn.AGGREGATE(15,6,nTP_RowN/((nTP_CandKey=BX14)*(nTP_Err="")*(1-nTP_Exact)*((nTP_HT*BN14*((nTP_OK*BO14*(nTP_UTC_n-N(BQ14))+(1-nTP_OK*BO14)*(nTP_Loc_n-N(BP14)))&lt;=0)+(1-nTP_HT*BN14)*(nTP_Hi_n&lt;N(BR14)))+((1-nTP_HT*BN14)*(nTP_Lo_n=nTP_Hi_n)*(nTP_Lo_n=N(BR14))*(N(BR14)=N(BS14))))),3),0))</f>
        <v>0</v>
      </c>
      <c r="EZ14" s="21" t="str">
        <f>IF(EO14=0,"",MID(IF(EQ14&gt;0,"; "&amp;INDEX(nTP_Record_ID,EQ14)&amp;IF(INDEX(nTP_Label,EQ14)="",""," ("&amp;INDEX(nTP_Label,EQ14)&amp;")"),"")&amp;IF(ER14&gt;0,"; "&amp;INDEX(nTP_Record_ID,ER14)&amp;IF(INDEX(nTP_Label,ER14)="",""," ("&amp;INDEX(nTP_Label,ER14)&amp;")"),"")&amp;IF(ES14&gt;0,"; "&amp;INDEX(nTP_Record_ID,ES14)&amp;IF(INDEX(nTP_Label,ES14)="",""," ("&amp;INDEX(nTP_Label,ES14)&amp;")"),"")&amp;IF(EO14&gt;3,"; and "&amp;(EO14-3)&amp;" more",""),3,999))</f>
        <v/>
      </c>
      <c r="FA14" s="21" t="str">
        <f>IF(EO14=0,"",MID(IF(EQ14&gt;0,"; "&amp;INDEX(nTP_Record_ID,EQ14),"")&amp;IF(ER14&gt;0,"; "&amp;INDEX(nTP_Record_ID,ER14),"")&amp;IF(ES14&gt;0,"; "&amp;INDEX(nTP_Record_ID,ES14),"")&amp;IF(EO14&gt;3,"; and "&amp;(EO14-3)&amp;" more",""),3,999))</f>
        <v/>
      </c>
      <c r="FB14" s="21" t="str">
        <f>IF(EP14=0,"",MID(IF(ET14&gt;0,"; "&amp;INDEX(nTP_Record_ID,ET14)&amp;IF(INDEX(nTP_Label,ET14)="",""," ("&amp;INDEX(nTP_Label,ET14)&amp;")"),"")&amp;IF(EU14&gt;0,"; "&amp;INDEX(nTP_Record_ID,EU14)&amp;IF(INDEX(nTP_Label,EU14)="",""," ("&amp;INDEX(nTP_Label,EU14)&amp;")"),"")&amp;IF(EV14&gt;0,"; "&amp;INDEX(nTP_Record_ID,EV14)&amp;IF(INDEX(nTP_Label,EV14)="",""," ("&amp;INDEX(nTP_Label,EV14)&amp;")"),"")&amp;IF(EP14&gt;3,"; and "&amp;(EP14-3)&amp;" more",""),3,999))</f>
        <v/>
      </c>
      <c r="FC14" s="21" t="str">
        <f>IF(CE14=0,"",MID(IF(EW14&gt;0,"; "&amp;INDEX(nTP_Record_ID,EW14),"")&amp;IF(EX14&gt;0,"; "&amp;INDEX(nTP_Record_ID,EX14),"")&amp;IF(EY14&gt;0,"; "&amp;INDEX(nTP_Record_ID,EY14),"")&amp;IF(CE14&gt;3,"; and "&amp;(CE14-3)&amp;" more",""),3,999))</f>
        <v/>
      </c>
      <c r="FD14" s="22">
        <f t="shared" si="55"/>
        <v>0</v>
      </c>
      <c r="FE14" s="22">
        <f t="shared" si="56"/>
        <v>0</v>
      </c>
      <c r="FF14" s="22">
        <f t="shared" si="57"/>
        <v>0</v>
      </c>
      <c r="FG14" s="22">
        <f t="shared" si="58"/>
        <v>0</v>
      </c>
      <c r="FH14" s="22">
        <f t="shared" si="59"/>
        <v>0</v>
      </c>
      <c r="FI14" s="22">
        <f t="shared" si="60"/>
        <v>0</v>
      </c>
      <c r="FJ14" s="22">
        <f t="shared" si="61"/>
        <v>0</v>
      </c>
      <c r="FK14" s="22">
        <f t="shared" si="62"/>
        <v>0</v>
      </c>
    </row>
    <row r="15" spans="1:167" x14ac:dyDescent="0.2">
      <c r="A15" s="10"/>
      <c r="B15" s="10"/>
      <c r="C15" s="12"/>
      <c r="D15" s="10"/>
      <c r="E15" s="17"/>
      <c r="F15" s="10"/>
      <c r="G15" s="10"/>
      <c r="H15" s="10"/>
      <c r="I15" s="17"/>
      <c r="J15" s="17"/>
      <c r="K15" s="10"/>
      <c r="L15" s="17"/>
      <c r="M15" s="17"/>
      <c r="N15" s="17"/>
      <c r="O15" s="10"/>
      <c r="P15" s="15"/>
      <c r="Q15" s="15"/>
      <c r="R15" s="10"/>
      <c r="S15" s="10"/>
      <c r="T15" s="21" t="str">
        <f t="shared" si="0"/>
        <v/>
      </c>
      <c r="U15" s="21" t="str">
        <f t="shared" si="1"/>
        <v/>
      </c>
      <c r="V15" s="21" t="str">
        <f t="shared" si="2"/>
        <v/>
      </c>
      <c r="W15" s="21" t="str">
        <f t="shared" si="3"/>
        <v/>
      </c>
      <c r="X15" s="21" t="str">
        <f t="shared" si="4"/>
        <v/>
      </c>
      <c r="Y15" s="21" t="str">
        <f t="shared" si="5"/>
        <v/>
      </c>
      <c r="Z15" s="21" t="str">
        <f t="shared" si="6"/>
        <v/>
      </c>
      <c r="AA15" s="21" t="str">
        <f t="shared" si="7"/>
        <v/>
      </c>
      <c r="AB15" s="21" t="str">
        <f t="shared" si="8"/>
        <v/>
      </c>
      <c r="AC15" s="21" t="str">
        <f t="shared" si="9"/>
        <v/>
      </c>
      <c r="AD15" s="21" t="str">
        <f>IF(AW15=1,"",MID(IF(ISNUMBER(SEARCH("E_INVALID_DATE",EG15))," | E_INVALID_DATE: "&amp;SUBSTITUTE(IFERROR(INDEX(nMSG_Text,MATCH("E_INVALID_DATE",nMSG_Code,0)),""),"[input]",""),"")&amp;IF(ISNUMBER(SEARCH("E_REVERSED_BOUNDS",EG15))," | E_REVERSED_BOUNDS: "&amp;SUBSTITUTE(IFERROR(INDEX(nMSG_Text,MATCH("E_REVERSED_BOUNDS",nMSG_Code,0)),""),"[input]",""),"")&amp;IF(ISNUMBER(SEARCH("E_DUPLICATE_ID",EG15))," | E_DUPLICATE_ID: "&amp;SUBSTITUTE(IFERROR(INDEX(nMSG_Text,MATCH("E_DUPLICATE_ID",nMSG_Code,0)),""),"[input]",""),"")&amp;IF(ISNUMBER(SEARCH("E_MISSING_LINK",EG15))," | E_MISSING_LINK: "&amp;SUBSTITUTE(IFERROR(INDEX(nMSG_Text,MATCH("E_MISSING_LINK",nMSG_Code,0)),""),"[input]",""),"")&amp;IF(ISNUMBER(SEARCH("E_MISSING_INPUT",EG15))," | E_MISSING_INPUT: "&amp;SUBSTITUTE(IFERROR(INDEX(nMSG_Text,MATCH("E_MISSING_INPUT",nMSG_Code,0)),""),"[input]",IF(EH15="","an input",EH15)),"")&amp;IF(ISNUMBER(SEARCH("E_INVALID_UNIT",EG15))," | E_INVALID_UNIT: "&amp;SUBSTITUTE(IFERROR(INDEX(nMSG_Text,MATCH("E_INVALID_UNIT",nMSG_Code,0)),""),"[input]",""),"")&amp;IF(FD15=1," | W_TZ_UNKNOWN: "&amp;SUBSTITUTE(IFERROR(INDEX(nMSG_Text,MATCH("W_TZ_UNKNOWN",nMSG_Code,0)),""),"[input]",""),"")&amp;IF(FE15=1," | W_SAME_DATE_ORDER_UNKNOWN: "&amp;SUBSTITUTE(IFERROR(INDEX(nMSG_Text,MATCH("W_SAME_DATE_ORDER_UNKNOWN",nMSG_Code,0)),""),"[input]",""),"")&amp;IF(FF15=1," | W_SEQUENCE_UNCERTAIN: "&amp;SUBSTITUTE(IFERROR(INDEX(nMSG_Text,MATCH("W_SEQUENCE_UNCERTAIN",nMSG_Code,0)),""),"[input]",""),"")&amp;IF(FG15=1," | W_ADMIN_SAME_DATE_AS_ONSET: "&amp;SUBSTITUTE(IFERROR(INDEX(nMSG_Text,MATCH("W_ADMIN_SAME_DATE_AS_ONSET",nMSG_Code,0)),""),"[input]",""),"")&amp;IF(FH15=1," | W_REPORTED_TIMING_CONFLICT: "&amp;SUBSTITUTE(IFERROR(INDEX(nMSG_Text,MATCH("W_REPORTED_TIMING_CONFLICT",nMSG_Code,0)),""),"[input]",""),"")&amp;IF(FI15=1," | W_INTERVENTION_BEFORE_RECOVERY: "&amp;SUBSTITUTE(IFERROR(INDEX(nMSG_Text,MATCH("W_INTERVENTION_BEFORE_RECOVERY",nMSG_Code,0)),""),"[input]",""),"")&amp;IF(FJ15=1," | I_TREATMENT_DAY_UNDEFINED: "&amp;SUBSTITUTE(IFERROR(INDEX(nMSG_Text,MATCH("I_TREATMENT_DAY_UNDEFINED",nMSG_Code,0)),""),"[input]",""),"")&amp;IF(FK15=1," | I_APPROXIMATE_NOT_COMPARED: "&amp;SUBSTITUTE(IFERROR(INDEX(nMSG_Text,MATCH("I_APPROXIMATE_NOT_COMPARED",nMSG_Code,0)),""),"[input]",""),""),4,9999))</f>
        <v/>
      </c>
      <c r="AE15" s="21" t="str">
        <f t="shared" si="10"/>
        <v/>
      </c>
      <c r="AF15" s="21" t="str">
        <f t="shared" si="11"/>
        <v/>
      </c>
      <c r="AG15" s="21" t="str">
        <f>IF(EN15="","",MID(IF(ISNUMBER(SEARCH("E_REVERSED_BOUNDS",EN15))," | E_REVERSED_BOUNDS: "&amp;SUBSTITUTE(IFERROR(INDEX(nMSG_Text,MATCH("E_REVERSED_BOUNDS",nMSG_Code,0)),""),"[input]",""),"")&amp;IF(ISNUMBER(SEARCH("E_MISSING_INPUT",EN15))," | E_MISSING_INPUT: "&amp;SUBSTITUTE(IFERROR(INDEX(nMSG_Text,MATCH("E_MISSING_INPUT",nMSG_Code,0)),""),"[input]",IF("the source of the constraint"="","an input","the source of the constraint")),""),4,999))</f>
        <v/>
      </c>
      <c r="AH15" s="21" t="str">
        <f t="shared" si="12"/>
        <v/>
      </c>
      <c r="AI15" s="21" t="str">
        <f t="shared" si="13"/>
        <v/>
      </c>
      <c r="AJ15" s="21" t="str">
        <f t="shared" si="14"/>
        <v/>
      </c>
      <c r="AK15" s="21" t="str">
        <f t="shared" si="15"/>
        <v/>
      </c>
      <c r="AL15" s="21" t="str">
        <f>IF(CY15=0,"",INDEX(nTP_ISO,CY15))</f>
        <v/>
      </c>
      <c r="AM15" s="21" t="str">
        <f>IF(CY15=0,"",INDEX(nTP_Display,CY15))</f>
        <v/>
      </c>
      <c r="AN15" s="21" t="str">
        <f>IF(BI15=0,"",INDEX(nTP_ISO,BI15))</f>
        <v/>
      </c>
      <c r="AO15" s="21" t="str">
        <f>IF(BI15=0,"",INDEX(nTP_Display,BI15))</f>
        <v/>
      </c>
      <c r="AP15" s="21" t="str">
        <f>IF(BA15=0,"",INDEX(nLNK_Exposure_Episode_ID,BA15)&amp;"")</f>
        <v/>
      </c>
      <c r="AQ15" s="21" t="str">
        <f>IF(BA15=0,"",INDEX(nLNK_Event_Episode_ID,BA15)&amp;"")</f>
        <v/>
      </c>
      <c r="AR15" s="21" t="str">
        <f t="shared" si="16"/>
        <v/>
      </c>
      <c r="AS15" s="21" t="str">
        <f>IF(EI15=0,"",MID(IF(DT15=1," | Recovery interval (C7) computed with "&amp;DS15&amp;".","")&amp;IF(BG15=1," | Anchor selected under C5 (CALC-SPEC 1.1): latest administration with an exact date or time at or before "&amp;IF(BH15=1,"onset","the end point")&amp;" ("&amp;AJ15&amp;"), ordered in UTC when offsets are known; later administrations are never selected.","")&amp;IF(AND(BG15=1,CE15&gt;0)," | Partial-date administrations wholly before the selected one were not candidates: "&amp;FC15&amp;".","")&amp;IF(BV15&lt;&gt;""," | "&amp;BV15,"")&amp;IF(AND(DS15="C2",EA15=0,DZ15&lt;&gt;"")," | Same calendar date; both times are known, so C1 decides the order ("&amp;AA15&amp;").","")&amp;IF(AND(DS15="C2",DD15*BN15=1,DT15=0)," | Calendar-date difference from the recorded local dates; it is never described as elapsed days.","")&amp;IF(AND(DS15="C4",DT15=0)," | Bounds are treated as independent; no single date is imputed from them.","")&amp;IF(EJ15=1," | Treatment day under the inclusive convention (C3); never written to E2B fields automatically.","")&amp;IF(AND(DS15="C4",DT15=0,EK15=0)," | No constraint applied.","")&amp;IF(AND(DS15="C4",EK15=1)," | Constraint applied to the anchor bounds: "&amp;IF(ISNUMBER(P15),"not before "&amp;DAY(P15)&amp;" "&amp;INDEX(nLIST_Months,MONTH(P15))&amp;" "&amp;YEAR(P15),"")&amp;IF(AND(ISNUMBER(P15),ISNUMBER(Q15)),", ","")&amp;IF(ISNUMBER(Q15),"not after "&amp;DAY(Q15)&amp;" "&amp;INDEX(nLIST_Months,MONTH(Q15))&amp;" "&amp;YEAR(Q15),"")&amp;". Source: "&amp;IF(R15="","not recorded",R15)&amp;IF(EN15="",". Constrained result shown beside the unconstrained one.",". Constrained result blocked ("&amp;EN15&amp;")."),"")&amp;IF(DT15=1,IF(EO15&gt;0," | Intervention recorded between cessation and recovery (ends included): "&amp;EZ15&amp;"."," | No intervention is recorded between cessation and recovery; absence of a record is not evidence that none was given."),"")&amp;IF(AND(DT15=1,DV15&gt;0)," | Intervention recorded without a date, so whether it came before recovery is unknown: "&amp;INDEX(nMS_Milestone_ID,MATCH(1,INDEX((nMS_CaseKey=AX15)*(nMS_Type="INTERVENTION")*nMS_Undated,0),0))&amp;IF(DV15&gt;1," and "&amp;(DV15-1)&amp;" more","")&amp;".","")&amp;IF(AND(DT15=1,EP15&gt;0)," | Not counted as interventions, because they are recorded as exposures rather than as intervention milestones (nothing is inferred): "&amp;FB15&amp;". If treatment was given, record it as an intervention milestone.",""),4,9999))</f>
        <v/>
      </c>
      <c r="AT15" s="21" t="str">
        <f t="shared" si="17"/>
        <v/>
      </c>
      <c r="AU15" s="21" t="str">
        <f t="shared" si="18"/>
        <v/>
      </c>
      <c r="AV15" s="21" t="str">
        <f t="shared" si="19"/>
        <v/>
      </c>
      <c r="AW15" s="22">
        <f t="shared" si="20"/>
        <v>1</v>
      </c>
      <c r="AX15" s="21" t="str">
        <f t="shared" si="21"/>
        <v>|</v>
      </c>
      <c r="AY15" s="21" t="str">
        <f t="shared" si="22"/>
        <v/>
      </c>
      <c r="AZ15" s="22">
        <f>IF(AY15="",0,COUNTIF(nINT_Key,AY15))</f>
        <v>0</v>
      </c>
      <c r="BA15" s="22">
        <f>IF(D15="",0,IFERROR(MATCH(AX15&amp;"|"&amp;D15,nLNK_Key,0),0))</f>
        <v>0</v>
      </c>
      <c r="BB15" s="22">
        <f>IF(BA15=0,1,INDEX(nLNK_Exp_Found,BA15))</f>
        <v>1</v>
      </c>
      <c r="BC15" s="22">
        <f>IF(BA15=0,1,INDEX(nLNK_Evt_Found,BA15))</f>
        <v>1</v>
      </c>
      <c r="BD15" s="22">
        <f>IF(AP15="",0,COUNTIF(nEXP_Key,AX15&amp;"|"&amp;AP15))</f>
        <v>0</v>
      </c>
      <c r="BE15" s="22">
        <f>IF(AQ15="",0,COUNTIF(nEVT_Key,AX15&amp;"|"&amp;AQ15))</f>
        <v>0</v>
      </c>
      <c r="BF15" s="22">
        <f>IF(ISNA(MATCH(E15,nLIST_AnchorType,0)),0,1)</f>
        <v>0</v>
      </c>
      <c r="BG15" s="22">
        <f t="shared" si="23"/>
        <v>0</v>
      </c>
      <c r="BH15" s="22">
        <f t="shared" si="24"/>
        <v>0</v>
      </c>
      <c r="BI15" s="22">
        <f>IF(OR(AW15=1,AK15=""),0,IFERROR(MATCH(AX15&amp;"|"&amp;AK15,nTP_Key,0),0))</f>
        <v>0</v>
      </c>
      <c r="BJ15" s="21">
        <f>IF(BI15=0,0,INDEX(nTP_Dup,BI15))</f>
        <v>0</v>
      </c>
      <c r="BK15" s="21" t="str">
        <f>IF(BI15=0,"",INDEX(nTP_Record_Type,BI15))</f>
        <v/>
      </c>
      <c r="BL15" s="21" t="str">
        <f>IF(BI15=0,"",INDEX(nTP_Precision,BI15))</f>
        <v/>
      </c>
      <c r="BM15" s="21" t="str">
        <f>IF(BI15=0,"",INDEX(nTP_Err,BI15))</f>
        <v/>
      </c>
      <c r="BN15" s="21">
        <f>IF(BI15=0,0,INDEX(nTP_HT,BI15))</f>
        <v>0</v>
      </c>
      <c r="BO15" s="21">
        <f>IF(BI15=0,0,INDEX(nTP_OK,BI15))</f>
        <v>0</v>
      </c>
      <c r="BP15" s="21" t="str">
        <f>IF(BI15=0,"",INDEX(nTP_Loc,BI15))</f>
        <v/>
      </c>
      <c r="BQ15" s="21" t="str">
        <f>IF(BI15=0,"",INDEX(nTP_UTC,BI15))</f>
        <v/>
      </c>
      <c r="BR15" s="21" t="str">
        <f>IF(BI15=0,"",INDEX(nTP_Lo,BI15))</f>
        <v/>
      </c>
      <c r="BS15" s="21" t="str">
        <f>IF(BI15=0,"",INDEX(nTP_Hi,BI15))</f>
        <v/>
      </c>
      <c r="BT15" s="21" t="str">
        <f>IF(BI15=0,"",INDEX(nTP_Original_Text,BI15))</f>
        <v/>
      </c>
      <c r="BU15" s="21" t="str">
        <f>IF(BI15=0,"",INDEX(nTP_Source,BI15))</f>
        <v/>
      </c>
      <c r="BV15" s="21" t="str">
        <f>IF(BI15=0,"",INDEX(nTP_Lab_Note,BI15))</f>
        <v/>
      </c>
      <c r="BW15" s="22">
        <f t="shared" si="25"/>
        <v>0</v>
      </c>
      <c r="BX15" s="21" t="str">
        <f t="shared" si="26"/>
        <v>||</v>
      </c>
      <c r="BY15" s="22">
        <f>IF(BG15=0,0,COUNTIF(nTP_CandKey,BX15))</f>
        <v>0</v>
      </c>
      <c r="BZ15" s="22">
        <f>IF(BG15=0,0,COUNTIFS(nTP_CandKey,BX15,nTP_Err,""))</f>
        <v>0</v>
      </c>
      <c r="CA15" s="21" t="str">
        <f>IF(BY15=BZ15,"",IF(COUNTIFS(nTP_CandKey,BX15,nTP_Err,"E_INVALID_DATE")&gt;0,"; E_INVALID_DATE","")&amp;IF(COUNTIFS(nTP_CandKey,BX15,nTP_Err,"E_REVERSED_BOUNDS")&gt;0,"; E_REVERSED_BOUNDS","")&amp;IF(COUNTIFS(nTP_CandKey,BX15,nTP_Err,"E_MISSING_INPUT")&gt;0,"; E_MISSING_INPUT","")&amp;IF(COUNTIFS(nTP_CandKey,BX15,nTP_Err,"E_INVALID_UNIT")&gt;0,"; E_INVALID_UNIT",""))</f>
        <v/>
      </c>
      <c r="CB15" s="22">
        <f t="shared" si="27"/>
        <v>0</v>
      </c>
      <c r="CC15" s="22">
        <f>IF(CB15=0,0,SUMPRODUCT((nTP_CandKey=BX15)*(nTP_Err="")*(1-(nTP_HT*BN15*((nTP_OK*BO15*(nTP_UTC_n-N(BQ15))+(1-nTP_OK*BO15)*(nTP_Loc_n-N(BP15)))&lt;=0)+(1-nTP_HT*BN15)*(nTP_Hi_n&lt;N(BR15)))-(nTP_HT*BN15*((nTP_OK*BO15*(nTP_UTC_n-N(BQ15))+(1-nTP_OK*BO15)*(nTP_Loc_n-N(BP15)))&gt;0)+(1-nTP_HT*BN15)*(nTP_Lo_n&gt;N(BS15)))-((1-nTP_HT*BN15)*(nTP_Lo_n=nTP_Hi_n)*(nTP_Lo_n=N(BR15))*(N(BR15)=N(BS15))))))</f>
        <v>0</v>
      </c>
      <c r="CD15" s="22">
        <f>IF(CB15=0,0,SUMPRODUCT((nTP_CandKey=BX15)*nTP_Exact*((nTP_HT*BN15*((nTP_OK*BO15*(nTP_UTC_n-N(BQ15))+(1-nTP_OK*BO15)*(nTP_Loc_n-N(BP15)))&lt;=0)+(1-nTP_HT*BN15)*(nTP_Hi_n&lt;N(BR15)))+((1-nTP_HT*BN15)*(nTP_Lo_n=nTP_Hi_n)*(nTP_Lo_n=N(BR15))*(N(BR15)=N(BS15))))))</f>
        <v>0</v>
      </c>
      <c r="CE15" s="22">
        <f>IF(CB15=0,0,SUMPRODUCT((nTP_CandKey=BX15)*(nTP_Err="")*(1-nTP_Exact)*((nTP_HT*BN15*((nTP_OK*BO15*(nTP_UTC_n-N(BQ15))+(1-nTP_OK*BO15)*(nTP_Loc_n-N(BP15)))&lt;=0)+(1-nTP_HT*BN15)*(nTP_Hi_n&lt;N(BR15)))+((1-nTP_HT*BN15)*(nTP_Lo_n=nTP_Hi_n)*(nTP_Lo_n=N(BR15))*(N(BR15)=N(BS15))))))</f>
        <v>0</v>
      </c>
      <c r="CF15" s="22">
        <f>IF(CD15=0,0,SUMPRODUCT(MAX((nTP_CandKey=BX15)*nTP_Exact*((nTP_HT*BN15*((nTP_OK*BO15*(nTP_UTC_n-N(BQ15))+(1-nTP_OK*BO15)*(nTP_Loc_n-N(BP15)))&lt;=0)+(1-nTP_HT*BN15)*(nTP_Hi_n&lt;N(BR15)))+((1-nTP_HT*BN15)*(nTP_Lo_n=nTP_Hi_n)*(nTP_Lo_n=N(BR15))*(N(BR15)=N(BS15))))*nTP_Lo_n)))</f>
        <v>0</v>
      </c>
      <c r="CG15" s="22">
        <f>IF(CD15=0,0,SUMPRODUCT((nTP_CandKey=BX15)*nTP_Exact*((nTP_HT*BN15*((nTP_OK*BO15*(nTP_UTC_n-N(BQ15))+(1-nTP_OK*BO15)*(nTP_Loc_n-N(BP15)))&lt;=0)+(1-nTP_HT*BN15)*(nTP_Hi_n&lt;N(BR15)))+((1-nTP_HT*BN15)*(nTP_Lo_n=nTP_Hi_n)*(nTP_Lo_n=N(BR15))*(N(BR15)=N(BS15))))*(nTP_Lo_n=CF15)))</f>
        <v>0</v>
      </c>
      <c r="CH15" s="22">
        <f>IF(CD15=0,0,SUMPRODUCT((nTP_CandKey=BX15)*nTP_Exact*((nTP_HT*BN15*((nTP_OK*BO15*(nTP_UTC_n-N(BQ15))+(1-nTP_OK*BO15)*(nTP_Loc_n-N(BP15)))&lt;=0)+(1-nTP_HT*BN15)*(nTP_Hi_n&lt;N(BR15)))+((1-nTP_HT*BN15)*(nTP_Lo_n=nTP_Hi_n)*(nTP_Lo_n=N(BR15))*(N(BR15)=N(BS15))))*(1-nTP_HT)*(nTP_Lo_n=CF15)))</f>
        <v>0</v>
      </c>
      <c r="CI15" s="22">
        <f>IF(CD15=0,0,SUMPRODUCT(MAX((nTP_CandKey=BX15)*nTP_Exact*((nTP_HT*BN15*((nTP_OK*BO15*(nTP_UTC_n-N(BQ15))+(1-nTP_OK*BO15)*(nTP_Loc_n-N(BP15)))&lt;=0)+(1-nTP_HT*BN15)*(nTP_Hi_n&lt;N(BR15)))+((1-nTP_HT*BN15)*(nTP_Lo_n=nTP_Hi_n)*(nTP_Lo_n=N(BR15))*(N(BR15)=N(BS15))))*(1-nTP_HT)*nTP_Lo_n)))</f>
        <v>0</v>
      </c>
      <c r="CJ15" s="22">
        <f>IF(CD15=0,0,SUMPRODUCT(MAX((nTP_CandKey=BX15)*nTP_Exact*((nTP_HT*BN15*((nTP_OK*BO15*(nTP_UTC_n-N(BQ15))+(1-nTP_OK*BO15)*(nTP_Loc_n-N(BP15)))&lt;=0)+(1-nTP_HT*BN15)*(nTP_Hi_n&lt;N(BR15)))+((1-nTP_HT*BN15)*(nTP_Lo_n=nTP_Hi_n)*(nTP_Lo_n=N(BR15))*(N(BR15)=N(BS15))))*nTP_HT*nTP_OK*nTP_UTC_n)))</f>
        <v>0</v>
      </c>
      <c r="CK15" s="22">
        <f>IF(CJ15=0,0,SUMPRODUCT((nTP_CandKey=BX15)*nTP_Exact*((nTP_HT*BN15*((nTP_OK*BO15*(nTP_UTC_n-N(BQ15))+(1-nTP_OK*BO15)*(nTP_Loc_n-N(BP15)))&lt;=0)+(1-nTP_HT*BN15)*(nTP_Hi_n&lt;N(BR15)))+((1-nTP_HT*BN15)*(nTP_Lo_n=nTP_Hi_n)*(nTP_Lo_n=N(BR15))*(N(BR15)=N(BS15))))*nTP_HT*nTP_OK*(nTP_UTC_n=CJ15)))</f>
        <v>0</v>
      </c>
      <c r="CL15" s="22">
        <f>IF(CK15&lt;&gt;1,0,SUMPRODUCT((nTP_CandKey=BX15)*nTP_Exact*((nTP_HT*BN15*((nTP_OK*BO15*(nTP_UTC_n-N(BQ15))+(1-nTP_OK*BO15)*(nTP_Loc_n-N(BP15)))&lt;=0)+(1-nTP_HT*BN15)*(nTP_Hi_n&lt;N(BR15)))+((1-nTP_HT*BN15)*(nTP_Lo_n=nTP_Hi_n)*(nTP_Lo_n=N(BR15))*(N(BR15)=N(BS15))))*nTP_HT*nTP_OK*(nTP_UTC_n=CJ15)*nTP_Loc_n))</f>
        <v>0</v>
      </c>
      <c r="CM15" s="22">
        <f>IF(CK15&lt;&gt;1,0,SUMPRODUCT((nTP_CandKey=BX15)*nTP_Exact*((nTP_HT*BN15*((nTP_OK*BO15*(nTP_UTC_n-N(BQ15))+(1-nTP_OK*BO15)*(nTP_Loc_n-N(BP15)))&lt;=0)+(1-nTP_HT*BN15)*(nTP_Hi_n&lt;N(BR15)))+((1-nTP_HT*BN15)*(nTP_Lo_n=nTP_Hi_n)*(nTP_Lo_n=N(BR15))*(N(BR15)=N(BS15))))*nTP_HT*nTP_OK*(nTP_UTC_n=CJ15)*nTP_Lo_n))</f>
        <v>0</v>
      </c>
      <c r="CN15" s="22">
        <f>IF(CD15=0,0,SUMPRODUCT(MAX((nTP_CandKey=BX15)*nTP_Exact*((nTP_HT*BN15*((nTP_OK*BO15*(nTP_UTC_n-N(BQ15))+(1-nTP_OK*BO15)*(nTP_Loc_n-N(BP15)))&lt;=0)+(1-nTP_HT*BN15)*(nTP_Hi_n&lt;N(BR15)))+((1-nTP_HT*BN15)*(nTP_Lo_n=nTP_Hi_n)*(nTP_Lo_n=N(BR15))*(N(BR15)=N(BS15))))*nTP_HT*(1-nTP_OK)*nTP_Loc_n)))</f>
        <v>0</v>
      </c>
      <c r="CO15" s="22">
        <f>IF(CN15=0,0,SUMPRODUCT((nTP_CandKey=BX15)*nTP_Exact*((nTP_HT*BN15*((nTP_OK*BO15*(nTP_UTC_n-N(BQ15))+(1-nTP_OK*BO15)*(nTP_Loc_n-N(BP15)))&lt;=0)+(1-nTP_HT*BN15)*(nTP_Hi_n&lt;N(BR15)))+((1-nTP_HT*BN15)*(nTP_Lo_n=nTP_Hi_n)*(nTP_Lo_n=N(BR15))*(N(BR15)=N(BS15))))*nTP_HT*(1-nTP_OK)*(nTP_Loc_n=CN15)))</f>
        <v>0</v>
      </c>
      <c r="CP15" s="22">
        <f>IF(CO15&lt;&gt;1,0,SUMPRODUCT((nTP_CandKey=BX15)*nTP_Exact*((nTP_HT*BN15*((nTP_OK*BO15*(nTP_UTC_n-N(BQ15))+(1-nTP_OK*BO15)*(nTP_Loc_n-N(BP15)))&lt;=0)+(1-nTP_HT*BN15)*(nTP_Hi_n&lt;N(BR15)))+((1-nTP_HT*BN15)*(nTP_Lo_n=nTP_Hi_n)*(nTP_Lo_n=N(BR15))*(N(BR15)=N(BS15))))*nTP_HT*(1-nTP_OK)*(nTP_Loc_n=CN15)*nTP_Lo_n))</f>
        <v>0</v>
      </c>
      <c r="CQ15" s="22">
        <f>IF(CD15=0,0,SUMPRODUCT(MAX((nTP_CandKey=BX15)*nTP_Exact*((nTP_HT*BN15*((nTP_OK*BO15*(nTP_UTC_n-N(BQ15))+(1-nTP_OK*BO15)*(nTP_Loc_n-N(BP15)))&lt;=0)+(1-nTP_HT*BN15)*(nTP_Hi_n&lt;N(BR15)))+((1-nTP_HT*BN15)*(nTP_Lo_n=nTP_Hi_n)*(nTP_Lo_n=N(BR15))*(N(BR15)=N(BS15))))*nTP_HT*nTP_OK*nTP_Loc_n)))</f>
        <v>0</v>
      </c>
      <c r="CR15" s="22">
        <f t="shared" si="28"/>
        <v>0</v>
      </c>
      <c r="CS15" s="22">
        <f>IF(CR15=0,0,IF(CR15=1,MATCH(1,INDEX((nTP_CandKey=BX15)*nTP_Exact*((nTP_HT*BN15*((nTP_OK*BO15*(nTP_UTC_n-N(BQ15))+(1-nTP_OK*BO15)*(nTP_Loc_n-N(BP15)))&lt;=0)+(1-nTP_HT*BN15)*(nTP_Hi_n&lt;N(BR15)))+((1-nTP_HT*BN15)*(nTP_Lo_n=nTP_Hi_n)*(nTP_Lo_n=N(BR15))*(N(BR15)=N(BS15))))*(1-nTP_HT)*(nTP_Lo_n=CF15),0),0),IF(CR15=2,MATCH(1,INDEX((nTP_CandKey=BX15)*nTP_Exact*((nTP_HT*BN15*((nTP_OK*BO15*(nTP_UTC_n-N(BQ15))+(1-nTP_OK*BO15)*(nTP_Loc_n-N(BP15)))&lt;=0)+(1-nTP_HT*BN15)*(nTP_Hi_n&lt;N(BR15)))+((1-nTP_HT*BN15)*(nTP_Lo_n=nTP_Hi_n)*(nTP_Lo_n=N(BR15))*(N(BR15)=N(BS15))))*nTP_HT*nTP_OK*(nTP_UTC_n=CJ15),0),0),MATCH(1,INDEX((nTP_CandKey=BX15)*nTP_Exact*((nTP_HT*BN15*((nTP_OK*BO15*(nTP_UTC_n-N(BQ15))+(1-nTP_OK*BO15)*(nTP_Loc_n-N(BP15)))&lt;=0)+(1-nTP_HT*BN15)*(nTP_Hi_n&lt;N(BR15)))+((1-nTP_HT*BN15)*(nTP_Lo_n=nTP_Hi_n)*(nTP_Lo_n=N(BR15))*(N(BR15)=N(BS15))))*nTP_HT*(1-nTP_OK)*(nTP_Loc_n=CN15),0),0))))</f>
        <v>0</v>
      </c>
      <c r="CT15" s="22">
        <f>IF(CS15=0,0,INDEX(nTP_Lo_n,CS15))</f>
        <v>0</v>
      </c>
      <c r="CU15" s="22">
        <f>IF(CS15=0,0,SUMPRODUCT((nTP_CandKey=BX15)*(nTP_Err="")*(1-nTP_Exact)*((nTP_HT*BN15*((nTP_OK*BO15*(nTP_UTC_n-N(BQ15))+(1-nTP_OK*BO15)*(nTP_Loc_n-N(BP15)))&lt;=0)+(1-nTP_HT*BN15)*(nTP_Hi_n&lt;N(BR15)))+((1-nTP_HT*BN15)*(nTP_Lo_n=nTP_Hi_n)*(nTP_Lo_n=N(BR15))*(N(BR15)=N(BS15))))*(nTP_Hi_n&gt;=CT15)))</f>
        <v>0</v>
      </c>
      <c r="CV15" s="21" t="str">
        <f t="shared" si="29"/>
        <v/>
      </c>
      <c r="CW15" s="21" t="str">
        <f>IF(AND(BG15=1,CB15=1,CV15="",CS15&gt;0),INDEX(nTP_Record_ID,CS15)&amp;"","")</f>
        <v/>
      </c>
      <c r="CX15" s="21" t="str">
        <f>IF(OR(CV15="",BG15=0),"",IF(CV15="none","an administration record (last dose before onset)",IF(CV15="uncertain","the anchor record: "&amp;INDEX(nTP_Record_ID,MATCH(1,INDEX((nTP_CandKey=BX15)*(nTP_Err="")*(1-(nTP_HT*BN15*((nTP_OK*BO15*(nTP_UTC_n-N(BQ15))+(1-nTP_OK*BO15)*(nTP_Loc_n-N(BP15)))&lt;=0)+(1-nTP_HT*BN15)*(nTP_Hi_n&lt;N(BR15)))-(nTP_HT*BN15*((nTP_OK*BO15*(nTP_UTC_n-N(BQ15))+(1-nTP_OK*BO15)*(nTP_Loc_n-N(BP15)))&gt;0)+(1-nTP_HT*BN15)*(nTP_Lo_n&gt;N(BS15)))-((1-nTP_HT*BN15)*(nTP_Lo_n=nTP_Hi_n)*(nTP_Lo_n=N(BR15))*(N(BR15)=N(BS15)))),0),0))&amp;IF(CC15&gt;1," and "&amp;(CC15-1)&amp;" more","")&amp;" may fall before or after the end point, so the last dose cannot be identified from the recorded dates",IF(CV15="noneligible","the anchor record: no administration with an exact date is recorded at or before the end point",IF(CV15="tie","the anchor record: the order of the latest administrations cannot be told from the recorded dates and times","the anchor record: partial-date administration "&amp;INDEX(nTP_Record_ID,MATCH(1,INDEX((nTP_CandKey=BX15)*(nTP_Err="")*(1-nTP_Exact)*((nTP_HT*BN15*((nTP_OK*BO15*(nTP_UTC_n-N(BQ15))+(1-nTP_OK*BO15)*(nTP_Loc_n-N(BP15)))&lt;=0)+(1-nTP_HT*BN15)*(nTP_Hi_n&lt;N(BR15)))+((1-nTP_HT*BN15)*(nTP_Lo_n=nTP_Hi_n)*(nTP_Lo_n=N(BR15))*(N(BR15)=N(BS15))))*(nTP_Hi_n&gt;=CT15),0),0))&amp;" could be the last dose before the end point")))))</f>
        <v/>
      </c>
      <c r="CY15" s="22">
        <f>IF(OR(AW15=1,AJ15=""),0,IFERROR(MATCH(AX15&amp;"|"&amp;AJ15,nTP_Key,0),0))</f>
        <v>0</v>
      </c>
      <c r="CZ15" s="21">
        <f>IF(CY15=0,0,INDEX(nTP_Dup,CY15))</f>
        <v>0</v>
      </c>
      <c r="DA15" s="21" t="str">
        <f>IF(CY15=0,"",INDEX(nTP_Record_Type,CY15))</f>
        <v/>
      </c>
      <c r="DB15" s="21" t="str">
        <f>IF(CY15=0,"",INDEX(nTP_Precision,CY15))</f>
        <v/>
      </c>
      <c r="DC15" s="21" t="str">
        <f>IF(CY15=0,"",INDEX(nTP_Err,CY15))</f>
        <v/>
      </c>
      <c r="DD15" s="21">
        <f>IF(CY15=0,0,INDEX(nTP_HT,CY15))</f>
        <v>0</v>
      </c>
      <c r="DE15" s="21">
        <f>IF(CY15=0,0,INDEX(nTP_OK,CY15))</f>
        <v>0</v>
      </c>
      <c r="DF15" s="21" t="str">
        <f>IF(CY15=0,"",INDEX(nTP_Loc,CY15))</f>
        <v/>
      </c>
      <c r="DG15" s="21" t="str">
        <f>IF(CY15=0,"",INDEX(nTP_UTC,CY15))</f>
        <v/>
      </c>
      <c r="DH15" s="21" t="str">
        <f>IF(CY15=0,"",INDEX(nTP_Lo,CY15))</f>
        <v/>
      </c>
      <c r="DI15" s="21" t="str">
        <f>IF(CY15=0,"",INDEX(nTP_Hi,CY15))</f>
        <v/>
      </c>
      <c r="DJ15" s="21" t="str">
        <f>IF(CY15=0,"",INDEX(nTP_Original_Text,CY15))</f>
        <v/>
      </c>
      <c r="DK15" s="21" t="str">
        <f>IF(CY15=0,"",INDEX(nTP_Source,CY15))</f>
        <v/>
      </c>
      <c r="DL15" s="22">
        <f t="shared" si="30"/>
        <v>0</v>
      </c>
      <c r="DM15" s="21" t="str">
        <f t="shared" si="31"/>
        <v/>
      </c>
      <c r="DN15" s="21" t="str">
        <f t="shared" si="32"/>
        <v/>
      </c>
      <c r="DO15" s="21" t="str">
        <f t="shared" si="33"/>
        <v/>
      </c>
      <c r="DP15" s="21" t="str">
        <f t="shared" si="34"/>
        <v/>
      </c>
      <c r="DQ15" s="21" t="str">
        <f t="shared" si="35"/>
        <v/>
      </c>
      <c r="DR15" s="22">
        <f>IF(OR(DQ15="",I15=""),0,IF(ISNA(MATCH(I15,nLIST_Mode,0)),1,IF(AND(I15="C1",DQ15&lt;&gt;"C1"),1,IF(AND(I15="C2",DQ15="C4"),1,0))))</f>
        <v>0</v>
      </c>
      <c r="DS15" s="21" t="str">
        <f t="shared" si="36"/>
        <v/>
      </c>
      <c r="DT15" s="22">
        <f t="shared" si="37"/>
        <v>0</v>
      </c>
      <c r="DU15" s="21" t="str">
        <f>IF(DT15=0,"",IF(COUNTIFS(nTP_Case_Key,AX15,nTP_Record_Type,"MILESTONE:INTERVENTION",nTP_Err,"E_INVALID_DATE")&gt;0,"; E_INVALID_DATE","")&amp;IF(COUNTIFS(nTP_Case_Key,AX15,nTP_Record_Type,"MILESTONE:INTERVENTION",nTP_Err,"E_REVERSED_BOUNDS")&gt;0,"; E_REVERSED_BOUNDS","")&amp;IF(COUNTIFS(nTP_Case_Key,AX15,nTP_Record_Type,"MILESTONE:INTERVENTION",nTP_Err,"E_MISSING_INPUT")&gt;0,"; E_MISSING_INPUT","")&amp;IF(COUNTIFS(nTP_Case_Key,AX15,nTP_Record_Type,"MILESTONE:INTERVENTION",nTP_Err,"E_INVALID_UNIT")&gt;0,"; E_INVALID_UNIT",""))</f>
        <v/>
      </c>
      <c r="DV15" s="22">
        <f>IF(DT15=0,0,SUMPRODUCT((nMS_CaseKey=AX15)*(nMS_Type="INTERVENTION")*nMS_Undated))</f>
        <v>0</v>
      </c>
      <c r="DW15" s="21" t="str">
        <f t="shared" si="38"/>
        <v/>
      </c>
      <c r="DX15" s="21" t="str">
        <f t="shared" si="39"/>
        <v/>
      </c>
      <c r="DY15" s="22">
        <f t="shared" si="40"/>
        <v>1</v>
      </c>
      <c r="DZ15" s="21" t="str">
        <f t="shared" si="41"/>
        <v/>
      </c>
      <c r="EA15" s="21" t="str">
        <f t="shared" si="42"/>
        <v/>
      </c>
      <c r="EB15" s="21" t="str">
        <f t="shared" si="43"/>
        <v/>
      </c>
      <c r="EC15" s="21" t="str">
        <f t="shared" si="44"/>
        <v/>
      </c>
      <c r="ED15" s="22">
        <f t="shared" si="45"/>
        <v>0</v>
      </c>
      <c r="EE15" s="22">
        <f t="shared" si="46"/>
        <v>0</v>
      </c>
      <c r="EF15" s="21" t="str">
        <f>IF(ED15=0,"",IF(OR(NOT(ISNUMBER(L15)),NOT(ISNUMBER(M15))),"I_APPROXIMATE_NOT_COMPARED",IF(AND(N15&lt;&gt;"",ISNA(MATCH(N15,nLIST_ReportedUnit,0))),"E_INVALID_UNIT",IF(N15="","E_MISSING_INPUT",IF(L15&gt;M15,"E_REVERSED_BOUNDS",IF(OR(N15="weeks",N15="months",N15="years"),"I_APPROXIMATE_NOT_COMPARED",IF(DX15&lt;&gt;"","",IF(EE15=0,"I_APPROXIMATE_NOT_COMPARED",IF(AND(L15*EE15&lt;=IF(DS15="C4",EC15,IF(DS15="C1",DZ15,EA15)),M15*EE15&gt;=IF(DS15="C4",EB15,IF(DS15="C1",DZ15,EA15))),"OVERLAP","W_REPORTED_TIMING_CONFLICT")))))))))</f>
        <v/>
      </c>
      <c r="EG15" s="21" t="str">
        <f t="shared" si="47"/>
        <v/>
      </c>
      <c r="EH15" s="21" t="str">
        <f t="shared" si="48"/>
        <v/>
      </c>
      <c r="EI15" s="22">
        <f t="shared" si="49"/>
        <v>0</v>
      </c>
      <c r="EJ15" s="22">
        <f t="shared" si="50"/>
        <v>0</v>
      </c>
      <c r="EK15" s="22">
        <f t="shared" si="51"/>
        <v>0</v>
      </c>
      <c r="EL15" s="28" t="str">
        <f t="shared" si="52"/>
        <v/>
      </c>
      <c r="EM15" s="28" t="str">
        <f t="shared" si="53"/>
        <v/>
      </c>
      <c r="EN15" s="21" t="str">
        <f t="shared" si="54"/>
        <v/>
      </c>
      <c r="EO15" s="22">
        <f>IF(OR(DT15=0,DX15&lt;&gt;""),0,SUMPRODUCT((nTP_Case_Key=AX15)*(nTP_Record_Type="MILESTONE:INTERVENTION")*(nTP_Err="")*(nTP_HT*DD15*BN15*(nTP_OK*DE15*(nTP_UTC_n&gt;=N(DG15))+(1-nTP_OK*DE15)*(nTP_Loc_n&gt;=N(DF15)))*(nTP_OK*BO15*(nTP_UTC_n&lt;=N(BQ15))+(1-nTP_OK*BO15)*(nTP_Loc_n&lt;=N(BP15)))+(1-nTP_HT*DD15*BN15)*(nTP_Hi_n&gt;=N(DH15))*(nTP_Lo_n&lt;=N(BS15)))))</f>
        <v>0</v>
      </c>
      <c r="EP15" s="22">
        <f>IF(OR(DT15=0,DX15&lt;&gt;""),0,SUMPRODUCT((nTP_Case_Key=AX15)*(nTP_Role="treatment of the event")*((nTP_Record_Type="EXPOSURE_START")+(nTP_Record_Type="ADMINISTRATION"))*(nTP_Err="")*(nTP_HT*DD15*BN15*(nTP_OK*DE15*(nTP_UTC_n&gt;=N(DG15))+(1-nTP_OK*DE15)*(nTP_Loc_n&gt;=N(DF15)))*(nTP_OK*BO15*(nTP_UTC_n&lt;=N(BQ15))+(1-nTP_OK*BO15)*(nTP_Loc_n&lt;=N(BP15)))+(1-nTP_HT*DD15*BN15)*(nTP_Hi_n&gt;=N(DH15))*(nTP_Lo_n&lt;=N(BS15)))))</f>
        <v>0</v>
      </c>
      <c r="EQ15" s="22">
        <f>IF(EO15&lt;1,0,IFERROR(_xlfn.AGGREGATE(15,6,nTP_RowN/((nTP_Case_Key=AX15)*(nTP_Record_Type="MILESTONE:INTERVENTION")*(nTP_Err="")*(nTP_HT*DD15*BN15*(nTP_OK*DE15*(nTP_UTC_n&gt;=N(DG15))+(1-nTP_OK*DE15)*(nTP_Loc_n&gt;=N(DF15)))*(nTP_OK*BO15*(nTP_UTC_n&lt;=N(BQ15))+(1-nTP_OK*BO15)*(nTP_Loc_n&lt;=N(BP15)))+(1-nTP_HT*DD15*BN15)*(nTP_Hi_n&gt;=N(DH15))*(nTP_Lo_n&lt;=N(BS15)))),1),0))</f>
        <v>0</v>
      </c>
      <c r="ER15" s="22">
        <f>IF(EO15&lt;2,0,IFERROR(_xlfn.AGGREGATE(15,6,nTP_RowN/((nTP_Case_Key=AX15)*(nTP_Record_Type="MILESTONE:INTERVENTION")*(nTP_Err="")*(nTP_HT*DD15*BN15*(nTP_OK*DE15*(nTP_UTC_n&gt;=N(DG15))+(1-nTP_OK*DE15)*(nTP_Loc_n&gt;=N(DF15)))*(nTP_OK*BO15*(nTP_UTC_n&lt;=N(BQ15))+(1-nTP_OK*BO15)*(nTP_Loc_n&lt;=N(BP15)))+(1-nTP_HT*DD15*BN15)*(nTP_Hi_n&gt;=N(DH15))*(nTP_Lo_n&lt;=N(BS15)))),2),0))</f>
        <v>0</v>
      </c>
      <c r="ES15" s="22">
        <f>IF(EO15&lt;3,0,IFERROR(_xlfn.AGGREGATE(15,6,nTP_RowN/((nTP_Case_Key=AX15)*(nTP_Record_Type="MILESTONE:INTERVENTION")*(nTP_Err="")*(nTP_HT*DD15*BN15*(nTP_OK*DE15*(nTP_UTC_n&gt;=N(DG15))+(1-nTP_OK*DE15)*(nTP_Loc_n&gt;=N(DF15)))*(nTP_OK*BO15*(nTP_UTC_n&lt;=N(BQ15))+(1-nTP_OK*BO15)*(nTP_Loc_n&lt;=N(BP15)))+(1-nTP_HT*DD15*BN15)*(nTP_Hi_n&gt;=N(DH15))*(nTP_Lo_n&lt;=N(BS15)))),3),0))</f>
        <v>0</v>
      </c>
      <c r="ET15" s="22">
        <f>IF(EP15&lt;1,0,IFERROR(_xlfn.AGGREGATE(15,6,nTP_RowN/((nTP_Case_Key=AX15)*(nTP_Role="treatment of the event")*((nTP_Record_Type="EXPOSURE_START")+(nTP_Record_Type="ADMINISTRATION"))*(nTP_Err="")*(nTP_HT*DD15*BN15*(nTP_OK*DE15*(nTP_UTC_n&gt;=N(DG15))+(1-nTP_OK*DE15)*(nTP_Loc_n&gt;=N(DF15)))*(nTP_OK*BO15*(nTP_UTC_n&lt;=N(BQ15))+(1-nTP_OK*BO15)*(nTP_Loc_n&lt;=N(BP15)))+(1-nTP_HT*DD15*BN15)*(nTP_Hi_n&gt;=N(DH15))*(nTP_Lo_n&lt;=N(BS15)))),1),0))</f>
        <v>0</v>
      </c>
      <c r="EU15" s="22">
        <f>IF(EP15&lt;2,0,IFERROR(_xlfn.AGGREGATE(15,6,nTP_RowN/((nTP_Case_Key=AX15)*(nTP_Role="treatment of the event")*((nTP_Record_Type="EXPOSURE_START")+(nTP_Record_Type="ADMINISTRATION"))*(nTP_Err="")*(nTP_HT*DD15*BN15*(nTP_OK*DE15*(nTP_UTC_n&gt;=N(DG15))+(1-nTP_OK*DE15)*(nTP_Loc_n&gt;=N(DF15)))*(nTP_OK*BO15*(nTP_UTC_n&lt;=N(BQ15))+(1-nTP_OK*BO15)*(nTP_Loc_n&lt;=N(BP15)))+(1-nTP_HT*DD15*BN15)*(nTP_Hi_n&gt;=N(DH15))*(nTP_Lo_n&lt;=N(BS15)))),2),0))</f>
        <v>0</v>
      </c>
      <c r="EV15" s="22">
        <f>IF(EP15&lt;3,0,IFERROR(_xlfn.AGGREGATE(15,6,nTP_RowN/((nTP_Case_Key=AX15)*(nTP_Role="treatment of the event")*((nTP_Record_Type="EXPOSURE_START")+(nTP_Record_Type="ADMINISTRATION"))*(nTP_Err="")*(nTP_HT*DD15*BN15*(nTP_OK*DE15*(nTP_UTC_n&gt;=N(DG15))+(1-nTP_OK*DE15)*(nTP_Loc_n&gt;=N(DF15)))*(nTP_OK*BO15*(nTP_UTC_n&lt;=N(BQ15))+(1-nTP_OK*BO15)*(nTP_Loc_n&lt;=N(BP15)))+(1-nTP_HT*DD15*BN15)*(nTP_Hi_n&gt;=N(DH15))*(nTP_Lo_n&lt;=N(BS15)))),3),0))</f>
        <v>0</v>
      </c>
      <c r="EW15" s="22">
        <f>IF(CE15&lt;1,0,IFERROR(_xlfn.AGGREGATE(15,6,nTP_RowN/((nTP_CandKey=BX15)*(nTP_Err="")*(1-nTP_Exact)*((nTP_HT*BN15*((nTP_OK*BO15*(nTP_UTC_n-N(BQ15))+(1-nTP_OK*BO15)*(nTP_Loc_n-N(BP15)))&lt;=0)+(1-nTP_HT*BN15)*(nTP_Hi_n&lt;N(BR15)))+((1-nTP_HT*BN15)*(nTP_Lo_n=nTP_Hi_n)*(nTP_Lo_n=N(BR15))*(N(BR15)=N(BS15))))),1),0))</f>
        <v>0</v>
      </c>
      <c r="EX15" s="22">
        <f>IF(CE15&lt;2,0,IFERROR(_xlfn.AGGREGATE(15,6,nTP_RowN/((nTP_CandKey=BX15)*(nTP_Err="")*(1-nTP_Exact)*((nTP_HT*BN15*((nTP_OK*BO15*(nTP_UTC_n-N(BQ15))+(1-nTP_OK*BO15)*(nTP_Loc_n-N(BP15)))&lt;=0)+(1-nTP_HT*BN15)*(nTP_Hi_n&lt;N(BR15)))+((1-nTP_HT*BN15)*(nTP_Lo_n=nTP_Hi_n)*(nTP_Lo_n=N(BR15))*(N(BR15)=N(BS15))))),2),0))</f>
        <v>0</v>
      </c>
      <c r="EY15" s="22">
        <f>IF(CE15&lt;3,0,IFERROR(_xlfn.AGGREGATE(15,6,nTP_RowN/((nTP_CandKey=BX15)*(nTP_Err="")*(1-nTP_Exact)*((nTP_HT*BN15*((nTP_OK*BO15*(nTP_UTC_n-N(BQ15))+(1-nTP_OK*BO15)*(nTP_Loc_n-N(BP15)))&lt;=0)+(1-nTP_HT*BN15)*(nTP_Hi_n&lt;N(BR15)))+((1-nTP_HT*BN15)*(nTP_Lo_n=nTP_Hi_n)*(nTP_Lo_n=N(BR15))*(N(BR15)=N(BS15))))),3),0))</f>
        <v>0</v>
      </c>
      <c r="EZ15" s="21" t="str">
        <f>IF(EO15=0,"",MID(IF(EQ15&gt;0,"; "&amp;INDEX(nTP_Record_ID,EQ15)&amp;IF(INDEX(nTP_Label,EQ15)="",""," ("&amp;INDEX(nTP_Label,EQ15)&amp;")"),"")&amp;IF(ER15&gt;0,"; "&amp;INDEX(nTP_Record_ID,ER15)&amp;IF(INDEX(nTP_Label,ER15)="",""," ("&amp;INDEX(nTP_Label,ER15)&amp;")"),"")&amp;IF(ES15&gt;0,"; "&amp;INDEX(nTP_Record_ID,ES15)&amp;IF(INDEX(nTP_Label,ES15)="",""," ("&amp;INDEX(nTP_Label,ES15)&amp;")"),"")&amp;IF(EO15&gt;3,"; and "&amp;(EO15-3)&amp;" more",""),3,999))</f>
        <v/>
      </c>
      <c r="FA15" s="21" t="str">
        <f>IF(EO15=0,"",MID(IF(EQ15&gt;0,"; "&amp;INDEX(nTP_Record_ID,EQ15),"")&amp;IF(ER15&gt;0,"; "&amp;INDEX(nTP_Record_ID,ER15),"")&amp;IF(ES15&gt;0,"; "&amp;INDEX(nTP_Record_ID,ES15),"")&amp;IF(EO15&gt;3,"; and "&amp;(EO15-3)&amp;" more",""),3,999))</f>
        <v/>
      </c>
      <c r="FB15" s="21" t="str">
        <f>IF(EP15=0,"",MID(IF(ET15&gt;0,"; "&amp;INDEX(nTP_Record_ID,ET15)&amp;IF(INDEX(nTP_Label,ET15)="",""," ("&amp;INDEX(nTP_Label,ET15)&amp;")"),"")&amp;IF(EU15&gt;0,"; "&amp;INDEX(nTP_Record_ID,EU15)&amp;IF(INDEX(nTP_Label,EU15)="",""," ("&amp;INDEX(nTP_Label,EU15)&amp;")"),"")&amp;IF(EV15&gt;0,"; "&amp;INDEX(nTP_Record_ID,EV15)&amp;IF(INDEX(nTP_Label,EV15)="",""," ("&amp;INDEX(nTP_Label,EV15)&amp;")"),"")&amp;IF(EP15&gt;3,"; and "&amp;(EP15-3)&amp;" more",""),3,999))</f>
        <v/>
      </c>
      <c r="FC15" s="21" t="str">
        <f>IF(CE15=0,"",MID(IF(EW15&gt;0,"; "&amp;INDEX(nTP_Record_ID,EW15),"")&amp;IF(EX15&gt;0,"; "&amp;INDEX(nTP_Record_ID,EX15),"")&amp;IF(EY15&gt;0,"; "&amp;INDEX(nTP_Record_ID,EY15),"")&amp;IF(CE15&gt;3,"; and "&amp;(CE15-3)&amp;" more",""),3,999))</f>
        <v/>
      </c>
      <c r="FD15" s="22">
        <f t="shared" si="55"/>
        <v>0</v>
      </c>
      <c r="FE15" s="22">
        <f t="shared" si="56"/>
        <v>0</v>
      </c>
      <c r="FF15" s="22">
        <f t="shared" si="57"/>
        <v>0</v>
      </c>
      <c r="FG15" s="22">
        <f t="shared" si="58"/>
        <v>0</v>
      </c>
      <c r="FH15" s="22">
        <f t="shared" si="59"/>
        <v>0</v>
      </c>
      <c r="FI15" s="22">
        <f t="shared" si="60"/>
        <v>0</v>
      </c>
      <c r="FJ15" s="22">
        <f t="shared" si="61"/>
        <v>0</v>
      </c>
      <c r="FK15" s="22">
        <f t="shared" si="62"/>
        <v>0</v>
      </c>
    </row>
    <row r="16" spans="1:167" x14ac:dyDescent="0.2">
      <c r="A16" s="10"/>
      <c r="B16" s="10"/>
      <c r="C16" s="12"/>
      <c r="D16" s="10"/>
      <c r="E16" s="17"/>
      <c r="F16" s="10"/>
      <c r="G16" s="10"/>
      <c r="H16" s="10"/>
      <c r="I16" s="17"/>
      <c r="J16" s="17"/>
      <c r="K16" s="10"/>
      <c r="L16" s="17"/>
      <c r="M16" s="17"/>
      <c r="N16" s="17"/>
      <c r="O16" s="10"/>
      <c r="P16" s="15"/>
      <c r="Q16" s="15"/>
      <c r="R16" s="10"/>
      <c r="S16" s="10"/>
      <c r="T16" s="21" t="str">
        <f t="shared" si="0"/>
        <v/>
      </c>
      <c r="U16" s="21" t="str">
        <f t="shared" si="1"/>
        <v/>
      </c>
      <c r="V16" s="21" t="str">
        <f t="shared" si="2"/>
        <v/>
      </c>
      <c r="W16" s="21" t="str">
        <f t="shared" si="3"/>
        <v/>
      </c>
      <c r="X16" s="21" t="str">
        <f t="shared" si="4"/>
        <v/>
      </c>
      <c r="Y16" s="21" t="str">
        <f t="shared" si="5"/>
        <v/>
      </c>
      <c r="Z16" s="21" t="str">
        <f t="shared" si="6"/>
        <v/>
      </c>
      <c r="AA16" s="21" t="str">
        <f t="shared" si="7"/>
        <v/>
      </c>
      <c r="AB16" s="21" t="str">
        <f t="shared" si="8"/>
        <v/>
      </c>
      <c r="AC16" s="21" t="str">
        <f t="shared" si="9"/>
        <v/>
      </c>
      <c r="AD16" s="21" t="str">
        <f>IF(AW16=1,"",MID(IF(ISNUMBER(SEARCH("E_INVALID_DATE",EG16))," | E_INVALID_DATE: "&amp;SUBSTITUTE(IFERROR(INDEX(nMSG_Text,MATCH("E_INVALID_DATE",nMSG_Code,0)),""),"[input]",""),"")&amp;IF(ISNUMBER(SEARCH("E_REVERSED_BOUNDS",EG16))," | E_REVERSED_BOUNDS: "&amp;SUBSTITUTE(IFERROR(INDEX(nMSG_Text,MATCH("E_REVERSED_BOUNDS",nMSG_Code,0)),""),"[input]",""),"")&amp;IF(ISNUMBER(SEARCH("E_DUPLICATE_ID",EG16))," | E_DUPLICATE_ID: "&amp;SUBSTITUTE(IFERROR(INDEX(nMSG_Text,MATCH("E_DUPLICATE_ID",nMSG_Code,0)),""),"[input]",""),"")&amp;IF(ISNUMBER(SEARCH("E_MISSING_LINK",EG16))," | E_MISSING_LINK: "&amp;SUBSTITUTE(IFERROR(INDEX(nMSG_Text,MATCH("E_MISSING_LINK",nMSG_Code,0)),""),"[input]",""),"")&amp;IF(ISNUMBER(SEARCH("E_MISSING_INPUT",EG16))," | E_MISSING_INPUT: "&amp;SUBSTITUTE(IFERROR(INDEX(nMSG_Text,MATCH("E_MISSING_INPUT",nMSG_Code,0)),""),"[input]",IF(EH16="","an input",EH16)),"")&amp;IF(ISNUMBER(SEARCH("E_INVALID_UNIT",EG16))," | E_INVALID_UNIT: "&amp;SUBSTITUTE(IFERROR(INDEX(nMSG_Text,MATCH("E_INVALID_UNIT",nMSG_Code,0)),""),"[input]",""),"")&amp;IF(FD16=1," | W_TZ_UNKNOWN: "&amp;SUBSTITUTE(IFERROR(INDEX(nMSG_Text,MATCH("W_TZ_UNKNOWN",nMSG_Code,0)),""),"[input]",""),"")&amp;IF(FE16=1," | W_SAME_DATE_ORDER_UNKNOWN: "&amp;SUBSTITUTE(IFERROR(INDEX(nMSG_Text,MATCH("W_SAME_DATE_ORDER_UNKNOWN",nMSG_Code,0)),""),"[input]",""),"")&amp;IF(FF16=1," | W_SEQUENCE_UNCERTAIN: "&amp;SUBSTITUTE(IFERROR(INDEX(nMSG_Text,MATCH("W_SEQUENCE_UNCERTAIN",nMSG_Code,0)),""),"[input]",""),"")&amp;IF(FG16=1," | W_ADMIN_SAME_DATE_AS_ONSET: "&amp;SUBSTITUTE(IFERROR(INDEX(nMSG_Text,MATCH("W_ADMIN_SAME_DATE_AS_ONSET",nMSG_Code,0)),""),"[input]",""),"")&amp;IF(FH16=1," | W_REPORTED_TIMING_CONFLICT: "&amp;SUBSTITUTE(IFERROR(INDEX(nMSG_Text,MATCH("W_REPORTED_TIMING_CONFLICT",nMSG_Code,0)),""),"[input]",""),"")&amp;IF(FI16=1," | W_INTERVENTION_BEFORE_RECOVERY: "&amp;SUBSTITUTE(IFERROR(INDEX(nMSG_Text,MATCH("W_INTERVENTION_BEFORE_RECOVERY",nMSG_Code,0)),""),"[input]",""),"")&amp;IF(FJ16=1," | I_TREATMENT_DAY_UNDEFINED: "&amp;SUBSTITUTE(IFERROR(INDEX(nMSG_Text,MATCH("I_TREATMENT_DAY_UNDEFINED",nMSG_Code,0)),""),"[input]",""),"")&amp;IF(FK16=1," | I_APPROXIMATE_NOT_COMPARED: "&amp;SUBSTITUTE(IFERROR(INDEX(nMSG_Text,MATCH("I_APPROXIMATE_NOT_COMPARED",nMSG_Code,0)),""),"[input]",""),""),4,9999))</f>
        <v/>
      </c>
      <c r="AE16" s="21" t="str">
        <f t="shared" si="10"/>
        <v/>
      </c>
      <c r="AF16" s="21" t="str">
        <f t="shared" si="11"/>
        <v/>
      </c>
      <c r="AG16" s="21" t="str">
        <f>IF(EN16="","",MID(IF(ISNUMBER(SEARCH("E_REVERSED_BOUNDS",EN16))," | E_REVERSED_BOUNDS: "&amp;SUBSTITUTE(IFERROR(INDEX(nMSG_Text,MATCH("E_REVERSED_BOUNDS",nMSG_Code,0)),""),"[input]",""),"")&amp;IF(ISNUMBER(SEARCH("E_MISSING_INPUT",EN16))," | E_MISSING_INPUT: "&amp;SUBSTITUTE(IFERROR(INDEX(nMSG_Text,MATCH("E_MISSING_INPUT",nMSG_Code,0)),""),"[input]",IF("the source of the constraint"="","an input","the source of the constraint")),""),4,999))</f>
        <v/>
      </c>
      <c r="AH16" s="21" t="str">
        <f t="shared" si="12"/>
        <v/>
      </c>
      <c r="AI16" s="21" t="str">
        <f t="shared" si="13"/>
        <v/>
      </c>
      <c r="AJ16" s="21" t="str">
        <f t="shared" si="14"/>
        <v/>
      </c>
      <c r="AK16" s="21" t="str">
        <f t="shared" si="15"/>
        <v/>
      </c>
      <c r="AL16" s="21" t="str">
        <f>IF(CY16=0,"",INDEX(nTP_ISO,CY16))</f>
        <v/>
      </c>
      <c r="AM16" s="21" t="str">
        <f>IF(CY16=0,"",INDEX(nTP_Display,CY16))</f>
        <v/>
      </c>
      <c r="AN16" s="21" t="str">
        <f>IF(BI16=0,"",INDEX(nTP_ISO,BI16))</f>
        <v/>
      </c>
      <c r="AO16" s="21" t="str">
        <f>IF(BI16=0,"",INDEX(nTP_Display,BI16))</f>
        <v/>
      </c>
      <c r="AP16" s="21" t="str">
        <f>IF(BA16=0,"",INDEX(nLNK_Exposure_Episode_ID,BA16)&amp;"")</f>
        <v/>
      </c>
      <c r="AQ16" s="21" t="str">
        <f>IF(BA16=0,"",INDEX(nLNK_Event_Episode_ID,BA16)&amp;"")</f>
        <v/>
      </c>
      <c r="AR16" s="21" t="str">
        <f t="shared" si="16"/>
        <v/>
      </c>
      <c r="AS16" s="21" t="str">
        <f>IF(EI16=0,"",MID(IF(DT16=1," | Recovery interval (C7) computed with "&amp;DS16&amp;".","")&amp;IF(BG16=1," | Anchor selected under C5 (CALC-SPEC 1.1): latest administration with an exact date or time at or before "&amp;IF(BH16=1,"onset","the end point")&amp;" ("&amp;AJ16&amp;"), ordered in UTC when offsets are known; later administrations are never selected.","")&amp;IF(AND(BG16=1,CE16&gt;0)," | Partial-date administrations wholly before the selected one were not candidates: "&amp;FC16&amp;".","")&amp;IF(BV16&lt;&gt;""," | "&amp;BV16,"")&amp;IF(AND(DS16="C2",EA16=0,DZ16&lt;&gt;"")," | Same calendar date; both times are known, so C1 decides the order ("&amp;AA16&amp;").","")&amp;IF(AND(DS16="C2",DD16*BN16=1,DT16=0)," | Calendar-date difference from the recorded local dates; it is never described as elapsed days.","")&amp;IF(AND(DS16="C4",DT16=0)," | Bounds are treated as independent; no single date is imputed from them.","")&amp;IF(EJ16=1," | Treatment day under the inclusive convention (C3); never written to E2B fields automatically.","")&amp;IF(AND(DS16="C4",DT16=0,EK16=0)," | No constraint applied.","")&amp;IF(AND(DS16="C4",EK16=1)," | Constraint applied to the anchor bounds: "&amp;IF(ISNUMBER(P16),"not before "&amp;DAY(P16)&amp;" "&amp;INDEX(nLIST_Months,MONTH(P16))&amp;" "&amp;YEAR(P16),"")&amp;IF(AND(ISNUMBER(P16),ISNUMBER(Q16)),", ","")&amp;IF(ISNUMBER(Q16),"not after "&amp;DAY(Q16)&amp;" "&amp;INDEX(nLIST_Months,MONTH(Q16))&amp;" "&amp;YEAR(Q16),"")&amp;". Source: "&amp;IF(R16="","not recorded",R16)&amp;IF(EN16="",". Constrained result shown beside the unconstrained one.",". Constrained result blocked ("&amp;EN16&amp;")."),"")&amp;IF(DT16=1,IF(EO16&gt;0," | Intervention recorded between cessation and recovery (ends included): "&amp;EZ16&amp;"."," | No intervention is recorded between cessation and recovery; absence of a record is not evidence that none was given."),"")&amp;IF(AND(DT16=1,DV16&gt;0)," | Intervention recorded without a date, so whether it came before recovery is unknown: "&amp;INDEX(nMS_Milestone_ID,MATCH(1,INDEX((nMS_CaseKey=AX16)*(nMS_Type="INTERVENTION")*nMS_Undated,0),0))&amp;IF(DV16&gt;1," and "&amp;(DV16-1)&amp;" more","")&amp;".","")&amp;IF(AND(DT16=1,EP16&gt;0)," | Not counted as interventions, because they are recorded as exposures rather than as intervention milestones (nothing is inferred): "&amp;FB16&amp;". If treatment was given, record it as an intervention milestone.",""),4,9999))</f>
        <v/>
      </c>
      <c r="AT16" s="21" t="str">
        <f t="shared" si="17"/>
        <v/>
      </c>
      <c r="AU16" s="21" t="str">
        <f t="shared" si="18"/>
        <v/>
      </c>
      <c r="AV16" s="21" t="str">
        <f t="shared" si="19"/>
        <v/>
      </c>
      <c r="AW16" s="22">
        <f t="shared" si="20"/>
        <v>1</v>
      </c>
      <c r="AX16" s="21" t="str">
        <f t="shared" si="21"/>
        <v>|</v>
      </c>
      <c r="AY16" s="21" t="str">
        <f t="shared" si="22"/>
        <v/>
      </c>
      <c r="AZ16" s="22">
        <f>IF(AY16="",0,COUNTIF(nINT_Key,AY16))</f>
        <v>0</v>
      </c>
      <c r="BA16" s="22">
        <f>IF(D16="",0,IFERROR(MATCH(AX16&amp;"|"&amp;D16,nLNK_Key,0),0))</f>
        <v>0</v>
      </c>
      <c r="BB16" s="22">
        <f>IF(BA16=0,1,INDEX(nLNK_Exp_Found,BA16))</f>
        <v>1</v>
      </c>
      <c r="BC16" s="22">
        <f>IF(BA16=0,1,INDEX(nLNK_Evt_Found,BA16))</f>
        <v>1</v>
      </c>
      <c r="BD16" s="22">
        <f>IF(AP16="",0,COUNTIF(nEXP_Key,AX16&amp;"|"&amp;AP16))</f>
        <v>0</v>
      </c>
      <c r="BE16" s="22">
        <f>IF(AQ16="",0,COUNTIF(nEVT_Key,AX16&amp;"|"&amp;AQ16))</f>
        <v>0</v>
      </c>
      <c r="BF16" s="22">
        <f>IF(ISNA(MATCH(E16,nLIST_AnchorType,0)),0,1)</f>
        <v>0</v>
      </c>
      <c r="BG16" s="22">
        <f t="shared" si="23"/>
        <v>0</v>
      </c>
      <c r="BH16" s="22">
        <f t="shared" si="24"/>
        <v>0</v>
      </c>
      <c r="BI16" s="22">
        <f>IF(OR(AW16=1,AK16=""),0,IFERROR(MATCH(AX16&amp;"|"&amp;AK16,nTP_Key,0),0))</f>
        <v>0</v>
      </c>
      <c r="BJ16" s="21">
        <f>IF(BI16=0,0,INDEX(nTP_Dup,BI16))</f>
        <v>0</v>
      </c>
      <c r="BK16" s="21" t="str">
        <f>IF(BI16=0,"",INDEX(nTP_Record_Type,BI16))</f>
        <v/>
      </c>
      <c r="BL16" s="21" t="str">
        <f>IF(BI16=0,"",INDEX(nTP_Precision,BI16))</f>
        <v/>
      </c>
      <c r="BM16" s="21" t="str">
        <f>IF(BI16=0,"",INDEX(nTP_Err,BI16))</f>
        <v/>
      </c>
      <c r="BN16" s="21">
        <f>IF(BI16=0,0,INDEX(nTP_HT,BI16))</f>
        <v>0</v>
      </c>
      <c r="BO16" s="21">
        <f>IF(BI16=0,0,INDEX(nTP_OK,BI16))</f>
        <v>0</v>
      </c>
      <c r="BP16" s="21" t="str">
        <f>IF(BI16=0,"",INDEX(nTP_Loc,BI16))</f>
        <v/>
      </c>
      <c r="BQ16" s="21" t="str">
        <f>IF(BI16=0,"",INDEX(nTP_UTC,BI16))</f>
        <v/>
      </c>
      <c r="BR16" s="21" t="str">
        <f>IF(BI16=0,"",INDEX(nTP_Lo,BI16))</f>
        <v/>
      </c>
      <c r="BS16" s="21" t="str">
        <f>IF(BI16=0,"",INDEX(nTP_Hi,BI16))</f>
        <v/>
      </c>
      <c r="BT16" s="21" t="str">
        <f>IF(BI16=0,"",INDEX(nTP_Original_Text,BI16))</f>
        <v/>
      </c>
      <c r="BU16" s="21" t="str">
        <f>IF(BI16=0,"",INDEX(nTP_Source,BI16))</f>
        <v/>
      </c>
      <c r="BV16" s="21" t="str">
        <f>IF(BI16=0,"",INDEX(nTP_Lab_Note,BI16))</f>
        <v/>
      </c>
      <c r="BW16" s="22">
        <f t="shared" si="25"/>
        <v>0</v>
      </c>
      <c r="BX16" s="21" t="str">
        <f t="shared" si="26"/>
        <v>||</v>
      </c>
      <c r="BY16" s="22">
        <f>IF(BG16=0,0,COUNTIF(nTP_CandKey,BX16))</f>
        <v>0</v>
      </c>
      <c r="BZ16" s="22">
        <f>IF(BG16=0,0,COUNTIFS(nTP_CandKey,BX16,nTP_Err,""))</f>
        <v>0</v>
      </c>
      <c r="CA16" s="21" t="str">
        <f>IF(BY16=BZ16,"",IF(COUNTIFS(nTP_CandKey,BX16,nTP_Err,"E_INVALID_DATE")&gt;0,"; E_INVALID_DATE","")&amp;IF(COUNTIFS(nTP_CandKey,BX16,nTP_Err,"E_REVERSED_BOUNDS")&gt;0,"; E_REVERSED_BOUNDS","")&amp;IF(COUNTIFS(nTP_CandKey,BX16,nTP_Err,"E_MISSING_INPUT")&gt;0,"; E_MISSING_INPUT","")&amp;IF(COUNTIFS(nTP_CandKey,BX16,nTP_Err,"E_INVALID_UNIT")&gt;0,"; E_INVALID_UNIT",""))</f>
        <v/>
      </c>
      <c r="CB16" s="22">
        <f t="shared" si="27"/>
        <v>0</v>
      </c>
      <c r="CC16" s="22">
        <f>IF(CB16=0,0,SUMPRODUCT((nTP_CandKey=BX16)*(nTP_Err="")*(1-(nTP_HT*BN16*((nTP_OK*BO16*(nTP_UTC_n-N(BQ16))+(1-nTP_OK*BO16)*(nTP_Loc_n-N(BP16)))&lt;=0)+(1-nTP_HT*BN16)*(nTP_Hi_n&lt;N(BR16)))-(nTP_HT*BN16*((nTP_OK*BO16*(nTP_UTC_n-N(BQ16))+(1-nTP_OK*BO16)*(nTP_Loc_n-N(BP16)))&gt;0)+(1-nTP_HT*BN16)*(nTP_Lo_n&gt;N(BS16)))-((1-nTP_HT*BN16)*(nTP_Lo_n=nTP_Hi_n)*(nTP_Lo_n=N(BR16))*(N(BR16)=N(BS16))))))</f>
        <v>0</v>
      </c>
      <c r="CD16" s="22">
        <f>IF(CB16=0,0,SUMPRODUCT((nTP_CandKey=BX16)*nTP_Exact*((nTP_HT*BN16*((nTP_OK*BO16*(nTP_UTC_n-N(BQ16))+(1-nTP_OK*BO16)*(nTP_Loc_n-N(BP16)))&lt;=0)+(1-nTP_HT*BN16)*(nTP_Hi_n&lt;N(BR16)))+((1-nTP_HT*BN16)*(nTP_Lo_n=nTP_Hi_n)*(nTP_Lo_n=N(BR16))*(N(BR16)=N(BS16))))))</f>
        <v>0</v>
      </c>
      <c r="CE16" s="22">
        <f>IF(CB16=0,0,SUMPRODUCT((nTP_CandKey=BX16)*(nTP_Err="")*(1-nTP_Exact)*((nTP_HT*BN16*((nTP_OK*BO16*(nTP_UTC_n-N(BQ16))+(1-nTP_OK*BO16)*(nTP_Loc_n-N(BP16)))&lt;=0)+(1-nTP_HT*BN16)*(nTP_Hi_n&lt;N(BR16)))+((1-nTP_HT*BN16)*(nTP_Lo_n=nTP_Hi_n)*(nTP_Lo_n=N(BR16))*(N(BR16)=N(BS16))))))</f>
        <v>0</v>
      </c>
      <c r="CF16" s="22">
        <f>IF(CD16=0,0,SUMPRODUCT(MAX((nTP_CandKey=BX16)*nTP_Exact*((nTP_HT*BN16*((nTP_OK*BO16*(nTP_UTC_n-N(BQ16))+(1-nTP_OK*BO16)*(nTP_Loc_n-N(BP16)))&lt;=0)+(1-nTP_HT*BN16)*(nTP_Hi_n&lt;N(BR16)))+((1-nTP_HT*BN16)*(nTP_Lo_n=nTP_Hi_n)*(nTP_Lo_n=N(BR16))*(N(BR16)=N(BS16))))*nTP_Lo_n)))</f>
        <v>0</v>
      </c>
      <c r="CG16" s="22">
        <f>IF(CD16=0,0,SUMPRODUCT((nTP_CandKey=BX16)*nTP_Exact*((nTP_HT*BN16*((nTP_OK*BO16*(nTP_UTC_n-N(BQ16))+(1-nTP_OK*BO16)*(nTP_Loc_n-N(BP16)))&lt;=0)+(1-nTP_HT*BN16)*(nTP_Hi_n&lt;N(BR16)))+((1-nTP_HT*BN16)*(nTP_Lo_n=nTP_Hi_n)*(nTP_Lo_n=N(BR16))*(N(BR16)=N(BS16))))*(nTP_Lo_n=CF16)))</f>
        <v>0</v>
      </c>
      <c r="CH16" s="22">
        <f>IF(CD16=0,0,SUMPRODUCT((nTP_CandKey=BX16)*nTP_Exact*((nTP_HT*BN16*((nTP_OK*BO16*(nTP_UTC_n-N(BQ16))+(1-nTP_OK*BO16)*(nTP_Loc_n-N(BP16)))&lt;=0)+(1-nTP_HT*BN16)*(nTP_Hi_n&lt;N(BR16)))+((1-nTP_HT*BN16)*(nTP_Lo_n=nTP_Hi_n)*(nTP_Lo_n=N(BR16))*(N(BR16)=N(BS16))))*(1-nTP_HT)*(nTP_Lo_n=CF16)))</f>
        <v>0</v>
      </c>
      <c r="CI16" s="22">
        <f>IF(CD16=0,0,SUMPRODUCT(MAX((nTP_CandKey=BX16)*nTP_Exact*((nTP_HT*BN16*((nTP_OK*BO16*(nTP_UTC_n-N(BQ16))+(1-nTP_OK*BO16)*(nTP_Loc_n-N(BP16)))&lt;=0)+(1-nTP_HT*BN16)*(nTP_Hi_n&lt;N(BR16)))+((1-nTP_HT*BN16)*(nTP_Lo_n=nTP_Hi_n)*(nTP_Lo_n=N(BR16))*(N(BR16)=N(BS16))))*(1-nTP_HT)*nTP_Lo_n)))</f>
        <v>0</v>
      </c>
      <c r="CJ16" s="22">
        <f>IF(CD16=0,0,SUMPRODUCT(MAX((nTP_CandKey=BX16)*nTP_Exact*((nTP_HT*BN16*((nTP_OK*BO16*(nTP_UTC_n-N(BQ16))+(1-nTP_OK*BO16)*(nTP_Loc_n-N(BP16)))&lt;=0)+(1-nTP_HT*BN16)*(nTP_Hi_n&lt;N(BR16)))+((1-nTP_HT*BN16)*(nTP_Lo_n=nTP_Hi_n)*(nTP_Lo_n=N(BR16))*(N(BR16)=N(BS16))))*nTP_HT*nTP_OK*nTP_UTC_n)))</f>
        <v>0</v>
      </c>
      <c r="CK16" s="22">
        <f>IF(CJ16=0,0,SUMPRODUCT((nTP_CandKey=BX16)*nTP_Exact*((nTP_HT*BN16*((nTP_OK*BO16*(nTP_UTC_n-N(BQ16))+(1-nTP_OK*BO16)*(nTP_Loc_n-N(BP16)))&lt;=0)+(1-nTP_HT*BN16)*(nTP_Hi_n&lt;N(BR16)))+((1-nTP_HT*BN16)*(nTP_Lo_n=nTP_Hi_n)*(nTP_Lo_n=N(BR16))*(N(BR16)=N(BS16))))*nTP_HT*nTP_OK*(nTP_UTC_n=CJ16)))</f>
        <v>0</v>
      </c>
      <c r="CL16" s="22">
        <f>IF(CK16&lt;&gt;1,0,SUMPRODUCT((nTP_CandKey=BX16)*nTP_Exact*((nTP_HT*BN16*((nTP_OK*BO16*(nTP_UTC_n-N(BQ16))+(1-nTP_OK*BO16)*(nTP_Loc_n-N(BP16)))&lt;=0)+(1-nTP_HT*BN16)*(nTP_Hi_n&lt;N(BR16)))+((1-nTP_HT*BN16)*(nTP_Lo_n=nTP_Hi_n)*(nTP_Lo_n=N(BR16))*(N(BR16)=N(BS16))))*nTP_HT*nTP_OK*(nTP_UTC_n=CJ16)*nTP_Loc_n))</f>
        <v>0</v>
      </c>
      <c r="CM16" s="22">
        <f>IF(CK16&lt;&gt;1,0,SUMPRODUCT((nTP_CandKey=BX16)*nTP_Exact*((nTP_HT*BN16*((nTP_OK*BO16*(nTP_UTC_n-N(BQ16))+(1-nTP_OK*BO16)*(nTP_Loc_n-N(BP16)))&lt;=0)+(1-nTP_HT*BN16)*(nTP_Hi_n&lt;N(BR16)))+((1-nTP_HT*BN16)*(nTP_Lo_n=nTP_Hi_n)*(nTP_Lo_n=N(BR16))*(N(BR16)=N(BS16))))*nTP_HT*nTP_OK*(nTP_UTC_n=CJ16)*nTP_Lo_n))</f>
        <v>0</v>
      </c>
      <c r="CN16" s="22">
        <f>IF(CD16=0,0,SUMPRODUCT(MAX((nTP_CandKey=BX16)*nTP_Exact*((nTP_HT*BN16*((nTP_OK*BO16*(nTP_UTC_n-N(BQ16))+(1-nTP_OK*BO16)*(nTP_Loc_n-N(BP16)))&lt;=0)+(1-nTP_HT*BN16)*(nTP_Hi_n&lt;N(BR16)))+((1-nTP_HT*BN16)*(nTP_Lo_n=nTP_Hi_n)*(nTP_Lo_n=N(BR16))*(N(BR16)=N(BS16))))*nTP_HT*(1-nTP_OK)*nTP_Loc_n)))</f>
        <v>0</v>
      </c>
      <c r="CO16" s="22">
        <f>IF(CN16=0,0,SUMPRODUCT((nTP_CandKey=BX16)*nTP_Exact*((nTP_HT*BN16*((nTP_OK*BO16*(nTP_UTC_n-N(BQ16))+(1-nTP_OK*BO16)*(nTP_Loc_n-N(BP16)))&lt;=0)+(1-nTP_HT*BN16)*(nTP_Hi_n&lt;N(BR16)))+((1-nTP_HT*BN16)*(nTP_Lo_n=nTP_Hi_n)*(nTP_Lo_n=N(BR16))*(N(BR16)=N(BS16))))*nTP_HT*(1-nTP_OK)*(nTP_Loc_n=CN16)))</f>
        <v>0</v>
      </c>
      <c r="CP16" s="22">
        <f>IF(CO16&lt;&gt;1,0,SUMPRODUCT((nTP_CandKey=BX16)*nTP_Exact*((nTP_HT*BN16*((nTP_OK*BO16*(nTP_UTC_n-N(BQ16))+(1-nTP_OK*BO16)*(nTP_Loc_n-N(BP16)))&lt;=0)+(1-nTP_HT*BN16)*(nTP_Hi_n&lt;N(BR16)))+((1-nTP_HT*BN16)*(nTP_Lo_n=nTP_Hi_n)*(nTP_Lo_n=N(BR16))*(N(BR16)=N(BS16))))*nTP_HT*(1-nTP_OK)*(nTP_Loc_n=CN16)*nTP_Lo_n))</f>
        <v>0</v>
      </c>
      <c r="CQ16" s="22">
        <f>IF(CD16=0,0,SUMPRODUCT(MAX((nTP_CandKey=BX16)*nTP_Exact*((nTP_HT*BN16*((nTP_OK*BO16*(nTP_UTC_n-N(BQ16))+(1-nTP_OK*BO16)*(nTP_Loc_n-N(BP16)))&lt;=0)+(1-nTP_HT*BN16)*(nTP_Hi_n&lt;N(BR16)))+((1-nTP_HT*BN16)*(nTP_Lo_n=nTP_Hi_n)*(nTP_Lo_n=N(BR16))*(N(BR16)=N(BS16))))*nTP_HT*nTP_OK*nTP_Loc_n)))</f>
        <v>0</v>
      </c>
      <c r="CR16" s="22">
        <f t="shared" si="28"/>
        <v>0</v>
      </c>
      <c r="CS16" s="22">
        <f>IF(CR16=0,0,IF(CR16=1,MATCH(1,INDEX((nTP_CandKey=BX16)*nTP_Exact*((nTP_HT*BN16*((nTP_OK*BO16*(nTP_UTC_n-N(BQ16))+(1-nTP_OK*BO16)*(nTP_Loc_n-N(BP16)))&lt;=0)+(1-nTP_HT*BN16)*(nTP_Hi_n&lt;N(BR16)))+((1-nTP_HT*BN16)*(nTP_Lo_n=nTP_Hi_n)*(nTP_Lo_n=N(BR16))*(N(BR16)=N(BS16))))*(1-nTP_HT)*(nTP_Lo_n=CF16),0),0),IF(CR16=2,MATCH(1,INDEX((nTP_CandKey=BX16)*nTP_Exact*((nTP_HT*BN16*((nTP_OK*BO16*(nTP_UTC_n-N(BQ16))+(1-nTP_OK*BO16)*(nTP_Loc_n-N(BP16)))&lt;=0)+(1-nTP_HT*BN16)*(nTP_Hi_n&lt;N(BR16)))+((1-nTP_HT*BN16)*(nTP_Lo_n=nTP_Hi_n)*(nTP_Lo_n=N(BR16))*(N(BR16)=N(BS16))))*nTP_HT*nTP_OK*(nTP_UTC_n=CJ16),0),0),MATCH(1,INDEX((nTP_CandKey=BX16)*nTP_Exact*((nTP_HT*BN16*((nTP_OK*BO16*(nTP_UTC_n-N(BQ16))+(1-nTP_OK*BO16)*(nTP_Loc_n-N(BP16)))&lt;=0)+(1-nTP_HT*BN16)*(nTP_Hi_n&lt;N(BR16)))+((1-nTP_HT*BN16)*(nTP_Lo_n=nTP_Hi_n)*(nTP_Lo_n=N(BR16))*(N(BR16)=N(BS16))))*nTP_HT*(1-nTP_OK)*(nTP_Loc_n=CN16),0),0))))</f>
        <v>0</v>
      </c>
      <c r="CT16" s="22">
        <f>IF(CS16=0,0,INDEX(nTP_Lo_n,CS16))</f>
        <v>0</v>
      </c>
      <c r="CU16" s="22">
        <f>IF(CS16=0,0,SUMPRODUCT((nTP_CandKey=BX16)*(nTP_Err="")*(1-nTP_Exact)*((nTP_HT*BN16*((nTP_OK*BO16*(nTP_UTC_n-N(BQ16))+(1-nTP_OK*BO16)*(nTP_Loc_n-N(BP16)))&lt;=0)+(1-nTP_HT*BN16)*(nTP_Hi_n&lt;N(BR16)))+((1-nTP_HT*BN16)*(nTP_Lo_n=nTP_Hi_n)*(nTP_Lo_n=N(BR16))*(N(BR16)=N(BS16))))*(nTP_Hi_n&gt;=CT16)))</f>
        <v>0</v>
      </c>
      <c r="CV16" s="21" t="str">
        <f t="shared" si="29"/>
        <v/>
      </c>
      <c r="CW16" s="21" t="str">
        <f>IF(AND(BG16=1,CB16=1,CV16="",CS16&gt;0),INDEX(nTP_Record_ID,CS16)&amp;"","")</f>
        <v/>
      </c>
      <c r="CX16" s="21" t="str">
        <f>IF(OR(CV16="",BG16=0),"",IF(CV16="none","an administration record (last dose before onset)",IF(CV16="uncertain","the anchor record: "&amp;INDEX(nTP_Record_ID,MATCH(1,INDEX((nTP_CandKey=BX16)*(nTP_Err="")*(1-(nTP_HT*BN16*((nTP_OK*BO16*(nTP_UTC_n-N(BQ16))+(1-nTP_OK*BO16)*(nTP_Loc_n-N(BP16)))&lt;=0)+(1-nTP_HT*BN16)*(nTP_Hi_n&lt;N(BR16)))-(nTP_HT*BN16*((nTP_OK*BO16*(nTP_UTC_n-N(BQ16))+(1-nTP_OK*BO16)*(nTP_Loc_n-N(BP16)))&gt;0)+(1-nTP_HT*BN16)*(nTP_Lo_n&gt;N(BS16)))-((1-nTP_HT*BN16)*(nTP_Lo_n=nTP_Hi_n)*(nTP_Lo_n=N(BR16))*(N(BR16)=N(BS16)))),0),0))&amp;IF(CC16&gt;1," and "&amp;(CC16-1)&amp;" more","")&amp;" may fall before or after the end point, so the last dose cannot be identified from the recorded dates",IF(CV16="noneligible","the anchor record: no administration with an exact date is recorded at or before the end point",IF(CV16="tie","the anchor record: the order of the latest administrations cannot be told from the recorded dates and times","the anchor record: partial-date administration "&amp;INDEX(nTP_Record_ID,MATCH(1,INDEX((nTP_CandKey=BX16)*(nTP_Err="")*(1-nTP_Exact)*((nTP_HT*BN16*((nTP_OK*BO16*(nTP_UTC_n-N(BQ16))+(1-nTP_OK*BO16)*(nTP_Loc_n-N(BP16)))&lt;=0)+(1-nTP_HT*BN16)*(nTP_Hi_n&lt;N(BR16)))+((1-nTP_HT*BN16)*(nTP_Lo_n=nTP_Hi_n)*(nTP_Lo_n=N(BR16))*(N(BR16)=N(BS16))))*(nTP_Hi_n&gt;=CT16),0),0))&amp;" could be the last dose before the end point")))))</f>
        <v/>
      </c>
      <c r="CY16" s="22">
        <f>IF(OR(AW16=1,AJ16=""),0,IFERROR(MATCH(AX16&amp;"|"&amp;AJ16,nTP_Key,0),0))</f>
        <v>0</v>
      </c>
      <c r="CZ16" s="21">
        <f>IF(CY16=0,0,INDEX(nTP_Dup,CY16))</f>
        <v>0</v>
      </c>
      <c r="DA16" s="21" t="str">
        <f>IF(CY16=0,"",INDEX(nTP_Record_Type,CY16))</f>
        <v/>
      </c>
      <c r="DB16" s="21" t="str">
        <f>IF(CY16=0,"",INDEX(nTP_Precision,CY16))</f>
        <v/>
      </c>
      <c r="DC16" s="21" t="str">
        <f>IF(CY16=0,"",INDEX(nTP_Err,CY16))</f>
        <v/>
      </c>
      <c r="DD16" s="21">
        <f>IF(CY16=0,0,INDEX(nTP_HT,CY16))</f>
        <v>0</v>
      </c>
      <c r="DE16" s="21">
        <f>IF(CY16=0,0,INDEX(nTP_OK,CY16))</f>
        <v>0</v>
      </c>
      <c r="DF16" s="21" t="str">
        <f>IF(CY16=0,"",INDEX(nTP_Loc,CY16))</f>
        <v/>
      </c>
      <c r="DG16" s="21" t="str">
        <f>IF(CY16=0,"",INDEX(nTP_UTC,CY16))</f>
        <v/>
      </c>
      <c r="DH16" s="21" t="str">
        <f>IF(CY16=0,"",INDEX(nTP_Lo,CY16))</f>
        <v/>
      </c>
      <c r="DI16" s="21" t="str">
        <f>IF(CY16=0,"",INDEX(nTP_Hi,CY16))</f>
        <v/>
      </c>
      <c r="DJ16" s="21" t="str">
        <f>IF(CY16=0,"",INDEX(nTP_Original_Text,CY16))</f>
        <v/>
      </c>
      <c r="DK16" s="21" t="str">
        <f>IF(CY16=0,"",INDEX(nTP_Source,CY16))</f>
        <v/>
      </c>
      <c r="DL16" s="22">
        <f t="shared" si="30"/>
        <v>0</v>
      </c>
      <c r="DM16" s="21" t="str">
        <f t="shared" si="31"/>
        <v/>
      </c>
      <c r="DN16" s="21" t="str">
        <f t="shared" si="32"/>
        <v/>
      </c>
      <c r="DO16" s="21" t="str">
        <f t="shared" si="33"/>
        <v/>
      </c>
      <c r="DP16" s="21" t="str">
        <f t="shared" si="34"/>
        <v/>
      </c>
      <c r="DQ16" s="21" t="str">
        <f t="shared" si="35"/>
        <v/>
      </c>
      <c r="DR16" s="22">
        <f>IF(OR(DQ16="",I16=""),0,IF(ISNA(MATCH(I16,nLIST_Mode,0)),1,IF(AND(I16="C1",DQ16&lt;&gt;"C1"),1,IF(AND(I16="C2",DQ16="C4"),1,0))))</f>
        <v>0</v>
      </c>
      <c r="DS16" s="21" t="str">
        <f t="shared" si="36"/>
        <v/>
      </c>
      <c r="DT16" s="22">
        <f t="shared" si="37"/>
        <v>0</v>
      </c>
      <c r="DU16" s="21" t="str">
        <f>IF(DT16=0,"",IF(COUNTIFS(nTP_Case_Key,AX16,nTP_Record_Type,"MILESTONE:INTERVENTION",nTP_Err,"E_INVALID_DATE")&gt;0,"; E_INVALID_DATE","")&amp;IF(COUNTIFS(nTP_Case_Key,AX16,nTP_Record_Type,"MILESTONE:INTERVENTION",nTP_Err,"E_REVERSED_BOUNDS")&gt;0,"; E_REVERSED_BOUNDS","")&amp;IF(COUNTIFS(nTP_Case_Key,AX16,nTP_Record_Type,"MILESTONE:INTERVENTION",nTP_Err,"E_MISSING_INPUT")&gt;0,"; E_MISSING_INPUT","")&amp;IF(COUNTIFS(nTP_Case_Key,AX16,nTP_Record_Type,"MILESTONE:INTERVENTION",nTP_Err,"E_INVALID_UNIT")&gt;0,"; E_INVALID_UNIT",""))</f>
        <v/>
      </c>
      <c r="DV16" s="22">
        <f>IF(DT16=0,0,SUMPRODUCT((nMS_CaseKey=AX16)*(nMS_Type="INTERVENTION")*nMS_Undated))</f>
        <v>0</v>
      </c>
      <c r="DW16" s="21" t="str">
        <f t="shared" si="38"/>
        <v/>
      </c>
      <c r="DX16" s="21" t="str">
        <f t="shared" si="39"/>
        <v/>
      </c>
      <c r="DY16" s="22">
        <f t="shared" si="40"/>
        <v>1</v>
      </c>
      <c r="DZ16" s="21" t="str">
        <f t="shared" si="41"/>
        <v/>
      </c>
      <c r="EA16" s="21" t="str">
        <f t="shared" si="42"/>
        <v/>
      </c>
      <c r="EB16" s="21" t="str">
        <f t="shared" si="43"/>
        <v/>
      </c>
      <c r="EC16" s="21" t="str">
        <f t="shared" si="44"/>
        <v/>
      </c>
      <c r="ED16" s="22">
        <f t="shared" si="45"/>
        <v>0</v>
      </c>
      <c r="EE16" s="22">
        <f t="shared" si="46"/>
        <v>0</v>
      </c>
      <c r="EF16" s="21" t="str">
        <f>IF(ED16=0,"",IF(OR(NOT(ISNUMBER(L16)),NOT(ISNUMBER(M16))),"I_APPROXIMATE_NOT_COMPARED",IF(AND(N16&lt;&gt;"",ISNA(MATCH(N16,nLIST_ReportedUnit,0))),"E_INVALID_UNIT",IF(N16="","E_MISSING_INPUT",IF(L16&gt;M16,"E_REVERSED_BOUNDS",IF(OR(N16="weeks",N16="months",N16="years"),"I_APPROXIMATE_NOT_COMPARED",IF(DX16&lt;&gt;"","",IF(EE16=0,"I_APPROXIMATE_NOT_COMPARED",IF(AND(L16*EE16&lt;=IF(DS16="C4",EC16,IF(DS16="C1",DZ16,EA16)),M16*EE16&gt;=IF(DS16="C4",EB16,IF(DS16="C1",DZ16,EA16))),"OVERLAP","W_REPORTED_TIMING_CONFLICT")))))))))</f>
        <v/>
      </c>
      <c r="EG16" s="21" t="str">
        <f t="shared" si="47"/>
        <v/>
      </c>
      <c r="EH16" s="21" t="str">
        <f t="shared" si="48"/>
        <v/>
      </c>
      <c r="EI16" s="22">
        <f t="shared" si="49"/>
        <v>0</v>
      </c>
      <c r="EJ16" s="22">
        <f t="shared" si="50"/>
        <v>0</v>
      </c>
      <c r="EK16" s="22">
        <f t="shared" si="51"/>
        <v>0</v>
      </c>
      <c r="EL16" s="28" t="str">
        <f t="shared" si="52"/>
        <v/>
      </c>
      <c r="EM16" s="28" t="str">
        <f t="shared" si="53"/>
        <v/>
      </c>
      <c r="EN16" s="21" t="str">
        <f t="shared" si="54"/>
        <v/>
      </c>
      <c r="EO16" s="22">
        <f>IF(OR(DT16=0,DX16&lt;&gt;""),0,SUMPRODUCT((nTP_Case_Key=AX16)*(nTP_Record_Type="MILESTONE:INTERVENTION")*(nTP_Err="")*(nTP_HT*DD16*BN16*(nTP_OK*DE16*(nTP_UTC_n&gt;=N(DG16))+(1-nTP_OK*DE16)*(nTP_Loc_n&gt;=N(DF16)))*(nTP_OK*BO16*(nTP_UTC_n&lt;=N(BQ16))+(1-nTP_OK*BO16)*(nTP_Loc_n&lt;=N(BP16)))+(1-nTP_HT*DD16*BN16)*(nTP_Hi_n&gt;=N(DH16))*(nTP_Lo_n&lt;=N(BS16)))))</f>
        <v>0</v>
      </c>
      <c r="EP16" s="22">
        <f>IF(OR(DT16=0,DX16&lt;&gt;""),0,SUMPRODUCT((nTP_Case_Key=AX16)*(nTP_Role="treatment of the event")*((nTP_Record_Type="EXPOSURE_START")+(nTP_Record_Type="ADMINISTRATION"))*(nTP_Err="")*(nTP_HT*DD16*BN16*(nTP_OK*DE16*(nTP_UTC_n&gt;=N(DG16))+(1-nTP_OK*DE16)*(nTP_Loc_n&gt;=N(DF16)))*(nTP_OK*BO16*(nTP_UTC_n&lt;=N(BQ16))+(1-nTP_OK*BO16)*(nTP_Loc_n&lt;=N(BP16)))+(1-nTP_HT*DD16*BN16)*(nTP_Hi_n&gt;=N(DH16))*(nTP_Lo_n&lt;=N(BS16)))))</f>
        <v>0</v>
      </c>
      <c r="EQ16" s="22">
        <f>IF(EO16&lt;1,0,IFERROR(_xlfn.AGGREGATE(15,6,nTP_RowN/((nTP_Case_Key=AX16)*(nTP_Record_Type="MILESTONE:INTERVENTION")*(nTP_Err="")*(nTP_HT*DD16*BN16*(nTP_OK*DE16*(nTP_UTC_n&gt;=N(DG16))+(1-nTP_OK*DE16)*(nTP_Loc_n&gt;=N(DF16)))*(nTP_OK*BO16*(nTP_UTC_n&lt;=N(BQ16))+(1-nTP_OK*BO16)*(nTP_Loc_n&lt;=N(BP16)))+(1-nTP_HT*DD16*BN16)*(nTP_Hi_n&gt;=N(DH16))*(nTP_Lo_n&lt;=N(BS16)))),1),0))</f>
        <v>0</v>
      </c>
      <c r="ER16" s="22">
        <f>IF(EO16&lt;2,0,IFERROR(_xlfn.AGGREGATE(15,6,nTP_RowN/((nTP_Case_Key=AX16)*(nTP_Record_Type="MILESTONE:INTERVENTION")*(nTP_Err="")*(nTP_HT*DD16*BN16*(nTP_OK*DE16*(nTP_UTC_n&gt;=N(DG16))+(1-nTP_OK*DE16)*(nTP_Loc_n&gt;=N(DF16)))*(nTP_OK*BO16*(nTP_UTC_n&lt;=N(BQ16))+(1-nTP_OK*BO16)*(nTP_Loc_n&lt;=N(BP16)))+(1-nTP_HT*DD16*BN16)*(nTP_Hi_n&gt;=N(DH16))*(nTP_Lo_n&lt;=N(BS16)))),2),0))</f>
        <v>0</v>
      </c>
      <c r="ES16" s="22">
        <f>IF(EO16&lt;3,0,IFERROR(_xlfn.AGGREGATE(15,6,nTP_RowN/((nTP_Case_Key=AX16)*(nTP_Record_Type="MILESTONE:INTERVENTION")*(nTP_Err="")*(nTP_HT*DD16*BN16*(nTP_OK*DE16*(nTP_UTC_n&gt;=N(DG16))+(1-nTP_OK*DE16)*(nTP_Loc_n&gt;=N(DF16)))*(nTP_OK*BO16*(nTP_UTC_n&lt;=N(BQ16))+(1-nTP_OK*BO16)*(nTP_Loc_n&lt;=N(BP16)))+(1-nTP_HT*DD16*BN16)*(nTP_Hi_n&gt;=N(DH16))*(nTP_Lo_n&lt;=N(BS16)))),3),0))</f>
        <v>0</v>
      </c>
      <c r="ET16" s="22">
        <f>IF(EP16&lt;1,0,IFERROR(_xlfn.AGGREGATE(15,6,nTP_RowN/((nTP_Case_Key=AX16)*(nTP_Role="treatment of the event")*((nTP_Record_Type="EXPOSURE_START")+(nTP_Record_Type="ADMINISTRATION"))*(nTP_Err="")*(nTP_HT*DD16*BN16*(nTP_OK*DE16*(nTP_UTC_n&gt;=N(DG16))+(1-nTP_OK*DE16)*(nTP_Loc_n&gt;=N(DF16)))*(nTP_OK*BO16*(nTP_UTC_n&lt;=N(BQ16))+(1-nTP_OK*BO16)*(nTP_Loc_n&lt;=N(BP16)))+(1-nTP_HT*DD16*BN16)*(nTP_Hi_n&gt;=N(DH16))*(nTP_Lo_n&lt;=N(BS16)))),1),0))</f>
        <v>0</v>
      </c>
      <c r="EU16" s="22">
        <f>IF(EP16&lt;2,0,IFERROR(_xlfn.AGGREGATE(15,6,nTP_RowN/((nTP_Case_Key=AX16)*(nTP_Role="treatment of the event")*((nTP_Record_Type="EXPOSURE_START")+(nTP_Record_Type="ADMINISTRATION"))*(nTP_Err="")*(nTP_HT*DD16*BN16*(nTP_OK*DE16*(nTP_UTC_n&gt;=N(DG16))+(1-nTP_OK*DE16)*(nTP_Loc_n&gt;=N(DF16)))*(nTP_OK*BO16*(nTP_UTC_n&lt;=N(BQ16))+(1-nTP_OK*BO16)*(nTP_Loc_n&lt;=N(BP16)))+(1-nTP_HT*DD16*BN16)*(nTP_Hi_n&gt;=N(DH16))*(nTP_Lo_n&lt;=N(BS16)))),2),0))</f>
        <v>0</v>
      </c>
      <c r="EV16" s="22">
        <f>IF(EP16&lt;3,0,IFERROR(_xlfn.AGGREGATE(15,6,nTP_RowN/((nTP_Case_Key=AX16)*(nTP_Role="treatment of the event")*((nTP_Record_Type="EXPOSURE_START")+(nTP_Record_Type="ADMINISTRATION"))*(nTP_Err="")*(nTP_HT*DD16*BN16*(nTP_OK*DE16*(nTP_UTC_n&gt;=N(DG16))+(1-nTP_OK*DE16)*(nTP_Loc_n&gt;=N(DF16)))*(nTP_OK*BO16*(nTP_UTC_n&lt;=N(BQ16))+(1-nTP_OK*BO16)*(nTP_Loc_n&lt;=N(BP16)))+(1-nTP_HT*DD16*BN16)*(nTP_Hi_n&gt;=N(DH16))*(nTP_Lo_n&lt;=N(BS16)))),3),0))</f>
        <v>0</v>
      </c>
      <c r="EW16" s="22">
        <f>IF(CE16&lt;1,0,IFERROR(_xlfn.AGGREGATE(15,6,nTP_RowN/((nTP_CandKey=BX16)*(nTP_Err="")*(1-nTP_Exact)*((nTP_HT*BN16*((nTP_OK*BO16*(nTP_UTC_n-N(BQ16))+(1-nTP_OK*BO16)*(nTP_Loc_n-N(BP16)))&lt;=0)+(1-nTP_HT*BN16)*(nTP_Hi_n&lt;N(BR16)))+((1-nTP_HT*BN16)*(nTP_Lo_n=nTP_Hi_n)*(nTP_Lo_n=N(BR16))*(N(BR16)=N(BS16))))),1),0))</f>
        <v>0</v>
      </c>
      <c r="EX16" s="22">
        <f>IF(CE16&lt;2,0,IFERROR(_xlfn.AGGREGATE(15,6,nTP_RowN/((nTP_CandKey=BX16)*(nTP_Err="")*(1-nTP_Exact)*((nTP_HT*BN16*((nTP_OK*BO16*(nTP_UTC_n-N(BQ16))+(1-nTP_OK*BO16)*(nTP_Loc_n-N(BP16)))&lt;=0)+(1-nTP_HT*BN16)*(nTP_Hi_n&lt;N(BR16)))+((1-nTP_HT*BN16)*(nTP_Lo_n=nTP_Hi_n)*(nTP_Lo_n=N(BR16))*(N(BR16)=N(BS16))))),2),0))</f>
        <v>0</v>
      </c>
      <c r="EY16" s="22">
        <f>IF(CE16&lt;3,0,IFERROR(_xlfn.AGGREGATE(15,6,nTP_RowN/((nTP_CandKey=BX16)*(nTP_Err="")*(1-nTP_Exact)*((nTP_HT*BN16*((nTP_OK*BO16*(nTP_UTC_n-N(BQ16))+(1-nTP_OK*BO16)*(nTP_Loc_n-N(BP16)))&lt;=0)+(1-nTP_HT*BN16)*(nTP_Hi_n&lt;N(BR16)))+((1-nTP_HT*BN16)*(nTP_Lo_n=nTP_Hi_n)*(nTP_Lo_n=N(BR16))*(N(BR16)=N(BS16))))),3),0))</f>
        <v>0</v>
      </c>
      <c r="EZ16" s="21" t="str">
        <f>IF(EO16=0,"",MID(IF(EQ16&gt;0,"; "&amp;INDEX(nTP_Record_ID,EQ16)&amp;IF(INDEX(nTP_Label,EQ16)="",""," ("&amp;INDEX(nTP_Label,EQ16)&amp;")"),"")&amp;IF(ER16&gt;0,"; "&amp;INDEX(nTP_Record_ID,ER16)&amp;IF(INDEX(nTP_Label,ER16)="",""," ("&amp;INDEX(nTP_Label,ER16)&amp;")"),"")&amp;IF(ES16&gt;0,"; "&amp;INDEX(nTP_Record_ID,ES16)&amp;IF(INDEX(nTP_Label,ES16)="",""," ("&amp;INDEX(nTP_Label,ES16)&amp;")"),"")&amp;IF(EO16&gt;3,"; and "&amp;(EO16-3)&amp;" more",""),3,999))</f>
        <v/>
      </c>
      <c r="FA16" s="21" t="str">
        <f>IF(EO16=0,"",MID(IF(EQ16&gt;0,"; "&amp;INDEX(nTP_Record_ID,EQ16),"")&amp;IF(ER16&gt;0,"; "&amp;INDEX(nTP_Record_ID,ER16),"")&amp;IF(ES16&gt;0,"; "&amp;INDEX(nTP_Record_ID,ES16),"")&amp;IF(EO16&gt;3,"; and "&amp;(EO16-3)&amp;" more",""),3,999))</f>
        <v/>
      </c>
      <c r="FB16" s="21" t="str">
        <f>IF(EP16=0,"",MID(IF(ET16&gt;0,"; "&amp;INDEX(nTP_Record_ID,ET16)&amp;IF(INDEX(nTP_Label,ET16)="",""," ("&amp;INDEX(nTP_Label,ET16)&amp;")"),"")&amp;IF(EU16&gt;0,"; "&amp;INDEX(nTP_Record_ID,EU16)&amp;IF(INDEX(nTP_Label,EU16)="",""," ("&amp;INDEX(nTP_Label,EU16)&amp;")"),"")&amp;IF(EV16&gt;0,"; "&amp;INDEX(nTP_Record_ID,EV16)&amp;IF(INDEX(nTP_Label,EV16)="",""," ("&amp;INDEX(nTP_Label,EV16)&amp;")"),"")&amp;IF(EP16&gt;3,"; and "&amp;(EP16-3)&amp;" more",""),3,999))</f>
        <v/>
      </c>
      <c r="FC16" s="21" t="str">
        <f>IF(CE16=0,"",MID(IF(EW16&gt;0,"; "&amp;INDEX(nTP_Record_ID,EW16),"")&amp;IF(EX16&gt;0,"; "&amp;INDEX(nTP_Record_ID,EX16),"")&amp;IF(EY16&gt;0,"; "&amp;INDEX(nTP_Record_ID,EY16),"")&amp;IF(CE16&gt;3,"; and "&amp;(CE16-3)&amp;" more",""),3,999))</f>
        <v/>
      </c>
      <c r="FD16" s="22">
        <f t="shared" si="55"/>
        <v>0</v>
      </c>
      <c r="FE16" s="22">
        <f t="shared" si="56"/>
        <v>0</v>
      </c>
      <c r="FF16" s="22">
        <f t="shared" si="57"/>
        <v>0</v>
      </c>
      <c r="FG16" s="22">
        <f t="shared" si="58"/>
        <v>0</v>
      </c>
      <c r="FH16" s="22">
        <f t="shared" si="59"/>
        <v>0</v>
      </c>
      <c r="FI16" s="22">
        <f t="shared" si="60"/>
        <v>0</v>
      </c>
      <c r="FJ16" s="22">
        <f t="shared" si="61"/>
        <v>0</v>
      </c>
      <c r="FK16" s="22">
        <f t="shared" si="62"/>
        <v>0</v>
      </c>
    </row>
    <row r="17" spans="1:167" x14ac:dyDescent="0.2">
      <c r="A17" s="10"/>
      <c r="B17" s="10"/>
      <c r="C17" s="12"/>
      <c r="D17" s="10"/>
      <c r="E17" s="17"/>
      <c r="F17" s="10"/>
      <c r="G17" s="10"/>
      <c r="H17" s="10"/>
      <c r="I17" s="17"/>
      <c r="J17" s="17"/>
      <c r="K17" s="10"/>
      <c r="L17" s="17"/>
      <c r="M17" s="17"/>
      <c r="N17" s="17"/>
      <c r="O17" s="10"/>
      <c r="P17" s="15"/>
      <c r="Q17" s="15"/>
      <c r="R17" s="10"/>
      <c r="S17" s="10"/>
      <c r="T17" s="21" t="str">
        <f t="shared" si="0"/>
        <v/>
      </c>
      <c r="U17" s="21" t="str">
        <f t="shared" si="1"/>
        <v/>
      </c>
      <c r="V17" s="21" t="str">
        <f t="shared" si="2"/>
        <v/>
      </c>
      <c r="W17" s="21" t="str">
        <f t="shared" si="3"/>
        <v/>
      </c>
      <c r="X17" s="21" t="str">
        <f t="shared" si="4"/>
        <v/>
      </c>
      <c r="Y17" s="21" t="str">
        <f t="shared" si="5"/>
        <v/>
      </c>
      <c r="Z17" s="21" t="str">
        <f t="shared" si="6"/>
        <v/>
      </c>
      <c r="AA17" s="21" t="str">
        <f t="shared" si="7"/>
        <v/>
      </c>
      <c r="AB17" s="21" t="str">
        <f t="shared" si="8"/>
        <v/>
      </c>
      <c r="AC17" s="21" t="str">
        <f t="shared" si="9"/>
        <v/>
      </c>
      <c r="AD17" s="21" t="str">
        <f>IF(AW17=1,"",MID(IF(ISNUMBER(SEARCH("E_INVALID_DATE",EG17))," | E_INVALID_DATE: "&amp;SUBSTITUTE(IFERROR(INDEX(nMSG_Text,MATCH("E_INVALID_DATE",nMSG_Code,0)),""),"[input]",""),"")&amp;IF(ISNUMBER(SEARCH("E_REVERSED_BOUNDS",EG17))," | E_REVERSED_BOUNDS: "&amp;SUBSTITUTE(IFERROR(INDEX(nMSG_Text,MATCH("E_REVERSED_BOUNDS",nMSG_Code,0)),""),"[input]",""),"")&amp;IF(ISNUMBER(SEARCH("E_DUPLICATE_ID",EG17))," | E_DUPLICATE_ID: "&amp;SUBSTITUTE(IFERROR(INDEX(nMSG_Text,MATCH("E_DUPLICATE_ID",nMSG_Code,0)),""),"[input]",""),"")&amp;IF(ISNUMBER(SEARCH("E_MISSING_LINK",EG17))," | E_MISSING_LINK: "&amp;SUBSTITUTE(IFERROR(INDEX(nMSG_Text,MATCH("E_MISSING_LINK",nMSG_Code,0)),""),"[input]",""),"")&amp;IF(ISNUMBER(SEARCH("E_MISSING_INPUT",EG17))," | E_MISSING_INPUT: "&amp;SUBSTITUTE(IFERROR(INDEX(nMSG_Text,MATCH("E_MISSING_INPUT",nMSG_Code,0)),""),"[input]",IF(EH17="","an input",EH17)),"")&amp;IF(ISNUMBER(SEARCH("E_INVALID_UNIT",EG17))," | E_INVALID_UNIT: "&amp;SUBSTITUTE(IFERROR(INDEX(nMSG_Text,MATCH("E_INVALID_UNIT",nMSG_Code,0)),""),"[input]",""),"")&amp;IF(FD17=1," | W_TZ_UNKNOWN: "&amp;SUBSTITUTE(IFERROR(INDEX(nMSG_Text,MATCH("W_TZ_UNKNOWN",nMSG_Code,0)),""),"[input]",""),"")&amp;IF(FE17=1," | W_SAME_DATE_ORDER_UNKNOWN: "&amp;SUBSTITUTE(IFERROR(INDEX(nMSG_Text,MATCH("W_SAME_DATE_ORDER_UNKNOWN",nMSG_Code,0)),""),"[input]",""),"")&amp;IF(FF17=1," | W_SEQUENCE_UNCERTAIN: "&amp;SUBSTITUTE(IFERROR(INDEX(nMSG_Text,MATCH("W_SEQUENCE_UNCERTAIN",nMSG_Code,0)),""),"[input]",""),"")&amp;IF(FG17=1," | W_ADMIN_SAME_DATE_AS_ONSET: "&amp;SUBSTITUTE(IFERROR(INDEX(nMSG_Text,MATCH("W_ADMIN_SAME_DATE_AS_ONSET",nMSG_Code,0)),""),"[input]",""),"")&amp;IF(FH17=1," | W_REPORTED_TIMING_CONFLICT: "&amp;SUBSTITUTE(IFERROR(INDEX(nMSG_Text,MATCH("W_REPORTED_TIMING_CONFLICT",nMSG_Code,0)),""),"[input]",""),"")&amp;IF(FI17=1," | W_INTERVENTION_BEFORE_RECOVERY: "&amp;SUBSTITUTE(IFERROR(INDEX(nMSG_Text,MATCH("W_INTERVENTION_BEFORE_RECOVERY",nMSG_Code,0)),""),"[input]",""),"")&amp;IF(FJ17=1," | I_TREATMENT_DAY_UNDEFINED: "&amp;SUBSTITUTE(IFERROR(INDEX(nMSG_Text,MATCH("I_TREATMENT_DAY_UNDEFINED",nMSG_Code,0)),""),"[input]",""),"")&amp;IF(FK17=1," | I_APPROXIMATE_NOT_COMPARED: "&amp;SUBSTITUTE(IFERROR(INDEX(nMSG_Text,MATCH("I_APPROXIMATE_NOT_COMPARED",nMSG_Code,0)),""),"[input]",""),""),4,9999))</f>
        <v/>
      </c>
      <c r="AE17" s="21" t="str">
        <f t="shared" si="10"/>
        <v/>
      </c>
      <c r="AF17" s="21" t="str">
        <f t="shared" si="11"/>
        <v/>
      </c>
      <c r="AG17" s="21" t="str">
        <f>IF(EN17="","",MID(IF(ISNUMBER(SEARCH("E_REVERSED_BOUNDS",EN17))," | E_REVERSED_BOUNDS: "&amp;SUBSTITUTE(IFERROR(INDEX(nMSG_Text,MATCH("E_REVERSED_BOUNDS",nMSG_Code,0)),""),"[input]",""),"")&amp;IF(ISNUMBER(SEARCH("E_MISSING_INPUT",EN17))," | E_MISSING_INPUT: "&amp;SUBSTITUTE(IFERROR(INDEX(nMSG_Text,MATCH("E_MISSING_INPUT",nMSG_Code,0)),""),"[input]",IF("the source of the constraint"="","an input","the source of the constraint")),""),4,999))</f>
        <v/>
      </c>
      <c r="AH17" s="21" t="str">
        <f t="shared" si="12"/>
        <v/>
      </c>
      <c r="AI17" s="21" t="str">
        <f t="shared" si="13"/>
        <v/>
      </c>
      <c r="AJ17" s="21" t="str">
        <f t="shared" si="14"/>
        <v/>
      </c>
      <c r="AK17" s="21" t="str">
        <f t="shared" si="15"/>
        <v/>
      </c>
      <c r="AL17" s="21" t="str">
        <f>IF(CY17=0,"",INDEX(nTP_ISO,CY17))</f>
        <v/>
      </c>
      <c r="AM17" s="21" t="str">
        <f>IF(CY17=0,"",INDEX(nTP_Display,CY17))</f>
        <v/>
      </c>
      <c r="AN17" s="21" t="str">
        <f>IF(BI17=0,"",INDEX(nTP_ISO,BI17))</f>
        <v/>
      </c>
      <c r="AO17" s="21" t="str">
        <f>IF(BI17=0,"",INDEX(nTP_Display,BI17))</f>
        <v/>
      </c>
      <c r="AP17" s="21" t="str">
        <f>IF(BA17=0,"",INDEX(nLNK_Exposure_Episode_ID,BA17)&amp;"")</f>
        <v/>
      </c>
      <c r="AQ17" s="21" t="str">
        <f>IF(BA17=0,"",INDEX(nLNK_Event_Episode_ID,BA17)&amp;"")</f>
        <v/>
      </c>
      <c r="AR17" s="21" t="str">
        <f t="shared" si="16"/>
        <v/>
      </c>
      <c r="AS17" s="21" t="str">
        <f>IF(EI17=0,"",MID(IF(DT17=1," | Recovery interval (C7) computed with "&amp;DS17&amp;".","")&amp;IF(BG17=1," | Anchor selected under C5 (CALC-SPEC 1.1): latest administration with an exact date or time at or before "&amp;IF(BH17=1,"onset","the end point")&amp;" ("&amp;AJ17&amp;"), ordered in UTC when offsets are known; later administrations are never selected.","")&amp;IF(AND(BG17=1,CE17&gt;0)," | Partial-date administrations wholly before the selected one were not candidates: "&amp;FC17&amp;".","")&amp;IF(BV17&lt;&gt;""," | "&amp;BV17,"")&amp;IF(AND(DS17="C2",EA17=0,DZ17&lt;&gt;"")," | Same calendar date; both times are known, so C1 decides the order ("&amp;AA17&amp;").","")&amp;IF(AND(DS17="C2",DD17*BN17=1,DT17=0)," | Calendar-date difference from the recorded local dates; it is never described as elapsed days.","")&amp;IF(AND(DS17="C4",DT17=0)," | Bounds are treated as independent; no single date is imputed from them.","")&amp;IF(EJ17=1," | Treatment day under the inclusive convention (C3); never written to E2B fields automatically.","")&amp;IF(AND(DS17="C4",DT17=0,EK17=0)," | No constraint applied.","")&amp;IF(AND(DS17="C4",EK17=1)," | Constraint applied to the anchor bounds: "&amp;IF(ISNUMBER(P17),"not before "&amp;DAY(P17)&amp;" "&amp;INDEX(nLIST_Months,MONTH(P17))&amp;" "&amp;YEAR(P17),"")&amp;IF(AND(ISNUMBER(P17),ISNUMBER(Q17)),", ","")&amp;IF(ISNUMBER(Q17),"not after "&amp;DAY(Q17)&amp;" "&amp;INDEX(nLIST_Months,MONTH(Q17))&amp;" "&amp;YEAR(Q17),"")&amp;". Source: "&amp;IF(R17="","not recorded",R17)&amp;IF(EN17="",". Constrained result shown beside the unconstrained one.",". Constrained result blocked ("&amp;EN17&amp;")."),"")&amp;IF(DT17=1,IF(EO17&gt;0," | Intervention recorded between cessation and recovery (ends included): "&amp;EZ17&amp;"."," | No intervention is recorded between cessation and recovery; absence of a record is not evidence that none was given."),"")&amp;IF(AND(DT17=1,DV17&gt;0)," | Intervention recorded without a date, so whether it came before recovery is unknown: "&amp;INDEX(nMS_Milestone_ID,MATCH(1,INDEX((nMS_CaseKey=AX17)*(nMS_Type="INTERVENTION")*nMS_Undated,0),0))&amp;IF(DV17&gt;1," and "&amp;(DV17-1)&amp;" more","")&amp;".","")&amp;IF(AND(DT17=1,EP17&gt;0)," | Not counted as interventions, because they are recorded as exposures rather than as intervention milestones (nothing is inferred): "&amp;FB17&amp;". If treatment was given, record it as an intervention milestone.",""),4,9999))</f>
        <v/>
      </c>
      <c r="AT17" s="21" t="str">
        <f t="shared" si="17"/>
        <v/>
      </c>
      <c r="AU17" s="21" t="str">
        <f t="shared" si="18"/>
        <v/>
      </c>
      <c r="AV17" s="21" t="str">
        <f t="shared" si="19"/>
        <v/>
      </c>
      <c r="AW17" s="22">
        <f t="shared" si="20"/>
        <v>1</v>
      </c>
      <c r="AX17" s="21" t="str">
        <f t="shared" si="21"/>
        <v>|</v>
      </c>
      <c r="AY17" s="21" t="str">
        <f t="shared" si="22"/>
        <v/>
      </c>
      <c r="AZ17" s="22">
        <f>IF(AY17="",0,COUNTIF(nINT_Key,AY17))</f>
        <v>0</v>
      </c>
      <c r="BA17" s="22">
        <f>IF(D17="",0,IFERROR(MATCH(AX17&amp;"|"&amp;D17,nLNK_Key,0),0))</f>
        <v>0</v>
      </c>
      <c r="BB17" s="22">
        <f>IF(BA17=0,1,INDEX(nLNK_Exp_Found,BA17))</f>
        <v>1</v>
      </c>
      <c r="BC17" s="22">
        <f>IF(BA17=0,1,INDEX(nLNK_Evt_Found,BA17))</f>
        <v>1</v>
      </c>
      <c r="BD17" s="22">
        <f>IF(AP17="",0,COUNTIF(nEXP_Key,AX17&amp;"|"&amp;AP17))</f>
        <v>0</v>
      </c>
      <c r="BE17" s="22">
        <f>IF(AQ17="",0,COUNTIF(nEVT_Key,AX17&amp;"|"&amp;AQ17))</f>
        <v>0</v>
      </c>
      <c r="BF17" s="22">
        <f>IF(ISNA(MATCH(E17,nLIST_AnchorType,0)),0,1)</f>
        <v>0</v>
      </c>
      <c r="BG17" s="22">
        <f t="shared" si="23"/>
        <v>0</v>
      </c>
      <c r="BH17" s="22">
        <f t="shared" si="24"/>
        <v>0</v>
      </c>
      <c r="BI17" s="22">
        <f>IF(OR(AW17=1,AK17=""),0,IFERROR(MATCH(AX17&amp;"|"&amp;AK17,nTP_Key,0),0))</f>
        <v>0</v>
      </c>
      <c r="BJ17" s="21">
        <f>IF(BI17=0,0,INDEX(nTP_Dup,BI17))</f>
        <v>0</v>
      </c>
      <c r="BK17" s="21" t="str">
        <f>IF(BI17=0,"",INDEX(nTP_Record_Type,BI17))</f>
        <v/>
      </c>
      <c r="BL17" s="21" t="str">
        <f>IF(BI17=0,"",INDEX(nTP_Precision,BI17))</f>
        <v/>
      </c>
      <c r="BM17" s="21" t="str">
        <f>IF(BI17=0,"",INDEX(nTP_Err,BI17))</f>
        <v/>
      </c>
      <c r="BN17" s="21">
        <f>IF(BI17=0,0,INDEX(nTP_HT,BI17))</f>
        <v>0</v>
      </c>
      <c r="BO17" s="21">
        <f>IF(BI17=0,0,INDEX(nTP_OK,BI17))</f>
        <v>0</v>
      </c>
      <c r="BP17" s="21" t="str">
        <f>IF(BI17=0,"",INDEX(nTP_Loc,BI17))</f>
        <v/>
      </c>
      <c r="BQ17" s="21" t="str">
        <f>IF(BI17=0,"",INDEX(nTP_UTC,BI17))</f>
        <v/>
      </c>
      <c r="BR17" s="21" t="str">
        <f>IF(BI17=0,"",INDEX(nTP_Lo,BI17))</f>
        <v/>
      </c>
      <c r="BS17" s="21" t="str">
        <f>IF(BI17=0,"",INDEX(nTP_Hi,BI17))</f>
        <v/>
      </c>
      <c r="BT17" s="21" t="str">
        <f>IF(BI17=0,"",INDEX(nTP_Original_Text,BI17))</f>
        <v/>
      </c>
      <c r="BU17" s="21" t="str">
        <f>IF(BI17=0,"",INDEX(nTP_Source,BI17))</f>
        <v/>
      </c>
      <c r="BV17" s="21" t="str">
        <f>IF(BI17=0,"",INDEX(nTP_Lab_Note,BI17))</f>
        <v/>
      </c>
      <c r="BW17" s="22">
        <f t="shared" si="25"/>
        <v>0</v>
      </c>
      <c r="BX17" s="21" t="str">
        <f t="shared" si="26"/>
        <v>||</v>
      </c>
      <c r="BY17" s="22">
        <f>IF(BG17=0,0,COUNTIF(nTP_CandKey,BX17))</f>
        <v>0</v>
      </c>
      <c r="BZ17" s="22">
        <f>IF(BG17=0,0,COUNTIFS(nTP_CandKey,BX17,nTP_Err,""))</f>
        <v>0</v>
      </c>
      <c r="CA17" s="21" t="str">
        <f>IF(BY17=BZ17,"",IF(COUNTIFS(nTP_CandKey,BX17,nTP_Err,"E_INVALID_DATE")&gt;0,"; E_INVALID_DATE","")&amp;IF(COUNTIFS(nTP_CandKey,BX17,nTP_Err,"E_REVERSED_BOUNDS")&gt;0,"; E_REVERSED_BOUNDS","")&amp;IF(COUNTIFS(nTP_CandKey,BX17,nTP_Err,"E_MISSING_INPUT")&gt;0,"; E_MISSING_INPUT","")&amp;IF(COUNTIFS(nTP_CandKey,BX17,nTP_Err,"E_INVALID_UNIT")&gt;0,"; E_INVALID_UNIT",""))</f>
        <v/>
      </c>
      <c r="CB17" s="22">
        <f t="shared" si="27"/>
        <v>0</v>
      </c>
      <c r="CC17" s="22">
        <f>IF(CB17=0,0,SUMPRODUCT((nTP_CandKey=BX17)*(nTP_Err="")*(1-(nTP_HT*BN17*((nTP_OK*BO17*(nTP_UTC_n-N(BQ17))+(1-nTP_OK*BO17)*(nTP_Loc_n-N(BP17)))&lt;=0)+(1-nTP_HT*BN17)*(nTP_Hi_n&lt;N(BR17)))-(nTP_HT*BN17*((nTP_OK*BO17*(nTP_UTC_n-N(BQ17))+(1-nTP_OK*BO17)*(nTP_Loc_n-N(BP17)))&gt;0)+(1-nTP_HT*BN17)*(nTP_Lo_n&gt;N(BS17)))-((1-nTP_HT*BN17)*(nTP_Lo_n=nTP_Hi_n)*(nTP_Lo_n=N(BR17))*(N(BR17)=N(BS17))))))</f>
        <v>0</v>
      </c>
      <c r="CD17" s="22">
        <f>IF(CB17=0,0,SUMPRODUCT((nTP_CandKey=BX17)*nTP_Exact*((nTP_HT*BN17*((nTP_OK*BO17*(nTP_UTC_n-N(BQ17))+(1-nTP_OK*BO17)*(nTP_Loc_n-N(BP17)))&lt;=0)+(1-nTP_HT*BN17)*(nTP_Hi_n&lt;N(BR17)))+((1-nTP_HT*BN17)*(nTP_Lo_n=nTP_Hi_n)*(nTP_Lo_n=N(BR17))*(N(BR17)=N(BS17))))))</f>
        <v>0</v>
      </c>
      <c r="CE17" s="22">
        <f>IF(CB17=0,0,SUMPRODUCT((nTP_CandKey=BX17)*(nTP_Err="")*(1-nTP_Exact)*((nTP_HT*BN17*((nTP_OK*BO17*(nTP_UTC_n-N(BQ17))+(1-nTP_OK*BO17)*(nTP_Loc_n-N(BP17)))&lt;=0)+(1-nTP_HT*BN17)*(nTP_Hi_n&lt;N(BR17)))+((1-nTP_HT*BN17)*(nTP_Lo_n=nTP_Hi_n)*(nTP_Lo_n=N(BR17))*(N(BR17)=N(BS17))))))</f>
        <v>0</v>
      </c>
      <c r="CF17" s="22">
        <f>IF(CD17=0,0,SUMPRODUCT(MAX((nTP_CandKey=BX17)*nTP_Exact*((nTP_HT*BN17*((nTP_OK*BO17*(nTP_UTC_n-N(BQ17))+(1-nTP_OK*BO17)*(nTP_Loc_n-N(BP17)))&lt;=0)+(1-nTP_HT*BN17)*(nTP_Hi_n&lt;N(BR17)))+((1-nTP_HT*BN17)*(nTP_Lo_n=nTP_Hi_n)*(nTP_Lo_n=N(BR17))*(N(BR17)=N(BS17))))*nTP_Lo_n)))</f>
        <v>0</v>
      </c>
      <c r="CG17" s="22">
        <f>IF(CD17=0,0,SUMPRODUCT((nTP_CandKey=BX17)*nTP_Exact*((nTP_HT*BN17*((nTP_OK*BO17*(nTP_UTC_n-N(BQ17))+(1-nTP_OK*BO17)*(nTP_Loc_n-N(BP17)))&lt;=0)+(1-nTP_HT*BN17)*(nTP_Hi_n&lt;N(BR17)))+((1-nTP_HT*BN17)*(nTP_Lo_n=nTP_Hi_n)*(nTP_Lo_n=N(BR17))*(N(BR17)=N(BS17))))*(nTP_Lo_n=CF17)))</f>
        <v>0</v>
      </c>
      <c r="CH17" s="22">
        <f>IF(CD17=0,0,SUMPRODUCT((nTP_CandKey=BX17)*nTP_Exact*((nTP_HT*BN17*((nTP_OK*BO17*(nTP_UTC_n-N(BQ17))+(1-nTP_OK*BO17)*(nTP_Loc_n-N(BP17)))&lt;=0)+(1-nTP_HT*BN17)*(nTP_Hi_n&lt;N(BR17)))+((1-nTP_HT*BN17)*(nTP_Lo_n=nTP_Hi_n)*(nTP_Lo_n=N(BR17))*(N(BR17)=N(BS17))))*(1-nTP_HT)*(nTP_Lo_n=CF17)))</f>
        <v>0</v>
      </c>
      <c r="CI17" s="22">
        <f>IF(CD17=0,0,SUMPRODUCT(MAX((nTP_CandKey=BX17)*nTP_Exact*((nTP_HT*BN17*((nTP_OK*BO17*(nTP_UTC_n-N(BQ17))+(1-nTP_OK*BO17)*(nTP_Loc_n-N(BP17)))&lt;=0)+(1-nTP_HT*BN17)*(nTP_Hi_n&lt;N(BR17)))+((1-nTP_HT*BN17)*(nTP_Lo_n=nTP_Hi_n)*(nTP_Lo_n=N(BR17))*(N(BR17)=N(BS17))))*(1-nTP_HT)*nTP_Lo_n)))</f>
        <v>0</v>
      </c>
      <c r="CJ17" s="22">
        <f>IF(CD17=0,0,SUMPRODUCT(MAX((nTP_CandKey=BX17)*nTP_Exact*((nTP_HT*BN17*((nTP_OK*BO17*(nTP_UTC_n-N(BQ17))+(1-nTP_OK*BO17)*(nTP_Loc_n-N(BP17)))&lt;=0)+(1-nTP_HT*BN17)*(nTP_Hi_n&lt;N(BR17)))+((1-nTP_HT*BN17)*(nTP_Lo_n=nTP_Hi_n)*(nTP_Lo_n=N(BR17))*(N(BR17)=N(BS17))))*nTP_HT*nTP_OK*nTP_UTC_n)))</f>
        <v>0</v>
      </c>
      <c r="CK17" s="22">
        <f>IF(CJ17=0,0,SUMPRODUCT((nTP_CandKey=BX17)*nTP_Exact*((nTP_HT*BN17*((nTP_OK*BO17*(nTP_UTC_n-N(BQ17))+(1-nTP_OK*BO17)*(nTP_Loc_n-N(BP17)))&lt;=0)+(1-nTP_HT*BN17)*(nTP_Hi_n&lt;N(BR17)))+((1-nTP_HT*BN17)*(nTP_Lo_n=nTP_Hi_n)*(nTP_Lo_n=N(BR17))*(N(BR17)=N(BS17))))*nTP_HT*nTP_OK*(nTP_UTC_n=CJ17)))</f>
        <v>0</v>
      </c>
      <c r="CL17" s="22">
        <f>IF(CK17&lt;&gt;1,0,SUMPRODUCT((nTP_CandKey=BX17)*nTP_Exact*((nTP_HT*BN17*((nTP_OK*BO17*(nTP_UTC_n-N(BQ17))+(1-nTP_OK*BO17)*(nTP_Loc_n-N(BP17)))&lt;=0)+(1-nTP_HT*BN17)*(nTP_Hi_n&lt;N(BR17)))+((1-nTP_HT*BN17)*(nTP_Lo_n=nTP_Hi_n)*(nTP_Lo_n=N(BR17))*(N(BR17)=N(BS17))))*nTP_HT*nTP_OK*(nTP_UTC_n=CJ17)*nTP_Loc_n))</f>
        <v>0</v>
      </c>
      <c r="CM17" s="22">
        <f>IF(CK17&lt;&gt;1,0,SUMPRODUCT((nTP_CandKey=BX17)*nTP_Exact*((nTP_HT*BN17*((nTP_OK*BO17*(nTP_UTC_n-N(BQ17))+(1-nTP_OK*BO17)*(nTP_Loc_n-N(BP17)))&lt;=0)+(1-nTP_HT*BN17)*(nTP_Hi_n&lt;N(BR17)))+((1-nTP_HT*BN17)*(nTP_Lo_n=nTP_Hi_n)*(nTP_Lo_n=N(BR17))*(N(BR17)=N(BS17))))*nTP_HT*nTP_OK*(nTP_UTC_n=CJ17)*nTP_Lo_n))</f>
        <v>0</v>
      </c>
      <c r="CN17" s="22">
        <f>IF(CD17=0,0,SUMPRODUCT(MAX((nTP_CandKey=BX17)*nTP_Exact*((nTP_HT*BN17*((nTP_OK*BO17*(nTP_UTC_n-N(BQ17))+(1-nTP_OK*BO17)*(nTP_Loc_n-N(BP17)))&lt;=0)+(1-nTP_HT*BN17)*(nTP_Hi_n&lt;N(BR17)))+((1-nTP_HT*BN17)*(nTP_Lo_n=nTP_Hi_n)*(nTP_Lo_n=N(BR17))*(N(BR17)=N(BS17))))*nTP_HT*(1-nTP_OK)*nTP_Loc_n)))</f>
        <v>0</v>
      </c>
      <c r="CO17" s="22">
        <f>IF(CN17=0,0,SUMPRODUCT((nTP_CandKey=BX17)*nTP_Exact*((nTP_HT*BN17*((nTP_OK*BO17*(nTP_UTC_n-N(BQ17))+(1-nTP_OK*BO17)*(nTP_Loc_n-N(BP17)))&lt;=0)+(1-nTP_HT*BN17)*(nTP_Hi_n&lt;N(BR17)))+((1-nTP_HT*BN17)*(nTP_Lo_n=nTP_Hi_n)*(nTP_Lo_n=N(BR17))*(N(BR17)=N(BS17))))*nTP_HT*(1-nTP_OK)*(nTP_Loc_n=CN17)))</f>
        <v>0</v>
      </c>
      <c r="CP17" s="22">
        <f>IF(CO17&lt;&gt;1,0,SUMPRODUCT((nTP_CandKey=BX17)*nTP_Exact*((nTP_HT*BN17*((nTP_OK*BO17*(nTP_UTC_n-N(BQ17))+(1-nTP_OK*BO17)*(nTP_Loc_n-N(BP17)))&lt;=0)+(1-nTP_HT*BN17)*(nTP_Hi_n&lt;N(BR17)))+((1-nTP_HT*BN17)*(nTP_Lo_n=nTP_Hi_n)*(nTP_Lo_n=N(BR17))*(N(BR17)=N(BS17))))*nTP_HT*(1-nTP_OK)*(nTP_Loc_n=CN17)*nTP_Lo_n))</f>
        <v>0</v>
      </c>
      <c r="CQ17" s="22">
        <f>IF(CD17=0,0,SUMPRODUCT(MAX((nTP_CandKey=BX17)*nTP_Exact*((nTP_HT*BN17*((nTP_OK*BO17*(nTP_UTC_n-N(BQ17))+(1-nTP_OK*BO17)*(nTP_Loc_n-N(BP17)))&lt;=0)+(1-nTP_HT*BN17)*(nTP_Hi_n&lt;N(BR17)))+((1-nTP_HT*BN17)*(nTP_Lo_n=nTP_Hi_n)*(nTP_Lo_n=N(BR17))*(N(BR17)=N(BS17))))*nTP_HT*nTP_OK*nTP_Loc_n)))</f>
        <v>0</v>
      </c>
      <c r="CR17" s="22">
        <f t="shared" si="28"/>
        <v>0</v>
      </c>
      <c r="CS17" s="22">
        <f>IF(CR17=0,0,IF(CR17=1,MATCH(1,INDEX((nTP_CandKey=BX17)*nTP_Exact*((nTP_HT*BN17*((nTP_OK*BO17*(nTP_UTC_n-N(BQ17))+(1-nTP_OK*BO17)*(nTP_Loc_n-N(BP17)))&lt;=0)+(1-nTP_HT*BN17)*(nTP_Hi_n&lt;N(BR17)))+((1-nTP_HT*BN17)*(nTP_Lo_n=nTP_Hi_n)*(nTP_Lo_n=N(BR17))*(N(BR17)=N(BS17))))*(1-nTP_HT)*(nTP_Lo_n=CF17),0),0),IF(CR17=2,MATCH(1,INDEX((nTP_CandKey=BX17)*nTP_Exact*((nTP_HT*BN17*((nTP_OK*BO17*(nTP_UTC_n-N(BQ17))+(1-nTP_OK*BO17)*(nTP_Loc_n-N(BP17)))&lt;=0)+(1-nTP_HT*BN17)*(nTP_Hi_n&lt;N(BR17)))+((1-nTP_HT*BN17)*(nTP_Lo_n=nTP_Hi_n)*(nTP_Lo_n=N(BR17))*(N(BR17)=N(BS17))))*nTP_HT*nTP_OK*(nTP_UTC_n=CJ17),0),0),MATCH(1,INDEX((nTP_CandKey=BX17)*nTP_Exact*((nTP_HT*BN17*((nTP_OK*BO17*(nTP_UTC_n-N(BQ17))+(1-nTP_OK*BO17)*(nTP_Loc_n-N(BP17)))&lt;=0)+(1-nTP_HT*BN17)*(nTP_Hi_n&lt;N(BR17)))+((1-nTP_HT*BN17)*(nTP_Lo_n=nTP_Hi_n)*(nTP_Lo_n=N(BR17))*(N(BR17)=N(BS17))))*nTP_HT*(1-nTP_OK)*(nTP_Loc_n=CN17),0),0))))</f>
        <v>0</v>
      </c>
      <c r="CT17" s="22">
        <f>IF(CS17=0,0,INDEX(nTP_Lo_n,CS17))</f>
        <v>0</v>
      </c>
      <c r="CU17" s="22">
        <f>IF(CS17=0,0,SUMPRODUCT((nTP_CandKey=BX17)*(nTP_Err="")*(1-nTP_Exact)*((nTP_HT*BN17*((nTP_OK*BO17*(nTP_UTC_n-N(BQ17))+(1-nTP_OK*BO17)*(nTP_Loc_n-N(BP17)))&lt;=0)+(1-nTP_HT*BN17)*(nTP_Hi_n&lt;N(BR17)))+((1-nTP_HT*BN17)*(nTP_Lo_n=nTP_Hi_n)*(nTP_Lo_n=N(BR17))*(N(BR17)=N(BS17))))*(nTP_Hi_n&gt;=CT17)))</f>
        <v>0</v>
      </c>
      <c r="CV17" s="21" t="str">
        <f t="shared" si="29"/>
        <v/>
      </c>
      <c r="CW17" s="21" t="str">
        <f>IF(AND(BG17=1,CB17=1,CV17="",CS17&gt;0),INDEX(nTP_Record_ID,CS17)&amp;"","")</f>
        <v/>
      </c>
      <c r="CX17" s="21" t="str">
        <f>IF(OR(CV17="",BG17=0),"",IF(CV17="none","an administration record (last dose before onset)",IF(CV17="uncertain","the anchor record: "&amp;INDEX(nTP_Record_ID,MATCH(1,INDEX((nTP_CandKey=BX17)*(nTP_Err="")*(1-(nTP_HT*BN17*((nTP_OK*BO17*(nTP_UTC_n-N(BQ17))+(1-nTP_OK*BO17)*(nTP_Loc_n-N(BP17)))&lt;=0)+(1-nTP_HT*BN17)*(nTP_Hi_n&lt;N(BR17)))-(nTP_HT*BN17*((nTP_OK*BO17*(nTP_UTC_n-N(BQ17))+(1-nTP_OK*BO17)*(nTP_Loc_n-N(BP17)))&gt;0)+(1-nTP_HT*BN17)*(nTP_Lo_n&gt;N(BS17)))-((1-nTP_HT*BN17)*(nTP_Lo_n=nTP_Hi_n)*(nTP_Lo_n=N(BR17))*(N(BR17)=N(BS17)))),0),0))&amp;IF(CC17&gt;1," and "&amp;(CC17-1)&amp;" more","")&amp;" may fall before or after the end point, so the last dose cannot be identified from the recorded dates",IF(CV17="noneligible","the anchor record: no administration with an exact date is recorded at or before the end point",IF(CV17="tie","the anchor record: the order of the latest administrations cannot be told from the recorded dates and times","the anchor record: partial-date administration "&amp;INDEX(nTP_Record_ID,MATCH(1,INDEX((nTP_CandKey=BX17)*(nTP_Err="")*(1-nTP_Exact)*((nTP_HT*BN17*((nTP_OK*BO17*(nTP_UTC_n-N(BQ17))+(1-nTP_OK*BO17)*(nTP_Loc_n-N(BP17)))&lt;=0)+(1-nTP_HT*BN17)*(nTP_Hi_n&lt;N(BR17)))+((1-nTP_HT*BN17)*(nTP_Lo_n=nTP_Hi_n)*(nTP_Lo_n=N(BR17))*(N(BR17)=N(BS17))))*(nTP_Hi_n&gt;=CT17),0),0))&amp;" could be the last dose before the end point")))))</f>
        <v/>
      </c>
      <c r="CY17" s="22">
        <f>IF(OR(AW17=1,AJ17=""),0,IFERROR(MATCH(AX17&amp;"|"&amp;AJ17,nTP_Key,0),0))</f>
        <v>0</v>
      </c>
      <c r="CZ17" s="21">
        <f>IF(CY17=0,0,INDEX(nTP_Dup,CY17))</f>
        <v>0</v>
      </c>
      <c r="DA17" s="21" t="str">
        <f>IF(CY17=0,"",INDEX(nTP_Record_Type,CY17))</f>
        <v/>
      </c>
      <c r="DB17" s="21" t="str">
        <f>IF(CY17=0,"",INDEX(nTP_Precision,CY17))</f>
        <v/>
      </c>
      <c r="DC17" s="21" t="str">
        <f>IF(CY17=0,"",INDEX(nTP_Err,CY17))</f>
        <v/>
      </c>
      <c r="DD17" s="21">
        <f>IF(CY17=0,0,INDEX(nTP_HT,CY17))</f>
        <v>0</v>
      </c>
      <c r="DE17" s="21">
        <f>IF(CY17=0,0,INDEX(nTP_OK,CY17))</f>
        <v>0</v>
      </c>
      <c r="DF17" s="21" t="str">
        <f>IF(CY17=0,"",INDEX(nTP_Loc,CY17))</f>
        <v/>
      </c>
      <c r="DG17" s="21" t="str">
        <f>IF(CY17=0,"",INDEX(nTP_UTC,CY17))</f>
        <v/>
      </c>
      <c r="DH17" s="21" t="str">
        <f>IF(CY17=0,"",INDEX(nTP_Lo,CY17))</f>
        <v/>
      </c>
      <c r="DI17" s="21" t="str">
        <f>IF(CY17=0,"",INDEX(nTP_Hi,CY17))</f>
        <v/>
      </c>
      <c r="DJ17" s="21" t="str">
        <f>IF(CY17=0,"",INDEX(nTP_Original_Text,CY17))</f>
        <v/>
      </c>
      <c r="DK17" s="21" t="str">
        <f>IF(CY17=0,"",INDEX(nTP_Source,CY17))</f>
        <v/>
      </c>
      <c r="DL17" s="22">
        <f t="shared" si="30"/>
        <v>0</v>
      </c>
      <c r="DM17" s="21" t="str">
        <f t="shared" si="31"/>
        <v/>
      </c>
      <c r="DN17" s="21" t="str">
        <f t="shared" si="32"/>
        <v/>
      </c>
      <c r="DO17" s="21" t="str">
        <f t="shared" si="33"/>
        <v/>
      </c>
      <c r="DP17" s="21" t="str">
        <f t="shared" si="34"/>
        <v/>
      </c>
      <c r="DQ17" s="21" t="str">
        <f t="shared" si="35"/>
        <v/>
      </c>
      <c r="DR17" s="22">
        <f>IF(OR(DQ17="",I17=""),0,IF(ISNA(MATCH(I17,nLIST_Mode,0)),1,IF(AND(I17="C1",DQ17&lt;&gt;"C1"),1,IF(AND(I17="C2",DQ17="C4"),1,0))))</f>
        <v>0</v>
      </c>
      <c r="DS17" s="21" t="str">
        <f t="shared" si="36"/>
        <v/>
      </c>
      <c r="DT17" s="22">
        <f t="shared" si="37"/>
        <v>0</v>
      </c>
      <c r="DU17" s="21" t="str">
        <f>IF(DT17=0,"",IF(COUNTIFS(nTP_Case_Key,AX17,nTP_Record_Type,"MILESTONE:INTERVENTION",nTP_Err,"E_INVALID_DATE")&gt;0,"; E_INVALID_DATE","")&amp;IF(COUNTIFS(nTP_Case_Key,AX17,nTP_Record_Type,"MILESTONE:INTERVENTION",nTP_Err,"E_REVERSED_BOUNDS")&gt;0,"; E_REVERSED_BOUNDS","")&amp;IF(COUNTIFS(nTP_Case_Key,AX17,nTP_Record_Type,"MILESTONE:INTERVENTION",nTP_Err,"E_MISSING_INPUT")&gt;0,"; E_MISSING_INPUT","")&amp;IF(COUNTIFS(nTP_Case_Key,AX17,nTP_Record_Type,"MILESTONE:INTERVENTION",nTP_Err,"E_INVALID_UNIT")&gt;0,"; E_INVALID_UNIT",""))</f>
        <v/>
      </c>
      <c r="DV17" s="22">
        <f>IF(DT17=0,0,SUMPRODUCT((nMS_CaseKey=AX17)*(nMS_Type="INTERVENTION")*nMS_Undated))</f>
        <v>0</v>
      </c>
      <c r="DW17" s="21" t="str">
        <f t="shared" si="38"/>
        <v/>
      </c>
      <c r="DX17" s="21" t="str">
        <f t="shared" si="39"/>
        <v/>
      </c>
      <c r="DY17" s="22">
        <f t="shared" si="40"/>
        <v>1</v>
      </c>
      <c r="DZ17" s="21" t="str">
        <f t="shared" si="41"/>
        <v/>
      </c>
      <c r="EA17" s="21" t="str">
        <f t="shared" si="42"/>
        <v/>
      </c>
      <c r="EB17" s="21" t="str">
        <f t="shared" si="43"/>
        <v/>
      </c>
      <c r="EC17" s="21" t="str">
        <f t="shared" si="44"/>
        <v/>
      </c>
      <c r="ED17" s="22">
        <f t="shared" si="45"/>
        <v>0</v>
      </c>
      <c r="EE17" s="22">
        <f t="shared" si="46"/>
        <v>0</v>
      </c>
      <c r="EF17" s="21" t="str">
        <f>IF(ED17=0,"",IF(OR(NOT(ISNUMBER(L17)),NOT(ISNUMBER(M17))),"I_APPROXIMATE_NOT_COMPARED",IF(AND(N17&lt;&gt;"",ISNA(MATCH(N17,nLIST_ReportedUnit,0))),"E_INVALID_UNIT",IF(N17="","E_MISSING_INPUT",IF(L17&gt;M17,"E_REVERSED_BOUNDS",IF(OR(N17="weeks",N17="months",N17="years"),"I_APPROXIMATE_NOT_COMPARED",IF(DX17&lt;&gt;"","",IF(EE17=0,"I_APPROXIMATE_NOT_COMPARED",IF(AND(L17*EE17&lt;=IF(DS17="C4",EC17,IF(DS17="C1",DZ17,EA17)),M17*EE17&gt;=IF(DS17="C4",EB17,IF(DS17="C1",DZ17,EA17))),"OVERLAP","W_REPORTED_TIMING_CONFLICT")))))))))</f>
        <v/>
      </c>
      <c r="EG17" s="21" t="str">
        <f t="shared" si="47"/>
        <v/>
      </c>
      <c r="EH17" s="21" t="str">
        <f t="shared" si="48"/>
        <v/>
      </c>
      <c r="EI17" s="22">
        <f t="shared" si="49"/>
        <v>0</v>
      </c>
      <c r="EJ17" s="22">
        <f t="shared" si="50"/>
        <v>0</v>
      </c>
      <c r="EK17" s="22">
        <f t="shared" si="51"/>
        <v>0</v>
      </c>
      <c r="EL17" s="28" t="str">
        <f t="shared" si="52"/>
        <v/>
      </c>
      <c r="EM17" s="28" t="str">
        <f t="shared" si="53"/>
        <v/>
      </c>
      <c r="EN17" s="21" t="str">
        <f t="shared" si="54"/>
        <v/>
      </c>
      <c r="EO17" s="22">
        <f>IF(OR(DT17=0,DX17&lt;&gt;""),0,SUMPRODUCT((nTP_Case_Key=AX17)*(nTP_Record_Type="MILESTONE:INTERVENTION")*(nTP_Err="")*(nTP_HT*DD17*BN17*(nTP_OK*DE17*(nTP_UTC_n&gt;=N(DG17))+(1-nTP_OK*DE17)*(nTP_Loc_n&gt;=N(DF17)))*(nTP_OK*BO17*(nTP_UTC_n&lt;=N(BQ17))+(1-nTP_OK*BO17)*(nTP_Loc_n&lt;=N(BP17)))+(1-nTP_HT*DD17*BN17)*(nTP_Hi_n&gt;=N(DH17))*(nTP_Lo_n&lt;=N(BS17)))))</f>
        <v>0</v>
      </c>
      <c r="EP17" s="22">
        <f>IF(OR(DT17=0,DX17&lt;&gt;""),0,SUMPRODUCT((nTP_Case_Key=AX17)*(nTP_Role="treatment of the event")*((nTP_Record_Type="EXPOSURE_START")+(nTP_Record_Type="ADMINISTRATION"))*(nTP_Err="")*(nTP_HT*DD17*BN17*(nTP_OK*DE17*(nTP_UTC_n&gt;=N(DG17))+(1-nTP_OK*DE17)*(nTP_Loc_n&gt;=N(DF17)))*(nTP_OK*BO17*(nTP_UTC_n&lt;=N(BQ17))+(1-nTP_OK*BO17)*(nTP_Loc_n&lt;=N(BP17)))+(1-nTP_HT*DD17*BN17)*(nTP_Hi_n&gt;=N(DH17))*(nTP_Lo_n&lt;=N(BS17)))))</f>
        <v>0</v>
      </c>
      <c r="EQ17" s="22">
        <f>IF(EO17&lt;1,0,IFERROR(_xlfn.AGGREGATE(15,6,nTP_RowN/((nTP_Case_Key=AX17)*(nTP_Record_Type="MILESTONE:INTERVENTION")*(nTP_Err="")*(nTP_HT*DD17*BN17*(nTP_OK*DE17*(nTP_UTC_n&gt;=N(DG17))+(1-nTP_OK*DE17)*(nTP_Loc_n&gt;=N(DF17)))*(nTP_OK*BO17*(nTP_UTC_n&lt;=N(BQ17))+(1-nTP_OK*BO17)*(nTP_Loc_n&lt;=N(BP17)))+(1-nTP_HT*DD17*BN17)*(nTP_Hi_n&gt;=N(DH17))*(nTP_Lo_n&lt;=N(BS17)))),1),0))</f>
        <v>0</v>
      </c>
      <c r="ER17" s="22">
        <f>IF(EO17&lt;2,0,IFERROR(_xlfn.AGGREGATE(15,6,nTP_RowN/((nTP_Case_Key=AX17)*(nTP_Record_Type="MILESTONE:INTERVENTION")*(nTP_Err="")*(nTP_HT*DD17*BN17*(nTP_OK*DE17*(nTP_UTC_n&gt;=N(DG17))+(1-nTP_OK*DE17)*(nTP_Loc_n&gt;=N(DF17)))*(nTP_OK*BO17*(nTP_UTC_n&lt;=N(BQ17))+(1-nTP_OK*BO17)*(nTP_Loc_n&lt;=N(BP17)))+(1-nTP_HT*DD17*BN17)*(nTP_Hi_n&gt;=N(DH17))*(nTP_Lo_n&lt;=N(BS17)))),2),0))</f>
        <v>0</v>
      </c>
      <c r="ES17" s="22">
        <f>IF(EO17&lt;3,0,IFERROR(_xlfn.AGGREGATE(15,6,nTP_RowN/((nTP_Case_Key=AX17)*(nTP_Record_Type="MILESTONE:INTERVENTION")*(nTP_Err="")*(nTP_HT*DD17*BN17*(nTP_OK*DE17*(nTP_UTC_n&gt;=N(DG17))+(1-nTP_OK*DE17)*(nTP_Loc_n&gt;=N(DF17)))*(nTP_OK*BO17*(nTP_UTC_n&lt;=N(BQ17))+(1-nTP_OK*BO17)*(nTP_Loc_n&lt;=N(BP17)))+(1-nTP_HT*DD17*BN17)*(nTP_Hi_n&gt;=N(DH17))*(nTP_Lo_n&lt;=N(BS17)))),3),0))</f>
        <v>0</v>
      </c>
      <c r="ET17" s="22">
        <f>IF(EP17&lt;1,0,IFERROR(_xlfn.AGGREGATE(15,6,nTP_RowN/((nTP_Case_Key=AX17)*(nTP_Role="treatment of the event")*((nTP_Record_Type="EXPOSURE_START")+(nTP_Record_Type="ADMINISTRATION"))*(nTP_Err="")*(nTP_HT*DD17*BN17*(nTP_OK*DE17*(nTP_UTC_n&gt;=N(DG17))+(1-nTP_OK*DE17)*(nTP_Loc_n&gt;=N(DF17)))*(nTP_OK*BO17*(nTP_UTC_n&lt;=N(BQ17))+(1-nTP_OK*BO17)*(nTP_Loc_n&lt;=N(BP17)))+(1-nTP_HT*DD17*BN17)*(nTP_Hi_n&gt;=N(DH17))*(nTP_Lo_n&lt;=N(BS17)))),1),0))</f>
        <v>0</v>
      </c>
      <c r="EU17" s="22">
        <f>IF(EP17&lt;2,0,IFERROR(_xlfn.AGGREGATE(15,6,nTP_RowN/((nTP_Case_Key=AX17)*(nTP_Role="treatment of the event")*((nTP_Record_Type="EXPOSURE_START")+(nTP_Record_Type="ADMINISTRATION"))*(nTP_Err="")*(nTP_HT*DD17*BN17*(nTP_OK*DE17*(nTP_UTC_n&gt;=N(DG17))+(1-nTP_OK*DE17)*(nTP_Loc_n&gt;=N(DF17)))*(nTP_OK*BO17*(nTP_UTC_n&lt;=N(BQ17))+(1-nTP_OK*BO17)*(nTP_Loc_n&lt;=N(BP17)))+(1-nTP_HT*DD17*BN17)*(nTP_Hi_n&gt;=N(DH17))*(nTP_Lo_n&lt;=N(BS17)))),2),0))</f>
        <v>0</v>
      </c>
      <c r="EV17" s="22">
        <f>IF(EP17&lt;3,0,IFERROR(_xlfn.AGGREGATE(15,6,nTP_RowN/((nTP_Case_Key=AX17)*(nTP_Role="treatment of the event")*((nTP_Record_Type="EXPOSURE_START")+(nTP_Record_Type="ADMINISTRATION"))*(nTP_Err="")*(nTP_HT*DD17*BN17*(nTP_OK*DE17*(nTP_UTC_n&gt;=N(DG17))+(1-nTP_OK*DE17)*(nTP_Loc_n&gt;=N(DF17)))*(nTP_OK*BO17*(nTP_UTC_n&lt;=N(BQ17))+(1-nTP_OK*BO17)*(nTP_Loc_n&lt;=N(BP17)))+(1-nTP_HT*DD17*BN17)*(nTP_Hi_n&gt;=N(DH17))*(nTP_Lo_n&lt;=N(BS17)))),3),0))</f>
        <v>0</v>
      </c>
      <c r="EW17" s="22">
        <f>IF(CE17&lt;1,0,IFERROR(_xlfn.AGGREGATE(15,6,nTP_RowN/((nTP_CandKey=BX17)*(nTP_Err="")*(1-nTP_Exact)*((nTP_HT*BN17*((nTP_OK*BO17*(nTP_UTC_n-N(BQ17))+(1-nTP_OK*BO17)*(nTP_Loc_n-N(BP17)))&lt;=0)+(1-nTP_HT*BN17)*(nTP_Hi_n&lt;N(BR17)))+((1-nTP_HT*BN17)*(nTP_Lo_n=nTP_Hi_n)*(nTP_Lo_n=N(BR17))*(N(BR17)=N(BS17))))),1),0))</f>
        <v>0</v>
      </c>
      <c r="EX17" s="22">
        <f>IF(CE17&lt;2,0,IFERROR(_xlfn.AGGREGATE(15,6,nTP_RowN/((nTP_CandKey=BX17)*(nTP_Err="")*(1-nTP_Exact)*((nTP_HT*BN17*((nTP_OK*BO17*(nTP_UTC_n-N(BQ17))+(1-nTP_OK*BO17)*(nTP_Loc_n-N(BP17)))&lt;=0)+(1-nTP_HT*BN17)*(nTP_Hi_n&lt;N(BR17)))+((1-nTP_HT*BN17)*(nTP_Lo_n=nTP_Hi_n)*(nTP_Lo_n=N(BR17))*(N(BR17)=N(BS17))))),2),0))</f>
        <v>0</v>
      </c>
      <c r="EY17" s="22">
        <f>IF(CE17&lt;3,0,IFERROR(_xlfn.AGGREGATE(15,6,nTP_RowN/((nTP_CandKey=BX17)*(nTP_Err="")*(1-nTP_Exact)*((nTP_HT*BN17*((nTP_OK*BO17*(nTP_UTC_n-N(BQ17))+(1-nTP_OK*BO17)*(nTP_Loc_n-N(BP17)))&lt;=0)+(1-nTP_HT*BN17)*(nTP_Hi_n&lt;N(BR17)))+((1-nTP_HT*BN17)*(nTP_Lo_n=nTP_Hi_n)*(nTP_Lo_n=N(BR17))*(N(BR17)=N(BS17))))),3),0))</f>
        <v>0</v>
      </c>
      <c r="EZ17" s="21" t="str">
        <f>IF(EO17=0,"",MID(IF(EQ17&gt;0,"; "&amp;INDEX(nTP_Record_ID,EQ17)&amp;IF(INDEX(nTP_Label,EQ17)="",""," ("&amp;INDEX(nTP_Label,EQ17)&amp;")"),"")&amp;IF(ER17&gt;0,"; "&amp;INDEX(nTP_Record_ID,ER17)&amp;IF(INDEX(nTP_Label,ER17)="",""," ("&amp;INDEX(nTP_Label,ER17)&amp;")"),"")&amp;IF(ES17&gt;0,"; "&amp;INDEX(nTP_Record_ID,ES17)&amp;IF(INDEX(nTP_Label,ES17)="",""," ("&amp;INDEX(nTP_Label,ES17)&amp;")"),"")&amp;IF(EO17&gt;3,"; and "&amp;(EO17-3)&amp;" more",""),3,999))</f>
        <v/>
      </c>
      <c r="FA17" s="21" t="str">
        <f>IF(EO17=0,"",MID(IF(EQ17&gt;0,"; "&amp;INDEX(nTP_Record_ID,EQ17),"")&amp;IF(ER17&gt;0,"; "&amp;INDEX(nTP_Record_ID,ER17),"")&amp;IF(ES17&gt;0,"; "&amp;INDEX(nTP_Record_ID,ES17),"")&amp;IF(EO17&gt;3,"; and "&amp;(EO17-3)&amp;" more",""),3,999))</f>
        <v/>
      </c>
      <c r="FB17" s="21" t="str">
        <f>IF(EP17=0,"",MID(IF(ET17&gt;0,"; "&amp;INDEX(nTP_Record_ID,ET17)&amp;IF(INDEX(nTP_Label,ET17)="",""," ("&amp;INDEX(nTP_Label,ET17)&amp;")"),"")&amp;IF(EU17&gt;0,"; "&amp;INDEX(nTP_Record_ID,EU17)&amp;IF(INDEX(nTP_Label,EU17)="",""," ("&amp;INDEX(nTP_Label,EU17)&amp;")"),"")&amp;IF(EV17&gt;0,"; "&amp;INDEX(nTP_Record_ID,EV17)&amp;IF(INDEX(nTP_Label,EV17)="",""," ("&amp;INDEX(nTP_Label,EV17)&amp;")"),"")&amp;IF(EP17&gt;3,"; and "&amp;(EP17-3)&amp;" more",""),3,999))</f>
        <v/>
      </c>
      <c r="FC17" s="21" t="str">
        <f>IF(CE17=0,"",MID(IF(EW17&gt;0,"; "&amp;INDEX(nTP_Record_ID,EW17),"")&amp;IF(EX17&gt;0,"; "&amp;INDEX(nTP_Record_ID,EX17),"")&amp;IF(EY17&gt;0,"; "&amp;INDEX(nTP_Record_ID,EY17),"")&amp;IF(CE17&gt;3,"; and "&amp;(CE17-3)&amp;" more",""),3,999))</f>
        <v/>
      </c>
      <c r="FD17" s="22">
        <f t="shared" si="55"/>
        <v>0</v>
      </c>
      <c r="FE17" s="22">
        <f t="shared" si="56"/>
        <v>0</v>
      </c>
      <c r="FF17" s="22">
        <f t="shared" si="57"/>
        <v>0</v>
      </c>
      <c r="FG17" s="22">
        <f t="shared" si="58"/>
        <v>0</v>
      </c>
      <c r="FH17" s="22">
        <f t="shared" si="59"/>
        <v>0</v>
      </c>
      <c r="FI17" s="22">
        <f t="shared" si="60"/>
        <v>0</v>
      </c>
      <c r="FJ17" s="22">
        <f t="shared" si="61"/>
        <v>0</v>
      </c>
      <c r="FK17" s="22">
        <f t="shared" si="62"/>
        <v>0</v>
      </c>
    </row>
    <row r="18" spans="1:167" x14ac:dyDescent="0.2">
      <c r="A18" s="10"/>
      <c r="B18" s="10"/>
      <c r="C18" s="12"/>
      <c r="D18" s="10"/>
      <c r="E18" s="17"/>
      <c r="F18" s="10"/>
      <c r="G18" s="10"/>
      <c r="H18" s="10"/>
      <c r="I18" s="17"/>
      <c r="J18" s="17"/>
      <c r="K18" s="10"/>
      <c r="L18" s="17"/>
      <c r="M18" s="17"/>
      <c r="N18" s="17"/>
      <c r="O18" s="10"/>
      <c r="P18" s="15"/>
      <c r="Q18" s="15"/>
      <c r="R18" s="10"/>
      <c r="S18" s="10"/>
      <c r="T18" s="21" t="str">
        <f t="shared" si="0"/>
        <v/>
      </c>
      <c r="U18" s="21" t="str">
        <f t="shared" si="1"/>
        <v/>
      </c>
      <c r="V18" s="21" t="str">
        <f t="shared" si="2"/>
        <v/>
      </c>
      <c r="W18" s="21" t="str">
        <f t="shared" si="3"/>
        <v/>
      </c>
      <c r="X18" s="21" t="str">
        <f t="shared" si="4"/>
        <v/>
      </c>
      <c r="Y18" s="21" t="str">
        <f t="shared" si="5"/>
        <v/>
      </c>
      <c r="Z18" s="21" t="str">
        <f t="shared" si="6"/>
        <v/>
      </c>
      <c r="AA18" s="21" t="str">
        <f t="shared" si="7"/>
        <v/>
      </c>
      <c r="AB18" s="21" t="str">
        <f t="shared" si="8"/>
        <v/>
      </c>
      <c r="AC18" s="21" t="str">
        <f t="shared" si="9"/>
        <v/>
      </c>
      <c r="AD18" s="21" t="str">
        <f>IF(AW18=1,"",MID(IF(ISNUMBER(SEARCH("E_INVALID_DATE",EG18))," | E_INVALID_DATE: "&amp;SUBSTITUTE(IFERROR(INDEX(nMSG_Text,MATCH("E_INVALID_DATE",nMSG_Code,0)),""),"[input]",""),"")&amp;IF(ISNUMBER(SEARCH("E_REVERSED_BOUNDS",EG18))," | E_REVERSED_BOUNDS: "&amp;SUBSTITUTE(IFERROR(INDEX(nMSG_Text,MATCH("E_REVERSED_BOUNDS",nMSG_Code,0)),""),"[input]",""),"")&amp;IF(ISNUMBER(SEARCH("E_DUPLICATE_ID",EG18))," | E_DUPLICATE_ID: "&amp;SUBSTITUTE(IFERROR(INDEX(nMSG_Text,MATCH("E_DUPLICATE_ID",nMSG_Code,0)),""),"[input]",""),"")&amp;IF(ISNUMBER(SEARCH("E_MISSING_LINK",EG18))," | E_MISSING_LINK: "&amp;SUBSTITUTE(IFERROR(INDEX(nMSG_Text,MATCH("E_MISSING_LINK",nMSG_Code,0)),""),"[input]",""),"")&amp;IF(ISNUMBER(SEARCH("E_MISSING_INPUT",EG18))," | E_MISSING_INPUT: "&amp;SUBSTITUTE(IFERROR(INDEX(nMSG_Text,MATCH("E_MISSING_INPUT",nMSG_Code,0)),""),"[input]",IF(EH18="","an input",EH18)),"")&amp;IF(ISNUMBER(SEARCH("E_INVALID_UNIT",EG18))," | E_INVALID_UNIT: "&amp;SUBSTITUTE(IFERROR(INDEX(nMSG_Text,MATCH("E_INVALID_UNIT",nMSG_Code,0)),""),"[input]",""),"")&amp;IF(FD18=1," | W_TZ_UNKNOWN: "&amp;SUBSTITUTE(IFERROR(INDEX(nMSG_Text,MATCH("W_TZ_UNKNOWN",nMSG_Code,0)),""),"[input]",""),"")&amp;IF(FE18=1," | W_SAME_DATE_ORDER_UNKNOWN: "&amp;SUBSTITUTE(IFERROR(INDEX(nMSG_Text,MATCH("W_SAME_DATE_ORDER_UNKNOWN",nMSG_Code,0)),""),"[input]",""),"")&amp;IF(FF18=1," | W_SEQUENCE_UNCERTAIN: "&amp;SUBSTITUTE(IFERROR(INDEX(nMSG_Text,MATCH("W_SEQUENCE_UNCERTAIN",nMSG_Code,0)),""),"[input]",""),"")&amp;IF(FG18=1," | W_ADMIN_SAME_DATE_AS_ONSET: "&amp;SUBSTITUTE(IFERROR(INDEX(nMSG_Text,MATCH("W_ADMIN_SAME_DATE_AS_ONSET",nMSG_Code,0)),""),"[input]",""),"")&amp;IF(FH18=1," | W_REPORTED_TIMING_CONFLICT: "&amp;SUBSTITUTE(IFERROR(INDEX(nMSG_Text,MATCH("W_REPORTED_TIMING_CONFLICT",nMSG_Code,0)),""),"[input]",""),"")&amp;IF(FI18=1," | W_INTERVENTION_BEFORE_RECOVERY: "&amp;SUBSTITUTE(IFERROR(INDEX(nMSG_Text,MATCH("W_INTERVENTION_BEFORE_RECOVERY",nMSG_Code,0)),""),"[input]",""),"")&amp;IF(FJ18=1," | I_TREATMENT_DAY_UNDEFINED: "&amp;SUBSTITUTE(IFERROR(INDEX(nMSG_Text,MATCH("I_TREATMENT_DAY_UNDEFINED",nMSG_Code,0)),""),"[input]",""),"")&amp;IF(FK18=1," | I_APPROXIMATE_NOT_COMPARED: "&amp;SUBSTITUTE(IFERROR(INDEX(nMSG_Text,MATCH("I_APPROXIMATE_NOT_COMPARED",nMSG_Code,0)),""),"[input]",""),""),4,9999))</f>
        <v/>
      </c>
      <c r="AE18" s="21" t="str">
        <f t="shared" si="10"/>
        <v/>
      </c>
      <c r="AF18" s="21" t="str">
        <f t="shared" si="11"/>
        <v/>
      </c>
      <c r="AG18" s="21" t="str">
        <f>IF(EN18="","",MID(IF(ISNUMBER(SEARCH("E_REVERSED_BOUNDS",EN18))," | E_REVERSED_BOUNDS: "&amp;SUBSTITUTE(IFERROR(INDEX(nMSG_Text,MATCH("E_REVERSED_BOUNDS",nMSG_Code,0)),""),"[input]",""),"")&amp;IF(ISNUMBER(SEARCH("E_MISSING_INPUT",EN18))," | E_MISSING_INPUT: "&amp;SUBSTITUTE(IFERROR(INDEX(nMSG_Text,MATCH("E_MISSING_INPUT",nMSG_Code,0)),""),"[input]",IF("the source of the constraint"="","an input","the source of the constraint")),""),4,999))</f>
        <v/>
      </c>
      <c r="AH18" s="21" t="str">
        <f t="shared" si="12"/>
        <v/>
      </c>
      <c r="AI18" s="21" t="str">
        <f t="shared" si="13"/>
        <v/>
      </c>
      <c r="AJ18" s="21" t="str">
        <f t="shared" si="14"/>
        <v/>
      </c>
      <c r="AK18" s="21" t="str">
        <f t="shared" si="15"/>
        <v/>
      </c>
      <c r="AL18" s="21" t="str">
        <f>IF(CY18=0,"",INDEX(nTP_ISO,CY18))</f>
        <v/>
      </c>
      <c r="AM18" s="21" t="str">
        <f>IF(CY18=0,"",INDEX(nTP_Display,CY18))</f>
        <v/>
      </c>
      <c r="AN18" s="21" t="str">
        <f>IF(BI18=0,"",INDEX(nTP_ISO,BI18))</f>
        <v/>
      </c>
      <c r="AO18" s="21" t="str">
        <f>IF(BI18=0,"",INDEX(nTP_Display,BI18))</f>
        <v/>
      </c>
      <c r="AP18" s="21" t="str">
        <f>IF(BA18=0,"",INDEX(nLNK_Exposure_Episode_ID,BA18)&amp;"")</f>
        <v/>
      </c>
      <c r="AQ18" s="21" t="str">
        <f>IF(BA18=0,"",INDEX(nLNK_Event_Episode_ID,BA18)&amp;"")</f>
        <v/>
      </c>
      <c r="AR18" s="21" t="str">
        <f t="shared" si="16"/>
        <v/>
      </c>
      <c r="AS18" s="21" t="str">
        <f>IF(EI18=0,"",MID(IF(DT18=1," | Recovery interval (C7) computed with "&amp;DS18&amp;".","")&amp;IF(BG18=1," | Anchor selected under C5 (CALC-SPEC 1.1): latest administration with an exact date or time at or before "&amp;IF(BH18=1,"onset","the end point")&amp;" ("&amp;AJ18&amp;"), ordered in UTC when offsets are known; later administrations are never selected.","")&amp;IF(AND(BG18=1,CE18&gt;0)," | Partial-date administrations wholly before the selected one were not candidates: "&amp;FC18&amp;".","")&amp;IF(BV18&lt;&gt;""," | "&amp;BV18,"")&amp;IF(AND(DS18="C2",EA18=0,DZ18&lt;&gt;"")," | Same calendar date; both times are known, so C1 decides the order ("&amp;AA18&amp;").","")&amp;IF(AND(DS18="C2",DD18*BN18=1,DT18=0)," | Calendar-date difference from the recorded local dates; it is never described as elapsed days.","")&amp;IF(AND(DS18="C4",DT18=0)," | Bounds are treated as independent; no single date is imputed from them.","")&amp;IF(EJ18=1," | Treatment day under the inclusive convention (C3); never written to E2B fields automatically.","")&amp;IF(AND(DS18="C4",DT18=0,EK18=0)," | No constraint applied.","")&amp;IF(AND(DS18="C4",EK18=1)," | Constraint applied to the anchor bounds: "&amp;IF(ISNUMBER(P18),"not before "&amp;DAY(P18)&amp;" "&amp;INDEX(nLIST_Months,MONTH(P18))&amp;" "&amp;YEAR(P18),"")&amp;IF(AND(ISNUMBER(P18),ISNUMBER(Q18)),", ","")&amp;IF(ISNUMBER(Q18),"not after "&amp;DAY(Q18)&amp;" "&amp;INDEX(nLIST_Months,MONTH(Q18))&amp;" "&amp;YEAR(Q18),"")&amp;". Source: "&amp;IF(R18="","not recorded",R18)&amp;IF(EN18="",". Constrained result shown beside the unconstrained one.",". Constrained result blocked ("&amp;EN18&amp;")."),"")&amp;IF(DT18=1,IF(EO18&gt;0," | Intervention recorded between cessation and recovery (ends included): "&amp;EZ18&amp;"."," | No intervention is recorded between cessation and recovery; absence of a record is not evidence that none was given."),"")&amp;IF(AND(DT18=1,DV18&gt;0)," | Intervention recorded without a date, so whether it came before recovery is unknown: "&amp;INDEX(nMS_Milestone_ID,MATCH(1,INDEX((nMS_CaseKey=AX18)*(nMS_Type="INTERVENTION")*nMS_Undated,0),0))&amp;IF(DV18&gt;1," and "&amp;(DV18-1)&amp;" more","")&amp;".","")&amp;IF(AND(DT18=1,EP18&gt;0)," | Not counted as interventions, because they are recorded as exposures rather than as intervention milestones (nothing is inferred): "&amp;FB18&amp;". If treatment was given, record it as an intervention milestone.",""),4,9999))</f>
        <v/>
      </c>
      <c r="AT18" s="21" t="str">
        <f t="shared" si="17"/>
        <v/>
      </c>
      <c r="AU18" s="21" t="str">
        <f t="shared" si="18"/>
        <v/>
      </c>
      <c r="AV18" s="21" t="str">
        <f t="shared" si="19"/>
        <v/>
      </c>
      <c r="AW18" s="22">
        <f t="shared" si="20"/>
        <v>1</v>
      </c>
      <c r="AX18" s="21" t="str">
        <f t="shared" si="21"/>
        <v>|</v>
      </c>
      <c r="AY18" s="21" t="str">
        <f t="shared" si="22"/>
        <v/>
      </c>
      <c r="AZ18" s="22">
        <f>IF(AY18="",0,COUNTIF(nINT_Key,AY18))</f>
        <v>0</v>
      </c>
      <c r="BA18" s="22">
        <f>IF(D18="",0,IFERROR(MATCH(AX18&amp;"|"&amp;D18,nLNK_Key,0),0))</f>
        <v>0</v>
      </c>
      <c r="BB18" s="22">
        <f>IF(BA18=0,1,INDEX(nLNK_Exp_Found,BA18))</f>
        <v>1</v>
      </c>
      <c r="BC18" s="22">
        <f>IF(BA18=0,1,INDEX(nLNK_Evt_Found,BA18))</f>
        <v>1</v>
      </c>
      <c r="BD18" s="22">
        <f>IF(AP18="",0,COUNTIF(nEXP_Key,AX18&amp;"|"&amp;AP18))</f>
        <v>0</v>
      </c>
      <c r="BE18" s="22">
        <f>IF(AQ18="",0,COUNTIF(nEVT_Key,AX18&amp;"|"&amp;AQ18))</f>
        <v>0</v>
      </c>
      <c r="BF18" s="22">
        <f>IF(ISNA(MATCH(E18,nLIST_AnchorType,0)),0,1)</f>
        <v>0</v>
      </c>
      <c r="BG18" s="22">
        <f t="shared" si="23"/>
        <v>0</v>
      </c>
      <c r="BH18" s="22">
        <f t="shared" si="24"/>
        <v>0</v>
      </c>
      <c r="BI18" s="22">
        <f>IF(OR(AW18=1,AK18=""),0,IFERROR(MATCH(AX18&amp;"|"&amp;AK18,nTP_Key,0),0))</f>
        <v>0</v>
      </c>
      <c r="BJ18" s="21">
        <f>IF(BI18=0,0,INDEX(nTP_Dup,BI18))</f>
        <v>0</v>
      </c>
      <c r="BK18" s="21" t="str">
        <f>IF(BI18=0,"",INDEX(nTP_Record_Type,BI18))</f>
        <v/>
      </c>
      <c r="BL18" s="21" t="str">
        <f>IF(BI18=0,"",INDEX(nTP_Precision,BI18))</f>
        <v/>
      </c>
      <c r="BM18" s="21" t="str">
        <f>IF(BI18=0,"",INDEX(nTP_Err,BI18))</f>
        <v/>
      </c>
      <c r="BN18" s="21">
        <f>IF(BI18=0,0,INDEX(nTP_HT,BI18))</f>
        <v>0</v>
      </c>
      <c r="BO18" s="21">
        <f>IF(BI18=0,0,INDEX(nTP_OK,BI18))</f>
        <v>0</v>
      </c>
      <c r="BP18" s="21" t="str">
        <f>IF(BI18=0,"",INDEX(nTP_Loc,BI18))</f>
        <v/>
      </c>
      <c r="BQ18" s="21" t="str">
        <f>IF(BI18=0,"",INDEX(nTP_UTC,BI18))</f>
        <v/>
      </c>
      <c r="BR18" s="21" t="str">
        <f>IF(BI18=0,"",INDEX(nTP_Lo,BI18))</f>
        <v/>
      </c>
      <c r="BS18" s="21" t="str">
        <f>IF(BI18=0,"",INDEX(nTP_Hi,BI18))</f>
        <v/>
      </c>
      <c r="BT18" s="21" t="str">
        <f>IF(BI18=0,"",INDEX(nTP_Original_Text,BI18))</f>
        <v/>
      </c>
      <c r="BU18" s="21" t="str">
        <f>IF(BI18=0,"",INDEX(nTP_Source,BI18))</f>
        <v/>
      </c>
      <c r="BV18" s="21" t="str">
        <f>IF(BI18=0,"",INDEX(nTP_Lab_Note,BI18))</f>
        <v/>
      </c>
      <c r="BW18" s="22">
        <f t="shared" si="25"/>
        <v>0</v>
      </c>
      <c r="BX18" s="21" t="str">
        <f t="shared" si="26"/>
        <v>||</v>
      </c>
      <c r="BY18" s="22">
        <f>IF(BG18=0,0,COUNTIF(nTP_CandKey,BX18))</f>
        <v>0</v>
      </c>
      <c r="BZ18" s="22">
        <f>IF(BG18=0,0,COUNTIFS(nTP_CandKey,BX18,nTP_Err,""))</f>
        <v>0</v>
      </c>
      <c r="CA18" s="21" t="str">
        <f>IF(BY18=BZ18,"",IF(COUNTIFS(nTP_CandKey,BX18,nTP_Err,"E_INVALID_DATE")&gt;0,"; E_INVALID_DATE","")&amp;IF(COUNTIFS(nTP_CandKey,BX18,nTP_Err,"E_REVERSED_BOUNDS")&gt;0,"; E_REVERSED_BOUNDS","")&amp;IF(COUNTIFS(nTP_CandKey,BX18,nTP_Err,"E_MISSING_INPUT")&gt;0,"; E_MISSING_INPUT","")&amp;IF(COUNTIFS(nTP_CandKey,BX18,nTP_Err,"E_INVALID_UNIT")&gt;0,"; E_INVALID_UNIT",""))</f>
        <v/>
      </c>
      <c r="CB18" s="22">
        <f t="shared" si="27"/>
        <v>0</v>
      </c>
      <c r="CC18" s="22">
        <f>IF(CB18=0,0,SUMPRODUCT((nTP_CandKey=BX18)*(nTP_Err="")*(1-(nTP_HT*BN18*((nTP_OK*BO18*(nTP_UTC_n-N(BQ18))+(1-nTP_OK*BO18)*(nTP_Loc_n-N(BP18)))&lt;=0)+(1-nTP_HT*BN18)*(nTP_Hi_n&lt;N(BR18)))-(nTP_HT*BN18*((nTP_OK*BO18*(nTP_UTC_n-N(BQ18))+(1-nTP_OK*BO18)*(nTP_Loc_n-N(BP18)))&gt;0)+(1-nTP_HT*BN18)*(nTP_Lo_n&gt;N(BS18)))-((1-nTP_HT*BN18)*(nTP_Lo_n=nTP_Hi_n)*(nTP_Lo_n=N(BR18))*(N(BR18)=N(BS18))))))</f>
        <v>0</v>
      </c>
      <c r="CD18" s="22">
        <f>IF(CB18=0,0,SUMPRODUCT((nTP_CandKey=BX18)*nTP_Exact*((nTP_HT*BN18*((nTP_OK*BO18*(nTP_UTC_n-N(BQ18))+(1-nTP_OK*BO18)*(nTP_Loc_n-N(BP18)))&lt;=0)+(1-nTP_HT*BN18)*(nTP_Hi_n&lt;N(BR18)))+((1-nTP_HT*BN18)*(nTP_Lo_n=nTP_Hi_n)*(nTP_Lo_n=N(BR18))*(N(BR18)=N(BS18))))))</f>
        <v>0</v>
      </c>
      <c r="CE18" s="22">
        <f>IF(CB18=0,0,SUMPRODUCT((nTP_CandKey=BX18)*(nTP_Err="")*(1-nTP_Exact)*((nTP_HT*BN18*((nTP_OK*BO18*(nTP_UTC_n-N(BQ18))+(1-nTP_OK*BO18)*(nTP_Loc_n-N(BP18)))&lt;=0)+(1-nTP_HT*BN18)*(nTP_Hi_n&lt;N(BR18)))+((1-nTP_HT*BN18)*(nTP_Lo_n=nTP_Hi_n)*(nTP_Lo_n=N(BR18))*(N(BR18)=N(BS18))))))</f>
        <v>0</v>
      </c>
      <c r="CF18" s="22">
        <f>IF(CD18=0,0,SUMPRODUCT(MAX((nTP_CandKey=BX18)*nTP_Exact*((nTP_HT*BN18*((nTP_OK*BO18*(nTP_UTC_n-N(BQ18))+(1-nTP_OK*BO18)*(nTP_Loc_n-N(BP18)))&lt;=0)+(1-nTP_HT*BN18)*(nTP_Hi_n&lt;N(BR18)))+((1-nTP_HT*BN18)*(nTP_Lo_n=nTP_Hi_n)*(nTP_Lo_n=N(BR18))*(N(BR18)=N(BS18))))*nTP_Lo_n)))</f>
        <v>0</v>
      </c>
      <c r="CG18" s="22">
        <f>IF(CD18=0,0,SUMPRODUCT((nTP_CandKey=BX18)*nTP_Exact*((nTP_HT*BN18*((nTP_OK*BO18*(nTP_UTC_n-N(BQ18))+(1-nTP_OK*BO18)*(nTP_Loc_n-N(BP18)))&lt;=0)+(1-nTP_HT*BN18)*(nTP_Hi_n&lt;N(BR18)))+((1-nTP_HT*BN18)*(nTP_Lo_n=nTP_Hi_n)*(nTP_Lo_n=N(BR18))*(N(BR18)=N(BS18))))*(nTP_Lo_n=CF18)))</f>
        <v>0</v>
      </c>
      <c r="CH18" s="22">
        <f>IF(CD18=0,0,SUMPRODUCT((nTP_CandKey=BX18)*nTP_Exact*((nTP_HT*BN18*((nTP_OK*BO18*(nTP_UTC_n-N(BQ18))+(1-nTP_OK*BO18)*(nTP_Loc_n-N(BP18)))&lt;=0)+(1-nTP_HT*BN18)*(nTP_Hi_n&lt;N(BR18)))+((1-nTP_HT*BN18)*(nTP_Lo_n=nTP_Hi_n)*(nTP_Lo_n=N(BR18))*(N(BR18)=N(BS18))))*(1-nTP_HT)*(nTP_Lo_n=CF18)))</f>
        <v>0</v>
      </c>
      <c r="CI18" s="22">
        <f>IF(CD18=0,0,SUMPRODUCT(MAX((nTP_CandKey=BX18)*nTP_Exact*((nTP_HT*BN18*((nTP_OK*BO18*(nTP_UTC_n-N(BQ18))+(1-nTP_OK*BO18)*(nTP_Loc_n-N(BP18)))&lt;=0)+(1-nTP_HT*BN18)*(nTP_Hi_n&lt;N(BR18)))+((1-nTP_HT*BN18)*(nTP_Lo_n=nTP_Hi_n)*(nTP_Lo_n=N(BR18))*(N(BR18)=N(BS18))))*(1-nTP_HT)*nTP_Lo_n)))</f>
        <v>0</v>
      </c>
      <c r="CJ18" s="22">
        <f>IF(CD18=0,0,SUMPRODUCT(MAX((nTP_CandKey=BX18)*nTP_Exact*((nTP_HT*BN18*((nTP_OK*BO18*(nTP_UTC_n-N(BQ18))+(1-nTP_OK*BO18)*(nTP_Loc_n-N(BP18)))&lt;=0)+(1-nTP_HT*BN18)*(nTP_Hi_n&lt;N(BR18)))+((1-nTP_HT*BN18)*(nTP_Lo_n=nTP_Hi_n)*(nTP_Lo_n=N(BR18))*(N(BR18)=N(BS18))))*nTP_HT*nTP_OK*nTP_UTC_n)))</f>
        <v>0</v>
      </c>
      <c r="CK18" s="22">
        <f>IF(CJ18=0,0,SUMPRODUCT((nTP_CandKey=BX18)*nTP_Exact*((nTP_HT*BN18*((nTP_OK*BO18*(nTP_UTC_n-N(BQ18))+(1-nTP_OK*BO18)*(nTP_Loc_n-N(BP18)))&lt;=0)+(1-nTP_HT*BN18)*(nTP_Hi_n&lt;N(BR18)))+((1-nTP_HT*BN18)*(nTP_Lo_n=nTP_Hi_n)*(nTP_Lo_n=N(BR18))*(N(BR18)=N(BS18))))*nTP_HT*nTP_OK*(nTP_UTC_n=CJ18)))</f>
        <v>0</v>
      </c>
      <c r="CL18" s="22">
        <f>IF(CK18&lt;&gt;1,0,SUMPRODUCT((nTP_CandKey=BX18)*nTP_Exact*((nTP_HT*BN18*((nTP_OK*BO18*(nTP_UTC_n-N(BQ18))+(1-nTP_OK*BO18)*(nTP_Loc_n-N(BP18)))&lt;=0)+(1-nTP_HT*BN18)*(nTP_Hi_n&lt;N(BR18)))+((1-nTP_HT*BN18)*(nTP_Lo_n=nTP_Hi_n)*(nTP_Lo_n=N(BR18))*(N(BR18)=N(BS18))))*nTP_HT*nTP_OK*(nTP_UTC_n=CJ18)*nTP_Loc_n))</f>
        <v>0</v>
      </c>
      <c r="CM18" s="22">
        <f>IF(CK18&lt;&gt;1,0,SUMPRODUCT((nTP_CandKey=BX18)*nTP_Exact*((nTP_HT*BN18*((nTP_OK*BO18*(nTP_UTC_n-N(BQ18))+(1-nTP_OK*BO18)*(nTP_Loc_n-N(BP18)))&lt;=0)+(1-nTP_HT*BN18)*(nTP_Hi_n&lt;N(BR18)))+((1-nTP_HT*BN18)*(nTP_Lo_n=nTP_Hi_n)*(nTP_Lo_n=N(BR18))*(N(BR18)=N(BS18))))*nTP_HT*nTP_OK*(nTP_UTC_n=CJ18)*nTP_Lo_n))</f>
        <v>0</v>
      </c>
      <c r="CN18" s="22">
        <f>IF(CD18=0,0,SUMPRODUCT(MAX((nTP_CandKey=BX18)*nTP_Exact*((nTP_HT*BN18*((nTP_OK*BO18*(nTP_UTC_n-N(BQ18))+(1-nTP_OK*BO18)*(nTP_Loc_n-N(BP18)))&lt;=0)+(1-nTP_HT*BN18)*(nTP_Hi_n&lt;N(BR18)))+((1-nTP_HT*BN18)*(nTP_Lo_n=nTP_Hi_n)*(nTP_Lo_n=N(BR18))*(N(BR18)=N(BS18))))*nTP_HT*(1-nTP_OK)*nTP_Loc_n)))</f>
        <v>0</v>
      </c>
      <c r="CO18" s="22">
        <f>IF(CN18=0,0,SUMPRODUCT((nTP_CandKey=BX18)*nTP_Exact*((nTP_HT*BN18*((nTP_OK*BO18*(nTP_UTC_n-N(BQ18))+(1-nTP_OK*BO18)*(nTP_Loc_n-N(BP18)))&lt;=0)+(1-nTP_HT*BN18)*(nTP_Hi_n&lt;N(BR18)))+((1-nTP_HT*BN18)*(nTP_Lo_n=nTP_Hi_n)*(nTP_Lo_n=N(BR18))*(N(BR18)=N(BS18))))*nTP_HT*(1-nTP_OK)*(nTP_Loc_n=CN18)))</f>
        <v>0</v>
      </c>
      <c r="CP18" s="22">
        <f>IF(CO18&lt;&gt;1,0,SUMPRODUCT((nTP_CandKey=BX18)*nTP_Exact*((nTP_HT*BN18*((nTP_OK*BO18*(nTP_UTC_n-N(BQ18))+(1-nTP_OK*BO18)*(nTP_Loc_n-N(BP18)))&lt;=0)+(1-nTP_HT*BN18)*(nTP_Hi_n&lt;N(BR18)))+((1-nTP_HT*BN18)*(nTP_Lo_n=nTP_Hi_n)*(nTP_Lo_n=N(BR18))*(N(BR18)=N(BS18))))*nTP_HT*(1-nTP_OK)*(nTP_Loc_n=CN18)*nTP_Lo_n))</f>
        <v>0</v>
      </c>
      <c r="CQ18" s="22">
        <f>IF(CD18=0,0,SUMPRODUCT(MAX((nTP_CandKey=BX18)*nTP_Exact*((nTP_HT*BN18*((nTP_OK*BO18*(nTP_UTC_n-N(BQ18))+(1-nTP_OK*BO18)*(nTP_Loc_n-N(BP18)))&lt;=0)+(1-nTP_HT*BN18)*(nTP_Hi_n&lt;N(BR18)))+((1-nTP_HT*BN18)*(nTP_Lo_n=nTP_Hi_n)*(nTP_Lo_n=N(BR18))*(N(BR18)=N(BS18))))*nTP_HT*nTP_OK*nTP_Loc_n)))</f>
        <v>0</v>
      </c>
      <c r="CR18" s="22">
        <f t="shared" si="28"/>
        <v>0</v>
      </c>
      <c r="CS18" s="22">
        <f>IF(CR18=0,0,IF(CR18=1,MATCH(1,INDEX((nTP_CandKey=BX18)*nTP_Exact*((nTP_HT*BN18*((nTP_OK*BO18*(nTP_UTC_n-N(BQ18))+(1-nTP_OK*BO18)*(nTP_Loc_n-N(BP18)))&lt;=0)+(1-nTP_HT*BN18)*(nTP_Hi_n&lt;N(BR18)))+((1-nTP_HT*BN18)*(nTP_Lo_n=nTP_Hi_n)*(nTP_Lo_n=N(BR18))*(N(BR18)=N(BS18))))*(1-nTP_HT)*(nTP_Lo_n=CF18),0),0),IF(CR18=2,MATCH(1,INDEX((nTP_CandKey=BX18)*nTP_Exact*((nTP_HT*BN18*((nTP_OK*BO18*(nTP_UTC_n-N(BQ18))+(1-nTP_OK*BO18)*(nTP_Loc_n-N(BP18)))&lt;=0)+(1-nTP_HT*BN18)*(nTP_Hi_n&lt;N(BR18)))+((1-nTP_HT*BN18)*(nTP_Lo_n=nTP_Hi_n)*(nTP_Lo_n=N(BR18))*(N(BR18)=N(BS18))))*nTP_HT*nTP_OK*(nTP_UTC_n=CJ18),0),0),MATCH(1,INDEX((nTP_CandKey=BX18)*nTP_Exact*((nTP_HT*BN18*((nTP_OK*BO18*(nTP_UTC_n-N(BQ18))+(1-nTP_OK*BO18)*(nTP_Loc_n-N(BP18)))&lt;=0)+(1-nTP_HT*BN18)*(nTP_Hi_n&lt;N(BR18)))+((1-nTP_HT*BN18)*(nTP_Lo_n=nTP_Hi_n)*(nTP_Lo_n=N(BR18))*(N(BR18)=N(BS18))))*nTP_HT*(1-nTP_OK)*(nTP_Loc_n=CN18),0),0))))</f>
        <v>0</v>
      </c>
      <c r="CT18" s="22">
        <f>IF(CS18=0,0,INDEX(nTP_Lo_n,CS18))</f>
        <v>0</v>
      </c>
      <c r="CU18" s="22">
        <f>IF(CS18=0,0,SUMPRODUCT((nTP_CandKey=BX18)*(nTP_Err="")*(1-nTP_Exact)*((nTP_HT*BN18*((nTP_OK*BO18*(nTP_UTC_n-N(BQ18))+(1-nTP_OK*BO18)*(nTP_Loc_n-N(BP18)))&lt;=0)+(1-nTP_HT*BN18)*(nTP_Hi_n&lt;N(BR18)))+((1-nTP_HT*BN18)*(nTP_Lo_n=nTP_Hi_n)*(nTP_Lo_n=N(BR18))*(N(BR18)=N(BS18))))*(nTP_Hi_n&gt;=CT18)))</f>
        <v>0</v>
      </c>
      <c r="CV18" s="21" t="str">
        <f t="shared" si="29"/>
        <v/>
      </c>
      <c r="CW18" s="21" t="str">
        <f>IF(AND(BG18=1,CB18=1,CV18="",CS18&gt;0),INDEX(nTP_Record_ID,CS18)&amp;"","")</f>
        <v/>
      </c>
      <c r="CX18" s="21" t="str">
        <f>IF(OR(CV18="",BG18=0),"",IF(CV18="none","an administration record (last dose before onset)",IF(CV18="uncertain","the anchor record: "&amp;INDEX(nTP_Record_ID,MATCH(1,INDEX((nTP_CandKey=BX18)*(nTP_Err="")*(1-(nTP_HT*BN18*((nTP_OK*BO18*(nTP_UTC_n-N(BQ18))+(1-nTP_OK*BO18)*(nTP_Loc_n-N(BP18)))&lt;=0)+(1-nTP_HT*BN18)*(nTP_Hi_n&lt;N(BR18)))-(nTP_HT*BN18*((nTP_OK*BO18*(nTP_UTC_n-N(BQ18))+(1-nTP_OK*BO18)*(nTP_Loc_n-N(BP18)))&gt;0)+(1-nTP_HT*BN18)*(nTP_Lo_n&gt;N(BS18)))-((1-nTP_HT*BN18)*(nTP_Lo_n=nTP_Hi_n)*(nTP_Lo_n=N(BR18))*(N(BR18)=N(BS18)))),0),0))&amp;IF(CC18&gt;1," and "&amp;(CC18-1)&amp;" more","")&amp;" may fall before or after the end point, so the last dose cannot be identified from the recorded dates",IF(CV18="noneligible","the anchor record: no administration with an exact date is recorded at or before the end point",IF(CV18="tie","the anchor record: the order of the latest administrations cannot be told from the recorded dates and times","the anchor record: partial-date administration "&amp;INDEX(nTP_Record_ID,MATCH(1,INDEX((nTP_CandKey=BX18)*(nTP_Err="")*(1-nTP_Exact)*((nTP_HT*BN18*((nTP_OK*BO18*(nTP_UTC_n-N(BQ18))+(1-nTP_OK*BO18)*(nTP_Loc_n-N(BP18)))&lt;=0)+(1-nTP_HT*BN18)*(nTP_Hi_n&lt;N(BR18)))+((1-nTP_HT*BN18)*(nTP_Lo_n=nTP_Hi_n)*(nTP_Lo_n=N(BR18))*(N(BR18)=N(BS18))))*(nTP_Hi_n&gt;=CT18),0),0))&amp;" could be the last dose before the end point")))))</f>
        <v/>
      </c>
      <c r="CY18" s="22">
        <f>IF(OR(AW18=1,AJ18=""),0,IFERROR(MATCH(AX18&amp;"|"&amp;AJ18,nTP_Key,0),0))</f>
        <v>0</v>
      </c>
      <c r="CZ18" s="21">
        <f>IF(CY18=0,0,INDEX(nTP_Dup,CY18))</f>
        <v>0</v>
      </c>
      <c r="DA18" s="21" t="str">
        <f>IF(CY18=0,"",INDEX(nTP_Record_Type,CY18))</f>
        <v/>
      </c>
      <c r="DB18" s="21" t="str">
        <f>IF(CY18=0,"",INDEX(nTP_Precision,CY18))</f>
        <v/>
      </c>
      <c r="DC18" s="21" t="str">
        <f>IF(CY18=0,"",INDEX(nTP_Err,CY18))</f>
        <v/>
      </c>
      <c r="DD18" s="21">
        <f>IF(CY18=0,0,INDEX(nTP_HT,CY18))</f>
        <v>0</v>
      </c>
      <c r="DE18" s="21">
        <f>IF(CY18=0,0,INDEX(nTP_OK,CY18))</f>
        <v>0</v>
      </c>
      <c r="DF18" s="21" t="str">
        <f>IF(CY18=0,"",INDEX(nTP_Loc,CY18))</f>
        <v/>
      </c>
      <c r="DG18" s="21" t="str">
        <f>IF(CY18=0,"",INDEX(nTP_UTC,CY18))</f>
        <v/>
      </c>
      <c r="DH18" s="21" t="str">
        <f>IF(CY18=0,"",INDEX(nTP_Lo,CY18))</f>
        <v/>
      </c>
      <c r="DI18" s="21" t="str">
        <f>IF(CY18=0,"",INDEX(nTP_Hi,CY18))</f>
        <v/>
      </c>
      <c r="DJ18" s="21" t="str">
        <f>IF(CY18=0,"",INDEX(nTP_Original_Text,CY18))</f>
        <v/>
      </c>
      <c r="DK18" s="21" t="str">
        <f>IF(CY18=0,"",INDEX(nTP_Source,CY18))</f>
        <v/>
      </c>
      <c r="DL18" s="22">
        <f t="shared" si="30"/>
        <v>0</v>
      </c>
      <c r="DM18" s="21" t="str">
        <f t="shared" si="31"/>
        <v/>
      </c>
      <c r="DN18" s="21" t="str">
        <f t="shared" si="32"/>
        <v/>
      </c>
      <c r="DO18" s="21" t="str">
        <f t="shared" si="33"/>
        <v/>
      </c>
      <c r="DP18" s="21" t="str">
        <f t="shared" si="34"/>
        <v/>
      </c>
      <c r="DQ18" s="21" t="str">
        <f t="shared" si="35"/>
        <v/>
      </c>
      <c r="DR18" s="22">
        <f>IF(OR(DQ18="",I18=""),0,IF(ISNA(MATCH(I18,nLIST_Mode,0)),1,IF(AND(I18="C1",DQ18&lt;&gt;"C1"),1,IF(AND(I18="C2",DQ18="C4"),1,0))))</f>
        <v>0</v>
      </c>
      <c r="DS18" s="21" t="str">
        <f t="shared" si="36"/>
        <v/>
      </c>
      <c r="DT18" s="22">
        <f t="shared" si="37"/>
        <v>0</v>
      </c>
      <c r="DU18" s="21" t="str">
        <f>IF(DT18=0,"",IF(COUNTIFS(nTP_Case_Key,AX18,nTP_Record_Type,"MILESTONE:INTERVENTION",nTP_Err,"E_INVALID_DATE")&gt;0,"; E_INVALID_DATE","")&amp;IF(COUNTIFS(nTP_Case_Key,AX18,nTP_Record_Type,"MILESTONE:INTERVENTION",nTP_Err,"E_REVERSED_BOUNDS")&gt;0,"; E_REVERSED_BOUNDS","")&amp;IF(COUNTIFS(nTP_Case_Key,AX18,nTP_Record_Type,"MILESTONE:INTERVENTION",nTP_Err,"E_MISSING_INPUT")&gt;0,"; E_MISSING_INPUT","")&amp;IF(COUNTIFS(nTP_Case_Key,AX18,nTP_Record_Type,"MILESTONE:INTERVENTION",nTP_Err,"E_INVALID_UNIT")&gt;0,"; E_INVALID_UNIT",""))</f>
        <v/>
      </c>
      <c r="DV18" s="22">
        <f>IF(DT18=0,0,SUMPRODUCT((nMS_CaseKey=AX18)*(nMS_Type="INTERVENTION")*nMS_Undated))</f>
        <v>0</v>
      </c>
      <c r="DW18" s="21" t="str">
        <f t="shared" si="38"/>
        <v/>
      </c>
      <c r="DX18" s="21" t="str">
        <f t="shared" si="39"/>
        <v/>
      </c>
      <c r="DY18" s="22">
        <f t="shared" si="40"/>
        <v>1</v>
      </c>
      <c r="DZ18" s="21" t="str">
        <f t="shared" si="41"/>
        <v/>
      </c>
      <c r="EA18" s="21" t="str">
        <f t="shared" si="42"/>
        <v/>
      </c>
      <c r="EB18" s="21" t="str">
        <f t="shared" si="43"/>
        <v/>
      </c>
      <c r="EC18" s="21" t="str">
        <f t="shared" si="44"/>
        <v/>
      </c>
      <c r="ED18" s="22">
        <f t="shared" si="45"/>
        <v>0</v>
      </c>
      <c r="EE18" s="22">
        <f t="shared" si="46"/>
        <v>0</v>
      </c>
      <c r="EF18" s="21" t="str">
        <f>IF(ED18=0,"",IF(OR(NOT(ISNUMBER(L18)),NOT(ISNUMBER(M18))),"I_APPROXIMATE_NOT_COMPARED",IF(AND(N18&lt;&gt;"",ISNA(MATCH(N18,nLIST_ReportedUnit,0))),"E_INVALID_UNIT",IF(N18="","E_MISSING_INPUT",IF(L18&gt;M18,"E_REVERSED_BOUNDS",IF(OR(N18="weeks",N18="months",N18="years"),"I_APPROXIMATE_NOT_COMPARED",IF(DX18&lt;&gt;"","",IF(EE18=0,"I_APPROXIMATE_NOT_COMPARED",IF(AND(L18*EE18&lt;=IF(DS18="C4",EC18,IF(DS18="C1",DZ18,EA18)),M18*EE18&gt;=IF(DS18="C4",EB18,IF(DS18="C1",DZ18,EA18))),"OVERLAP","W_REPORTED_TIMING_CONFLICT")))))))))</f>
        <v/>
      </c>
      <c r="EG18" s="21" t="str">
        <f t="shared" si="47"/>
        <v/>
      </c>
      <c r="EH18" s="21" t="str">
        <f t="shared" si="48"/>
        <v/>
      </c>
      <c r="EI18" s="22">
        <f t="shared" si="49"/>
        <v>0</v>
      </c>
      <c r="EJ18" s="22">
        <f t="shared" si="50"/>
        <v>0</v>
      </c>
      <c r="EK18" s="22">
        <f t="shared" si="51"/>
        <v>0</v>
      </c>
      <c r="EL18" s="28" t="str">
        <f t="shared" si="52"/>
        <v/>
      </c>
      <c r="EM18" s="28" t="str">
        <f t="shared" si="53"/>
        <v/>
      </c>
      <c r="EN18" s="21" t="str">
        <f t="shared" si="54"/>
        <v/>
      </c>
      <c r="EO18" s="22">
        <f>IF(OR(DT18=0,DX18&lt;&gt;""),0,SUMPRODUCT((nTP_Case_Key=AX18)*(nTP_Record_Type="MILESTONE:INTERVENTION")*(nTP_Err="")*(nTP_HT*DD18*BN18*(nTP_OK*DE18*(nTP_UTC_n&gt;=N(DG18))+(1-nTP_OK*DE18)*(nTP_Loc_n&gt;=N(DF18)))*(nTP_OK*BO18*(nTP_UTC_n&lt;=N(BQ18))+(1-nTP_OK*BO18)*(nTP_Loc_n&lt;=N(BP18)))+(1-nTP_HT*DD18*BN18)*(nTP_Hi_n&gt;=N(DH18))*(nTP_Lo_n&lt;=N(BS18)))))</f>
        <v>0</v>
      </c>
      <c r="EP18" s="22">
        <f>IF(OR(DT18=0,DX18&lt;&gt;""),0,SUMPRODUCT((nTP_Case_Key=AX18)*(nTP_Role="treatment of the event")*((nTP_Record_Type="EXPOSURE_START")+(nTP_Record_Type="ADMINISTRATION"))*(nTP_Err="")*(nTP_HT*DD18*BN18*(nTP_OK*DE18*(nTP_UTC_n&gt;=N(DG18))+(1-nTP_OK*DE18)*(nTP_Loc_n&gt;=N(DF18)))*(nTP_OK*BO18*(nTP_UTC_n&lt;=N(BQ18))+(1-nTP_OK*BO18)*(nTP_Loc_n&lt;=N(BP18)))+(1-nTP_HT*DD18*BN18)*(nTP_Hi_n&gt;=N(DH18))*(nTP_Lo_n&lt;=N(BS18)))))</f>
        <v>0</v>
      </c>
      <c r="EQ18" s="22">
        <f>IF(EO18&lt;1,0,IFERROR(_xlfn.AGGREGATE(15,6,nTP_RowN/((nTP_Case_Key=AX18)*(nTP_Record_Type="MILESTONE:INTERVENTION")*(nTP_Err="")*(nTP_HT*DD18*BN18*(nTP_OK*DE18*(nTP_UTC_n&gt;=N(DG18))+(1-nTP_OK*DE18)*(nTP_Loc_n&gt;=N(DF18)))*(nTP_OK*BO18*(nTP_UTC_n&lt;=N(BQ18))+(1-nTP_OK*BO18)*(nTP_Loc_n&lt;=N(BP18)))+(1-nTP_HT*DD18*BN18)*(nTP_Hi_n&gt;=N(DH18))*(nTP_Lo_n&lt;=N(BS18)))),1),0))</f>
        <v>0</v>
      </c>
      <c r="ER18" s="22">
        <f>IF(EO18&lt;2,0,IFERROR(_xlfn.AGGREGATE(15,6,nTP_RowN/((nTP_Case_Key=AX18)*(nTP_Record_Type="MILESTONE:INTERVENTION")*(nTP_Err="")*(nTP_HT*DD18*BN18*(nTP_OK*DE18*(nTP_UTC_n&gt;=N(DG18))+(1-nTP_OK*DE18)*(nTP_Loc_n&gt;=N(DF18)))*(nTP_OK*BO18*(nTP_UTC_n&lt;=N(BQ18))+(1-nTP_OK*BO18)*(nTP_Loc_n&lt;=N(BP18)))+(1-nTP_HT*DD18*BN18)*(nTP_Hi_n&gt;=N(DH18))*(nTP_Lo_n&lt;=N(BS18)))),2),0))</f>
        <v>0</v>
      </c>
      <c r="ES18" s="22">
        <f>IF(EO18&lt;3,0,IFERROR(_xlfn.AGGREGATE(15,6,nTP_RowN/((nTP_Case_Key=AX18)*(nTP_Record_Type="MILESTONE:INTERVENTION")*(nTP_Err="")*(nTP_HT*DD18*BN18*(nTP_OK*DE18*(nTP_UTC_n&gt;=N(DG18))+(1-nTP_OK*DE18)*(nTP_Loc_n&gt;=N(DF18)))*(nTP_OK*BO18*(nTP_UTC_n&lt;=N(BQ18))+(1-nTP_OK*BO18)*(nTP_Loc_n&lt;=N(BP18)))+(1-nTP_HT*DD18*BN18)*(nTP_Hi_n&gt;=N(DH18))*(nTP_Lo_n&lt;=N(BS18)))),3),0))</f>
        <v>0</v>
      </c>
      <c r="ET18" s="22">
        <f>IF(EP18&lt;1,0,IFERROR(_xlfn.AGGREGATE(15,6,nTP_RowN/((nTP_Case_Key=AX18)*(nTP_Role="treatment of the event")*((nTP_Record_Type="EXPOSURE_START")+(nTP_Record_Type="ADMINISTRATION"))*(nTP_Err="")*(nTP_HT*DD18*BN18*(nTP_OK*DE18*(nTP_UTC_n&gt;=N(DG18))+(1-nTP_OK*DE18)*(nTP_Loc_n&gt;=N(DF18)))*(nTP_OK*BO18*(nTP_UTC_n&lt;=N(BQ18))+(1-nTP_OK*BO18)*(nTP_Loc_n&lt;=N(BP18)))+(1-nTP_HT*DD18*BN18)*(nTP_Hi_n&gt;=N(DH18))*(nTP_Lo_n&lt;=N(BS18)))),1),0))</f>
        <v>0</v>
      </c>
      <c r="EU18" s="22">
        <f>IF(EP18&lt;2,0,IFERROR(_xlfn.AGGREGATE(15,6,nTP_RowN/((nTP_Case_Key=AX18)*(nTP_Role="treatment of the event")*((nTP_Record_Type="EXPOSURE_START")+(nTP_Record_Type="ADMINISTRATION"))*(nTP_Err="")*(nTP_HT*DD18*BN18*(nTP_OK*DE18*(nTP_UTC_n&gt;=N(DG18))+(1-nTP_OK*DE18)*(nTP_Loc_n&gt;=N(DF18)))*(nTP_OK*BO18*(nTP_UTC_n&lt;=N(BQ18))+(1-nTP_OK*BO18)*(nTP_Loc_n&lt;=N(BP18)))+(1-nTP_HT*DD18*BN18)*(nTP_Hi_n&gt;=N(DH18))*(nTP_Lo_n&lt;=N(BS18)))),2),0))</f>
        <v>0</v>
      </c>
      <c r="EV18" s="22">
        <f>IF(EP18&lt;3,0,IFERROR(_xlfn.AGGREGATE(15,6,nTP_RowN/((nTP_Case_Key=AX18)*(nTP_Role="treatment of the event")*((nTP_Record_Type="EXPOSURE_START")+(nTP_Record_Type="ADMINISTRATION"))*(nTP_Err="")*(nTP_HT*DD18*BN18*(nTP_OK*DE18*(nTP_UTC_n&gt;=N(DG18))+(1-nTP_OK*DE18)*(nTP_Loc_n&gt;=N(DF18)))*(nTP_OK*BO18*(nTP_UTC_n&lt;=N(BQ18))+(1-nTP_OK*BO18)*(nTP_Loc_n&lt;=N(BP18)))+(1-nTP_HT*DD18*BN18)*(nTP_Hi_n&gt;=N(DH18))*(nTP_Lo_n&lt;=N(BS18)))),3),0))</f>
        <v>0</v>
      </c>
      <c r="EW18" s="22">
        <f>IF(CE18&lt;1,0,IFERROR(_xlfn.AGGREGATE(15,6,nTP_RowN/((nTP_CandKey=BX18)*(nTP_Err="")*(1-nTP_Exact)*((nTP_HT*BN18*((nTP_OK*BO18*(nTP_UTC_n-N(BQ18))+(1-nTP_OK*BO18)*(nTP_Loc_n-N(BP18)))&lt;=0)+(1-nTP_HT*BN18)*(nTP_Hi_n&lt;N(BR18)))+((1-nTP_HT*BN18)*(nTP_Lo_n=nTP_Hi_n)*(nTP_Lo_n=N(BR18))*(N(BR18)=N(BS18))))),1),0))</f>
        <v>0</v>
      </c>
      <c r="EX18" s="22">
        <f>IF(CE18&lt;2,0,IFERROR(_xlfn.AGGREGATE(15,6,nTP_RowN/((nTP_CandKey=BX18)*(nTP_Err="")*(1-nTP_Exact)*((nTP_HT*BN18*((nTP_OK*BO18*(nTP_UTC_n-N(BQ18))+(1-nTP_OK*BO18)*(nTP_Loc_n-N(BP18)))&lt;=0)+(1-nTP_HT*BN18)*(nTP_Hi_n&lt;N(BR18)))+((1-nTP_HT*BN18)*(nTP_Lo_n=nTP_Hi_n)*(nTP_Lo_n=N(BR18))*(N(BR18)=N(BS18))))),2),0))</f>
        <v>0</v>
      </c>
      <c r="EY18" s="22">
        <f>IF(CE18&lt;3,0,IFERROR(_xlfn.AGGREGATE(15,6,nTP_RowN/((nTP_CandKey=BX18)*(nTP_Err="")*(1-nTP_Exact)*((nTP_HT*BN18*((nTP_OK*BO18*(nTP_UTC_n-N(BQ18))+(1-nTP_OK*BO18)*(nTP_Loc_n-N(BP18)))&lt;=0)+(1-nTP_HT*BN18)*(nTP_Hi_n&lt;N(BR18)))+((1-nTP_HT*BN18)*(nTP_Lo_n=nTP_Hi_n)*(nTP_Lo_n=N(BR18))*(N(BR18)=N(BS18))))),3),0))</f>
        <v>0</v>
      </c>
      <c r="EZ18" s="21" t="str">
        <f>IF(EO18=0,"",MID(IF(EQ18&gt;0,"; "&amp;INDEX(nTP_Record_ID,EQ18)&amp;IF(INDEX(nTP_Label,EQ18)="",""," ("&amp;INDEX(nTP_Label,EQ18)&amp;")"),"")&amp;IF(ER18&gt;0,"; "&amp;INDEX(nTP_Record_ID,ER18)&amp;IF(INDEX(nTP_Label,ER18)="",""," ("&amp;INDEX(nTP_Label,ER18)&amp;")"),"")&amp;IF(ES18&gt;0,"; "&amp;INDEX(nTP_Record_ID,ES18)&amp;IF(INDEX(nTP_Label,ES18)="",""," ("&amp;INDEX(nTP_Label,ES18)&amp;")"),"")&amp;IF(EO18&gt;3,"; and "&amp;(EO18-3)&amp;" more",""),3,999))</f>
        <v/>
      </c>
      <c r="FA18" s="21" t="str">
        <f>IF(EO18=0,"",MID(IF(EQ18&gt;0,"; "&amp;INDEX(nTP_Record_ID,EQ18),"")&amp;IF(ER18&gt;0,"; "&amp;INDEX(nTP_Record_ID,ER18),"")&amp;IF(ES18&gt;0,"; "&amp;INDEX(nTP_Record_ID,ES18),"")&amp;IF(EO18&gt;3,"; and "&amp;(EO18-3)&amp;" more",""),3,999))</f>
        <v/>
      </c>
      <c r="FB18" s="21" t="str">
        <f>IF(EP18=0,"",MID(IF(ET18&gt;0,"; "&amp;INDEX(nTP_Record_ID,ET18)&amp;IF(INDEX(nTP_Label,ET18)="",""," ("&amp;INDEX(nTP_Label,ET18)&amp;")"),"")&amp;IF(EU18&gt;0,"; "&amp;INDEX(nTP_Record_ID,EU18)&amp;IF(INDEX(nTP_Label,EU18)="",""," ("&amp;INDEX(nTP_Label,EU18)&amp;")"),"")&amp;IF(EV18&gt;0,"; "&amp;INDEX(nTP_Record_ID,EV18)&amp;IF(INDEX(nTP_Label,EV18)="",""," ("&amp;INDEX(nTP_Label,EV18)&amp;")"),"")&amp;IF(EP18&gt;3,"; and "&amp;(EP18-3)&amp;" more",""),3,999))</f>
        <v/>
      </c>
      <c r="FC18" s="21" t="str">
        <f>IF(CE18=0,"",MID(IF(EW18&gt;0,"; "&amp;INDEX(nTP_Record_ID,EW18),"")&amp;IF(EX18&gt;0,"; "&amp;INDEX(nTP_Record_ID,EX18),"")&amp;IF(EY18&gt;0,"; "&amp;INDEX(nTP_Record_ID,EY18),"")&amp;IF(CE18&gt;3,"; and "&amp;(CE18-3)&amp;" more",""),3,999))</f>
        <v/>
      </c>
      <c r="FD18" s="22">
        <f t="shared" si="55"/>
        <v>0</v>
      </c>
      <c r="FE18" s="22">
        <f t="shared" si="56"/>
        <v>0</v>
      </c>
      <c r="FF18" s="22">
        <f t="shared" si="57"/>
        <v>0</v>
      </c>
      <c r="FG18" s="22">
        <f t="shared" si="58"/>
        <v>0</v>
      </c>
      <c r="FH18" s="22">
        <f t="shared" si="59"/>
        <v>0</v>
      </c>
      <c r="FI18" s="22">
        <f t="shared" si="60"/>
        <v>0</v>
      </c>
      <c r="FJ18" s="22">
        <f t="shared" si="61"/>
        <v>0</v>
      </c>
      <c r="FK18" s="22">
        <f t="shared" si="62"/>
        <v>0</v>
      </c>
    </row>
    <row r="19" spans="1:167" x14ac:dyDescent="0.2">
      <c r="A19" s="10"/>
      <c r="B19" s="10"/>
      <c r="C19" s="12"/>
      <c r="D19" s="10"/>
      <c r="E19" s="17"/>
      <c r="F19" s="10"/>
      <c r="G19" s="10"/>
      <c r="H19" s="10"/>
      <c r="I19" s="17"/>
      <c r="J19" s="17"/>
      <c r="K19" s="10"/>
      <c r="L19" s="17"/>
      <c r="M19" s="17"/>
      <c r="N19" s="17"/>
      <c r="O19" s="10"/>
      <c r="P19" s="15"/>
      <c r="Q19" s="15"/>
      <c r="R19" s="10"/>
      <c r="S19" s="10"/>
      <c r="T19" s="21" t="str">
        <f t="shared" si="0"/>
        <v/>
      </c>
      <c r="U19" s="21" t="str">
        <f t="shared" si="1"/>
        <v/>
      </c>
      <c r="V19" s="21" t="str">
        <f t="shared" si="2"/>
        <v/>
      </c>
      <c r="W19" s="21" t="str">
        <f t="shared" si="3"/>
        <v/>
      </c>
      <c r="X19" s="21" t="str">
        <f t="shared" si="4"/>
        <v/>
      </c>
      <c r="Y19" s="21" t="str">
        <f t="shared" si="5"/>
        <v/>
      </c>
      <c r="Z19" s="21" t="str">
        <f t="shared" si="6"/>
        <v/>
      </c>
      <c r="AA19" s="21" t="str">
        <f t="shared" si="7"/>
        <v/>
      </c>
      <c r="AB19" s="21" t="str">
        <f t="shared" si="8"/>
        <v/>
      </c>
      <c r="AC19" s="21" t="str">
        <f t="shared" si="9"/>
        <v/>
      </c>
      <c r="AD19" s="21" t="str">
        <f>IF(AW19=1,"",MID(IF(ISNUMBER(SEARCH("E_INVALID_DATE",EG19))," | E_INVALID_DATE: "&amp;SUBSTITUTE(IFERROR(INDEX(nMSG_Text,MATCH("E_INVALID_DATE",nMSG_Code,0)),""),"[input]",""),"")&amp;IF(ISNUMBER(SEARCH("E_REVERSED_BOUNDS",EG19))," | E_REVERSED_BOUNDS: "&amp;SUBSTITUTE(IFERROR(INDEX(nMSG_Text,MATCH("E_REVERSED_BOUNDS",nMSG_Code,0)),""),"[input]",""),"")&amp;IF(ISNUMBER(SEARCH("E_DUPLICATE_ID",EG19))," | E_DUPLICATE_ID: "&amp;SUBSTITUTE(IFERROR(INDEX(nMSG_Text,MATCH("E_DUPLICATE_ID",nMSG_Code,0)),""),"[input]",""),"")&amp;IF(ISNUMBER(SEARCH("E_MISSING_LINK",EG19))," | E_MISSING_LINK: "&amp;SUBSTITUTE(IFERROR(INDEX(nMSG_Text,MATCH("E_MISSING_LINK",nMSG_Code,0)),""),"[input]",""),"")&amp;IF(ISNUMBER(SEARCH("E_MISSING_INPUT",EG19))," | E_MISSING_INPUT: "&amp;SUBSTITUTE(IFERROR(INDEX(nMSG_Text,MATCH("E_MISSING_INPUT",nMSG_Code,0)),""),"[input]",IF(EH19="","an input",EH19)),"")&amp;IF(ISNUMBER(SEARCH("E_INVALID_UNIT",EG19))," | E_INVALID_UNIT: "&amp;SUBSTITUTE(IFERROR(INDEX(nMSG_Text,MATCH("E_INVALID_UNIT",nMSG_Code,0)),""),"[input]",""),"")&amp;IF(FD19=1," | W_TZ_UNKNOWN: "&amp;SUBSTITUTE(IFERROR(INDEX(nMSG_Text,MATCH("W_TZ_UNKNOWN",nMSG_Code,0)),""),"[input]",""),"")&amp;IF(FE19=1," | W_SAME_DATE_ORDER_UNKNOWN: "&amp;SUBSTITUTE(IFERROR(INDEX(nMSG_Text,MATCH("W_SAME_DATE_ORDER_UNKNOWN",nMSG_Code,0)),""),"[input]",""),"")&amp;IF(FF19=1," | W_SEQUENCE_UNCERTAIN: "&amp;SUBSTITUTE(IFERROR(INDEX(nMSG_Text,MATCH("W_SEQUENCE_UNCERTAIN",nMSG_Code,0)),""),"[input]",""),"")&amp;IF(FG19=1," | W_ADMIN_SAME_DATE_AS_ONSET: "&amp;SUBSTITUTE(IFERROR(INDEX(nMSG_Text,MATCH("W_ADMIN_SAME_DATE_AS_ONSET",nMSG_Code,0)),""),"[input]",""),"")&amp;IF(FH19=1," | W_REPORTED_TIMING_CONFLICT: "&amp;SUBSTITUTE(IFERROR(INDEX(nMSG_Text,MATCH("W_REPORTED_TIMING_CONFLICT",nMSG_Code,0)),""),"[input]",""),"")&amp;IF(FI19=1," | W_INTERVENTION_BEFORE_RECOVERY: "&amp;SUBSTITUTE(IFERROR(INDEX(nMSG_Text,MATCH("W_INTERVENTION_BEFORE_RECOVERY",nMSG_Code,0)),""),"[input]",""),"")&amp;IF(FJ19=1," | I_TREATMENT_DAY_UNDEFINED: "&amp;SUBSTITUTE(IFERROR(INDEX(nMSG_Text,MATCH("I_TREATMENT_DAY_UNDEFINED",nMSG_Code,0)),""),"[input]",""),"")&amp;IF(FK19=1," | I_APPROXIMATE_NOT_COMPARED: "&amp;SUBSTITUTE(IFERROR(INDEX(nMSG_Text,MATCH("I_APPROXIMATE_NOT_COMPARED",nMSG_Code,0)),""),"[input]",""),""),4,9999))</f>
        <v/>
      </c>
      <c r="AE19" s="21" t="str">
        <f t="shared" si="10"/>
        <v/>
      </c>
      <c r="AF19" s="21" t="str">
        <f t="shared" si="11"/>
        <v/>
      </c>
      <c r="AG19" s="21" t="str">
        <f>IF(EN19="","",MID(IF(ISNUMBER(SEARCH("E_REVERSED_BOUNDS",EN19))," | E_REVERSED_BOUNDS: "&amp;SUBSTITUTE(IFERROR(INDEX(nMSG_Text,MATCH("E_REVERSED_BOUNDS",nMSG_Code,0)),""),"[input]",""),"")&amp;IF(ISNUMBER(SEARCH("E_MISSING_INPUT",EN19))," | E_MISSING_INPUT: "&amp;SUBSTITUTE(IFERROR(INDEX(nMSG_Text,MATCH("E_MISSING_INPUT",nMSG_Code,0)),""),"[input]",IF("the source of the constraint"="","an input","the source of the constraint")),""),4,999))</f>
        <v/>
      </c>
      <c r="AH19" s="21" t="str">
        <f t="shared" si="12"/>
        <v/>
      </c>
      <c r="AI19" s="21" t="str">
        <f t="shared" si="13"/>
        <v/>
      </c>
      <c r="AJ19" s="21" t="str">
        <f t="shared" si="14"/>
        <v/>
      </c>
      <c r="AK19" s="21" t="str">
        <f t="shared" si="15"/>
        <v/>
      </c>
      <c r="AL19" s="21" t="str">
        <f>IF(CY19=0,"",INDEX(nTP_ISO,CY19))</f>
        <v/>
      </c>
      <c r="AM19" s="21" t="str">
        <f>IF(CY19=0,"",INDEX(nTP_Display,CY19))</f>
        <v/>
      </c>
      <c r="AN19" s="21" t="str">
        <f>IF(BI19=0,"",INDEX(nTP_ISO,BI19))</f>
        <v/>
      </c>
      <c r="AO19" s="21" t="str">
        <f>IF(BI19=0,"",INDEX(nTP_Display,BI19))</f>
        <v/>
      </c>
      <c r="AP19" s="21" t="str">
        <f>IF(BA19=0,"",INDEX(nLNK_Exposure_Episode_ID,BA19)&amp;"")</f>
        <v/>
      </c>
      <c r="AQ19" s="21" t="str">
        <f>IF(BA19=0,"",INDEX(nLNK_Event_Episode_ID,BA19)&amp;"")</f>
        <v/>
      </c>
      <c r="AR19" s="21" t="str">
        <f t="shared" si="16"/>
        <v/>
      </c>
      <c r="AS19" s="21" t="str">
        <f>IF(EI19=0,"",MID(IF(DT19=1," | Recovery interval (C7) computed with "&amp;DS19&amp;".","")&amp;IF(BG19=1," | Anchor selected under C5 (CALC-SPEC 1.1): latest administration with an exact date or time at or before "&amp;IF(BH19=1,"onset","the end point")&amp;" ("&amp;AJ19&amp;"), ordered in UTC when offsets are known; later administrations are never selected.","")&amp;IF(AND(BG19=1,CE19&gt;0)," | Partial-date administrations wholly before the selected one were not candidates: "&amp;FC19&amp;".","")&amp;IF(BV19&lt;&gt;""," | "&amp;BV19,"")&amp;IF(AND(DS19="C2",EA19=0,DZ19&lt;&gt;"")," | Same calendar date; both times are known, so C1 decides the order ("&amp;AA19&amp;").","")&amp;IF(AND(DS19="C2",DD19*BN19=1,DT19=0)," | Calendar-date difference from the recorded local dates; it is never described as elapsed days.","")&amp;IF(AND(DS19="C4",DT19=0)," | Bounds are treated as independent; no single date is imputed from them.","")&amp;IF(EJ19=1," | Treatment day under the inclusive convention (C3); never written to E2B fields automatically.","")&amp;IF(AND(DS19="C4",DT19=0,EK19=0)," | No constraint applied.","")&amp;IF(AND(DS19="C4",EK19=1)," | Constraint applied to the anchor bounds: "&amp;IF(ISNUMBER(P19),"not before "&amp;DAY(P19)&amp;" "&amp;INDEX(nLIST_Months,MONTH(P19))&amp;" "&amp;YEAR(P19),"")&amp;IF(AND(ISNUMBER(P19),ISNUMBER(Q19)),", ","")&amp;IF(ISNUMBER(Q19),"not after "&amp;DAY(Q19)&amp;" "&amp;INDEX(nLIST_Months,MONTH(Q19))&amp;" "&amp;YEAR(Q19),"")&amp;". Source: "&amp;IF(R19="","not recorded",R19)&amp;IF(EN19="",". Constrained result shown beside the unconstrained one.",". Constrained result blocked ("&amp;EN19&amp;")."),"")&amp;IF(DT19=1,IF(EO19&gt;0," | Intervention recorded between cessation and recovery (ends included): "&amp;EZ19&amp;"."," | No intervention is recorded between cessation and recovery; absence of a record is not evidence that none was given."),"")&amp;IF(AND(DT19=1,DV19&gt;0)," | Intervention recorded without a date, so whether it came before recovery is unknown: "&amp;INDEX(nMS_Milestone_ID,MATCH(1,INDEX((nMS_CaseKey=AX19)*(nMS_Type="INTERVENTION")*nMS_Undated,0),0))&amp;IF(DV19&gt;1," and "&amp;(DV19-1)&amp;" more","")&amp;".","")&amp;IF(AND(DT19=1,EP19&gt;0)," | Not counted as interventions, because they are recorded as exposures rather than as intervention milestones (nothing is inferred): "&amp;FB19&amp;". If treatment was given, record it as an intervention milestone.",""),4,9999))</f>
        <v/>
      </c>
      <c r="AT19" s="21" t="str">
        <f t="shared" si="17"/>
        <v/>
      </c>
      <c r="AU19" s="21" t="str">
        <f t="shared" si="18"/>
        <v/>
      </c>
      <c r="AV19" s="21" t="str">
        <f t="shared" si="19"/>
        <v/>
      </c>
      <c r="AW19" s="22">
        <f t="shared" si="20"/>
        <v>1</v>
      </c>
      <c r="AX19" s="21" t="str">
        <f t="shared" si="21"/>
        <v>|</v>
      </c>
      <c r="AY19" s="21" t="str">
        <f t="shared" si="22"/>
        <v/>
      </c>
      <c r="AZ19" s="22">
        <f>IF(AY19="",0,COUNTIF(nINT_Key,AY19))</f>
        <v>0</v>
      </c>
      <c r="BA19" s="22">
        <f>IF(D19="",0,IFERROR(MATCH(AX19&amp;"|"&amp;D19,nLNK_Key,0),0))</f>
        <v>0</v>
      </c>
      <c r="BB19" s="22">
        <f>IF(BA19=0,1,INDEX(nLNK_Exp_Found,BA19))</f>
        <v>1</v>
      </c>
      <c r="BC19" s="22">
        <f>IF(BA19=0,1,INDEX(nLNK_Evt_Found,BA19))</f>
        <v>1</v>
      </c>
      <c r="BD19" s="22">
        <f>IF(AP19="",0,COUNTIF(nEXP_Key,AX19&amp;"|"&amp;AP19))</f>
        <v>0</v>
      </c>
      <c r="BE19" s="22">
        <f>IF(AQ19="",0,COUNTIF(nEVT_Key,AX19&amp;"|"&amp;AQ19))</f>
        <v>0</v>
      </c>
      <c r="BF19" s="22">
        <f>IF(ISNA(MATCH(E19,nLIST_AnchorType,0)),0,1)</f>
        <v>0</v>
      </c>
      <c r="BG19" s="22">
        <f t="shared" si="23"/>
        <v>0</v>
      </c>
      <c r="BH19" s="22">
        <f t="shared" si="24"/>
        <v>0</v>
      </c>
      <c r="BI19" s="22">
        <f>IF(OR(AW19=1,AK19=""),0,IFERROR(MATCH(AX19&amp;"|"&amp;AK19,nTP_Key,0),0))</f>
        <v>0</v>
      </c>
      <c r="BJ19" s="21">
        <f>IF(BI19=0,0,INDEX(nTP_Dup,BI19))</f>
        <v>0</v>
      </c>
      <c r="BK19" s="21" t="str">
        <f>IF(BI19=0,"",INDEX(nTP_Record_Type,BI19))</f>
        <v/>
      </c>
      <c r="BL19" s="21" t="str">
        <f>IF(BI19=0,"",INDEX(nTP_Precision,BI19))</f>
        <v/>
      </c>
      <c r="BM19" s="21" t="str">
        <f>IF(BI19=0,"",INDEX(nTP_Err,BI19))</f>
        <v/>
      </c>
      <c r="BN19" s="21">
        <f>IF(BI19=0,0,INDEX(nTP_HT,BI19))</f>
        <v>0</v>
      </c>
      <c r="BO19" s="21">
        <f>IF(BI19=0,0,INDEX(nTP_OK,BI19))</f>
        <v>0</v>
      </c>
      <c r="BP19" s="21" t="str">
        <f>IF(BI19=0,"",INDEX(nTP_Loc,BI19))</f>
        <v/>
      </c>
      <c r="BQ19" s="21" t="str">
        <f>IF(BI19=0,"",INDEX(nTP_UTC,BI19))</f>
        <v/>
      </c>
      <c r="BR19" s="21" t="str">
        <f>IF(BI19=0,"",INDEX(nTP_Lo,BI19))</f>
        <v/>
      </c>
      <c r="BS19" s="21" t="str">
        <f>IF(BI19=0,"",INDEX(nTP_Hi,BI19))</f>
        <v/>
      </c>
      <c r="BT19" s="21" t="str">
        <f>IF(BI19=0,"",INDEX(nTP_Original_Text,BI19))</f>
        <v/>
      </c>
      <c r="BU19" s="21" t="str">
        <f>IF(BI19=0,"",INDEX(nTP_Source,BI19))</f>
        <v/>
      </c>
      <c r="BV19" s="21" t="str">
        <f>IF(BI19=0,"",INDEX(nTP_Lab_Note,BI19))</f>
        <v/>
      </c>
      <c r="BW19" s="22">
        <f t="shared" si="25"/>
        <v>0</v>
      </c>
      <c r="BX19" s="21" t="str">
        <f t="shared" si="26"/>
        <v>||</v>
      </c>
      <c r="BY19" s="22">
        <f>IF(BG19=0,0,COUNTIF(nTP_CandKey,BX19))</f>
        <v>0</v>
      </c>
      <c r="BZ19" s="22">
        <f>IF(BG19=0,0,COUNTIFS(nTP_CandKey,BX19,nTP_Err,""))</f>
        <v>0</v>
      </c>
      <c r="CA19" s="21" t="str">
        <f>IF(BY19=BZ19,"",IF(COUNTIFS(nTP_CandKey,BX19,nTP_Err,"E_INVALID_DATE")&gt;0,"; E_INVALID_DATE","")&amp;IF(COUNTIFS(nTP_CandKey,BX19,nTP_Err,"E_REVERSED_BOUNDS")&gt;0,"; E_REVERSED_BOUNDS","")&amp;IF(COUNTIFS(nTP_CandKey,BX19,nTP_Err,"E_MISSING_INPUT")&gt;0,"; E_MISSING_INPUT","")&amp;IF(COUNTIFS(nTP_CandKey,BX19,nTP_Err,"E_INVALID_UNIT")&gt;0,"; E_INVALID_UNIT",""))</f>
        <v/>
      </c>
      <c r="CB19" s="22">
        <f t="shared" si="27"/>
        <v>0</v>
      </c>
      <c r="CC19" s="22">
        <f>IF(CB19=0,0,SUMPRODUCT((nTP_CandKey=BX19)*(nTP_Err="")*(1-(nTP_HT*BN19*((nTP_OK*BO19*(nTP_UTC_n-N(BQ19))+(1-nTP_OK*BO19)*(nTP_Loc_n-N(BP19)))&lt;=0)+(1-nTP_HT*BN19)*(nTP_Hi_n&lt;N(BR19)))-(nTP_HT*BN19*((nTP_OK*BO19*(nTP_UTC_n-N(BQ19))+(1-nTP_OK*BO19)*(nTP_Loc_n-N(BP19)))&gt;0)+(1-nTP_HT*BN19)*(nTP_Lo_n&gt;N(BS19)))-((1-nTP_HT*BN19)*(nTP_Lo_n=nTP_Hi_n)*(nTP_Lo_n=N(BR19))*(N(BR19)=N(BS19))))))</f>
        <v>0</v>
      </c>
      <c r="CD19" s="22">
        <f>IF(CB19=0,0,SUMPRODUCT((nTP_CandKey=BX19)*nTP_Exact*((nTP_HT*BN19*((nTP_OK*BO19*(nTP_UTC_n-N(BQ19))+(1-nTP_OK*BO19)*(nTP_Loc_n-N(BP19)))&lt;=0)+(1-nTP_HT*BN19)*(nTP_Hi_n&lt;N(BR19)))+((1-nTP_HT*BN19)*(nTP_Lo_n=nTP_Hi_n)*(nTP_Lo_n=N(BR19))*(N(BR19)=N(BS19))))))</f>
        <v>0</v>
      </c>
      <c r="CE19" s="22">
        <f>IF(CB19=0,0,SUMPRODUCT((nTP_CandKey=BX19)*(nTP_Err="")*(1-nTP_Exact)*((nTP_HT*BN19*((nTP_OK*BO19*(nTP_UTC_n-N(BQ19))+(1-nTP_OK*BO19)*(nTP_Loc_n-N(BP19)))&lt;=0)+(1-nTP_HT*BN19)*(nTP_Hi_n&lt;N(BR19)))+((1-nTP_HT*BN19)*(nTP_Lo_n=nTP_Hi_n)*(nTP_Lo_n=N(BR19))*(N(BR19)=N(BS19))))))</f>
        <v>0</v>
      </c>
      <c r="CF19" s="22">
        <f>IF(CD19=0,0,SUMPRODUCT(MAX((nTP_CandKey=BX19)*nTP_Exact*((nTP_HT*BN19*((nTP_OK*BO19*(nTP_UTC_n-N(BQ19))+(1-nTP_OK*BO19)*(nTP_Loc_n-N(BP19)))&lt;=0)+(1-nTP_HT*BN19)*(nTP_Hi_n&lt;N(BR19)))+((1-nTP_HT*BN19)*(nTP_Lo_n=nTP_Hi_n)*(nTP_Lo_n=N(BR19))*(N(BR19)=N(BS19))))*nTP_Lo_n)))</f>
        <v>0</v>
      </c>
      <c r="CG19" s="22">
        <f>IF(CD19=0,0,SUMPRODUCT((nTP_CandKey=BX19)*nTP_Exact*((nTP_HT*BN19*((nTP_OK*BO19*(nTP_UTC_n-N(BQ19))+(1-nTP_OK*BO19)*(nTP_Loc_n-N(BP19)))&lt;=0)+(1-nTP_HT*BN19)*(nTP_Hi_n&lt;N(BR19)))+((1-nTP_HT*BN19)*(nTP_Lo_n=nTP_Hi_n)*(nTP_Lo_n=N(BR19))*(N(BR19)=N(BS19))))*(nTP_Lo_n=CF19)))</f>
        <v>0</v>
      </c>
      <c r="CH19" s="22">
        <f>IF(CD19=0,0,SUMPRODUCT((nTP_CandKey=BX19)*nTP_Exact*((nTP_HT*BN19*((nTP_OK*BO19*(nTP_UTC_n-N(BQ19))+(1-nTP_OK*BO19)*(nTP_Loc_n-N(BP19)))&lt;=0)+(1-nTP_HT*BN19)*(nTP_Hi_n&lt;N(BR19)))+((1-nTP_HT*BN19)*(nTP_Lo_n=nTP_Hi_n)*(nTP_Lo_n=N(BR19))*(N(BR19)=N(BS19))))*(1-nTP_HT)*(nTP_Lo_n=CF19)))</f>
        <v>0</v>
      </c>
      <c r="CI19" s="22">
        <f>IF(CD19=0,0,SUMPRODUCT(MAX((nTP_CandKey=BX19)*nTP_Exact*((nTP_HT*BN19*((nTP_OK*BO19*(nTP_UTC_n-N(BQ19))+(1-nTP_OK*BO19)*(nTP_Loc_n-N(BP19)))&lt;=0)+(1-nTP_HT*BN19)*(nTP_Hi_n&lt;N(BR19)))+((1-nTP_HT*BN19)*(nTP_Lo_n=nTP_Hi_n)*(nTP_Lo_n=N(BR19))*(N(BR19)=N(BS19))))*(1-nTP_HT)*nTP_Lo_n)))</f>
        <v>0</v>
      </c>
      <c r="CJ19" s="22">
        <f>IF(CD19=0,0,SUMPRODUCT(MAX((nTP_CandKey=BX19)*nTP_Exact*((nTP_HT*BN19*((nTP_OK*BO19*(nTP_UTC_n-N(BQ19))+(1-nTP_OK*BO19)*(nTP_Loc_n-N(BP19)))&lt;=0)+(1-nTP_HT*BN19)*(nTP_Hi_n&lt;N(BR19)))+((1-nTP_HT*BN19)*(nTP_Lo_n=nTP_Hi_n)*(nTP_Lo_n=N(BR19))*(N(BR19)=N(BS19))))*nTP_HT*nTP_OK*nTP_UTC_n)))</f>
        <v>0</v>
      </c>
      <c r="CK19" s="22">
        <f>IF(CJ19=0,0,SUMPRODUCT((nTP_CandKey=BX19)*nTP_Exact*((nTP_HT*BN19*((nTP_OK*BO19*(nTP_UTC_n-N(BQ19))+(1-nTP_OK*BO19)*(nTP_Loc_n-N(BP19)))&lt;=0)+(1-nTP_HT*BN19)*(nTP_Hi_n&lt;N(BR19)))+((1-nTP_HT*BN19)*(nTP_Lo_n=nTP_Hi_n)*(nTP_Lo_n=N(BR19))*(N(BR19)=N(BS19))))*nTP_HT*nTP_OK*(nTP_UTC_n=CJ19)))</f>
        <v>0</v>
      </c>
      <c r="CL19" s="22">
        <f>IF(CK19&lt;&gt;1,0,SUMPRODUCT((nTP_CandKey=BX19)*nTP_Exact*((nTP_HT*BN19*((nTP_OK*BO19*(nTP_UTC_n-N(BQ19))+(1-nTP_OK*BO19)*(nTP_Loc_n-N(BP19)))&lt;=0)+(1-nTP_HT*BN19)*(nTP_Hi_n&lt;N(BR19)))+((1-nTP_HT*BN19)*(nTP_Lo_n=nTP_Hi_n)*(nTP_Lo_n=N(BR19))*(N(BR19)=N(BS19))))*nTP_HT*nTP_OK*(nTP_UTC_n=CJ19)*nTP_Loc_n))</f>
        <v>0</v>
      </c>
      <c r="CM19" s="22">
        <f>IF(CK19&lt;&gt;1,0,SUMPRODUCT((nTP_CandKey=BX19)*nTP_Exact*((nTP_HT*BN19*((nTP_OK*BO19*(nTP_UTC_n-N(BQ19))+(1-nTP_OK*BO19)*(nTP_Loc_n-N(BP19)))&lt;=0)+(1-nTP_HT*BN19)*(nTP_Hi_n&lt;N(BR19)))+((1-nTP_HT*BN19)*(nTP_Lo_n=nTP_Hi_n)*(nTP_Lo_n=N(BR19))*(N(BR19)=N(BS19))))*nTP_HT*nTP_OK*(nTP_UTC_n=CJ19)*nTP_Lo_n))</f>
        <v>0</v>
      </c>
      <c r="CN19" s="22">
        <f>IF(CD19=0,0,SUMPRODUCT(MAX((nTP_CandKey=BX19)*nTP_Exact*((nTP_HT*BN19*((nTP_OK*BO19*(nTP_UTC_n-N(BQ19))+(1-nTP_OK*BO19)*(nTP_Loc_n-N(BP19)))&lt;=0)+(1-nTP_HT*BN19)*(nTP_Hi_n&lt;N(BR19)))+((1-nTP_HT*BN19)*(nTP_Lo_n=nTP_Hi_n)*(nTP_Lo_n=N(BR19))*(N(BR19)=N(BS19))))*nTP_HT*(1-nTP_OK)*nTP_Loc_n)))</f>
        <v>0</v>
      </c>
      <c r="CO19" s="22">
        <f>IF(CN19=0,0,SUMPRODUCT((nTP_CandKey=BX19)*nTP_Exact*((nTP_HT*BN19*((nTP_OK*BO19*(nTP_UTC_n-N(BQ19))+(1-nTP_OK*BO19)*(nTP_Loc_n-N(BP19)))&lt;=0)+(1-nTP_HT*BN19)*(nTP_Hi_n&lt;N(BR19)))+((1-nTP_HT*BN19)*(nTP_Lo_n=nTP_Hi_n)*(nTP_Lo_n=N(BR19))*(N(BR19)=N(BS19))))*nTP_HT*(1-nTP_OK)*(nTP_Loc_n=CN19)))</f>
        <v>0</v>
      </c>
      <c r="CP19" s="22">
        <f>IF(CO19&lt;&gt;1,0,SUMPRODUCT((nTP_CandKey=BX19)*nTP_Exact*((nTP_HT*BN19*((nTP_OK*BO19*(nTP_UTC_n-N(BQ19))+(1-nTP_OK*BO19)*(nTP_Loc_n-N(BP19)))&lt;=0)+(1-nTP_HT*BN19)*(nTP_Hi_n&lt;N(BR19)))+((1-nTP_HT*BN19)*(nTP_Lo_n=nTP_Hi_n)*(nTP_Lo_n=N(BR19))*(N(BR19)=N(BS19))))*nTP_HT*(1-nTP_OK)*(nTP_Loc_n=CN19)*nTP_Lo_n))</f>
        <v>0</v>
      </c>
      <c r="CQ19" s="22">
        <f>IF(CD19=0,0,SUMPRODUCT(MAX((nTP_CandKey=BX19)*nTP_Exact*((nTP_HT*BN19*((nTP_OK*BO19*(nTP_UTC_n-N(BQ19))+(1-nTP_OK*BO19)*(nTP_Loc_n-N(BP19)))&lt;=0)+(1-nTP_HT*BN19)*(nTP_Hi_n&lt;N(BR19)))+((1-nTP_HT*BN19)*(nTP_Lo_n=nTP_Hi_n)*(nTP_Lo_n=N(BR19))*(N(BR19)=N(BS19))))*nTP_HT*nTP_OK*nTP_Loc_n)))</f>
        <v>0</v>
      </c>
      <c r="CR19" s="22">
        <f t="shared" si="28"/>
        <v>0</v>
      </c>
      <c r="CS19" s="22">
        <f>IF(CR19=0,0,IF(CR19=1,MATCH(1,INDEX((nTP_CandKey=BX19)*nTP_Exact*((nTP_HT*BN19*((nTP_OK*BO19*(nTP_UTC_n-N(BQ19))+(1-nTP_OK*BO19)*(nTP_Loc_n-N(BP19)))&lt;=0)+(1-nTP_HT*BN19)*(nTP_Hi_n&lt;N(BR19)))+((1-nTP_HT*BN19)*(nTP_Lo_n=nTP_Hi_n)*(nTP_Lo_n=N(BR19))*(N(BR19)=N(BS19))))*(1-nTP_HT)*(nTP_Lo_n=CF19),0),0),IF(CR19=2,MATCH(1,INDEX((nTP_CandKey=BX19)*nTP_Exact*((nTP_HT*BN19*((nTP_OK*BO19*(nTP_UTC_n-N(BQ19))+(1-nTP_OK*BO19)*(nTP_Loc_n-N(BP19)))&lt;=0)+(1-nTP_HT*BN19)*(nTP_Hi_n&lt;N(BR19)))+((1-nTP_HT*BN19)*(nTP_Lo_n=nTP_Hi_n)*(nTP_Lo_n=N(BR19))*(N(BR19)=N(BS19))))*nTP_HT*nTP_OK*(nTP_UTC_n=CJ19),0),0),MATCH(1,INDEX((nTP_CandKey=BX19)*nTP_Exact*((nTP_HT*BN19*((nTP_OK*BO19*(nTP_UTC_n-N(BQ19))+(1-nTP_OK*BO19)*(nTP_Loc_n-N(BP19)))&lt;=0)+(1-nTP_HT*BN19)*(nTP_Hi_n&lt;N(BR19)))+((1-nTP_HT*BN19)*(nTP_Lo_n=nTP_Hi_n)*(nTP_Lo_n=N(BR19))*(N(BR19)=N(BS19))))*nTP_HT*(1-nTP_OK)*(nTP_Loc_n=CN19),0),0))))</f>
        <v>0</v>
      </c>
      <c r="CT19" s="22">
        <f>IF(CS19=0,0,INDEX(nTP_Lo_n,CS19))</f>
        <v>0</v>
      </c>
      <c r="CU19" s="22">
        <f>IF(CS19=0,0,SUMPRODUCT((nTP_CandKey=BX19)*(nTP_Err="")*(1-nTP_Exact)*((nTP_HT*BN19*((nTP_OK*BO19*(nTP_UTC_n-N(BQ19))+(1-nTP_OK*BO19)*(nTP_Loc_n-N(BP19)))&lt;=0)+(1-nTP_HT*BN19)*(nTP_Hi_n&lt;N(BR19)))+((1-nTP_HT*BN19)*(nTP_Lo_n=nTP_Hi_n)*(nTP_Lo_n=N(BR19))*(N(BR19)=N(BS19))))*(nTP_Hi_n&gt;=CT19)))</f>
        <v>0</v>
      </c>
      <c r="CV19" s="21" t="str">
        <f t="shared" si="29"/>
        <v/>
      </c>
      <c r="CW19" s="21" t="str">
        <f>IF(AND(BG19=1,CB19=1,CV19="",CS19&gt;0),INDEX(nTP_Record_ID,CS19)&amp;"","")</f>
        <v/>
      </c>
      <c r="CX19" s="21" t="str">
        <f>IF(OR(CV19="",BG19=0),"",IF(CV19="none","an administration record (last dose before onset)",IF(CV19="uncertain","the anchor record: "&amp;INDEX(nTP_Record_ID,MATCH(1,INDEX((nTP_CandKey=BX19)*(nTP_Err="")*(1-(nTP_HT*BN19*((nTP_OK*BO19*(nTP_UTC_n-N(BQ19))+(1-nTP_OK*BO19)*(nTP_Loc_n-N(BP19)))&lt;=0)+(1-nTP_HT*BN19)*(nTP_Hi_n&lt;N(BR19)))-(nTP_HT*BN19*((nTP_OK*BO19*(nTP_UTC_n-N(BQ19))+(1-nTP_OK*BO19)*(nTP_Loc_n-N(BP19)))&gt;0)+(1-nTP_HT*BN19)*(nTP_Lo_n&gt;N(BS19)))-((1-nTP_HT*BN19)*(nTP_Lo_n=nTP_Hi_n)*(nTP_Lo_n=N(BR19))*(N(BR19)=N(BS19)))),0),0))&amp;IF(CC19&gt;1," and "&amp;(CC19-1)&amp;" more","")&amp;" may fall before or after the end point, so the last dose cannot be identified from the recorded dates",IF(CV19="noneligible","the anchor record: no administration with an exact date is recorded at or before the end point",IF(CV19="tie","the anchor record: the order of the latest administrations cannot be told from the recorded dates and times","the anchor record: partial-date administration "&amp;INDEX(nTP_Record_ID,MATCH(1,INDEX((nTP_CandKey=BX19)*(nTP_Err="")*(1-nTP_Exact)*((nTP_HT*BN19*((nTP_OK*BO19*(nTP_UTC_n-N(BQ19))+(1-nTP_OK*BO19)*(nTP_Loc_n-N(BP19)))&lt;=0)+(1-nTP_HT*BN19)*(nTP_Hi_n&lt;N(BR19)))+((1-nTP_HT*BN19)*(nTP_Lo_n=nTP_Hi_n)*(nTP_Lo_n=N(BR19))*(N(BR19)=N(BS19))))*(nTP_Hi_n&gt;=CT19),0),0))&amp;" could be the last dose before the end point")))))</f>
        <v/>
      </c>
      <c r="CY19" s="22">
        <f>IF(OR(AW19=1,AJ19=""),0,IFERROR(MATCH(AX19&amp;"|"&amp;AJ19,nTP_Key,0),0))</f>
        <v>0</v>
      </c>
      <c r="CZ19" s="21">
        <f>IF(CY19=0,0,INDEX(nTP_Dup,CY19))</f>
        <v>0</v>
      </c>
      <c r="DA19" s="21" t="str">
        <f>IF(CY19=0,"",INDEX(nTP_Record_Type,CY19))</f>
        <v/>
      </c>
      <c r="DB19" s="21" t="str">
        <f>IF(CY19=0,"",INDEX(nTP_Precision,CY19))</f>
        <v/>
      </c>
      <c r="DC19" s="21" t="str">
        <f>IF(CY19=0,"",INDEX(nTP_Err,CY19))</f>
        <v/>
      </c>
      <c r="DD19" s="21">
        <f>IF(CY19=0,0,INDEX(nTP_HT,CY19))</f>
        <v>0</v>
      </c>
      <c r="DE19" s="21">
        <f>IF(CY19=0,0,INDEX(nTP_OK,CY19))</f>
        <v>0</v>
      </c>
      <c r="DF19" s="21" t="str">
        <f>IF(CY19=0,"",INDEX(nTP_Loc,CY19))</f>
        <v/>
      </c>
      <c r="DG19" s="21" t="str">
        <f>IF(CY19=0,"",INDEX(nTP_UTC,CY19))</f>
        <v/>
      </c>
      <c r="DH19" s="21" t="str">
        <f>IF(CY19=0,"",INDEX(nTP_Lo,CY19))</f>
        <v/>
      </c>
      <c r="DI19" s="21" t="str">
        <f>IF(CY19=0,"",INDEX(nTP_Hi,CY19))</f>
        <v/>
      </c>
      <c r="DJ19" s="21" t="str">
        <f>IF(CY19=0,"",INDEX(nTP_Original_Text,CY19))</f>
        <v/>
      </c>
      <c r="DK19" s="21" t="str">
        <f>IF(CY19=0,"",INDEX(nTP_Source,CY19))</f>
        <v/>
      </c>
      <c r="DL19" s="22">
        <f t="shared" si="30"/>
        <v>0</v>
      </c>
      <c r="DM19" s="21" t="str">
        <f t="shared" si="31"/>
        <v/>
      </c>
      <c r="DN19" s="21" t="str">
        <f t="shared" si="32"/>
        <v/>
      </c>
      <c r="DO19" s="21" t="str">
        <f t="shared" si="33"/>
        <v/>
      </c>
      <c r="DP19" s="21" t="str">
        <f t="shared" si="34"/>
        <v/>
      </c>
      <c r="DQ19" s="21" t="str">
        <f t="shared" si="35"/>
        <v/>
      </c>
      <c r="DR19" s="22">
        <f>IF(OR(DQ19="",I19=""),0,IF(ISNA(MATCH(I19,nLIST_Mode,0)),1,IF(AND(I19="C1",DQ19&lt;&gt;"C1"),1,IF(AND(I19="C2",DQ19="C4"),1,0))))</f>
        <v>0</v>
      </c>
      <c r="DS19" s="21" t="str">
        <f t="shared" si="36"/>
        <v/>
      </c>
      <c r="DT19" s="22">
        <f t="shared" si="37"/>
        <v>0</v>
      </c>
      <c r="DU19" s="21" t="str">
        <f>IF(DT19=0,"",IF(COUNTIFS(nTP_Case_Key,AX19,nTP_Record_Type,"MILESTONE:INTERVENTION",nTP_Err,"E_INVALID_DATE")&gt;0,"; E_INVALID_DATE","")&amp;IF(COUNTIFS(nTP_Case_Key,AX19,nTP_Record_Type,"MILESTONE:INTERVENTION",nTP_Err,"E_REVERSED_BOUNDS")&gt;0,"; E_REVERSED_BOUNDS","")&amp;IF(COUNTIFS(nTP_Case_Key,AX19,nTP_Record_Type,"MILESTONE:INTERVENTION",nTP_Err,"E_MISSING_INPUT")&gt;0,"; E_MISSING_INPUT","")&amp;IF(COUNTIFS(nTP_Case_Key,AX19,nTP_Record_Type,"MILESTONE:INTERVENTION",nTP_Err,"E_INVALID_UNIT")&gt;0,"; E_INVALID_UNIT",""))</f>
        <v/>
      </c>
      <c r="DV19" s="22">
        <f>IF(DT19=0,0,SUMPRODUCT((nMS_CaseKey=AX19)*(nMS_Type="INTERVENTION")*nMS_Undated))</f>
        <v>0</v>
      </c>
      <c r="DW19" s="21" t="str">
        <f t="shared" si="38"/>
        <v/>
      </c>
      <c r="DX19" s="21" t="str">
        <f t="shared" si="39"/>
        <v/>
      </c>
      <c r="DY19" s="22">
        <f t="shared" si="40"/>
        <v>1</v>
      </c>
      <c r="DZ19" s="21" t="str">
        <f t="shared" si="41"/>
        <v/>
      </c>
      <c r="EA19" s="21" t="str">
        <f t="shared" si="42"/>
        <v/>
      </c>
      <c r="EB19" s="21" t="str">
        <f t="shared" si="43"/>
        <v/>
      </c>
      <c r="EC19" s="21" t="str">
        <f t="shared" si="44"/>
        <v/>
      </c>
      <c r="ED19" s="22">
        <f t="shared" si="45"/>
        <v>0</v>
      </c>
      <c r="EE19" s="22">
        <f t="shared" si="46"/>
        <v>0</v>
      </c>
      <c r="EF19" s="21" t="str">
        <f>IF(ED19=0,"",IF(OR(NOT(ISNUMBER(L19)),NOT(ISNUMBER(M19))),"I_APPROXIMATE_NOT_COMPARED",IF(AND(N19&lt;&gt;"",ISNA(MATCH(N19,nLIST_ReportedUnit,0))),"E_INVALID_UNIT",IF(N19="","E_MISSING_INPUT",IF(L19&gt;M19,"E_REVERSED_BOUNDS",IF(OR(N19="weeks",N19="months",N19="years"),"I_APPROXIMATE_NOT_COMPARED",IF(DX19&lt;&gt;"","",IF(EE19=0,"I_APPROXIMATE_NOT_COMPARED",IF(AND(L19*EE19&lt;=IF(DS19="C4",EC19,IF(DS19="C1",DZ19,EA19)),M19*EE19&gt;=IF(DS19="C4",EB19,IF(DS19="C1",DZ19,EA19))),"OVERLAP","W_REPORTED_TIMING_CONFLICT")))))))))</f>
        <v/>
      </c>
      <c r="EG19" s="21" t="str">
        <f t="shared" si="47"/>
        <v/>
      </c>
      <c r="EH19" s="21" t="str">
        <f t="shared" si="48"/>
        <v/>
      </c>
      <c r="EI19" s="22">
        <f t="shared" si="49"/>
        <v>0</v>
      </c>
      <c r="EJ19" s="22">
        <f t="shared" si="50"/>
        <v>0</v>
      </c>
      <c r="EK19" s="22">
        <f t="shared" si="51"/>
        <v>0</v>
      </c>
      <c r="EL19" s="28" t="str">
        <f t="shared" si="52"/>
        <v/>
      </c>
      <c r="EM19" s="28" t="str">
        <f t="shared" si="53"/>
        <v/>
      </c>
      <c r="EN19" s="21" t="str">
        <f t="shared" si="54"/>
        <v/>
      </c>
      <c r="EO19" s="22">
        <f>IF(OR(DT19=0,DX19&lt;&gt;""),0,SUMPRODUCT((nTP_Case_Key=AX19)*(nTP_Record_Type="MILESTONE:INTERVENTION")*(nTP_Err="")*(nTP_HT*DD19*BN19*(nTP_OK*DE19*(nTP_UTC_n&gt;=N(DG19))+(1-nTP_OK*DE19)*(nTP_Loc_n&gt;=N(DF19)))*(nTP_OK*BO19*(nTP_UTC_n&lt;=N(BQ19))+(1-nTP_OK*BO19)*(nTP_Loc_n&lt;=N(BP19)))+(1-nTP_HT*DD19*BN19)*(nTP_Hi_n&gt;=N(DH19))*(nTP_Lo_n&lt;=N(BS19)))))</f>
        <v>0</v>
      </c>
      <c r="EP19" s="22">
        <f>IF(OR(DT19=0,DX19&lt;&gt;""),0,SUMPRODUCT((nTP_Case_Key=AX19)*(nTP_Role="treatment of the event")*((nTP_Record_Type="EXPOSURE_START")+(nTP_Record_Type="ADMINISTRATION"))*(nTP_Err="")*(nTP_HT*DD19*BN19*(nTP_OK*DE19*(nTP_UTC_n&gt;=N(DG19))+(1-nTP_OK*DE19)*(nTP_Loc_n&gt;=N(DF19)))*(nTP_OK*BO19*(nTP_UTC_n&lt;=N(BQ19))+(1-nTP_OK*BO19)*(nTP_Loc_n&lt;=N(BP19)))+(1-nTP_HT*DD19*BN19)*(nTP_Hi_n&gt;=N(DH19))*(nTP_Lo_n&lt;=N(BS19)))))</f>
        <v>0</v>
      </c>
      <c r="EQ19" s="22">
        <f>IF(EO19&lt;1,0,IFERROR(_xlfn.AGGREGATE(15,6,nTP_RowN/((nTP_Case_Key=AX19)*(nTP_Record_Type="MILESTONE:INTERVENTION")*(nTP_Err="")*(nTP_HT*DD19*BN19*(nTP_OK*DE19*(nTP_UTC_n&gt;=N(DG19))+(1-nTP_OK*DE19)*(nTP_Loc_n&gt;=N(DF19)))*(nTP_OK*BO19*(nTP_UTC_n&lt;=N(BQ19))+(1-nTP_OK*BO19)*(nTP_Loc_n&lt;=N(BP19)))+(1-nTP_HT*DD19*BN19)*(nTP_Hi_n&gt;=N(DH19))*(nTP_Lo_n&lt;=N(BS19)))),1),0))</f>
        <v>0</v>
      </c>
      <c r="ER19" s="22">
        <f>IF(EO19&lt;2,0,IFERROR(_xlfn.AGGREGATE(15,6,nTP_RowN/((nTP_Case_Key=AX19)*(nTP_Record_Type="MILESTONE:INTERVENTION")*(nTP_Err="")*(nTP_HT*DD19*BN19*(nTP_OK*DE19*(nTP_UTC_n&gt;=N(DG19))+(1-nTP_OK*DE19)*(nTP_Loc_n&gt;=N(DF19)))*(nTP_OK*BO19*(nTP_UTC_n&lt;=N(BQ19))+(1-nTP_OK*BO19)*(nTP_Loc_n&lt;=N(BP19)))+(1-nTP_HT*DD19*BN19)*(nTP_Hi_n&gt;=N(DH19))*(nTP_Lo_n&lt;=N(BS19)))),2),0))</f>
        <v>0</v>
      </c>
      <c r="ES19" s="22">
        <f>IF(EO19&lt;3,0,IFERROR(_xlfn.AGGREGATE(15,6,nTP_RowN/((nTP_Case_Key=AX19)*(nTP_Record_Type="MILESTONE:INTERVENTION")*(nTP_Err="")*(nTP_HT*DD19*BN19*(nTP_OK*DE19*(nTP_UTC_n&gt;=N(DG19))+(1-nTP_OK*DE19)*(nTP_Loc_n&gt;=N(DF19)))*(nTP_OK*BO19*(nTP_UTC_n&lt;=N(BQ19))+(1-nTP_OK*BO19)*(nTP_Loc_n&lt;=N(BP19)))+(1-nTP_HT*DD19*BN19)*(nTP_Hi_n&gt;=N(DH19))*(nTP_Lo_n&lt;=N(BS19)))),3),0))</f>
        <v>0</v>
      </c>
      <c r="ET19" s="22">
        <f>IF(EP19&lt;1,0,IFERROR(_xlfn.AGGREGATE(15,6,nTP_RowN/((nTP_Case_Key=AX19)*(nTP_Role="treatment of the event")*((nTP_Record_Type="EXPOSURE_START")+(nTP_Record_Type="ADMINISTRATION"))*(nTP_Err="")*(nTP_HT*DD19*BN19*(nTP_OK*DE19*(nTP_UTC_n&gt;=N(DG19))+(1-nTP_OK*DE19)*(nTP_Loc_n&gt;=N(DF19)))*(nTP_OK*BO19*(nTP_UTC_n&lt;=N(BQ19))+(1-nTP_OK*BO19)*(nTP_Loc_n&lt;=N(BP19)))+(1-nTP_HT*DD19*BN19)*(nTP_Hi_n&gt;=N(DH19))*(nTP_Lo_n&lt;=N(BS19)))),1),0))</f>
        <v>0</v>
      </c>
      <c r="EU19" s="22">
        <f>IF(EP19&lt;2,0,IFERROR(_xlfn.AGGREGATE(15,6,nTP_RowN/((nTP_Case_Key=AX19)*(nTP_Role="treatment of the event")*((nTP_Record_Type="EXPOSURE_START")+(nTP_Record_Type="ADMINISTRATION"))*(nTP_Err="")*(nTP_HT*DD19*BN19*(nTP_OK*DE19*(nTP_UTC_n&gt;=N(DG19))+(1-nTP_OK*DE19)*(nTP_Loc_n&gt;=N(DF19)))*(nTP_OK*BO19*(nTP_UTC_n&lt;=N(BQ19))+(1-nTP_OK*BO19)*(nTP_Loc_n&lt;=N(BP19)))+(1-nTP_HT*DD19*BN19)*(nTP_Hi_n&gt;=N(DH19))*(nTP_Lo_n&lt;=N(BS19)))),2),0))</f>
        <v>0</v>
      </c>
      <c r="EV19" s="22">
        <f>IF(EP19&lt;3,0,IFERROR(_xlfn.AGGREGATE(15,6,nTP_RowN/((nTP_Case_Key=AX19)*(nTP_Role="treatment of the event")*((nTP_Record_Type="EXPOSURE_START")+(nTP_Record_Type="ADMINISTRATION"))*(nTP_Err="")*(nTP_HT*DD19*BN19*(nTP_OK*DE19*(nTP_UTC_n&gt;=N(DG19))+(1-nTP_OK*DE19)*(nTP_Loc_n&gt;=N(DF19)))*(nTP_OK*BO19*(nTP_UTC_n&lt;=N(BQ19))+(1-nTP_OK*BO19)*(nTP_Loc_n&lt;=N(BP19)))+(1-nTP_HT*DD19*BN19)*(nTP_Hi_n&gt;=N(DH19))*(nTP_Lo_n&lt;=N(BS19)))),3),0))</f>
        <v>0</v>
      </c>
      <c r="EW19" s="22">
        <f>IF(CE19&lt;1,0,IFERROR(_xlfn.AGGREGATE(15,6,nTP_RowN/((nTP_CandKey=BX19)*(nTP_Err="")*(1-nTP_Exact)*((nTP_HT*BN19*((nTP_OK*BO19*(nTP_UTC_n-N(BQ19))+(1-nTP_OK*BO19)*(nTP_Loc_n-N(BP19)))&lt;=0)+(1-nTP_HT*BN19)*(nTP_Hi_n&lt;N(BR19)))+((1-nTP_HT*BN19)*(nTP_Lo_n=nTP_Hi_n)*(nTP_Lo_n=N(BR19))*(N(BR19)=N(BS19))))),1),0))</f>
        <v>0</v>
      </c>
      <c r="EX19" s="22">
        <f>IF(CE19&lt;2,0,IFERROR(_xlfn.AGGREGATE(15,6,nTP_RowN/((nTP_CandKey=BX19)*(nTP_Err="")*(1-nTP_Exact)*((nTP_HT*BN19*((nTP_OK*BO19*(nTP_UTC_n-N(BQ19))+(1-nTP_OK*BO19)*(nTP_Loc_n-N(BP19)))&lt;=0)+(1-nTP_HT*BN19)*(nTP_Hi_n&lt;N(BR19)))+((1-nTP_HT*BN19)*(nTP_Lo_n=nTP_Hi_n)*(nTP_Lo_n=N(BR19))*(N(BR19)=N(BS19))))),2),0))</f>
        <v>0</v>
      </c>
      <c r="EY19" s="22">
        <f>IF(CE19&lt;3,0,IFERROR(_xlfn.AGGREGATE(15,6,nTP_RowN/((nTP_CandKey=BX19)*(nTP_Err="")*(1-nTP_Exact)*((nTP_HT*BN19*((nTP_OK*BO19*(nTP_UTC_n-N(BQ19))+(1-nTP_OK*BO19)*(nTP_Loc_n-N(BP19)))&lt;=0)+(1-nTP_HT*BN19)*(nTP_Hi_n&lt;N(BR19)))+((1-nTP_HT*BN19)*(nTP_Lo_n=nTP_Hi_n)*(nTP_Lo_n=N(BR19))*(N(BR19)=N(BS19))))),3),0))</f>
        <v>0</v>
      </c>
      <c r="EZ19" s="21" t="str">
        <f>IF(EO19=0,"",MID(IF(EQ19&gt;0,"; "&amp;INDEX(nTP_Record_ID,EQ19)&amp;IF(INDEX(nTP_Label,EQ19)="",""," ("&amp;INDEX(nTP_Label,EQ19)&amp;")"),"")&amp;IF(ER19&gt;0,"; "&amp;INDEX(nTP_Record_ID,ER19)&amp;IF(INDEX(nTP_Label,ER19)="",""," ("&amp;INDEX(nTP_Label,ER19)&amp;")"),"")&amp;IF(ES19&gt;0,"; "&amp;INDEX(nTP_Record_ID,ES19)&amp;IF(INDEX(nTP_Label,ES19)="",""," ("&amp;INDEX(nTP_Label,ES19)&amp;")"),"")&amp;IF(EO19&gt;3,"; and "&amp;(EO19-3)&amp;" more",""),3,999))</f>
        <v/>
      </c>
      <c r="FA19" s="21" t="str">
        <f>IF(EO19=0,"",MID(IF(EQ19&gt;0,"; "&amp;INDEX(nTP_Record_ID,EQ19),"")&amp;IF(ER19&gt;0,"; "&amp;INDEX(nTP_Record_ID,ER19),"")&amp;IF(ES19&gt;0,"; "&amp;INDEX(nTP_Record_ID,ES19),"")&amp;IF(EO19&gt;3,"; and "&amp;(EO19-3)&amp;" more",""),3,999))</f>
        <v/>
      </c>
      <c r="FB19" s="21" t="str">
        <f>IF(EP19=0,"",MID(IF(ET19&gt;0,"; "&amp;INDEX(nTP_Record_ID,ET19)&amp;IF(INDEX(nTP_Label,ET19)="",""," ("&amp;INDEX(nTP_Label,ET19)&amp;")"),"")&amp;IF(EU19&gt;0,"; "&amp;INDEX(nTP_Record_ID,EU19)&amp;IF(INDEX(nTP_Label,EU19)="",""," ("&amp;INDEX(nTP_Label,EU19)&amp;")"),"")&amp;IF(EV19&gt;0,"; "&amp;INDEX(nTP_Record_ID,EV19)&amp;IF(INDEX(nTP_Label,EV19)="",""," ("&amp;INDEX(nTP_Label,EV19)&amp;")"),"")&amp;IF(EP19&gt;3,"; and "&amp;(EP19-3)&amp;" more",""),3,999))</f>
        <v/>
      </c>
      <c r="FC19" s="21" t="str">
        <f>IF(CE19=0,"",MID(IF(EW19&gt;0,"; "&amp;INDEX(nTP_Record_ID,EW19),"")&amp;IF(EX19&gt;0,"; "&amp;INDEX(nTP_Record_ID,EX19),"")&amp;IF(EY19&gt;0,"; "&amp;INDEX(nTP_Record_ID,EY19),"")&amp;IF(CE19&gt;3,"; and "&amp;(CE19-3)&amp;" more",""),3,999))</f>
        <v/>
      </c>
      <c r="FD19" s="22">
        <f t="shared" si="55"/>
        <v>0</v>
      </c>
      <c r="FE19" s="22">
        <f t="shared" si="56"/>
        <v>0</v>
      </c>
      <c r="FF19" s="22">
        <f t="shared" si="57"/>
        <v>0</v>
      </c>
      <c r="FG19" s="22">
        <f t="shared" si="58"/>
        <v>0</v>
      </c>
      <c r="FH19" s="22">
        <f t="shared" si="59"/>
        <v>0</v>
      </c>
      <c r="FI19" s="22">
        <f t="shared" si="60"/>
        <v>0</v>
      </c>
      <c r="FJ19" s="22">
        <f t="shared" si="61"/>
        <v>0</v>
      </c>
      <c r="FK19" s="22">
        <f t="shared" si="62"/>
        <v>0</v>
      </c>
    </row>
    <row r="20" spans="1:167" x14ac:dyDescent="0.2">
      <c r="A20" s="10"/>
      <c r="B20" s="10"/>
      <c r="C20" s="12"/>
      <c r="D20" s="10"/>
      <c r="E20" s="17"/>
      <c r="F20" s="10"/>
      <c r="G20" s="10"/>
      <c r="H20" s="10"/>
      <c r="I20" s="17"/>
      <c r="J20" s="17"/>
      <c r="K20" s="10"/>
      <c r="L20" s="17"/>
      <c r="M20" s="17"/>
      <c r="N20" s="17"/>
      <c r="O20" s="10"/>
      <c r="P20" s="15"/>
      <c r="Q20" s="15"/>
      <c r="R20" s="10"/>
      <c r="S20" s="10"/>
      <c r="T20" s="21" t="str">
        <f t="shared" si="0"/>
        <v/>
      </c>
      <c r="U20" s="21" t="str">
        <f t="shared" si="1"/>
        <v/>
      </c>
      <c r="V20" s="21" t="str">
        <f t="shared" si="2"/>
        <v/>
      </c>
      <c r="W20" s="21" t="str">
        <f t="shared" si="3"/>
        <v/>
      </c>
      <c r="X20" s="21" t="str">
        <f t="shared" si="4"/>
        <v/>
      </c>
      <c r="Y20" s="21" t="str">
        <f t="shared" si="5"/>
        <v/>
      </c>
      <c r="Z20" s="21" t="str">
        <f t="shared" si="6"/>
        <v/>
      </c>
      <c r="AA20" s="21" t="str">
        <f t="shared" si="7"/>
        <v/>
      </c>
      <c r="AB20" s="21" t="str">
        <f t="shared" si="8"/>
        <v/>
      </c>
      <c r="AC20" s="21" t="str">
        <f t="shared" si="9"/>
        <v/>
      </c>
      <c r="AD20" s="21" t="str">
        <f>IF(AW20=1,"",MID(IF(ISNUMBER(SEARCH("E_INVALID_DATE",EG20))," | E_INVALID_DATE: "&amp;SUBSTITUTE(IFERROR(INDEX(nMSG_Text,MATCH("E_INVALID_DATE",nMSG_Code,0)),""),"[input]",""),"")&amp;IF(ISNUMBER(SEARCH("E_REVERSED_BOUNDS",EG20))," | E_REVERSED_BOUNDS: "&amp;SUBSTITUTE(IFERROR(INDEX(nMSG_Text,MATCH("E_REVERSED_BOUNDS",nMSG_Code,0)),""),"[input]",""),"")&amp;IF(ISNUMBER(SEARCH("E_DUPLICATE_ID",EG20))," | E_DUPLICATE_ID: "&amp;SUBSTITUTE(IFERROR(INDEX(nMSG_Text,MATCH("E_DUPLICATE_ID",nMSG_Code,0)),""),"[input]",""),"")&amp;IF(ISNUMBER(SEARCH("E_MISSING_LINK",EG20))," | E_MISSING_LINK: "&amp;SUBSTITUTE(IFERROR(INDEX(nMSG_Text,MATCH("E_MISSING_LINK",nMSG_Code,0)),""),"[input]",""),"")&amp;IF(ISNUMBER(SEARCH("E_MISSING_INPUT",EG20))," | E_MISSING_INPUT: "&amp;SUBSTITUTE(IFERROR(INDEX(nMSG_Text,MATCH("E_MISSING_INPUT",nMSG_Code,0)),""),"[input]",IF(EH20="","an input",EH20)),"")&amp;IF(ISNUMBER(SEARCH("E_INVALID_UNIT",EG20))," | E_INVALID_UNIT: "&amp;SUBSTITUTE(IFERROR(INDEX(nMSG_Text,MATCH("E_INVALID_UNIT",nMSG_Code,0)),""),"[input]",""),"")&amp;IF(FD20=1," | W_TZ_UNKNOWN: "&amp;SUBSTITUTE(IFERROR(INDEX(nMSG_Text,MATCH("W_TZ_UNKNOWN",nMSG_Code,0)),""),"[input]",""),"")&amp;IF(FE20=1," | W_SAME_DATE_ORDER_UNKNOWN: "&amp;SUBSTITUTE(IFERROR(INDEX(nMSG_Text,MATCH("W_SAME_DATE_ORDER_UNKNOWN",nMSG_Code,0)),""),"[input]",""),"")&amp;IF(FF20=1," | W_SEQUENCE_UNCERTAIN: "&amp;SUBSTITUTE(IFERROR(INDEX(nMSG_Text,MATCH("W_SEQUENCE_UNCERTAIN",nMSG_Code,0)),""),"[input]",""),"")&amp;IF(FG20=1," | W_ADMIN_SAME_DATE_AS_ONSET: "&amp;SUBSTITUTE(IFERROR(INDEX(nMSG_Text,MATCH("W_ADMIN_SAME_DATE_AS_ONSET",nMSG_Code,0)),""),"[input]",""),"")&amp;IF(FH20=1," | W_REPORTED_TIMING_CONFLICT: "&amp;SUBSTITUTE(IFERROR(INDEX(nMSG_Text,MATCH("W_REPORTED_TIMING_CONFLICT",nMSG_Code,0)),""),"[input]",""),"")&amp;IF(FI20=1," | W_INTERVENTION_BEFORE_RECOVERY: "&amp;SUBSTITUTE(IFERROR(INDEX(nMSG_Text,MATCH("W_INTERVENTION_BEFORE_RECOVERY",nMSG_Code,0)),""),"[input]",""),"")&amp;IF(FJ20=1," | I_TREATMENT_DAY_UNDEFINED: "&amp;SUBSTITUTE(IFERROR(INDEX(nMSG_Text,MATCH("I_TREATMENT_DAY_UNDEFINED",nMSG_Code,0)),""),"[input]",""),"")&amp;IF(FK20=1," | I_APPROXIMATE_NOT_COMPARED: "&amp;SUBSTITUTE(IFERROR(INDEX(nMSG_Text,MATCH("I_APPROXIMATE_NOT_COMPARED",nMSG_Code,0)),""),"[input]",""),""),4,9999))</f>
        <v/>
      </c>
      <c r="AE20" s="21" t="str">
        <f t="shared" si="10"/>
        <v/>
      </c>
      <c r="AF20" s="21" t="str">
        <f t="shared" si="11"/>
        <v/>
      </c>
      <c r="AG20" s="21" t="str">
        <f>IF(EN20="","",MID(IF(ISNUMBER(SEARCH("E_REVERSED_BOUNDS",EN20))," | E_REVERSED_BOUNDS: "&amp;SUBSTITUTE(IFERROR(INDEX(nMSG_Text,MATCH("E_REVERSED_BOUNDS",nMSG_Code,0)),""),"[input]",""),"")&amp;IF(ISNUMBER(SEARCH("E_MISSING_INPUT",EN20))," | E_MISSING_INPUT: "&amp;SUBSTITUTE(IFERROR(INDEX(nMSG_Text,MATCH("E_MISSING_INPUT",nMSG_Code,0)),""),"[input]",IF("the source of the constraint"="","an input","the source of the constraint")),""),4,999))</f>
        <v/>
      </c>
      <c r="AH20" s="21" t="str">
        <f t="shared" si="12"/>
        <v/>
      </c>
      <c r="AI20" s="21" t="str">
        <f t="shared" si="13"/>
        <v/>
      </c>
      <c r="AJ20" s="21" t="str">
        <f t="shared" si="14"/>
        <v/>
      </c>
      <c r="AK20" s="21" t="str">
        <f t="shared" si="15"/>
        <v/>
      </c>
      <c r="AL20" s="21" t="str">
        <f>IF(CY20=0,"",INDEX(nTP_ISO,CY20))</f>
        <v/>
      </c>
      <c r="AM20" s="21" t="str">
        <f>IF(CY20=0,"",INDEX(nTP_Display,CY20))</f>
        <v/>
      </c>
      <c r="AN20" s="21" t="str">
        <f>IF(BI20=0,"",INDEX(nTP_ISO,BI20))</f>
        <v/>
      </c>
      <c r="AO20" s="21" t="str">
        <f>IF(BI20=0,"",INDEX(nTP_Display,BI20))</f>
        <v/>
      </c>
      <c r="AP20" s="21" t="str">
        <f>IF(BA20=0,"",INDEX(nLNK_Exposure_Episode_ID,BA20)&amp;"")</f>
        <v/>
      </c>
      <c r="AQ20" s="21" t="str">
        <f>IF(BA20=0,"",INDEX(nLNK_Event_Episode_ID,BA20)&amp;"")</f>
        <v/>
      </c>
      <c r="AR20" s="21" t="str">
        <f t="shared" si="16"/>
        <v/>
      </c>
      <c r="AS20" s="21" t="str">
        <f>IF(EI20=0,"",MID(IF(DT20=1," | Recovery interval (C7) computed with "&amp;DS20&amp;".","")&amp;IF(BG20=1," | Anchor selected under C5 (CALC-SPEC 1.1): latest administration with an exact date or time at or before "&amp;IF(BH20=1,"onset","the end point")&amp;" ("&amp;AJ20&amp;"), ordered in UTC when offsets are known; later administrations are never selected.","")&amp;IF(AND(BG20=1,CE20&gt;0)," | Partial-date administrations wholly before the selected one were not candidates: "&amp;FC20&amp;".","")&amp;IF(BV20&lt;&gt;""," | "&amp;BV20,"")&amp;IF(AND(DS20="C2",EA20=0,DZ20&lt;&gt;"")," | Same calendar date; both times are known, so C1 decides the order ("&amp;AA20&amp;").","")&amp;IF(AND(DS20="C2",DD20*BN20=1,DT20=0)," | Calendar-date difference from the recorded local dates; it is never described as elapsed days.","")&amp;IF(AND(DS20="C4",DT20=0)," | Bounds are treated as independent; no single date is imputed from them.","")&amp;IF(EJ20=1," | Treatment day under the inclusive convention (C3); never written to E2B fields automatically.","")&amp;IF(AND(DS20="C4",DT20=0,EK20=0)," | No constraint applied.","")&amp;IF(AND(DS20="C4",EK20=1)," | Constraint applied to the anchor bounds: "&amp;IF(ISNUMBER(P20),"not before "&amp;DAY(P20)&amp;" "&amp;INDEX(nLIST_Months,MONTH(P20))&amp;" "&amp;YEAR(P20),"")&amp;IF(AND(ISNUMBER(P20),ISNUMBER(Q20)),", ","")&amp;IF(ISNUMBER(Q20),"not after "&amp;DAY(Q20)&amp;" "&amp;INDEX(nLIST_Months,MONTH(Q20))&amp;" "&amp;YEAR(Q20),"")&amp;". Source: "&amp;IF(R20="","not recorded",R20)&amp;IF(EN20="",". Constrained result shown beside the unconstrained one.",". Constrained result blocked ("&amp;EN20&amp;")."),"")&amp;IF(DT20=1,IF(EO20&gt;0," | Intervention recorded between cessation and recovery (ends included): "&amp;EZ20&amp;"."," | No intervention is recorded between cessation and recovery; absence of a record is not evidence that none was given."),"")&amp;IF(AND(DT20=1,DV20&gt;0)," | Intervention recorded without a date, so whether it came before recovery is unknown: "&amp;INDEX(nMS_Milestone_ID,MATCH(1,INDEX((nMS_CaseKey=AX20)*(nMS_Type="INTERVENTION")*nMS_Undated,0),0))&amp;IF(DV20&gt;1," and "&amp;(DV20-1)&amp;" more","")&amp;".","")&amp;IF(AND(DT20=1,EP20&gt;0)," | Not counted as interventions, because they are recorded as exposures rather than as intervention milestones (nothing is inferred): "&amp;FB20&amp;". If treatment was given, record it as an intervention milestone.",""),4,9999))</f>
        <v/>
      </c>
      <c r="AT20" s="21" t="str">
        <f t="shared" si="17"/>
        <v/>
      </c>
      <c r="AU20" s="21" t="str">
        <f t="shared" si="18"/>
        <v/>
      </c>
      <c r="AV20" s="21" t="str">
        <f t="shared" si="19"/>
        <v/>
      </c>
      <c r="AW20" s="22">
        <f t="shared" si="20"/>
        <v>1</v>
      </c>
      <c r="AX20" s="21" t="str">
        <f t="shared" si="21"/>
        <v>|</v>
      </c>
      <c r="AY20" s="21" t="str">
        <f t="shared" si="22"/>
        <v/>
      </c>
      <c r="AZ20" s="22">
        <f>IF(AY20="",0,COUNTIF(nINT_Key,AY20))</f>
        <v>0</v>
      </c>
      <c r="BA20" s="22">
        <f>IF(D20="",0,IFERROR(MATCH(AX20&amp;"|"&amp;D20,nLNK_Key,0),0))</f>
        <v>0</v>
      </c>
      <c r="BB20" s="22">
        <f>IF(BA20=0,1,INDEX(nLNK_Exp_Found,BA20))</f>
        <v>1</v>
      </c>
      <c r="BC20" s="22">
        <f>IF(BA20=0,1,INDEX(nLNK_Evt_Found,BA20))</f>
        <v>1</v>
      </c>
      <c r="BD20" s="22">
        <f>IF(AP20="",0,COUNTIF(nEXP_Key,AX20&amp;"|"&amp;AP20))</f>
        <v>0</v>
      </c>
      <c r="BE20" s="22">
        <f>IF(AQ20="",0,COUNTIF(nEVT_Key,AX20&amp;"|"&amp;AQ20))</f>
        <v>0</v>
      </c>
      <c r="BF20" s="22">
        <f>IF(ISNA(MATCH(E20,nLIST_AnchorType,0)),0,1)</f>
        <v>0</v>
      </c>
      <c r="BG20" s="22">
        <f t="shared" si="23"/>
        <v>0</v>
      </c>
      <c r="BH20" s="22">
        <f t="shared" si="24"/>
        <v>0</v>
      </c>
      <c r="BI20" s="22">
        <f>IF(OR(AW20=1,AK20=""),0,IFERROR(MATCH(AX20&amp;"|"&amp;AK20,nTP_Key,0),0))</f>
        <v>0</v>
      </c>
      <c r="BJ20" s="21">
        <f>IF(BI20=0,0,INDEX(nTP_Dup,BI20))</f>
        <v>0</v>
      </c>
      <c r="BK20" s="21" t="str">
        <f>IF(BI20=0,"",INDEX(nTP_Record_Type,BI20))</f>
        <v/>
      </c>
      <c r="BL20" s="21" t="str">
        <f>IF(BI20=0,"",INDEX(nTP_Precision,BI20))</f>
        <v/>
      </c>
      <c r="BM20" s="21" t="str">
        <f>IF(BI20=0,"",INDEX(nTP_Err,BI20))</f>
        <v/>
      </c>
      <c r="BN20" s="21">
        <f>IF(BI20=0,0,INDEX(nTP_HT,BI20))</f>
        <v>0</v>
      </c>
      <c r="BO20" s="21">
        <f>IF(BI20=0,0,INDEX(nTP_OK,BI20))</f>
        <v>0</v>
      </c>
      <c r="BP20" s="21" t="str">
        <f>IF(BI20=0,"",INDEX(nTP_Loc,BI20))</f>
        <v/>
      </c>
      <c r="BQ20" s="21" t="str">
        <f>IF(BI20=0,"",INDEX(nTP_UTC,BI20))</f>
        <v/>
      </c>
      <c r="BR20" s="21" t="str">
        <f>IF(BI20=0,"",INDEX(nTP_Lo,BI20))</f>
        <v/>
      </c>
      <c r="BS20" s="21" t="str">
        <f>IF(BI20=0,"",INDEX(nTP_Hi,BI20))</f>
        <v/>
      </c>
      <c r="BT20" s="21" t="str">
        <f>IF(BI20=0,"",INDEX(nTP_Original_Text,BI20))</f>
        <v/>
      </c>
      <c r="BU20" s="21" t="str">
        <f>IF(BI20=0,"",INDEX(nTP_Source,BI20))</f>
        <v/>
      </c>
      <c r="BV20" s="21" t="str">
        <f>IF(BI20=0,"",INDEX(nTP_Lab_Note,BI20))</f>
        <v/>
      </c>
      <c r="BW20" s="22">
        <f t="shared" si="25"/>
        <v>0</v>
      </c>
      <c r="BX20" s="21" t="str">
        <f t="shared" si="26"/>
        <v>||</v>
      </c>
      <c r="BY20" s="22">
        <f>IF(BG20=0,0,COUNTIF(nTP_CandKey,BX20))</f>
        <v>0</v>
      </c>
      <c r="BZ20" s="22">
        <f>IF(BG20=0,0,COUNTIFS(nTP_CandKey,BX20,nTP_Err,""))</f>
        <v>0</v>
      </c>
      <c r="CA20" s="21" t="str">
        <f>IF(BY20=BZ20,"",IF(COUNTIFS(nTP_CandKey,BX20,nTP_Err,"E_INVALID_DATE")&gt;0,"; E_INVALID_DATE","")&amp;IF(COUNTIFS(nTP_CandKey,BX20,nTP_Err,"E_REVERSED_BOUNDS")&gt;0,"; E_REVERSED_BOUNDS","")&amp;IF(COUNTIFS(nTP_CandKey,BX20,nTP_Err,"E_MISSING_INPUT")&gt;0,"; E_MISSING_INPUT","")&amp;IF(COUNTIFS(nTP_CandKey,BX20,nTP_Err,"E_INVALID_UNIT")&gt;0,"; E_INVALID_UNIT",""))</f>
        <v/>
      </c>
      <c r="CB20" s="22">
        <f t="shared" si="27"/>
        <v>0</v>
      </c>
      <c r="CC20" s="22">
        <f>IF(CB20=0,0,SUMPRODUCT((nTP_CandKey=BX20)*(nTP_Err="")*(1-(nTP_HT*BN20*((nTP_OK*BO20*(nTP_UTC_n-N(BQ20))+(1-nTP_OK*BO20)*(nTP_Loc_n-N(BP20)))&lt;=0)+(1-nTP_HT*BN20)*(nTP_Hi_n&lt;N(BR20)))-(nTP_HT*BN20*((nTP_OK*BO20*(nTP_UTC_n-N(BQ20))+(1-nTP_OK*BO20)*(nTP_Loc_n-N(BP20)))&gt;0)+(1-nTP_HT*BN20)*(nTP_Lo_n&gt;N(BS20)))-((1-nTP_HT*BN20)*(nTP_Lo_n=nTP_Hi_n)*(nTP_Lo_n=N(BR20))*(N(BR20)=N(BS20))))))</f>
        <v>0</v>
      </c>
      <c r="CD20" s="22">
        <f>IF(CB20=0,0,SUMPRODUCT((nTP_CandKey=BX20)*nTP_Exact*((nTP_HT*BN20*((nTP_OK*BO20*(nTP_UTC_n-N(BQ20))+(1-nTP_OK*BO20)*(nTP_Loc_n-N(BP20)))&lt;=0)+(1-nTP_HT*BN20)*(nTP_Hi_n&lt;N(BR20)))+((1-nTP_HT*BN20)*(nTP_Lo_n=nTP_Hi_n)*(nTP_Lo_n=N(BR20))*(N(BR20)=N(BS20))))))</f>
        <v>0</v>
      </c>
      <c r="CE20" s="22">
        <f>IF(CB20=0,0,SUMPRODUCT((nTP_CandKey=BX20)*(nTP_Err="")*(1-nTP_Exact)*((nTP_HT*BN20*((nTP_OK*BO20*(nTP_UTC_n-N(BQ20))+(1-nTP_OK*BO20)*(nTP_Loc_n-N(BP20)))&lt;=0)+(1-nTP_HT*BN20)*(nTP_Hi_n&lt;N(BR20)))+((1-nTP_HT*BN20)*(nTP_Lo_n=nTP_Hi_n)*(nTP_Lo_n=N(BR20))*(N(BR20)=N(BS20))))))</f>
        <v>0</v>
      </c>
      <c r="CF20" s="22">
        <f>IF(CD20=0,0,SUMPRODUCT(MAX((nTP_CandKey=BX20)*nTP_Exact*((nTP_HT*BN20*((nTP_OK*BO20*(nTP_UTC_n-N(BQ20))+(1-nTP_OK*BO20)*(nTP_Loc_n-N(BP20)))&lt;=0)+(1-nTP_HT*BN20)*(nTP_Hi_n&lt;N(BR20)))+((1-nTP_HT*BN20)*(nTP_Lo_n=nTP_Hi_n)*(nTP_Lo_n=N(BR20))*(N(BR20)=N(BS20))))*nTP_Lo_n)))</f>
        <v>0</v>
      </c>
      <c r="CG20" s="22">
        <f>IF(CD20=0,0,SUMPRODUCT((nTP_CandKey=BX20)*nTP_Exact*((nTP_HT*BN20*((nTP_OK*BO20*(nTP_UTC_n-N(BQ20))+(1-nTP_OK*BO20)*(nTP_Loc_n-N(BP20)))&lt;=0)+(1-nTP_HT*BN20)*(nTP_Hi_n&lt;N(BR20)))+((1-nTP_HT*BN20)*(nTP_Lo_n=nTP_Hi_n)*(nTP_Lo_n=N(BR20))*(N(BR20)=N(BS20))))*(nTP_Lo_n=CF20)))</f>
        <v>0</v>
      </c>
      <c r="CH20" s="22">
        <f>IF(CD20=0,0,SUMPRODUCT((nTP_CandKey=BX20)*nTP_Exact*((nTP_HT*BN20*((nTP_OK*BO20*(nTP_UTC_n-N(BQ20))+(1-nTP_OK*BO20)*(nTP_Loc_n-N(BP20)))&lt;=0)+(1-nTP_HT*BN20)*(nTP_Hi_n&lt;N(BR20)))+((1-nTP_HT*BN20)*(nTP_Lo_n=nTP_Hi_n)*(nTP_Lo_n=N(BR20))*(N(BR20)=N(BS20))))*(1-nTP_HT)*(nTP_Lo_n=CF20)))</f>
        <v>0</v>
      </c>
      <c r="CI20" s="22">
        <f>IF(CD20=0,0,SUMPRODUCT(MAX((nTP_CandKey=BX20)*nTP_Exact*((nTP_HT*BN20*((nTP_OK*BO20*(nTP_UTC_n-N(BQ20))+(1-nTP_OK*BO20)*(nTP_Loc_n-N(BP20)))&lt;=0)+(1-nTP_HT*BN20)*(nTP_Hi_n&lt;N(BR20)))+((1-nTP_HT*BN20)*(nTP_Lo_n=nTP_Hi_n)*(nTP_Lo_n=N(BR20))*(N(BR20)=N(BS20))))*(1-nTP_HT)*nTP_Lo_n)))</f>
        <v>0</v>
      </c>
      <c r="CJ20" s="22">
        <f>IF(CD20=0,0,SUMPRODUCT(MAX((nTP_CandKey=BX20)*nTP_Exact*((nTP_HT*BN20*((nTP_OK*BO20*(nTP_UTC_n-N(BQ20))+(1-nTP_OK*BO20)*(nTP_Loc_n-N(BP20)))&lt;=0)+(1-nTP_HT*BN20)*(nTP_Hi_n&lt;N(BR20)))+((1-nTP_HT*BN20)*(nTP_Lo_n=nTP_Hi_n)*(nTP_Lo_n=N(BR20))*(N(BR20)=N(BS20))))*nTP_HT*nTP_OK*nTP_UTC_n)))</f>
        <v>0</v>
      </c>
      <c r="CK20" s="22">
        <f>IF(CJ20=0,0,SUMPRODUCT((nTP_CandKey=BX20)*nTP_Exact*((nTP_HT*BN20*((nTP_OK*BO20*(nTP_UTC_n-N(BQ20))+(1-nTP_OK*BO20)*(nTP_Loc_n-N(BP20)))&lt;=0)+(1-nTP_HT*BN20)*(nTP_Hi_n&lt;N(BR20)))+((1-nTP_HT*BN20)*(nTP_Lo_n=nTP_Hi_n)*(nTP_Lo_n=N(BR20))*(N(BR20)=N(BS20))))*nTP_HT*nTP_OK*(nTP_UTC_n=CJ20)))</f>
        <v>0</v>
      </c>
      <c r="CL20" s="22">
        <f>IF(CK20&lt;&gt;1,0,SUMPRODUCT((nTP_CandKey=BX20)*nTP_Exact*((nTP_HT*BN20*((nTP_OK*BO20*(nTP_UTC_n-N(BQ20))+(1-nTP_OK*BO20)*(nTP_Loc_n-N(BP20)))&lt;=0)+(1-nTP_HT*BN20)*(nTP_Hi_n&lt;N(BR20)))+((1-nTP_HT*BN20)*(nTP_Lo_n=nTP_Hi_n)*(nTP_Lo_n=N(BR20))*(N(BR20)=N(BS20))))*nTP_HT*nTP_OK*(nTP_UTC_n=CJ20)*nTP_Loc_n))</f>
        <v>0</v>
      </c>
      <c r="CM20" s="22">
        <f>IF(CK20&lt;&gt;1,0,SUMPRODUCT((nTP_CandKey=BX20)*nTP_Exact*((nTP_HT*BN20*((nTP_OK*BO20*(nTP_UTC_n-N(BQ20))+(1-nTP_OK*BO20)*(nTP_Loc_n-N(BP20)))&lt;=0)+(1-nTP_HT*BN20)*(nTP_Hi_n&lt;N(BR20)))+((1-nTP_HT*BN20)*(nTP_Lo_n=nTP_Hi_n)*(nTP_Lo_n=N(BR20))*(N(BR20)=N(BS20))))*nTP_HT*nTP_OK*(nTP_UTC_n=CJ20)*nTP_Lo_n))</f>
        <v>0</v>
      </c>
      <c r="CN20" s="22">
        <f>IF(CD20=0,0,SUMPRODUCT(MAX((nTP_CandKey=BX20)*nTP_Exact*((nTP_HT*BN20*((nTP_OK*BO20*(nTP_UTC_n-N(BQ20))+(1-nTP_OK*BO20)*(nTP_Loc_n-N(BP20)))&lt;=0)+(1-nTP_HT*BN20)*(nTP_Hi_n&lt;N(BR20)))+((1-nTP_HT*BN20)*(nTP_Lo_n=nTP_Hi_n)*(nTP_Lo_n=N(BR20))*(N(BR20)=N(BS20))))*nTP_HT*(1-nTP_OK)*nTP_Loc_n)))</f>
        <v>0</v>
      </c>
      <c r="CO20" s="22">
        <f>IF(CN20=0,0,SUMPRODUCT((nTP_CandKey=BX20)*nTP_Exact*((nTP_HT*BN20*((nTP_OK*BO20*(nTP_UTC_n-N(BQ20))+(1-nTP_OK*BO20)*(nTP_Loc_n-N(BP20)))&lt;=0)+(1-nTP_HT*BN20)*(nTP_Hi_n&lt;N(BR20)))+((1-nTP_HT*BN20)*(nTP_Lo_n=nTP_Hi_n)*(nTP_Lo_n=N(BR20))*(N(BR20)=N(BS20))))*nTP_HT*(1-nTP_OK)*(nTP_Loc_n=CN20)))</f>
        <v>0</v>
      </c>
      <c r="CP20" s="22">
        <f>IF(CO20&lt;&gt;1,0,SUMPRODUCT((nTP_CandKey=BX20)*nTP_Exact*((nTP_HT*BN20*((nTP_OK*BO20*(nTP_UTC_n-N(BQ20))+(1-nTP_OK*BO20)*(nTP_Loc_n-N(BP20)))&lt;=0)+(1-nTP_HT*BN20)*(nTP_Hi_n&lt;N(BR20)))+((1-nTP_HT*BN20)*(nTP_Lo_n=nTP_Hi_n)*(nTP_Lo_n=N(BR20))*(N(BR20)=N(BS20))))*nTP_HT*(1-nTP_OK)*(nTP_Loc_n=CN20)*nTP_Lo_n))</f>
        <v>0</v>
      </c>
      <c r="CQ20" s="22">
        <f>IF(CD20=0,0,SUMPRODUCT(MAX((nTP_CandKey=BX20)*nTP_Exact*((nTP_HT*BN20*((nTP_OK*BO20*(nTP_UTC_n-N(BQ20))+(1-nTP_OK*BO20)*(nTP_Loc_n-N(BP20)))&lt;=0)+(1-nTP_HT*BN20)*(nTP_Hi_n&lt;N(BR20)))+((1-nTP_HT*BN20)*(nTP_Lo_n=nTP_Hi_n)*(nTP_Lo_n=N(BR20))*(N(BR20)=N(BS20))))*nTP_HT*nTP_OK*nTP_Loc_n)))</f>
        <v>0</v>
      </c>
      <c r="CR20" s="22">
        <f t="shared" si="28"/>
        <v>0</v>
      </c>
      <c r="CS20" s="22">
        <f>IF(CR20=0,0,IF(CR20=1,MATCH(1,INDEX((nTP_CandKey=BX20)*nTP_Exact*((nTP_HT*BN20*((nTP_OK*BO20*(nTP_UTC_n-N(BQ20))+(1-nTP_OK*BO20)*(nTP_Loc_n-N(BP20)))&lt;=0)+(1-nTP_HT*BN20)*(nTP_Hi_n&lt;N(BR20)))+((1-nTP_HT*BN20)*(nTP_Lo_n=nTP_Hi_n)*(nTP_Lo_n=N(BR20))*(N(BR20)=N(BS20))))*(1-nTP_HT)*(nTP_Lo_n=CF20),0),0),IF(CR20=2,MATCH(1,INDEX((nTP_CandKey=BX20)*nTP_Exact*((nTP_HT*BN20*((nTP_OK*BO20*(nTP_UTC_n-N(BQ20))+(1-nTP_OK*BO20)*(nTP_Loc_n-N(BP20)))&lt;=0)+(1-nTP_HT*BN20)*(nTP_Hi_n&lt;N(BR20)))+((1-nTP_HT*BN20)*(nTP_Lo_n=nTP_Hi_n)*(nTP_Lo_n=N(BR20))*(N(BR20)=N(BS20))))*nTP_HT*nTP_OK*(nTP_UTC_n=CJ20),0),0),MATCH(1,INDEX((nTP_CandKey=BX20)*nTP_Exact*((nTP_HT*BN20*((nTP_OK*BO20*(nTP_UTC_n-N(BQ20))+(1-nTP_OK*BO20)*(nTP_Loc_n-N(BP20)))&lt;=0)+(1-nTP_HT*BN20)*(nTP_Hi_n&lt;N(BR20)))+((1-nTP_HT*BN20)*(nTP_Lo_n=nTP_Hi_n)*(nTP_Lo_n=N(BR20))*(N(BR20)=N(BS20))))*nTP_HT*(1-nTP_OK)*(nTP_Loc_n=CN20),0),0))))</f>
        <v>0</v>
      </c>
      <c r="CT20" s="22">
        <f>IF(CS20=0,0,INDEX(nTP_Lo_n,CS20))</f>
        <v>0</v>
      </c>
      <c r="CU20" s="22">
        <f>IF(CS20=0,0,SUMPRODUCT((nTP_CandKey=BX20)*(nTP_Err="")*(1-nTP_Exact)*((nTP_HT*BN20*((nTP_OK*BO20*(nTP_UTC_n-N(BQ20))+(1-nTP_OK*BO20)*(nTP_Loc_n-N(BP20)))&lt;=0)+(1-nTP_HT*BN20)*(nTP_Hi_n&lt;N(BR20)))+((1-nTP_HT*BN20)*(nTP_Lo_n=nTP_Hi_n)*(nTP_Lo_n=N(BR20))*(N(BR20)=N(BS20))))*(nTP_Hi_n&gt;=CT20)))</f>
        <v>0</v>
      </c>
      <c r="CV20" s="21" t="str">
        <f t="shared" si="29"/>
        <v/>
      </c>
      <c r="CW20" s="21" t="str">
        <f>IF(AND(BG20=1,CB20=1,CV20="",CS20&gt;0),INDEX(nTP_Record_ID,CS20)&amp;"","")</f>
        <v/>
      </c>
      <c r="CX20" s="21" t="str">
        <f>IF(OR(CV20="",BG20=0),"",IF(CV20="none","an administration record (last dose before onset)",IF(CV20="uncertain","the anchor record: "&amp;INDEX(nTP_Record_ID,MATCH(1,INDEX((nTP_CandKey=BX20)*(nTP_Err="")*(1-(nTP_HT*BN20*((nTP_OK*BO20*(nTP_UTC_n-N(BQ20))+(1-nTP_OK*BO20)*(nTP_Loc_n-N(BP20)))&lt;=0)+(1-nTP_HT*BN20)*(nTP_Hi_n&lt;N(BR20)))-(nTP_HT*BN20*((nTP_OK*BO20*(nTP_UTC_n-N(BQ20))+(1-nTP_OK*BO20)*(nTP_Loc_n-N(BP20)))&gt;0)+(1-nTP_HT*BN20)*(nTP_Lo_n&gt;N(BS20)))-((1-nTP_HT*BN20)*(nTP_Lo_n=nTP_Hi_n)*(nTP_Lo_n=N(BR20))*(N(BR20)=N(BS20)))),0),0))&amp;IF(CC20&gt;1," and "&amp;(CC20-1)&amp;" more","")&amp;" may fall before or after the end point, so the last dose cannot be identified from the recorded dates",IF(CV20="noneligible","the anchor record: no administration with an exact date is recorded at or before the end point",IF(CV20="tie","the anchor record: the order of the latest administrations cannot be told from the recorded dates and times","the anchor record: partial-date administration "&amp;INDEX(nTP_Record_ID,MATCH(1,INDEX((nTP_CandKey=BX20)*(nTP_Err="")*(1-nTP_Exact)*((nTP_HT*BN20*((nTP_OK*BO20*(nTP_UTC_n-N(BQ20))+(1-nTP_OK*BO20)*(nTP_Loc_n-N(BP20)))&lt;=0)+(1-nTP_HT*BN20)*(nTP_Hi_n&lt;N(BR20)))+((1-nTP_HT*BN20)*(nTP_Lo_n=nTP_Hi_n)*(nTP_Lo_n=N(BR20))*(N(BR20)=N(BS20))))*(nTP_Hi_n&gt;=CT20),0),0))&amp;" could be the last dose before the end point")))))</f>
        <v/>
      </c>
      <c r="CY20" s="22">
        <f>IF(OR(AW20=1,AJ20=""),0,IFERROR(MATCH(AX20&amp;"|"&amp;AJ20,nTP_Key,0),0))</f>
        <v>0</v>
      </c>
      <c r="CZ20" s="21">
        <f>IF(CY20=0,0,INDEX(nTP_Dup,CY20))</f>
        <v>0</v>
      </c>
      <c r="DA20" s="21" t="str">
        <f>IF(CY20=0,"",INDEX(nTP_Record_Type,CY20))</f>
        <v/>
      </c>
      <c r="DB20" s="21" t="str">
        <f>IF(CY20=0,"",INDEX(nTP_Precision,CY20))</f>
        <v/>
      </c>
      <c r="DC20" s="21" t="str">
        <f>IF(CY20=0,"",INDEX(nTP_Err,CY20))</f>
        <v/>
      </c>
      <c r="DD20" s="21">
        <f>IF(CY20=0,0,INDEX(nTP_HT,CY20))</f>
        <v>0</v>
      </c>
      <c r="DE20" s="21">
        <f>IF(CY20=0,0,INDEX(nTP_OK,CY20))</f>
        <v>0</v>
      </c>
      <c r="DF20" s="21" t="str">
        <f>IF(CY20=0,"",INDEX(nTP_Loc,CY20))</f>
        <v/>
      </c>
      <c r="DG20" s="21" t="str">
        <f>IF(CY20=0,"",INDEX(nTP_UTC,CY20))</f>
        <v/>
      </c>
      <c r="DH20" s="21" t="str">
        <f>IF(CY20=0,"",INDEX(nTP_Lo,CY20))</f>
        <v/>
      </c>
      <c r="DI20" s="21" t="str">
        <f>IF(CY20=0,"",INDEX(nTP_Hi,CY20))</f>
        <v/>
      </c>
      <c r="DJ20" s="21" t="str">
        <f>IF(CY20=0,"",INDEX(nTP_Original_Text,CY20))</f>
        <v/>
      </c>
      <c r="DK20" s="21" t="str">
        <f>IF(CY20=0,"",INDEX(nTP_Source,CY20))</f>
        <v/>
      </c>
      <c r="DL20" s="22">
        <f t="shared" si="30"/>
        <v>0</v>
      </c>
      <c r="DM20" s="21" t="str">
        <f t="shared" si="31"/>
        <v/>
      </c>
      <c r="DN20" s="21" t="str">
        <f t="shared" si="32"/>
        <v/>
      </c>
      <c r="DO20" s="21" t="str">
        <f t="shared" si="33"/>
        <v/>
      </c>
      <c r="DP20" s="21" t="str">
        <f t="shared" si="34"/>
        <v/>
      </c>
      <c r="DQ20" s="21" t="str">
        <f t="shared" si="35"/>
        <v/>
      </c>
      <c r="DR20" s="22">
        <f>IF(OR(DQ20="",I20=""),0,IF(ISNA(MATCH(I20,nLIST_Mode,0)),1,IF(AND(I20="C1",DQ20&lt;&gt;"C1"),1,IF(AND(I20="C2",DQ20="C4"),1,0))))</f>
        <v>0</v>
      </c>
      <c r="DS20" s="21" t="str">
        <f t="shared" si="36"/>
        <v/>
      </c>
      <c r="DT20" s="22">
        <f t="shared" si="37"/>
        <v>0</v>
      </c>
      <c r="DU20" s="21" t="str">
        <f>IF(DT20=0,"",IF(COUNTIFS(nTP_Case_Key,AX20,nTP_Record_Type,"MILESTONE:INTERVENTION",nTP_Err,"E_INVALID_DATE")&gt;0,"; E_INVALID_DATE","")&amp;IF(COUNTIFS(nTP_Case_Key,AX20,nTP_Record_Type,"MILESTONE:INTERVENTION",nTP_Err,"E_REVERSED_BOUNDS")&gt;0,"; E_REVERSED_BOUNDS","")&amp;IF(COUNTIFS(nTP_Case_Key,AX20,nTP_Record_Type,"MILESTONE:INTERVENTION",nTP_Err,"E_MISSING_INPUT")&gt;0,"; E_MISSING_INPUT","")&amp;IF(COUNTIFS(nTP_Case_Key,AX20,nTP_Record_Type,"MILESTONE:INTERVENTION",nTP_Err,"E_INVALID_UNIT")&gt;0,"; E_INVALID_UNIT",""))</f>
        <v/>
      </c>
      <c r="DV20" s="22">
        <f>IF(DT20=0,0,SUMPRODUCT((nMS_CaseKey=AX20)*(nMS_Type="INTERVENTION")*nMS_Undated))</f>
        <v>0</v>
      </c>
      <c r="DW20" s="21" t="str">
        <f t="shared" si="38"/>
        <v/>
      </c>
      <c r="DX20" s="21" t="str">
        <f t="shared" si="39"/>
        <v/>
      </c>
      <c r="DY20" s="22">
        <f t="shared" si="40"/>
        <v>1</v>
      </c>
      <c r="DZ20" s="21" t="str">
        <f t="shared" si="41"/>
        <v/>
      </c>
      <c r="EA20" s="21" t="str">
        <f t="shared" si="42"/>
        <v/>
      </c>
      <c r="EB20" s="21" t="str">
        <f t="shared" si="43"/>
        <v/>
      </c>
      <c r="EC20" s="21" t="str">
        <f t="shared" si="44"/>
        <v/>
      </c>
      <c r="ED20" s="22">
        <f t="shared" si="45"/>
        <v>0</v>
      </c>
      <c r="EE20" s="22">
        <f t="shared" si="46"/>
        <v>0</v>
      </c>
      <c r="EF20" s="21" t="str">
        <f>IF(ED20=0,"",IF(OR(NOT(ISNUMBER(L20)),NOT(ISNUMBER(M20))),"I_APPROXIMATE_NOT_COMPARED",IF(AND(N20&lt;&gt;"",ISNA(MATCH(N20,nLIST_ReportedUnit,0))),"E_INVALID_UNIT",IF(N20="","E_MISSING_INPUT",IF(L20&gt;M20,"E_REVERSED_BOUNDS",IF(OR(N20="weeks",N20="months",N20="years"),"I_APPROXIMATE_NOT_COMPARED",IF(DX20&lt;&gt;"","",IF(EE20=0,"I_APPROXIMATE_NOT_COMPARED",IF(AND(L20*EE20&lt;=IF(DS20="C4",EC20,IF(DS20="C1",DZ20,EA20)),M20*EE20&gt;=IF(DS20="C4",EB20,IF(DS20="C1",DZ20,EA20))),"OVERLAP","W_REPORTED_TIMING_CONFLICT")))))))))</f>
        <v/>
      </c>
      <c r="EG20" s="21" t="str">
        <f t="shared" si="47"/>
        <v/>
      </c>
      <c r="EH20" s="21" t="str">
        <f t="shared" si="48"/>
        <v/>
      </c>
      <c r="EI20" s="22">
        <f t="shared" si="49"/>
        <v>0</v>
      </c>
      <c r="EJ20" s="22">
        <f t="shared" si="50"/>
        <v>0</v>
      </c>
      <c r="EK20" s="22">
        <f t="shared" si="51"/>
        <v>0</v>
      </c>
      <c r="EL20" s="28" t="str">
        <f t="shared" si="52"/>
        <v/>
      </c>
      <c r="EM20" s="28" t="str">
        <f t="shared" si="53"/>
        <v/>
      </c>
      <c r="EN20" s="21" t="str">
        <f t="shared" si="54"/>
        <v/>
      </c>
      <c r="EO20" s="22">
        <f>IF(OR(DT20=0,DX20&lt;&gt;""),0,SUMPRODUCT((nTP_Case_Key=AX20)*(nTP_Record_Type="MILESTONE:INTERVENTION")*(nTP_Err="")*(nTP_HT*DD20*BN20*(nTP_OK*DE20*(nTP_UTC_n&gt;=N(DG20))+(1-nTP_OK*DE20)*(nTP_Loc_n&gt;=N(DF20)))*(nTP_OK*BO20*(nTP_UTC_n&lt;=N(BQ20))+(1-nTP_OK*BO20)*(nTP_Loc_n&lt;=N(BP20)))+(1-nTP_HT*DD20*BN20)*(nTP_Hi_n&gt;=N(DH20))*(nTP_Lo_n&lt;=N(BS20)))))</f>
        <v>0</v>
      </c>
      <c r="EP20" s="22">
        <f>IF(OR(DT20=0,DX20&lt;&gt;""),0,SUMPRODUCT((nTP_Case_Key=AX20)*(nTP_Role="treatment of the event")*((nTP_Record_Type="EXPOSURE_START")+(nTP_Record_Type="ADMINISTRATION"))*(nTP_Err="")*(nTP_HT*DD20*BN20*(nTP_OK*DE20*(nTP_UTC_n&gt;=N(DG20))+(1-nTP_OK*DE20)*(nTP_Loc_n&gt;=N(DF20)))*(nTP_OK*BO20*(nTP_UTC_n&lt;=N(BQ20))+(1-nTP_OK*BO20)*(nTP_Loc_n&lt;=N(BP20)))+(1-nTP_HT*DD20*BN20)*(nTP_Hi_n&gt;=N(DH20))*(nTP_Lo_n&lt;=N(BS20)))))</f>
        <v>0</v>
      </c>
      <c r="EQ20" s="22">
        <f>IF(EO20&lt;1,0,IFERROR(_xlfn.AGGREGATE(15,6,nTP_RowN/((nTP_Case_Key=AX20)*(nTP_Record_Type="MILESTONE:INTERVENTION")*(nTP_Err="")*(nTP_HT*DD20*BN20*(nTP_OK*DE20*(nTP_UTC_n&gt;=N(DG20))+(1-nTP_OK*DE20)*(nTP_Loc_n&gt;=N(DF20)))*(nTP_OK*BO20*(nTP_UTC_n&lt;=N(BQ20))+(1-nTP_OK*BO20)*(nTP_Loc_n&lt;=N(BP20)))+(1-nTP_HT*DD20*BN20)*(nTP_Hi_n&gt;=N(DH20))*(nTP_Lo_n&lt;=N(BS20)))),1),0))</f>
        <v>0</v>
      </c>
      <c r="ER20" s="22">
        <f>IF(EO20&lt;2,0,IFERROR(_xlfn.AGGREGATE(15,6,nTP_RowN/((nTP_Case_Key=AX20)*(nTP_Record_Type="MILESTONE:INTERVENTION")*(nTP_Err="")*(nTP_HT*DD20*BN20*(nTP_OK*DE20*(nTP_UTC_n&gt;=N(DG20))+(1-nTP_OK*DE20)*(nTP_Loc_n&gt;=N(DF20)))*(nTP_OK*BO20*(nTP_UTC_n&lt;=N(BQ20))+(1-nTP_OK*BO20)*(nTP_Loc_n&lt;=N(BP20)))+(1-nTP_HT*DD20*BN20)*(nTP_Hi_n&gt;=N(DH20))*(nTP_Lo_n&lt;=N(BS20)))),2),0))</f>
        <v>0</v>
      </c>
      <c r="ES20" s="22">
        <f>IF(EO20&lt;3,0,IFERROR(_xlfn.AGGREGATE(15,6,nTP_RowN/((nTP_Case_Key=AX20)*(nTP_Record_Type="MILESTONE:INTERVENTION")*(nTP_Err="")*(nTP_HT*DD20*BN20*(nTP_OK*DE20*(nTP_UTC_n&gt;=N(DG20))+(1-nTP_OK*DE20)*(nTP_Loc_n&gt;=N(DF20)))*(nTP_OK*BO20*(nTP_UTC_n&lt;=N(BQ20))+(1-nTP_OK*BO20)*(nTP_Loc_n&lt;=N(BP20)))+(1-nTP_HT*DD20*BN20)*(nTP_Hi_n&gt;=N(DH20))*(nTP_Lo_n&lt;=N(BS20)))),3),0))</f>
        <v>0</v>
      </c>
      <c r="ET20" s="22">
        <f>IF(EP20&lt;1,0,IFERROR(_xlfn.AGGREGATE(15,6,nTP_RowN/((nTP_Case_Key=AX20)*(nTP_Role="treatment of the event")*((nTP_Record_Type="EXPOSURE_START")+(nTP_Record_Type="ADMINISTRATION"))*(nTP_Err="")*(nTP_HT*DD20*BN20*(nTP_OK*DE20*(nTP_UTC_n&gt;=N(DG20))+(1-nTP_OK*DE20)*(nTP_Loc_n&gt;=N(DF20)))*(nTP_OK*BO20*(nTP_UTC_n&lt;=N(BQ20))+(1-nTP_OK*BO20)*(nTP_Loc_n&lt;=N(BP20)))+(1-nTP_HT*DD20*BN20)*(nTP_Hi_n&gt;=N(DH20))*(nTP_Lo_n&lt;=N(BS20)))),1),0))</f>
        <v>0</v>
      </c>
      <c r="EU20" s="22">
        <f>IF(EP20&lt;2,0,IFERROR(_xlfn.AGGREGATE(15,6,nTP_RowN/((nTP_Case_Key=AX20)*(nTP_Role="treatment of the event")*((nTP_Record_Type="EXPOSURE_START")+(nTP_Record_Type="ADMINISTRATION"))*(nTP_Err="")*(nTP_HT*DD20*BN20*(nTP_OK*DE20*(nTP_UTC_n&gt;=N(DG20))+(1-nTP_OK*DE20)*(nTP_Loc_n&gt;=N(DF20)))*(nTP_OK*BO20*(nTP_UTC_n&lt;=N(BQ20))+(1-nTP_OK*BO20)*(nTP_Loc_n&lt;=N(BP20)))+(1-nTP_HT*DD20*BN20)*(nTP_Hi_n&gt;=N(DH20))*(nTP_Lo_n&lt;=N(BS20)))),2),0))</f>
        <v>0</v>
      </c>
      <c r="EV20" s="22">
        <f>IF(EP20&lt;3,0,IFERROR(_xlfn.AGGREGATE(15,6,nTP_RowN/((nTP_Case_Key=AX20)*(nTP_Role="treatment of the event")*((nTP_Record_Type="EXPOSURE_START")+(nTP_Record_Type="ADMINISTRATION"))*(nTP_Err="")*(nTP_HT*DD20*BN20*(nTP_OK*DE20*(nTP_UTC_n&gt;=N(DG20))+(1-nTP_OK*DE20)*(nTP_Loc_n&gt;=N(DF20)))*(nTP_OK*BO20*(nTP_UTC_n&lt;=N(BQ20))+(1-nTP_OK*BO20)*(nTP_Loc_n&lt;=N(BP20)))+(1-nTP_HT*DD20*BN20)*(nTP_Hi_n&gt;=N(DH20))*(nTP_Lo_n&lt;=N(BS20)))),3),0))</f>
        <v>0</v>
      </c>
      <c r="EW20" s="22">
        <f>IF(CE20&lt;1,0,IFERROR(_xlfn.AGGREGATE(15,6,nTP_RowN/((nTP_CandKey=BX20)*(nTP_Err="")*(1-nTP_Exact)*((nTP_HT*BN20*((nTP_OK*BO20*(nTP_UTC_n-N(BQ20))+(1-nTP_OK*BO20)*(nTP_Loc_n-N(BP20)))&lt;=0)+(1-nTP_HT*BN20)*(nTP_Hi_n&lt;N(BR20)))+((1-nTP_HT*BN20)*(nTP_Lo_n=nTP_Hi_n)*(nTP_Lo_n=N(BR20))*(N(BR20)=N(BS20))))),1),0))</f>
        <v>0</v>
      </c>
      <c r="EX20" s="22">
        <f>IF(CE20&lt;2,0,IFERROR(_xlfn.AGGREGATE(15,6,nTP_RowN/((nTP_CandKey=BX20)*(nTP_Err="")*(1-nTP_Exact)*((nTP_HT*BN20*((nTP_OK*BO20*(nTP_UTC_n-N(BQ20))+(1-nTP_OK*BO20)*(nTP_Loc_n-N(BP20)))&lt;=0)+(1-nTP_HT*BN20)*(nTP_Hi_n&lt;N(BR20)))+((1-nTP_HT*BN20)*(nTP_Lo_n=nTP_Hi_n)*(nTP_Lo_n=N(BR20))*(N(BR20)=N(BS20))))),2),0))</f>
        <v>0</v>
      </c>
      <c r="EY20" s="22">
        <f>IF(CE20&lt;3,0,IFERROR(_xlfn.AGGREGATE(15,6,nTP_RowN/((nTP_CandKey=BX20)*(nTP_Err="")*(1-nTP_Exact)*((nTP_HT*BN20*((nTP_OK*BO20*(nTP_UTC_n-N(BQ20))+(1-nTP_OK*BO20)*(nTP_Loc_n-N(BP20)))&lt;=0)+(1-nTP_HT*BN20)*(nTP_Hi_n&lt;N(BR20)))+((1-nTP_HT*BN20)*(nTP_Lo_n=nTP_Hi_n)*(nTP_Lo_n=N(BR20))*(N(BR20)=N(BS20))))),3),0))</f>
        <v>0</v>
      </c>
      <c r="EZ20" s="21" t="str">
        <f>IF(EO20=0,"",MID(IF(EQ20&gt;0,"; "&amp;INDEX(nTP_Record_ID,EQ20)&amp;IF(INDEX(nTP_Label,EQ20)="",""," ("&amp;INDEX(nTP_Label,EQ20)&amp;")"),"")&amp;IF(ER20&gt;0,"; "&amp;INDEX(nTP_Record_ID,ER20)&amp;IF(INDEX(nTP_Label,ER20)="",""," ("&amp;INDEX(nTP_Label,ER20)&amp;")"),"")&amp;IF(ES20&gt;0,"; "&amp;INDEX(nTP_Record_ID,ES20)&amp;IF(INDEX(nTP_Label,ES20)="",""," ("&amp;INDEX(nTP_Label,ES20)&amp;")"),"")&amp;IF(EO20&gt;3,"; and "&amp;(EO20-3)&amp;" more",""),3,999))</f>
        <v/>
      </c>
      <c r="FA20" s="21" t="str">
        <f>IF(EO20=0,"",MID(IF(EQ20&gt;0,"; "&amp;INDEX(nTP_Record_ID,EQ20),"")&amp;IF(ER20&gt;0,"; "&amp;INDEX(nTP_Record_ID,ER20),"")&amp;IF(ES20&gt;0,"; "&amp;INDEX(nTP_Record_ID,ES20),"")&amp;IF(EO20&gt;3,"; and "&amp;(EO20-3)&amp;" more",""),3,999))</f>
        <v/>
      </c>
      <c r="FB20" s="21" t="str">
        <f>IF(EP20=0,"",MID(IF(ET20&gt;0,"; "&amp;INDEX(nTP_Record_ID,ET20)&amp;IF(INDEX(nTP_Label,ET20)="",""," ("&amp;INDEX(nTP_Label,ET20)&amp;")"),"")&amp;IF(EU20&gt;0,"; "&amp;INDEX(nTP_Record_ID,EU20)&amp;IF(INDEX(nTP_Label,EU20)="",""," ("&amp;INDEX(nTP_Label,EU20)&amp;")"),"")&amp;IF(EV20&gt;0,"; "&amp;INDEX(nTP_Record_ID,EV20)&amp;IF(INDEX(nTP_Label,EV20)="",""," ("&amp;INDEX(nTP_Label,EV20)&amp;")"),"")&amp;IF(EP20&gt;3,"; and "&amp;(EP20-3)&amp;" more",""),3,999))</f>
        <v/>
      </c>
      <c r="FC20" s="21" t="str">
        <f>IF(CE20=0,"",MID(IF(EW20&gt;0,"; "&amp;INDEX(nTP_Record_ID,EW20),"")&amp;IF(EX20&gt;0,"; "&amp;INDEX(nTP_Record_ID,EX20),"")&amp;IF(EY20&gt;0,"; "&amp;INDEX(nTP_Record_ID,EY20),"")&amp;IF(CE20&gt;3,"; and "&amp;(CE20-3)&amp;" more",""),3,999))</f>
        <v/>
      </c>
      <c r="FD20" s="22">
        <f t="shared" si="55"/>
        <v>0</v>
      </c>
      <c r="FE20" s="22">
        <f t="shared" si="56"/>
        <v>0</v>
      </c>
      <c r="FF20" s="22">
        <f t="shared" si="57"/>
        <v>0</v>
      </c>
      <c r="FG20" s="22">
        <f t="shared" si="58"/>
        <v>0</v>
      </c>
      <c r="FH20" s="22">
        <f t="shared" si="59"/>
        <v>0</v>
      </c>
      <c r="FI20" s="22">
        <f t="shared" si="60"/>
        <v>0</v>
      </c>
      <c r="FJ20" s="22">
        <f t="shared" si="61"/>
        <v>0</v>
      </c>
      <c r="FK20" s="22">
        <f t="shared" si="62"/>
        <v>0</v>
      </c>
    </row>
    <row r="21" spans="1:167" x14ac:dyDescent="0.2">
      <c r="A21" s="10"/>
      <c r="B21" s="10"/>
      <c r="C21" s="12"/>
      <c r="D21" s="10"/>
      <c r="E21" s="17"/>
      <c r="F21" s="10"/>
      <c r="G21" s="10"/>
      <c r="H21" s="10"/>
      <c r="I21" s="17"/>
      <c r="J21" s="17"/>
      <c r="K21" s="10"/>
      <c r="L21" s="17"/>
      <c r="M21" s="17"/>
      <c r="N21" s="17"/>
      <c r="O21" s="10"/>
      <c r="P21" s="15"/>
      <c r="Q21" s="15"/>
      <c r="R21" s="10"/>
      <c r="S21" s="10"/>
      <c r="T21" s="21" t="str">
        <f t="shared" si="0"/>
        <v/>
      </c>
      <c r="U21" s="21" t="str">
        <f t="shared" si="1"/>
        <v/>
      </c>
      <c r="V21" s="21" t="str">
        <f t="shared" si="2"/>
        <v/>
      </c>
      <c r="W21" s="21" t="str">
        <f t="shared" si="3"/>
        <v/>
      </c>
      <c r="X21" s="21" t="str">
        <f t="shared" si="4"/>
        <v/>
      </c>
      <c r="Y21" s="21" t="str">
        <f t="shared" si="5"/>
        <v/>
      </c>
      <c r="Z21" s="21" t="str">
        <f t="shared" si="6"/>
        <v/>
      </c>
      <c r="AA21" s="21" t="str">
        <f t="shared" si="7"/>
        <v/>
      </c>
      <c r="AB21" s="21" t="str">
        <f t="shared" si="8"/>
        <v/>
      </c>
      <c r="AC21" s="21" t="str">
        <f t="shared" si="9"/>
        <v/>
      </c>
      <c r="AD21" s="21" t="str">
        <f>IF(AW21=1,"",MID(IF(ISNUMBER(SEARCH("E_INVALID_DATE",EG21))," | E_INVALID_DATE: "&amp;SUBSTITUTE(IFERROR(INDEX(nMSG_Text,MATCH("E_INVALID_DATE",nMSG_Code,0)),""),"[input]",""),"")&amp;IF(ISNUMBER(SEARCH("E_REVERSED_BOUNDS",EG21))," | E_REVERSED_BOUNDS: "&amp;SUBSTITUTE(IFERROR(INDEX(nMSG_Text,MATCH("E_REVERSED_BOUNDS",nMSG_Code,0)),""),"[input]",""),"")&amp;IF(ISNUMBER(SEARCH("E_DUPLICATE_ID",EG21))," | E_DUPLICATE_ID: "&amp;SUBSTITUTE(IFERROR(INDEX(nMSG_Text,MATCH("E_DUPLICATE_ID",nMSG_Code,0)),""),"[input]",""),"")&amp;IF(ISNUMBER(SEARCH("E_MISSING_LINK",EG21))," | E_MISSING_LINK: "&amp;SUBSTITUTE(IFERROR(INDEX(nMSG_Text,MATCH("E_MISSING_LINK",nMSG_Code,0)),""),"[input]",""),"")&amp;IF(ISNUMBER(SEARCH("E_MISSING_INPUT",EG21))," | E_MISSING_INPUT: "&amp;SUBSTITUTE(IFERROR(INDEX(nMSG_Text,MATCH("E_MISSING_INPUT",nMSG_Code,0)),""),"[input]",IF(EH21="","an input",EH21)),"")&amp;IF(ISNUMBER(SEARCH("E_INVALID_UNIT",EG21))," | E_INVALID_UNIT: "&amp;SUBSTITUTE(IFERROR(INDEX(nMSG_Text,MATCH("E_INVALID_UNIT",nMSG_Code,0)),""),"[input]",""),"")&amp;IF(FD21=1," | W_TZ_UNKNOWN: "&amp;SUBSTITUTE(IFERROR(INDEX(nMSG_Text,MATCH("W_TZ_UNKNOWN",nMSG_Code,0)),""),"[input]",""),"")&amp;IF(FE21=1," | W_SAME_DATE_ORDER_UNKNOWN: "&amp;SUBSTITUTE(IFERROR(INDEX(nMSG_Text,MATCH("W_SAME_DATE_ORDER_UNKNOWN",nMSG_Code,0)),""),"[input]",""),"")&amp;IF(FF21=1," | W_SEQUENCE_UNCERTAIN: "&amp;SUBSTITUTE(IFERROR(INDEX(nMSG_Text,MATCH("W_SEQUENCE_UNCERTAIN",nMSG_Code,0)),""),"[input]",""),"")&amp;IF(FG21=1," | W_ADMIN_SAME_DATE_AS_ONSET: "&amp;SUBSTITUTE(IFERROR(INDEX(nMSG_Text,MATCH("W_ADMIN_SAME_DATE_AS_ONSET",nMSG_Code,0)),""),"[input]",""),"")&amp;IF(FH21=1," | W_REPORTED_TIMING_CONFLICT: "&amp;SUBSTITUTE(IFERROR(INDEX(nMSG_Text,MATCH("W_REPORTED_TIMING_CONFLICT",nMSG_Code,0)),""),"[input]",""),"")&amp;IF(FI21=1," | W_INTERVENTION_BEFORE_RECOVERY: "&amp;SUBSTITUTE(IFERROR(INDEX(nMSG_Text,MATCH("W_INTERVENTION_BEFORE_RECOVERY",nMSG_Code,0)),""),"[input]",""),"")&amp;IF(FJ21=1," | I_TREATMENT_DAY_UNDEFINED: "&amp;SUBSTITUTE(IFERROR(INDEX(nMSG_Text,MATCH("I_TREATMENT_DAY_UNDEFINED",nMSG_Code,0)),""),"[input]",""),"")&amp;IF(FK21=1," | I_APPROXIMATE_NOT_COMPARED: "&amp;SUBSTITUTE(IFERROR(INDEX(nMSG_Text,MATCH("I_APPROXIMATE_NOT_COMPARED",nMSG_Code,0)),""),"[input]",""),""),4,9999))</f>
        <v/>
      </c>
      <c r="AE21" s="21" t="str">
        <f t="shared" si="10"/>
        <v/>
      </c>
      <c r="AF21" s="21" t="str">
        <f t="shared" si="11"/>
        <v/>
      </c>
      <c r="AG21" s="21" t="str">
        <f>IF(EN21="","",MID(IF(ISNUMBER(SEARCH("E_REVERSED_BOUNDS",EN21))," | E_REVERSED_BOUNDS: "&amp;SUBSTITUTE(IFERROR(INDEX(nMSG_Text,MATCH("E_REVERSED_BOUNDS",nMSG_Code,0)),""),"[input]",""),"")&amp;IF(ISNUMBER(SEARCH("E_MISSING_INPUT",EN21))," | E_MISSING_INPUT: "&amp;SUBSTITUTE(IFERROR(INDEX(nMSG_Text,MATCH("E_MISSING_INPUT",nMSG_Code,0)),""),"[input]",IF("the source of the constraint"="","an input","the source of the constraint")),""),4,999))</f>
        <v/>
      </c>
      <c r="AH21" s="21" t="str">
        <f t="shared" si="12"/>
        <v/>
      </c>
      <c r="AI21" s="21" t="str">
        <f t="shared" si="13"/>
        <v/>
      </c>
      <c r="AJ21" s="21" t="str">
        <f t="shared" si="14"/>
        <v/>
      </c>
      <c r="AK21" s="21" t="str">
        <f t="shared" si="15"/>
        <v/>
      </c>
      <c r="AL21" s="21" t="str">
        <f>IF(CY21=0,"",INDEX(nTP_ISO,CY21))</f>
        <v/>
      </c>
      <c r="AM21" s="21" t="str">
        <f>IF(CY21=0,"",INDEX(nTP_Display,CY21))</f>
        <v/>
      </c>
      <c r="AN21" s="21" t="str">
        <f>IF(BI21=0,"",INDEX(nTP_ISO,BI21))</f>
        <v/>
      </c>
      <c r="AO21" s="21" t="str">
        <f>IF(BI21=0,"",INDEX(nTP_Display,BI21))</f>
        <v/>
      </c>
      <c r="AP21" s="21" t="str">
        <f>IF(BA21=0,"",INDEX(nLNK_Exposure_Episode_ID,BA21)&amp;"")</f>
        <v/>
      </c>
      <c r="AQ21" s="21" t="str">
        <f>IF(BA21=0,"",INDEX(nLNK_Event_Episode_ID,BA21)&amp;"")</f>
        <v/>
      </c>
      <c r="AR21" s="21" t="str">
        <f t="shared" si="16"/>
        <v/>
      </c>
      <c r="AS21" s="21" t="str">
        <f>IF(EI21=0,"",MID(IF(DT21=1," | Recovery interval (C7) computed with "&amp;DS21&amp;".","")&amp;IF(BG21=1," | Anchor selected under C5 (CALC-SPEC 1.1): latest administration with an exact date or time at or before "&amp;IF(BH21=1,"onset","the end point")&amp;" ("&amp;AJ21&amp;"), ordered in UTC when offsets are known; later administrations are never selected.","")&amp;IF(AND(BG21=1,CE21&gt;0)," | Partial-date administrations wholly before the selected one were not candidates: "&amp;FC21&amp;".","")&amp;IF(BV21&lt;&gt;""," | "&amp;BV21,"")&amp;IF(AND(DS21="C2",EA21=0,DZ21&lt;&gt;"")," | Same calendar date; both times are known, so C1 decides the order ("&amp;AA21&amp;").","")&amp;IF(AND(DS21="C2",DD21*BN21=1,DT21=0)," | Calendar-date difference from the recorded local dates; it is never described as elapsed days.","")&amp;IF(AND(DS21="C4",DT21=0)," | Bounds are treated as independent; no single date is imputed from them.","")&amp;IF(EJ21=1," | Treatment day under the inclusive convention (C3); never written to E2B fields automatically.","")&amp;IF(AND(DS21="C4",DT21=0,EK21=0)," | No constraint applied.","")&amp;IF(AND(DS21="C4",EK21=1)," | Constraint applied to the anchor bounds: "&amp;IF(ISNUMBER(P21),"not before "&amp;DAY(P21)&amp;" "&amp;INDEX(nLIST_Months,MONTH(P21))&amp;" "&amp;YEAR(P21),"")&amp;IF(AND(ISNUMBER(P21),ISNUMBER(Q21)),", ","")&amp;IF(ISNUMBER(Q21),"not after "&amp;DAY(Q21)&amp;" "&amp;INDEX(nLIST_Months,MONTH(Q21))&amp;" "&amp;YEAR(Q21),"")&amp;". Source: "&amp;IF(R21="","not recorded",R21)&amp;IF(EN21="",". Constrained result shown beside the unconstrained one.",". Constrained result blocked ("&amp;EN21&amp;")."),"")&amp;IF(DT21=1,IF(EO21&gt;0," | Intervention recorded between cessation and recovery (ends included): "&amp;EZ21&amp;"."," | No intervention is recorded between cessation and recovery; absence of a record is not evidence that none was given."),"")&amp;IF(AND(DT21=1,DV21&gt;0)," | Intervention recorded without a date, so whether it came before recovery is unknown: "&amp;INDEX(nMS_Milestone_ID,MATCH(1,INDEX((nMS_CaseKey=AX21)*(nMS_Type="INTERVENTION")*nMS_Undated,0),0))&amp;IF(DV21&gt;1," and "&amp;(DV21-1)&amp;" more","")&amp;".","")&amp;IF(AND(DT21=1,EP21&gt;0)," | Not counted as interventions, because they are recorded as exposures rather than as intervention milestones (nothing is inferred): "&amp;FB21&amp;". If treatment was given, record it as an intervention milestone.",""),4,9999))</f>
        <v/>
      </c>
      <c r="AT21" s="21" t="str">
        <f t="shared" si="17"/>
        <v/>
      </c>
      <c r="AU21" s="21" t="str">
        <f t="shared" si="18"/>
        <v/>
      </c>
      <c r="AV21" s="21" t="str">
        <f t="shared" si="19"/>
        <v/>
      </c>
      <c r="AW21" s="22">
        <f t="shared" si="20"/>
        <v>1</v>
      </c>
      <c r="AX21" s="21" t="str">
        <f t="shared" si="21"/>
        <v>|</v>
      </c>
      <c r="AY21" s="21" t="str">
        <f t="shared" si="22"/>
        <v/>
      </c>
      <c r="AZ21" s="22">
        <f>IF(AY21="",0,COUNTIF(nINT_Key,AY21))</f>
        <v>0</v>
      </c>
      <c r="BA21" s="22">
        <f>IF(D21="",0,IFERROR(MATCH(AX21&amp;"|"&amp;D21,nLNK_Key,0),0))</f>
        <v>0</v>
      </c>
      <c r="BB21" s="22">
        <f>IF(BA21=0,1,INDEX(nLNK_Exp_Found,BA21))</f>
        <v>1</v>
      </c>
      <c r="BC21" s="22">
        <f>IF(BA21=0,1,INDEX(nLNK_Evt_Found,BA21))</f>
        <v>1</v>
      </c>
      <c r="BD21" s="22">
        <f>IF(AP21="",0,COUNTIF(nEXP_Key,AX21&amp;"|"&amp;AP21))</f>
        <v>0</v>
      </c>
      <c r="BE21" s="22">
        <f>IF(AQ21="",0,COUNTIF(nEVT_Key,AX21&amp;"|"&amp;AQ21))</f>
        <v>0</v>
      </c>
      <c r="BF21" s="22">
        <f>IF(ISNA(MATCH(E21,nLIST_AnchorType,0)),0,1)</f>
        <v>0</v>
      </c>
      <c r="BG21" s="22">
        <f t="shared" si="23"/>
        <v>0</v>
      </c>
      <c r="BH21" s="22">
        <f t="shared" si="24"/>
        <v>0</v>
      </c>
      <c r="BI21" s="22">
        <f>IF(OR(AW21=1,AK21=""),0,IFERROR(MATCH(AX21&amp;"|"&amp;AK21,nTP_Key,0),0))</f>
        <v>0</v>
      </c>
      <c r="BJ21" s="21">
        <f>IF(BI21=0,0,INDEX(nTP_Dup,BI21))</f>
        <v>0</v>
      </c>
      <c r="BK21" s="21" t="str">
        <f>IF(BI21=0,"",INDEX(nTP_Record_Type,BI21))</f>
        <v/>
      </c>
      <c r="BL21" s="21" t="str">
        <f>IF(BI21=0,"",INDEX(nTP_Precision,BI21))</f>
        <v/>
      </c>
      <c r="BM21" s="21" t="str">
        <f>IF(BI21=0,"",INDEX(nTP_Err,BI21))</f>
        <v/>
      </c>
      <c r="BN21" s="21">
        <f>IF(BI21=0,0,INDEX(nTP_HT,BI21))</f>
        <v>0</v>
      </c>
      <c r="BO21" s="21">
        <f>IF(BI21=0,0,INDEX(nTP_OK,BI21))</f>
        <v>0</v>
      </c>
      <c r="BP21" s="21" t="str">
        <f>IF(BI21=0,"",INDEX(nTP_Loc,BI21))</f>
        <v/>
      </c>
      <c r="BQ21" s="21" t="str">
        <f>IF(BI21=0,"",INDEX(nTP_UTC,BI21))</f>
        <v/>
      </c>
      <c r="BR21" s="21" t="str">
        <f>IF(BI21=0,"",INDEX(nTP_Lo,BI21))</f>
        <v/>
      </c>
      <c r="BS21" s="21" t="str">
        <f>IF(BI21=0,"",INDEX(nTP_Hi,BI21))</f>
        <v/>
      </c>
      <c r="BT21" s="21" t="str">
        <f>IF(BI21=0,"",INDEX(nTP_Original_Text,BI21))</f>
        <v/>
      </c>
      <c r="BU21" s="21" t="str">
        <f>IF(BI21=0,"",INDEX(nTP_Source,BI21))</f>
        <v/>
      </c>
      <c r="BV21" s="21" t="str">
        <f>IF(BI21=0,"",INDEX(nTP_Lab_Note,BI21))</f>
        <v/>
      </c>
      <c r="BW21" s="22">
        <f t="shared" si="25"/>
        <v>0</v>
      </c>
      <c r="BX21" s="21" t="str">
        <f t="shared" si="26"/>
        <v>||</v>
      </c>
      <c r="BY21" s="22">
        <f>IF(BG21=0,0,COUNTIF(nTP_CandKey,BX21))</f>
        <v>0</v>
      </c>
      <c r="BZ21" s="22">
        <f>IF(BG21=0,0,COUNTIFS(nTP_CandKey,BX21,nTP_Err,""))</f>
        <v>0</v>
      </c>
      <c r="CA21" s="21" t="str">
        <f>IF(BY21=BZ21,"",IF(COUNTIFS(nTP_CandKey,BX21,nTP_Err,"E_INVALID_DATE")&gt;0,"; E_INVALID_DATE","")&amp;IF(COUNTIFS(nTP_CandKey,BX21,nTP_Err,"E_REVERSED_BOUNDS")&gt;0,"; E_REVERSED_BOUNDS","")&amp;IF(COUNTIFS(nTP_CandKey,BX21,nTP_Err,"E_MISSING_INPUT")&gt;0,"; E_MISSING_INPUT","")&amp;IF(COUNTIFS(nTP_CandKey,BX21,nTP_Err,"E_INVALID_UNIT")&gt;0,"; E_INVALID_UNIT",""))</f>
        <v/>
      </c>
      <c r="CB21" s="22">
        <f t="shared" si="27"/>
        <v>0</v>
      </c>
      <c r="CC21" s="22">
        <f>IF(CB21=0,0,SUMPRODUCT((nTP_CandKey=BX21)*(nTP_Err="")*(1-(nTP_HT*BN21*((nTP_OK*BO21*(nTP_UTC_n-N(BQ21))+(1-nTP_OK*BO21)*(nTP_Loc_n-N(BP21)))&lt;=0)+(1-nTP_HT*BN21)*(nTP_Hi_n&lt;N(BR21)))-(nTP_HT*BN21*((nTP_OK*BO21*(nTP_UTC_n-N(BQ21))+(1-nTP_OK*BO21)*(nTP_Loc_n-N(BP21)))&gt;0)+(1-nTP_HT*BN21)*(nTP_Lo_n&gt;N(BS21)))-((1-nTP_HT*BN21)*(nTP_Lo_n=nTP_Hi_n)*(nTP_Lo_n=N(BR21))*(N(BR21)=N(BS21))))))</f>
        <v>0</v>
      </c>
      <c r="CD21" s="22">
        <f>IF(CB21=0,0,SUMPRODUCT((nTP_CandKey=BX21)*nTP_Exact*((nTP_HT*BN21*((nTP_OK*BO21*(nTP_UTC_n-N(BQ21))+(1-nTP_OK*BO21)*(nTP_Loc_n-N(BP21)))&lt;=0)+(1-nTP_HT*BN21)*(nTP_Hi_n&lt;N(BR21)))+((1-nTP_HT*BN21)*(nTP_Lo_n=nTP_Hi_n)*(nTP_Lo_n=N(BR21))*(N(BR21)=N(BS21))))))</f>
        <v>0</v>
      </c>
      <c r="CE21" s="22">
        <f>IF(CB21=0,0,SUMPRODUCT((nTP_CandKey=BX21)*(nTP_Err="")*(1-nTP_Exact)*((nTP_HT*BN21*((nTP_OK*BO21*(nTP_UTC_n-N(BQ21))+(1-nTP_OK*BO21)*(nTP_Loc_n-N(BP21)))&lt;=0)+(1-nTP_HT*BN21)*(nTP_Hi_n&lt;N(BR21)))+((1-nTP_HT*BN21)*(nTP_Lo_n=nTP_Hi_n)*(nTP_Lo_n=N(BR21))*(N(BR21)=N(BS21))))))</f>
        <v>0</v>
      </c>
      <c r="CF21" s="22">
        <f>IF(CD21=0,0,SUMPRODUCT(MAX((nTP_CandKey=BX21)*nTP_Exact*((nTP_HT*BN21*((nTP_OK*BO21*(nTP_UTC_n-N(BQ21))+(1-nTP_OK*BO21)*(nTP_Loc_n-N(BP21)))&lt;=0)+(1-nTP_HT*BN21)*(nTP_Hi_n&lt;N(BR21)))+((1-nTP_HT*BN21)*(nTP_Lo_n=nTP_Hi_n)*(nTP_Lo_n=N(BR21))*(N(BR21)=N(BS21))))*nTP_Lo_n)))</f>
        <v>0</v>
      </c>
      <c r="CG21" s="22">
        <f>IF(CD21=0,0,SUMPRODUCT((nTP_CandKey=BX21)*nTP_Exact*((nTP_HT*BN21*((nTP_OK*BO21*(nTP_UTC_n-N(BQ21))+(1-nTP_OK*BO21)*(nTP_Loc_n-N(BP21)))&lt;=0)+(1-nTP_HT*BN21)*(nTP_Hi_n&lt;N(BR21)))+((1-nTP_HT*BN21)*(nTP_Lo_n=nTP_Hi_n)*(nTP_Lo_n=N(BR21))*(N(BR21)=N(BS21))))*(nTP_Lo_n=CF21)))</f>
        <v>0</v>
      </c>
      <c r="CH21" s="22">
        <f>IF(CD21=0,0,SUMPRODUCT((nTP_CandKey=BX21)*nTP_Exact*((nTP_HT*BN21*((nTP_OK*BO21*(nTP_UTC_n-N(BQ21))+(1-nTP_OK*BO21)*(nTP_Loc_n-N(BP21)))&lt;=0)+(1-nTP_HT*BN21)*(nTP_Hi_n&lt;N(BR21)))+((1-nTP_HT*BN21)*(nTP_Lo_n=nTP_Hi_n)*(nTP_Lo_n=N(BR21))*(N(BR21)=N(BS21))))*(1-nTP_HT)*(nTP_Lo_n=CF21)))</f>
        <v>0</v>
      </c>
      <c r="CI21" s="22">
        <f>IF(CD21=0,0,SUMPRODUCT(MAX((nTP_CandKey=BX21)*nTP_Exact*((nTP_HT*BN21*((nTP_OK*BO21*(nTP_UTC_n-N(BQ21))+(1-nTP_OK*BO21)*(nTP_Loc_n-N(BP21)))&lt;=0)+(1-nTP_HT*BN21)*(nTP_Hi_n&lt;N(BR21)))+((1-nTP_HT*BN21)*(nTP_Lo_n=nTP_Hi_n)*(nTP_Lo_n=N(BR21))*(N(BR21)=N(BS21))))*(1-nTP_HT)*nTP_Lo_n)))</f>
        <v>0</v>
      </c>
      <c r="CJ21" s="22">
        <f>IF(CD21=0,0,SUMPRODUCT(MAX((nTP_CandKey=BX21)*nTP_Exact*((nTP_HT*BN21*((nTP_OK*BO21*(nTP_UTC_n-N(BQ21))+(1-nTP_OK*BO21)*(nTP_Loc_n-N(BP21)))&lt;=0)+(1-nTP_HT*BN21)*(nTP_Hi_n&lt;N(BR21)))+((1-nTP_HT*BN21)*(nTP_Lo_n=nTP_Hi_n)*(nTP_Lo_n=N(BR21))*(N(BR21)=N(BS21))))*nTP_HT*nTP_OK*nTP_UTC_n)))</f>
        <v>0</v>
      </c>
      <c r="CK21" s="22">
        <f>IF(CJ21=0,0,SUMPRODUCT((nTP_CandKey=BX21)*nTP_Exact*((nTP_HT*BN21*((nTP_OK*BO21*(nTP_UTC_n-N(BQ21))+(1-nTP_OK*BO21)*(nTP_Loc_n-N(BP21)))&lt;=0)+(1-nTP_HT*BN21)*(nTP_Hi_n&lt;N(BR21)))+((1-nTP_HT*BN21)*(nTP_Lo_n=nTP_Hi_n)*(nTP_Lo_n=N(BR21))*(N(BR21)=N(BS21))))*nTP_HT*nTP_OK*(nTP_UTC_n=CJ21)))</f>
        <v>0</v>
      </c>
      <c r="CL21" s="22">
        <f>IF(CK21&lt;&gt;1,0,SUMPRODUCT((nTP_CandKey=BX21)*nTP_Exact*((nTP_HT*BN21*((nTP_OK*BO21*(nTP_UTC_n-N(BQ21))+(1-nTP_OK*BO21)*(nTP_Loc_n-N(BP21)))&lt;=0)+(1-nTP_HT*BN21)*(nTP_Hi_n&lt;N(BR21)))+((1-nTP_HT*BN21)*(nTP_Lo_n=nTP_Hi_n)*(nTP_Lo_n=N(BR21))*(N(BR21)=N(BS21))))*nTP_HT*nTP_OK*(nTP_UTC_n=CJ21)*nTP_Loc_n))</f>
        <v>0</v>
      </c>
      <c r="CM21" s="22">
        <f>IF(CK21&lt;&gt;1,0,SUMPRODUCT((nTP_CandKey=BX21)*nTP_Exact*((nTP_HT*BN21*((nTP_OK*BO21*(nTP_UTC_n-N(BQ21))+(1-nTP_OK*BO21)*(nTP_Loc_n-N(BP21)))&lt;=0)+(1-nTP_HT*BN21)*(nTP_Hi_n&lt;N(BR21)))+((1-nTP_HT*BN21)*(nTP_Lo_n=nTP_Hi_n)*(nTP_Lo_n=N(BR21))*(N(BR21)=N(BS21))))*nTP_HT*nTP_OK*(nTP_UTC_n=CJ21)*nTP_Lo_n))</f>
        <v>0</v>
      </c>
      <c r="CN21" s="22">
        <f>IF(CD21=0,0,SUMPRODUCT(MAX((nTP_CandKey=BX21)*nTP_Exact*((nTP_HT*BN21*((nTP_OK*BO21*(nTP_UTC_n-N(BQ21))+(1-nTP_OK*BO21)*(nTP_Loc_n-N(BP21)))&lt;=0)+(1-nTP_HT*BN21)*(nTP_Hi_n&lt;N(BR21)))+((1-nTP_HT*BN21)*(nTP_Lo_n=nTP_Hi_n)*(nTP_Lo_n=N(BR21))*(N(BR21)=N(BS21))))*nTP_HT*(1-nTP_OK)*nTP_Loc_n)))</f>
        <v>0</v>
      </c>
      <c r="CO21" s="22">
        <f>IF(CN21=0,0,SUMPRODUCT((nTP_CandKey=BX21)*nTP_Exact*((nTP_HT*BN21*((nTP_OK*BO21*(nTP_UTC_n-N(BQ21))+(1-nTP_OK*BO21)*(nTP_Loc_n-N(BP21)))&lt;=0)+(1-nTP_HT*BN21)*(nTP_Hi_n&lt;N(BR21)))+((1-nTP_HT*BN21)*(nTP_Lo_n=nTP_Hi_n)*(nTP_Lo_n=N(BR21))*(N(BR21)=N(BS21))))*nTP_HT*(1-nTP_OK)*(nTP_Loc_n=CN21)))</f>
        <v>0</v>
      </c>
      <c r="CP21" s="22">
        <f>IF(CO21&lt;&gt;1,0,SUMPRODUCT((nTP_CandKey=BX21)*nTP_Exact*((nTP_HT*BN21*((nTP_OK*BO21*(nTP_UTC_n-N(BQ21))+(1-nTP_OK*BO21)*(nTP_Loc_n-N(BP21)))&lt;=0)+(1-nTP_HT*BN21)*(nTP_Hi_n&lt;N(BR21)))+((1-nTP_HT*BN21)*(nTP_Lo_n=nTP_Hi_n)*(nTP_Lo_n=N(BR21))*(N(BR21)=N(BS21))))*nTP_HT*(1-nTP_OK)*(nTP_Loc_n=CN21)*nTP_Lo_n))</f>
        <v>0</v>
      </c>
      <c r="CQ21" s="22">
        <f>IF(CD21=0,0,SUMPRODUCT(MAX((nTP_CandKey=BX21)*nTP_Exact*((nTP_HT*BN21*((nTP_OK*BO21*(nTP_UTC_n-N(BQ21))+(1-nTP_OK*BO21)*(nTP_Loc_n-N(BP21)))&lt;=0)+(1-nTP_HT*BN21)*(nTP_Hi_n&lt;N(BR21)))+((1-nTP_HT*BN21)*(nTP_Lo_n=nTP_Hi_n)*(nTP_Lo_n=N(BR21))*(N(BR21)=N(BS21))))*nTP_HT*nTP_OK*nTP_Loc_n)))</f>
        <v>0</v>
      </c>
      <c r="CR21" s="22">
        <f t="shared" si="28"/>
        <v>0</v>
      </c>
      <c r="CS21" s="22">
        <f>IF(CR21=0,0,IF(CR21=1,MATCH(1,INDEX((nTP_CandKey=BX21)*nTP_Exact*((nTP_HT*BN21*((nTP_OK*BO21*(nTP_UTC_n-N(BQ21))+(1-nTP_OK*BO21)*(nTP_Loc_n-N(BP21)))&lt;=0)+(1-nTP_HT*BN21)*(nTP_Hi_n&lt;N(BR21)))+((1-nTP_HT*BN21)*(nTP_Lo_n=nTP_Hi_n)*(nTP_Lo_n=N(BR21))*(N(BR21)=N(BS21))))*(1-nTP_HT)*(nTP_Lo_n=CF21),0),0),IF(CR21=2,MATCH(1,INDEX((nTP_CandKey=BX21)*nTP_Exact*((nTP_HT*BN21*((nTP_OK*BO21*(nTP_UTC_n-N(BQ21))+(1-nTP_OK*BO21)*(nTP_Loc_n-N(BP21)))&lt;=0)+(1-nTP_HT*BN21)*(nTP_Hi_n&lt;N(BR21)))+((1-nTP_HT*BN21)*(nTP_Lo_n=nTP_Hi_n)*(nTP_Lo_n=N(BR21))*(N(BR21)=N(BS21))))*nTP_HT*nTP_OK*(nTP_UTC_n=CJ21),0),0),MATCH(1,INDEX((nTP_CandKey=BX21)*nTP_Exact*((nTP_HT*BN21*((nTP_OK*BO21*(nTP_UTC_n-N(BQ21))+(1-nTP_OK*BO21)*(nTP_Loc_n-N(BP21)))&lt;=0)+(1-nTP_HT*BN21)*(nTP_Hi_n&lt;N(BR21)))+((1-nTP_HT*BN21)*(nTP_Lo_n=nTP_Hi_n)*(nTP_Lo_n=N(BR21))*(N(BR21)=N(BS21))))*nTP_HT*(1-nTP_OK)*(nTP_Loc_n=CN21),0),0))))</f>
        <v>0</v>
      </c>
      <c r="CT21" s="22">
        <f>IF(CS21=0,0,INDEX(nTP_Lo_n,CS21))</f>
        <v>0</v>
      </c>
      <c r="CU21" s="22">
        <f>IF(CS21=0,0,SUMPRODUCT((nTP_CandKey=BX21)*(nTP_Err="")*(1-nTP_Exact)*((nTP_HT*BN21*((nTP_OK*BO21*(nTP_UTC_n-N(BQ21))+(1-nTP_OK*BO21)*(nTP_Loc_n-N(BP21)))&lt;=0)+(1-nTP_HT*BN21)*(nTP_Hi_n&lt;N(BR21)))+((1-nTP_HT*BN21)*(nTP_Lo_n=nTP_Hi_n)*(nTP_Lo_n=N(BR21))*(N(BR21)=N(BS21))))*(nTP_Hi_n&gt;=CT21)))</f>
        <v>0</v>
      </c>
      <c r="CV21" s="21" t="str">
        <f t="shared" si="29"/>
        <v/>
      </c>
      <c r="CW21" s="21" t="str">
        <f>IF(AND(BG21=1,CB21=1,CV21="",CS21&gt;0),INDEX(nTP_Record_ID,CS21)&amp;"","")</f>
        <v/>
      </c>
      <c r="CX21" s="21" t="str">
        <f>IF(OR(CV21="",BG21=0),"",IF(CV21="none","an administration record (last dose before onset)",IF(CV21="uncertain","the anchor record: "&amp;INDEX(nTP_Record_ID,MATCH(1,INDEX((nTP_CandKey=BX21)*(nTP_Err="")*(1-(nTP_HT*BN21*((nTP_OK*BO21*(nTP_UTC_n-N(BQ21))+(1-nTP_OK*BO21)*(nTP_Loc_n-N(BP21)))&lt;=0)+(1-nTP_HT*BN21)*(nTP_Hi_n&lt;N(BR21)))-(nTP_HT*BN21*((nTP_OK*BO21*(nTP_UTC_n-N(BQ21))+(1-nTP_OK*BO21)*(nTP_Loc_n-N(BP21)))&gt;0)+(1-nTP_HT*BN21)*(nTP_Lo_n&gt;N(BS21)))-((1-nTP_HT*BN21)*(nTP_Lo_n=nTP_Hi_n)*(nTP_Lo_n=N(BR21))*(N(BR21)=N(BS21)))),0),0))&amp;IF(CC21&gt;1," and "&amp;(CC21-1)&amp;" more","")&amp;" may fall before or after the end point, so the last dose cannot be identified from the recorded dates",IF(CV21="noneligible","the anchor record: no administration with an exact date is recorded at or before the end point",IF(CV21="tie","the anchor record: the order of the latest administrations cannot be told from the recorded dates and times","the anchor record: partial-date administration "&amp;INDEX(nTP_Record_ID,MATCH(1,INDEX((nTP_CandKey=BX21)*(nTP_Err="")*(1-nTP_Exact)*((nTP_HT*BN21*((nTP_OK*BO21*(nTP_UTC_n-N(BQ21))+(1-nTP_OK*BO21)*(nTP_Loc_n-N(BP21)))&lt;=0)+(1-nTP_HT*BN21)*(nTP_Hi_n&lt;N(BR21)))+((1-nTP_HT*BN21)*(nTP_Lo_n=nTP_Hi_n)*(nTP_Lo_n=N(BR21))*(N(BR21)=N(BS21))))*(nTP_Hi_n&gt;=CT21),0),0))&amp;" could be the last dose before the end point")))))</f>
        <v/>
      </c>
      <c r="CY21" s="22">
        <f>IF(OR(AW21=1,AJ21=""),0,IFERROR(MATCH(AX21&amp;"|"&amp;AJ21,nTP_Key,0),0))</f>
        <v>0</v>
      </c>
      <c r="CZ21" s="21">
        <f>IF(CY21=0,0,INDEX(nTP_Dup,CY21))</f>
        <v>0</v>
      </c>
      <c r="DA21" s="21" t="str">
        <f>IF(CY21=0,"",INDEX(nTP_Record_Type,CY21))</f>
        <v/>
      </c>
      <c r="DB21" s="21" t="str">
        <f>IF(CY21=0,"",INDEX(nTP_Precision,CY21))</f>
        <v/>
      </c>
      <c r="DC21" s="21" t="str">
        <f>IF(CY21=0,"",INDEX(nTP_Err,CY21))</f>
        <v/>
      </c>
      <c r="DD21" s="21">
        <f>IF(CY21=0,0,INDEX(nTP_HT,CY21))</f>
        <v>0</v>
      </c>
      <c r="DE21" s="21">
        <f>IF(CY21=0,0,INDEX(nTP_OK,CY21))</f>
        <v>0</v>
      </c>
      <c r="DF21" s="21" t="str">
        <f>IF(CY21=0,"",INDEX(nTP_Loc,CY21))</f>
        <v/>
      </c>
      <c r="DG21" s="21" t="str">
        <f>IF(CY21=0,"",INDEX(nTP_UTC,CY21))</f>
        <v/>
      </c>
      <c r="DH21" s="21" t="str">
        <f>IF(CY21=0,"",INDEX(nTP_Lo,CY21))</f>
        <v/>
      </c>
      <c r="DI21" s="21" t="str">
        <f>IF(CY21=0,"",INDEX(nTP_Hi,CY21))</f>
        <v/>
      </c>
      <c r="DJ21" s="21" t="str">
        <f>IF(CY21=0,"",INDEX(nTP_Original_Text,CY21))</f>
        <v/>
      </c>
      <c r="DK21" s="21" t="str">
        <f>IF(CY21=0,"",INDEX(nTP_Source,CY21))</f>
        <v/>
      </c>
      <c r="DL21" s="22">
        <f t="shared" si="30"/>
        <v>0</v>
      </c>
      <c r="DM21" s="21" t="str">
        <f t="shared" si="31"/>
        <v/>
      </c>
      <c r="DN21" s="21" t="str">
        <f t="shared" si="32"/>
        <v/>
      </c>
      <c r="DO21" s="21" t="str">
        <f t="shared" si="33"/>
        <v/>
      </c>
      <c r="DP21" s="21" t="str">
        <f t="shared" si="34"/>
        <v/>
      </c>
      <c r="DQ21" s="21" t="str">
        <f t="shared" si="35"/>
        <v/>
      </c>
      <c r="DR21" s="22">
        <f>IF(OR(DQ21="",I21=""),0,IF(ISNA(MATCH(I21,nLIST_Mode,0)),1,IF(AND(I21="C1",DQ21&lt;&gt;"C1"),1,IF(AND(I21="C2",DQ21="C4"),1,0))))</f>
        <v>0</v>
      </c>
      <c r="DS21" s="21" t="str">
        <f t="shared" si="36"/>
        <v/>
      </c>
      <c r="DT21" s="22">
        <f t="shared" si="37"/>
        <v>0</v>
      </c>
      <c r="DU21" s="21" t="str">
        <f>IF(DT21=0,"",IF(COUNTIFS(nTP_Case_Key,AX21,nTP_Record_Type,"MILESTONE:INTERVENTION",nTP_Err,"E_INVALID_DATE")&gt;0,"; E_INVALID_DATE","")&amp;IF(COUNTIFS(nTP_Case_Key,AX21,nTP_Record_Type,"MILESTONE:INTERVENTION",nTP_Err,"E_REVERSED_BOUNDS")&gt;0,"; E_REVERSED_BOUNDS","")&amp;IF(COUNTIFS(nTP_Case_Key,AX21,nTP_Record_Type,"MILESTONE:INTERVENTION",nTP_Err,"E_MISSING_INPUT")&gt;0,"; E_MISSING_INPUT","")&amp;IF(COUNTIFS(nTP_Case_Key,AX21,nTP_Record_Type,"MILESTONE:INTERVENTION",nTP_Err,"E_INVALID_UNIT")&gt;0,"; E_INVALID_UNIT",""))</f>
        <v/>
      </c>
      <c r="DV21" s="22">
        <f>IF(DT21=0,0,SUMPRODUCT((nMS_CaseKey=AX21)*(nMS_Type="INTERVENTION")*nMS_Undated))</f>
        <v>0</v>
      </c>
      <c r="DW21" s="21" t="str">
        <f t="shared" si="38"/>
        <v/>
      </c>
      <c r="DX21" s="21" t="str">
        <f t="shared" si="39"/>
        <v/>
      </c>
      <c r="DY21" s="22">
        <f t="shared" si="40"/>
        <v>1</v>
      </c>
      <c r="DZ21" s="21" t="str">
        <f t="shared" si="41"/>
        <v/>
      </c>
      <c r="EA21" s="21" t="str">
        <f t="shared" si="42"/>
        <v/>
      </c>
      <c r="EB21" s="21" t="str">
        <f t="shared" si="43"/>
        <v/>
      </c>
      <c r="EC21" s="21" t="str">
        <f t="shared" si="44"/>
        <v/>
      </c>
      <c r="ED21" s="22">
        <f t="shared" si="45"/>
        <v>0</v>
      </c>
      <c r="EE21" s="22">
        <f t="shared" si="46"/>
        <v>0</v>
      </c>
      <c r="EF21" s="21" t="str">
        <f>IF(ED21=0,"",IF(OR(NOT(ISNUMBER(L21)),NOT(ISNUMBER(M21))),"I_APPROXIMATE_NOT_COMPARED",IF(AND(N21&lt;&gt;"",ISNA(MATCH(N21,nLIST_ReportedUnit,0))),"E_INVALID_UNIT",IF(N21="","E_MISSING_INPUT",IF(L21&gt;M21,"E_REVERSED_BOUNDS",IF(OR(N21="weeks",N21="months",N21="years"),"I_APPROXIMATE_NOT_COMPARED",IF(DX21&lt;&gt;"","",IF(EE21=0,"I_APPROXIMATE_NOT_COMPARED",IF(AND(L21*EE21&lt;=IF(DS21="C4",EC21,IF(DS21="C1",DZ21,EA21)),M21*EE21&gt;=IF(DS21="C4",EB21,IF(DS21="C1",DZ21,EA21))),"OVERLAP","W_REPORTED_TIMING_CONFLICT")))))))))</f>
        <v/>
      </c>
      <c r="EG21" s="21" t="str">
        <f t="shared" si="47"/>
        <v/>
      </c>
      <c r="EH21" s="21" t="str">
        <f t="shared" si="48"/>
        <v/>
      </c>
      <c r="EI21" s="22">
        <f t="shared" si="49"/>
        <v>0</v>
      </c>
      <c r="EJ21" s="22">
        <f t="shared" si="50"/>
        <v>0</v>
      </c>
      <c r="EK21" s="22">
        <f t="shared" si="51"/>
        <v>0</v>
      </c>
      <c r="EL21" s="28" t="str">
        <f t="shared" si="52"/>
        <v/>
      </c>
      <c r="EM21" s="28" t="str">
        <f t="shared" si="53"/>
        <v/>
      </c>
      <c r="EN21" s="21" t="str">
        <f t="shared" si="54"/>
        <v/>
      </c>
      <c r="EO21" s="22">
        <f>IF(OR(DT21=0,DX21&lt;&gt;""),0,SUMPRODUCT((nTP_Case_Key=AX21)*(nTP_Record_Type="MILESTONE:INTERVENTION")*(nTP_Err="")*(nTP_HT*DD21*BN21*(nTP_OK*DE21*(nTP_UTC_n&gt;=N(DG21))+(1-nTP_OK*DE21)*(nTP_Loc_n&gt;=N(DF21)))*(nTP_OK*BO21*(nTP_UTC_n&lt;=N(BQ21))+(1-nTP_OK*BO21)*(nTP_Loc_n&lt;=N(BP21)))+(1-nTP_HT*DD21*BN21)*(nTP_Hi_n&gt;=N(DH21))*(nTP_Lo_n&lt;=N(BS21)))))</f>
        <v>0</v>
      </c>
      <c r="EP21" s="22">
        <f>IF(OR(DT21=0,DX21&lt;&gt;""),0,SUMPRODUCT((nTP_Case_Key=AX21)*(nTP_Role="treatment of the event")*((nTP_Record_Type="EXPOSURE_START")+(nTP_Record_Type="ADMINISTRATION"))*(nTP_Err="")*(nTP_HT*DD21*BN21*(nTP_OK*DE21*(nTP_UTC_n&gt;=N(DG21))+(1-nTP_OK*DE21)*(nTP_Loc_n&gt;=N(DF21)))*(nTP_OK*BO21*(nTP_UTC_n&lt;=N(BQ21))+(1-nTP_OK*BO21)*(nTP_Loc_n&lt;=N(BP21)))+(1-nTP_HT*DD21*BN21)*(nTP_Hi_n&gt;=N(DH21))*(nTP_Lo_n&lt;=N(BS21)))))</f>
        <v>0</v>
      </c>
      <c r="EQ21" s="22">
        <f>IF(EO21&lt;1,0,IFERROR(_xlfn.AGGREGATE(15,6,nTP_RowN/((nTP_Case_Key=AX21)*(nTP_Record_Type="MILESTONE:INTERVENTION")*(nTP_Err="")*(nTP_HT*DD21*BN21*(nTP_OK*DE21*(nTP_UTC_n&gt;=N(DG21))+(1-nTP_OK*DE21)*(nTP_Loc_n&gt;=N(DF21)))*(nTP_OK*BO21*(nTP_UTC_n&lt;=N(BQ21))+(1-nTP_OK*BO21)*(nTP_Loc_n&lt;=N(BP21)))+(1-nTP_HT*DD21*BN21)*(nTP_Hi_n&gt;=N(DH21))*(nTP_Lo_n&lt;=N(BS21)))),1),0))</f>
        <v>0</v>
      </c>
      <c r="ER21" s="22">
        <f>IF(EO21&lt;2,0,IFERROR(_xlfn.AGGREGATE(15,6,nTP_RowN/((nTP_Case_Key=AX21)*(nTP_Record_Type="MILESTONE:INTERVENTION")*(nTP_Err="")*(nTP_HT*DD21*BN21*(nTP_OK*DE21*(nTP_UTC_n&gt;=N(DG21))+(1-nTP_OK*DE21)*(nTP_Loc_n&gt;=N(DF21)))*(nTP_OK*BO21*(nTP_UTC_n&lt;=N(BQ21))+(1-nTP_OK*BO21)*(nTP_Loc_n&lt;=N(BP21)))+(1-nTP_HT*DD21*BN21)*(nTP_Hi_n&gt;=N(DH21))*(nTP_Lo_n&lt;=N(BS21)))),2),0))</f>
        <v>0</v>
      </c>
      <c r="ES21" s="22">
        <f>IF(EO21&lt;3,0,IFERROR(_xlfn.AGGREGATE(15,6,nTP_RowN/((nTP_Case_Key=AX21)*(nTP_Record_Type="MILESTONE:INTERVENTION")*(nTP_Err="")*(nTP_HT*DD21*BN21*(nTP_OK*DE21*(nTP_UTC_n&gt;=N(DG21))+(1-nTP_OK*DE21)*(nTP_Loc_n&gt;=N(DF21)))*(nTP_OK*BO21*(nTP_UTC_n&lt;=N(BQ21))+(1-nTP_OK*BO21)*(nTP_Loc_n&lt;=N(BP21)))+(1-nTP_HT*DD21*BN21)*(nTP_Hi_n&gt;=N(DH21))*(nTP_Lo_n&lt;=N(BS21)))),3),0))</f>
        <v>0</v>
      </c>
      <c r="ET21" s="22">
        <f>IF(EP21&lt;1,0,IFERROR(_xlfn.AGGREGATE(15,6,nTP_RowN/((nTP_Case_Key=AX21)*(nTP_Role="treatment of the event")*((nTP_Record_Type="EXPOSURE_START")+(nTP_Record_Type="ADMINISTRATION"))*(nTP_Err="")*(nTP_HT*DD21*BN21*(nTP_OK*DE21*(nTP_UTC_n&gt;=N(DG21))+(1-nTP_OK*DE21)*(nTP_Loc_n&gt;=N(DF21)))*(nTP_OK*BO21*(nTP_UTC_n&lt;=N(BQ21))+(1-nTP_OK*BO21)*(nTP_Loc_n&lt;=N(BP21)))+(1-nTP_HT*DD21*BN21)*(nTP_Hi_n&gt;=N(DH21))*(nTP_Lo_n&lt;=N(BS21)))),1),0))</f>
        <v>0</v>
      </c>
      <c r="EU21" s="22">
        <f>IF(EP21&lt;2,0,IFERROR(_xlfn.AGGREGATE(15,6,nTP_RowN/((nTP_Case_Key=AX21)*(nTP_Role="treatment of the event")*((nTP_Record_Type="EXPOSURE_START")+(nTP_Record_Type="ADMINISTRATION"))*(nTP_Err="")*(nTP_HT*DD21*BN21*(nTP_OK*DE21*(nTP_UTC_n&gt;=N(DG21))+(1-nTP_OK*DE21)*(nTP_Loc_n&gt;=N(DF21)))*(nTP_OK*BO21*(nTP_UTC_n&lt;=N(BQ21))+(1-nTP_OK*BO21)*(nTP_Loc_n&lt;=N(BP21)))+(1-nTP_HT*DD21*BN21)*(nTP_Hi_n&gt;=N(DH21))*(nTP_Lo_n&lt;=N(BS21)))),2),0))</f>
        <v>0</v>
      </c>
      <c r="EV21" s="22">
        <f>IF(EP21&lt;3,0,IFERROR(_xlfn.AGGREGATE(15,6,nTP_RowN/((nTP_Case_Key=AX21)*(nTP_Role="treatment of the event")*((nTP_Record_Type="EXPOSURE_START")+(nTP_Record_Type="ADMINISTRATION"))*(nTP_Err="")*(nTP_HT*DD21*BN21*(nTP_OK*DE21*(nTP_UTC_n&gt;=N(DG21))+(1-nTP_OK*DE21)*(nTP_Loc_n&gt;=N(DF21)))*(nTP_OK*BO21*(nTP_UTC_n&lt;=N(BQ21))+(1-nTP_OK*BO21)*(nTP_Loc_n&lt;=N(BP21)))+(1-nTP_HT*DD21*BN21)*(nTP_Hi_n&gt;=N(DH21))*(nTP_Lo_n&lt;=N(BS21)))),3),0))</f>
        <v>0</v>
      </c>
      <c r="EW21" s="22">
        <f>IF(CE21&lt;1,0,IFERROR(_xlfn.AGGREGATE(15,6,nTP_RowN/((nTP_CandKey=BX21)*(nTP_Err="")*(1-nTP_Exact)*((nTP_HT*BN21*((nTP_OK*BO21*(nTP_UTC_n-N(BQ21))+(1-nTP_OK*BO21)*(nTP_Loc_n-N(BP21)))&lt;=0)+(1-nTP_HT*BN21)*(nTP_Hi_n&lt;N(BR21)))+((1-nTP_HT*BN21)*(nTP_Lo_n=nTP_Hi_n)*(nTP_Lo_n=N(BR21))*(N(BR21)=N(BS21))))),1),0))</f>
        <v>0</v>
      </c>
      <c r="EX21" s="22">
        <f>IF(CE21&lt;2,0,IFERROR(_xlfn.AGGREGATE(15,6,nTP_RowN/((nTP_CandKey=BX21)*(nTP_Err="")*(1-nTP_Exact)*((nTP_HT*BN21*((nTP_OK*BO21*(nTP_UTC_n-N(BQ21))+(1-nTP_OK*BO21)*(nTP_Loc_n-N(BP21)))&lt;=0)+(1-nTP_HT*BN21)*(nTP_Hi_n&lt;N(BR21)))+((1-nTP_HT*BN21)*(nTP_Lo_n=nTP_Hi_n)*(nTP_Lo_n=N(BR21))*(N(BR21)=N(BS21))))),2),0))</f>
        <v>0</v>
      </c>
      <c r="EY21" s="22">
        <f>IF(CE21&lt;3,0,IFERROR(_xlfn.AGGREGATE(15,6,nTP_RowN/((nTP_CandKey=BX21)*(nTP_Err="")*(1-nTP_Exact)*((nTP_HT*BN21*((nTP_OK*BO21*(nTP_UTC_n-N(BQ21))+(1-nTP_OK*BO21)*(nTP_Loc_n-N(BP21)))&lt;=0)+(1-nTP_HT*BN21)*(nTP_Hi_n&lt;N(BR21)))+((1-nTP_HT*BN21)*(nTP_Lo_n=nTP_Hi_n)*(nTP_Lo_n=N(BR21))*(N(BR21)=N(BS21))))),3),0))</f>
        <v>0</v>
      </c>
      <c r="EZ21" s="21" t="str">
        <f>IF(EO21=0,"",MID(IF(EQ21&gt;0,"; "&amp;INDEX(nTP_Record_ID,EQ21)&amp;IF(INDEX(nTP_Label,EQ21)="",""," ("&amp;INDEX(nTP_Label,EQ21)&amp;")"),"")&amp;IF(ER21&gt;0,"; "&amp;INDEX(nTP_Record_ID,ER21)&amp;IF(INDEX(nTP_Label,ER21)="",""," ("&amp;INDEX(nTP_Label,ER21)&amp;")"),"")&amp;IF(ES21&gt;0,"; "&amp;INDEX(nTP_Record_ID,ES21)&amp;IF(INDEX(nTP_Label,ES21)="",""," ("&amp;INDEX(nTP_Label,ES21)&amp;")"),"")&amp;IF(EO21&gt;3,"; and "&amp;(EO21-3)&amp;" more",""),3,999))</f>
        <v/>
      </c>
      <c r="FA21" s="21" t="str">
        <f>IF(EO21=0,"",MID(IF(EQ21&gt;0,"; "&amp;INDEX(nTP_Record_ID,EQ21),"")&amp;IF(ER21&gt;0,"; "&amp;INDEX(nTP_Record_ID,ER21),"")&amp;IF(ES21&gt;0,"; "&amp;INDEX(nTP_Record_ID,ES21),"")&amp;IF(EO21&gt;3,"; and "&amp;(EO21-3)&amp;" more",""),3,999))</f>
        <v/>
      </c>
      <c r="FB21" s="21" t="str">
        <f>IF(EP21=0,"",MID(IF(ET21&gt;0,"; "&amp;INDEX(nTP_Record_ID,ET21)&amp;IF(INDEX(nTP_Label,ET21)="",""," ("&amp;INDEX(nTP_Label,ET21)&amp;")"),"")&amp;IF(EU21&gt;0,"; "&amp;INDEX(nTP_Record_ID,EU21)&amp;IF(INDEX(nTP_Label,EU21)="",""," ("&amp;INDEX(nTP_Label,EU21)&amp;")"),"")&amp;IF(EV21&gt;0,"; "&amp;INDEX(nTP_Record_ID,EV21)&amp;IF(INDEX(nTP_Label,EV21)="",""," ("&amp;INDEX(nTP_Label,EV21)&amp;")"),"")&amp;IF(EP21&gt;3,"; and "&amp;(EP21-3)&amp;" more",""),3,999))</f>
        <v/>
      </c>
      <c r="FC21" s="21" t="str">
        <f>IF(CE21=0,"",MID(IF(EW21&gt;0,"; "&amp;INDEX(nTP_Record_ID,EW21),"")&amp;IF(EX21&gt;0,"; "&amp;INDEX(nTP_Record_ID,EX21),"")&amp;IF(EY21&gt;0,"; "&amp;INDEX(nTP_Record_ID,EY21),"")&amp;IF(CE21&gt;3,"; and "&amp;(CE21-3)&amp;" more",""),3,999))</f>
        <v/>
      </c>
      <c r="FD21" s="22">
        <f t="shared" si="55"/>
        <v>0</v>
      </c>
      <c r="FE21" s="22">
        <f t="shared" si="56"/>
        <v>0</v>
      </c>
      <c r="FF21" s="22">
        <f t="shared" si="57"/>
        <v>0</v>
      </c>
      <c r="FG21" s="22">
        <f t="shared" si="58"/>
        <v>0</v>
      </c>
      <c r="FH21" s="22">
        <f t="shared" si="59"/>
        <v>0</v>
      </c>
      <c r="FI21" s="22">
        <f t="shared" si="60"/>
        <v>0</v>
      </c>
      <c r="FJ21" s="22">
        <f t="shared" si="61"/>
        <v>0</v>
      </c>
      <c r="FK21" s="22">
        <f t="shared" si="62"/>
        <v>0</v>
      </c>
    </row>
    <row r="22" spans="1:167" x14ac:dyDescent="0.2">
      <c r="A22" s="10"/>
      <c r="B22" s="10"/>
      <c r="C22" s="12"/>
      <c r="D22" s="10"/>
      <c r="E22" s="17"/>
      <c r="F22" s="10"/>
      <c r="G22" s="10"/>
      <c r="H22" s="10"/>
      <c r="I22" s="17"/>
      <c r="J22" s="17"/>
      <c r="K22" s="10"/>
      <c r="L22" s="17"/>
      <c r="M22" s="17"/>
      <c r="N22" s="17"/>
      <c r="O22" s="10"/>
      <c r="P22" s="15"/>
      <c r="Q22" s="15"/>
      <c r="R22" s="10"/>
      <c r="S22" s="10"/>
      <c r="T22" s="21" t="str">
        <f t="shared" si="0"/>
        <v/>
      </c>
      <c r="U22" s="21" t="str">
        <f t="shared" si="1"/>
        <v/>
      </c>
      <c r="V22" s="21" t="str">
        <f t="shared" si="2"/>
        <v/>
      </c>
      <c r="W22" s="21" t="str">
        <f t="shared" si="3"/>
        <v/>
      </c>
      <c r="X22" s="21" t="str">
        <f t="shared" si="4"/>
        <v/>
      </c>
      <c r="Y22" s="21" t="str">
        <f t="shared" si="5"/>
        <v/>
      </c>
      <c r="Z22" s="21" t="str">
        <f t="shared" si="6"/>
        <v/>
      </c>
      <c r="AA22" s="21" t="str">
        <f t="shared" si="7"/>
        <v/>
      </c>
      <c r="AB22" s="21" t="str">
        <f t="shared" si="8"/>
        <v/>
      </c>
      <c r="AC22" s="21" t="str">
        <f t="shared" si="9"/>
        <v/>
      </c>
      <c r="AD22" s="21" t="str">
        <f>IF(AW22=1,"",MID(IF(ISNUMBER(SEARCH("E_INVALID_DATE",EG22))," | E_INVALID_DATE: "&amp;SUBSTITUTE(IFERROR(INDEX(nMSG_Text,MATCH("E_INVALID_DATE",nMSG_Code,0)),""),"[input]",""),"")&amp;IF(ISNUMBER(SEARCH("E_REVERSED_BOUNDS",EG22))," | E_REVERSED_BOUNDS: "&amp;SUBSTITUTE(IFERROR(INDEX(nMSG_Text,MATCH("E_REVERSED_BOUNDS",nMSG_Code,0)),""),"[input]",""),"")&amp;IF(ISNUMBER(SEARCH("E_DUPLICATE_ID",EG22))," | E_DUPLICATE_ID: "&amp;SUBSTITUTE(IFERROR(INDEX(nMSG_Text,MATCH("E_DUPLICATE_ID",nMSG_Code,0)),""),"[input]",""),"")&amp;IF(ISNUMBER(SEARCH("E_MISSING_LINK",EG22))," | E_MISSING_LINK: "&amp;SUBSTITUTE(IFERROR(INDEX(nMSG_Text,MATCH("E_MISSING_LINK",nMSG_Code,0)),""),"[input]",""),"")&amp;IF(ISNUMBER(SEARCH("E_MISSING_INPUT",EG22))," | E_MISSING_INPUT: "&amp;SUBSTITUTE(IFERROR(INDEX(nMSG_Text,MATCH("E_MISSING_INPUT",nMSG_Code,0)),""),"[input]",IF(EH22="","an input",EH22)),"")&amp;IF(ISNUMBER(SEARCH("E_INVALID_UNIT",EG22))," | E_INVALID_UNIT: "&amp;SUBSTITUTE(IFERROR(INDEX(nMSG_Text,MATCH("E_INVALID_UNIT",nMSG_Code,0)),""),"[input]",""),"")&amp;IF(FD22=1," | W_TZ_UNKNOWN: "&amp;SUBSTITUTE(IFERROR(INDEX(nMSG_Text,MATCH("W_TZ_UNKNOWN",nMSG_Code,0)),""),"[input]",""),"")&amp;IF(FE22=1," | W_SAME_DATE_ORDER_UNKNOWN: "&amp;SUBSTITUTE(IFERROR(INDEX(nMSG_Text,MATCH("W_SAME_DATE_ORDER_UNKNOWN",nMSG_Code,0)),""),"[input]",""),"")&amp;IF(FF22=1," | W_SEQUENCE_UNCERTAIN: "&amp;SUBSTITUTE(IFERROR(INDEX(nMSG_Text,MATCH("W_SEQUENCE_UNCERTAIN",nMSG_Code,0)),""),"[input]",""),"")&amp;IF(FG22=1," | W_ADMIN_SAME_DATE_AS_ONSET: "&amp;SUBSTITUTE(IFERROR(INDEX(nMSG_Text,MATCH("W_ADMIN_SAME_DATE_AS_ONSET",nMSG_Code,0)),""),"[input]",""),"")&amp;IF(FH22=1," | W_REPORTED_TIMING_CONFLICT: "&amp;SUBSTITUTE(IFERROR(INDEX(nMSG_Text,MATCH("W_REPORTED_TIMING_CONFLICT",nMSG_Code,0)),""),"[input]",""),"")&amp;IF(FI22=1," | W_INTERVENTION_BEFORE_RECOVERY: "&amp;SUBSTITUTE(IFERROR(INDEX(nMSG_Text,MATCH("W_INTERVENTION_BEFORE_RECOVERY",nMSG_Code,0)),""),"[input]",""),"")&amp;IF(FJ22=1," | I_TREATMENT_DAY_UNDEFINED: "&amp;SUBSTITUTE(IFERROR(INDEX(nMSG_Text,MATCH("I_TREATMENT_DAY_UNDEFINED",nMSG_Code,0)),""),"[input]",""),"")&amp;IF(FK22=1," | I_APPROXIMATE_NOT_COMPARED: "&amp;SUBSTITUTE(IFERROR(INDEX(nMSG_Text,MATCH("I_APPROXIMATE_NOT_COMPARED",nMSG_Code,0)),""),"[input]",""),""),4,9999))</f>
        <v/>
      </c>
      <c r="AE22" s="21" t="str">
        <f t="shared" si="10"/>
        <v/>
      </c>
      <c r="AF22" s="21" t="str">
        <f t="shared" si="11"/>
        <v/>
      </c>
      <c r="AG22" s="21" t="str">
        <f>IF(EN22="","",MID(IF(ISNUMBER(SEARCH("E_REVERSED_BOUNDS",EN22))," | E_REVERSED_BOUNDS: "&amp;SUBSTITUTE(IFERROR(INDEX(nMSG_Text,MATCH("E_REVERSED_BOUNDS",nMSG_Code,0)),""),"[input]",""),"")&amp;IF(ISNUMBER(SEARCH("E_MISSING_INPUT",EN22))," | E_MISSING_INPUT: "&amp;SUBSTITUTE(IFERROR(INDEX(nMSG_Text,MATCH("E_MISSING_INPUT",nMSG_Code,0)),""),"[input]",IF("the source of the constraint"="","an input","the source of the constraint")),""),4,999))</f>
        <v/>
      </c>
      <c r="AH22" s="21" t="str">
        <f t="shared" si="12"/>
        <v/>
      </c>
      <c r="AI22" s="21" t="str">
        <f t="shared" si="13"/>
        <v/>
      </c>
      <c r="AJ22" s="21" t="str">
        <f t="shared" si="14"/>
        <v/>
      </c>
      <c r="AK22" s="21" t="str">
        <f t="shared" si="15"/>
        <v/>
      </c>
      <c r="AL22" s="21" t="str">
        <f>IF(CY22=0,"",INDEX(nTP_ISO,CY22))</f>
        <v/>
      </c>
      <c r="AM22" s="21" t="str">
        <f>IF(CY22=0,"",INDEX(nTP_Display,CY22))</f>
        <v/>
      </c>
      <c r="AN22" s="21" t="str">
        <f>IF(BI22=0,"",INDEX(nTP_ISO,BI22))</f>
        <v/>
      </c>
      <c r="AO22" s="21" t="str">
        <f>IF(BI22=0,"",INDEX(nTP_Display,BI22))</f>
        <v/>
      </c>
      <c r="AP22" s="21" t="str">
        <f>IF(BA22=0,"",INDEX(nLNK_Exposure_Episode_ID,BA22)&amp;"")</f>
        <v/>
      </c>
      <c r="AQ22" s="21" t="str">
        <f>IF(BA22=0,"",INDEX(nLNK_Event_Episode_ID,BA22)&amp;"")</f>
        <v/>
      </c>
      <c r="AR22" s="21" t="str">
        <f t="shared" si="16"/>
        <v/>
      </c>
      <c r="AS22" s="21" t="str">
        <f>IF(EI22=0,"",MID(IF(DT22=1," | Recovery interval (C7) computed with "&amp;DS22&amp;".","")&amp;IF(BG22=1," | Anchor selected under C5 (CALC-SPEC 1.1): latest administration with an exact date or time at or before "&amp;IF(BH22=1,"onset","the end point")&amp;" ("&amp;AJ22&amp;"), ordered in UTC when offsets are known; later administrations are never selected.","")&amp;IF(AND(BG22=1,CE22&gt;0)," | Partial-date administrations wholly before the selected one were not candidates: "&amp;FC22&amp;".","")&amp;IF(BV22&lt;&gt;""," | "&amp;BV22,"")&amp;IF(AND(DS22="C2",EA22=0,DZ22&lt;&gt;"")," | Same calendar date; both times are known, so C1 decides the order ("&amp;AA22&amp;").","")&amp;IF(AND(DS22="C2",DD22*BN22=1,DT22=0)," | Calendar-date difference from the recorded local dates; it is never described as elapsed days.","")&amp;IF(AND(DS22="C4",DT22=0)," | Bounds are treated as independent; no single date is imputed from them.","")&amp;IF(EJ22=1," | Treatment day under the inclusive convention (C3); never written to E2B fields automatically.","")&amp;IF(AND(DS22="C4",DT22=0,EK22=0)," | No constraint applied.","")&amp;IF(AND(DS22="C4",EK22=1)," | Constraint applied to the anchor bounds: "&amp;IF(ISNUMBER(P22),"not before "&amp;DAY(P22)&amp;" "&amp;INDEX(nLIST_Months,MONTH(P22))&amp;" "&amp;YEAR(P22),"")&amp;IF(AND(ISNUMBER(P22),ISNUMBER(Q22)),", ","")&amp;IF(ISNUMBER(Q22),"not after "&amp;DAY(Q22)&amp;" "&amp;INDEX(nLIST_Months,MONTH(Q22))&amp;" "&amp;YEAR(Q22),"")&amp;". Source: "&amp;IF(R22="","not recorded",R22)&amp;IF(EN22="",". Constrained result shown beside the unconstrained one.",". Constrained result blocked ("&amp;EN22&amp;")."),"")&amp;IF(DT22=1,IF(EO22&gt;0," | Intervention recorded between cessation and recovery (ends included): "&amp;EZ22&amp;"."," | No intervention is recorded between cessation and recovery; absence of a record is not evidence that none was given."),"")&amp;IF(AND(DT22=1,DV22&gt;0)," | Intervention recorded without a date, so whether it came before recovery is unknown: "&amp;INDEX(nMS_Milestone_ID,MATCH(1,INDEX((nMS_CaseKey=AX22)*(nMS_Type="INTERVENTION")*nMS_Undated,0),0))&amp;IF(DV22&gt;1," and "&amp;(DV22-1)&amp;" more","")&amp;".","")&amp;IF(AND(DT22=1,EP22&gt;0)," | Not counted as interventions, because they are recorded as exposures rather than as intervention milestones (nothing is inferred): "&amp;FB22&amp;". If treatment was given, record it as an intervention milestone.",""),4,9999))</f>
        <v/>
      </c>
      <c r="AT22" s="21" t="str">
        <f t="shared" si="17"/>
        <v/>
      </c>
      <c r="AU22" s="21" t="str">
        <f t="shared" si="18"/>
        <v/>
      </c>
      <c r="AV22" s="21" t="str">
        <f t="shared" si="19"/>
        <v/>
      </c>
      <c r="AW22" s="22">
        <f t="shared" si="20"/>
        <v>1</v>
      </c>
      <c r="AX22" s="21" t="str">
        <f t="shared" si="21"/>
        <v>|</v>
      </c>
      <c r="AY22" s="21" t="str">
        <f t="shared" si="22"/>
        <v/>
      </c>
      <c r="AZ22" s="22">
        <f>IF(AY22="",0,COUNTIF(nINT_Key,AY22))</f>
        <v>0</v>
      </c>
      <c r="BA22" s="22">
        <f>IF(D22="",0,IFERROR(MATCH(AX22&amp;"|"&amp;D22,nLNK_Key,0),0))</f>
        <v>0</v>
      </c>
      <c r="BB22" s="22">
        <f>IF(BA22=0,1,INDEX(nLNK_Exp_Found,BA22))</f>
        <v>1</v>
      </c>
      <c r="BC22" s="22">
        <f>IF(BA22=0,1,INDEX(nLNK_Evt_Found,BA22))</f>
        <v>1</v>
      </c>
      <c r="BD22" s="22">
        <f>IF(AP22="",0,COUNTIF(nEXP_Key,AX22&amp;"|"&amp;AP22))</f>
        <v>0</v>
      </c>
      <c r="BE22" s="22">
        <f>IF(AQ22="",0,COUNTIF(nEVT_Key,AX22&amp;"|"&amp;AQ22))</f>
        <v>0</v>
      </c>
      <c r="BF22" s="22">
        <f>IF(ISNA(MATCH(E22,nLIST_AnchorType,0)),0,1)</f>
        <v>0</v>
      </c>
      <c r="BG22" s="22">
        <f t="shared" si="23"/>
        <v>0</v>
      </c>
      <c r="BH22" s="22">
        <f t="shared" si="24"/>
        <v>0</v>
      </c>
      <c r="BI22" s="22">
        <f>IF(OR(AW22=1,AK22=""),0,IFERROR(MATCH(AX22&amp;"|"&amp;AK22,nTP_Key,0),0))</f>
        <v>0</v>
      </c>
      <c r="BJ22" s="21">
        <f>IF(BI22=0,0,INDEX(nTP_Dup,BI22))</f>
        <v>0</v>
      </c>
      <c r="BK22" s="21" t="str">
        <f>IF(BI22=0,"",INDEX(nTP_Record_Type,BI22))</f>
        <v/>
      </c>
      <c r="BL22" s="21" t="str">
        <f>IF(BI22=0,"",INDEX(nTP_Precision,BI22))</f>
        <v/>
      </c>
      <c r="BM22" s="21" t="str">
        <f>IF(BI22=0,"",INDEX(nTP_Err,BI22))</f>
        <v/>
      </c>
      <c r="BN22" s="21">
        <f>IF(BI22=0,0,INDEX(nTP_HT,BI22))</f>
        <v>0</v>
      </c>
      <c r="BO22" s="21">
        <f>IF(BI22=0,0,INDEX(nTP_OK,BI22))</f>
        <v>0</v>
      </c>
      <c r="BP22" s="21" t="str">
        <f>IF(BI22=0,"",INDEX(nTP_Loc,BI22))</f>
        <v/>
      </c>
      <c r="BQ22" s="21" t="str">
        <f>IF(BI22=0,"",INDEX(nTP_UTC,BI22))</f>
        <v/>
      </c>
      <c r="BR22" s="21" t="str">
        <f>IF(BI22=0,"",INDEX(nTP_Lo,BI22))</f>
        <v/>
      </c>
      <c r="BS22" s="21" t="str">
        <f>IF(BI22=0,"",INDEX(nTP_Hi,BI22))</f>
        <v/>
      </c>
      <c r="BT22" s="21" t="str">
        <f>IF(BI22=0,"",INDEX(nTP_Original_Text,BI22))</f>
        <v/>
      </c>
      <c r="BU22" s="21" t="str">
        <f>IF(BI22=0,"",INDEX(nTP_Source,BI22))</f>
        <v/>
      </c>
      <c r="BV22" s="21" t="str">
        <f>IF(BI22=0,"",INDEX(nTP_Lab_Note,BI22))</f>
        <v/>
      </c>
      <c r="BW22" s="22">
        <f t="shared" si="25"/>
        <v>0</v>
      </c>
      <c r="BX22" s="21" t="str">
        <f t="shared" si="26"/>
        <v>||</v>
      </c>
      <c r="BY22" s="22">
        <f>IF(BG22=0,0,COUNTIF(nTP_CandKey,BX22))</f>
        <v>0</v>
      </c>
      <c r="BZ22" s="22">
        <f>IF(BG22=0,0,COUNTIFS(nTP_CandKey,BX22,nTP_Err,""))</f>
        <v>0</v>
      </c>
      <c r="CA22" s="21" t="str">
        <f>IF(BY22=BZ22,"",IF(COUNTIFS(nTP_CandKey,BX22,nTP_Err,"E_INVALID_DATE")&gt;0,"; E_INVALID_DATE","")&amp;IF(COUNTIFS(nTP_CandKey,BX22,nTP_Err,"E_REVERSED_BOUNDS")&gt;0,"; E_REVERSED_BOUNDS","")&amp;IF(COUNTIFS(nTP_CandKey,BX22,nTP_Err,"E_MISSING_INPUT")&gt;0,"; E_MISSING_INPUT","")&amp;IF(COUNTIFS(nTP_CandKey,BX22,nTP_Err,"E_INVALID_UNIT")&gt;0,"; E_INVALID_UNIT",""))</f>
        <v/>
      </c>
      <c r="CB22" s="22">
        <f t="shared" si="27"/>
        <v>0</v>
      </c>
      <c r="CC22" s="22">
        <f>IF(CB22=0,0,SUMPRODUCT((nTP_CandKey=BX22)*(nTP_Err="")*(1-(nTP_HT*BN22*((nTP_OK*BO22*(nTP_UTC_n-N(BQ22))+(1-nTP_OK*BO22)*(nTP_Loc_n-N(BP22)))&lt;=0)+(1-nTP_HT*BN22)*(nTP_Hi_n&lt;N(BR22)))-(nTP_HT*BN22*((nTP_OK*BO22*(nTP_UTC_n-N(BQ22))+(1-nTP_OK*BO22)*(nTP_Loc_n-N(BP22)))&gt;0)+(1-nTP_HT*BN22)*(nTP_Lo_n&gt;N(BS22)))-((1-nTP_HT*BN22)*(nTP_Lo_n=nTP_Hi_n)*(nTP_Lo_n=N(BR22))*(N(BR22)=N(BS22))))))</f>
        <v>0</v>
      </c>
      <c r="CD22" s="22">
        <f>IF(CB22=0,0,SUMPRODUCT((nTP_CandKey=BX22)*nTP_Exact*((nTP_HT*BN22*((nTP_OK*BO22*(nTP_UTC_n-N(BQ22))+(1-nTP_OK*BO22)*(nTP_Loc_n-N(BP22)))&lt;=0)+(1-nTP_HT*BN22)*(nTP_Hi_n&lt;N(BR22)))+((1-nTP_HT*BN22)*(nTP_Lo_n=nTP_Hi_n)*(nTP_Lo_n=N(BR22))*(N(BR22)=N(BS22))))))</f>
        <v>0</v>
      </c>
      <c r="CE22" s="22">
        <f>IF(CB22=0,0,SUMPRODUCT((nTP_CandKey=BX22)*(nTP_Err="")*(1-nTP_Exact)*((nTP_HT*BN22*((nTP_OK*BO22*(nTP_UTC_n-N(BQ22))+(1-nTP_OK*BO22)*(nTP_Loc_n-N(BP22)))&lt;=0)+(1-nTP_HT*BN22)*(nTP_Hi_n&lt;N(BR22)))+((1-nTP_HT*BN22)*(nTP_Lo_n=nTP_Hi_n)*(nTP_Lo_n=N(BR22))*(N(BR22)=N(BS22))))))</f>
        <v>0</v>
      </c>
      <c r="CF22" s="22">
        <f>IF(CD22=0,0,SUMPRODUCT(MAX((nTP_CandKey=BX22)*nTP_Exact*((nTP_HT*BN22*((nTP_OK*BO22*(nTP_UTC_n-N(BQ22))+(1-nTP_OK*BO22)*(nTP_Loc_n-N(BP22)))&lt;=0)+(1-nTP_HT*BN22)*(nTP_Hi_n&lt;N(BR22)))+((1-nTP_HT*BN22)*(nTP_Lo_n=nTP_Hi_n)*(nTP_Lo_n=N(BR22))*(N(BR22)=N(BS22))))*nTP_Lo_n)))</f>
        <v>0</v>
      </c>
      <c r="CG22" s="22">
        <f>IF(CD22=0,0,SUMPRODUCT((nTP_CandKey=BX22)*nTP_Exact*((nTP_HT*BN22*((nTP_OK*BO22*(nTP_UTC_n-N(BQ22))+(1-nTP_OK*BO22)*(nTP_Loc_n-N(BP22)))&lt;=0)+(1-nTP_HT*BN22)*(nTP_Hi_n&lt;N(BR22)))+((1-nTP_HT*BN22)*(nTP_Lo_n=nTP_Hi_n)*(nTP_Lo_n=N(BR22))*(N(BR22)=N(BS22))))*(nTP_Lo_n=CF22)))</f>
        <v>0</v>
      </c>
      <c r="CH22" s="22">
        <f>IF(CD22=0,0,SUMPRODUCT((nTP_CandKey=BX22)*nTP_Exact*((nTP_HT*BN22*((nTP_OK*BO22*(nTP_UTC_n-N(BQ22))+(1-nTP_OK*BO22)*(nTP_Loc_n-N(BP22)))&lt;=0)+(1-nTP_HT*BN22)*(nTP_Hi_n&lt;N(BR22)))+((1-nTP_HT*BN22)*(nTP_Lo_n=nTP_Hi_n)*(nTP_Lo_n=N(BR22))*(N(BR22)=N(BS22))))*(1-nTP_HT)*(nTP_Lo_n=CF22)))</f>
        <v>0</v>
      </c>
      <c r="CI22" s="22">
        <f>IF(CD22=0,0,SUMPRODUCT(MAX((nTP_CandKey=BX22)*nTP_Exact*((nTP_HT*BN22*((nTP_OK*BO22*(nTP_UTC_n-N(BQ22))+(1-nTP_OK*BO22)*(nTP_Loc_n-N(BP22)))&lt;=0)+(1-nTP_HT*BN22)*(nTP_Hi_n&lt;N(BR22)))+((1-nTP_HT*BN22)*(nTP_Lo_n=nTP_Hi_n)*(nTP_Lo_n=N(BR22))*(N(BR22)=N(BS22))))*(1-nTP_HT)*nTP_Lo_n)))</f>
        <v>0</v>
      </c>
      <c r="CJ22" s="22">
        <f>IF(CD22=0,0,SUMPRODUCT(MAX((nTP_CandKey=BX22)*nTP_Exact*((nTP_HT*BN22*((nTP_OK*BO22*(nTP_UTC_n-N(BQ22))+(1-nTP_OK*BO22)*(nTP_Loc_n-N(BP22)))&lt;=0)+(1-nTP_HT*BN22)*(nTP_Hi_n&lt;N(BR22)))+((1-nTP_HT*BN22)*(nTP_Lo_n=nTP_Hi_n)*(nTP_Lo_n=N(BR22))*(N(BR22)=N(BS22))))*nTP_HT*nTP_OK*nTP_UTC_n)))</f>
        <v>0</v>
      </c>
      <c r="CK22" s="22">
        <f>IF(CJ22=0,0,SUMPRODUCT((nTP_CandKey=BX22)*nTP_Exact*((nTP_HT*BN22*((nTP_OK*BO22*(nTP_UTC_n-N(BQ22))+(1-nTP_OK*BO22)*(nTP_Loc_n-N(BP22)))&lt;=0)+(1-nTP_HT*BN22)*(nTP_Hi_n&lt;N(BR22)))+((1-nTP_HT*BN22)*(nTP_Lo_n=nTP_Hi_n)*(nTP_Lo_n=N(BR22))*(N(BR22)=N(BS22))))*nTP_HT*nTP_OK*(nTP_UTC_n=CJ22)))</f>
        <v>0</v>
      </c>
      <c r="CL22" s="22">
        <f>IF(CK22&lt;&gt;1,0,SUMPRODUCT((nTP_CandKey=BX22)*nTP_Exact*((nTP_HT*BN22*((nTP_OK*BO22*(nTP_UTC_n-N(BQ22))+(1-nTP_OK*BO22)*(nTP_Loc_n-N(BP22)))&lt;=0)+(1-nTP_HT*BN22)*(nTP_Hi_n&lt;N(BR22)))+((1-nTP_HT*BN22)*(nTP_Lo_n=nTP_Hi_n)*(nTP_Lo_n=N(BR22))*(N(BR22)=N(BS22))))*nTP_HT*nTP_OK*(nTP_UTC_n=CJ22)*nTP_Loc_n))</f>
        <v>0</v>
      </c>
      <c r="CM22" s="22">
        <f>IF(CK22&lt;&gt;1,0,SUMPRODUCT((nTP_CandKey=BX22)*nTP_Exact*((nTP_HT*BN22*((nTP_OK*BO22*(nTP_UTC_n-N(BQ22))+(1-nTP_OK*BO22)*(nTP_Loc_n-N(BP22)))&lt;=0)+(1-nTP_HT*BN22)*(nTP_Hi_n&lt;N(BR22)))+((1-nTP_HT*BN22)*(nTP_Lo_n=nTP_Hi_n)*(nTP_Lo_n=N(BR22))*(N(BR22)=N(BS22))))*nTP_HT*nTP_OK*(nTP_UTC_n=CJ22)*nTP_Lo_n))</f>
        <v>0</v>
      </c>
      <c r="CN22" s="22">
        <f>IF(CD22=0,0,SUMPRODUCT(MAX((nTP_CandKey=BX22)*nTP_Exact*((nTP_HT*BN22*((nTP_OK*BO22*(nTP_UTC_n-N(BQ22))+(1-nTP_OK*BO22)*(nTP_Loc_n-N(BP22)))&lt;=0)+(1-nTP_HT*BN22)*(nTP_Hi_n&lt;N(BR22)))+((1-nTP_HT*BN22)*(nTP_Lo_n=nTP_Hi_n)*(nTP_Lo_n=N(BR22))*(N(BR22)=N(BS22))))*nTP_HT*(1-nTP_OK)*nTP_Loc_n)))</f>
        <v>0</v>
      </c>
      <c r="CO22" s="22">
        <f>IF(CN22=0,0,SUMPRODUCT((nTP_CandKey=BX22)*nTP_Exact*((nTP_HT*BN22*((nTP_OK*BO22*(nTP_UTC_n-N(BQ22))+(1-nTP_OK*BO22)*(nTP_Loc_n-N(BP22)))&lt;=0)+(1-nTP_HT*BN22)*(nTP_Hi_n&lt;N(BR22)))+((1-nTP_HT*BN22)*(nTP_Lo_n=nTP_Hi_n)*(nTP_Lo_n=N(BR22))*(N(BR22)=N(BS22))))*nTP_HT*(1-nTP_OK)*(nTP_Loc_n=CN22)))</f>
        <v>0</v>
      </c>
      <c r="CP22" s="22">
        <f>IF(CO22&lt;&gt;1,0,SUMPRODUCT((nTP_CandKey=BX22)*nTP_Exact*((nTP_HT*BN22*((nTP_OK*BO22*(nTP_UTC_n-N(BQ22))+(1-nTP_OK*BO22)*(nTP_Loc_n-N(BP22)))&lt;=0)+(1-nTP_HT*BN22)*(nTP_Hi_n&lt;N(BR22)))+((1-nTP_HT*BN22)*(nTP_Lo_n=nTP_Hi_n)*(nTP_Lo_n=N(BR22))*(N(BR22)=N(BS22))))*nTP_HT*(1-nTP_OK)*(nTP_Loc_n=CN22)*nTP_Lo_n))</f>
        <v>0</v>
      </c>
      <c r="CQ22" s="22">
        <f>IF(CD22=0,0,SUMPRODUCT(MAX((nTP_CandKey=BX22)*nTP_Exact*((nTP_HT*BN22*((nTP_OK*BO22*(nTP_UTC_n-N(BQ22))+(1-nTP_OK*BO22)*(nTP_Loc_n-N(BP22)))&lt;=0)+(1-nTP_HT*BN22)*(nTP_Hi_n&lt;N(BR22)))+((1-nTP_HT*BN22)*(nTP_Lo_n=nTP_Hi_n)*(nTP_Lo_n=N(BR22))*(N(BR22)=N(BS22))))*nTP_HT*nTP_OK*nTP_Loc_n)))</f>
        <v>0</v>
      </c>
      <c r="CR22" s="22">
        <f t="shared" si="28"/>
        <v>0</v>
      </c>
      <c r="CS22" s="22">
        <f>IF(CR22=0,0,IF(CR22=1,MATCH(1,INDEX((nTP_CandKey=BX22)*nTP_Exact*((nTP_HT*BN22*((nTP_OK*BO22*(nTP_UTC_n-N(BQ22))+(1-nTP_OK*BO22)*(nTP_Loc_n-N(BP22)))&lt;=0)+(1-nTP_HT*BN22)*(nTP_Hi_n&lt;N(BR22)))+((1-nTP_HT*BN22)*(nTP_Lo_n=nTP_Hi_n)*(nTP_Lo_n=N(BR22))*(N(BR22)=N(BS22))))*(1-nTP_HT)*(nTP_Lo_n=CF22),0),0),IF(CR22=2,MATCH(1,INDEX((nTP_CandKey=BX22)*nTP_Exact*((nTP_HT*BN22*((nTP_OK*BO22*(nTP_UTC_n-N(BQ22))+(1-nTP_OK*BO22)*(nTP_Loc_n-N(BP22)))&lt;=0)+(1-nTP_HT*BN22)*(nTP_Hi_n&lt;N(BR22)))+((1-nTP_HT*BN22)*(nTP_Lo_n=nTP_Hi_n)*(nTP_Lo_n=N(BR22))*(N(BR22)=N(BS22))))*nTP_HT*nTP_OK*(nTP_UTC_n=CJ22),0),0),MATCH(1,INDEX((nTP_CandKey=BX22)*nTP_Exact*((nTP_HT*BN22*((nTP_OK*BO22*(nTP_UTC_n-N(BQ22))+(1-nTP_OK*BO22)*(nTP_Loc_n-N(BP22)))&lt;=0)+(1-nTP_HT*BN22)*(nTP_Hi_n&lt;N(BR22)))+((1-nTP_HT*BN22)*(nTP_Lo_n=nTP_Hi_n)*(nTP_Lo_n=N(BR22))*(N(BR22)=N(BS22))))*nTP_HT*(1-nTP_OK)*(nTP_Loc_n=CN22),0),0))))</f>
        <v>0</v>
      </c>
      <c r="CT22" s="22">
        <f>IF(CS22=0,0,INDEX(nTP_Lo_n,CS22))</f>
        <v>0</v>
      </c>
      <c r="CU22" s="22">
        <f>IF(CS22=0,0,SUMPRODUCT((nTP_CandKey=BX22)*(nTP_Err="")*(1-nTP_Exact)*((nTP_HT*BN22*((nTP_OK*BO22*(nTP_UTC_n-N(BQ22))+(1-nTP_OK*BO22)*(nTP_Loc_n-N(BP22)))&lt;=0)+(1-nTP_HT*BN22)*(nTP_Hi_n&lt;N(BR22)))+((1-nTP_HT*BN22)*(nTP_Lo_n=nTP_Hi_n)*(nTP_Lo_n=N(BR22))*(N(BR22)=N(BS22))))*(nTP_Hi_n&gt;=CT22)))</f>
        <v>0</v>
      </c>
      <c r="CV22" s="21" t="str">
        <f t="shared" si="29"/>
        <v/>
      </c>
      <c r="CW22" s="21" t="str">
        <f>IF(AND(BG22=1,CB22=1,CV22="",CS22&gt;0),INDEX(nTP_Record_ID,CS22)&amp;"","")</f>
        <v/>
      </c>
      <c r="CX22" s="21" t="str">
        <f>IF(OR(CV22="",BG22=0),"",IF(CV22="none","an administration record (last dose before onset)",IF(CV22="uncertain","the anchor record: "&amp;INDEX(nTP_Record_ID,MATCH(1,INDEX((nTP_CandKey=BX22)*(nTP_Err="")*(1-(nTP_HT*BN22*((nTP_OK*BO22*(nTP_UTC_n-N(BQ22))+(1-nTP_OK*BO22)*(nTP_Loc_n-N(BP22)))&lt;=0)+(1-nTP_HT*BN22)*(nTP_Hi_n&lt;N(BR22)))-(nTP_HT*BN22*((nTP_OK*BO22*(nTP_UTC_n-N(BQ22))+(1-nTP_OK*BO22)*(nTP_Loc_n-N(BP22)))&gt;0)+(1-nTP_HT*BN22)*(nTP_Lo_n&gt;N(BS22)))-((1-nTP_HT*BN22)*(nTP_Lo_n=nTP_Hi_n)*(nTP_Lo_n=N(BR22))*(N(BR22)=N(BS22)))),0),0))&amp;IF(CC22&gt;1," and "&amp;(CC22-1)&amp;" more","")&amp;" may fall before or after the end point, so the last dose cannot be identified from the recorded dates",IF(CV22="noneligible","the anchor record: no administration with an exact date is recorded at or before the end point",IF(CV22="tie","the anchor record: the order of the latest administrations cannot be told from the recorded dates and times","the anchor record: partial-date administration "&amp;INDEX(nTP_Record_ID,MATCH(1,INDEX((nTP_CandKey=BX22)*(nTP_Err="")*(1-nTP_Exact)*((nTP_HT*BN22*((nTP_OK*BO22*(nTP_UTC_n-N(BQ22))+(1-nTP_OK*BO22)*(nTP_Loc_n-N(BP22)))&lt;=0)+(1-nTP_HT*BN22)*(nTP_Hi_n&lt;N(BR22)))+((1-nTP_HT*BN22)*(nTP_Lo_n=nTP_Hi_n)*(nTP_Lo_n=N(BR22))*(N(BR22)=N(BS22))))*(nTP_Hi_n&gt;=CT22),0),0))&amp;" could be the last dose before the end point")))))</f>
        <v/>
      </c>
      <c r="CY22" s="22">
        <f>IF(OR(AW22=1,AJ22=""),0,IFERROR(MATCH(AX22&amp;"|"&amp;AJ22,nTP_Key,0),0))</f>
        <v>0</v>
      </c>
      <c r="CZ22" s="21">
        <f>IF(CY22=0,0,INDEX(nTP_Dup,CY22))</f>
        <v>0</v>
      </c>
      <c r="DA22" s="21" t="str">
        <f>IF(CY22=0,"",INDEX(nTP_Record_Type,CY22))</f>
        <v/>
      </c>
      <c r="DB22" s="21" t="str">
        <f>IF(CY22=0,"",INDEX(nTP_Precision,CY22))</f>
        <v/>
      </c>
      <c r="DC22" s="21" t="str">
        <f>IF(CY22=0,"",INDEX(nTP_Err,CY22))</f>
        <v/>
      </c>
      <c r="DD22" s="21">
        <f>IF(CY22=0,0,INDEX(nTP_HT,CY22))</f>
        <v>0</v>
      </c>
      <c r="DE22" s="21">
        <f>IF(CY22=0,0,INDEX(nTP_OK,CY22))</f>
        <v>0</v>
      </c>
      <c r="DF22" s="21" t="str">
        <f>IF(CY22=0,"",INDEX(nTP_Loc,CY22))</f>
        <v/>
      </c>
      <c r="DG22" s="21" t="str">
        <f>IF(CY22=0,"",INDEX(nTP_UTC,CY22))</f>
        <v/>
      </c>
      <c r="DH22" s="21" t="str">
        <f>IF(CY22=0,"",INDEX(nTP_Lo,CY22))</f>
        <v/>
      </c>
      <c r="DI22" s="21" t="str">
        <f>IF(CY22=0,"",INDEX(nTP_Hi,CY22))</f>
        <v/>
      </c>
      <c r="DJ22" s="21" t="str">
        <f>IF(CY22=0,"",INDEX(nTP_Original_Text,CY22))</f>
        <v/>
      </c>
      <c r="DK22" s="21" t="str">
        <f>IF(CY22=0,"",INDEX(nTP_Source,CY22))</f>
        <v/>
      </c>
      <c r="DL22" s="22">
        <f t="shared" si="30"/>
        <v>0</v>
      </c>
      <c r="DM22" s="21" t="str">
        <f t="shared" si="31"/>
        <v/>
      </c>
      <c r="DN22" s="21" t="str">
        <f t="shared" si="32"/>
        <v/>
      </c>
      <c r="DO22" s="21" t="str">
        <f t="shared" si="33"/>
        <v/>
      </c>
      <c r="DP22" s="21" t="str">
        <f t="shared" si="34"/>
        <v/>
      </c>
      <c r="DQ22" s="21" t="str">
        <f t="shared" si="35"/>
        <v/>
      </c>
      <c r="DR22" s="22">
        <f>IF(OR(DQ22="",I22=""),0,IF(ISNA(MATCH(I22,nLIST_Mode,0)),1,IF(AND(I22="C1",DQ22&lt;&gt;"C1"),1,IF(AND(I22="C2",DQ22="C4"),1,0))))</f>
        <v>0</v>
      </c>
      <c r="DS22" s="21" t="str">
        <f t="shared" si="36"/>
        <v/>
      </c>
      <c r="DT22" s="22">
        <f t="shared" si="37"/>
        <v>0</v>
      </c>
      <c r="DU22" s="21" t="str">
        <f>IF(DT22=0,"",IF(COUNTIFS(nTP_Case_Key,AX22,nTP_Record_Type,"MILESTONE:INTERVENTION",nTP_Err,"E_INVALID_DATE")&gt;0,"; E_INVALID_DATE","")&amp;IF(COUNTIFS(nTP_Case_Key,AX22,nTP_Record_Type,"MILESTONE:INTERVENTION",nTP_Err,"E_REVERSED_BOUNDS")&gt;0,"; E_REVERSED_BOUNDS","")&amp;IF(COUNTIFS(nTP_Case_Key,AX22,nTP_Record_Type,"MILESTONE:INTERVENTION",nTP_Err,"E_MISSING_INPUT")&gt;0,"; E_MISSING_INPUT","")&amp;IF(COUNTIFS(nTP_Case_Key,AX22,nTP_Record_Type,"MILESTONE:INTERVENTION",nTP_Err,"E_INVALID_UNIT")&gt;0,"; E_INVALID_UNIT",""))</f>
        <v/>
      </c>
      <c r="DV22" s="22">
        <f>IF(DT22=0,0,SUMPRODUCT((nMS_CaseKey=AX22)*(nMS_Type="INTERVENTION")*nMS_Undated))</f>
        <v>0</v>
      </c>
      <c r="DW22" s="21" t="str">
        <f t="shared" si="38"/>
        <v/>
      </c>
      <c r="DX22" s="21" t="str">
        <f t="shared" si="39"/>
        <v/>
      </c>
      <c r="DY22" s="22">
        <f t="shared" si="40"/>
        <v>1</v>
      </c>
      <c r="DZ22" s="21" t="str">
        <f t="shared" si="41"/>
        <v/>
      </c>
      <c r="EA22" s="21" t="str">
        <f t="shared" si="42"/>
        <v/>
      </c>
      <c r="EB22" s="21" t="str">
        <f t="shared" si="43"/>
        <v/>
      </c>
      <c r="EC22" s="21" t="str">
        <f t="shared" si="44"/>
        <v/>
      </c>
      <c r="ED22" s="22">
        <f t="shared" si="45"/>
        <v>0</v>
      </c>
      <c r="EE22" s="22">
        <f t="shared" si="46"/>
        <v>0</v>
      </c>
      <c r="EF22" s="21" t="str">
        <f>IF(ED22=0,"",IF(OR(NOT(ISNUMBER(L22)),NOT(ISNUMBER(M22))),"I_APPROXIMATE_NOT_COMPARED",IF(AND(N22&lt;&gt;"",ISNA(MATCH(N22,nLIST_ReportedUnit,0))),"E_INVALID_UNIT",IF(N22="","E_MISSING_INPUT",IF(L22&gt;M22,"E_REVERSED_BOUNDS",IF(OR(N22="weeks",N22="months",N22="years"),"I_APPROXIMATE_NOT_COMPARED",IF(DX22&lt;&gt;"","",IF(EE22=0,"I_APPROXIMATE_NOT_COMPARED",IF(AND(L22*EE22&lt;=IF(DS22="C4",EC22,IF(DS22="C1",DZ22,EA22)),M22*EE22&gt;=IF(DS22="C4",EB22,IF(DS22="C1",DZ22,EA22))),"OVERLAP","W_REPORTED_TIMING_CONFLICT")))))))))</f>
        <v/>
      </c>
      <c r="EG22" s="21" t="str">
        <f t="shared" si="47"/>
        <v/>
      </c>
      <c r="EH22" s="21" t="str">
        <f t="shared" si="48"/>
        <v/>
      </c>
      <c r="EI22" s="22">
        <f t="shared" si="49"/>
        <v>0</v>
      </c>
      <c r="EJ22" s="22">
        <f t="shared" si="50"/>
        <v>0</v>
      </c>
      <c r="EK22" s="22">
        <f t="shared" si="51"/>
        <v>0</v>
      </c>
      <c r="EL22" s="28" t="str">
        <f t="shared" si="52"/>
        <v/>
      </c>
      <c r="EM22" s="28" t="str">
        <f t="shared" si="53"/>
        <v/>
      </c>
      <c r="EN22" s="21" t="str">
        <f t="shared" si="54"/>
        <v/>
      </c>
      <c r="EO22" s="22">
        <f>IF(OR(DT22=0,DX22&lt;&gt;""),0,SUMPRODUCT((nTP_Case_Key=AX22)*(nTP_Record_Type="MILESTONE:INTERVENTION")*(nTP_Err="")*(nTP_HT*DD22*BN22*(nTP_OK*DE22*(nTP_UTC_n&gt;=N(DG22))+(1-nTP_OK*DE22)*(nTP_Loc_n&gt;=N(DF22)))*(nTP_OK*BO22*(nTP_UTC_n&lt;=N(BQ22))+(1-nTP_OK*BO22)*(nTP_Loc_n&lt;=N(BP22)))+(1-nTP_HT*DD22*BN22)*(nTP_Hi_n&gt;=N(DH22))*(nTP_Lo_n&lt;=N(BS22)))))</f>
        <v>0</v>
      </c>
      <c r="EP22" s="22">
        <f>IF(OR(DT22=0,DX22&lt;&gt;""),0,SUMPRODUCT((nTP_Case_Key=AX22)*(nTP_Role="treatment of the event")*((nTP_Record_Type="EXPOSURE_START")+(nTP_Record_Type="ADMINISTRATION"))*(nTP_Err="")*(nTP_HT*DD22*BN22*(nTP_OK*DE22*(nTP_UTC_n&gt;=N(DG22))+(1-nTP_OK*DE22)*(nTP_Loc_n&gt;=N(DF22)))*(nTP_OK*BO22*(nTP_UTC_n&lt;=N(BQ22))+(1-nTP_OK*BO22)*(nTP_Loc_n&lt;=N(BP22)))+(1-nTP_HT*DD22*BN22)*(nTP_Hi_n&gt;=N(DH22))*(nTP_Lo_n&lt;=N(BS22)))))</f>
        <v>0</v>
      </c>
      <c r="EQ22" s="22">
        <f>IF(EO22&lt;1,0,IFERROR(_xlfn.AGGREGATE(15,6,nTP_RowN/((nTP_Case_Key=AX22)*(nTP_Record_Type="MILESTONE:INTERVENTION")*(nTP_Err="")*(nTP_HT*DD22*BN22*(nTP_OK*DE22*(nTP_UTC_n&gt;=N(DG22))+(1-nTP_OK*DE22)*(nTP_Loc_n&gt;=N(DF22)))*(nTP_OK*BO22*(nTP_UTC_n&lt;=N(BQ22))+(1-nTP_OK*BO22)*(nTP_Loc_n&lt;=N(BP22)))+(1-nTP_HT*DD22*BN22)*(nTP_Hi_n&gt;=N(DH22))*(nTP_Lo_n&lt;=N(BS22)))),1),0))</f>
        <v>0</v>
      </c>
      <c r="ER22" s="22">
        <f>IF(EO22&lt;2,0,IFERROR(_xlfn.AGGREGATE(15,6,nTP_RowN/((nTP_Case_Key=AX22)*(nTP_Record_Type="MILESTONE:INTERVENTION")*(nTP_Err="")*(nTP_HT*DD22*BN22*(nTP_OK*DE22*(nTP_UTC_n&gt;=N(DG22))+(1-nTP_OK*DE22)*(nTP_Loc_n&gt;=N(DF22)))*(nTP_OK*BO22*(nTP_UTC_n&lt;=N(BQ22))+(1-nTP_OK*BO22)*(nTP_Loc_n&lt;=N(BP22)))+(1-nTP_HT*DD22*BN22)*(nTP_Hi_n&gt;=N(DH22))*(nTP_Lo_n&lt;=N(BS22)))),2),0))</f>
        <v>0</v>
      </c>
      <c r="ES22" s="22">
        <f>IF(EO22&lt;3,0,IFERROR(_xlfn.AGGREGATE(15,6,nTP_RowN/((nTP_Case_Key=AX22)*(nTP_Record_Type="MILESTONE:INTERVENTION")*(nTP_Err="")*(nTP_HT*DD22*BN22*(nTP_OK*DE22*(nTP_UTC_n&gt;=N(DG22))+(1-nTP_OK*DE22)*(nTP_Loc_n&gt;=N(DF22)))*(nTP_OK*BO22*(nTP_UTC_n&lt;=N(BQ22))+(1-nTP_OK*BO22)*(nTP_Loc_n&lt;=N(BP22)))+(1-nTP_HT*DD22*BN22)*(nTP_Hi_n&gt;=N(DH22))*(nTP_Lo_n&lt;=N(BS22)))),3),0))</f>
        <v>0</v>
      </c>
      <c r="ET22" s="22">
        <f>IF(EP22&lt;1,0,IFERROR(_xlfn.AGGREGATE(15,6,nTP_RowN/((nTP_Case_Key=AX22)*(nTP_Role="treatment of the event")*((nTP_Record_Type="EXPOSURE_START")+(nTP_Record_Type="ADMINISTRATION"))*(nTP_Err="")*(nTP_HT*DD22*BN22*(nTP_OK*DE22*(nTP_UTC_n&gt;=N(DG22))+(1-nTP_OK*DE22)*(nTP_Loc_n&gt;=N(DF22)))*(nTP_OK*BO22*(nTP_UTC_n&lt;=N(BQ22))+(1-nTP_OK*BO22)*(nTP_Loc_n&lt;=N(BP22)))+(1-nTP_HT*DD22*BN22)*(nTP_Hi_n&gt;=N(DH22))*(nTP_Lo_n&lt;=N(BS22)))),1),0))</f>
        <v>0</v>
      </c>
      <c r="EU22" s="22">
        <f>IF(EP22&lt;2,0,IFERROR(_xlfn.AGGREGATE(15,6,nTP_RowN/((nTP_Case_Key=AX22)*(nTP_Role="treatment of the event")*((nTP_Record_Type="EXPOSURE_START")+(nTP_Record_Type="ADMINISTRATION"))*(nTP_Err="")*(nTP_HT*DD22*BN22*(nTP_OK*DE22*(nTP_UTC_n&gt;=N(DG22))+(1-nTP_OK*DE22)*(nTP_Loc_n&gt;=N(DF22)))*(nTP_OK*BO22*(nTP_UTC_n&lt;=N(BQ22))+(1-nTP_OK*BO22)*(nTP_Loc_n&lt;=N(BP22)))+(1-nTP_HT*DD22*BN22)*(nTP_Hi_n&gt;=N(DH22))*(nTP_Lo_n&lt;=N(BS22)))),2),0))</f>
        <v>0</v>
      </c>
      <c r="EV22" s="22">
        <f>IF(EP22&lt;3,0,IFERROR(_xlfn.AGGREGATE(15,6,nTP_RowN/((nTP_Case_Key=AX22)*(nTP_Role="treatment of the event")*((nTP_Record_Type="EXPOSURE_START")+(nTP_Record_Type="ADMINISTRATION"))*(nTP_Err="")*(nTP_HT*DD22*BN22*(nTP_OK*DE22*(nTP_UTC_n&gt;=N(DG22))+(1-nTP_OK*DE22)*(nTP_Loc_n&gt;=N(DF22)))*(nTP_OK*BO22*(nTP_UTC_n&lt;=N(BQ22))+(1-nTP_OK*BO22)*(nTP_Loc_n&lt;=N(BP22)))+(1-nTP_HT*DD22*BN22)*(nTP_Hi_n&gt;=N(DH22))*(nTP_Lo_n&lt;=N(BS22)))),3),0))</f>
        <v>0</v>
      </c>
      <c r="EW22" s="22">
        <f>IF(CE22&lt;1,0,IFERROR(_xlfn.AGGREGATE(15,6,nTP_RowN/((nTP_CandKey=BX22)*(nTP_Err="")*(1-nTP_Exact)*((nTP_HT*BN22*((nTP_OK*BO22*(nTP_UTC_n-N(BQ22))+(1-nTP_OK*BO22)*(nTP_Loc_n-N(BP22)))&lt;=0)+(1-nTP_HT*BN22)*(nTP_Hi_n&lt;N(BR22)))+((1-nTP_HT*BN22)*(nTP_Lo_n=nTP_Hi_n)*(nTP_Lo_n=N(BR22))*(N(BR22)=N(BS22))))),1),0))</f>
        <v>0</v>
      </c>
      <c r="EX22" s="22">
        <f>IF(CE22&lt;2,0,IFERROR(_xlfn.AGGREGATE(15,6,nTP_RowN/((nTP_CandKey=BX22)*(nTP_Err="")*(1-nTP_Exact)*((nTP_HT*BN22*((nTP_OK*BO22*(nTP_UTC_n-N(BQ22))+(1-nTP_OK*BO22)*(nTP_Loc_n-N(BP22)))&lt;=0)+(1-nTP_HT*BN22)*(nTP_Hi_n&lt;N(BR22)))+((1-nTP_HT*BN22)*(nTP_Lo_n=nTP_Hi_n)*(nTP_Lo_n=N(BR22))*(N(BR22)=N(BS22))))),2),0))</f>
        <v>0</v>
      </c>
      <c r="EY22" s="22">
        <f>IF(CE22&lt;3,0,IFERROR(_xlfn.AGGREGATE(15,6,nTP_RowN/((nTP_CandKey=BX22)*(nTP_Err="")*(1-nTP_Exact)*((nTP_HT*BN22*((nTP_OK*BO22*(nTP_UTC_n-N(BQ22))+(1-nTP_OK*BO22)*(nTP_Loc_n-N(BP22)))&lt;=0)+(1-nTP_HT*BN22)*(nTP_Hi_n&lt;N(BR22)))+((1-nTP_HT*BN22)*(nTP_Lo_n=nTP_Hi_n)*(nTP_Lo_n=N(BR22))*(N(BR22)=N(BS22))))),3),0))</f>
        <v>0</v>
      </c>
      <c r="EZ22" s="21" t="str">
        <f>IF(EO22=0,"",MID(IF(EQ22&gt;0,"; "&amp;INDEX(nTP_Record_ID,EQ22)&amp;IF(INDEX(nTP_Label,EQ22)="",""," ("&amp;INDEX(nTP_Label,EQ22)&amp;")"),"")&amp;IF(ER22&gt;0,"; "&amp;INDEX(nTP_Record_ID,ER22)&amp;IF(INDEX(nTP_Label,ER22)="",""," ("&amp;INDEX(nTP_Label,ER22)&amp;")"),"")&amp;IF(ES22&gt;0,"; "&amp;INDEX(nTP_Record_ID,ES22)&amp;IF(INDEX(nTP_Label,ES22)="",""," ("&amp;INDEX(nTP_Label,ES22)&amp;")"),"")&amp;IF(EO22&gt;3,"; and "&amp;(EO22-3)&amp;" more",""),3,999))</f>
        <v/>
      </c>
      <c r="FA22" s="21" t="str">
        <f>IF(EO22=0,"",MID(IF(EQ22&gt;0,"; "&amp;INDEX(nTP_Record_ID,EQ22),"")&amp;IF(ER22&gt;0,"; "&amp;INDEX(nTP_Record_ID,ER22),"")&amp;IF(ES22&gt;0,"; "&amp;INDEX(nTP_Record_ID,ES22),"")&amp;IF(EO22&gt;3,"; and "&amp;(EO22-3)&amp;" more",""),3,999))</f>
        <v/>
      </c>
      <c r="FB22" s="21" t="str">
        <f>IF(EP22=0,"",MID(IF(ET22&gt;0,"; "&amp;INDEX(nTP_Record_ID,ET22)&amp;IF(INDEX(nTP_Label,ET22)="",""," ("&amp;INDEX(nTP_Label,ET22)&amp;")"),"")&amp;IF(EU22&gt;0,"; "&amp;INDEX(nTP_Record_ID,EU22)&amp;IF(INDEX(nTP_Label,EU22)="",""," ("&amp;INDEX(nTP_Label,EU22)&amp;")"),"")&amp;IF(EV22&gt;0,"; "&amp;INDEX(nTP_Record_ID,EV22)&amp;IF(INDEX(nTP_Label,EV22)="",""," ("&amp;INDEX(nTP_Label,EV22)&amp;")"),"")&amp;IF(EP22&gt;3,"; and "&amp;(EP22-3)&amp;" more",""),3,999))</f>
        <v/>
      </c>
      <c r="FC22" s="21" t="str">
        <f>IF(CE22=0,"",MID(IF(EW22&gt;0,"; "&amp;INDEX(nTP_Record_ID,EW22),"")&amp;IF(EX22&gt;0,"; "&amp;INDEX(nTP_Record_ID,EX22),"")&amp;IF(EY22&gt;0,"; "&amp;INDEX(nTP_Record_ID,EY22),"")&amp;IF(CE22&gt;3,"; and "&amp;(CE22-3)&amp;" more",""),3,999))</f>
        <v/>
      </c>
      <c r="FD22" s="22">
        <f t="shared" si="55"/>
        <v>0</v>
      </c>
      <c r="FE22" s="22">
        <f t="shared" si="56"/>
        <v>0</v>
      </c>
      <c r="FF22" s="22">
        <f t="shared" si="57"/>
        <v>0</v>
      </c>
      <c r="FG22" s="22">
        <f t="shared" si="58"/>
        <v>0</v>
      </c>
      <c r="FH22" s="22">
        <f t="shared" si="59"/>
        <v>0</v>
      </c>
      <c r="FI22" s="22">
        <f t="shared" si="60"/>
        <v>0</v>
      </c>
      <c r="FJ22" s="22">
        <f t="shared" si="61"/>
        <v>0</v>
      </c>
      <c r="FK22" s="22">
        <f t="shared" si="62"/>
        <v>0</v>
      </c>
    </row>
    <row r="23" spans="1:167" x14ac:dyDescent="0.2">
      <c r="A23" s="10"/>
      <c r="B23" s="10"/>
      <c r="C23" s="12"/>
      <c r="D23" s="10"/>
      <c r="E23" s="17"/>
      <c r="F23" s="10"/>
      <c r="G23" s="10"/>
      <c r="H23" s="10"/>
      <c r="I23" s="17"/>
      <c r="J23" s="17"/>
      <c r="K23" s="10"/>
      <c r="L23" s="17"/>
      <c r="M23" s="17"/>
      <c r="N23" s="17"/>
      <c r="O23" s="10"/>
      <c r="P23" s="15"/>
      <c r="Q23" s="15"/>
      <c r="R23" s="10"/>
      <c r="S23" s="10"/>
      <c r="T23" s="21" t="str">
        <f t="shared" si="0"/>
        <v/>
      </c>
      <c r="U23" s="21" t="str">
        <f t="shared" si="1"/>
        <v/>
      </c>
      <c r="V23" s="21" t="str">
        <f t="shared" si="2"/>
        <v/>
      </c>
      <c r="W23" s="21" t="str">
        <f t="shared" si="3"/>
        <v/>
      </c>
      <c r="X23" s="21" t="str">
        <f t="shared" si="4"/>
        <v/>
      </c>
      <c r="Y23" s="21" t="str">
        <f t="shared" si="5"/>
        <v/>
      </c>
      <c r="Z23" s="21" t="str">
        <f t="shared" si="6"/>
        <v/>
      </c>
      <c r="AA23" s="21" t="str">
        <f t="shared" si="7"/>
        <v/>
      </c>
      <c r="AB23" s="21" t="str">
        <f t="shared" si="8"/>
        <v/>
      </c>
      <c r="AC23" s="21" t="str">
        <f t="shared" si="9"/>
        <v/>
      </c>
      <c r="AD23" s="21" t="str">
        <f>IF(AW23=1,"",MID(IF(ISNUMBER(SEARCH("E_INVALID_DATE",EG23))," | E_INVALID_DATE: "&amp;SUBSTITUTE(IFERROR(INDEX(nMSG_Text,MATCH("E_INVALID_DATE",nMSG_Code,0)),""),"[input]",""),"")&amp;IF(ISNUMBER(SEARCH("E_REVERSED_BOUNDS",EG23))," | E_REVERSED_BOUNDS: "&amp;SUBSTITUTE(IFERROR(INDEX(nMSG_Text,MATCH("E_REVERSED_BOUNDS",nMSG_Code,0)),""),"[input]",""),"")&amp;IF(ISNUMBER(SEARCH("E_DUPLICATE_ID",EG23))," | E_DUPLICATE_ID: "&amp;SUBSTITUTE(IFERROR(INDEX(nMSG_Text,MATCH("E_DUPLICATE_ID",nMSG_Code,0)),""),"[input]",""),"")&amp;IF(ISNUMBER(SEARCH("E_MISSING_LINK",EG23))," | E_MISSING_LINK: "&amp;SUBSTITUTE(IFERROR(INDEX(nMSG_Text,MATCH("E_MISSING_LINK",nMSG_Code,0)),""),"[input]",""),"")&amp;IF(ISNUMBER(SEARCH("E_MISSING_INPUT",EG23))," | E_MISSING_INPUT: "&amp;SUBSTITUTE(IFERROR(INDEX(nMSG_Text,MATCH("E_MISSING_INPUT",nMSG_Code,0)),""),"[input]",IF(EH23="","an input",EH23)),"")&amp;IF(ISNUMBER(SEARCH("E_INVALID_UNIT",EG23))," | E_INVALID_UNIT: "&amp;SUBSTITUTE(IFERROR(INDEX(nMSG_Text,MATCH("E_INVALID_UNIT",nMSG_Code,0)),""),"[input]",""),"")&amp;IF(FD23=1," | W_TZ_UNKNOWN: "&amp;SUBSTITUTE(IFERROR(INDEX(nMSG_Text,MATCH("W_TZ_UNKNOWN",nMSG_Code,0)),""),"[input]",""),"")&amp;IF(FE23=1," | W_SAME_DATE_ORDER_UNKNOWN: "&amp;SUBSTITUTE(IFERROR(INDEX(nMSG_Text,MATCH("W_SAME_DATE_ORDER_UNKNOWN",nMSG_Code,0)),""),"[input]",""),"")&amp;IF(FF23=1," | W_SEQUENCE_UNCERTAIN: "&amp;SUBSTITUTE(IFERROR(INDEX(nMSG_Text,MATCH("W_SEQUENCE_UNCERTAIN",nMSG_Code,0)),""),"[input]",""),"")&amp;IF(FG23=1," | W_ADMIN_SAME_DATE_AS_ONSET: "&amp;SUBSTITUTE(IFERROR(INDEX(nMSG_Text,MATCH("W_ADMIN_SAME_DATE_AS_ONSET",nMSG_Code,0)),""),"[input]",""),"")&amp;IF(FH23=1," | W_REPORTED_TIMING_CONFLICT: "&amp;SUBSTITUTE(IFERROR(INDEX(nMSG_Text,MATCH("W_REPORTED_TIMING_CONFLICT",nMSG_Code,0)),""),"[input]",""),"")&amp;IF(FI23=1," | W_INTERVENTION_BEFORE_RECOVERY: "&amp;SUBSTITUTE(IFERROR(INDEX(nMSG_Text,MATCH("W_INTERVENTION_BEFORE_RECOVERY",nMSG_Code,0)),""),"[input]",""),"")&amp;IF(FJ23=1," | I_TREATMENT_DAY_UNDEFINED: "&amp;SUBSTITUTE(IFERROR(INDEX(nMSG_Text,MATCH("I_TREATMENT_DAY_UNDEFINED",nMSG_Code,0)),""),"[input]",""),"")&amp;IF(FK23=1," | I_APPROXIMATE_NOT_COMPARED: "&amp;SUBSTITUTE(IFERROR(INDEX(nMSG_Text,MATCH("I_APPROXIMATE_NOT_COMPARED",nMSG_Code,0)),""),"[input]",""),""),4,9999))</f>
        <v/>
      </c>
      <c r="AE23" s="21" t="str">
        <f t="shared" si="10"/>
        <v/>
      </c>
      <c r="AF23" s="21" t="str">
        <f t="shared" si="11"/>
        <v/>
      </c>
      <c r="AG23" s="21" t="str">
        <f>IF(EN23="","",MID(IF(ISNUMBER(SEARCH("E_REVERSED_BOUNDS",EN23))," | E_REVERSED_BOUNDS: "&amp;SUBSTITUTE(IFERROR(INDEX(nMSG_Text,MATCH("E_REVERSED_BOUNDS",nMSG_Code,0)),""),"[input]",""),"")&amp;IF(ISNUMBER(SEARCH("E_MISSING_INPUT",EN23))," | E_MISSING_INPUT: "&amp;SUBSTITUTE(IFERROR(INDEX(nMSG_Text,MATCH("E_MISSING_INPUT",nMSG_Code,0)),""),"[input]",IF("the source of the constraint"="","an input","the source of the constraint")),""),4,999))</f>
        <v/>
      </c>
      <c r="AH23" s="21" t="str">
        <f t="shared" si="12"/>
        <v/>
      </c>
      <c r="AI23" s="21" t="str">
        <f t="shared" si="13"/>
        <v/>
      </c>
      <c r="AJ23" s="21" t="str">
        <f t="shared" si="14"/>
        <v/>
      </c>
      <c r="AK23" s="21" t="str">
        <f t="shared" si="15"/>
        <v/>
      </c>
      <c r="AL23" s="21" t="str">
        <f>IF(CY23=0,"",INDEX(nTP_ISO,CY23))</f>
        <v/>
      </c>
      <c r="AM23" s="21" t="str">
        <f>IF(CY23=0,"",INDEX(nTP_Display,CY23))</f>
        <v/>
      </c>
      <c r="AN23" s="21" t="str">
        <f>IF(BI23=0,"",INDEX(nTP_ISO,BI23))</f>
        <v/>
      </c>
      <c r="AO23" s="21" t="str">
        <f>IF(BI23=0,"",INDEX(nTP_Display,BI23))</f>
        <v/>
      </c>
      <c r="AP23" s="21" t="str">
        <f>IF(BA23=0,"",INDEX(nLNK_Exposure_Episode_ID,BA23)&amp;"")</f>
        <v/>
      </c>
      <c r="AQ23" s="21" t="str">
        <f>IF(BA23=0,"",INDEX(nLNK_Event_Episode_ID,BA23)&amp;"")</f>
        <v/>
      </c>
      <c r="AR23" s="21" t="str">
        <f t="shared" si="16"/>
        <v/>
      </c>
      <c r="AS23" s="21" t="str">
        <f>IF(EI23=0,"",MID(IF(DT23=1," | Recovery interval (C7) computed with "&amp;DS23&amp;".","")&amp;IF(BG23=1," | Anchor selected under C5 (CALC-SPEC 1.1): latest administration with an exact date or time at or before "&amp;IF(BH23=1,"onset","the end point")&amp;" ("&amp;AJ23&amp;"), ordered in UTC when offsets are known; later administrations are never selected.","")&amp;IF(AND(BG23=1,CE23&gt;0)," | Partial-date administrations wholly before the selected one were not candidates: "&amp;FC23&amp;".","")&amp;IF(BV23&lt;&gt;""," | "&amp;BV23,"")&amp;IF(AND(DS23="C2",EA23=0,DZ23&lt;&gt;"")," | Same calendar date; both times are known, so C1 decides the order ("&amp;AA23&amp;").","")&amp;IF(AND(DS23="C2",DD23*BN23=1,DT23=0)," | Calendar-date difference from the recorded local dates; it is never described as elapsed days.","")&amp;IF(AND(DS23="C4",DT23=0)," | Bounds are treated as independent; no single date is imputed from them.","")&amp;IF(EJ23=1," | Treatment day under the inclusive convention (C3); never written to E2B fields automatically.","")&amp;IF(AND(DS23="C4",DT23=0,EK23=0)," | No constraint applied.","")&amp;IF(AND(DS23="C4",EK23=1)," | Constraint applied to the anchor bounds: "&amp;IF(ISNUMBER(P23),"not before "&amp;DAY(P23)&amp;" "&amp;INDEX(nLIST_Months,MONTH(P23))&amp;" "&amp;YEAR(P23),"")&amp;IF(AND(ISNUMBER(P23),ISNUMBER(Q23)),", ","")&amp;IF(ISNUMBER(Q23),"not after "&amp;DAY(Q23)&amp;" "&amp;INDEX(nLIST_Months,MONTH(Q23))&amp;" "&amp;YEAR(Q23),"")&amp;". Source: "&amp;IF(R23="","not recorded",R23)&amp;IF(EN23="",". Constrained result shown beside the unconstrained one.",". Constrained result blocked ("&amp;EN23&amp;")."),"")&amp;IF(DT23=1,IF(EO23&gt;0," | Intervention recorded between cessation and recovery (ends included): "&amp;EZ23&amp;"."," | No intervention is recorded between cessation and recovery; absence of a record is not evidence that none was given."),"")&amp;IF(AND(DT23=1,DV23&gt;0)," | Intervention recorded without a date, so whether it came before recovery is unknown: "&amp;INDEX(nMS_Milestone_ID,MATCH(1,INDEX((nMS_CaseKey=AX23)*(nMS_Type="INTERVENTION")*nMS_Undated,0),0))&amp;IF(DV23&gt;1," and "&amp;(DV23-1)&amp;" more","")&amp;".","")&amp;IF(AND(DT23=1,EP23&gt;0)," | Not counted as interventions, because they are recorded as exposures rather than as intervention milestones (nothing is inferred): "&amp;FB23&amp;". If treatment was given, record it as an intervention milestone.",""),4,9999))</f>
        <v/>
      </c>
      <c r="AT23" s="21" t="str">
        <f t="shared" si="17"/>
        <v/>
      </c>
      <c r="AU23" s="21" t="str">
        <f t="shared" si="18"/>
        <v/>
      </c>
      <c r="AV23" s="21" t="str">
        <f t="shared" si="19"/>
        <v/>
      </c>
      <c r="AW23" s="22">
        <f t="shared" si="20"/>
        <v>1</v>
      </c>
      <c r="AX23" s="21" t="str">
        <f t="shared" si="21"/>
        <v>|</v>
      </c>
      <c r="AY23" s="21" t="str">
        <f t="shared" si="22"/>
        <v/>
      </c>
      <c r="AZ23" s="22">
        <f>IF(AY23="",0,COUNTIF(nINT_Key,AY23))</f>
        <v>0</v>
      </c>
      <c r="BA23" s="22">
        <f>IF(D23="",0,IFERROR(MATCH(AX23&amp;"|"&amp;D23,nLNK_Key,0),0))</f>
        <v>0</v>
      </c>
      <c r="BB23" s="22">
        <f>IF(BA23=0,1,INDEX(nLNK_Exp_Found,BA23))</f>
        <v>1</v>
      </c>
      <c r="BC23" s="22">
        <f>IF(BA23=0,1,INDEX(nLNK_Evt_Found,BA23))</f>
        <v>1</v>
      </c>
      <c r="BD23" s="22">
        <f>IF(AP23="",0,COUNTIF(nEXP_Key,AX23&amp;"|"&amp;AP23))</f>
        <v>0</v>
      </c>
      <c r="BE23" s="22">
        <f>IF(AQ23="",0,COUNTIF(nEVT_Key,AX23&amp;"|"&amp;AQ23))</f>
        <v>0</v>
      </c>
      <c r="BF23" s="22">
        <f>IF(ISNA(MATCH(E23,nLIST_AnchorType,0)),0,1)</f>
        <v>0</v>
      </c>
      <c r="BG23" s="22">
        <f t="shared" si="23"/>
        <v>0</v>
      </c>
      <c r="BH23" s="22">
        <f t="shared" si="24"/>
        <v>0</v>
      </c>
      <c r="BI23" s="22">
        <f>IF(OR(AW23=1,AK23=""),0,IFERROR(MATCH(AX23&amp;"|"&amp;AK23,nTP_Key,0),0))</f>
        <v>0</v>
      </c>
      <c r="BJ23" s="21">
        <f>IF(BI23=0,0,INDEX(nTP_Dup,BI23))</f>
        <v>0</v>
      </c>
      <c r="BK23" s="21" t="str">
        <f>IF(BI23=0,"",INDEX(nTP_Record_Type,BI23))</f>
        <v/>
      </c>
      <c r="BL23" s="21" t="str">
        <f>IF(BI23=0,"",INDEX(nTP_Precision,BI23))</f>
        <v/>
      </c>
      <c r="BM23" s="21" t="str">
        <f>IF(BI23=0,"",INDEX(nTP_Err,BI23))</f>
        <v/>
      </c>
      <c r="BN23" s="21">
        <f>IF(BI23=0,0,INDEX(nTP_HT,BI23))</f>
        <v>0</v>
      </c>
      <c r="BO23" s="21">
        <f>IF(BI23=0,0,INDEX(nTP_OK,BI23))</f>
        <v>0</v>
      </c>
      <c r="BP23" s="21" t="str">
        <f>IF(BI23=0,"",INDEX(nTP_Loc,BI23))</f>
        <v/>
      </c>
      <c r="BQ23" s="21" t="str">
        <f>IF(BI23=0,"",INDEX(nTP_UTC,BI23))</f>
        <v/>
      </c>
      <c r="BR23" s="21" t="str">
        <f>IF(BI23=0,"",INDEX(nTP_Lo,BI23))</f>
        <v/>
      </c>
      <c r="BS23" s="21" t="str">
        <f>IF(BI23=0,"",INDEX(nTP_Hi,BI23))</f>
        <v/>
      </c>
      <c r="BT23" s="21" t="str">
        <f>IF(BI23=0,"",INDEX(nTP_Original_Text,BI23))</f>
        <v/>
      </c>
      <c r="BU23" s="21" t="str">
        <f>IF(BI23=0,"",INDEX(nTP_Source,BI23))</f>
        <v/>
      </c>
      <c r="BV23" s="21" t="str">
        <f>IF(BI23=0,"",INDEX(nTP_Lab_Note,BI23))</f>
        <v/>
      </c>
      <c r="BW23" s="22">
        <f t="shared" si="25"/>
        <v>0</v>
      </c>
      <c r="BX23" s="21" t="str">
        <f t="shared" si="26"/>
        <v>||</v>
      </c>
      <c r="BY23" s="22">
        <f>IF(BG23=0,0,COUNTIF(nTP_CandKey,BX23))</f>
        <v>0</v>
      </c>
      <c r="BZ23" s="22">
        <f>IF(BG23=0,0,COUNTIFS(nTP_CandKey,BX23,nTP_Err,""))</f>
        <v>0</v>
      </c>
      <c r="CA23" s="21" t="str">
        <f>IF(BY23=BZ23,"",IF(COUNTIFS(nTP_CandKey,BX23,nTP_Err,"E_INVALID_DATE")&gt;0,"; E_INVALID_DATE","")&amp;IF(COUNTIFS(nTP_CandKey,BX23,nTP_Err,"E_REVERSED_BOUNDS")&gt;0,"; E_REVERSED_BOUNDS","")&amp;IF(COUNTIFS(nTP_CandKey,BX23,nTP_Err,"E_MISSING_INPUT")&gt;0,"; E_MISSING_INPUT","")&amp;IF(COUNTIFS(nTP_CandKey,BX23,nTP_Err,"E_INVALID_UNIT")&gt;0,"; E_INVALID_UNIT",""))</f>
        <v/>
      </c>
      <c r="CB23" s="22">
        <f t="shared" si="27"/>
        <v>0</v>
      </c>
      <c r="CC23" s="22">
        <f>IF(CB23=0,0,SUMPRODUCT((nTP_CandKey=BX23)*(nTP_Err="")*(1-(nTP_HT*BN23*((nTP_OK*BO23*(nTP_UTC_n-N(BQ23))+(1-nTP_OK*BO23)*(nTP_Loc_n-N(BP23)))&lt;=0)+(1-nTP_HT*BN23)*(nTP_Hi_n&lt;N(BR23)))-(nTP_HT*BN23*((nTP_OK*BO23*(nTP_UTC_n-N(BQ23))+(1-nTP_OK*BO23)*(nTP_Loc_n-N(BP23)))&gt;0)+(1-nTP_HT*BN23)*(nTP_Lo_n&gt;N(BS23)))-((1-nTP_HT*BN23)*(nTP_Lo_n=nTP_Hi_n)*(nTP_Lo_n=N(BR23))*(N(BR23)=N(BS23))))))</f>
        <v>0</v>
      </c>
      <c r="CD23" s="22">
        <f>IF(CB23=0,0,SUMPRODUCT((nTP_CandKey=BX23)*nTP_Exact*((nTP_HT*BN23*((nTP_OK*BO23*(nTP_UTC_n-N(BQ23))+(1-nTP_OK*BO23)*(nTP_Loc_n-N(BP23)))&lt;=0)+(1-nTP_HT*BN23)*(nTP_Hi_n&lt;N(BR23)))+((1-nTP_HT*BN23)*(nTP_Lo_n=nTP_Hi_n)*(nTP_Lo_n=N(BR23))*(N(BR23)=N(BS23))))))</f>
        <v>0</v>
      </c>
      <c r="CE23" s="22">
        <f>IF(CB23=0,0,SUMPRODUCT((nTP_CandKey=BX23)*(nTP_Err="")*(1-nTP_Exact)*((nTP_HT*BN23*((nTP_OK*BO23*(nTP_UTC_n-N(BQ23))+(1-nTP_OK*BO23)*(nTP_Loc_n-N(BP23)))&lt;=0)+(1-nTP_HT*BN23)*(nTP_Hi_n&lt;N(BR23)))+((1-nTP_HT*BN23)*(nTP_Lo_n=nTP_Hi_n)*(nTP_Lo_n=N(BR23))*(N(BR23)=N(BS23))))))</f>
        <v>0</v>
      </c>
      <c r="CF23" s="22">
        <f>IF(CD23=0,0,SUMPRODUCT(MAX((nTP_CandKey=BX23)*nTP_Exact*((nTP_HT*BN23*((nTP_OK*BO23*(nTP_UTC_n-N(BQ23))+(1-nTP_OK*BO23)*(nTP_Loc_n-N(BP23)))&lt;=0)+(1-nTP_HT*BN23)*(nTP_Hi_n&lt;N(BR23)))+((1-nTP_HT*BN23)*(nTP_Lo_n=nTP_Hi_n)*(nTP_Lo_n=N(BR23))*(N(BR23)=N(BS23))))*nTP_Lo_n)))</f>
        <v>0</v>
      </c>
      <c r="CG23" s="22">
        <f>IF(CD23=0,0,SUMPRODUCT((nTP_CandKey=BX23)*nTP_Exact*((nTP_HT*BN23*((nTP_OK*BO23*(nTP_UTC_n-N(BQ23))+(1-nTP_OK*BO23)*(nTP_Loc_n-N(BP23)))&lt;=0)+(1-nTP_HT*BN23)*(nTP_Hi_n&lt;N(BR23)))+((1-nTP_HT*BN23)*(nTP_Lo_n=nTP_Hi_n)*(nTP_Lo_n=N(BR23))*(N(BR23)=N(BS23))))*(nTP_Lo_n=CF23)))</f>
        <v>0</v>
      </c>
      <c r="CH23" s="22">
        <f>IF(CD23=0,0,SUMPRODUCT((nTP_CandKey=BX23)*nTP_Exact*((nTP_HT*BN23*((nTP_OK*BO23*(nTP_UTC_n-N(BQ23))+(1-nTP_OK*BO23)*(nTP_Loc_n-N(BP23)))&lt;=0)+(1-nTP_HT*BN23)*(nTP_Hi_n&lt;N(BR23)))+((1-nTP_HT*BN23)*(nTP_Lo_n=nTP_Hi_n)*(nTP_Lo_n=N(BR23))*(N(BR23)=N(BS23))))*(1-nTP_HT)*(nTP_Lo_n=CF23)))</f>
        <v>0</v>
      </c>
      <c r="CI23" s="22">
        <f>IF(CD23=0,0,SUMPRODUCT(MAX((nTP_CandKey=BX23)*nTP_Exact*((nTP_HT*BN23*((nTP_OK*BO23*(nTP_UTC_n-N(BQ23))+(1-nTP_OK*BO23)*(nTP_Loc_n-N(BP23)))&lt;=0)+(1-nTP_HT*BN23)*(nTP_Hi_n&lt;N(BR23)))+((1-nTP_HT*BN23)*(nTP_Lo_n=nTP_Hi_n)*(nTP_Lo_n=N(BR23))*(N(BR23)=N(BS23))))*(1-nTP_HT)*nTP_Lo_n)))</f>
        <v>0</v>
      </c>
      <c r="CJ23" s="22">
        <f>IF(CD23=0,0,SUMPRODUCT(MAX((nTP_CandKey=BX23)*nTP_Exact*((nTP_HT*BN23*((nTP_OK*BO23*(nTP_UTC_n-N(BQ23))+(1-nTP_OK*BO23)*(nTP_Loc_n-N(BP23)))&lt;=0)+(1-nTP_HT*BN23)*(nTP_Hi_n&lt;N(BR23)))+((1-nTP_HT*BN23)*(nTP_Lo_n=nTP_Hi_n)*(nTP_Lo_n=N(BR23))*(N(BR23)=N(BS23))))*nTP_HT*nTP_OK*nTP_UTC_n)))</f>
        <v>0</v>
      </c>
      <c r="CK23" s="22">
        <f>IF(CJ23=0,0,SUMPRODUCT((nTP_CandKey=BX23)*nTP_Exact*((nTP_HT*BN23*((nTP_OK*BO23*(nTP_UTC_n-N(BQ23))+(1-nTP_OK*BO23)*(nTP_Loc_n-N(BP23)))&lt;=0)+(1-nTP_HT*BN23)*(nTP_Hi_n&lt;N(BR23)))+((1-nTP_HT*BN23)*(nTP_Lo_n=nTP_Hi_n)*(nTP_Lo_n=N(BR23))*(N(BR23)=N(BS23))))*nTP_HT*nTP_OK*(nTP_UTC_n=CJ23)))</f>
        <v>0</v>
      </c>
      <c r="CL23" s="22">
        <f>IF(CK23&lt;&gt;1,0,SUMPRODUCT((nTP_CandKey=BX23)*nTP_Exact*((nTP_HT*BN23*((nTP_OK*BO23*(nTP_UTC_n-N(BQ23))+(1-nTP_OK*BO23)*(nTP_Loc_n-N(BP23)))&lt;=0)+(1-nTP_HT*BN23)*(nTP_Hi_n&lt;N(BR23)))+((1-nTP_HT*BN23)*(nTP_Lo_n=nTP_Hi_n)*(nTP_Lo_n=N(BR23))*(N(BR23)=N(BS23))))*nTP_HT*nTP_OK*(nTP_UTC_n=CJ23)*nTP_Loc_n))</f>
        <v>0</v>
      </c>
      <c r="CM23" s="22">
        <f>IF(CK23&lt;&gt;1,0,SUMPRODUCT((nTP_CandKey=BX23)*nTP_Exact*((nTP_HT*BN23*((nTP_OK*BO23*(nTP_UTC_n-N(BQ23))+(1-nTP_OK*BO23)*(nTP_Loc_n-N(BP23)))&lt;=0)+(1-nTP_HT*BN23)*(nTP_Hi_n&lt;N(BR23)))+((1-nTP_HT*BN23)*(nTP_Lo_n=nTP_Hi_n)*(nTP_Lo_n=N(BR23))*(N(BR23)=N(BS23))))*nTP_HT*nTP_OK*(nTP_UTC_n=CJ23)*nTP_Lo_n))</f>
        <v>0</v>
      </c>
      <c r="CN23" s="22">
        <f>IF(CD23=0,0,SUMPRODUCT(MAX((nTP_CandKey=BX23)*nTP_Exact*((nTP_HT*BN23*((nTP_OK*BO23*(nTP_UTC_n-N(BQ23))+(1-nTP_OK*BO23)*(nTP_Loc_n-N(BP23)))&lt;=0)+(1-nTP_HT*BN23)*(nTP_Hi_n&lt;N(BR23)))+((1-nTP_HT*BN23)*(nTP_Lo_n=nTP_Hi_n)*(nTP_Lo_n=N(BR23))*(N(BR23)=N(BS23))))*nTP_HT*(1-nTP_OK)*nTP_Loc_n)))</f>
        <v>0</v>
      </c>
      <c r="CO23" s="22">
        <f>IF(CN23=0,0,SUMPRODUCT((nTP_CandKey=BX23)*nTP_Exact*((nTP_HT*BN23*((nTP_OK*BO23*(nTP_UTC_n-N(BQ23))+(1-nTP_OK*BO23)*(nTP_Loc_n-N(BP23)))&lt;=0)+(1-nTP_HT*BN23)*(nTP_Hi_n&lt;N(BR23)))+((1-nTP_HT*BN23)*(nTP_Lo_n=nTP_Hi_n)*(nTP_Lo_n=N(BR23))*(N(BR23)=N(BS23))))*nTP_HT*(1-nTP_OK)*(nTP_Loc_n=CN23)))</f>
        <v>0</v>
      </c>
      <c r="CP23" s="22">
        <f>IF(CO23&lt;&gt;1,0,SUMPRODUCT((nTP_CandKey=BX23)*nTP_Exact*((nTP_HT*BN23*((nTP_OK*BO23*(nTP_UTC_n-N(BQ23))+(1-nTP_OK*BO23)*(nTP_Loc_n-N(BP23)))&lt;=0)+(1-nTP_HT*BN23)*(nTP_Hi_n&lt;N(BR23)))+((1-nTP_HT*BN23)*(nTP_Lo_n=nTP_Hi_n)*(nTP_Lo_n=N(BR23))*(N(BR23)=N(BS23))))*nTP_HT*(1-nTP_OK)*(nTP_Loc_n=CN23)*nTP_Lo_n))</f>
        <v>0</v>
      </c>
      <c r="CQ23" s="22">
        <f>IF(CD23=0,0,SUMPRODUCT(MAX((nTP_CandKey=BX23)*nTP_Exact*((nTP_HT*BN23*((nTP_OK*BO23*(nTP_UTC_n-N(BQ23))+(1-nTP_OK*BO23)*(nTP_Loc_n-N(BP23)))&lt;=0)+(1-nTP_HT*BN23)*(nTP_Hi_n&lt;N(BR23)))+((1-nTP_HT*BN23)*(nTP_Lo_n=nTP_Hi_n)*(nTP_Lo_n=N(BR23))*(N(BR23)=N(BS23))))*nTP_HT*nTP_OK*nTP_Loc_n)))</f>
        <v>0</v>
      </c>
      <c r="CR23" s="22">
        <f t="shared" si="28"/>
        <v>0</v>
      </c>
      <c r="CS23" s="22">
        <f>IF(CR23=0,0,IF(CR23=1,MATCH(1,INDEX((nTP_CandKey=BX23)*nTP_Exact*((nTP_HT*BN23*((nTP_OK*BO23*(nTP_UTC_n-N(BQ23))+(1-nTP_OK*BO23)*(nTP_Loc_n-N(BP23)))&lt;=0)+(1-nTP_HT*BN23)*(nTP_Hi_n&lt;N(BR23)))+((1-nTP_HT*BN23)*(nTP_Lo_n=nTP_Hi_n)*(nTP_Lo_n=N(BR23))*(N(BR23)=N(BS23))))*(1-nTP_HT)*(nTP_Lo_n=CF23),0),0),IF(CR23=2,MATCH(1,INDEX((nTP_CandKey=BX23)*nTP_Exact*((nTP_HT*BN23*((nTP_OK*BO23*(nTP_UTC_n-N(BQ23))+(1-nTP_OK*BO23)*(nTP_Loc_n-N(BP23)))&lt;=0)+(1-nTP_HT*BN23)*(nTP_Hi_n&lt;N(BR23)))+((1-nTP_HT*BN23)*(nTP_Lo_n=nTP_Hi_n)*(nTP_Lo_n=N(BR23))*(N(BR23)=N(BS23))))*nTP_HT*nTP_OK*(nTP_UTC_n=CJ23),0),0),MATCH(1,INDEX((nTP_CandKey=BX23)*nTP_Exact*((nTP_HT*BN23*((nTP_OK*BO23*(nTP_UTC_n-N(BQ23))+(1-nTP_OK*BO23)*(nTP_Loc_n-N(BP23)))&lt;=0)+(1-nTP_HT*BN23)*(nTP_Hi_n&lt;N(BR23)))+((1-nTP_HT*BN23)*(nTP_Lo_n=nTP_Hi_n)*(nTP_Lo_n=N(BR23))*(N(BR23)=N(BS23))))*nTP_HT*(1-nTP_OK)*(nTP_Loc_n=CN23),0),0))))</f>
        <v>0</v>
      </c>
      <c r="CT23" s="22">
        <f>IF(CS23=0,0,INDEX(nTP_Lo_n,CS23))</f>
        <v>0</v>
      </c>
      <c r="CU23" s="22">
        <f>IF(CS23=0,0,SUMPRODUCT((nTP_CandKey=BX23)*(nTP_Err="")*(1-nTP_Exact)*((nTP_HT*BN23*((nTP_OK*BO23*(nTP_UTC_n-N(BQ23))+(1-nTP_OK*BO23)*(nTP_Loc_n-N(BP23)))&lt;=0)+(1-nTP_HT*BN23)*(nTP_Hi_n&lt;N(BR23)))+((1-nTP_HT*BN23)*(nTP_Lo_n=nTP_Hi_n)*(nTP_Lo_n=N(BR23))*(N(BR23)=N(BS23))))*(nTP_Hi_n&gt;=CT23)))</f>
        <v>0</v>
      </c>
      <c r="CV23" s="21" t="str">
        <f t="shared" si="29"/>
        <v/>
      </c>
      <c r="CW23" s="21" t="str">
        <f>IF(AND(BG23=1,CB23=1,CV23="",CS23&gt;0),INDEX(nTP_Record_ID,CS23)&amp;"","")</f>
        <v/>
      </c>
      <c r="CX23" s="21" t="str">
        <f>IF(OR(CV23="",BG23=0),"",IF(CV23="none","an administration record (last dose before onset)",IF(CV23="uncertain","the anchor record: "&amp;INDEX(nTP_Record_ID,MATCH(1,INDEX((nTP_CandKey=BX23)*(nTP_Err="")*(1-(nTP_HT*BN23*((nTP_OK*BO23*(nTP_UTC_n-N(BQ23))+(1-nTP_OK*BO23)*(nTP_Loc_n-N(BP23)))&lt;=0)+(1-nTP_HT*BN23)*(nTP_Hi_n&lt;N(BR23)))-(nTP_HT*BN23*((nTP_OK*BO23*(nTP_UTC_n-N(BQ23))+(1-nTP_OK*BO23)*(nTP_Loc_n-N(BP23)))&gt;0)+(1-nTP_HT*BN23)*(nTP_Lo_n&gt;N(BS23)))-((1-nTP_HT*BN23)*(nTP_Lo_n=nTP_Hi_n)*(nTP_Lo_n=N(BR23))*(N(BR23)=N(BS23)))),0),0))&amp;IF(CC23&gt;1," and "&amp;(CC23-1)&amp;" more","")&amp;" may fall before or after the end point, so the last dose cannot be identified from the recorded dates",IF(CV23="noneligible","the anchor record: no administration with an exact date is recorded at or before the end point",IF(CV23="tie","the anchor record: the order of the latest administrations cannot be told from the recorded dates and times","the anchor record: partial-date administration "&amp;INDEX(nTP_Record_ID,MATCH(1,INDEX((nTP_CandKey=BX23)*(nTP_Err="")*(1-nTP_Exact)*((nTP_HT*BN23*((nTP_OK*BO23*(nTP_UTC_n-N(BQ23))+(1-nTP_OK*BO23)*(nTP_Loc_n-N(BP23)))&lt;=0)+(1-nTP_HT*BN23)*(nTP_Hi_n&lt;N(BR23)))+((1-nTP_HT*BN23)*(nTP_Lo_n=nTP_Hi_n)*(nTP_Lo_n=N(BR23))*(N(BR23)=N(BS23))))*(nTP_Hi_n&gt;=CT23),0),0))&amp;" could be the last dose before the end point")))))</f>
        <v/>
      </c>
      <c r="CY23" s="22">
        <f>IF(OR(AW23=1,AJ23=""),0,IFERROR(MATCH(AX23&amp;"|"&amp;AJ23,nTP_Key,0),0))</f>
        <v>0</v>
      </c>
      <c r="CZ23" s="21">
        <f>IF(CY23=0,0,INDEX(nTP_Dup,CY23))</f>
        <v>0</v>
      </c>
      <c r="DA23" s="21" t="str">
        <f>IF(CY23=0,"",INDEX(nTP_Record_Type,CY23))</f>
        <v/>
      </c>
      <c r="DB23" s="21" t="str">
        <f>IF(CY23=0,"",INDEX(nTP_Precision,CY23))</f>
        <v/>
      </c>
      <c r="DC23" s="21" t="str">
        <f>IF(CY23=0,"",INDEX(nTP_Err,CY23))</f>
        <v/>
      </c>
      <c r="DD23" s="21">
        <f>IF(CY23=0,0,INDEX(nTP_HT,CY23))</f>
        <v>0</v>
      </c>
      <c r="DE23" s="21">
        <f>IF(CY23=0,0,INDEX(nTP_OK,CY23))</f>
        <v>0</v>
      </c>
      <c r="DF23" s="21" t="str">
        <f>IF(CY23=0,"",INDEX(nTP_Loc,CY23))</f>
        <v/>
      </c>
      <c r="DG23" s="21" t="str">
        <f>IF(CY23=0,"",INDEX(nTP_UTC,CY23))</f>
        <v/>
      </c>
      <c r="DH23" s="21" t="str">
        <f>IF(CY23=0,"",INDEX(nTP_Lo,CY23))</f>
        <v/>
      </c>
      <c r="DI23" s="21" t="str">
        <f>IF(CY23=0,"",INDEX(nTP_Hi,CY23))</f>
        <v/>
      </c>
      <c r="DJ23" s="21" t="str">
        <f>IF(CY23=0,"",INDEX(nTP_Original_Text,CY23))</f>
        <v/>
      </c>
      <c r="DK23" s="21" t="str">
        <f>IF(CY23=0,"",INDEX(nTP_Source,CY23))</f>
        <v/>
      </c>
      <c r="DL23" s="22">
        <f t="shared" si="30"/>
        <v>0</v>
      </c>
      <c r="DM23" s="21" t="str">
        <f t="shared" si="31"/>
        <v/>
      </c>
      <c r="DN23" s="21" t="str">
        <f t="shared" si="32"/>
        <v/>
      </c>
      <c r="DO23" s="21" t="str">
        <f t="shared" si="33"/>
        <v/>
      </c>
      <c r="DP23" s="21" t="str">
        <f t="shared" si="34"/>
        <v/>
      </c>
      <c r="DQ23" s="21" t="str">
        <f t="shared" si="35"/>
        <v/>
      </c>
      <c r="DR23" s="22">
        <f>IF(OR(DQ23="",I23=""),0,IF(ISNA(MATCH(I23,nLIST_Mode,0)),1,IF(AND(I23="C1",DQ23&lt;&gt;"C1"),1,IF(AND(I23="C2",DQ23="C4"),1,0))))</f>
        <v>0</v>
      </c>
      <c r="DS23" s="21" t="str">
        <f t="shared" si="36"/>
        <v/>
      </c>
      <c r="DT23" s="22">
        <f t="shared" si="37"/>
        <v>0</v>
      </c>
      <c r="DU23" s="21" t="str">
        <f>IF(DT23=0,"",IF(COUNTIFS(nTP_Case_Key,AX23,nTP_Record_Type,"MILESTONE:INTERVENTION",nTP_Err,"E_INVALID_DATE")&gt;0,"; E_INVALID_DATE","")&amp;IF(COUNTIFS(nTP_Case_Key,AX23,nTP_Record_Type,"MILESTONE:INTERVENTION",nTP_Err,"E_REVERSED_BOUNDS")&gt;0,"; E_REVERSED_BOUNDS","")&amp;IF(COUNTIFS(nTP_Case_Key,AX23,nTP_Record_Type,"MILESTONE:INTERVENTION",nTP_Err,"E_MISSING_INPUT")&gt;0,"; E_MISSING_INPUT","")&amp;IF(COUNTIFS(nTP_Case_Key,AX23,nTP_Record_Type,"MILESTONE:INTERVENTION",nTP_Err,"E_INVALID_UNIT")&gt;0,"; E_INVALID_UNIT",""))</f>
        <v/>
      </c>
      <c r="DV23" s="22">
        <f>IF(DT23=0,0,SUMPRODUCT((nMS_CaseKey=AX23)*(nMS_Type="INTERVENTION")*nMS_Undated))</f>
        <v>0</v>
      </c>
      <c r="DW23" s="21" t="str">
        <f t="shared" si="38"/>
        <v/>
      </c>
      <c r="DX23" s="21" t="str">
        <f t="shared" si="39"/>
        <v/>
      </c>
      <c r="DY23" s="22">
        <f t="shared" si="40"/>
        <v>1</v>
      </c>
      <c r="DZ23" s="21" t="str">
        <f t="shared" si="41"/>
        <v/>
      </c>
      <c r="EA23" s="21" t="str">
        <f t="shared" si="42"/>
        <v/>
      </c>
      <c r="EB23" s="21" t="str">
        <f t="shared" si="43"/>
        <v/>
      </c>
      <c r="EC23" s="21" t="str">
        <f t="shared" si="44"/>
        <v/>
      </c>
      <c r="ED23" s="22">
        <f t="shared" si="45"/>
        <v>0</v>
      </c>
      <c r="EE23" s="22">
        <f t="shared" si="46"/>
        <v>0</v>
      </c>
      <c r="EF23" s="21" t="str">
        <f>IF(ED23=0,"",IF(OR(NOT(ISNUMBER(L23)),NOT(ISNUMBER(M23))),"I_APPROXIMATE_NOT_COMPARED",IF(AND(N23&lt;&gt;"",ISNA(MATCH(N23,nLIST_ReportedUnit,0))),"E_INVALID_UNIT",IF(N23="","E_MISSING_INPUT",IF(L23&gt;M23,"E_REVERSED_BOUNDS",IF(OR(N23="weeks",N23="months",N23="years"),"I_APPROXIMATE_NOT_COMPARED",IF(DX23&lt;&gt;"","",IF(EE23=0,"I_APPROXIMATE_NOT_COMPARED",IF(AND(L23*EE23&lt;=IF(DS23="C4",EC23,IF(DS23="C1",DZ23,EA23)),M23*EE23&gt;=IF(DS23="C4",EB23,IF(DS23="C1",DZ23,EA23))),"OVERLAP","W_REPORTED_TIMING_CONFLICT")))))))))</f>
        <v/>
      </c>
      <c r="EG23" s="21" t="str">
        <f t="shared" si="47"/>
        <v/>
      </c>
      <c r="EH23" s="21" t="str">
        <f t="shared" si="48"/>
        <v/>
      </c>
      <c r="EI23" s="22">
        <f t="shared" si="49"/>
        <v>0</v>
      </c>
      <c r="EJ23" s="22">
        <f t="shared" si="50"/>
        <v>0</v>
      </c>
      <c r="EK23" s="22">
        <f t="shared" si="51"/>
        <v>0</v>
      </c>
      <c r="EL23" s="28" t="str">
        <f t="shared" si="52"/>
        <v/>
      </c>
      <c r="EM23" s="28" t="str">
        <f t="shared" si="53"/>
        <v/>
      </c>
      <c r="EN23" s="21" t="str">
        <f t="shared" si="54"/>
        <v/>
      </c>
      <c r="EO23" s="22">
        <f>IF(OR(DT23=0,DX23&lt;&gt;""),0,SUMPRODUCT((nTP_Case_Key=AX23)*(nTP_Record_Type="MILESTONE:INTERVENTION")*(nTP_Err="")*(nTP_HT*DD23*BN23*(nTP_OK*DE23*(nTP_UTC_n&gt;=N(DG23))+(1-nTP_OK*DE23)*(nTP_Loc_n&gt;=N(DF23)))*(nTP_OK*BO23*(nTP_UTC_n&lt;=N(BQ23))+(1-nTP_OK*BO23)*(nTP_Loc_n&lt;=N(BP23)))+(1-nTP_HT*DD23*BN23)*(nTP_Hi_n&gt;=N(DH23))*(nTP_Lo_n&lt;=N(BS23)))))</f>
        <v>0</v>
      </c>
      <c r="EP23" s="22">
        <f>IF(OR(DT23=0,DX23&lt;&gt;""),0,SUMPRODUCT((nTP_Case_Key=AX23)*(nTP_Role="treatment of the event")*((nTP_Record_Type="EXPOSURE_START")+(nTP_Record_Type="ADMINISTRATION"))*(nTP_Err="")*(nTP_HT*DD23*BN23*(nTP_OK*DE23*(nTP_UTC_n&gt;=N(DG23))+(1-nTP_OK*DE23)*(nTP_Loc_n&gt;=N(DF23)))*(nTP_OK*BO23*(nTP_UTC_n&lt;=N(BQ23))+(1-nTP_OK*BO23)*(nTP_Loc_n&lt;=N(BP23)))+(1-nTP_HT*DD23*BN23)*(nTP_Hi_n&gt;=N(DH23))*(nTP_Lo_n&lt;=N(BS23)))))</f>
        <v>0</v>
      </c>
      <c r="EQ23" s="22">
        <f>IF(EO23&lt;1,0,IFERROR(_xlfn.AGGREGATE(15,6,nTP_RowN/((nTP_Case_Key=AX23)*(nTP_Record_Type="MILESTONE:INTERVENTION")*(nTP_Err="")*(nTP_HT*DD23*BN23*(nTP_OK*DE23*(nTP_UTC_n&gt;=N(DG23))+(1-nTP_OK*DE23)*(nTP_Loc_n&gt;=N(DF23)))*(nTP_OK*BO23*(nTP_UTC_n&lt;=N(BQ23))+(1-nTP_OK*BO23)*(nTP_Loc_n&lt;=N(BP23)))+(1-nTP_HT*DD23*BN23)*(nTP_Hi_n&gt;=N(DH23))*(nTP_Lo_n&lt;=N(BS23)))),1),0))</f>
        <v>0</v>
      </c>
      <c r="ER23" s="22">
        <f>IF(EO23&lt;2,0,IFERROR(_xlfn.AGGREGATE(15,6,nTP_RowN/((nTP_Case_Key=AX23)*(nTP_Record_Type="MILESTONE:INTERVENTION")*(nTP_Err="")*(nTP_HT*DD23*BN23*(nTP_OK*DE23*(nTP_UTC_n&gt;=N(DG23))+(1-nTP_OK*DE23)*(nTP_Loc_n&gt;=N(DF23)))*(nTP_OK*BO23*(nTP_UTC_n&lt;=N(BQ23))+(1-nTP_OK*BO23)*(nTP_Loc_n&lt;=N(BP23)))+(1-nTP_HT*DD23*BN23)*(nTP_Hi_n&gt;=N(DH23))*(nTP_Lo_n&lt;=N(BS23)))),2),0))</f>
        <v>0</v>
      </c>
      <c r="ES23" s="22">
        <f>IF(EO23&lt;3,0,IFERROR(_xlfn.AGGREGATE(15,6,nTP_RowN/((nTP_Case_Key=AX23)*(nTP_Record_Type="MILESTONE:INTERVENTION")*(nTP_Err="")*(nTP_HT*DD23*BN23*(nTP_OK*DE23*(nTP_UTC_n&gt;=N(DG23))+(1-nTP_OK*DE23)*(nTP_Loc_n&gt;=N(DF23)))*(nTP_OK*BO23*(nTP_UTC_n&lt;=N(BQ23))+(1-nTP_OK*BO23)*(nTP_Loc_n&lt;=N(BP23)))+(1-nTP_HT*DD23*BN23)*(nTP_Hi_n&gt;=N(DH23))*(nTP_Lo_n&lt;=N(BS23)))),3),0))</f>
        <v>0</v>
      </c>
      <c r="ET23" s="22">
        <f>IF(EP23&lt;1,0,IFERROR(_xlfn.AGGREGATE(15,6,nTP_RowN/((nTP_Case_Key=AX23)*(nTP_Role="treatment of the event")*((nTP_Record_Type="EXPOSURE_START")+(nTP_Record_Type="ADMINISTRATION"))*(nTP_Err="")*(nTP_HT*DD23*BN23*(nTP_OK*DE23*(nTP_UTC_n&gt;=N(DG23))+(1-nTP_OK*DE23)*(nTP_Loc_n&gt;=N(DF23)))*(nTP_OK*BO23*(nTP_UTC_n&lt;=N(BQ23))+(1-nTP_OK*BO23)*(nTP_Loc_n&lt;=N(BP23)))+(1-nTP_HT*DD23*BN23)*(nTP_Hi_n&gt;=N(DH23))*(nTP_Lo_n&lt;=N(BS23)))),1),0))</f>
        <v>0</v>
      </c>
      <c r="EU23" s="22">
        <f>IF(EP23&lt;2,0,IFERROR(_xlfn.AGGREGATE(15,6,nTP_RowN/((nTP_Case_Key=AX23)*(nTP_Role="treatment of the event")*((nTP_Record_Type="EXPOSURE_START")+(nTP_Record_Type="ADMINISTRATION"))*(nTP_Err="")*(nTP_HT*DD23*BN23*(nTP_OK*DE23*(nTP_UTC_n&gt;=N(DG23))+(1-nTP_OK*DE23)*(nTP_Loc_n&gt;=N(DF23)))*(nTP_OK*BO23*(nTP_UTC_n&lt;=N(BQ23))+(1-nTP_OK*BO23)*(nTP_Loc_n&lt;=N(BP23)))+(1-nTP_HT*DD23*BN23)*(nTP_Hi_n&gt;=N(DH23))*(nTP_Lo_n&lt;=N(BS23)))),2),0))</f>
        <v>0</v>
      </c>
      <c r="EV23" s="22">
        <f>IF(EP23&lt;3,0,IFERROR(_xlfn.AGGREGATE(15,6,nTP_RowN/((nTP_Case_Key=AX23)*(nTP_Role="treatment of the event")*((nTP_Record_Type="EXPOSURE_START")+(nTP_Record_Type="ADMINISTRATION"))*(nTP_Err="")*(nTP_HT*DD23*BN23*(nTP_OK*DE23*(nTP_UTC_n&gt;=N(DG23))+(1-nTP_OK*DE23)*(nTP_Loc_n&gt;=N(DF23)))*(nTP_OK*BO23*(nTP_UTC_n&lt;=N(BQ23))+(1-nTP_OK*BO23)*(nTP_Loc_n&lt;=N(BP23)))+(1-nTP_HT*DD23*BN23)*(nTP_Hi_n&gt;=N(DH23))*(nTP_Lo_n&lt;=N(BS23)))),3),0))</f>
        <v>0</v>
      </c>
      <c r="EW23" s="22">
        <f>IF(CE23&lt;1,0,IFERROR(_xlfn.AGGREGATE(15,6,nTP_RowN/((nTP_CandKey=BX23)*(nTP_Err="")*(1-nTP_Exact)*((nTP_HT*BN23*((nTP_OK*BO23*(nTP_UTC_n-N(BQ23))+(1-nTP_OK*BO23)*(nTP_Loc_n-N(BP23)))&lt;=0)+(1-nTP_HT*BN23)*(nTP_Hi_n&lt;N(BR23)))+((1-nTP_HT*BN23)*(nTP_Lo_n=nTP_Hi_n)*(nTP_Lo_n=N(BR23))*(N(BR23)=N(BS23))))),1),0))</f>
        <v>0</v>
      </c>
      <c r="EX23" s="22">
        <f>IF(CE23&lt;2,0,IFERROR(_xlfn.AGGREGATE(15,6,nTP_RowN/((nTP_CandKey=BX23)*(nTP_Err="")*(1-nTP_Exact)*((nTP_HT*BN23*((nTP_OK*BO23*(nTP_UTC_n-N(BQ23))+(1-nTP_OK*BO23)*(nTP_Loc_n-N(BP23)))&lt;=0)+(1-nTP_HT*BN23)*(nTP_Hi_n&lt;N(BR23)))+((1-nTP_HT*BN23)*(nTP_Lo_n=nTP_Hi_n)*(nTP_Lo_n=N(BR23))*(N(BR23)=N(BS23))))),2),0))</f>
        <v>0</v>
      </c>
      <c r="EY23" s="22">
        <f>IF(CE23&lt;3,0,IFERROR(_xlfn.AGGREGATE(15,6,nTP_RowN/((nTP_CandKey=BX23)*(nTP_Err="")*(1-nTP_Exact)*((nTP_HT*BN23*((nTP_OK*BO23*(nTP_UTC_n-N(BQ23))+(1-nTP_OK*BO23)*(nTP_Loc_n-N(BP23)))&lt;=0)+(1-nTP_HT*BN23)*(nTP_Hi_n&lt;N(BR23)))+((1-nTP_HT*BN23)*(nTP_Lo_n=nTP_Hi_n)*(nTP_Lo_n=N(BR23))*(N(BR23)=N(BS23))))),3),0))</f>
        <v>0</v>
      </c>
      <c r="EZ23" s="21" t="str">
        <f>IF(EO23=0,"",MID(IF(EQ23&gt;0,"; "&amp;INDEX(nTP_Record_ID,EQ23)&amp;IF(INDEX(nTP_Label,EQ23)="",""," ("&amp;INDEX(nTP_Label,EQ23)&amp;")"),"")&amp;IF(ER23&gt;0,"; "&amp;INDEX(nTP_Record_ID,ER23)&amp;IF(INDEX(nTP_Label,ER23)="",""," ("&amp;INDEX(nTP_Label,ER23)&amp;")"),"")&amp;IF(ES23&gt;0,"; "&amp;INDEX(nTP_Record_ID,ES23)&amp;IF(INDEX(nTP_Label,ES23)="",""," ("&amp;INDEX(nTP_Label,ES23)&amp;")"),"")&amp;IF(EO23&gt;3,"; and "&amp;(EO23-3)&amp;" more",""),3,999))</f>
        <v/>
      </c>
      <c r="FA23" s="21" t="str">
        <f>IF(EO23=0,"",MID(IF(EQ23&gt;0,"; "&amp;INDEX(nTP_Record_ID,EQ23),"")&amp;IF(ER23&gt;0,"; "&amp;INDEX(nTP_Record_ID,ER23),"")&amp;IF(ES23&gt;0,"; "&amp;INDEX(nTP_Record_ID,ES23),"")&amp;IF(EO23&gt;3,"; and "&amp;(EO23-3)&amp;" more",""),3,999))</f>
        <v/>
      </c>
      <c r="FB23" s="21" t="str">
        <f>IF(EP23=0,"",MID(IF(ET23&gt;0,"; "&amp;INDEX(nTP_Record_ID,ET23)&amp;IF(INDEX(nTP_Label,ET23)="",""," ("&amp;INDEX(nTP_Label,ET23)&amp;")"),"")&amp;IF(EU23&gt;0,"; "&amp;INDEX(nTP_Record_ID,EU23)&amp;IF(INDEX(nTP_Label,EU23)="",""," ("&amp;INDEX(nTP_Label,EU23)&amp;")"),"")&amp;IF(EV23&gt;0,"; "&amp;INDEX(nTP_Record_ID,EV23)&amp;IF(INDEX(nTP_Label,EV23)="",""," ("&amp;INDEX(nTP_Label,EV23)&amp;")"),"")&amp;IF(EP23&gt;3,"; and "&amp;(EP23-3)&amp;" more",""),3,999))</f>
        <v/>
      </c>
      <c r="FC23" s="21" t="str">
        <f>IF(CE23=0,"",MID(IF(EW23&gt;0,"; "&amp;INDEX(nTP_Record_ID,EW23),"")&amp;IF(EX23&gt;0,"; "&amp;INDEX(nTP_Record_ID,EX23),"")&amp;IF(EY23&gt;0,"; "&amp;INDEX(nTP_Record_ID,EY23),"")&amp;IF(CE23&gt;3,"; and "&amp;(CE23-3)&amp;" more",""),3,999))</f>
        <v/>
      </c>
      <c r="FD23" s="22">
        <f t="shared" si="55"/>
        <v>0</v>
      </c>
      <c r="FE23" s="22">
        <f t="shared" si="56"/>
        <v>0</v>
      </c>
      <c r="FF23" s="22">
        <f t="shared" si="57"/>
        <v>0</v>
      </c>
      <c r="FG23" s="22">
        <f t="shared" si="58"/>
        <v>0</v>
      </c>
      <c r="FH23" s="22">
        <f t="shared" si="59"/>
        <v>0</v>
      </c>
      <c r="FI23" s="22">
        <f t="shared" si="60"/>
        <v>0</v>
      </c>
      <c r="FJ23" s="22">
        <f t="shared" si="61"/>
        <v>0</v>
      </c>
      <c r="FK23" s="22">
        <f t="shared" si="62"/>
        <v>0</v>
      </c>
    </row>
    <row r="24" spans="1:167" x14ac:dyDescent="0.2">
      <c r="A24" s="10"/>
      <c r="B24" s="10"/>
      <c r="C24" s="12"/>
      <c r="D24" s="10"/>
      <c r="E24" s="17"/>
      <c r="F24" s="10"/>
      <c r="G24" s="10"/>
      <c r="H24" s="10"/>
      <c r="I24" s="17"/>
      <c r="J24" s="17"/>
      <c r="K24" s="10"/>
      <c r="L24" s="17"/>
      <c r="M24" s="17"/>
      <c r="N24" s="17"/>
      <c r="O24" s="10"/>
      <c r="P24" s="15"/>
      <c r="Q24" s="15"/>
      <c r="R24" s="10"/>
      <c r="S24" s="10"/>
      <c r="T24" s="21" t="str">
        <f t="shared" si="0"/>
        <v/>
      </c>
      <c r="U24" s="21" t="str">
        <f t="shared" si="1"/>
        <v/>
      </c>
      <c r="V24" s="21" t="str">
        <f t="shared" si="2"/>
        <v/>
      </c>
      <c r="W24" s="21" t="str">
        <f t="shared" si="3"/>
        <v/>
      </c>
      <c r="X24" s="21" t="str">
        <f t="shared" si="4"/>
        <v/>
      </c>
      <c r="Y24" s="21" t="str">
        <f t="shared" si="5"/>
        <v/>
      </c>
      <c r="Z24" s="21" t="str">
        <f t="shared" si="6"/>
        <v/>
      </c>
      <c r="AA24" s="21" t="str">
        <f t="shared" si="7"/>
        <v/>
      </c>
      <c r="AB24" s="21" t="str">
        <f t="shared" si="8"/>
        <v/>
      </c>
      <c r="AC24" s="21" t="str">
        <f t="shared" si="9"/>
        <v/>
      </c>
      <c r="AD24" s="21" t="str">
        <f>IF(AW24=1,"",MID(IF(ISNUMBER(SEARCH("E_INVALID_DATE",EG24))," | E_INVALID_DATE: "&amp;SUBSTITUTE(IFERROR(INDEX(nMSG_Text,MATCH("E_INVALID_DATE",nMSG_Code,0)),""),"[input]",""),"")&amp;IF(ISNUMBER(SEARCH("E_REVERSED_BOUNDS",EG24))," | E_REVERSED_BOUNDS: "&amp;SUBSTITUTE(IFERROR(INDEX(nMSG_Text,MATCH("E_REVERSED_BOUNDS",nMSG_Code,0)),""),"[input]",""),"")&amp;IF(ISNUMBER(SEARCH("E_DUPLICATE_ID",EG24))," | E_DUPLICATE_ID: "&amp;SUBSTITUTE(IFERROR(INDEX(nMSG_Text,MATCH("E_DUPLICATE_ID",nMSG_Code,0)),""),"[input]",""),"")&amp;IF(ISNUMBER(SEARCH("E_MISSING_LINK",EG24))," | E_MISSING_LINK: "&amp;SUBSTITUTE(IFERROR(INDEX(nMSG_Text,MATCH("E_MISSING_LINK",nMSG_Code,0)),""),"[input]",""),"")&amp;IF(ISNUMBER(SEARCH("E_MISSING_INPUT",EG24))," | E_MISSING_INPUT: "&amp;SUBSTITUTE(IFERROR(INDEX(nMSG_Text,MATCH("E_MISSING_INPUT",nMSG_Code,0)),""),"[input]",IF(EH24="","an input",EH24)),"")&amp;IF(ISNUMBER(SEARCH("E_INVALID_UNIT",EG24))," | E_INVALID_UNIT: "&amp;SUBSTITUTE(IFERROR(INDEX(nMSG_Text,MATCH("E_INVALID_UNIT",nMSG_Code,0)),""),"[input]",""),"")&amp;IF(FD24=1," | W_TZ_UNKNOWN: "&amp;SUBSTITUTE(IFERROR(INDEX(nMSG_Text,MATCH("W_TZ_UNKNOWN",nMSG_Code,0)),""),"[input]",""),"")&amp;IF(FE24=1," | W_SAME_DATE_ORDER_UNKNOWN: "&amp;SUBSTITUTE(IFERROR(INDEX(nMSG_Text,MATCH("W_SAME_DATE_ORDER_UNKNOWN",nMSG_Code,0)),""),"[input]",""),"")&amp;IF(FF24=1," | W_SEQUENCE_UNCERTAIN: "&amp;SUBSTITUTE(IFERROR(INDEX(nMSG_Text,MATCH("W_SEQUENCE_UNCERTAIN",nMSG_Code,0)),""),"[input]",""),"")&amp;IF(FG24=1," | W_ADMIN_SAME_DATE_AS_ONSET: "&amp;SUBSTITUTE(IFERROR(INDEX(nMSG_Text,MATCH("W_ADMIN_SAME_DATE_AS_ONSET",nMSG_Code,0)),""),"[input]",""),"")&amp;IF(FH24=1," | W_REPORTED_TIMING_CONFLICT: "&amp;SUBSTITUTE(IFERROR(INDEX(nMSG_Text,MATCH("W_REPORTED_TIMING_CONFLICT",nMSG_Code,0)),""),"[input]",""),"")&amp;IF(FI24=1," | W_INTERVENTION_BEFORE_RECOVERY: "&amp;SUBSTITUTE(IFERROR(INDEX(nMSG_Text,MATCH("W_INTERVENTION_BEFORE_RECOVERY",nMSG_Code,0)),""),"[input]",""),"")&amp;IF(FJ24=1," | I_TREATMENT_DAY_UNDEFINED: "&amp;SUBSTITUTE(IFERROR(INDEX(nMSG_Text,MATCH("I_TREATMENT_DAY_UNDEFINED",nMSG_Code,0)),""),"[input]",""),"")&amp;IF(FK24=1," | I_APPROXIMATE_NOT_COMPARED: "&amp;SUBSTITUTE(IFERROR(INDEX(nMSG_Text,MATCH("I_APPROXIMATE_NOT_COMPARED",nMSG_Code,0)),""),"[input]",""),""),4,9999))</f>
        <v/>
      </c>
      <c r="AE24" s="21" t="str">
        <f t="shared" si="10"/>
        <v/>
      </c>
      <c r="AF24" s="21" t="str">
        <f t="shared" si="11"/>
        <v/>
      </c>
      <c r="AG24" s="21" t="str">
        <f>IF(EN24="","",MID(IF(ISNUMBER(SEARCH("E_REVERSED_BOUNDS",EN24))," | E_REVERSED_BOUNDS: "&amp;SUBSTITUTE(IFERROR(INDEX(nMSG_Text,MATCH("E_REVERSED_BOUNDS",nMSG_Code,0)),""),"[input]",""),"")&amp;IF(ISNUMBER(SEARCH("E_MISSING_INPUT",EN24))," | E_MISSING_INPUT: "&amp;SUBSTITUTE(IFERROR(INDEX(nMSG_Text,MATCH("E_MISSING_INPUT",nMSG_Code,0)),""),"[input]",IF("the source of the constraint"="","an input","the source of the constraint")),""),4,999))</f>
        <v/>
      </c>
      <c r="AH24" s="21" t="str">
        <f t="shared" si="12"/>
        <v/>
      </c>
      <c r="AI24" s="21" t="str">
        <f t="shared" si="13"/>
        <v/>
      </c>
      <c r="AJ24" s="21" t="str">
        <f t="shared" si="14"/>
        <v/>
      </c>
      <c r="AK24" s="21" t="str">
        <f t="shared" si="15"/>
        <v/>
      </c>
      <c r="AL24" s="21" t="str">
        <f>IF(CY24=0,"",INDEX(nTP_ISO,CY24))</f>
        <v/>
      </c>
      <c r="AM24" s="21" t="str">
        <f>IF(CY24=0,"",INDEX(nTP_Display,CY24))</f>
        <v/>
      </c>
      <c r="AN24" s="21" t="str">
        <f>IF(BI24=0,"",INDEX(nTP_ISO,BI24))</f>
        <v/>
      </c>
      <c r="AO24" s="21" t="str">
        <f>IF(BI24=0,"",INDEX(nTP_Display,BI24))</f>
        <v/>
      </c>
      <c r="AP24" s="21" t="str">
        <f>IF(BA24=0,"",INDEX(nLNK_Exposure_Episode_ID,BA24)&amp;"")</f>
        <v/>
      </c>
      <c r="AQ24" s="21" t="str">
        <f>IF(BA24=0,"",INDEX(nLNK_Event_Episode_ID,BA24)&amp;"")</f>
        <v/>
      </c>
      <c r="AR24" s="21" t="str">
        <f t="shared" si="16"/>
        <v/>
      </c>
      <c r="AS24" s="21" t="str">
        <f>IF(EI24=0,"",MID(IF(DT24=1," | Recovery interval (C7) computed with "&amp;DS24&amp;".","")&amp;IF(BG24=1," | Anchor selected under C5 (CALC-SPEC 1.1): latest administration with an exact date or time at or before "&amp;IF(BH24=1,"onset","the end point")&amp;" ("&amp;AJ24&amp;"), ordered in UTC when offsets are known; later administrations are never selected.","")&amp;IF(AND(BG24=1,CE24&gt;0)," | Partial-date administrations wholly before the selected one were not candidates: "&amp;FC24&amp;".","")&amp;IF(BV24&lt;&gt;""," | "&amp;BV24,"")&amp;IF(AND(DS24="C2",EA24=0,DZ24&lt;&gt;"")," | Same calendar date; both times are known, so C1 decides the order ("&amp;AA24&amp;").","")&amp;IF(AND(DS24="C2",DD24*BN24=1,DT24=0)," | Calendar-date difference from the recorded local dates; it is never described as elapsed days.","")&amp;IF(AND(DS24="C4",DT24=0)," | Bounds are treated as independent; no single date is imputed from them.","")&amp;IF(EJ24=1," | Treatment day under the inclusive convention (C3); never written to E2B fields automatically.","")&amp;IF(AND(DS24="C4",DT24=0,EK24=0)," | No constraint applied.","")&amp;IF(AND(DS24="C4",EK24=1)," | Constraint applied to the anchor bounds: "&amp;IF(ISNUMBER(P24),"not before "&amp;DAY(P24)&amp;" "&amp;INDEX(nLIST_Months,MONTH(P24))&amp;" "&amp;YEAR(P24),"")&amp;IF(AND(ISNUMBER(P24),ISNUMBER(Q24)),", ","")&amp;IF(ISNUMBER(Q24),"not after "&amp;DAY(Q24)&amp;" "&amp;INDEX(nLIST_Months,MONTH(Q24))&amp;" "&amp;YEAR(Q24),"")&amp;". Source: "&amp;IF(R24="","not recorded",R24)&amp;IF(EN24="",". Constrained result shown beside the unconstrained one.",". Constrained result blocked ("&amp;EN24&amp;")."),"")&amp;IF(DT24=1,IF(EO24&gt;0," | Intervention recorded between cessation and recovery (ends included): "&amp;EZ24&amp;"."," | No intervention is recorded between cessation and recovery; absence of a record is not evidence that none was given."),"")&amp;IF(AND(DT24=1,DV24&gt;0)," | Intervention recorded without a date, so whether it came before recovery is unknown: "&amp;INDEX(nMS_Milestone_ID,MATCH(1,INDEX((nMS_CaseKey=AX24)*(nMS_Type="INTERVENTION")*nMS_Undated,0),0))&amp;IF(DV24&gt;1," and "&amp;(DV24-1)&amp;" more","")&amp;".","")&amp;IF(AND(DT24=1,EP24&gt;0)," | Not counted as interventions, because they are recorded as exposures rather than as intervention milestones (nothing is inferred): "&amp;FB24&amp;". If treatment was given, record it as an intervention milestone.",""),4,9999))</f>
        <v/>
      </c>
      <c r="AT24" s="21" t="str">
        <f t="shared" si="17"/>
        <v/>
      </c>
      <c r="AU24" s="21" t="str">
        <f t="shared" si="18"/>
        <v/>
      </c>
      <c r="AV24" s="21" t="str">
        <f t="shared" si="19"/>
        <v/>
      </c>
      <c r="AW24" s="22">
        <f t="shared" si="20"/>
        <v>1</v>
      </c>
      <c r="AX24" s="21" t="str">
        <f t="shared" si="21"/>
        <v>|</v>
      </c>
      <c r="AY24" s="21" t="str">
        <f t="shared" si="22"/>
        <v/>
      </c>
      <c r="AZ24" s="22">
        <f>IF(AY24="",0,COUNTIF(nINT_Key,AY24))</f>
        <v>0</v>
      </c>
      <c r="BA24" s="22">
        <f>IF(D24="",0,IFERROR(MATCH(AX24&amp;"|"&amp;D24,nLNK_Key,0),0))</f>
        <v>0</v>
      </c>
      <c r="BB24" s="22">
        <f>IF(BA24=0,1,INDEX(nLNK_Exp_Found,BA24))</f>
        <v>1</v>
      </c>
      <c r="BC24" s="22">
        <f>IF(BA24=0,1,INDEX(nLNK_Evt_Found,BA24))</f>
        <v>1</v>
      </c>
      <c r="BD24" s="22">
        <f>IF(AP24="",0,COUNTIF(nEXP_Key,AX24&amp;"|"&amp;AP24))</f>
        <v>0</v>
      </c>
      <c r="BE24" s="22">
        <f>IF(AQ24="",0,COUNTIF(nEVT_Key,AX24&amp;"|"&amp;AQ24))</f>
        <v>0</v>
      </c>
      <c r="BF24" s="22">
        <f>IF(ISNA(MATCH(E24,nLIST_AnchorType,0)),0,1)</f>
        <v>0</v>
      </c>
      <c r="BG24" s="22">
        <f t="shared" si="23"/>
        <v>0</v>
      </c>
      <c r="BH24" s="22">
        <f t="shared" si="24"/>
        <v>0</v>
      </c>
      <c r="BI24" s="22">
        <f>IF(OR(AW24=1,AK24=""),0,IFERROR(MATCH(AX24&amp;"|"&amp;AK24,nTP_Key,0),0))</f>
        <v>0</v>
      </c>
      <c r="BJ24" s="21">
        <f>IF(BI24=0,0,INDEX(nTP_Dup,BI24))</f>
        <v>0</v>
      </c>
      <c r="BK24" s="21" t="str">
        <f>IF(BI24=0,"",INDEX(nTP_Record_Type,BI24))</f>
        <v/>
      </c>
      <c r="BL24" s="21" t="str">
        <f>IF(BI24=0,"",INDEX(nTP_Precision,BI24))</f>
        <v/>
      </c>
      <c r="BM24" s="21" t="str">
        <f>IF(BI24=0,"",INDEX(nTP_Err,BI24))</f>
        <v/>
      </c>
      <c r="BN24" s="21">
        <f>IF(BI24=0,0,INDEX(nTP_HT,BI24))</f>
        <v>0</v>
      </c>
      <c r="BO24" s="21">
        <f>IF(BI24=0,0,INDEX(nTP_OK,BI24))</f>
        <v>0</v>
      </c>
      <c r="BP24" s="21" t="str">
        <f>IF(BI24=0,"",INDEX(nTP_Loc,BI24))</f>
        <v/>
      </c>
      <c r="BQ24" s="21" t="str">
        <f>IF(BI24=0,"",INDEX(nTP_UTC,BI24))</f>
        <v/>
      </c>
      <c r="BR24" s="21" t="str">
        <f>IF(BI24=0,"",INDEX(nTP_Lo,BI24))</f>
        <v/>
      </c>
      <c r="BS24" s="21" t="str">
        <f>IF(BI24=0,"",INDEX(nTP_Hi,BI24))</f>
        <v/>
      </c>
      <c r="BT24" s="21" t="str">
        <f>IF(BI24=0,"",INDEX(nTP_Original_Text,BI24))</f>
        <v/>
      </c>
      <c r="BU24" s="21" t="str">
        <f>IF(BI24=0,"",INDEX(nTP_Source,BI24))</f>
        <v/>
      </c>
      <c r="BV24" s="21" t="str">
        <f>IF(BI24=0,"",INDEX(nTP_Lab_Note,BI24))</f>
        <v/>
      </c>
      <c r="BW24" s="22">
        <f t="shared" si="25"/>
        <v>0</v>
      </c>
      <c r="BX24" s="21" t="str">
        <f t="shared" si="26"/>
        <v>||</v>
      </c>
      <c r="BY24" s="22">
        <f>IF(BG24=0,0,COUNTIF(nTP_CandKey,BX24))</f>
        <v>0</v>
      </c>
      <c r="BZ24" s="22">
        <f>IF(BG24=0,0,COUNTIFS(nTP_CandKey,BX24,nTP_Err,""))</f>
        <v>0</v>
      </c>
      <c r="CA24" s="21" t="str">
        <f>IF(BY24=BZ24,"",IF(COUNTIFS(nTP_CandKey,BX24,nTP_Err,"E_INVALID_DATE")&gt;0,"; E_INVALID_DATE","")&amp;IF(COUNTIFS(nTP_CandKey,BX24,nTP_Err,"E_REVERSED_BOUNDS")&gt;0,"; E_REVERSED_BOUNDS","")&amp;IF(COUNTIFS(nTP_CandKey,BX24,nTP_Err,"E_MISSING_INPUT")&gt;0,"; E_MISSING_INPUT","")&amp;IF(COUNTIFS(nTP_CandKey,BX24,nTP_Err,"E_INVALID_UNIT")&gt;0,"; E_INVALID_UNIT",""))</f>
        <v/>
      </c>
      <c r="CB24" s="22">
        <f t="shared" si="27"/>
        <v>0</v>
      </c>
      <c r="CC24" s="22">
        <f>IF(CB24=0,0,SUMPRODUCT((nTP_CandKey=BX24)*(nTP_Err="")*(1-(nTP_HT*BN24*((nTP_OK*BO24*(nTP_UTC_n-N(BQ24))+(1-nTP_OK*BO24)*(nTP_Loc_n-N(BP24)))&lt;=0)+(1-nTP_HT*BN24)*(nTP_Hi_n&lt;N(BR24)))-(nTP_HT*BN24*((nTP_OK*BO24*(nTP_UTC_n-N(BQ24))+(1-nTP_OK*BO24)*(nTP_Loc_n-N(BP24)))&gt;0)+(1-nTP_HT*BN24)*(nTP_Lo_n&gt;N(BS24)))-((1-nTP_HT*BN24)*(nTP_Lo_n=nTP_Hi_n)*(nTP_Lo_n=N(BR24))*(N(BR24)=N(BS24))))))</f>
        <v>0</v>
      </c>
      <c r="CD24" s="22">
        <f>IF(CB24=0,0,SUMPRODUCT((nTP_CandKey=BX24)*nTP_Exact*((nTP_HT*BN24*((nTP_OK*BO24*(nTP_UTC_n-N(BQ24))+(1-nTP_OK*BO24)*(nTP_Loc_n-N(BP24)))&lt;=0)+(1-nTP_HT*BN24)*(nTP_Hi_n&lt;N(BR24)))+((1-nTP_HT*BN24)*(nTP_Lo_n=nTP_Hi_n)*(nTP_Lo_n=N(BR24))*(N(BR24)=N(BS24))))))</f>
        <v>0</v>
      </c>
      <c r="CE24" s="22">
        <f>IF(CB24=0,0,SUMPRODUCT((nTP_CandKey=BX24)*(nTP_Err="")*(1-nTP_Exact)*((nTP_HT*BN24*((nTP_OK*BO24*(nTP_UTC_n-N(BQ24))+(1-nTP_OK*BO24)*(nTP_Loc_n-N(BP24)))&lt;=0)+(1-nTP_HT*BN24)*(nTP_Hi_n&lt;N(BR24)))+((1-nTP_HT*BN24)*(nTP_Lo_n=nTP_Hi_n)*(nTP_Lo_n=N(BR24))*(N(BR24)=N(BS24))))))</f>
        <v>0</v>
      </c>
      <c r="CF24" s="22">
        <f>IF(CD24=0,0,SUMPRODUCT(MAX((nTP_CandKey=BX24)*nTP_Exact*((nTP_HT*BN24*((nTP_OK*BO24*(nTP_UTC_n-N(BQ24))+(1-nTP_OK*BO24)*(nTP_Loc_n-N(BP24)))&lt;=0)+(1-nTP_HT*BN24)*(nTP_Hi_n&lt;N(BR24)))+((1-nTP_HT*BN24)*(nTP_Lo_n=nTP_Hi_n)*(nTP_Lo_n=N(BR24))*(N(BR24)=N(BS24))))*nTP_Lo_n)))</f>
        <v>0</v>
      </c>
      <c r="CG24" s="22">
        <f>IF(CD24=0,0,SUMPRODUCT((nTP_CandKey=BX24)*nTP_Exact*((nTP_HT*BN24*((nTP_OK*BO24*(nTP_UTC_n-N(BQ24))+(1-nTP_OK*BO24)*(nTP_Loc_n-N(BP24)))&lt;=0)+(1-nTP_HT*BN24)*(nTP_Hi_n&lt;N(BR24)))+((1-nTP_HT*BN24)*(nTP_Lo_n=nTP_Hi_n)*(nTP_Lo_n=N(BR24))*(N(BR24)=N(BS24))))*(nTP_Lo_n=CF24)))</f>
        <v>0</v>
      </c>
      <c r="CH24" s="22">
        <f>IF(CD24=0,0,SUMPRODUCT((nTP_CandKey=BX24)*nTP_Exact*((nTP_HT*BN24*((nTP_OK*BO24*(nTP_UTC_n-N(BQ24))+(1-nTP_OK*BO24)*(nTP_Loc_n-N(BP24)))&lt;=0)+(1-nTP_HT*BN24)*(nTP_Hi_n&lt;N(BR24)))+((1-nTP_HT*BN24)*(nTP_Lo_n=nTP_Hi_n)*(nTP_Lo_n=N(BR24))*(N(BR24)=N(BS24))))*(1-nTP_HT)*(nTP_Lo_n=CF24)))</f>
        <v>0</v>
      </c>
      <c r="CI24" s="22">
        <f>IF(CD24=0,0,SUMPRODUCT(MAX((nTP_CandKey=BX24)*nTP_Exact*((nTP_HT*BN24*((nTP_OK*BO24*(nTP_UTC_n-N(BQ24))+(1-nTP_OK*BO24)*(nTP_Loc_n-N(BP24)))&lt;=0)+(1-nTP_HT*BN24)*(nTP_Hi_n&lt;N(BR24)))+((1-nTP_HT*BN24)*(nTP_Lo_n=nTP_Hi_n)*(nTP_Lo_n=N(BR24))*(N(BR24)=N(BS24))))*(1-nTP_HT)*nTP_Lo_n)))</f>
        <v>0</v>
      </c>
      <c r="CJ24" s="22">
        <f>IF(CD24=0,0,SUMPRODUCT(MAX((nTP_CandKey=BX24)*nTP_Exact*((nTP_HT*BN24*((nTP_OK*BO24*(nTP_UTC_n-N(BQ24))+(1-nTP_OK*BO24)*(nTP_Loc_n-N(BP24)))&lt;=0)+(1-nTP_HT*BN24)*(nTP_Hi_n&lt;N(BR24)))+((1-nTP_HT*BN24)*(nTP_Lo_n=nTP_Hi_n)*(nTP_Lo_n=N(BR24))*(N(BR24)=N(BS24))))*nTP_HT*nTP_OK*nTP_UTC_n)))</f>
        <v>0</v>
      </c>
      <c r="CK24" s="22">
        <f>IF(CJ24=0,0,SUMPRODUCT((nTP_CandKey=BX24)*nTP_Exact*((nTP_HT*BN24*((nTP_OK*BO24*(nTP_UTC_n-N(BQ24))+(1-nTP_OK*BO24)*(nTP_Loc_n-N(BP24)))&lt;=0)+(1-nTP_HT*BN24)*(nTP_Hi_n&lt;N(BR24)))+((1-nTP_HT*BN24)*(nTP_Lo_n=nTP_Hi_n)*(nTP_Lo_n=N(BR24))*(N(BR24)=N(BS24))))*nTP_HT*nTP_OK*(nTP_UTC_n=CJ24)))</f>
        <v>0</v>
      </c>
      <c r="CL24" s="22">
        <f>IF(CK24&lt;&gt;1,0,SUMPRODUCT((nTP_CandKey=BX24)*nTP_Exact*((nTP_HT*BN24*((nTP_OK*BO24*(nTP_UTC_n-N(BQ24))+(1-nTP_OK*BO24)*(nTP_Loc_n-N(BP24)))&lt;=0)+(1-nTP_HT*BN24)*(nTP_Hi_n&lt;N(BR24)))+((1-nTP_HT*BN24)*(nTP_Lo_n=nTP_Hi_n)*(nTP_Lo_n=N(BR24))*(N(BR24)=N(BS24))))*nTP_HT*nTP_OK*(nTP_UTC_n=CJ24)*nTP_Loc_n))</f>
        <v>0</v>
      </c>
      <c r="CM24" s="22">
        <f>IF(CK24&lt;&gt;1,0,SUMPRODUCT((nTP_CandKey=BX24)*nTP_Exact*((nTP_HT*BN24*((nTP_OK*BO24*(nTP_UTC_n-N(BQ24))+(1-nTP_OK*BO24)*(nTP_Loc_n-N(BP24)))&lt;=0)+(1-nTP_HT*BN24)*(nTP_Hi_n&lt;N(BR24)))+((1-nTP_HT*BN24)*(nTP_Lo_n=nTP_Hi_n)*(nTP_Lo_n=N(BR24))*(N(BR24)=N(BS24))))*nTP_HT*nTP_OK*(nTP_UTC_n=CJ24)*nTP_Lo_n))</f>
        <v>0</v>
      </c>
      <c r="CN24" s="22">
        <f>IF(CD24=0,0,SUMPRODUCT(MAX((nTP_CandKey=BX24)*nTP_Exact*((nTP_HT*BN24*((nTP_OK*BO24*(nTP_UTC_n-N(BQ24))+(1-nTP_OK*BO24)*(nTP_Loc_n-N(BP24)))&lt;=0)+(1-nTP_HT*BN24)*(nTP_Hi_n&lt;N(BR24)))+((1-nTP_HT*BN24)*(nTP_Lo_n=nTP_Hi_n)*(nTP_Lo_n=N(BR24))*(N(BR24)=N(BS24))))*nTP_HT*(1-nTP_OK)*nTP_Loc_n)))</f>
        <v>0</v>
      </c>
      <c r="CO24" s="22">
        <f>IF(CN24=0,0,SUMPRODUCT((nTP_CandKey=BX24)*nTP_Exact*((nTP_HT*BN24*((nTP_OK*BO24*(nTP_UTC_n-N(BQ24))+(1-nTP_OK*BO24)*(nTP_Loc_n-N(BP24)))&lt;=0)+(1-nTP_HT*BN24)*(nTP_Hi_n&lt;N(BR24)))+((1-nTP_HT*BN24)*(nTP_Lo_n=nTP_Hi_n)*(nTP_Lo_n=N(BR24))*(N(BR24)=N(BS24))))*nTP_HT*(1-nTP_OK)*(nTP_Loc_n=CN24)))</f>
        <v>0</v>
      </c>
      <c r="CP24" s="22">
        <f>IF(CO24&lt;&gt;1,0,SUMPRODUCT((nTP_CandKey=BX24)*nTP_Exact*((nTP_HT*BN24*((nTP_OK*BO24*(nTP_UTC_n-N(BQ24))+(1-nTP_OK*BO24)*(nTP_Loc_n-N(BP24)))&lt;=0)+(1-nTP_HT*BN24)*(nTP_Hi_n&lt;N(BR24)))+((1-nTP_HT*BN24)*(nTP_Lo_n=nTP_Hi_n)*(nTP_Lo_n=N(BR24))*(N(BR24)=N(BS24))))*nTP_HT*(1-nTP_OK)*(nTP_Loc_n=CN24)*nTP_Lo_n))</f>
        <v>0</v>
      </c>
      <c r="CQ24" s="22">
        <f>IF(CD24=0,0,SUMPRODUCT(MAX((nTP_CandKey=BX24)*nTP_Exact*((nTP_HT*BN24*((nTP_OK*BO24*(nTP_UTC_n-N(BQ24))+(1-nTP_OK*BO24)*(nTP_Loc_n-N(BP24)))&lt;=0)+(1-nTP_HT*BN24)*(nTP_Hi_n&lt;N(BR24)))+((1-nTP_HT*BN24)*(nTP_Lo_n=nTP_Hi_n)*(nTP_Lo_n=N(BR24))*(N(BR24)=N(BS24))))*nTP_HT*nTP_OK*nTP_Loc_n)))</f>
        <v>0</v>
      </c>
      <c r="CR24" s="22">
        <f t="shared" si="28"/>
        <v>0</v>
      </c>
      <c r="CS24" s="22">
        <f>IF(CR24=0,0,IF(CR24=1,MATCH(1,INDEX((nTP_CandKey=BX24)*nTP_Exact*((nTP_HT*BN24*((nTP_OK*BO24*(nTP_UTC_n-N(BQ24))+(1-nTP_OK*BO24)*(nTP_Loc_n-N(BP24)))&lt;=0)+(1-nTP_HT*BN24)*(nTP_Hi_n&lt;N(BR24)))+((1-nTP_HT*BN24)*(nTP_Lo_n=nTP_Hi_n)*(nTP_Lo_n=N(BR24))*(N(BR24)=N(BS24))))*(1-nTP_HT)*(nTP_Lo_n=CF24),0),0),IF(CR24=2,MATCH(1,INDEX((nTP_CandKey=BX24)*nTP_Exact*((nTP_HT*BN24*((nTP_OK*BO24*(nTP_UTC_n-N(BQ24))+(1-nTP_OK*BO24)*(nTP_Loc_n-N(BP24)))&lt;=0)+(1-nTP_HT*BN24)*(nTP_Hi_n&lt;N(BR24)))+((1-nTP_HT*BN24)*(nTP_Lo_n=nTP_Hi_n)*(nTP_Lo_n=N(BR24))*(N(BR24)=N(BS24))))*nTP_HT*nTP_OK*(nTP_UTC_n=CJ24),0),0),MATCH(1,INDEX((nTP_CandKey=BX24)*nTP_Exact*((nTP_HT*BN24*((nTP_OK*BO24*(nTP_UTC_n-N(BQ24))+(1-nTP_OK*BO24)*(nTP_Loc_n-N(BP24)))&lt;=0)+(1-nTP_HT*BN24)*(nTP_Hi_n&lt;N(BR24)))+((1-nTP_HT*BN24)*(nTP_Lo_n=nTP_Hi_n)*(nTP_Lo_n=N(BR24))*(N(BR24)=N(BS24))))*nTP_HT*(1-nTP_OK)*(nTP_Loc_n=CN24),0),0))))</f>
        <v>0</v>
      </c>
      <c r="CT24" s="22">
        <f>IF(CS24=0,0,INDEX(nTP_Lo_n,CS24))</f>
        <v>0</v>
      </c>
      <c r="CU24" s="22">
        <f>IF(CS24=0,0,SUMPRODUCT((nTP_CandKey=BX24)*(nTP_Err="")*(1-nTP_Exact)*((nTP_HT*BN24*((nTP_OK*BO24*(nTP_UTC_n-N(BQ24))+(1-nTP_OK*BO24)*(nTP_Loc_n-N(BP24)))&lt;=0)+(1-nTP_HT*BN24)*(nTP_Hi_n&lt;N(BR24)))+((1-nTP_HT*BN24)*(nTP_Lo_n=nTP_Hi_n)*(nTP_Lo_n=N(BR24))*(N(BR24)=N(BS24))))*(nTP_Hi_n&gt;=CT24)))</f>
        <v>0</v>
      </c>
      <c r="CV24" s="21" t="str">
        <f t="shared" si="29"/>
        <v/>
      </c>
      <c r="CW24" s="21" t="str">
        <f>IF(AND(BG24=1,CB24=1,CV24="",CS24&gt;0),INDEX(nTP_Record_ID,CS24)&amp;"","")</f>
        <v/>
      </c>
      <c r="CX24" s="21" t="str">
        <f>IF(OR(CV24="",BG24=0),"",IF(CV24="none","an administration record (last dose before onset)",IF(CV24="uncertain","the anchor record: "&amp;INDEX(nTP_Record_ID,MATCH(1,INDEX((nTP_CandKey=BX24)*(nTP_Err="")*(1-(nTP_HT*BN24*((nTP_OK*BO24*(nTP_UTC_n-N(BQ24))+(1-nTP_OK*BO24)*(nTP_Loc_n-N(BP24)))&lt;=0)+(1-nTP_HT*BN24)*(nTP_Hi_n&lt;N(BR24)))-(nTP_HT*BN24*((nTP_OK*BO24*(nTP_UTC_n-N(BQ24))+(1-nTP_OK*BO24)*(nTP_Loc_n-N(BP24)))&gt;0)+(1-nTP_HT*BN24)*(nTP_Lo_n&gt;N(BS24)))-((1-nTP_HT*BN24)*(nTP_Lo_n=nTP_Hi_n)*(nTP_Lo_n=N(BR24))*(N(BR24)=N(BS24)))),0),0))&amp;IF(CC24&gt;1," and "&amp;(CC24-1)&amp;" more","")&amp;" may fall before or after the end point, so the last dose cannot be identified from the recorded dates",IF(CV24="noneligible","the anchor record: no administration with an exact date is recorded at or before the end point",IF(CV24="tie","the anchor record: the order of the latest administrations cannot be told from the recorded dates and times","the anchor record: partial-date administration "&amp;INDEX(nTP_Record_ID,MATCH(1,INDEX((nTP_CandKey=BX24)*(nTP_Err="")*(1-nTP_Exact)*((nTP_HT*BN24*((nTP_OK*BO24*(nTP_UTC_n-N(BQ24))+(1-nTP_OK*BO24)*(nTP_Loc_n-N(BP24)))&lt;=0)+(1-nTP_HT*BN24)*(nTP_Hi_n&lt;N(BR24)))+((1-nTP_HT*BN24)*(nTP_Lo_n=nTP_Hi_n)*(nTP_Lo_n=N(BR24))*(N(BR24)=N(BS24))))*(nTP_Hi_n&gt;=CT24),0),0))&amp;" could be the last dose before the end point")))))</f>
        <v/>
      </c>
      <c r="CY24" s="22">
        <f>IF(OR(AW24=1,AJ24=""),0,IFERROR(MATCH(AX24&amp;"|"&amp;AJ24,nTP_Key,0),0))</f>
        <v>0</v>
      </c>
      <c r="CZ24" s="21">
        <f>IF(CY24=0,0,INDEX(nTP_Dup,CY24))</f>
        <v>0</v>
      </c>
      <c r="DA24" s="21" t="str">
        <f>IF(CY24=0,"",INDEX(nTP_Record_Type,CY24))</f>
        <v/>
      </c>
      <c r="DB24" s="21" t="str">
        <f>IF(CY24=0,"",INDEX(nTP_Precision,CY24))</f>
        <v/>
      </c>
      <c r="DC24" s="21" t="str">
        <f>IF(CY24=0,"",INDEX(nTP_Err,CY24))</f>
        <v/>
      </c>
      <c r="DD24" s="21">
        <f>IF(CY24=0,0,INDEX(nTP_HT,CY24))</f>
        <v>0</v>
      </c>
      <c r="DE24" s="21">
        <f>IF(CY24=0,0,INDEX(nTP_OK,CY24))</f>
        <v>0</v>
      </c>
      <c r="DF24" s="21" t="str">
        <f>IF(CY24=0,"",INDEX(nTP_Loc,CY24))</f>
        <v/>
      </c>
      <c r="DG24" s="21" t="str">
        <f>IF(CY24=0,"",INDEX(nTP_UTC,CY24))</f>
        <v/>
      </c>
      <c r="DH24" s="21" t="str">
        <f>IF(CY24=0,"",INDEX(nTP_Lo,CY24))</f>
        <v/>
      </c>
      <c r="DI24" s="21" t="str">
        <f>IF(CY24=0,"",INDEX(nTP_Hi,CY24))</f>
        <v/>
      </c>
      <c r="DJ24" s="21" t="str">
        <f>IF(CY24=0,"",INDEX(nTP_Original_Text,CY24))</f>
        <v/>
      </c>
      <c r="DK24" s="21" t="str">
        <f>IF(CY24=0,"",INDEX(nTP_Source,CY24))</f>
        <v/>
      </c>
      <c r="DL24" s="22">
        <f t="shared" si="30"/>
        <v>0</v>
      </c>
      <c r="DM24" s="21" t="str">
        <f t="shared" si="31"/>
        <v/>
      </c>
      <c r="DN24" s="21" t="str">
        <f t="shared" si="32"/>
        <v/>
      </c>
      <c r="DO24" s="21" t="str">
        <f t="shared" si="33"/>
        <v/>
      </c>
      <c r="DP24" s="21" t="str">
        <f t="shared" si="34"/>
        <v/>
      </c>
      <c r="DQ24" s="21" t="str">
        <f t="shared" si="35"/>
        <v/>
      </c>
      <c r="DR24" s="22">
        <f>IF(OR(DQ24="",I24=""),0,IF(ISNA(MATCH(I24,nLIST_Mode,0)),1,IF(AND(I24="C1",DQ24&lt;&gt;"C1"),1,IF(AND(I24="C2",DQ24="C4"),1,0))))</f>
        <v>0</v>
      </c>
      <c r="DS24" s="21" t="str">
        <f t="shared" si="36"/>
        <v/>
      </c>
      <c r="DT24" s="22">
        <f t="shared" si="37"/>
        <v>0</v>
      </c>
      <c r="DU24" s="21" t="str">
        <f>IF(DT24=0,"",IF(COUNTIFS(nTP_Case_Key,AX24,nTP_Record_Type,"MILESTONE:INTERVENTION",nTP_Err,"E_INVALID_DATE")&gt;0,"; E_INVALID_DATE","")&amp;IF(COUNTIFS(nTP_Case_Key,AX24,nTP_Record_Type,"MILESTONE:INTERVENTION",nTP_Err,"E_REVERSED_BOUNDS")&gt;0,"; E_REVERSED_BOUNDS","")&amp;IF(COUNTIFS(nTP_Case_Key,AX24,nTP_Record_Type,"MILESTONE:INTERVENTION",nTP_Err,"E_MISSING_INPUT")&gt;0,"; E_MISSING_INPUT","")&amp;IF(COUNTIFS(nTP_Case_Key,AX24,nTP_Record_Type,"MILESTONE:INTERVENTION",nTP_Err,"E_INVALID_UNIT")&gt;0,"; E_INVALID_UNIT",""))</f>
        <v/>
      </c>
      <c r="DV24" s="22">
        <f>IF(DT24=0,0,SUMPRODUCT((nMS_CaseKey=AX24)*(nMS_Type="INTERVENTION")*nMS_Undated))</f>
        <v>0</v>
      </c>
      <c r="DW24" s="21" t="str">
        <f t="shared" si="38"/>
        <v/>
      </c>
      <c r="DX24" s="21" t="str">
        <f t="shared" si="39"/>
        <v/>
      </c>
      <c r="DY24" s="22">
        <f t="shared" si="40"/>
        <v>1</v>
      </c>
      <c r="DZ24" s="21" t="str">
        <f t="shared" si="41"/>
        <v/>
      </c>
      <c r="EA24" s="21" t="str">
        <f t="shared" si="42"/>
        <v/>
      </c>
      <c r="EB24" s="21" t="str">
        <f t="shared" si="43"/>
        <v/>
      </c>
      <c r="EC24" s="21" t="str">
        <f t="shared" si="44"/>
        <v/>
      </c>
      <c r="ED24" s="22">
        <f t="shared" si="45"/>
        <v>0</v>
      </c>
      <c r="EE24" s="22">
        <f t="shared" si="46"/>
        <v>0</v>
      </c>
      <c r="EF24" s="21" t="str">
        <f>IF(ED24=0,"",IF(OR(NOT(ISNUMBER(L24)),NOT(ISNUMBER(M24))),"I_APPROXIMATE_NOT_COMPARED",IF(AND(N24&lt;&gt;"",ISNA(MATCH(N24,nLIST_ReportedUnit,0))),"E_INVALID_UNIT",IF(N24="","E_MISSING_INPUT",IF(L24&gt;M24,"E_REVERSED_BOUNDS",IF(OR(N24="weeks",N24="months",N24="years"),"I_APPROXIMATE_NOT_COMPARED",IF(DX24&lt;&gt;"","",IF(EE24=0,"I_APPROXIMATE_NOT_COMPARED",IF(AND(L24*EE24&lt;=IF(DS24="C4",EC24,IF(DS24="C1",DZ24,EA24)),M24*EE24&gt;=IF(DS24="C4",EB24,IF(DS24="C1",DZ24,EA24))),"OVERLAP","W_REPORTED_TIMING_CONFLICT")))))))))</f>
        <v/>
      </c>
      <c r="EG24" s="21" t="str">
        <f t="shared" si="47"/>
        <v/>
      </c>
      <c r="EH24" s="21" t="str">
        <f t="shared" si="48"/>
        <v/>
      </c>
      <c r="EI24" s="22">
        <f t="shared" si="49"/>
        <v>0</v>
      </c>
      <c r="EJ24" s="22">
        <f t="shared" si="50"/>
        <v>0</v>
      </c>
      <c r="EK24" s="22">
        <f t="shared" si="51"/>
        <v>0</v>
      </c>
      <c r="EL24" s="28" t="str">
        <f t="shared" si="52"/>
        <v/>
      </c>
      <c r="EM24" s="28" t="str">
        <f t="shared" si="53"/>
        <v/>
      </c>
      <c r="EN24" s="21" t="str">
        <f t="shared" si="54"/>
        <v/>
      </c>
      <c r="EO24" s="22">
        <f>IF(OR(DT24=0,DX24&lt;&gt;""),0,SUMPRODUCT((nTP_Case_Key=AX24)*(nTP_Record_Type="MILESTONE:INTERVENTION")*(nTP_Err="")*(nTP_HT*DD24*BN24*(nTP_OK*DE24*(nTP_UTC_n&gt;=N(DG24))+(1-nTP_OK*DE24)*(nTP_Loc_n&gt;=N(DF24)))*(nTP_OK*BO24*(nTP_UTC_n&lt;=N(BQ24))+(1-nTP_OK*BO24)*(nTP_Loc_n&lt;=N(BP24)))+(1-nTP_HT*DD24*BN24)*(nTP_Hi_n&gt;=N(DH24))*(nTP_Lo_n&lt;=N(BS24)))))</f>
        <v>0</v>
      </c>
      <c r="EP24" s="22">
        <f>IF(OR(DT24=0,DX24&lt;&gt;""),0,SUMPRODUCT((nTP_Case_Key=AX24)*(nTP_Role="treatment of the event")*((nTP_Record_Type="EXPOSURE_START")+(nTP_Record_Type="ADMINISTRATION"))*(nTP_Err="")*(nTP_HT*DD24*BN24*(nTP_OK*DE24*(nTP_UTC_n&gt;=N(DG24))+(1-nTP_OK*DE24)*(nTP_Loc_n&gt;=N(DF24)))*(nTP_OK*BO24*(nTP_UTC_n&lt;=N(BQ24))+(1-nTP_OK*BO24)*(nTP_Loc_n&lt;=N(BP24)))+(1-nTP_HT*DD24*BN24)*(nTP_Hi_n&gt;=N(DH24))*(nTP_Lo_n&lt;=N(BS24)))))</f>
        <v>0</v>
      </c>
      <c r="EQ24" s="22">
        <f>IF(EO24&lt;1,0,IFERROR(_xlfn.AGGREGATE(15,6,nTP_RowN/((nTP_Case_Key=AX24)*(nTP_Record_Type="MILESTONE:INTERVENTION")*(nTP_Err="")*(nTP_HT*DD24*BN24*(nTP_OK*DE24*(nTP_UTC_n&gt;=N(DG24))+(1-nTP_OK*DE24)*(nTP_Loc_n&gt;=N(DF24)))*(nTP_OK*BO24*(nTP_UTC_n&lt;=N(BQ24))+(1-nTP_OK*BO24)*(nTP_Loc_n&lt;=N(BP24)))+(1-nTP_HT*DD24*BN24)*(nTP_Hi_n&gt;=N(DH24))*(nTP_Lo_n&lt;=N(BS24)))),1),0))</f>
        <v>0</v>
      </c>
      <c r="ER24" s="22">
        <f>IF(EO24&lt;2,0,IFERROR(_xlfn.AGGREGATE(15,6,nTP_RowN/((nTP_Case_Key=AX24)*(nTP_Record_Type="MILESTONE:INTERVENTION")*(nTP_Err="")*(nTP_HT*DD24*BN24*(nTP_OK*DE24*(nTP_UTC_n&gt;=N(DG24))+(1-nTP_OK*DE24)*(nTP_Loc_n&gt;=N(DF24)))*(nTP_OK*BO24*(nTP_UTC_n&lt;=N(BQ24))+(1-nTP_OK*BO24)*(nTP_Loc_n&lt;=N(BP24)))+(1-nTP_HT*DD24*BN24)*(nTP_Hi_n&gt;=N(DH24))*(nTP_Lo_n&lt;=N(BS24)))),2),0))</f>
        <v>0</v>
      </c>
      <c r="ES24" s="22">
        <f>IF(EO24&lt;3,0,IFERROR(_xlfn.AGGREGATE(15,6,nTP_RowN/((nTP_Case_Key=AX24)*(nTP_Record_Type="MILESTONE:INTERVENTION")*(nTP_Err="")*(nTP_HT*DD24*BN24*(nTP_OK*DE24*(nTP_UTC_n&gt;=N(DG24))+(1-nTP_OK*DE24)*(nTP_Loc_n&gt;=N(DF24)))*(nTP_OK*BO24*(nTP_UTC_n&lt;=N(BQ24))+(1-nTP_OK*BO24)*(nTP_Loc_n&lt;=N(BP24)))+(1-nTP_HT*DD24*BN24)*(nTP_Hi_n&gt;=N(DH24))*(nTP_Lo_n&lt;=N(BS24)))),3),0))</f>
        <v>0</v>
      </c>
      <c r="ET24" s="22">
        <f>IF(EP24&lt;1,0,IFERROR(_xlfn.AGGREGATE(15,6,nTP_RowN/((nTP_Case_Key=AX24)*(nTP_Role="treatment of the event")*((nTP_Record_Type="EXPOSURE_START")+(nTP_Record_Type="ADMINISTRATION"))*(nTP_Err="")*(nTP_HT*DD24*BN24*(nTP_OK*DE24*(nTP_UTC_n&gt;=N(DG24))+(1-nTP_OK*DE24)*(nTP_Loc_n&gt;=N(DF24)))*(nTP_OK*BO24*(nTP_UTC_n&lt;=N(BQ24))+(1-nTP_OK*BO24)*(nTP_Loc_n&lt;=N(BP24)))+(1-nTP_HT*DD24*BN24)*(nTP_Hi_n&gt;=N(DH24))*(nTP_Lo_n&lt;=N(BS24)))),1),0))</f>
        <v>0</v>
      </c>
      <c r="EU24" s="22">
        <f>IF(EP24&lt;2,0,IFERROR(_xlfn.AGGREGATE(15,6,nTP_RowN/((nTP_Case_Key=AX24)*(nTP_Role="treatment of the event")*((nTP_Record_Type="EXPOSURE_START")+(nTP_Record_Type="ADMINISTRATION"))*(nTP_Err="")*(nTP_HT*DD24*BN24*(nTP_OK*DE24*(nTP_UTC_n&gt;=N(DG24))+(1-nTP_OK*DE24)*(nTP_Loc_n&gt;=N(DF24)))*(nTP_OK*BO24*(nTP_UTC_n&lt;=N(BQ24))+(1-nTP_OK*BO24)*(nTP_Loc_n&lt;=N(BP24)))+(1-nTP_HT*DD24*BN24)*(nTP_Hi_n&gt;=N(DH24))*(nTP_Lo_n&lt;=N(BS24)))),2),0))</f>
        <v>0</v>
      </c>
      <c r="EV24" s="22">
        <f>IF(EP24&lt;3,0,IFERROR(_xlfn.AGGREGATE(15,6,nTP_RowN/((nTP_Case_Key=AX24)*(nTP_Role="treatment of the event")*((nTP_Record_Type="EXPOSURE_START")+(nTP_Record_Type="ADMINISTRATION"))*(nTP_Err="")*(nTP_HT*DD24*BN24*(nTP_OK*DE24*(nTP_UTC_n&gt;=N(DG24))+(1-nTP_OK*DE24)*(nTP_Loc_n&gt;=N(DF24)))*(nTP_OK*BO24*(nTP_UTC_n&lt;=N(BQ24))+(1-nTP_OK*BO24)*(nTP_Loc_n&lt;=N(BP24)))+(1-nTP_HT*DD24*BN24)*(nTP_Hi_n&gt;=N(DH24))*(nTP_Lo_n&lt;=N(BS24)))),3),0))</f>
        <v>0</v>
      </c>
      <c r="EW24" s="22">
        <f>IF(CE24&lt;1,0,IFERROR(_xlfn.AGGREGATE(15,6,nTP_RowN/((nTP_CandKey=BX24)*(nTP_Err="")*(1-nTP_Exact)*((nTP_HT*BN24*((nTP_OK*BO24*(nTP_UTC_n-N(BQ24))+(1-nTP_OK*BO24)*(nTP_Loc_n-N(BP24)))&lt;=0)+(1-nTP_HT*BN24)*(nTP_Hi_n&lt;N(BR24)))+((1-nTP_HT*BN24)*(nTP_Lo_n=nTP_Hi_n)*(nTP_Lo_n=N(BR24))*(N(BR24)=N(BS24))))),1),0))</f>
        <v>0</v>
      </c>
      <c r="EX24" s="22">
        <f>IF(CE24&lt;2,0,IFERROR(_xlfn.AGGREGATE(15,6,nTP_RowN/((nTP_CandKey=BX24)*(nTP_Err="")*(1-nTP_Exact)*((nTP_HT*BN24*((nTP_OK*BO24*(nTP_UTC_n-N(BQ24))+(1-nTP_OK*BO24)*(nTP_Loc_n-N(BP24)))&lt;=0)+(1-nTP_HT*BN24)*(nTP_Hi_n&lt;N(BR24)))+((1-nTP_HT*BN24)*(nTP_Lo_n=nTP_Hi_n)*(nTP_Lo_n=N(BR24))*(N(BR24)=N(BS24))))),2),0))</f>
        <v>0</v>
      </c>
      <c r="EY24" s="22">
        <f>IF(CE24&lt;3,0,IFERROR(_xlfn.AGGREGATE(15,6,nTP_RowN/((nTP_CandKey=BX24)*(nTP_Err="")*(1-nTP_Exact)*((nTP_HT*BN24*((nTP_OK*BO24*(nTP_UTC_n-N(BQ24))+(1-nTP_OK*BO24)*(nTP_Loc_n-N(BP24)))&lt;=0)+(1-nTP_HT*BN24)*(nTP_Hi_n&lt;N(BR24)))+((1-nTP_HT*BN24)*(nTP_Lo_n=nTP_Hi_n)*(nTP_Lo_n=N(BR24))*(N(BR24)=N(BS24))))),3),0))</f>
        <v>0</v>
      </c>
      <c r="EZ24" s="21" t="str">
        <f>IF(EO24=0,"",MID(IF(EQ24&gt;0,"; "&amp;INDEX(nTP_Record_ID,EQ24)&amp;IF(INDEX(nTP_Label,EQ24)="",""," ("&amp;INDEX(nTP_Label,EQ24)&amp;")"),"")&amp;IF(ER24&gt;0,"; "&amp;INDEX(nTP_Record_ID,ER24)&amp;IF(INDEX(nTP_Label,ER24)="",""," ("&amp;INDEX(nTP_Label,ER24)&amp;")"),"")&amp;IF(ES24&gt;0,"; "&amp;INDEX(nTP_Record_ID,ES24)&amp;IF(INDEX(nTP_Label,ES24)="",""," ("&amp;INDEX(nTP_Label,ES24)&amp;")"),"")&amp;IF(EO24&gt;3,"; and "&amp;(EO24-3)&amp;" more",""),3,999))</f>
        <v/>
      </c>
      <c r="FA24" s="21" t="str">
        <f>IF(EO24=0,"",MID(IF(EQ24&gt;0,"; "&amp;INDEX(nTP_Record_ID,EQ24),"")&amp;IF(ER24&gt;0,"; "&amp;INDEX(nTP_Record_ID,ER24),"")&amp;IF(ES24&gt;0,"; "&amp;INDEX(nTP_Record_ID,ES24),"")&amp;IF(EO24&gt;3,"; and "&amp;(EO24-3)&amp;" more",""),3,999))</f>
        <v/>
      </c>
      <c r="FB24" s="21" t="str">
        <f>IF(EP24=0,"",MID(IF(ET24&gt;0,"; "&amp;INDEX(nTP_Record_ID,ET24)&amp;IF(INDEX(nTP_Label,ET24)="",""," ("&amp;INDEX(nTP_Label,ET24)&amp;")"),"")&amp;IF(EU24&gt;0,"; "&amp;INDEX(nTP_Record_ID,EU24)&amp;IF(INDEX(nTP_Label,EU24)="",""," ("&amp;INDEX(nTP_Label,EU24)&amp;")"),"")&amp;IF(EV24&gt;0,"; "&amp;INDEX(nTP_Record_ID,EV24)&amp;IF(INDEX(nTP_Label,EV24)="",""," ("&amp;INDEX(nTP_Label,EV24)&amp;")"),"")&amp;IF(EP24&gt;3,"; and "&amp;(EP24-3)&amp;" more",""),3,999))</f>
        <v/>
      </c>
      <c r="FC24" s="21" t="str">
        <f>IF(CE24=0,"",MID(IF(EW24&gt;0,"; "&amp;INDEX(nTP_Record_ID,EW24),"")&amp;IF(EX24&gt;0,"; "&amp;INDEX(nTP_Record_ID,EX24),"")&amp;IF(EY24&gt;0,"; "&amp;INDEX(nTP_Record_ID,EY24),"")&amp;IF(CE24&gt;3,"; and "&amp;(CE24-3)&amp;" more",""),3,999))</f>
        <v/>
      </c>
      <c r="FD24" s="22">
        <f t="shared" si="55"/>
        <v>0</v>
      </c>
      <c r="FE24" s="22">
        <f t="shared" si="56"/>
        <v>0</v>
      </c>
      <c r="FF24" s="22">
        <f t="shared" si="57"/>
        <v>0</v>
      </c>
      <c r="FG24" s="22">
        <f t="shared" si="58"/>
        <v>0</v>
      </c>
      <c r="FH24" s="22">
        <f t="shared" si="59"/>
        <v>0</v>
      </c>
      <c r="FI24" s="22">
        <f t="shared" si="60"/>
        <v>0</v>
      </c>
      <c r="FJ24" s="22">
        <f t="shared" si="61"/>
        <v>0</v>
      </c>
      <c r="FK24" s="22">
        <f t="shared" si="62"/>
        <v>0</v>
      </c>
    </row>
    <row r="25" spans="1:167" x14ac:dyDescent="0.2">
      <c r="A25" s="10"/>
      <c r="B25" s="10"/>
      <c r="C25" s="12"/>
      <c r="D25" s="10"/>
      <c r="E25" s="17"/>
      <c r="F25" s="10"/>
      <c r="G25" s="10"/>
      <c r="H25" s="10"/>
      <c r="I25" s="17"/>
      <c r="J25" s="17"/>
      <c r="K25" s="10"/>
      <c r="L25" s="17"/>
      <c r="M25" s="17"/>
      <c r="N25" s="17"/>
      <c r="O25" s="10"/>
      <c r="P25" s="15"/>
      <c r="Q25" s="15"/>
      <c r="R25" s="10"/>
      <c r="S25" s="10"/>
      <c r="T25" s="21" t="str">
        <f t="shared" si="0"/>
        <v/>
      </c>
      <c r="U25" s="21" t="str">
        <f t="shared" si="1"/>
        <v/>
      </c>
      <c r="V25" s="21" t="str">
        <f t="shared" si="2"/>
        <v/>
      </c>
      <c r="W25" s="21" t="str">
        <f t="shared" si="3"/>
        <v/>
      </c>
      <c r="X25" s="21" t="str">
        <f t="shared" si="4"/>
        <v/>
      </c>
      <c r="Y25" s="21" t="str">
        <f t="shared" si="5"/>
        <v/>
      </c>
      <c r="Z25" s="21" t="str">
        <f t="shared" si="6"/>
        <v/>
      </c>
      <c r="AA25" s="21" t="str">
        <f t="shared" si="7"/>
        <v/>
      </c>
      <c r="AB25" s="21" t="str">
        <f t="shared" si="8"/>
        <v/>
      </c>
      <c r="AC25" s="21" t="str">
        <f t="shared" si="9"/>
        <v/>
      </c>
      <c r="AD25" s="21" t="str">
        <f>IF(AW25=1,"",MID(IF(ISNUMBER(SEARCH("E_INVALID_DATE",EG25))," | E_INVALID_DATE: "&amp;SUBSTITUTE(IFERROR(INDEX(nMSG_Text,MATCH("E_INVALID_DATE",nMSG_Code,0)),""),"[input]",""),"")&amp;IF(ISNUMBER(SEARCH("E_REVERSED_BOUNDS",EG25))," | E_REVERSED_BOUNDS: "&amp;SUBSTITUTE(IFERROR(INDEX(nMSG_Text,MATCH("E_REVERSED_BOUNDS",nMSG_Code,0)),""),"[input]",""),"")&amp;IF(ISNUMBER(SEARCH("E_DUPLICATE_ID",EG25))," | E_DUPLICATE_ID: "&amp;SUBSTITUTE(IFERROR(INDEX(nMSG_Text,MATCH("E_DUPLICATE_ID",nMSG_Code,0)),""),"[input]",""),"")&amp;IF(ISNUMBER(SEARCH("E_MISSING_LINK",EG25))," | E_MISSING_LINK: "&amp;SUBSTITUTE(IFERROR(INDEX(nMSG_Text,MATCH("E_MISSING_LINK",nMSG_Code,0)),""),"[input]",""),"")&amp;IF(ISNUMBER(SEARCH("E_MISSING_INPUT",EG25))," | E_MISSING_INPUT: "&amp;SUBSTITUTE(IFERROR(INDEX(nMSG_Text,MATCH("E_MISSING_INPUT",nMSG_Code,0)),""),"[input]",IF(EH25="","an input",EH25)),"")&amp;IF(ISNUMBER(SEARCH("E_INVALID_UNIT",EG25))," | E_INVALID_UNIT: "&amp;SUBSTITUTE(IFERROR(INDEX(nMSG_Text,MATCH("E_INVALID_UNIT",nMSG_Code,0)),""),"[input]",""),"")&amp;IF(FD25=1," | W_TZ_UNKNOWN: "&amp;SUBSTITUTE(IFERROR(INDEX(nMSG_Text,MATCH("W_TZ_UNKNOWN",nMSG_Code,0)),""),"[input]",""),"")&amp;IF(FE25=1," | W_SAME_DATE_ORDER_UNKNOWN: "&amp;SUBSTITUTE(IFERROR(INDEX(nMSG_Text,MATCH("W_SAME_DATE_ORDER_UNKNOWN",nMSG_Code,0)),""),"[input]",""),"")&amp;IF(FF25=1," | W_SEQUENCE_UNCERTAIN: "&amp;SUBSTITUTE(IFERROR(INDEX(nMSG_Text,MATCH("W_SEQUENCE_UNCERTAIN",nMSG_Code,0)),""),"[input]",""),"")&amp;IF(FG25=1," | W_ADMIN_SAME_DATE_AS_ONSET: "&amp;SUBSTITUTE(IFERROR(INDEX(nMSG_Text,MATCH("W_ADMIN_SAME_DATE_AS_ONSET",nMSG_Code,0)),""),"[input]",""),"")&amp;IF(FH25=1," | W_REPORTED_TIMING_CONFLICT: "&amp;SUBSTITUTE(IFERROR(INDEX(nMSG_Text,MATCH("W_REPORTED_TIMING_CONFLICT",nMSG_Code,0)),""),"[input]",""),"")&amp;IF(FI25=1," | W_INTERVENTION_BEFORE_RECOVERY: "&amp;SUBSTITUTE(IFERROR(INDEX(nMSG_Text,MATCH("W_INTERVENTION_BEFORE_RECOVERY",nMSG_Code,0)),""),"[input]",""),"")&amp;IF(FJ25=1," | I_TREATMENT_DAY_UNDEFINED: "&amp;SUBSTITUTE(IFERROR(INDEX(nMSG_Text,MATCH("I_TREATMENT_DAY_UNDEFINED",nMSG_Code,0)),""),"[input]",""),"")&amp;IF(FK25=1," | I_APPROXIMATE_NOT_COMPARED: "&amp;SUBSTITUTE(IFERROR(INDEX(nMSG_Text,MATCH("I_APPROXIMATE_NOT_COMPARED",nMSG_Code,0)),""),"[input]",""),""),4,9999))</f>
        <v/>
      </c>
      <c r="AE25" s="21" t="str">
        <f t="shared" si="10"/>
        <v/>
      </c>
      <c r="AF25" s="21" t="str">
        <f t="shared" si="11"/>
        <v/>
      </c>
      <c r="AG25" s="21" t="str">
        <f>IF(EN25="","",MID(IF(ISNUMBER(SEARCH("E_REVERSED_BOUNDS",EN25))," | E_REVERSED_BOUNDS: "&amp;SUBSTITUTE(IFERROR(INDEX(nMSG_Text,MATCH("E_REVERSED_BOUNDS",nMSG_Code,0)),""),"[input]",""),"")&amp;IF(ISNUMBER(SEARCH("E_MISSING_INPUT",EN25))," | E_MISSING_INPUT: "&amp;SUBSTITUTE(IFERROR(INDEX(nMSG_Text,MATCH("E_MISSING_INPUT",nMSG_Code,0)),""),"[input]",IF("the source of the constraint"="","an input","the source of the constraint")),""),4,999))</f>
        <v/>
      </c>
      <c r="AH25" s="21" t="str">
        <f t="shared" si="12"/>
        <v/>
      </c>
      <c r="AI25" s="21" t="str">
        <f t="shared" si="13"/>
        <v/>
      </c>
      <c r="AJ25" s="21" t="str">
        <f t="shared" si="14"/>
        <v/>
      </c>
      <c r="AK25" s="21" t="str">
        <f t="shared" si="15"/>
        <v/>
      </c>
      <c r="AL25" s="21" t="str">
        <f>IF(CY25=0,"",INDEX(nTP_ISO,CY25))</f>
        <v/>
      </c>
      <c r="AM25" s="21" t="str">
        <f>IF(CY25=0,"",INDEX(nTP_Display,CY25))</f>
        <v/>
      </c>
      <c r="AN25" s="21" t="str">
        <f>IF(BI25=0,"",INDEX(nTP_ISO,BI25))</f>
        <v/>
      </c>
      <c r="AO25" s="21" t="str">
        <f>IF(BI25=0,"",INDEX(nTP_Display,BI25))</f>
        <v/>
      </c>
      <c r="AP25" s="21" t="str">
        <f>IF(BA25=0,"",INDEX(nLNK_Exposure_Episode_ID,BA25)&amp;"")</f>
        <v/>
      </c>
      <c r="AQ25" s="21" t="str">
        <f>IF(BA25=0,"",INDEX(nLNK_Event_Episode_ID,BA25)&amp;"")</f>
        <v/>
      </c>
      <c r="AR25" s="21" t="str">
        <f t="shared" si="16"/>
        <v/>
      </c>
      <c r="AS25" s="21" t="str">
        <f>IF(EI25=0,"",MID(IF(DT25=1," | Recovery interval (C7) computed with "&amp;DS25&amp;".","")&amp;IF(BG25=1," | Anchor selected under C5 (CALC-SPEC 1.1): latest administration with an exact date or time at or before "&amp;IF(BH25=1,"onset","the end point")&amp;" ("&amp;AJ25&amp;"), ordered in UTC when offsets are known; later administrations are never selected.","")&amp;IF(AND(BG25=1,CE25&gt;0)," | Partial-date administrations wholly before the selected one were not candidates: "&amp;FC25&amp;".","")&amp;IF(BV25&lt;&gt;""," | "&amp;BV25,"")&amp;IF(AND(DS25="C2",EA25=0,DZ25&lt;&gt;"")," | Same calendar date; both times are known, so C1 decides the order ("&amp;AA25&amp;").","")&amp;IF(AND(DS25="C2",DD25*BN25=1,DT25=0)," | Calendar-date difference from the recorded local dates; it is never described as elapsed days.","")&amp;IF(AND(DS25="C4",DT25=0)," | Bounds are treated as independent; no single date is imputed from them.","")&amp;IF(EJ25=1," | Treatment day under the inclusive convention (C3); never written to E2B fields automatically.","")&amp;IF(AND(DS25="C4",DT25=0,EK25=0)," | No constraint applied.","")&amp;IF(AND(DS25="C4",EK25=1)," | Constraint applied to the anchor bounds: "&amp;IF(ISNUMBER(P25),"not before "&amp;DAY(P25)&amp;" "&amp;INDEX(nLIST_Months,MONTH(P25))&amp;" "&amp;YEAR(P25),"")&amp;IF(AND(ISNUMBER(P25),ISNUMBER(Q25)),", ","")&amp;IF(ISNUMBER(Q25),"not after "&amp;DAY(Q25)&amp;" "&amp;INDEX(nLIST_Months,MONTH(Q25))&amp;" "&amp;YEAR(Q25),"")&amp;". Source: "&amp;IF(R25="","not recorded",R25)&amp;IF(EN25="",". Constrained result shown beside the unconstrained one.",". Constrained result blocked ("&amp;EN25&amp;")."),"")&amp;IF(DT25=1,IF(EO25&gt;0," | Intervention recorded between cessation and recovery (ends included): "&amp;EZ25&amp;"."," | No intervention is recorded between cessation and recovery; absence of a record is not evidence that none was given."),"")&amp;IF(AND(DT25=1,DV25&gt;0)," | Intervention recorded without a date, so whether it came before recovery is unknown: "&amp;INDEX(nMS_Milestone_ID,MATCH(1,INDEX((nMS_CaseKey=AX25)*(nMS_Type="INTERVENTION")*nMS_Undated,0),0))&amp;IF(DV25&gt;1," and "&amp;(DV25-1)&amp;" more","")&amp;".","")&amp;IF(AND(DT25=1,EP25&gt;0)," | Not counted as interventions, because they are recorded as exposures rather than as intervention milestones (nothing is inferred): "&amp;FB25&amp;". If treatment was given, record it as an intervention milestone.",""),4,9999))</f>
        <v/>
      </c>
      <c r="AT25" s="21" t="str">
        <f t="shared" si="17"/>
        <v/>
      </c>
      <c r="AU25" s="21" t="str">
        <f t="shared" si="18"/>
        <v/>
      </c>
      <c r="AV25" s="21" t="str">
        <f t="shared" si="19"/>
        <v/>
      </c>
      <c r="AW25" s="22">
        <f t="shared" si="20"/>
        <v>1</v>
      </c>
      <c r="AX25" s="21" t="str">
        <f t="shared" si="21"/>
        <v>|</v>
      </c>
      <c r="AY25" s="21" t="str">
        <f t="shared" si="22"/>
        <v/>
      </c>
      <c r="AZ25" s="22">
        <f>IF(AY25="",0,COUNTIF(nINT_Key,AY25))</f>
        <v>0</v>
      </c>
      <c r="BA25" s="22">
        <f>IF(D25="",0,IFERROR(MATCH(AX25&amp;"|"&amp;D25,nLNK_Key,0),0))</f>
        <v>0</v>
      </c>
      <c r="BB25" s="22">
        <f>IF(BA25=0,1,INDEX(nLNK_Exp_Found,BA25))</f>
        <v>1</v>
      </c>
      <c r="BC25" s="22">
        <f>IF(BA25=0,1,INDEX(nLNK_Evt_Found,BA25))</f>
        <v>1</v>
      </c>
      <c r="BD25" s="22">
        <f>IF(AP25="",0,COUNTIF(nEXP_Key,AX25&amp;"|"&amp;AP25))</f>
        <v>0</v>
      </c>
      <c r="BE25" s="22">
        <f>IF(AQ25="",0,COUNTIF(nEVT_Key,AX25&amp;"|"&amp;AQ25))</f>
        <v>0</v>
      </c>
      <c r="BF25" s="22">
        <f>IF(ISNA(MATCH(E25,nLIST_AnchorType,0)),0,1)</f>
        <v>0</v>
      </c>
      <c r="BG25" s="22">
        <f t="shared" si="23"/>
        <v>0</v>
      </c>
      <c r="BH25" s="22">
        <f t="shared" si="24"/>
        <v>0</v>
      </c>
      <c r="BI25" s="22">
        <f>IF(OR(AW25=1,AK25=""),0,IFERROR(MATCH(AX25&amp;"|"&amp;AK25,nTP_Key,0),0))</f>
        <v>0</v>
      </c>
      <c r="BJ25" s="21">
        <f>IF(BI25=0,0,INDEX(nTP_Dup,BI25))</f>
        <v>0</v>
      </c>
      <c r="BK25" s="21" t="str">
        <f>IF(BI25=0,"",INDEX(nTP_Record_Type,BI25))</f>
        <v/>
      </c>
      <c r="BL25" s="21" t="str">
        <f>IF(BI25=0,"",INDEX(nTP_Precision,BI25))</f>
        <v/>
      </c>
      <c r="BM25" s="21" t="str">
        <f>IF(BI25=0,"",INDEX(nTP_Err,BI25))</f>
        <v/>
      </c>
      <c r="BN25" s="21">
        <f>IF(BI25=0,0,INDEX(nTP_HT,BI25))</f>
        <v>0</v>
      </c>
      <c r="BO25" s="21">
        <f>IF(BI25=0,0,INDEX(nTP_OK,BI25))</f>
        <v>0</v>
      </c>
      <c r="BP25" s="21" t="str">
        <f>IF(BI25=0,"",INDEX(nTP_Loc,BI25))</f>
        <v/>
      </c>
      <c r="BQ25" s="21" t="str">
        <f>IF(BI25=0,"",INDEX(nTP_UTC,BI25))</f>
        <v/>
      </c>
      <c r="BR25" s="21" t="str">
        <f>IF(BI25=0,"",INDEX(nTP_Lo,BI25))</f>
        <v/>
      </c>
      <c r="BS25" s="21" t="str">
        <f>IF(BI25=0,"",INDEX(nTP_Hi,BI25))</f>
        <v/>
      </c>
      <c r="BT25" s="21" t="str">
        <f>IF(BI25=0,"",INDEX(nTP_Original_Text,BI25))</f>
        <v/>
      </c>
      <c r="BU25" s="21" t="str">
        <f>IF(BI25=0,"",INDEX(nTP_Source,BI25))</f>
        <v/>
      </c>
      <c r="BV25" s="21" t="str">
        <f>IF(BI25=0,"",INDEX(nTP_Lab_Note,BI25))</f>
        <v/>
      </c>
      <c r="BW25" s="22">
        <f t="shared" si="25"/>
        <v>0</v>
      </c>
      <c r="BX25" s="21" t="str">
        <f t="shared" si="26"/>
        <v>||</v>
      </c>
      <c r="BY25" s="22">
        <f>IF(BG25=0,0,COUNTIF(nTP_CandKey,BX25))</f>
        <v>0</v>
      </c>
      <c r="BZ25" s="22">
        <f>IF(BG25=0,0,COUNTIFS(nTP_CandKey,BX25,nTP_Err,""))</f>
        <v>0</v>
      </c>
      <c r="CA25" s="21" t="str">
        <f>IF(BY25=BZ25,"",IF(COUNTIFS(nTP_CandKey,BX25,nTP_Err,"E_INVALID_DATE")&gt;0,"; E_INVALID_DATE","")&amp;IF(COUNTIFS(nTP_CandKey,BX25,nTP_Err,"E_REVERSED_BOUNDS")&gt;0,"; E_REVERSED_BOUNDS","")&amp;IF(COUNTIFS(nTP_CandKey,BX25,nTP_Err,"E_MISSING_INPUT")&gt;0,"; E_MISSING_INPUT","")&amp;IF(COUNTIFS(nTP_CandKey,BX25,nTP_Err,"E_INVALID_UNIT")&gt;0,"; E_INVALID_UNIT",""))</f>
        <v/>
      </c>
      <c r="CB25" s="22">
        <f t="shared" si="27"/>
        <v>0</v>
      </c>
      <c r="CC25" s="22">
        <f>IF(CB25=0,0,SUMPRODUCT((nTP_CandKey=BX25)*(nTP_Err="")*(1-(nTP_HT*BN25*((nTP_OK*BO25*(nTP_UTC_n-N(BQ25))+(1-nTP_OK*BO25)*(nTP_Loc_n-N(BP25)))&lt;=0)+(1-nTP_HT*BN25)*(nTP_Hi_n&lt;N(BR25)))-(nTP_HT*BN25*((nTP_OK*BO25*(nTP_UTC_n-N(BQ25))+(1-nTP_OK*BO25)*(nTP_Loc_n-N(BP25)))&gt;0)+(1-nTP_HT*BN25)*(nTP_Lo_n&gt;N(BS25)))-((1-nTP_HT*BN25)*(nTP_Lo_n=nTP_Hi_n)*(nTP_Lo_n=N(BR25))*(N(BR25)=N(BS25))))))</f>
        <v>0</v>
      </c>
      <c r="CD25" s="22">
        <f>IF(CB25=0,0,SUMPRODUCT((nTP_CandKey=BX25)*nTP_Exact*((nTP_HT*BN25*((nTP_OK*BO25*(nTP_UTC_n-N(BQ25))+(1-nTP_OK*BO25)*(nTP_Loc_n-N(BP25)))&lt;=0)+(1-nTP_HT*BN25)*(nTP_Hi_n&lt;N(BR25)))+((1-nTP_HT*BN25)*(nTP_Lo_n=nTP_Hi_n)*(nTP_Lo_n=N(BR25))*(N(BR25)=N(BS25))))))</f>
        <v>0</v>
      </c>
      <c r="CE25" s="22">
        <f>IF(CB25=0,0,SUMPRODUCT((nTP_CandKey=BX25)*(nTP_Err="")*(1-nTP_Exact)*((nTP_HT*BN25*((nTP_OK*BO25*(nTP_UTC_n-N(BQ25))+(1-nTP_OK*BO25)*(nTP_Loc_n-N(BP25)))&lt;=0)+(1-nTP_HT*BN25)*(nTP_Hi_n&lt;N(BR25)))+((1-nTP_HT*BN25)*(nTP_Lo_n=nTP_Hi_n)*(nTP_Lo_n=N(BR25))*(N(BR25)=N(BS25))))))</f>
        <v>0</v>
      </c>
      <c r="CF25" s="22">
        <f>IF(CD25=0,0,SUMPRODUCT(MAX((nTP_CandKey=BX25)*nTP_Exact*((nTP_HT*BN25*((nTP_OK*BO25*(nTP_UTC_n-N(BQ25))+(1-nTP_OK*BO25)*(nTP_Loc_n-N(BP25)))&lt;=0)+(1-nTP_HT*BN25)*(nTP_Hi_n&lt;N(BR25)))+((1-nTP_HT*BN25)*(nTP_Lo_n=nTP_Hi_n)*(nTP_Lo_n=N(BR25))*(N(BR25)=N(BS25))))*nTP_Lo_n)))</f>
        <v>0</v>
      </c>
      <c r="CG25" s="22">
        <f>IF(CD25=0,0,SUMPRODUCT((nTP_CandKey=BX25)*nTP_Exact*((nTP_HT*BN25*((nTP_OK*BO25*(nTP_UTC_n-N(BQ25))+(1-nTP_OK*BO25)*(nTP_Loc_n-N(BP25)))&lt;=0)+(1-nTP_HT*BN25)*(nTP_Hi_n&lt;N(BR25)))+((1-nTP_HT*BN25)*(nTP_Lo_n=nTP_Hi_n)*(nTP_Lo_n=N(BR25))*(N(BR25)=N(BS25))))*(nTP_Lo_n=CF25)))</f>
        <v>0</v>
      </c>
      <c r="CH25" s="22">
        <f>IF(CD25=0,0,SUMPRODUCT((nTP_CandKey=BX25)*nTP_Exact*((nTP_HT*BN25*((nTP_OK*BO25*(nTP_UTC_n-N(BQ25))+(1-nTP_OK*BO25)*(nTP_Loc_n-N(BP25)))&lt;=0)+(1-nTP_HT*BN25)*(nTP_Hi_n&lt;N(BR25)))+((1-nTP_HT*BN25)*(nTP_Lo_n=nTP_Hi_n)*(nTP_Lo_n=N(BR25))*(N(BR25)=N(BS25))))*(1-nTP_HT)*(nTP_Lo_n=CF25)))</f>
        <v>0</v>
      </c>
      <c r="CI25" s="22">
        <f>IF(CD25=0,0,SUMPRODUCT(MAX((nTP_CandKey=BX25)*nTP_Exact*((nTP_HT*BN25*((nTP_OK*BO25*(nTP_UTC_n-N(BQ25))+(1-nTP_OK*BO25)*(nTP_Loc_n-N(BP25)))&lt;=0)+(1-nTP_HT*BN25)*(nTP_Hi_n&lt;N(BR25)))+((1-nTP_HT*BN25)*(nTP_Lo_n=nTP_Hi_n)*(nTP_Lo_n=N(BR25))*(N(BR25)=N(BS25))))*(1-nTP_HT)*nTP_Lo_n)))</f>
        <v>0</v>
      </c>
      <c r="CJ25" s="22">
        <f>IF(CD25=0,0,SUMPRODUCT(MAX((nTP_CandKey=BX25)*nTP_Exact*((nTP_HT*BN25*((nTP_OK*BO25*(nTP_UTC_n-N(BQ25))+(1-nTP_OK*BO25)*(nTP_Loc_n-N(BP25)))&lt;=0)+(1-nTP_HT*BN25)*(nTP_Hi_n&lt;N(BR25)))+((1-nTP_HT*BN25)*(nTP_Lo_n=nTP_Hi_n)*(nTP_Lo_n=N(BR25))*(N(BR25)=N(BS25))))*nTP_HT*nTP_OK*nTP_UTC_n)))</f>
        <v>0</v>
      </c>
      <c r="CK25" s="22">
        <f>IF(CJ25=0,0,SUMPRODUCT((nTP_CandKey=BX25)*nTP_Exact*((nTP_HT*BN25*((nTP_OK*BO25*(nTP_UTC_n-N(BQ25))+(1-nTP_OK*BO25)*(nTP_Loc_n-N(BP25)))&lt;=0)+(1-nTP_HT*BN25)*(nTP_Hi_n&lt;N(BR25)))+((1-nTP_HT*BN25)*(nTP_Lo_n=nTP_Hi_n)*(nTP_Lo_n=N(BR25))*(N(BR25)=N(BS25))))*nTP_HT*nTP_OK*(nTP_UTC_n=CJ25)))</f>
        <v>0</v>
      </c>
      <c r="CL25" s="22">
        <f>IF(CK25&lt;&gt;1,0,SUMPRODUCT((nTP_CandKey=BX25)*nTP_Exact*((nTP_HT*BN25*((nTP_OK*BO25*(nTP_UTC_n-N(BQ25))+(1-nTP_OK*BO25)*(nTP_Loc_n-N(BP25)))&lt;=0)+(1-nTP_HT*BN25)*(nTP_Hi_n&lt;N(BR25)))+((1-nTP_HT*BN25)*(nTP_Lo_n=nTP_Hi_n)*(nTP_Lo_n=N(BR25))*(N(BR25)=N(BS25))))*nTP_HT*nTP_OK*(nTP_UTC_n=CJ25)*nTP_Loc_n))</f>
        <v>0</v>
      </c>
      <c r="CM25" s="22">
        <f>IF(CK25&lt;&gt;1,0,SUMPRODUCT((nTP_CandKey=BX25)*nTP_Exact*((nTP_HT*BN25*((nTP_OK*BO25*(nTP_UTC_n-N(BQ25))+(1-nTP_OK*BO25)*(nTP_Loc_n-N(BP25)))&lt;=0)+(1-nTP_HT*BN25)*(nTP_Hi_n&lt;N(BR25)))+((1-nTP_HT*BN25)*(nTP_Lo_n=nTP_Hi_n)*(nTP_Lo_n=N(BR25))*(N(BR25)=N(BS25))))*nTP_HT*nTP_OK*(nTP_UTC_n=CJ25)*nTP_Lo_n))</f>
        <v>0</v>
      </c>
      <c r="CN25" s="22">
        <f>IF(CD25=0,0,SUMPRODUCT(MAX((nTP_CandKey=BX25)*nTP_Exact*((nTP_HT*BN25*((nTP_OK*BO25*(nTP_UTC_n-N(BQ25))+(1-nTP_OK*BO25)*(nTP_Loc_n-N(BP25)))&lt;=0)+(1-nTP_HT*BN25)*(nTP_Hi_n&lt;N(BR25)))+((1-nTP_HT*BN25)*(nTP_Lo_n=nTP_Hi_n)*(nTP_Lo_n=N(BR25))*(N(BR25)=N(BS25))))*nTP_HT*(1-nTP_OK)*nTP_Loc_n)))</f>
        <v>0</v>
      </c>
      <c r="CO25" s="22">
        <f>IF(CN25=0,0,SUMPRODUCT((nTP_CandKey=BX25)*nTP_Exact*((nTP_HT*BN25*((nTP_OK*BO25*(nTP_UTC_n-N(BQ25))+(1-nTP_OK*BO25)*(nTP_Loc_n-N(BP25)))&lt;=0)+(1-nTP_HT*BN25)*(nTP_Hi_n&lt;N(BR25)))+((1-nTP_HT*BN25)*(nTP_Lo_n=nTP_Hi_n)*(nTP_Lo_n=N(BR25))*(N(BR25)=N(BS25))))*nTP_HT*(1-nTP_OK)*(nTP_Loc_n=CN25)))</f>
        <v>0</v>
      </c>
      <c r="CP25" s="22">
        <f>IF(CO25&lt;&gt;1,0,SUMPRODUCT((nTP_CandKey=BX25)*nTP_Exact*((nTP_HT*BN25*((nTP_OK*BO25*(nTP_UTC_n-N(BQ25))+(1-nTP_OK*BO25)*(nTP_Loc_n-N(BP25)))&lt;=0)+(1-nTP_HT*BN25)*(nTP_Hi_n&lt;N(BR25)))+((1-nTP_HT*BN25)*(nTP_Lo_n=nTP_Hi_n)*(nTP_Lo_n=N(BR25))*(N(BR25)=N(BS25))))*nTP_HT*(1-nTP_OK)*(nTP_Loc_n=CN25)*nTP_Lo_n))</f>
        <v>0</v>
      </c>
      <c r="CQ25" s="22">
        <f>IF(CD25=0,0,SUMPRODUCT(MAX((nTP_CandKey=BX25)*nTP_Exact*((nTP_HT*BN25*((nTP_OK*BO25*(nTP_UTC_n-N(BQ25))+(1-nTP_OK*BO25)*(nTP_Loc_n-N(BP25)))&lt;=0)+(1-nTP_HT*BN25)*(nTP_Hi_n&lt;N(BR25)))+((1-nTP_HT*BN25)*(nTP_Lo_n=nTP_Hi_n)*(nTP_Lo_n=N(BR25))*(N(BR25)=N(BS25))))*nTP_HT*nTP_OK*nTP_Loc_n)))</f>
        <v>0</v>
      </c>
      <c r="CR25" s="22">
        <f t="shared" si="28"/>
        <v>0</v>
      </c>
      <c r="CS25" s="22">
        <f>IF(CR25=0,0,IF(CR25=1,MATCH(1,INDEX((nTP_CandKey=BX25)*nTP_Exact*((nTP_HT*BN25*((nTP_OK*BO25*(nTP_UTC_n-N(BQ25))+(1-nTP_OK*BO25)*(nTP_Loc_n-N(BP25)))&lt;=0)+(1-nTP_HT*BN25)*(nTP_Hi_n&lt;N(BR25)))+((1-nTP_HT*BN25)*(nTP_Lo_n=nTP_Hi_n)*(nTP_Lo_n=N(BR25))*(N(BR25)=N(BS25))))*(1-nTP_HT)*(nTP_Lo_n=CF25),0),0),IF(CR25=2,MATCH(1,INDEX((nTP_CandKey=BX25)*nTP_Exact*((nTP_HT*BN25*((nTP_OK*BO25*(nTP_UTC_n-N(BQ25))+(1-nTP_OK*BO25)*(nTP_Loc_n-N(BP25)))&lt;=0)+(1-nTP_HT*BN25)*(nTP_Hi_n&lt;N(BR25)))+((1-nTP_HT*BN25)*(nTP_Lo_n=nTP_Hi_n)*(nTP_Lo_n=N(BR25))*(N(BR25)=N(BS25))))*nTP_HT*nTP_OK*(nTP_UTC_n=CJ25),0),0),MATCH(1,INDEX((nTP_CandKey=BX25)*nTP_Exact*((nTP_HT*BN25*((nTP_OK*BO25*(nTP_UTC_n-N(BQ25))+(1-nTP_OK*BO25)*(nTP_Loc_n-N(BP25)))&lt;=0)+(1-nTP_HT*BN25)*(nTP_Hi_n&lt;N(BR25)))+((1-nTP_HT*BN25)*(nTP_Lo_n=nTP_Hi_n)*(nTP_Lo_n=N(BR25))*(N(BR25)=N(BS25))))*nTP_HT*(1-nTP_OK)*(nTP_Loc_n=CN25),0),0))))</f>
        <v>0</v>
      </c>
      <c r="CT25" s="22">
        <f>IF(CS25=0,0,INDEX(nTP_Lo_n,CS25))</f>
        <v>0</v>
      </c>
      <c r="CU25" s="22">
        <f>IF(CS25=0,0,SUMPRODUCT((nTP_CandKey=BX25)*(nTP_Err="")*(1-nTP_Exact)*((nTP_HT*BN25*((nTP_OK*BO25*(nTP_UTC_n-N(BQ25))+(1-nTP_OK*BO25)*(nTP_Loc_n-N(BP25)))&lt;=0)+(1-nTP_HT*BN25)*(nTP_Hi_n&lt;N(BR25)))+((1-nTP_HT*BN25)*(nTP_Lo_n=nTP_Hi_n)*(nTP_Lo_n=N(BR25))*(N(BR25)=N(BS25))))*(nTP_Hi_n&gt;=CT25)))</f>
        <v>0</v>
      </c>
      <c r="CV25" s="21" t="str">
        <f t="shared" si="29"/>
        <v/>
      </c>
      <c r="CW25" s="21" t="str">
        <f>IF(AND(BG25=1,CB25=1,CV25="",CS25&gt;0),INDEX(nTP_Record_ID,CS25)&amp;"","")</f>
        <v/>
      </c>
      <c r="CX25" s="21" t="str">
        <f>IF(OR(CV25="",BG25=0),"",IF(CV25="none","an administration record (last dose before onset)",IF(CV25="uncertain","the anchor record: "&amp;INDEX(nTP_Record_ID,MATCH(1,INDEX((nTP_CandKey=BX25)*(nTP_Err="")*(1-(nTP_HT*BN25*((nTP_OK*BO25*(nTP_UTC_n-N(BQ25))+(1-nTP_OK*BO25)*(nTP_Loc_n-N(BP25)))&lt;=0)+(1-nTP_HT*BN25)*(nTP_Hi_n&lt;N(BR25)))-(nTP_HT*BN25*((nTP_OK*BO25*(nTP_UTC_n-N(BQ25))+(1-nTP_OK*BO25)*(nTP_Loc_n-N(BP25)))&gt;0)+(1-nTP_HT*BN25)*(nTP_Lo_n&gt;N(BS25)))-((1-nTP_HT*BN25)*(nTP_Lo_n=nTP_Hi_n)*(nTP_Lo_n=N(BR25))*(N(BR25)=N(BS25)))),0),0))&amp;IF(CC25&gt;1," and "&amp;(CC25-1)&amp;" more","")&amp;" may fall before or after the end point, so the last dose cannot be identified from the recorded dates",IF(CV25="noneligible","the anchor record: no administration with an exact date is recorded at or before the end point",IF(CV25="tie","the anchor record: the order of the latest administrations cannot be told from the recorded dates and times","the anchor record: partial-date administration "&amp;INDEX(nTP_Record_ID,MATCH(1,INDEX((nTP_CandKey=BX25)*(nTP_Err="")*(1-nTP_Exact)*((nTP_HT*BN25*((nTP_OK*BO25*(nTP_UTC_n-N(BQ25))+(1-nTP_OK*BO25)*(nTP_Loc_n-N(BP25)))&lt;=0)+(1-nTP_HT*BN25)*(nTP_Hi_n&lt;N(BR25)))+((1-nTP_HT*BN25)*(nTP_Lo_n=nTP_Hi_n)*(nTP_Lo_n=N(BR25))*(N(BR25)=N(BS25))))*(nTP_Hi_n&gt;=CT25),0),0))&amp;" could be the last dose before the end point")))))</f>
        <v/>
      </c>
      <c r="CY25" s="22">
        <f>IF(OR(AW25=1,AJ25=""),0,IFERROR(MATCH(AX25&amp;"|"&amp;AJ25,nTP_Key,0),0))</f>
        <v>0</v>
      </c>
      <c r="CZ25" s="21">
        <f>IF(CY25=0,0,INDEX(nTP_Dup,CY25))</f>
        <v>0</v>
      </c>
      <c r="DA25" s="21" t="str">
        <f>IF(CY25=0,"",INDEX(nTP_Record_Type,CY25))</f>
        <v/>
      </c>
      <c r="DB25" s="21" t="str">
        <f>IF(CY25=0,"",INDEX(nTP_Precision,CY25))</f>
        <v/>
      </c>
      <c r="DC25" s="21" t="str">
        <f>IF(CY25=0,"",INDEX(nTP_Err,CY25))</f>
        <v/>
      </c>
      <c r="DD25" s="21">
        <f>IF(CY25=0,0,INDEX(nTP_HT,CY25))</f>
        <v>0</v>
      </c>
      <c r="DE25" s="21">
        <f>IF(CY25=0,0,INDEX(nTP_OK,CY25))</f>
        <v>0</v>
      </c>
      <c r="DF25" s="21" t="str">
        <f>IF(CY25=0,"",INDEX(nTP_Loc,CY25))</f>
        <v/>
      </c>
      <c r="DG25" s="21" t="str">
        <f>IF(CY25=0,"",INDEX(nTP_UTC,CY25))</f>
        <v/>
      </c>
      <c r="DH25" s="21" t="str">
        <f>IF(CY25=0,"",INDEX(nTP_Lo,CY25))</f>
        <v/>
      </c>
      <c r="DI25" s="21" t="str">
        <f>IF(CY25=0,"",INDEX(nTP_Hi,CY25))</f>
        <v/>
      </c>
      <c r="DJ25" s="21" t="str">
        <f>IF(CY25=0,"",INDEX(nTP_Original_Text,CY25))</f>
        <v/>
      </c>
      <c r="DK25" s="21" t="str">
        <f>IF(CY25=0,"",INDEX(nTP_Source,CY25))</f>
        <v/>
      </c>
      <c r="DL25" s="22">
        <f t="shared" si="30"/>
        <v>0</v>
      </c>
      <c r="DM25" s="21" t="str">
        <f t="shared" si="31"/>
        <v/>
      </c>
      <c r="DN25" s="21" t="str">
        <f t="shared" si="32"/>
        <v/>
      </c>
      <c r="DO25" s="21" t="str">
        <f t="shared" si="33"/>
        <v/>
      </c>
      <c r="DP25" s="21" t="str">
        <f t="shared" si="34"/>
        <v/>
      </c>
      <c r="DQ25" s="21" t="str">
        <f t="shared" si="35"/>
        <v/>
      </c>
      <c r="DR25" s="22">
        <f>IF(OR(DQ25="",I25=""),0,IF(ISNA(MATCH(I25,nLIST_Mode,0)),1,IF(AND(I25="C1",DQ25&lt;&gt;"C1"),1,IF(AND(I25="C2",DQ25="C4"),1,0))))</f>
        <v>0</v>
      </c>
      <c r="DS25" s="21" t="str">
        <f t="shared" si="36"/>
        <v/>
      </c>
      <c r="DT25" s="22">
        <f t="shared" si="37"/>
        <v>0</v>
      </c>
      <c r="DU25" s="21" t="str">
        <f>IF(DT25=0,"",IF(COUNTIFS(nTP_Case_Key,AX25,nTP_Record_Type,"MILESTONE:INTERVENTION",nTP_Err,"E_INVALID_DATE")&gt;0,"; E_INVALID_DATE","")&amp;IF(COUNTIFS(nTP_Case_Key,AX25,nTP_Record_Type,"MILESTONE:INTERVENTION",nTP_Err,"E_REVERSED_BOUNDS")&gt;0,"; E_REVERSED_BOUNDS","")&amp;IF(COUNTIFS(nTP_Case_Key,AX25,nTP_Record_Type,"MILESTONE:INTERVENTION",nTP_Err,"E_MISSING_INPUT")&gt;0,"; E_MISSING_INPUT","")&amp;IF(COUNTIFS(nTP_Case_Key,AX25,nTP_Record_Type,"MILESTONE:INTERVENTION",nTP_Err,"E_INVALID_UNIT")&gt;0,"; E_INVALID_UNIT",""))</f>
        <v/>
      </c>
      <c r="DV25" s="22">
        <f>IF(DT25=0,0,SUMPRODUCT((nMS_CaseKey=AX25)*(nMS_Type="INTERVENTION")*nMS_Undated))</f>
        <v>0</v>
      </c>
      <c r="DW25" s="21" t="str">
        <f t="shared" si="38"/>
        <v/>
      </c>
      <c r="DX25" s="21" t="str">
        <f t="shared" si="39"/>
        <v/>
      </c>
      <c r="DY25" s="22">
        <f t="shared" si="40"/>
        <v>1</v>
      </c>
      <c r="DZ25" s="21" t="str">
        <f t="shared" si="41"/>
        <v/>
      </c>
      <c r="EA25" s="21" t="str">
        <f t="shared" si="42"/>
        <v/>
      </c>
      <c r="EB25" s="21" t="str">
        <f t="shared" si="43"/>
        <v/>
      </c>
      <c r="EC25" s="21" t="str">
        <f t="shared" si="44"/>
        <v/>
      </c>
      <c r="ED25" s="22">
        <f t="shared" si="45"/>
        <v>0</v>
      </c>
      <c r="EE25" s="22">
        <f t="shared" si="46"/>
        <v>0</v>
      </c>
      <c r="EF25" s="21" t="str">
        <f>IF(ED25=0,"",IF(OR(NOT(ISNUMBER(L25)),NOT(ISNUMBER(M25))),"I_APPROXIMATE_NOT_COMPARED",IF(AND(N25&lt;&gt;"",ISNA(MATCH(N25,nLIST_ReportedUnit,0))),"E_INVALID_UNIT",IF(N25="","E_MISSING_INPUT",IF(L25&gt;M25,"E_REVERSED_BOUNDS",IF(OR(N25="weeks",N25="months",N25="years"),"I_APPROXIMATE_NOT_COMPARED",IF(DX25&lt;&gt;"","",IF(EE25=0,"I_APPROXIMATE_NOT_COMPARED",IF(AND(L25*EE25&lt;=IF(DS25="C4",EC25,IF(DS25="C1",DZ25,EA25)),M25*EE25&gt;=IF(DS25="C4",EB25,IF(DS25="C1",DZ25,EA25))),"OVERLAP","W_REPORTED_TIMING_CONFLICT")))))))))</f>
        <v/>
      </c>
      <c r="EG25" s="21" t="str">
        <f t="shared" si="47"/>
        <v/>
      </c>
      <c r="EH25" s="21" t="str">
        <f t="shared" si="48"/>
        <v/>
      </c>
      <c r="EI25" s="22">
        <f t="shared" si="49"/>
        <v>0</v>
      </c>
      <c r="EJ25" s="22">
        <f t="shared" si="50"/>
        <v>0</v>
      </c>
      <c r="EK25" s="22">
        <f t="shared" si="51"/>
        <v>0</v>
      </c>
      <c r="EL25" s="28" t="str">
        <f t="shared" si="52"/>
        <v/>
      </c>
      <c r="EM25" s="28" t="str">
        <f t="shared" si="53"/>
        <v/>
      </c>
      <c r="EN25" s="21" t="str">
        <f t="shared" si="54"/>
        <v/>
      </c>
      <c r="EO25" s="22">
        <f>IF(OR(DT25=0,DX25&lt;&gt;""),0,SUMPRODUCT((nTP_Case_Key=AX25)*(nTP_Record_Type="MILESTONE:INTERVENTION")*(nTP_Err="")*(nTP_HT*DD25*BN25*(nTP_OK*DE25*(nTP_UTC_n&gt;=N(DG25))+(1-nTP_OK*DE25)*(nTP_Loc_n&gt;=N(DF25)))*(nTP_OK*BO25*(nTP_UTC_n&lt;=N(BQ25))+(1-nTP_OK*BO25)*(nTP_Loc_n&lt;=N(BP25)))+(1-nTP_HT*DD25*BN25)*(nTP_Hi_n&gt;=N(DH25))*(nTP_Lo_n&lt;=N(BS25)))))</f>
        <v>0</v>
      </c>
      <c r="EP25" s="22">
        <f>IF(OR(DT25=0,DX25&lt;&gt;""),0,SUMPRODUCT((nTP_Case_Key=AX25)*(nTP_Role="treatment of the event")*((nTP_Record_Type="EXPOSURE_START")+(nTP_Record_Type="ADMINISTRATION"))*(nTP_Err="")*(nTP_HT*DD25*BN25*(nTP_OK*DE25*(nTP_UTC_n&gt;=N(DG25))+(1-nTP_OK*DE25)*(nTP_Loc_n&gt;=N(DF25)))*(nTP_OK*BO25*(nTP_UTC_n&lt;=N(BQ25))+(1-nTP_OK*BO25)*(nTP_Loc_n&lt;=N(BP25)))+(1-nTP_HT*DD25*BN25)*(nTP_Hi_n&gt;=N(DH25))*(nTP_Lo_n&lt;=N(BS25)))))</f>
        <v>0</v>
      </c>
      <c r="EQ25" s="22">
        <f>IF(EO25&lt;1,0,IFERROR(_xlfn.AGGREGATE(15,6,nTP_RowN/((nTP_Case_Key=AX25)*(nTP_Record_Type="MILESTONE:INTERVENTION")*(nTP_Err="")*(nTP_HT*DD25*BN25*(nTP_OK*DE25*(nTP_UTC_n&gt;=N(DG25))+(1-nTP_OK*DE25)*(nTP_Loc_n&gt;=N(DF25)))*(nTP_OK*BO25*(nTP_UTC_n&lt;=N(BQ25))+(1-nTP_OK*BO25)*(nTP_Loc_n&lt;=N(BP25)))+(1-nTP_HT*DD25*BN25)*(nTP_Hi_n&gt;=N(DH25))*(nTP_Lo_n&lt;=N(BS25)))),1),0))</f>
        <v>0</v>
      </c>
      <c r="ER25" s="22">
        <f>IF(EO25&lt;2,0,IFERROR(_xlfn.AGGREGATE(15,6,nTP_RowN/((nTP_Case_Key=AX25)*(nTP_Record_Type="MILESTONE:INTERVENTION")*(nTP_Err="")*(nTP_HT*DD25*BN25*(nTP_OK*DE25*(nTP_UTC_n&gt;=N(DG25))+(1-nTP_OK*DE25)*(nTP_Loc_n&gt;=N(DF25)))*(nTP_OK*BO25*(nTP_UTC_n&lt;=N(BQ25))+(1-nTP_OK*BO25)*(nTP_Loc_n&lt;=N(BP25)))+(1-nTP_HT*DD25*BN25)*(nTP_Hi_n&gt;=N(DH25))*(nTP_Lo_n&lt;=N(BS25)))),2),0))</f>
        <v>0</v>
      </c>
      <c r="ES25" s="22">
        <f>IF(EO25&lt;3,0,IFERROR(_xlfn.AGGREGATE(15,6,nTP_RowN/((nTP_Case_Key=AX25)*(nTP_Record_Type="MILESTONE:INTERVENTION")*(nTP_Err="")*(nTP_HT*DD25*BN25*(nTP_OK*DE25*(nTP_UTC_n&gt;=N(DG25))+(1-nTP_OK*DE25)*(nTP_Loc_n&gt;=N(DF25)))*(nTP_OK*BO25*(nTP_UTC_n&lt;=N(BQ25))+(1-nTP_OK*BO25)*(nTP_Loc_n&lt;=N(BP25)))+(1-nTP_HT*DD25*BN25)*(nTP_Hi_n&gt;=N(DH25))*(nTP_Lo_n&lt;=N(BS25)))),3),0))</f>
        <v>0</v>
      </c>
      <c r="ET25" s="22">
        <f>IF(EP25&lt;1,0,IFERROR(_xlfn.AGGREGATE(15,6,nTP_RowN/((nTP_Case_Key=AX25)*(nTP_Role="treatment of the event")*((nTP_Record_Type="EXPOSURE_START")+(nTP_Record_Type="ADMINISTRATION"))*(nTP_Err="")*(nTP_HT*DD25*BN25*(nTP_OK*DE25*(nTP_UTC_n&gt;=N(DG25))+(1-nTP_OK*DE25)*(nTP_Loc_n&gt;=N(DF25)))*(nTP_OK*BO25*(nTP_UTC_n&lt;=N(BQ25))+(1-nTP_OK*BO25)*(nTP_Loc_n&lt;=N(BP25)))+(1-nTP_HT*DD25*BN25)*(nTP_Hi_n&gt;=N(DH25))*(nTP_Lo_n&lt;=N(BS25)))),1),0))</f>
        <v>0</v>
      </c>
      <c r="EU25" s="22">
        <f>IF(EP25&lt;2,0,IFERROR(_xlfn.AGGREGATE(15,6,nTP_RowN/((nTP_Case_Key=AX25)*(nTP_Role="treatment of the event")*((nTP_Record_Type="EXPOSURE_START")+(nTP_Record_Type="ADMINISTRATION"))*(nTP_Err="")*(nTP_HT*DD25*BN25*(nTP_OK*DE25*(nTP_UTC_n&gt;=N(DG25))+(1-nTP_OK*DE25)*(nTP_Loc_n&gt;=N(DF25)))*(nTP_OK*BO25*(nTP_UTC_n&lt;=N(BQ25))+(1-nTP_OK*BO25)*(nTP_Loc_n&lt;=N(BP25)))+(1-nTP_HT*DD25*BN25)*(nTP_Hi_n&gt;=N(DH25))*(nTP_Lo_n&lt;=N(BS25)))),2),0))</f>
        <v>0</v>
      </c>
      <c r="EV25" s="22">
        <f>IF(EP25&lt;3,0,IFERROR(_xlfn.AGGREGATE(15,6,nTP_RowN/((nTP_Case_Key=AX25)*(nTP_Role="treatment of the event")*((nTP_Record_Type="EXPOSURE_START")+(nTP_Record_Type="ADMINISTRATION"))*(nTP_Err="")*(nTP_HT*DD25*BN25*(nTP_OK*DE25*(nTP_UTC_n&gt;=N(DG25))+(1-nTP_OK*DE25)*(nTP_Loc_n&gt;=N(DF25)))*(nTP_OK*BO25*(nTP_UTC_n&lt;=N(BQ25))+(1-nTP_OK*BO25)*(nTP_Loc_n&lt;=N(BP25)))+(1-nTP_HT*DD25*BN25)*(nTP_Hi_n&gt;=N(DH25))*(nTP_Lo_n&lt;=N(BS25)))),3),0))</f>
        <v>0</v>
      </c>
      <c r="EW25" s="22">
        <f>IF(CE25&lt;1,0,IFERROR(_xlfn.AGGREGATE(15,6,nTP_RowN/((nTP_CandKey=BX25)*(nTP_Err="")*(1-nTP_Exact)*((nTP_HT*BN25*((nTP_OK*BO25*(nTP_UTC_n-N(BQ25))+(1-nTP_OK*BO25)*(nTP_Loc_n-N(BP25)))&lt;=0)+(1-nTP_HT*BN25)*(nTP_Hi_n&lt;N(BR25)))+((1-nTP_HT*BN25)*(nTP_Lo_n=nTP_Hi_n)*(nTP_Lo_n=N(BR25))*(N(BR25)=N(BS25))))),1),0))</f>
        <v>0</v>
      </c>
      <c r="EX25" s="22">
        <f>IF(CE25&lt;2,0,IFERROR(_xlfn.AGGREGATE(15,6,nTP_RowN/((nTP_CandKey=BX25)*(nTP_Err="")*(1-nTP_Exact)*((nTP_HT*BN25*((nTP_OK*BO25*(nTP_UTC_n-N(BQ25))+(1-nTP_OK*BO25)*(nTP_Loc_n-N(BP25)))&lt;=0)+(1-nTP_HT*BN25)*(nTP_Hi_n&lt;N(BR25)))+((1-nTP_HT*BN25)*(nTP_Lo_n=nTP_Hi_n)*(nTP_Lo_n=N(BR25))*(N(BR25)=N(BS25))))),2),0))</f>
        <v>0</v>
      </c>
      <c r="EY25" s="22">
        <f>IF(CE25&lt;3,0,IFERROR(_xlfn.AGGREGATE(15,6,nTP_RowN/((nTP_CandKey=BX25)*(nTP_Err="")*(1-nTP_Exact)*((nTP_HT*BN25*((nTP_OK*BO25*(nTP_UTC_n-N(BQ25))+(1-nTP_OK*BO25)*(nTP_Loc_n-N(BP25)))&lt;=0)+(1-nTP_HT*BN25)*(nTP_Hi_n&lt;N(BR25)))+((1-nTP_HT*BN25)*(nTP_Lo_n=nTP_Hi_n)*(nTP_Lo_n=N(BR25))*(N(BR25)=N(BS25))))),3),0))</f>
        <v>0</v>
      </c>
      <c r="EZ25" s="21" t="str">
        <f>IF(EO25=0,"",MID(IF(EQ25&gt;0,"; "&amp;INDEX(nTP_Record_ID,EQ25)&amp;IF(INDEX(nTP_Label,EQ25)="",""," ("&amp;INDEX(nTP_Label,EQ25)&amp;")"),"")&amp;IF(ER25&gt;0,"; "&amp;INDEX(nTP_Record_ID,ER25)&amp;IF(INDEX(nTP_Label,ER25)="",""," ("&amp;INDEX(nTP_Label,ER25)&amp;")"),"")&amp;IF(ES25&gt;0,"; "&amp;INDEX(nTP_Record_ID,ES25)&amp;IF(INDEX(nTP_Label,ES25)="",""," ("&amp;INDEX(nTP_Label,ES25)&amp;")"),"")&amp;IF(EO25&gt;3,"; and "&amp;(EO25-3)&amp;" more",""),3,999))</f>
        <v/>
      </c>
      <c r="FA25" s="21" t="str">
        <f>IF(EO25=0,"",MID(IF(EQ25&gt;0,"; "&amp;INDEX(nTP_Record_ID,EQ25),"")&amp;IF(ER25&gt;0,"; "&amp;INDEX(nTP_Record_ID,ER25),"")&amp;IF(ES25&gt;0,"; "&amp;INDEX(nTP_Record_ID,ES25),"")&amp;IF(EO25&gt;3,"; and "&amp;(EO25-3)&amp;" more",""),3,999))</f>
        <v/>
      </c>
      <c r="FB25" s="21" t="str">
        <f>IF(EP25=0,"",MID(IF(ET25&gt;0,"; "&amp;INDEX(nTP_Record_ID,ET25)&amp;IF(INDEX(nTP_Label,ET25)="",""," ("&amp;INDEX(nTP_Label,ET25)&amp;")"),"")&amp;IF(EU25&gt;0,"; "&amp;INDEX(nTP_Record_ID,EU25)&amp;IF(INDEX(nTP_Label,EU25)="",""," ("&amp;INDEX(nTP_Label,EU25)&amp;")"),"")&amp;IF(EV25&gt;0,"; "&amp;INDEX(nTP_Record_ID,EV25)&amp;IF(INDEX(nTP_Label,EV25)="",""," ("&amp;INDEX(nTP_Label,EV25)&amp;")"),"")&amp;IF(EP25&gt;3,"; and "&amp;(EP25-3)&amp;" more",""),3,999))</f>
        <v/>
      </c>
      <c r="FC25" s="21" t="str">
        <f>IF(CE25=0,"",MID(IF(EW25&gt;0,"; "&amp;INDEX(nTP_Record_ID,EW25),"")&amp;IF(EX25&gt;0,"; "&amp;INDEX(nTP_Record_ID,EX25),"")&amp;IF(EY25&gt;0,"; "&amp;INDEX(nTP_Record_ID,EY25),"")&amp;IF(CE25&gt;3,"; and "&amp;(CE25-3)&amp;" more",""),3,999))</f>
        <v/>
      </c>
      <c r="FD25" s="22">
        <f t="shared" si="55"/>
        <v>0</v>
      </c>
      <c r="FE25" s="22">
        <f t="shared" si="56"/>
        <v>0</v>
      </c>
      <c r="FF25" s="22">
        <f t="shared" si="57"/>
        <v>0</v>
      </c>
      <c r="FG25" s="22">
        <f t="shared" si="58"/>
        <v>0</v>
      </c>
      <c r="FH25" s="22">
        <f t="shared" si="59"/>
        <v>0</v>
      </c>
      <c r="FI25" s="22">
        <f t="shared" si="60"/>
        <v>0</v>
      </c>
      <c r="FJ25" s="22">
        <f t="shared" si="61"/>
        <v>0</v>
      </c>
      <c r="FK25" s="22">
        <f t="shared" si="62"/>
        <v>0</v>
      </c>
    </row>
    <row r="26" spans="1:167" x14ac:dyDescent="0.2">
      <c r="A26" s="10"/>
      <c r="B26" s="10"/>
      <c r="C26" s="12"/>
      <c r="D26" s="10"/>
      <c r="E26" s="17"/>
      <c r="F26" s="10"/>
      <c r="G26" s="10"/>
      <c r="H26" s="10"/>
      <c r="I26" s="17"/>
      <c r="J26" s="17"/>
      <c r="K26" s="10"/>
      <c r="L26" s="17"/>
      <c r="M26" s="17"/>
      <c r="N26" s="17"/>
      <c r="O26" s="10"/>
      <c r="P26" s="15"/>
      <c r="Q26" s="15"/>
      <c r="R26" s="10"/>
      <c r="S26" s="10"/>
      <c r="T26" s="21" t="str">
        <f t="shared" si="0"/>
        <v/>
      </c>
      <c r="U26" s="21" t="str">
        <f t="shared" si="1"/>
        <v/>
      </c>
      <c r="V26" s="21" t="str">
        <f t="shared" si="2"/>
        <v/>
      </c>
      <c r="W26" s="21" t="str">
        <f t="shared" si="3"/>
        <v/>
      </c>
      <c r="X26" s="21" t="str">
        <f t="shared" si="4"/>
        <v/>
      </c>
      <c r="Y26" s="21" t="str">
        <f t="shared" si="5"/>
        <v/>
      </c>
      <c r="Z26" s="21" t="str">
        <f t="shared" si="6"/>
        <v/>
      </c>
      <c r="AA26" s="21" t="str">
        <f t="shared" si="7"/>
        <v/>
      </c>
      <c r="AB26" s="21" t="str">
        <f t="shared" si="8"/>
        <v/>
      </c>
      <c r="AC26" s="21" t="str">
        <f t="shared" si="9"/>
        <v/>
      </c>
      <c r="AD26" s="21" t="str">
        <f>IF(AW26=1,"",MID(IF(ISNUMBER(SEARCH("E_INVALID_DATE",EG26))," | E_INVALID_DATE: "&amp;SUBSTITUTE(IFERROR(INDEX(nMSG_Text,MATCH("E_INVALID_DATE",nMSG_Code,0)),""),"[input]",""),"")&amp;IF(ISNUMBER(SEARCH("E_REVERSED_BOUNDS",EG26))," | E_REVERSED_BOUNDS: "&amp;SUBSTITUTE(IFERROR(INDEX(nMSG_Text,MATCH("E_REVERSED_BOUNDS",nMSG_Code,0)),""),"[input]",""),"")&amp;IF(ISNUMBER(SEARCH("E_DUPLICATE_ID",EG26))," | E_DUPLICATE_ID: "&amp;SUBSTITUTE(IFERROR(INDEX(nMSG_Text,MATCH("E_DUPLICATE_ID",nMSG_Code,0)),""),"[input]",""),"")&amp;IF(ISNUMBER(SEARCH("E_MISSING_LINK",EG26))," | E_MISSING_LINK: "&amp;SUBSTITUTE(IFERROR(INDEX(nMSG_Text,MATCH("E_MISSING_LINK",nMSG_Code,0)),""),"[input]",""),"")&amp;IF(ISNUMBER(SEARCH("E_MISSING_INPUT",EG26))," | E_MISSING_INPUT: "&amp;SUBSTITUTE(IFERROR(INDEX(nMSG_Text,MATCH("E_MISSING_INPUT",nMSG_Code,0)),""),"[input]",IF(EH26="","an input",EH26)),"")&amp;IF(ISNUMBER(SEARCH("E_INVALID_UNIT",EG26))," | E_INVALID_UNIT: "&amp;SUBSTITUTE(IFERROR(INDEX(nMSG_Text,MATCH("E_INVALID_UNIT",nMSG_Code,0)),""),"[input]",""),"")&amp;IF(FD26=1," | W_TZ_UNKNOWN: "&amp;SUBSTITUTE(IFERROR(INDEX(nMSG_Text,MATCH("W_TZ_UNKNOWN",nMSG_Code,0)),""),"[input]",""),"")&amp;IF(FE26=1," | W_SAME_DATE_ORDER_UNKNOWN: "&amp;SUBSTITUTE(IFERROR(INDEX(nMSG_Text,MATCH("W_SAME_DATE_ORDER_UNKNOWN",nMSG_Code,0)),""),"[input]",""),"")&amp;IF(FF26=1," | W_SEQUENCE_UNCERTAIN: "&amp;SUBSTITUTE(IFERROR(INDEX(nMSG_Text,MATCH("W_SEQUENCE_UNCERTAIN",nMSG_Code,0)),""),"[input]",""),"")&amp;IF(FG26=1," | W_ADMIN_SAME_DATE_AS_ONSET: "&amp;SUBSTITUTE(IFERROR(INDEX(nMSG_Text,MATCH("W_ADMIN_SAME_DATE_AS_ONSET",nMSG_Code,0)),""),"[input]",""),"")&amp;IF(FH26=1," | W_REPORTED_TIMING_CONFLICT: "&amp;SUBSTITUTE(IFERROR(INDEX(nMSG_Text,MATCH("W_REPORTED_TIMING_CONFLICT",nMSG_Code,0)),""),"[input]",""),"")&amp;IF(FI26=1," | W_INTERVENTION_BEFORE_RECOVERY: "&amp;SUBSTITUTE(IFERROR(INDEX(nMSG_Text,MATCH("W_INTERVENTION_BEFORE_RECOVERY",nMSG_Code,0)),""),"[input]",""),"")&amp;IF(FJ26=1," | I_TREATMENT_DAY_UNDEFINED: "&amp;SUBSTITUTE(IFERROR(INDEX(nMSG_Text,MATCH("I_TREATMENT_DAY_UNDEFINED",nMSG_Code,0)),""),"[input]",""),"")&amp;IF(FK26=1," | I_APPROXIMATE_NOT_COMPARED: "&amp;SUBSTITUTE(IFERROR(INDEX(nMSG_Text,MATCH("I_APPROXIMATE_NOT_COMPARED",nMSG_Code,0)),""),"[input]",""),""),4,9999))</f>
        <v/>
      </c>
      <c r="AE26" s="21" t="str">
        <f t="shared" si="10"/>
        <v/>
      </c>
      <c r="AF26" s="21" t="str">
        <f t="shared" si="11"/>
        <v/>
      </c>
      <c r="AG26" s="21" t="str">
        <f>IF(EN26="","",MID(IF(ISNUMBER(SEARCH("E_REVERSED_BOUNDS",EN26))," | E_REVERSED_BOUNDS: "&amp;SUBSTITUTE(IFERROR(INDEX(nMSG_Text,MATCH("E_REVERSED_BOUNDS",nMSG_Code,0)),""),"[input]",""),"")&amp;IF(ISNUMBER(SEARCH("E_MISSING_INPUT",EN26))," | E_MISSING_INPUT: "&amp;SUBSTITUTE(IFERROR(INDEX(nMSG_Text,MATCH("E_MISSING_INPUT",nMSG_Code,0)),""),"[input]",IF("the source of the constraint"="","an input","the source of the constraint")),""),4,999))</f>
        <v/>
      </c>
      <c r="AH26" s="21" t="str">
        <f t="shared" si="12"/>
        <v/>
      </c>
      <c r="AI26" s="21" t="str">
        <f t="shared" si="13"/>
        <v/>
      </c>
      <c r="AJ26" s="21" t="str">
        <f t="shared" si="14"/>
        <v/>
      </c>
      <c r="AK26" s="21" t="str">
        <f t="shared" si="15"/>
        <v/>
      </c>
      <c r="AL26" s="21" t="str">
        <f>IF(CY26=0,"",INDEX(nTP_ISO,CY26))</f>
        <v/>
      </c>
      <c r="AM26" s="21" t="str">
        <f>IF(CY26=0,"",INDEX(nTP_Display,CY26))</f>
        <v/>
      </c>
      <c r="AN26" s="21" t="str">
        <f>IF(BI26=0,"",INDEX(nTP_ISO,BI26))</f>
        <v/>
      </c>
      <c r="AO26" s="21" t="str">
        <f>IF(BI26=0,"",INDEX(nTP_Display,BI26))</f>
        <v/>
      </c>
      <c r="AP26" s="21" t="str">
        <f>IF(BA26=0,"",INDEX(nLNK_Exposure_Episode_ID,BA26)&amp;"")</f>
        <v/>
      </c>
      <c r="AQ26" s="21" t="str">
        <f>IF(BA26=0,"",INDEX(nLNK_Event_Episode_ID,BA26)&amp;"")</f>
        <v/>
      </c>
      <c r="AR26" s="21" t="str">
        <f t="shared" si="16"/>
        <v/>
      </c>
      <c r="AS26" s="21" t="str">
        <f>IF(EI26=0,"",MID(IF(DT26=1," | Recovery interval (C7) computed with "&amp;DS26&amp;".","")&amp;IF(BG26=1," | Anchor selected under C5 (CALC-SPEC 1.1): latest administration with an exact date or time at or before "&amp;IF(BH26=1,"onset","the end point")&amp;" ("&amp;AJ26&amp;"), ordered in UTC when offsets are known; later administrations are never selected.","")&amp;IF(AND(BG26=1,CE26&gt;0)," | Partial-date administrations wholly before the selected one were not candidates: "&amp;FC26&amp;".","")&amp;IF(BV26&lt;&gt;""," | "&amp;BV26,"")&amp;IF(AND(DS26="C2",EA26=0,DZ26&lt;&gt;"")," | Same calendar date; both times are known, so C1 decides the order ("&amp;AA26&amp;").","")&amp;IF(AND(DS26="C2",DD26*BN26=1,DT26=0)," | Calendar-date difference from the recorded local dates; it is never described as elapsed days.","")&amp;IF(AND(DS26="C4",DT26=0)," | Bounds are treated as independent; no single date is imputed from them.","")&amp;IF(EJ26=1," | Treatment day under the inclusive convention (C3); never written to E2B fields automatically.","")&amp;IF(AND(DS26="C4",DT26=0,EK26=0)," | No constraint applied.","")&amp;IF(AND(DS26="C4",EK26=1)," | Constraint applied to the anchor bounds: "&amp;IF(ISNUMBER(P26),"not before "&amp;DAY(P26)&amp;" "&amp;INDEX(nLIST_Months,MONTH(P26))&amp;" "&amp;YEAR(P26),"")&amp;IF(AND(ISNUMBER(P26),ISNUMBER(Q26)),", ","")&amp;IF(ISNUMBER(Q26),"not after "&amp;DAY(Q26)&amp;" "&amp;INDEX(nLIST_Months,MONTH(Q26))&amp;" "&amp;YEAR(Q26),"")&amp;". Source: "&amp;IF(R26="","not recorded",R26)&amp;IF(EN26="",". Constrained result shown beside the unconstrained one.",". Constrained result blocked ("&amp;EN26&amp;")."),"")&amp;IF(DT26=1,IF(EO26&gt;0," | Intervention recorded between cessation and recovery (ends included): "&amp;EZ26&amp;"."," | No intervention is recorded between cessation and recovery; absence of a record is not evidence that none was given."),"")&amp;IF(AND(DT26=1,DV26&gt;0)," | Intervention recorded without a date, so whether it came before recovery is unknown: "&amp;INDEX(nMS_Milestone_ID,MATCH(1,INDEX((nMS_CaseKey=AX26)*(nMS_Type="INTERVENTION")*nMS_Undated,0),0))&amp;IF(DV26&gt;1," and "&amp;(DV26-1)&amp;" more","")&amp;".","")&amp;IF(AND(DT26=1,EP26&gt;0)," | Not counted as interventions, because they are recorded as exposures rather than as intervention milestones (nothing is inferred): "&amp;FB26&amp;". If treatment was given, record it as an intervention milestone.",""),4,9999))</f>
        <v/>
      </c>
      <c r="AT26" s="21" t="str">
        <f t="shared" si="17"/>
        <v/>
      </c>
      <c r="AU26" s="21" t="str">
        <f t="shared" si="18"/>
        <v/>
      </c>
      <c r="AV26" s="21" t="str">
        <f t="shared" si="19"/>
        <v/>
      </c>
      <c r="AW26" s="22">
        <f t="shared" si="20"/>
        <v>1</v>
      </c>
      <c r="AX26" s="21" t="str">
        <f t="shared" si="21"/>
        <v>|</v>
      </c>
      <c r="AY26" s="21" t="str">
        <f t="shared" si="22"/>
        <v/>
      </c>
      <c r="AZ26" s="22">
        <f>IF(AY26="",0,COUNTIF(nINT_Key,AY26))</f>
        <v>0</v>
      </c>
      <c r="BA26" s="22">
        <f>IF(D26="",0,IFERROR(MATCH(AX26&amp;"|"&amp;D26,nLNK_Key,0),0))</f>
        <v>0</v>
      </c>
      <c r="BB26" s="22">
        <f>IF(BA26=0,1,INDEX(nLNK_Exp_Found,BA26))</f>
        <v>1</v>
      </c>
      <c r="BC26" s="22">
        <f>IF(BA26=0,1,INDEX(nLNK_Evt_Found,BA26))</f>
        <v>1</v>
      </c>
      <c r="BD26" s="22">
        <f>IF(AP26="",0,COUNTIF(nEXP_Key,AX26&amp;"|"&amp;AP26))</f>
        <v>0</v>
      </c>
      <c r="BE26" s="22">
        <f>IF(AQ26="",0,COUNTIF(nEVT_Key,AX26&amp;"|"&amp;AQ26))</f>
        <v>0</v>
      </c>
      <c r="BF26" s="22">
        <f>IF(ISNA(MATCH(E26,nLIST_AnchorType,0)),0,1)</f>
        <v>0</v>
      </c>
      <c r="BG26" s="22">
        <f t="shared" si="23"/>
        <v>0</v>
      </c>
      <c r="BH26" s="22">
        <f t="shared" si="24"/>
        <v>0</v>
      </c>
      <c r="BI26" s="22">
        <f>IF(OR(AW26=1,AK26=""),0,IFERROR(MATCH(AX26&amp;"|"&amp;AK26,nTP_Key,0),0))</f>
        <v>0</v>
      </c>
      <c r="BJ26" s="21">
        <f>IF(BI26=0,0,INDEX(nTP_Dup,BI26))</f>
        <v>0</v>
      </c>
      <c r="BK26" s="21" t="str">
        <f>IF(BI26=0,"",INDEX(nTP_Record_Type,BI26))</f>
        <v/>
      </c>
      <c r="BL26" s="21" t="str">
        <f>IF(BI26=0,"",INDEX(nTP_Precision,BI26))</f>
        <v/>
      </c>
      <c r="BM26" s="21" t="str">
        <f>IF(BI26=0,"",INDEX(nTP_Err,BI26))</f>
        <v/>
      </c>
      <c r="BN26" s="21">
        <f>IF(BI26=0,0,INDEX(nTP_HT,BI26))</f>
        <v>0</v>
      </c>
      <c r="BO26" s="21">
        <f>IF(BI26=0,0,INDEX(nTP_OK,BI26))</f>
        <v>0</v>
      </c>
      <c r="BP26" s="21" t="str">
        <f>IF(BI26=0,"",INDEX(nTP_Loc,BI26))</f>
        <v/>
      </c>
      <c r="BQ26" s="21" t="str">
        <f>IF(BI26=0,"",INDEX(nTP_UTC,BI26))</f>
        <v/>
      </c>
      <c r="BR26" s="21" t="str">
        <f>IF(BI26=0,"",INDEX(nTP_Lo,BI26))</f>
        <v/>
      </c>
      <c r="BS26" s="21" t="str">
        <f>IF(BI26=0,"",INDEX(nTP_Hi,BI26))</f>
        <v/>
      </c>
      <c r="BT26" s="21" t="str">
        <f>IF(BI26=0,"",INDEX(nTP_Original_Text,BI26))</f>
        <v/>
      </c>
      <c r="BU26" s="21" t="str">
        <f>IF(BI26=0,"",INDEX(nTP_Source,BI26))</f>
        <v/>
      </c>
      <c r="BV26" s="21" t="str">
        <f>IF(BI26=0,"",INDEX(nTP_Lab_Note,BI26))</f>
        <v/>
      </c>
      <c r="BW26" s="22">
        <f t="shared" si="25"/>
        <v>0</v>
      </c>
      <c r="BX26" s="21" t="str">
        <f t="shared" si="26"/>
        <v>||</v>
      </c>
      <c r="BY26" s="22">
        <f>IF(BG26=0,0,COUNTIF(nTP_CandKey,BX26))</f>
        <v>0</v>
      </c>
      <c r="BZ26" s="22">
        <f>IF(BG26=0,0,COUNTIFS(nTP_CandKey,BX26,nTP_Err,""))</f>
        <v>0</v>
      </c>
      <c r="CA26" s="21" t="str">
        <f>IF(BY26=BZ26,"",IF(COUNTIFS(nTP_CandKey,BX26,nTP_Err,"E_INVALID_DATE")&gt;0,"; E_INVALID_DATE","")&amp;IF(COUNTIFS(nTP_CandKey,BX26,nTP_Err,"E_REVERSED_BOUNDS")&gt;0,"; E_REVERSED_BOUNDS","")&amp;IF(COUNTIFS(nTP_CandKey,BX26,nTP_Err,"E_MISSING_INPUT")&gt;0,"; E_MISSING_INPUT","")&amp;IF(COUNTIFS(nTP_CandKey,BX26,nTP_Err,"E_INVALID_UNIT")&gt;0,"; E_INVALID_UNIT",""))</f>
        <v/>
      </c>
      <c r="CB26" s="22">
        <f t="shared" si="27"/>
        <v>0</v>
      </c>
      <c r="CC26" s="22">
        <f>IF(CB26=0,0,SUMPRODUCT((nTP_CandKey=BX26)*(nTP_Err="")*(1-(nTP_HT*BN26*((nTP_OK*BO26*(nTP_UTC_n-N(BQ26))+(1-nTP_OK*BO26)*(nTP_Loc_n-N(BP26)))&lt;=0)+(1-nTP_HT*BN26)*(nTP_Hi_n&lt;N(BR26)))-(nTP_HT*BN26*((nTP_OK*BO26*(nTP_UTC_n-N(BQ26))+(1-nTP_OK*BO26)*(nTP_Loc_n-N(BP26)))&gt;0)+(1-nTP_HT*BN26)*(nTP_Lo_n&gt;N(BS26)))-((1-nTP_HT*BN26)*(nTP_Lo_n=nTP_Hi_n)*(nTP_Lo_n=N(BR26))*(N(BR26)=N(BS26))))))</f>
        <v>0</v>
      </c>
      <c r="CD26" s="22">
        <f>IF(CB26=0,0,SUMPRODUCT((nTP_CandKey=BX26)*nTP_Exact*((nTP_HT*BN26*((nTP_OK*BO26*(nTP_UTC_n-N(BQ26))+(1-nTP_OK*BO26)*(nTP_Loc_n-N(BP26)))&lt;=0)+(1-nTP_HT*BN26)*(nTP_Hi_n&lt;N(BR26)))+((1-nTP_HT*BN26)*(nTP_Lo_n=nTP_Hi_n)*(nTP_Lo_n=N(BR26))*(N(BR26)=N(BS26))))))</f>
        <v>0</v>
      </c>
      <c r="CE26" s="22">
        <f>IF(CB26=0,0,SUMPRODUCT((nTP_CandKey=BX26)*(nTP_Err="")*(1-nTP_Exact)*((nTP_HT*BN26*((nTP_OK*BO26*(nTP_UTC_n-N(BQ26))+(1-nTP_OK*BO26)*(nTP_Loc_n-N(BP26)))&lt;=0)+(1-nTP_HT*BN26)*(nTP_Hi_n&lt;N(BR26)))+((1-nTP_HT*BN26)*(nTP_Lo_n=nTP_Hi_n)*(nTP_Lo_n=N(BR26))*(N(BR26)=N(BS26))))))</f>
        <v>0</v>
      </c>
      <c r="CF26" s="22">
        <f>IF(CD26=0,0,SUMPRODUCT(MAX((nTP_CandKey=BX26)*nTP_Exact*((nTP_HT*BN26*((nTP_OK*BO26*(nTP_UTC_n-N(BQ26))+(1-nTP_OK*BO26)*(nTP_Loc_n-N(BP26)))&lt;=0)+(1-nTP_HT*BN26)*(nTP_Hi_n&lt;N(BR26)))+((1-nTP_HT*BN26)*(nTP_Lo_n=nTP_Hi_n)*(nTP_Lo_n=N(BR26))*(N(BR26)=N(BS26))))*nTP_Lo_n)))</f>
        <v>0</v>
      </c>
      <c r="CG26" s="22">
        <f>IF(CD26=0,0,SUMPRODUCT((nTP_CandKey=BX26)*nTP_Exact*((nTP_HT*BN26*((nTP_OK*BO26*(nTP_UTC_n-N(BQ26))+(1-nTP_OK*BO26)*(nTP_Loc_n-N(BP26)))&lt;=0)+(1-nTP_HT*BN26)*(nTP_Hi_n&lt;N(BR26)))+((1-nTP_HT*BN26)*(nTP_Lo_n=nTP_Hi_n)*(nTP_Lo_n=N(BR26))*(N(BR26)=N(BS26))))*(nTP_Lo_n=CF26)))</f>
        <v>0</v>
      </c>
      <c r="CH26" s="22">
        <f>IF(CD26=0,0,SUMPRODUCT((nTP_CandKey=BX26)*nTP_Exact*((nTP_HT*BN26*((nTP_OK*BO26*(nTP_UTC_n-N(BQ26))+(1-nTP_OK*BO26)*(nTP_Loc_n-N(BP26)))&lt;=0)+(1-nTP_HT*BN26)*(nTP_Hi_n&lt;N(BR26)))+((1-nTP_HT*BN26)*(nTP_Lo_n=nTP_Hi_n)*(nTP_Lo_n=N(BR26))*(N(BR26)=N(BS26))))*(1-nTP_HT)*(nTP_Lo_n=CF26)))</f>
        <v>0</v>
      </c>
      <c r="CI26" s="22">
        <f>IF(CD26=0,0,SUMPRODUCT(MAX((nTP_CandKey=BX26)*nTP_Exact*((nTP_HT*BN26*((nTP_OK*BO26*(nTP_UTC_n-N(BQ26))+(1-nTP_OK*BO26)*(nTP_Loc_n-N(BP26)))&lt;=0)+(1-nTP_HT*BN26)*(nTP_Hi_n&lt;N(BR26)))+((1-nTP_HT*BN26)*(nTP_Lo_n=nTP_Hi_n)*(nTP_Lo_n=N(BR26))*(N(BR26)=N(BS26))))*(1-nTP_HT)*nTP_Lo_n)))</f>
        <v>0</v>
      </c>
      <c r="CJ26" s="22">
        <f>IF(CD26=0,0,SUMPRODUCT(MAX((nTP_CandKey=BX26)*nTP_Exact*((nTP_HT*BN26*((nTP_OK*BO26*(nTP_UTC_n-N(BQ26))+(1-nTP_OK*BO26)*(nTP_Loc_n-N(BP26)))&lt;=0)+(1-nTP_HT*BN26)*(nTP_Hi_n&lt;N(BR26)))+((1-nTP_HT*BN26)*(nTP_Lo_n=nTP_Hi_n)*(nTP_Lo_n=N(BR26))*(N(BR26)=N(BS26))))*nTP_HT*nTP_OK*nTP_UTC_n)))</f>
        <v>0</v>
      </c>
      <c r="CK26" s="22">
        <f>IF(CJ26=0,0,SUMPRODUCT((nTP_CandKey=BX26)*nTP_Exact*((nTP_HT*BN26*((nTP_OK*BO26*(nTP_UTC_n-N(BQ26))+(1-nTP_OK*BO26)*(nTP_Loc_n-N(BP26)))&lt;=0)+(1-nTP_HT*BN26)*(nTP_Hi_n&lt;N(BR26)))+((1-nTP_HT*BN26)*(nTP_Lo_n=nTP_Hi_n)*(nTP_Lo_n=N(BR26))*(N(BR26)=N(BS26))))*nTP_HT*nTP_OK*(nTP_UTC_n=CJ26)))</f>
        <v>0</v>
      </c>
      <c r="CL26" s="22">
        <f>IF(CK26&lt;&gt;1,0,SUMPRODUCT((nTP_CandKey=BX26)*nTP_Exact*((nTP_HT*BN26*((nTP_OK*BO26*(nTP_UTC_n-N(BQ26))+(1-nTP_OK*BO26)*(nTP_Loc_n-N(BP26)))&lt;=0)+(1-nTP_HT*BN26)*(nTP_Hi_n&lt;N(BR26)))+((1-nTP_HT*BN26)*(nTP_Lo_n=nTP_Hi_n)*(nTP_Lo_n=N(BR26))*(N(BR26)=N(BS26))))*nTP_HT*nTP_OK*(nTP_UTC_n=CJ26)*nTP_Loc_n))</f>
        <v>0</v>
      </c>
      <c r="CM26" s="22">
        <f>IF(CK26&lt;&gt;1,0,SUMPRODUCT((nTP_CandKey=BX26)*nTP_Exact*((nTP_HT*BN26*((nTP_OK*BO26*(nTP_UTC_n-N(BQ26))+(1-nTP_OK*BO26)*(nTP_Loc_n-N(BP26)))&lt;=0)+(1-nTP_HT*BN26)*(nTP_Hi_n&lt;N(BR26)))+((1-nTP_HT*BN26)*(nTP_Lo_n=nTP_Hi_n)*(nTP_Lo_n=N(BR26))*(N(BR26)=N(BS26))))*nTP_HT*nTP_OK*(nTP_UTC_n=CJ26)*nTP_Lo_n))</f>
        <v>0</v>
      </c>
      <c r="CN26" s="22">
        <f>IF(CD26=0,0,SUMPRODUCT(MAX((nTP_CandKey=BX26)*nTP_Exact*((nTP_HT*BN26*((nTP_OK*BO26*(nTP_UTC_n-N(BQ26))+(1-nTP_OK*BO26)*(nTP_Loc_n-N(BP26)))&lt;=0)+(1-nTP_HT*BN26)*(nTP_Hi_n&lt;N(BR26)))+((1-nTP_HT*BN26)*(nTP_Lo_n=nTP_Hi_n)*(nTP_Lo_n=N(BR26))*(N(BR26)=N(BS26))))*nTP_HT*(1-nTP_OK)*nTP_Loc_n)))</f>
        <v>0</v>
      </c>
      <c r="CO26" s="22">
        <f>IF(CN26=0,0,SUMPRODUCT((nTP_CandKey=BX26)*nTP_Exact*((nTP_HT*BN26*((nTP_OK*BO26*(nTP_UTC_n-N(BQ26))+(1-nTP_OK*BO26)*(nTP_Loc_n-N(BP26)))&lt;=0)+(1-nTP_HT*BN26)*(nTP_Hi_n&lt;N(BR26)))+((1-nTP_HT*BN26)*(nTP_Lo_n=nTP_Hi_n)*(nTP_Lo_n=N(BR26))*(N(BR26)=N(BS26))))*nTP_HT*(1-nTP_OK)*(nTP_Loc_n=CN26)))</f>
        <v>0</v>
      </c>
      <c r="CP26" s="22">
        <f>IF(CO26&lt;&gt;1,0,SUMPRODUCT((nTP_CandKey=BX26)*nTP_Exact*((nTP_HT*BN26*((nTP_OK*BO26*(nTP_UTC_n-N(BQ26))+(1-nTP_OK*BO26)*(nTP_Loc_n-N(BP26)))&lt;=0)+(1-nTP_HT*BN26)*(nTP_Hi_n&lt;N(BR26)))+((1-nTP_HT*BN26)*(nTP_Lo_n=nTP_Hi_n)*(nTP_Lo_n=N(BR26))*(N(BR26)=N(BS26))))*nTP_HT*(1-nTP_OK)*(nTP_Loc_n=CN26)*nTP_Lo_n))</f>
        <v>0</v>
      </c>
      <c r="CQ26" s="22">
        <f>IF(CD26=0,0,SUMPRODUCT(MAX((nTP_CandKey=BX26)*nTP_Exact*((nTP_HT*BN26*((nTP_OK*BO26*(nTP_UTC_n-N(BQ26))+(1-nTP_OK*BO26)*(nTP_Loc_n-N(BP26)))&lt;=0)+(1-nTP_HT*BN26)*(nTP_Hi_n&lt;N(BR26)))+((1-nTP_HT*BN26)*(nTP_Lo_n=nTP_Hi_n)*(nTP_Lo_n=N(BR26))*(N(BR26)=N(BS26))))*nTP_HT*nTP_OK*nTP_Loc_n)))</f>
        <v>0</v>
      </c>
      <c r="CR26" s="22">
        <f t="shared" si="28"/>
        <v>0</v>
      </c>
      <c r="CS26" s="22">
        <f>IF(CR26=0,0,IF(CR26=1,MATCH(1,INDEX((nTP_CandKey=BX26)*nTP_Exact*((nTP_HT*BN26*((nTP_OK*BO26*(nTP_UTC_n-N(BQ26))+(1-nTP_OK*BO26)*(nTP_Loc_n-N(BP26)))&lt;=0)+(1-nTP_HT*BN26)*(nTP_Hi_n&lt;N(BR26)))+((1-nTP_HT*BN26)*(nTP_Lo_n=nTP_Hi_n)*(nTP_Lo_n=N(BR26))*(N(BR26)=N(BS26))))*(1-nTP_HT)*(nTP_Lo_n=CF26),0),0),IF(CR26=2,MATCH(1,INDEX((nTP_CandKey=BX26)*nTP_Exact*((nTP_HT*BN26*((nTP_OK*BO26*(nTP_UTC_n-N(BQ26))+(1-nTP_OK*BO26)*(nTP_Loc_n-N(BP26)))&lt;=0)+(1-nTP_HT*BN26)*(nTP_Hi_n&lt;N(BR26)))+((1-nTP_HT*BN26)*(nTP_Lo_n=nTP_Hi_n)*(nTP_Lo_n=N(BR26))*(N(BR26)=N(BS26))))*nTP_HT*nTP_OK*(nTP_UTC_n=CJ26),0),0),MATCH(1,INDEX((nTP_CandKey=BX26)*nTP_Exact*((nTP_HT*BN26*((nTP_OK*BO26*(nTP_UTC_n-N(BQ26))+(1-nTP_OK*BO26)*(nTP_Loc_n-N(BP26)))&lt;=0)+(1-nTP_HT*BN26)*(nTP_Hi_n&lt;N(BR26)))+((1-nTP_HT*BN26)*(nTP_Lo_n=nTP_Hi_n)*(nTP_Lo_n=N(BR26))*(N(BR26)=N(BS26))))*nTP_HT*(1-nTP_OK)*(nTP_Loc_n=CN26),0),0))))</f>
        <v>0</v>
      </c>
      <c r="CT26" s="22">
        <f>IF(CS26=0,0,INDEX(nTP_Lo_n,CS26))</f>
        <v>0</v>
      </c>
      <c r="CU26" s="22">
        <f>IF(CS26=0,0,SUMPRODUCT((nTP_CandKey=BX26)*(nTP_Err="")*(1-nTP_Exact)*((nTP_HT*BN26*((nTP_OK*BO26*(nTP_UTC_n-N(BQ26))+(1-nTP_OK*BO26)*(nTP_Loc_n-N(BP26)))&lt;=0)+(1-nTP_HT*BN26)*(nTP_Hi_n&lt;N(BR26)))+((1-nTP_HT*BN26)*(nTP_Lo_n=nTP_Hi_n)*(nTP_Lo_n=N(BR26))*(N(BR26)=N(BS26))))*(nTP_Hi_n&gt;=CT26)))</f>
        <v>0</v>
      </c>
      <c r="CV26" s="21" t="str">
        <f t="shared" si="29"/>
        <v/>
      </c>
      <c r="CW26" s="21" t="str">
        <f>IF(AND(BG26=1,CB26=1,CV26="",CS26&gt;0),INDEX(nTP_Record_ID,CS26)&amp;"","")</f>
        <v/>
      </c>
      <c r="CX26" s="21" t="str">
        <f>IF(OR(CV26="",BG26=0),"",IF(CV26="none","an administration record (last dose before onset)",IF(CV26="uncertain","the anchor record: "&amp;INDEX(nTP_Record_ID,MATCH(1,INDEX((nTP_CandKey=BX26)*(nTP_Err="")*(1-(nTP_HT*BN26*((nTP_OK*BO26*(nTP_UTC_n-N(BQ26))+(1-nTP_OK*BO26)*(nTP_Loc_n-N(BP26)))&lt;=0)+(1-nTP_HT*BN26)*(nTP_Hi_n&lt;N(BR26)))-(nTP_HT*BN26*((nTP_OK*BO26*(nTP_UTC_n-N(BQ26))+(1-nTP_OK*BO26)*(nTP_Loc_n-N(BP26)))&gt;0)+(1-nTP_HT*BN26)*(nTP_Lo_n&gt;N(BS26)))-((1-nTP_HT*BN26)*(nTP_Lo_n=nTP_Hi_n)*(nTP_Lo_n=N(BR26))*(N(BR26)=N(BS26)))),0),0))&amp;IF(CC26&gt;1," and "&amp;(CC26-1)&amp;" more","")&amp;" may fall before or after the end point, so the last dose cannot be identified from the recorded dates",IF(CV26="noneligible","the anchor record: no administration with an exact date is recorded at or before the end point",IF(CV26="tie","the anchor record: the order of the latest administrations cannot be told from the recorded dates and times","the anchor record: partial-date administration "&amp;INDEX(nTP_Record_ID,MATCH(1,INDEX((nTP_CandKey=BX26)*(nTP_Err="")*(1-nTP_Exact)*((nTP_HT*BN26*((nTP_OK*BO26*(nTP_UTC_n-N(BQ26))+(1-nTP_OK*BO26)*(nTP_Loc_n-N(BP26)))&lt;=0)+(1-nTP_HT*BN26)*(nTP_Hi_n&lt;N(BR26)))+((1-nTP_HT*BN26)*(nTP_Lo_n=nTP_Hi_n)*(nTP_Lo_n=N(BR26))*(N(BR26)=N(BS26))))*(nTP_Hi_n&gt;=CT26),0),0))&amp;" could be the last dose before the end point")))))</f>
        <v/>
      </c>
      <c r="CY26" s="22">
        <f>IF(OR(AW26=1,AJ26=""),0,IFERROR(MATCH(AX26&amp;"|"&amp;AJ26,nTP_Key,0),0))</f>
        <v>0</v>
      </c>
      <c r="CZ26" s="21">
        <f>IF(CY26=0,0,INDEX(nTP_Dup,CY26))</f>
        <v>0</v>
      </c>
      <c r="DA26" s="21" t="str">
        <f>IF(CY26=0,"",INDEX(nTP_Record_Type,CY26))</f>
        <v/>
      </c>
      <c r="DB26" s="21" t="str">
        <f>IF(CY26=0,"",INDEX(nTP_Precision,CY26))</f>
        <v/>
      </c>
      <c r="DC26" s="21" t="str">
        <f>IF(CY26=0,"",INDEX(nTP_Err,CY26))</f>
        <v/>
      </c>
      <c r="DD26" s="21">
        <f>IF(CY26=0,0,INDEX(nTP_HT,CY26))</f>
        <v>0</v>
      </c>
      <c r="DE26" s="21">
        <f>IF(CY26=0,0,INDEX(nTP_OK,CY26))</f>
        <v>0</v>
      </c>
      <c r="DF26" s="21" t="str">
        <f>IF(CY26=0,"",INDEX(nTP_Loc,CY26))</f>
        <v/>
      </c>
      <c r="DG26" s="21" t="str">
        <f>IF(CY26=0,"",INDEX(nTP_UTC,CY26))</f>
        <v/>
      </c>
      <c r="DH26" s="21" t="str">
        <f>IF(CY26=0,"",INDEX(nTP_Lo,CY26))</f>
        <v/>
      </c>
      <c r="DI26" s="21" t="str">
        <f>IF(CY26=0,"",INDEX(nTP_Hi,CY26))</f>
        <v/>
      </c>
      <c r="DJ26" s="21" t="str">
        <f>IF(CY26=0,"",INDEX(nTP_Original_Text,CY26))</f>
        <v/>
      </c>
      <c r="DK26" s="21" t="str">
        <f>IF(CY26=0,"",INDEX(nTP_Source,CY26))</f>
        <v/>
      </c>
      <c r="DL26" s="22">
        <f t="shared" si="30"/>
        <v>0</v>
      </c>
      <c r="DM26" s="21" t="str">
        <f t="shared" si="31"/>
        <v/>
      </c>
      <c r="DN26" s="21" t="str">
        <f t="shared" si="32"/>
        <v/>
      </c>
      <c r="DO26" s="21" t="str">
        <f t="shared" si="33"/>
        <v/>
      </c>
      <c r="DP26" s="21" t="str">
        <f t="shared" si="34"/>
        <v/>
      </c>
      <c r="DQ26" s="21" t="str">
        <f t="shared" si="35"/>
        <v/>
      </c>
      <c r="DR26" s="22">
        <f>IF(OR(DQ26="",I26=""),0,IF(ISNA(MATCH(I26,nLIST_Mode,0)),1,IF(AND(I26="C1",DQ26&lt;&gt;"C1"),1,IF(AND(I26="C2",DQ26="C4"),1,0))))</f>
        <v>0</v>
      </c>
      <c r="DS26" s="21" t="str">
        <f t="shared" si="36"/>
        <v/>
      </c>
      <c r="DT26" s="22">
        <f t="shared" si="37"/>
        <v>0</v>
      </c>
      <c r="DU26" s="21" t="str">
        <f>IF(DT26=0,"",IF(COUNTIFS(nTP_Case_Key,AX26,nTP_Record_Type,"MILESTONE:INTERVENTION",nTP_Err,"E_INVALID_DATE")&gt;0,"; E_INVALID_DATE","")&amp;IF(COUNTIFS(nTP_Case_Key,AX26,nTP_Record_Type,"MILESTONE:INTERVENTION",nTP_Err,"E_REVERSED_BOUNDS")&gt;0,"; E_REVERSED_BOUNDS","")&amp;IF(COUNTIFS(nTP_Case_Key,AX26,nTP_Record_Type,"MILESTONE:INTERVENTION",nTP_Err,"E_MISSING_INPUT")&gt;0,"; E_MISSING_INPUT","")&amp;IF(COUNTIFS(nTP_Case_Key,AX26,nTP_Record_Type,"MILESTONE:INTERVENTION",nTP_Err,"E_INVALID_UNIT")&gt;0,"; E_INVALID_UNIT",""))</f>
        <v/>
      </c>
      <c r="DV26" s="22">
        <f>IF(DT26=0,0,SUMPRODUCT((nMS_CaseKey=AX26)*(nMS_Type="INTERVENTION")*nMS_Undated))</f>
        <v>0</v>
      </c>
      <c r="DW26" s="21" t="str">
        <f t="shared" si="38"/>
        <v/>
      </c>
      <c r="DX26" s="21" t="str">
        <f t="shared" si="39"/>
        <v/>
      </c>
      <c r="DY26" s="22">
        <f t="shared" si="40"/>
        <v>1</v>
      </c>
      <c r="DZ26" s="21" t="str">
        <f t="shared" si="41"/>
        <v/>
      </c>
      <c r="EA26" s="21" t="str">
        <f t="shared" si="42"/>
        <v/>
      </c>
      <c r="EB26" s="21" t="str">
        <f t="shared" si="43"/>
        <v/>
      </c>
      <c r="EC26" s="21" t="str">
        <f t="shared" si="44"/>
        <v/>
      </c>
      <c r="ED26" s="22">
        <f t="shared" si="45"/>
        <v>0</v>
      </c>
      <c r="EE26" s="22">
        <f t="shared" si="46"/>
        <v>0</v>
      </c>
      <c r="EF26" s="21" t="str">
        <f>IF(ED26=0,"",IF(OR(NOT(ISNUMBER(L26)),NOT(ISNUMBER(M26))),"I_APPROXIMATE_NOT_COMPARED",IF(AND(N26&lt;&gt;"",ISNA(MATCH(N26,nLIST_ReportedUnit,0))),"E_INVALID_UNIT",IF(N26="","E_MISSING_INPUT",IF(L26&gt;M26,"E_REVERSED_BOUNDS",IF(OR(N26="weeks",N26="months",N26="years"),"I_APPROXIMATE_NOT_COMPARED",IF(DX26&lt;&gt;"","",IF(EE26=0,"I_APPROXIMATE_NOT_COMPARED",IF(AND(L26*EE26&lt;=IF(DS26="C4",EC26,IF(DS26="C1",DZ26,EA26)),M26*EE26&gt;=IF(DS26="C4",EB26,IF(DS26="C1",DZ26,EA26))),"OVERLAP","W_REPORTED_TIMING_CONFLICT")))))))))</f>
        <v/>
      </c>
      <c r="EG26" s="21" t="str">
        <f t="shared" si="47"/>
        <v/>
      </c>
      <c r="EH26" s="21" t="str">
        <f t="shared" si="48"/>
        <v/>
      </c>
      <c r="EI26" s="22">
        <f t="shared" si="49"/>
        <v>0</v>
      </c>
      <c r="EJ26" s="22">
        <f t="shared" si="50"/>
        <v>0</v>
      </c>
      <c r="EK26" s="22">
        <f t="shared" si="51"/>
        <v>0</v>
      </c>
      <c r="EL26" s="28" t="str">
        <f t="shared" si="52"/>
        <v/>
      </c>
      <c r="EM26" s="28" t="str">
        <f t="shared" si="53"/>
        <v/>
      </c>
      <c r="EN26" s="21" t="str">
        <f t="shared" si="54"/>
        <v/>
      </c>
      <c r="EO26" s="22">
        <f>IF(OR(DT26=0,DX26&lt;&gt;""),0,SUMPRODUCT((nTP_Case_Key=AX26)*(nTP_Record_Type="MILESTONE:INTERVENTION")*(nTP_Err="")*(nTP_HT*DD26*BN26*(nTP_OK*DE26*(nTP_UTC_n&gt;=N(DG26))+(1-nTP_OK*DE26)*(nTP_Loc_n&gt;=N(DF26)))*(nTP_OK*BO26*(nTP_UTC_n&lt;=N(BQ26))+(1-nTP_OK*BO26)*(nTP_Loc_n&lt;=N(BP26)))+(1-nTP_HT*DD26*BN26)*(nTP_Hi_n&gt;=N(DH26))*(nTP_Lo_n&lt;=N(BS26)))))</f>
        <v>0</v>
      </c>
      <c r="EP26" s="22">
        <f>IF(OR(DT26=0,DX26&lt;&gt;""),0,SUMPRODUCT((nTP_Case_Key=AX26)*(nTP_Role="treatment of the event")*((nTP_Record_Type="EXPOSURE_START")+(nTP_Record_Type="ADMINISTRATION"))*(nTP_Err="")*(nTP_HT*DD26*BN26*(nTP_OK*DE26*(nTP_UTC_n&gt;=N(DG26))+(1-nTP_OK*DE26)*(nTP_Loc_n&gt;=N(DF26)))*(nTP_OK*BO26*(nTP_UTC_n&lt;=N(BQ26))+(1-nTP_OK*BO26)*(nTP_Loc_n&lt;=N(BP26)))+(1-nTP_HT*DD26*BN26)*(nTP_Hi_n&gt;=N(DH26))*(nTP_Lo_n&lt;=N(BS26)))))</f>
        <v>0</v>
      </c>
      <c r="EQ26" s="22">
        <f>IF(EO26&lt;1,0,IFERROR(_xlfn.AGGREGATE(15,6,nTP_RowN/((nTP_Case_Key=AX26)*(nTP_Record_Type="MILESTONE:INTERVENTION")*(nTP_Err="")*(nTP_HT*DD26*BN26*(nTP_OK*DE26*(nTP_UTC_n&gt;=N(DG26))+(1-nTP_OK*DE26)*(nTP_Loc_n&gt;=N(DF26)))*(nTP_OK*BO26*(nTP_UTC_n&lt;=N(BQ26))+(1-nTP_OK*BO26)*(nTP_Loc_n&lt;=N(BP26)))+(1-nTP_HT*DD26*BN26)*(nTP_Hi_n&gt;=N(DH26))*(nTP_Lo_n&lt;=N(BS26)))),1),0))</f>
        <v>0</v>
      </c>
      <c r="ER26" s="22">
        <f>IF(EO26&lt;2,0,IFERROR(_xlfn.AGGREGATE(15,6,nTP_RowN/((nTP_Case_Key=AX26)*(nTP_Record_Type="MILESTONE:INTERVENTION")*(nTP_Err="")*(nTP_HT*DD26*BN26*(nTP_OK*DE26*(nTP_UTC_n&gt;=N(DG26))+(1-nTP_OK*DE26)*(nTP_Loc_n&gt;=N(DF26)))*(nTP_OK*BO26*(nTP_UTC_n&lt;=N(BQ26))+(1-nTP_OK*BO26)*(nTP_Loc_n&lt;=N(BP26)))+(1-nTP_HT*DD26*BN26)*(nTP_Hi_n&gt;=N(DH26))*(nTP_Lo_n&lt;=N(BS26)))),2),0))</f>
        <v>0</v>
      </c>
      <c r="ES26" s="22">
        <f>IF(EO26&lt;3,0,IFERROR(_xlfn.AGGREGATE(15,6,nTP_RowN/((nTP_Case_Key=AX26)*(nTP_Record_Type="MILESTONE:INTERVENTION")*(nTP_Err="")*(nTP_HT*DD26*BN26*(nTP_OK*DE26*(nTP_UTC_n&gt;=N(DG26))+(1-nTP_OK*DE26)*(nTP_Loc_n&gt;=N(DF26)))*(nTP_OK*BO26*(nTP_UTC_n&lt;=N(BQ26))+(1-nTP_OK*BO26)*(nTP_Loc_n&lt;=N(BP26)))+(1-nTP_HT*DD26*BN26)*(nTP_Hi_n&gt;=N(DH26))*(nTP_Lo_n&lt;=N(BS26)))),3),0))</f>
        <v>0</v>
      </c>
      <c r="ET26" s="22">
        <f>IF(EP26&lt;1,0,IFERROR(_xlfn.AGGREGATE(15,6,nTP_RowN/((nTP_Case_Key=AX26)*(nTP_Role="treatment of the event")*((nTP_Record_Type="EXPOSURE_START")+(nTP_Record_Type="ADMINISTRATION"))*(nTP_Err="")*(nTP_HT*DD26*BN26*(nTP_OK*DE26*(nTP_UTC_n&gt;=N(DG26))+(1-nTP_OK*DE26)*(nTP_Loc_n&gt;=N(DF26)))*(nTP_OK*BO26*(nTP_UTC_n&lt;=N(BQ26))+(1-nTP_OK*BO26)*(nTP_Loc_n&lt;=N(BP26)))+(1-nTP_HT*DD26*BN26)*(nTP_Hi_n&gt;=N(DH26))*(nTP_Lo_n&lt;=N(BS26)))),1),0))</f>
        <v>0</v>
      </c>
      <c r="EU26" s="22">
        <f>IF(EP26&lt;2,0,IFERROR(_xlfn.AGGREGATE(15,6,nTP_RowN/((nTP_Case_Key=AX26)*(nTP_Role="treatment of the event")*((nTP_Record_Type="EXPOSURE_START")+(nTP_Record_Type="ADMINISTRATION"))*(nTP_Err="")*(nTP_HT*DD26*BN26*(nTP_OK*DE26*(nTP_UTC_n&gt;=N(DG26))+(1-nTP_OK*DE26)*(nTP_Loc_n&gt;=N(DF26)))*(nTP_OK*BO26*(nTP_UTC_n&lt;=N(BQ26))+(1-nTP_OK*BO26)*(nTP_Loc_n&lt;=N(BP26)))+(1-nTP_HT*DD26*BN26)*(nTP_Hi_n&gt;=N(DH26))*(nTP_Lo_n&lt;=N(BS26)))),2),0))</f>
        <v>0</v>
      </c>
      <c r="EV26" s="22">
        <f>IF(EP26&lt;3,0,IFERROR(_xlfn.AGGREGATE(15,6,nTP_RowN/((nTP_Case_Key=AX26)*(nTP_Role="treatment of the event")*((nTP_Record_Type="EXPOSURE_START")+(nTP_Record_Type="ADMINISTRATION"))*(nTP_Err="")*(nTP_HT*DD26*BN26*(nTP_OK*DE26*(nTP_UTC_n&gt;=N(DG26))+(1-nTP_OK*DE26)*(nTP_Loc_n&gt;=N(DF26)))*(nTP_OK*BO26*(nTP_UTC_n&lt;=N(BQ26))+(1-nTP_OK*BO26)*(nTP_Loc_n&lt;=N(BP26)))+(1-nTP_HT*DD26*BN26)*(nTP_Hi_n&gt;=N(DH26))*(nTP_Lo_n&lt;=N(BS26)))),3),0))</f>
        <v>0</v>
      </c>
      <c r="EW26" s="22">
        <f>IF(CE26&lt;1,0,IFERROR(_xlfn.AGGREGATE(15,6,nTP_RowN/((nTP_CandKey=BX26)*(nTP_Err="")*(1-nTP_Exact)*((nTP_HT*BN26*((nTP_OK*BO26*(nTP_UTC_n-N(BQ26))+(1-nTP_OK*BO26)*(nTP_Loc_n-N(BP26)))&lt;=0)+(1-nTP_HT*BN26)*(nTP_Hi_n&lt;N(BR26)))+((1-nTP_HT*BN26)*(nTP_Lo_n=nTP_Hi_n)*(nTP_Lo_n=N(BR26))*(N(BR26)=N(BS26))))),1),0))</f>
        <v>0</v>
      </c>
      <c r="EX26" s="22">
        <f>IF(CE26&lt;2,0,IFERROR(_xlfn.AGGREGATE(15,6,nTP_RowN/((nTP_CandKey=BX26)*(nTP_Err="")*(1-nTP_Exact)*((nTP_HT*BN26*((nTP_OK*BO26*(nTP_UTC_n-N(BQ26))+(1-nTP_OK*BO26)*(nTP_Loc_n-N(BP26)))&lt;=0)+(1-nTP_HT*BN26)*(nTP_Hi_n&lt;N(BR26)))+((1-nTP_HT*BN26)*(nTP_Lo_n=nTP_Hi_n)*(nTP_Lo_n=N(BR26))*(N(BR26)=N(BS26))))),2),0))</f>
        <v>0</v>
      </c>
      <c r="EY26" s="22">
        <f>IF(CE26&lt;3,0,IFERROR(_xlfn.AGGREGATE(15,6,nTP_RowN/((nTP_CandKey=BX26)*(nTP_Err="")*(1-nTP_Exact)*((nTP_HT*BN26*((nTP_OK*BO26*(nTP_UTC_n-N(BQ26))+(1-nTP_OK*BO26)*(nTP_Loc_n-N(BP26)))&lt;=0)+(1-nTP_HT*BN26)*(nTP_Hi_n&lt;N(BR26)))+((1-nTP_HT*BN26)*(nTP_Lo_n=nTP_Hi_n)*(nTP_Lo_n=N(BR26))*(N(BR26)=N(BS26))))),3),0))</f>
        <v>0</v>
      </c>
      <c r="EZ26" s="21" t="str">
        <f>IF(EO26=0,"",MID(IF(EQ26&gt;0,"; "&amp;INDEX(nTP_Record_ID,EQ26)&amp;IF(INDEX(nTP_Label,EQ26)="",""," ("&amp;INDEX(nTP_Label,EQ26)&amp;")"),"")&amp;IF(ER26&gt;0,"; "&amp;INDEX(nTP_Record_ID,ER26)&amp;IF(INDEX(nTP_Label,ER26)="",""," ("&amp;INDEX(nTP_Label,ER26)&amp;")"),"")&amp;IF(ES26&gt;0,"; "&amp;INDEX(nTP_Record_ID,ES26)&amp;IF(INDEX(nTP_Label,ES26)="",""," ("&amp;INDEX(nTP_Label,ES26)&amp;")"),"")&amp;IF(EO26&gt;3,"; and "&amp;(EO26-3)&amp;" more",""),3,999))</f>
        <v/>
      </c>
      <c r="FA26" s="21" t="str">
        <f>IF(EO26=0,"",MID(IF(EQ26&gt;0,"; "&amp;INDEX(nTP_Record_ID,EQ26),"")&amp;IF(ER26&gt;0,"; "&amp;INDEX(nTP_Record_ID,ER26),"")&amp;IF(ES26&gt;0,"; "&amp;INDEX(nTP_Record_ID,ES26),"")&amp;IF(EO26&gt;3,"; and "&amp;(EO26-3)&amp;" more",""),3,999))</f>
        <v/>
      </c>
      <c r="FB26" s="21" t="str">
        <f>IF(EP26=0,"",MID(IF(ET26&gt;0,"; "&amp;INDEX(nTP_Record_ID,ET26)&amp;IF(INDEX(nTP_Label,ET26)="",""," ("&amp;INDEX(nTP_Label,ET26)&amp;")"),"")&amp;IF(EU26&gt;0,"; "&amp;INDEX(nTP_Record_ID,EU26)&amp;IF(INDEX(nTP_Label,EU26)="",""," ("&amp;INDEX(nTP_Label,EU26)&amp;")"),"")&amp;IF(EV26&gt;0,"; "&amp;INDEX(nTP_Record_ID,EV26)&amp;IF(INDEX(nTP_Label,EV26)="",""," ("&amp;INDEX(nTP_Label,EV26)&amp;")"),"")&amp;IF(EP26&gt;3,"; and "&amp;(EP26-3)&amp;" more",""),3,999))</f>
        <v/>
      </c>
      <c r="FC26" s="21" t="str">
        <f>IF(CE26=0,"",MID(IF(EW26&gt;0,"; "&amp;INDEX(nTP_Record_ID,EW26),"")&amp;IF(EX26&gt;0,"; "&amp;INDEX(nTP_Record_ID,EX26),"")&amp;IF(EY26&gt;0,"; "&amp;INDEX(nTP_Record_ID,EY26),"")&amp;IF(CE26&gt;3,"; and "&amp;(CE26-3)&amp;" more",""),3,999))</f>
        <v/>
      </c>
      <c r="FD26" s="22">
        <f t="shared" si="55"/>
        <v>0</v>
      </c>
      <c r="FE26" s="22">
        <f t="shared" si="56"/>
        <v>0</v>
      </c>
      <c r="FF26" s="22">
        <f t="shared" si="57"/>
        <v>0</v>
      </c>
      <c r="FG26" s="22">
        <f t="shared" si="58"/>
        <v>0</v>
      </c>
      <c r="FH26" s="22">
        <f t="shared" si="59"/>
        <v>0</v>
      </c>
      <c r="FI26" s="22">
        <f t="shared" si="60"/>
        <v>0</v>
      </c>
      <c r="FJ26" s="22">
        <f t="shared" si="61"/>
        <v>0</v>
      </c>
      <c r="FK26" s="22">
        <f t="shared" si="62"/>
        <v>0</v>
      </c>
    </row>
    <row r="27" spans="1:167" x14ac:dyDescent="0.2">
      <c r="A27" s="10"/>
      <c r="B27" s="10"/>
      <c r="C27" s="12"/>
      <c r="D27" s="10"/>
      <c r="E27" s="17"/>
      <c r="F27" s="10"/>
      <c r="G27" s="10"/>
      <c r="H27" s="10"/>
      <c r="I27" s="17"/>
      <c r="J27" s="17"/>
      <c r="K27" s="10"/>
      <c r="L27" s="17"/>
      <c r="M27" s="17"/>
      <c r="N27" s="17"/>
      <c r="O27" s="10"/>
      <c r="P27" s="15"/>
      <c r="Q27" s="15"/>
      <c r="R27" s="10"/>
      <c r="S27" s="10"/>
      <c r="T27" s="21" t="str">
        <f t="shared" si="0"/>
        <v/>
      </c>
      <c r="U27" s="21" t="str">
        <f t="shared" si="1"/>
        <v/>
      </c>
      <c r="V27" s="21" t="str">
        <f t="shared" si="2"/>
        <v/>
      </c>
      <c r="W27" s="21" t="str">
        <f t="shared" si="3"/>
        <v/>
      </c>
      <c r="X27" s="21" t="str">
        <f t="shared" si="4"/>
        <v/>
      </c>
      <c r="Y27" s="21" t="str">
        <f t="shared" si="5"/>
        <v/>
      </c>
      <c r="Z27" s="21" t="str">
        <f t="shared" si="6"/>
        <v/>
      </c>
      <c r="AA27" s="21" t="str">
        <f t="shared" si="7"/>
        <v/>
      </c>
      <c r="AB27" s="21" t="str">
        <f t="shared" si="8"/>
        <v/>
      </c>
      <c r="AC27" s="21" t="str">
        <f t="shared" si="9"/>
        <v/>
      </c>
      <c r="AD27" s="21" t="str">
        <f>IF(AW27=1,"",MID(IF(ISNUMBER(SEARCH("E_INVALID_DATE",EG27))," | E_INVALID_DATE: "&amp;SUBSTITUTE(IFERROR(INDEX(nMSG_Text,MATCH("E_INVALID_DATE",nMSG_Code,0)),""),"[input]",""),"")&amp;IF(ISNUMBER(SEARCH("E_REVERSED_BOUNDS",EG27))," | E_REVERSED_BOUNDS: "&amp;SUBSTITUTE(IFERROR(INDEX(nMSG_Text,MATCH("E_REVERSED_BOUNDS",nMSG_Code,0)),""),"[input]",""),"")&amp;IF(ISNUMBER(SEARCH("E_DUPLICATE_ID",EG27))," | E_DUPLICATE_ID: "&amp;SUBSTITUTE(IFERROR(INDEX(nMSG_Text,MATCH("E_DUPLICATE_ID",nMSG_Code,0)),""),"[input]",""),"")&amp;IF(ISNUMBER(SEARCH("E_MISSING_LINK",EG27))," | E_MISSING_LINK: "&amp;SUBSTITUTE(IFERROR(INDEX(nMSG_Text,MATCH("E_MISSING_LINK",nMSG_Code,0)),""),"[input]",""),"")&amp;IF(ISNUMBER(SEARCH("E_MISSING_INPUT",EG27))," | E_MISSING_INPUT: "&amp;SUBSTITUTE(IFERROR(INDEX(nMSG_Text,MATCH("E_MISSING_INPUT",nMSG_Code,0)),""),"[input]",IF(EH27="","an input",EH27)),"")&amp;IF(ISNUMBER(SEARCH("E_INVALID_UNIT",EG27))," | E_INVALID_UNIT: "&amp;SUBSTITUTE(IFERROR(INDEX(nMSG_Text,MATCH("E_INVALID_UNIT",nMSG_Code,0)),""),"[input]",""),"")&amp;IF(FD27=1," | W_TZ_UNKNOWN: "&amp;SUBSTITUTE(IFERROR(INDEX(nMSG_Text,MATCH("W_TZ_UNKNOWN",nMSG_Code,0)),""),"[input]",""),"")&amp;IF(FE27=1," | W_SAME_DATE_ORDER_UNKNOWN: "&amp;SUBSTITUTE(IFERROR(INDEX(nMSG_Text,MATCH("W_SAME_DATE_ORDER_UNKNOWN",nMSG_Code,0)),""),"[input]",""),"")&amp;IF(FF27=1," | W_SEQUENCE_UNCERTAIN: "&amp;SUBSTITUTE(IFERROR(INDEX(nMSG_Text,MATCH("W_SEQUENCE_UNCERTAIN",nMSG_Code,0)),""),"[input]",""),"")&amp;IF(FG27=1," | W_ADMIN_SAME_DATE_AS_ONSET: "&amp;SUBSTITUTE(IFERROR(INDEX(nMSG_Text,MATCH("W_ADMIN_SAME_DATE_AS_ONSET",nMSG_Code,0)),""),"[input]",""),"")&amp;IF(FH27=1," | W_REPORTED_TIMING_CONFLICT: "&amp;SUBSTITUTE(IFERROR(INDEX(nMSG_Text,MATCH("W_REPORTED_TIMING_CONFLICT",nMSG_Code,0)),""),"[input]",""),"")&amp;IF(FI27=1," | W_INTERVENTION_BEFORE_RECOVERY: "&amp;SUBSTITUTE(IFERROR(INDEX(nMSG_Text,MATCH("W_INTERVENTION_BEFORE_RECOVERY",nMSG_Code,0)),""),"[input]",""),"")&amp;IF(FJ27=1," | I_TREATMENT_DAY_UNDEFINED: "&amp;SUBSTITUTE(IFERROR(INDEX(nMSG_Text,MATCH("I_TREATMENT_DAY_UNDEFINED",nMSG_Code,0)),""),"[input]",""),"")&amp;IF(FK27=1," | I_APPROXIMATE_NOT_COMPARED: "&amp;SUBSTITUTE(IFERROR(INDEX(nMSG_Text,MATCH("I_APPROXIMATE_NOT_COMPARED",nMSG_Code,0)),""),"[input]",""),""),4,9999))</f>
        <v/>
      </c>
      <c r="AE27" s="21" t="str">
        <f t="shared" si="10"/>
        <v/>
      </c>
      <c r="AF27" s="21" t="str">
        <f t="shared" si="11"/>
        <v/>
      </c>
      <c r="AG27" s="21" t="str">
        <f>IF(EN27="","",MID(IF(ISNUMBER(SEARCH("E_REVERSED_BOUNDS",EN27))," | E_REVERSED_BOUNDS: "&amp;SUBSTITUTE(IFERROR(INDEX(nMSG_Text,MATCH("E_REVERSED_BOUNDS",nMSG_Code,0)),""),"[input]",""),"")&amp;IF(ISNUMBER(SEARCH("E_MISSING_INPUT",EN27))," | E_MISSING_INPUT: "&amp;SUBSTITUTE(IFERROR(INDEX(nMSG_Text,MATCH("E_MISSING_INPUT",nMSG_Code,0)),""),"[input]",IF("the source of the constraint"="","an input","the source of the constraint")),""),4,999))</f>
        <v/>
      </c>
      <c r="AH27" s="21" t="str">
        <f t="shared" si="12"/>
        <v/>
      </c>
      <c r="AI27" s="21" t="str">
        <f t="shared" si="13"/>
        <v/>
      </c>
      <c r="AJ27" s="21" t="str">
        <f t="shared" si="14"/>
        <v/>
      </c>
      <c r="AK27" s="21" t="str">
        <f t="shared" si="15"/>
        <v/>
      </c>
      <c r="AL27" s="21" t="str">
        <f>IF(CY27=0,"",INDEX(nTP_ISO,CY27))</f>
        <v/>
      </c>
      <c r="AM27" s="21" t="str">
        <f>IF(CY27=0,"",INDEX(nTP_Display,CY27))</f>
        <v/>
      </c>
      <c r="AN27" s="21" t="str">
        <f>IF(BI27=0,"",INDEX(nTP_ISO,BI27))</f>
        <v/>
      </c>
      <c r="AO27" s="21" t="str">
        <f>IF(BI27=0,"",INDEX(nTP_Display,BI27))</f>
        <v/>
      </c>
      <c r="AP27" s="21" t="str">
        <f>IF(BA27=0,"",INDEX(nLNK_Exposure_Episode_ID,BA27)&amp;"")</f>
        <v/>
      </c>
      <c r="AQ27" s="21" t="str">
        <f>IF(BA27=0,"",INDEX(nLNK_Event_Episode_ID,BA27)&amp;"")</f>
        <v/>
      </c>
      <c r="AR27" s="21" t="str">
        <f t="shared" si="16"/>
        <v/>
      </c>
      <c r="AS27" s="21" t="str">
        <f>IF(EI27=0,"",MID(IF(DT27=1," | Recovery interval (C7) computed with "&amp;DS27&amp;".","")&amp;IF(BG27=1," | Anchor selected under C5 (CALC-SPEC 1.1): latest administration with an exact date or time at or before "&amp;IF(BH27=1,"onset","the end point")&amp;" ("&amp;AJ27&amp;"), ordered in UTC when offsets are known; later administrations are never selected.","")&amp;IF(AND(BG27=1,CE27&gt;0)," | Partial-date administrations wholly before the selected one were not candidates: "&amp;FC27&amp;".","")&amp;IF(BV27&lt;&gt;""," | "&amp;BV27,"")&amp;IF(AND(DS27="C2",EA27=0,DZ27&lt;&gt;"")," | Same calendar date; both times are known, so C1 decides the order ("&amp;AA27&amp;").","")&amp;IF(AND(DS27="C2",DD27*BN27=1,DT27=0)," | Calendar-date difference from the recorded local dates; it is never described as elapsed days.","")&amp;IF(AND(DS27="C4",DT27=0)," | Bounds are treated as independent; no single date is imputed from them.","")&amp;IF(EJ27=1," | Treatment day under the inclusive convention (C3); never written to E2B fields automatically.","")&amp;IF(AND(DS27="C4",DT27=0,EK27=0)," | No constraint applied.","")&amp;IF(AND(DS27="C4",EK27=1)," | Constraint applied to the anchor bounds: "&amp;IF(ISNUMBER(P27),"not before "&amp;DAY(P27)&amp;" "&amp;INDEX(nLIST_Months,MONTH(P27))&amp;" "&amp;YEAR(P27),"")&amp;IF(AND(ISNUMBER(P27),ISNUMBER(Q27)),", ","")&amp;IF(ISNUMBER(Q27),"not after "&amp;DAY(Q27)&amp;" "&amp;INDEX(nLIST_Months,MONTH(Q27))&amp;" "&amp;YEAR(Q27),"")&amp;". Source: "&amp;IF(R27="","not recorded",R27)&amp;IF(EN27="",". Constrained result shown beside the unconstrained one.",". Constrained result blocked ("&amp;EN27&amp;")."),"")&amp;IF(DT27=1,IF(EO27&gt;0," | Intervention recorded between cessation and recovery (ends included): "&amp;EZ27&amp;"."," | No intervention is recorded between cessation and recovery; absence of a record is not evidence that none was given."),"")&amp;IF(AND(DT27=1,DV27&gt;0)," | Intervention recorded without a date, so whether it came before recovery is unknown: "&amp;INDEX(nMS_Milestone_ID,MATCH(1,INDEX((nMS_CaseKey=AX27)*(nMS_Type="INTERVENTION")*nMS_Undated,0),0))&amp;IF(DV27&gt;1," and "&amp;(DV27-1)&amp;" more","")&amp;".","")&amp;IF(AND(DT27=1,EP27&gt;0)," | Not counted as interventions, because they are recorded as exposures rather than as intervention milestones (nothing is inferred): "&amp;FB27&amp;". If treatment was given, record it as an intervention milestone.",""),4,9999))</f>
        <v/>
      </c>
      <c r="AT27" s="21" t="str">
        <f t="shared" si="17"/>
        <v/>
      </c>
      <c r="AU27" s="21" t="str">
        <f t="shared" si="18"/>
        <v/>
      </c>
      <c r="AV27" s="21" t="str">
        <f t="shared" si="19"/>
        <v/>
      </c>
      <c r="AW27" s="22">
        <f t="shared" si="20"/>
        <v>1</v>
      </c>
      <c r="AX27" s="21" t="str">
        <f t="shared" si="21"/>
        <v>|</v>
      </c>
      <c r="AY27" s="21" t="str">
        <f t="shared" si="22"/>
        <v/>
      </c>
      <c r="AZ27" s="22">
        <f>IF(AY27="",0,COUNTIF(nINT_Key,AY27))</f>
        <v>0</v>
      </c>
      <c r="BA27" s="22">
        <f>IF(D27="",0,IFERROR(MATCH(AX27&amp;"|"&amp;D27,nLNK_Key,0),0))</f>
        <v>0</v>
      </c>
      <c r="BB27" s="22">
        <f>IF(BA27=0,1,INDEX(nLNK_Exp_Found,BA27))</f>
        <v>1</v>
      </c>
      <c r="BC27" s="22">
        <f>IF(BA27=0,1,INDEX(nLNK_Evt_Found,BA27))</f>
        <v>1</v>
      </c>
      <c r="BD27" s="22">
        <f>IF(AP27="",0,COUNTIF(nEXP_Key,AX27&amp;"|"&amp;AP27))</f>
        <v>0</v>
      </c>
      <c r="BE27" s="22">
        <f>IF(AQ27="",0,COUNTIF(nEVT_Key,AX27&amp;"|"&amp;AQ27))</f>
        <v>0</v>
      </c>
      <c r="BF27" s="22">
        <f>IF(ISNA(MATCH(E27,nLIST_AnchorType,0)),0,1)</f>
        <v>0</v>
      </c>
      <c r="BG27" s="22">
        <f t="shared" si="23"/>
        <v>0</v>
      </c>
      <c r="BH27" s="22">
        <f t="shared" si="24"/>
        <v>0</v>
      </c>
      <c r="BI27" s="22">
        <f>IF(OR(AW27=1,AK27=""),0,IFERROR(MATCH(AX27&amp;"|"&amp;AK27,nTP_Key,0),0))</f>
        <v>0</v>
      </c>
      <c r="BJ27" s="21">
        <f>IF(BI27=0,0,INDEX(nTP_Dup,BI27))</f>
        <v>0</v>
      </c>
      <c r="BK27" s="21" t="str">
        <f>IF(BI27=0,"",INDEX(nTP_Record_Type,BI27))</f>
        <v/>
      </c>
      <c r="BL27" s="21" t="str">
        <f>IF(BI27=0,"",INDEX(nTP_Precision,BI27))</f>
        <v/>
      </c>
      <c r="BM27" s="21" t="str">
        <f>IF(BI27=0,"",INDEX(nTP_Err,BI27))</f>
        <v/>
      </c>
      <c r="BN27" s="21">
        <f>IF(BI27=0,0,INDEX(nTP_HT,BI27))</f>
        <v>0</v>
      </c>
      <c r="BO27" s="21">
        <f>IF(BI27=0,0,INDEX(nTP_OK,BI27))</f>
        <v>0</v>
      </c>
      <c r="BP27" s="21" t="str">
        <f>IF(BI27=0,"",INDEX(nTP_Loc,BI27))</f>
        <v/>
      </c>
      <c r="BQ27" s="21" t="str">
        <f>IF(BI27=0,"",INDEX(nTP_UTC,BI27))</f>
        <v/>
      </c>
      <c r="BR27" s="21" t="str">
        <f>IF(BI27=0,"",INDEX(nTP_Lo,BI27))</f>
        <v/>
      </c>
      <c r="BS27" s="21" t="str">
        <f>IF(BI27=0,"",INDEX(nTP_Hi,BI27))</f>
        <v/>
      </c>
      <c r="BT27" s="21" t="str">
        <f>IF(BI27=0,"",INDEX(nTP_Original_Text,BI27))</f>
        <v/>
      </c>
      <c r="BU27" s="21" t="str">
        <f>IF(BI27=0,"",INDEX(nTP_Source,BI27))</f>
        <v/>
      </c>
      <c r="BV27" s="21" t="str">
        <f>IF(BI27=0,"",INDEX(nTP_Lab_Note,BI27))</f>
        <v/>
      </c>
      <c r="BW27" s="22">
        <f t="shared" si="25"/>
        <v>0</v>
      </c>
      <c r="BX27" s="21" t="str">
        <f t="shared" si="26"/>
        <v>||</v>
      </c>
      <c r="BY27" s="22">
        <f>IF(BG27=0,0,COUNTIF(nTP_CandKey,BX27))</f>
        <v>0</v>
      </c>
      <c r="BZ27" s="22">
        <f>IF(BG27=0,0,COUNTIFS(nTP_CandKey,BX27,nTP_Err,""))</f>
        <v>0</v>
      </c>
      <c r="CA27" s="21" t="str">
        <f>IF(BY27=BZ27,"",IF(COUNTIFS(nTP_CandKey,BX27,nTP_Err,"E_INVALID_DATE")&gt;0,"; E_INVALID_DATE","")&amp;IF(COUNTIFS(nTP_CandKey,BX27,nTP_Err,"E_REVERSED_BOUNDS")&gt;0,"; E_REVERSED_BOUNDS","")&amp;IF(COUNTIFS(nTP_CandKey,BX27,nTP_Err,"E_MISSING_INPUT")&gt;0,"; E_MISSING_INPUT","")&amp;IF(COUNTIFS(nTP_CandKey,BX27,nTP_Err,"E_INVALID_UNIT")&gt;0,"; E_INVALID_UNIT",""))</f>
        <v/>
      </c>
      <c r="CB27" s="22">
        <f t="shared" si="27"/>
        <v>0</v>
      </c>
      <c r="CC27" s="22">
        <f>IF(CB27=0,0,SUMPRODUCT((nTP_CandKey=BX27)*(nTP_Err="")*(1-(nTP_HT*BN27*((nTP_OK*BO27*(nTP_UTC_n-N(BQ27))+(1-nTP_OK*BO27)*(nTP_Loc_n-N(BP27)))&lt;=0)+(1-nTP_HT*BN27)*(nTP_Hi_n&lt;N(BR27)))-(nTP_HT*BN27*((nTP_OK*BO27*(nTP_UTC_n-N(BQ27))+(1-nTP_OK*BO27)*(nTP_Loc_n-N(BP27)))&gt;0)+(1-nTP_HT*BN27)*(nTP_Lo_n&gt;N(BS27)))-((1-nTP_HT*BN27)*(nTP_Lo_n=nTP_Hi_n)*(nTP_Lo_n=N(BR27))*(N(BR27)=N(BS27))))))</f>
        <v>0</v>
      </c>
      <c r="CD27" s="22">
        <f>IF(CB27=0,0,SUMPRODUCT((nTP_CandKey=BX27)*nTP_Exact*((nTP_HT*BN27*((nTP_OK*BO27*(nTP_UTC_n-N(BQ27))+(1-nTP_OK*BO27)*(nTP_Loc_n-N(BP27)))&lt;=0)+(1-nTP_HT*BN27)*(nTP_Hi_n&lt;N(BR27)))+((1-nTP_HT*BN27)*(nTP_Lo_n=nTP_Hi_n)*(nTP_Lo_n=N(BR27))*(N(BR27)=N(BS27))))))</f>
        <v>0</v>
      </c>
      <c r="CE27" s="22">
        <f>IF(CB27=0,0,SUMPRODUCT((nTP_CandKey=BX27)*(nTP_Err="")*(1-nTP_Exact)*((nTP_HT*BN27*((nTP_OK*BO27*(nTP_UTC_n-N(BQ27))+(1-nTP_OK*BO27)*(nTP_Loc_n-N(BP27)))&lt;=0)+(1-nTP_HT*BN27)*(nTP_Hi_n&lt;N(BR27)))+((1-nTP_HT*BN27)*(nTP_Lo_n=nTP_Hi_n)*(nTP_Lo_n=N(BR27))*(N(BR27)=N(BS27))))))</f>
        <v>0</v>
      </c>
      <c r="CF27" s="22">
        <f>IF(CD27=0,0,SUMPRODUCT(MAX((nTP_CandKey=BX27)*nTP_Exact*((nTP_HT*BN27*((nTP_OK*BO27*(nTP_UTC_n-N(BQ27))+(1-nTP_OK*BO27)*(nTP_Loc_n-N(BP27)))&lt;=0)+(1-nTP_HT*BN27)*(nTP_Hi_n&lt;N(BR27)))+((1-nTP_HT*BN27)*(nTP_Lo_n=nTP_Hi_n)*(nTP_Lo_n=N(BR27))*(N(BR27)=N(BS27))))*nTP_Lo_n)))</f>
        <v>0</v>
      </c>
      <c r="CG27" s="22">
        <f>IF(CD27=0,0,SUMPRODUCT((nTP_CandKey=BX27)*nTP_Exact*((nTP_HT*BN27*((nTP_OK*BO27*(nTP_UTC_n-N(BQ27))+(1-nTP_OK*BO27)*(nTP_Loc_n-N(BP27)))&lt;=0)+(1-nTP_HT*BN27)*(nTP_Hi_n&lt;N(BR27)))+((1-nTP_HT*BN27)*(nTP_Lo_n=nTP_Hi_n)*(nTP_Lo_n=N(BR27))*(N(BR27)=N(BS27))))*(nTP_Lo_n=CF27)))</f>
        <v>0</v>
      </c>
      <c r="CH27" s="22">
        <f>IF(CD27=0,0,SUMPRODUCT((nTP_CandKey=BX27)*nTP_Exact*((nTP_HT*BN27*((nTP_OK*BO27*(nTP_UTC_n-N(BQ27))+(1-nTP_OK*BO27)*(nTP_Loc_n-N(BP27)))&lt;=0)+(1-nTP_HT*BN27)*(nTP_Hi_n&lt;N(BR27)))+((1-nTP_HT*BN27)*(nTP_Lo_n=nTP_Hi_n)*(nTP_Lo_n=N(BR27))*(N(BR27)=N(BS27))))*(1-nTP_HT)*(nTP_Lo_n=CF27)))</f>
        <v>0</v>
      </c>
      <c r="CI27" s="22">
        <f>IF(CD27=0,0,SUMPRODUCT(MAX((nTP_CandKey=BX27)*nTP_Exact*((nTP_HT*BN27*((nTP_OK*BO27*(nTP_UTC_n-N(BQ27))+(1-nTP_OK*BO27)*(nTP_Loc_n-N(BP27)))&lt;=0)+(1-nTP_HT*BN27)*(nTP_Hi_n&lt;N(BR27)))+((1-nTP_HT*BN27)*(nTP_Lo_n=nTP_Hi_n)*(nTP_Lo_n=N(BR27))*(N(BR27)=N(BS27))))*(1-nTP_HT)*nTP_Lo_n)))</f>
        <v>0</v>
      </c>
      <c r="CJ27" s="22">
        <f>IF(CD27=0,0,SUMPRODUCT(MAX((nTP_CandKey=BX27)*nTP_Exact*((nTP_HT*BN27*((nTP_OK*BO27*(nTP_UTC_n-N(BQ27))+(1-nTP_OK*BO27)*(nTP_Loc_n-N(BP27)))&lt;=0)+(1-nTP_HT*BN27)*(nTP_Hi_n&lt;N(BR27)))+((1-nTP_HT*BN27)*(nTP_Lo_n=nTP_Hi_n)*(nTP_Lo_n=N(BR27))*(N(BR27)=N(BS27))))*nTP_HT*nTP_OK*nTP_UTC_n)))</f>
        <v>0</v>
      </c>
      <c r="CK27" s="22">
        <f>IF(CJ27=0,0,SUMPRODUCT((nTP_CandKey=BX27)*nTP_Exact*((nTP_HT*BN27*((nTP_OK*BO27*(nTP_UTC_n-N(BQ27))+(1-nTP_OK*BO27)*(nTP_Loc_n-N(BP27)))&lt;=0)+(1-nTP_HT*BN27)*(nTP_Hi_n&lt;N(BR27)))+((1-nTP_HT*BN27)*(nTP_Lo_n=nTP_Hi_n)*(nTP_Lo_n=N(BR27))*(N(BR27)=N(BS27))))*nTP_HT*nTP_OK*(nTP_UTC_n=CJ27)))</f>
        <v>0</v>
      </c>
      <c r="CL27" s="22">
        <f>IF(CK27&lt;&gt;1,0,SUMPRODUCT((nTP_CandKey=BX27)*nTP_Exact*((nTP_HT*BN27*((nTP_OK*BO27*(nTP_UTC_n-N(BQ27))+(1-nTP_OK*BO27)*(nTP_Loc_n-N(BP27)))&lt;=0)+(1-nTP_HT*BN27)*(nTP_Hi_n&lt;N(BR27)))+((1-nTP_HT*BN27)*(nTP_Lo_n=nTP_Hi_n)*(nTP_Lo_n=N(BR27))*(N(BR27)=N(BS27))))*nTP_HT*nTP_OK*(nTP_UTC_n=CJ27)*nTP_Loc_n))</f>
        <v>0</v>
      </c>
      <c r="CM27" s="22">
        <f>IF(CK27&lt;&gt;1,0,SUMPRODUCT((nTP_CandKey=BX27)*nTP_Exact*((nTP_HT*BN27*((nTP_OK*BO27*(nTP_UTC_n-N(BQ27))+(1-nTP_OK*BO27)*(nTP_Loc_n-N(BP27)))&lt;=0)+(1-nTP_HT*BN27)*(nTP_Hi_n&lt;N(BR27)))+((1-nTP_HT*BN27)*(nTP_Lo_n=nTP_Hi_n)*(nTP_Lo_n=N(BR27))*(N(BR27)=N(BS27))))*nTP_HT*nTP_OK*(nTP_UTC_n=CJ27)*nTP_Lo_n))</f>
        <v>0</v>
      </c>
      <c r="CN27" s="22">
        <f>IF(CD27=0,0,SUMPRODUCT(MAX((nTP_CandKey=BX27)*nTP_Exact*((nTP_HT*BN27*((nTP_OK*BO27*(nTP_UTC_n-N(BQ27))+(1-nTP_OK*BO27)*(nTP_Loc_n-N(BP27)))&lt;=0)+(1-nTP_HT*BN27)*(nTP_Hi_n&lt;N(BR27)))+((1-nTP_HT*BN27)*(nTP_Lo_n=nTP_Hi_n)*(nTP_Lo_n=N(BR27))*(N(BR27)=N(BS27))))*nTP_HT*(1-nTP_OK)*nTP_Loc_n)))</f>
        <v>0</v>
      </c>
      <c r="CO27" s="22">
        <f>IF(CN27=0,0,SUMPRODUCT((nTP_CandKey=BX27)*nTP_Exact*((nTP_HT*BN27*((nTP_OK*BO27*(nTP_UTC_n-N(BQ27))+(1-nTP_OK*BO27)*(nTP_Loc_n-N(BP27)))&lt;=0)+(1-nTP_HT*BN27)*(nTP_Hi_n&lt;N(BR27)))+((1-nTP_HT*BN27)*(nTP_Lo_n=nTP_Hi_n)*(nTP_Lo_n=N(BR27))*(N(BR27)=N(BS27))))*nTP_HT*(1-nTP_OK)*(nTP_Loc_n=CN27)))</f>
        <v>0</v>
      </c>
      <c r="CP27" s="22">
        <f>IF(CO27&lt;&gt;1,0,SUMPRODUCT((nTP_CandKey=BX27)*nTP_Exact*((nTP_HT*BN27*((nTP_OK*BO27*(nTP_UTC_n-N(BQ27))+(1-nTP_OK*BO27)*(nTP_Loc_n-N(BP27)))&lt;=0)+(1-nTP_HT*BN27)*(nTP_Hi_n&lt;N(BR27)))+((1-nTP_HT*BN27)*(nTP_Lo_n=nTP_Hi_n)*(nTP_Lo_n=N(BR27))*(N(BR27)=N(BS27))))*nTP_HT*(1-nTP_OK)*(nTP_Loc_n=CN27)*nTP_Lo_n))</f>
        <v>0</v>
      </c>
      <c r="CQ27" s="22">
        <f>IF(CD27=0,0,SUMPRODUCT(MAX((nTP_CandKey=BX27)*nTP_Exact*((nTP_HT*BN27*((nTP_OK*BO27*(nTP_UTC_n-N(BQ27))+(1-nTP_OK*BO27)*(nTP_Loc_n-N(BP27)))&lt;=0)+(1-nTP_HT*BN27)*(nTP_Hi_n&lt;N(BR27)))+((1-nTP_HT*BN27)*(nTP_Lo_n=nTP_Hi_n)*(nTP_Lo_n=N(BR27))*(N(BR27)=N(BS27))))*nTP_HT*nTP_OK*nTP_Loc_n)))</f>
        <v>0</v>
      </c>
      <c r="CR27" s="22">
        <f t="shared" si="28"/>
        <v>0</v>
      </c>
      <c r="CS27" s="22">
        <f>IF(CR27=0,0,IF(CR27=1,MATCH(1,INDEX((nTP_CandKey=BX27)*nTP_Exact*((nTP_HT*BN27*((nTP_OK*BO27*(nTP_UTC_n-N(BQ27))+(1-nTP_OK*BO27)*(nTP_Loc_n-N(BP27)))&lt;=0)+(1-nTP_HT*BN27)*(nTP_Hi_n&lt;N(BR27)))+((1-nTP_HT*BN27)*(nTP_Lo_n=nTP_Hi_n)*(nTP_Lo_n=N(BR27))*(N(BR27)=N(BS27))))*(1-nTP_HT)*(nTP_Lo_n=CF27),0),0),IF(CR27=2,MATCH(1,INDEX((nTP_CandKey=BX27)*nTP_Exact*((nTP_HT*BN27*((nTP_OK*BO27*(nTP_UTC_n-N(BQ27))+(1-nTP_OK*BO27)*(nTP_Loc_n-N(BP27)))&lt;=0)+(1-nTP_HT*BN27)*(nTP_Hi_n&lt;N(BR27)))+((1-nTP_HT*BN27)*(nTP_Lo_n=nTP_Hi_n)*(nTP_Lo_n=N(BR27))*(N(BR27)=N(BS27))))*nTP_HT*nTP_OK*(nTP_UTC_n=CJ27),0),0),MATCH(1,INDEX((nTP_CandKey=BX27)*nTP_Exact*((nTP_HT*BN27*((nTP_OK*BO27*(nTP_UTC_n-N(BQ27))+(1-nTP_OK*BO27)*(nTP_Loc_n-N(BP27)))&lt;=0)+(1-nTP_HT*BN27)*(nTP_Hi_n&lt;N(BR27)))+((1-nTP_HT*BN27)*(nTP_Lo_n=nTP_Hi_n)*(nTP_Lo_n=N(BR27))*(N(BR27)=N(BS27))))*nTP_HT*(1-nTP_OK)*(nTP_Loc_n=CN27),0),0))))</f>
        <v>0</v>
      </c>
      <c r="CT27" s="22">
        <f>IF(CS27=0,0,INDEX(nTP_Lo_n,CS27))</f>
        <v>0</v>
      </c>
      <c r="CU27" s="22">
        <f>IF(CS27=0,0,SUMPRODUCT((nTP_CandKey=BX27)*(nTP_Err="")*(1-nTP_Exact)*((nTP_HT*BN27*((nTP_OK*BO27*(nTP_UTC_n-N(BQ27))+(1-nTP_OK*BO27)*(nTP_Loc_n-N(BP27)))&lt;=0)+(1-nTP_HT*BN27)*(nTP_Hi_n&lt;N(BR27)))+((1-nTP_HT*BN27)*(nTP_Lo_n=nTP_Hi_n)*(nTP_Lo_n=N(BR27))*(N(BR27)=N(BS27))))*(nTP_Hi_n&gt;=CT27)))</f>
        <v>0</v>
      </c>
      <c r="CV27" s="21" t="str">
        <f t="shared" si="29"/>
        <v/>
      </c>
      <c r="CW27" s="21" t="str">
        <f>IF(AND(BG27=1,CB27=1,CV27="",CS27&gt;0),INDEX(nTP_Record_ID,CS27)&amp;"","")</f>
        <v/>
      </c>
      <c r="CX27" s="21" t="str">
        <f>IF(OR(CV27="",BG27=0),"",IF(CV27="none","an administration record (last dose before onset)",IF(CV27="uncertain","the anchor record: "&amp;INDEX(nTP_Record_ID,MATCH(1,INDEX((nTP_CandKey=BX27)*(nTP_Err="")*(1-(nTP_HT*BN27*((nTP_OK*BO27*(nTP_UTC_n-N(BQ27))+(1-nTP_OK*BO27)*(nTP_Loc_n-N(BP27)))&lt;=0)+(1-nTP_HT*BN27)*(nTP_Hi_n&lt;N(BR27)))-(nTP_HT*BN27*((nTP_OK*BO27*(nTP_UTC_n-N(BQ27))+(1-nTP_OK*BO27)*(nTP_Loc_n-N(BP27)))&gt;0)+(1-nTP_HT*BN27)*(nTP_Lo_n&gt;N(BS27)))-((1-nTP_HT*BN27)*(nTP_Lo_n=nTP_Hi_n)*(nTP_Lo_n=N(BR27))*(N(BR27)=N(BS27)))),0),0))&amp;IF(CC27&gt;1," and "&amp;(CC27-1)&amp;" more","")&amp;" may fall before or after the end point, so the last dose cannot be identified from the recorded dates",IF(CV27="noneligible","the anchor record: no administration with an exact date is recorded at or before the end point",IF(CV27="tie","the anchor record: the order of the latest administrations cannot be told from the recorded dates and times","the anchor record: partial-date administration "&amp;INDEX(nTP_Record_ID,MATCH(1,INDEX((nTP_CandKey=BX27)*(nTP_Err="")*(1-nTP_Exact)*((nTP_HT*BN27*((nTP_OK*BO27*(nTP_UTC_n-N(BQ27))+(1-nTP_OK*BO27)*(nTP_Loc_n-N(BP27)))&lt;=0)+(1-nTP_HT*BN27)*(nTP_Hi_n&lt;N(BR27)))+((1-nTP_HT*BN27)*(nTP_Lo_n=nTP_Hi_n)*(nTP_Lo_n=N(BR27))*(N(BR27)=N(BS27))))*(nTP_Hi_n&gt;=CT27),0),0))&amp;" could be the last dose before the end point")))))</f>
        <v/>
      </c>
      <c r="CY27" s="22">
        <f>IF(OR(AW27=1,AJ27=""),0,IFERROR(MATCH(AX27&amp;"|"&amp;AJ27,nTP_Key,0),0))</f>
        <v>0</v>
      </c>
      <c r="CZ27" s="21">
        <f>IF(CY27=0,0,INDEX(nTP_Dup,CY27))</f>
        <v>0</v>
      </c>
      <c r="DA27" s="21" t="str">
        <f>IF(CY27=0,"",INDEX(nTP_Record_Type,CY27))</f>
        <v/>
      </c>
      <c r="DB27" s="21" t="str">
        <f>IF(CY27=0,"",INDEX(nTP_Precision,CY27))</f>
        <v/>
      </c>
      <c r="DC27" s="21" t="str">
        <f>IF(CY27=0,"",INDEX(nTP_Err,CY27))</f>
        <v/>
      </c>
      <c r="DD27" s="21">
        <f>IF(CY27=0,0,INDEX(nTP_HT,CY27))</f>
        <v>0</v>
      </c>
      <c r="DE27" s="21">
        <f>IF(CY27=0,0,INDEX(nTP_OK,CY27))</f>
        <v>0</v>
      </c>
      <c r="DF27" s="21" t="str">
        <f>IF(CY27=0,"",INDEX(nTP_Loc,CY27))</f>
        <v/>
      </c>
      <c r="DG27" s="21" t="str">
        <f>IF(CY27=0,"",INDEX(nTP_UTC,CY27))</f>
        <v/>
      </c>
      <c r="DH27" s="21" t="str">
        <f>IF(CY27=0,"",INDEX(nTP_Lo,CY27))</f>
        <v/>
      </c>
      <c r="DI27" s="21" t="str">
        <f>IF(CY27=0,"",INDEX(nTP_Hi,CY27))</f>
        <v/>
      </c>
      <c r="DJ27" s="21" t="str">
        <f>IF(CY27=0,"",INDEX(nTP_Original_Text,CY27))</f>
        <v/>
      </c>
      <c r="DK27" s="21" t="str">
        <f>IF(CY27=0,"",INDEX(nTP_Source,CY27))</f>
        <v/>
      </c>
      <c r="DL27" s="22">
        <f t="shared" si="30"/>
        <v>0</v>
      </c>
      <c r="DM27" s="21" t="str">
        <f t="shared" si="31"/>
        <v/>
      </c>
      <c r="DN27" s="21" t="str">
        <f t="shared" si="32"/>
        <v/>
      </c>
      <c r="DO27" s="21" t="str">
        <f t="shared" si="33"/>
        <v/>
      </c>
      <c r="DP27" s="21" t="str">
        <f t="shared" si="34"/>
        <v/>
      </c>
      <c r="DQ27" s="21" t="str">
        <f t="shared" si="35"/>
        <v/>
      </c>
      <c r="DR27" s="22">
        <f>IF(OR(DQ27="",I27=""),0,IF(ISNA(MATCH(I27,nLIST_Mode,0)),1,IF(AND(I27="C1",DQ27&lt;&gt;"C1"),1,IF(AND(I27="C2",DQ27="C4"),1,0))))</f>
        <v>0</v>
      </c>
      <c r="DS27" s="21" t="str">
        <f t="shared" si="36"/>
        <v/>
      </c>
      <c r="DT27" s="22">
        <f t="shared" si="37"/>
        <v>0</v>
      </c>
      <c r="DU27" s="21" t="str">
        <f>IF(DT27=0,"",IF(COUNTIFS(nTP_Case_Key,AX27,nTP_Record_Type,"MILESTONE:INTERVENTION",nTP_Err,"E_INVALID_DATE")&gt;0,"; E_INVALID_DATE","")&amp;IF(COUNTIFS(nTP_Case_Key,AX27,nTP_Record_Type,"MILESTONE:INTERVENTION",nTP_Err,"E_REVERSED_BOUNDS")&gt;0,"; E_REVERSED_BOUNDS","")&amp;IF(COUNTIFS(nTP_Case_Key,AX27,nTP_Record_Type,"MILESTONE:INTERVENTION",nTP_Err,"E_MISSING_INPUT")&gt;0,"; E_MISSING_INPUT","")&amp;IF(COUNTIFS(nTP_Case_Key,AX27,nTP_Record_Type,"MILESTONE:INTERVENTION",nTP_Err,"E_INVALID_UNIT")&gt;0,"; E_INVALID_UNIT",""))</f>
        <v/>
      </c>
      <c r="DV27" s="22">
        <f>IF(DT27=0,0,SUMPRODUCT((nMS_CaseKey=AX27)*(nMS_Type="INTERVENTION")*nMS_Undated))</f>
        <v>0</v>
      </c>
      <c r="DW27" s="21" t="str">
        <f t="shared" si="38"/>
        <v/>
      </c>
      <c r="DX27" s="21" t="str">
        <f t="shared" si="39"/>
        <v/>
      </c>
      <c r="DY27" s="22">
        <f t="shared" si="40"/>
        <v>1</v>
      </c>
      <c r="DZ27" s="21" t="str">
        <f t="shared" si="41"/>
        <v/>
      </c>
      <c r="EA27" s="21" t="str">
        <f t="shared" si="42"/>
        <v/>
      </c>
      <c r="EB27" s="21" t="str">
        <f t="shared" si="43"/>
        <v/>
      </c>
      <c r="EC27" s="21" t="str">
        <f t="shared" si="44"/>
        <v/>
      </c>
      <c r="ED27" s="22">
        <f t="shared" si="45"/>
        <v>0</v>
      </c>
      <c r="EE27" s="22">
        <f t="shared" si="46"/>
        <v>0</v>
      </c>
      <c r="EF27" s="21" t="str">
        <f>IF(ED27=0,"",IF(OR(NOT(ISNUMBER(L27)),NOT(ISNUMBER(M27))),"I_APPROXIMATE_NOT_COMPARED",IF(AND(N27&lt;&gt;"",ISNA(MATCH(N27,nLIST_ReportedUnit,0))),"E_INVALID_UNIT",IF(N27="","E_MISSING_INPUT",IF(L27&gt;M27,"E_REVERSED_BOUNDS",IF(OR(N27="weeks",N27="months",N27="years"),"I_APPROXIMATE_NOT_COMPARED",IF(DX27&lt;&gt;"","",IF(EE27=0,"I_APPROXIMATE_NOT_COMPARED",IF(AND(L27*EE27&lt;=IF(DS27="C4",EC27,IF(DS27="C1",DZ27,EA27)),M27*EE27&gt;=IF(DS27="C4",EB27,IF(DS27="C1",DZ27,EA27))),"OVERLAP","W_REPORTED_TIMING_CONFLICT")))))))))</f>
        <v/>
      </c>
      <c r="EG27" s="21" t="str">
        <f t="shared" si="47"/>
        <v/>
      </c>
      <c r="EH27" s="21" t="str">
        <f t="shared" si="48"/>
        <v/>
      </c>
      <c r="EI27" s="22">
        <f t="shared" si="49"/>
        <v>0</v>
      </c>
      <c r="EJ27" s="22">
        <f t="shared" si="50"/>
        <v>0</v>
      </c>
      <c r="EK27" s="22">
        <f t="shared" si="51"/>
        <v>0</v>
      </c>
      <c r="EL27" s="28" t="str">
        <f t="shared" si="52"/>
        <v/>
      </c>
      <c r="EM27" s="28" t="str">
        <f t="shared" si="53"/>
        <v/>
      </c>
      <c r="EN27" s="21" t="str">
        <f t="shared" si="54"/>
        <v/>
      </c>
      <c r="EO27" s="22">
        <f>IF(OR(DT27=0,DX27&lt;&gt;""),0,SUMPRODUCT((nTP_Case_Key=AX27)*(nTP_Record_Type="MILESTONE:INTERVENTION")*(nTP_Err="")*(nTP_HT*DD27*BN27*(nTP_OK*DE27*(nTP_UTC_n&gt;=N(DG27))+(1-nTP_OK*DE27)*(nTP_Loc_n&gt;=N(DF27)))*(nTP_OK*BO27*(nTP_UTC_n&lt;=N(BQ27))+(1-nTP_OK*BO27)*(nTP_Loc_n&lt;=N(BP27)))+(1-nTP_HT*DD27*BN27)*(nTP_Hi_n&gt;=N(DH27))*(nTP_Lo_n&lt;=N(BS27)))))</f>
        <v>0</v>
      </c>
      <c r="EP27" s="22">
        <f>IF(OR(DT27=0,DX27&lt;&gt;""),0,SUMPRODUCT((nTP_Case_Key=AX27)*(nTP_Role="treatment of the event")*((nTP_Record_Type="EXPOSURE_START")+(nTP_Record_Type="ADMINISTRATION"))*(nTP_Err="")*(nTP_HT*DD27*BN27*(nTP_OK*DE27*(nTP_UTC_n&gt;=N(DG27))+(1-nTP_OK*DE27)*(nTP_Loc_n&gt;=N(DF27)))*(nTP_OK*BO27*(nTP_UTC_n&lt;=N(BQ27))+(1-nTP_OK*BO27)*(nTP_Loc_n&lt;=N(BP27)))+(1-nTP_HT*DD27*BN27)*(nTP_Hi_n&gt;=N(DH27))*(nTP_Lo_n&lt;=N(BS27)))))</f>
        <v>0</v>
      </c>
      <c r="EQ27" s="22">
        <f>IF(EO27&lt;1,0,IFERROR(_xlfn.AGGREGATE(15,6,nTP_RowN/((nTP_Case_Key=AX27)*(nTP_Record_Type="MILESTONE:INTERVENTION")*(nTP_Err="")*(nTP_HT*DD27*BN27*(nTP_OK*DE27*(nTP_UTC_n&gt;=N(DG27))+(1-nTP_OK*DE27)*(nTP_Loc_n&gt;=N(DF27)))*(nTP_OK*BO27*(nTP_UTC_n&lt;=N(BQ27))+(1-nTP_OK*BO27)*(nTP_Loc_n&lt;=N(BP27)))+(1-nTP_HT*DD27*BN27)*(nTP_Hi_n&gt;=N(DH27))*(nTP_Lo_n&lt;=N(BS27)))),1),0))</f>
        <v>0</v>
      </c>
      <c r="ER27" s="22">
        <f>IF(EO27&lt;2,0,IFERROR(_xlfn.AGGREGATE(15,6,nTP_RowN/((nTP_Case_Key=AX27)*(nTP_Record_Type="MILESTONE:INTERVENTION")*(nTP_Err="")*(nTP_HT*DD27*BN27*(nTP_OK*DE27*(nTP_UTC_n&gt;=N(DG27))+(1-nTP_OK*DE27)*(nTP_Loc_n&gt;=N(DF27)))*(nTP_OK*BO27*(nTP_UTC_n&lt;=N(BQ27))+(1-nTP_OK*BO27)*(nTP_Loc_n&lt;=N(BP27)))+(1-nTP_HT*DD27*BN27)*(nTP_Hi_n&gt;=N(DH27))*(nTP_Lo_n&lt;=N(BS27)))),2),0))</f>
        <v>0</v>
      </c>
      <c r="ES27" s="22">
        <f>IF(EO27&lt;3,0,IFERROR(_xlfn.AGGREGATE(15,6,nTP_RowN/((nTP_Case_Key=AX27)*(nTP_Record_Type="MILESTONE:INTERVENTION")*(nTP_Err="")*(nTP_HT*DD27*BN27*(nTP_OK*DE27*(nTP_UTC_n&gt;=N(DG27))+(1-nTP_OK*DE27)*(nTP_Loc_n&gt;=N(DF27)))*(nTP_OK*BO27*(nTP_UTC_n&lt;=N(BQ27))+(1-nTP_OK*BO27)*(nTP_Loc_n&lt;=N(BP27)))+(1-nTP_HT*DD27*BN27)*(nTP_Hi_n&gt;=N(DH27))*(nTP_Lo_n&lt;=N(BS27)))),3),0))</f>
        <v>0</v>
      </c>
      <c r="ET27" s="22">
        <f>IF(EP27&lt;1,0,IFERROR(_xlfn.AGGREGATE(15,6,nTP_RowN/((nTP_Case_Key=AX27)*(nTP_Role="treatment of the event")*((nTP_Record_Type="EXPOSURE_START")+(nTP_Record_Type="ADMINISTRATION"))*(nTP_Err="")*(nTP_HT*DD27*BN27*(nTP_OK*DE27*(nTP_UTC_n&gt;=N(DG27))+(1-nTP_OK*DE27)*(nTP_Loc_n&gt;=N(DF27)))*(nTP_OK*BO27*(nTP_UTC_n&lt;=N(BQ27))+(1-nTP_OK*BO27)*(nTP_Loc_n&lt;=N(BP27)))+(1-nTP_HT*DD27*BN27)*(nTP_Hi_n&gt;=N(DH27))*(nTP_Lo_n&lt;=N(BS27)))),1),0))</f>
        <v>0</v>
      </c>
      <c r="EU27" s="22">
        <f>IF(EP27&lt;2,0,IFERROR(_xlfn.AGGREGATE(15,6,nTP_RowN/((nTP_Case_Key=AX27)*(nTP_Role="treatment of the event")*((nTP_Record_Type="EXPOSURE_START")+(nTP_Record_Type="ADMINISTRATION"))*(nTP_Err="")*(nTP_HT*DD27*BN27*(nTP_OK*DE27*(nTP_UTC_n&gt;=N(DG27))+(1-nTP_OK*DE27)*(nTP_Loc_n&gt;=N(DF27)))*(nTP_OK*BO27*(nTP_UTC_n&lt;=N(BQ27))+(1-nTP_OK*BO27)*(nTP_Loc_n&lt;=N(BP27)))+(1-nTP_HT*DD27*BN27)*(nTP_Hi_n&gt;=N(DH27))*(nTP_Lo_n&lt;=N(BS27)))),2),0))</f>
        <v>0</v>
      </c>
      <c r="EV27" s="22">
        <f>IF(EP27&lt;3,0,IFERROR(_xlfn.AGGREGATE(15,6,nTP_RowN/((nTP_Case_Key=AX27)*(nTP_Role="treatment of the event")*((nTP_Record_Type="EXPOSURE_START")+(nTP_Record_Type="ADMINISTRATION"))*(nTP_Err="")*(nTP_HT*DD27*BN27*(nTP_OK*DE27*(nTP_UTC_n&gt;=N(DG27))+(1-nTP_OK*DE27)*(nTP_Loc_n&gt;=N(DF27)))*(nTP_OK*BO27*(nTP_UTC_n&lt;=N(BQ27))+(1-nTP_OK*BO27)*(nTP_Loc_n&lt;=N(BP27)))+(1-nTP_HT*DD27*BN27)*(nTP_Hi_n&gt;=N(DH27))*(nTP_Lo_n&lt;=N(BS27)))),3),0))</f>
        <v>0</v>
      </c>
      <c r="EW27" s="22">
        <f>IF(CE27&lt;1,0,IFERROR(_xlfn.AGGREGATE(15,6,nTP_RowN/((nTP_CandKey=BX27)*(nTP_Err="")*(1-nTP_Exact)*((nTP_HT*BN27*((nTP_OK*BO27*(nTP_UTC_n-N(BQ27))+(1-nTP_OK*BO27)*(nTP_Loc_n-N(BP27)))&lt;=0)+(1-nTP_HT*BN27)*(nTP_Hi_n&lt;N(BR27)))+((1-nTP_HT*BN27)*(nTP_Lo_n=nTP_Hi_n)*(nTP_Lo_n=N(BR27))*(N(BR27)=N(BS27))))),1),0))</f>
        <v>0</v>
      </c>
      <c r="EX27" s="22">
        <f>IF(CE27&lt;2,0,IFERROR(_xlfn.AGGREGATE(15,6,nTP_RowN/((nTP_CandKey=BX27)*(nTP_Err="")*(1-nTP_Exact)*((nTP_HT*BN27*((nTP_OK*BO27*(nTP_UTC_n-N(BQ27))+(1-nTP_OK*BO27)*(nTP_Loc_n-N(BP27)))&lt;=0)+(1-nTP_HT*BN27)*(nTP_Hi_n&lt;N(BR27)))+((1-nTP_HT*BN27)*(nTP_Lo_n=nTP_Hi_n)*(nTP_Lo_n=N(BR27))*(N(BR27)=N(BS27))))),2),0))</f>
        <v>0</v>
      </c>
      <c r="EY27" s="22">
        <f>IF(CE27&lt;3,0,IFERROR(_xlfn.AGGREGATE(15,6,nTP_RowN/((nTP_CandKey=BX27)*(nTP_Err="")*(1-nTP_Exact)*((nTP_HT*BN27*((nTP_OK*BO27*(nTP_UTC_n-N(BQ27))+(1-nTP_OK*BO27)*(nTP_Loc_n-N(BP27)))&lt;=0)+(1-nTP_HT*BN27)*(nTP_Hi_n&lt;N(BR27)))+((1-nTP_HT*BN27)*(nTP_Lo_n=nTP_Hi_n)*(nTP_Lo_n=N(BR27))*(N(BR27)=N(BS27))))),3),0))</f>
        <v>0</v>
      </c>
      <c r="EZ27" s="21" t="str">
        <f>IF(EO27=0,"",MID(IF(EQ27&gt;0,"; "&amp;INDEX(nTP_Record_ID,EQ27)&amp;IF(INDEX(nTP_Label,EQ27)="",""," ("&amp;INDEX(nTP_Label,EQ27)&amp;")"),"")&amp;IF(ER27&gt;0,"; "&amp;INDEX(nTP_Record_ID,ER27)&amp;IF(INDEX(nTP_Label,ER27)="",""," ("&amp;INDEX(nTP_Label,ER27)&amp;")"),"")&amp;IF(ES27&gt;0,"; "&amp;INDEX(nTP_Record_ID,ES27)&amp;IF(INDEX(nTP_Label,ES27)="",""," ("&amp;INDEX(nTP_Label,ES27)&amp;")"),"")&amp;IF(EO27&gt;3,"; and "&amp;(EO27-3)&amp;" more",""),3,999))</f>
        <v/>
      </c>
      <c r="FA27" s="21" t="str">
        <f>IF(EO27=0,"",MID(IF(EQ27&gt;0,"; "&amp;INDEX(nTP_Record_ID,EQ27),"")&amp;IF(ER27&gt;0,"; "&amp;INDEX(nTP_Record_ID,ER27),"")&amp;IF(ES27&gt;0,"; "&amp;INDEX(nTP_Record_ID,ES27),"")&amp;IF(EO27&gt;3,"; and "&amp;(EO27-3)&amp;" more",""),3,999))</f>
        <v/>
      </c>
      <c r="FB27" s="21" t="str">
        <f>IF(EP27=0,"",MID(IF(ET27&gt;0,"; "&amp;INDEX(nTP_Record_ID,ET27)&amp;IF(INDEX(nTP_Label,ET27)="",""," ("&amp;INDEX(nTP_Label,ET27)&amp;")"),"")&amp;IF(EU27&gt;0,"; "&amp;INDEX(nTP_Record_ID,EU27)&amp;IF(INDEX(nTP_Label,EU27)="",""," ("&amp;INDEX(nTP_Label,EU27)&amp;")"),"")&amp;IF(EV27&gt;0,"; "&amp;INDEX(nTP_Record_ID,EV27)&amp;IF(INDEX(nTP_Label,EV27)="",""," ("&amp;INDEX(nTP_Label,EV27)&amp;")"),"")&amp;IF(EP27&gt;3,"; and "&amp;(EP27-3)&amp;" more",""),3,999))</f>
        <v/>
      </c>
      <c r="FC27" s="21" t="str">
        <f>IF(CE27=0,"",MID(IF(EW27&gt;0,"; "&amp;INDEX(nTP_Record_ID,EW27),"")&amp;IF(EX27&gt;0,"; "&amp;INDEX(nTP_Record_ID,EX27),"")&amp;IF(EY27&gt;0,"; "&amp;INDEX(nTP_Record_ID,EY27),"")&amp;IF(CE27&gt;3,"; and "&amp;(CE27-3)&amp;" more",""),3,999))</f>
        <v/>
      </c>
      <c r="FD27" s="22">
        <f t="shared" si="55"/>
        <v>0</v>
      </c>
      <c r="FE27" s="22">
        <f t="shared" si="56"/>
        <v>0</v>
      </c>
      <c r="FF27" s="22">
        <f t="shared" si="57"/>
        <v>0</v>
      </c>
      <c r="FG27" s="22">
        <f t="shared" si="58"/>
        <v>0</v>
      </c>
      <c r="FH27" s="22">
        <f t="shared" si="59"/>
        <v>0</v>
      </c>
      <c r="FI27" s="22">
        <f t="shared" si="60"/>
        <v>0</v>
      </c>
      <c r="FJ27" s="22">
        <f t="shared" si="61"/>
        <v>0</v>
      </c>
      <c r="FK27" s="22">
        <f t="shared" si="62"/>
        <v>0</v>
      </c>
    </row>
    <row r="28" spans="1:167" x14ac:dyDescent="0.2">
      <c r="A28" s="10"/>
      <c r="B28" s="10"/>
      <c r="C28" s="12"/>
      <c r="D28" s="10"/>
      <c r="E28" s="17"/>
      <c r="F28" s="10"/>
      <c r="G28" s="10"/>
      <c r="H28" s="10"/>
      <c r="I28" s="17"/>
      <c r="J28" s="17"/>
      <c r="K28" s="10"/>
      <c r="L28" s="17"/>
      <c r="M28" s="17"/>
      <c r="N28" s="17"/>
      <c r="O28" s="10"/>
      <c r="P28" s="15"/>
      <c r="Q28" s="15"/>
      <c r="R28" s="10"/>
      <c r="S28" s="10"/>
      <c r="T28" s="21" t="str">
        <f t="shared" si="0"/>
        <v/>
      </c>
      <c r="U28" s="21" t="str">
        <f t="shared" si="1"/>
        <v/>
      </c>
      <c r="V28" s="21" t="str">
        <f t="shared" si="2"/>
        <v/>
      </c>
      <c r="W28" s="21" t="str">
        <f t="shared" si="3"/>
        <v/>
      </c>
      <c r="X28" s="21" t="str">
        <f t="shared" si="4"/>
        <v/>
      </c>
      <c r="Y28" s="21" t="str">
        <f t="shared" si="5"/>
        <v/>
      </c>
      <c r="Z28" s="21" t="str">
        <f t="shared" si="6"/>
        <v/>
      </c>
      <c r="AA28" s="21" t="str">
        <f t="shared" si="7"/>
        <v/>
      </c>
      <c r="AB28" s="21" t="str">
        <f t="shared" si="8"/>
        <v/>
      </c>
      <c r="AC28" s="21" t="str">
        <f t="shared" si="9"/>
        <v/>
      </c>
      <c r="AD28" s="21" t="str">
        <f>IF(AW28=1,"",MID(IF(ISNUMBER(SEARCH("E_INVALID_DATE",EG28))," | E_INVALID_DATE: "&amp;SUBSTITUTE(IFERROR(INDEX(nMSG_Text,MATCH("E_INVALID_DATE",nMSG_Code,0)),""),"[input]",""),"")&amp;IF(ISNUMBER(SEARCH("E_REVERSED_BOUNDS",EG28))," | E_REVERSED_BOUNDS: "&amp;SUBSTITUTE(IFERROR(INDEX(nMSG_Text,MATCH("E_REVERSED_BOUNDS",nMSG_Code,0)),""),"[input]",""),"")&amp;IF(ISNUMBER(SEARCH("E_DUPLICATE_ID",EG28))," | E_DUPLICATE_ID: "&amp;SUBSTITUTE(IFERROR(INDEX(nMSG_Text,MATCH("E_DUPLICATE_ID",nMSG_Code,0)),""),"[input]",""),"")&amp;IF(ISNUMBER(SEARCH("E_MISSING_LINK",EG28))," | E_MISSING_LINK: "&amp;SUBSTITUTE(IFERROR(INDEX(nMSG_Text,MATCH("E_MISSING_LINK",nMSG_Code,0)),""),"[input]",""),"")&amp;IF(ISNUMBER(SEARCH("E_MISSING_INPUT",EG28))," | E_MISSING_INPUT: "&amp;SUBSTITUTE(IFERROR(INDEX(nMSG_Text,MATCH("E_MISSING_INPUT",nMSG_Code,0)),""),"[input]",IF(EH28="","an input",EH28)),"")&amp;IF(ISNUMBER(SEARCH("E_INVALID_UNIT",EG28))," | E_INVALID_UNIT: "&amp;SUBSTITUTE(IFERROR(INDEX(nMSG_Text,MATCH("E_INVALID_UNIT",nMSG_Code,0)),""),"[input]",""),"")&amp;IF(FD28=1," | W_TZ_UNKNOWN: "&amp;SUBSTITUTE(IFERROR(INDEX(nMSG_Text,MATCH("W_TZ_UNKNOWN",nMSG_Code,0)),""),"[input]",""),"")&amp;IF(FE28=1," | W_SAME_DATE_ORDER_UNKNOWN: "&amp;SUBSTITUTE(IFERROR(INDEX(nMSG_Text,MATCH("W_SAME_DATE_ORDER_UNKNOWN",nMSG_Code,0)),""),"[input]",""),"")&amp;IF(FF28=1," | W_SEQUENCE_UNCERTAIN: "&amp;SUBSTITUTE(IFERROR(INDEX(nMSG_Text,MATCH("W_SEQUENCE_UNCERTAIN",nMSG_Code,0)),""),"[input]",""),"")&amp;IF(FG28=1," | W_ADMIN_SAME_DATE_AS_ONSET: "&amp;SUBSTITUTE(IFERROR(INDEX(nMSG_Text,MATCH("W_ADMIN_SAME_DATE_AS_ONSET",nMSG_Code,0)),""),"[input]",""),"")&amp;IF(FH28=1," | W_REPORTED_TIMING_CONFLICT: "&amp;SUBSTITUTE(IFERROR(INDEX(nMSG_Text,MATCH("W_REPORTED_TIMING_CONFLICT",nMSG_Code,0)),""),"[input]",""),"")&amp;IF(FI28=1," | W_INTERVENTION_BEFORE_RECOVERY: "&amp;SUBSTITUTE(IFERROR(INDEX(nMSG_Text,MATCH("W_INTERVENTION_BEFORE_RECOVERY",nMSG_Code,0)),""),"[input]",""),"")&amp;IF(FJ28=1," | I_TREATMENT_DAY_UNDEFINED: "&amp;SUBSTITUTE(IFERROR(INDEX(nMSG_Text,MATCH("I_TREATMENT_DAY_UNDEFINED",nMSG_Code,0)),""),"[input]",""),"")&amp;IF(FK28=1," | I_APPROXIMATE_NOT_COMPARED: "&amp;SUBSTITUTE(IFERROR(INDEX(nMSG_Text,MATCH("I_APPROXIMATE_NOT_COMPARED",nMSG_Code,0)),""),"[input]",""),""),4,9999))</f>
        <v/>
      </c>
      <c r="AE28" s="21" t="str">
        <f t="shared" si="10"/>
        <v/>
      </c>
      <c r="AF28" s="21" t="str">
        <f t="shared" si="11"/>
        <v/>
      </c>
      <c r="AG28" s="21" t="str">
        <f>IF(EN28="","",MID(IF(ISNUMBER(SEARCH("E_REVERSED_BOUNDS",EN28))," | E_REVERSED_BOUNDS: "&amp;SUBSTITUTE(IFERROR(INDEX(nMSG_Text,MATCH("E_REVERSED_BOUNDS",nMSG_Code,0)),""),"[input]",""),"")&amp;IF(ISNUMBER(SEARCH("E_MISSING_INPUT",EN28))," | E_MISSING_INPUT: "&amp;SUBSTITUTE(IFERROR(INDEX(nMSG_Text,MATCH("E_MISSING_INPUT",nMSG_Code,0)),""),"[input]",IF("the source of the constraint"="","an input","the source of the constraint")),""),4,999))</f>
        <v/>
      </c>
      <c r="AH28" s="21" t="str">
        <f t="shared" si="12"/>
        <v/>
      </c>
      <c r="AI28" s="21" t="str">
        <f t="shared" si="13"/>
        <v/>
      </c>
      <c r="AJ28" s="21" t="str">
        <f t="shared" si="14"/>
        <v/>
      </c>
      <c r="AK28" s="21" t="str">
        <f t="shared" si="15"/>
        <v/>
      </c>
      <c r="AL28" s="21" t="str">
        <f>IF(CY28=0,"",INDEX(nTP_ISO,CY28))</f>
        <v/>
      </c>
      <c r="AM28" s="21" t="str">
        <f>IF(CY28=0,"",INDEX(nTP_Display,CY28))</f>
        <v/>
      </c>
      <c r="AN28" s="21" t="str">
        <f>IF(BI28=0,"",INDEX(nTP_ISO,BI28))</f>
        <v/>
      </c>
      <c r="AO28" s="21" t="str">
        <f>IF(BI28=0,"",INDEX(nTP_Display,BI28))</f>
        <v/>
      </c>
      <c r="AP28" s="21" t="str">
        <f>IF(BA28=0,"",INDEX(nLNK_Exposure_Episode_ID,BA28)&amp;"")</f>
        <v/>
      </c>
      <c r="AQ28" s="21" t="str">
        <f>IF(BA28=0,"",INDEX(nLNK_Event_Episode_ID,BA28)&amp;"")</f>
        <v/>
      </c>
      <c r="AR28" s="21" t="str">
        <f t="shared" si="16"/>
        <v/>
      </c>
      <c r="AS28" s="21" t="str">
        <f>IF(EI28=0,"",MID(IF(DT28=1," | Recovery interval (C7) computed with "&amp;DS28&amp;".","")&amp;IF(BG28=1," | Anchor selected under C5 (CALC-SPEC 1.1): latest administration with an exact date or time at or before "&amp;IF(BH28=1,"onset","the end point")&amp;" ("&amp;AJ28&amp;"), ordered in UTC when offsets are known; later administrations are never selected.","")&amp;IF(AND(BG28=1,CE28&gt;0)," | Partial-date administrations wholly before the selected one were not candidates: "&amp;FC28&amp;".","")&amp;IF(BV28&lt;&gt;""," | "&amp;BV28,"")&amp;IF(AND(DS28="C2",EA28=0,DZ28&lt;&gt;"")," | Same calendar date; both times are known, so C1 decides the order ("&amp;AA28&amp;").","")&amp;IF(AND(DS28="C2",DD28*BN28=1,DT28=0)," | Calendar-date difference from the recorded local dates; it is never described as elapsed days.","")&amp;IF(AND(DS28="C4",DT28=0)," | Bounds are treated as independent; no single date is imputed from them.","")&amp;IF(EJ28=1," | Treatment day under the inclusive convention (C3); never written to E2B fields automatically.","")&amp;IF(AND(DS28="C4",DT28=0,EK28=0)," | No constraint applied.","")&amp;IF(AND(DS28="C4",EK28=1)," | Constraint applied to the anchor bounds: "&amp;IF(ISNUMBER(P28),"not before "&amp;DAY(P28)&amp;" "&amp;INDEX(nLIST_Months,MONTH(P28))&amp;" "&amp;YEAR(P28),"")&amp;IF(AND(ISNUMBER(P28),ISNUMBER(Q28)),", ","")&amp;IF(ISNUMBER(Q28),"not after "&amp;DAY(Q28)&amp;" "&amp;INDEX(nLIST_Months,MONTH(Q28))&amp;" "&amp;YEAR(Q28),"")&amp;". Source: "&amp;IF(R28="","not recorded",R28)&amp;IF(EN28="",". Constrained result shown beside the unconstrained one.",". Constrained result blocked ("&amp;EN28&amp;")."),"")&amp;IF(DT28=1,IF(EO28&gt;0," | Intervention recorded between cessation and recovery (ends included): "&amp;EZ28&amp;"."," | No intervention is recorded between cessation and recovery; absence of a record is not evidence that none was given."),"")&amp;IF(AND(DT28=1,DV28&gt;0)," | Intervention recorded without a date, so whether it came before recovery is unknown: "&amp;INDEX(nMS_Milestone_ID,MATCH(1,INDEX((nMS_CaseKey=AX28)*(nMS_Type="INTERVENTION")*nMS_Undated,0),0))&amp;IF(DV28&gt;1," and "&amp;(DV28-1)&amp;" more","")&amp;".","")&amp;IF(AND(DT28=1,EP28&gt;0)," | Not counted as interventions, because they are recorded as exposures rather than as intervention milestones (nothing is inferred): "&amp;FB28&amp;". If treatment was given, record it as an intervention milestone.",""),4,9999))</f>
        <v/>
      </c>
      <c r="AT28" s="21" t="str">
        <f t="shared" si="17"/>
        <v/>
      </c>
      <c r="AU28" s="21" t="str">
        <f t="shared" si="18"/>
        <v/>
      </c>
      <c r="AV28" s="21" t="str">
        <f t="shared" si="19"/>
        <v/>
      </c>
      <c r="AW28" s="22">
        <f t="shared" si="20"/>
        <v>1</v>
      </c>
      <c r="AX28" s="21" t="str">
        <f t="shared" si="21"/>
        <v>|</v>
      </c>
      <c r="AY28" s="21" t="str">
        <f t="shared" si="22"/>
        <v/>
      </c>
      <c r="AZ28" s="22">
        <f>IF(AY28="",0,COUNTIF(nINT_Key,AY28))</f>
        <v>0</v>
      </c>
      <c r="BA28" s="22">
        <f>IF(D28="",0,IFERROR(MATCH(AX28&amp;"|"&amp;D28,nLNK_Key,0),0))</f>
        <v>0</v>
      </c>
      <c r="BB28" s="22">
        <f>IF(BA28=0,1,INDEX(nLNK_Exp_Found,BA28))</f>
        <v>1</v>
      </c>
      <c r="BC28" s="22">
        <f>IF(BA28=0,1,INDEX(nLNK_Evt_Found,BA28))</f>
        <v>1</v>
      </c>
      <c r="BD28" s="22">
        <f>IF(AP28="",0,COUNTIF(nEXP_Key,AX28&amp;"|"&amp;AP28))</f>
        <v>0</v>
      </c>
      <c r="BE28" s="22">
        <f>IF(AQ28="",0,COUNTIF(nEVT_Key,AX28&amp;"|"&amp;AQ28))</f>
        <v>0</v>
      </c>
      <c r="BF28" s="22">
        <f>IF(ISNA(MATCH(E28,nLIST_AnchorType,0)),0,1)</f>
        <v>0</v>
      </c>
      <c r="BG28" s="22">
        <f t="shared" si="23"/>
        <v>0</v>
      </c>
      <c r="BH28" s="22">
        <f t="shared" si="24"/>
        <v>0</v>
      </c>
      <c r="BI28" s="22">
        <f>IF(OR(AW28=1,AK28=""),0,IFERROR(MATCH(AX28&amp;"|"&amp;AK28,nTP_Key,0),0))</f>
        <v>0</v>
      </c>
      <c r="BJ28" s="21">
        <f>IF(BI28=0,0,INDEX(nTP_Dup,BI28))</f>
        <v>0</v>
      </c>
      <c r="BK28" s="21" t="str">
        <f>IF(BI28=0,"",INDEX(nTP_Record_Type,BI28))</f>
        <v/>
      </c>
      <c r="BL28" s="21" t="str">
        <f>IF(BI28=0,"",INDEX(nTP_Precision,BI28))</f>
        <v/>
      </c>
      <c r="BM28" s="21" t="str">
        <f>IF(BI28=0,"",INDEX(nTP_Err,BI28))</f>
        <v/>
      </c>
      <c r="BN28" s="21">
        <f>IF(BI28=0,0,INDEX(nTP_HT,BI28))</f>
        <v>0</v>
      </c>
      <c r="BO28" s="21">
        <f>IF(BI28=0,0,INDEX(nTP_OK,BI28))</f>
        <v>0</v>
      </c>
      <c r="BP28" s="21" t="str">
        <f>IF(BI28=0,"",INDEX(nTP_Loc,BI28))</f>
        <v/>
      </c>
      <c r="BQ28" s="21" t="str">
        <f>IF(BI28=0,"",INDEX(nTP_UTC,BI28))</f>
        <v/>
      </c>
      <c r="BR28" s="21" t="str">
        <f>IF(BI28=0,"",INDEX(nTP_Lo,BI28))</f>
        <v/>
      </c>
      <c r="BS28" s="21" t="str">
        <f>IF(BI28=0,"",INDEX(nTP_Hi,BI28))</f>
        <v/>
      </c>
      <c r="BT28" s="21" t="str">
        <f>IF(BI28=0,"",INDEX(nTP_Original_Text,BI28))</f>
        <v/>
      </c>
      <c r="BU28" s="21" t="str">
        <f>IF(BI28=0,"",INDEX(nTP_Source,BI28))</f>
        <v/>
      </c>
      <c r="BV28" s="21" t="str">
        <f>IF(BI28=0,"",INDEX(nTP_Lab_Note,BI28))</f>
        <v/>
      </c>
      <c r="BW28" s="22">
        <f t="shared" si="25"/>
        <v>0</v>
      </c>
      <c r="BX28" s="21" t="str">
        <f t="shared" si="26"/>
        <v>||</v>
      </c>
      <c r="BY28" s="22">
        <f>IF(BG28=0,0,COUNTIF(nTP_CandKey,BX28))</f>
        <v>0</v>
      </c>
      <c r="BZ28" s="22">
        <f>IF(BG28=0,0,COUNTIFS(nTP_CandKey,BX28,nTP_Err,""))</f>
        <v>0</v>
      </c>
      <c r="CA28" s="21" t="str">
        <f>IF(BY28=BZ28,"",IF(COUNTIFS(nTP_CandKey,BX28,nTP_Err,"E_INVALID_DATE")&gt;0,"; E_INVALID_DATE","")&amp;IF(COUNTIFS(nTP_CandKey,BX28,nTP_Err,"E_REVERSED_BOUNDS")&gt;0,"; E_REVERSED_BOUNDS","")&amp;IF(COUNTIFS(nTP_CandKey,BX28,nTP_Err,"E_MISSING_INPUT")&gt;0,"; E_MISSING_INPUT","")&amp;IF(COUNTIFS(nTP_CandKey,BX28,nTP_Err,"E_INVALID_UNIT")&gt;0,"; E_INVALID_UNIT",""))</f>
        <v/>
      </c>
      <c r="CB28" s="22">
        <f t="shared" si="27"/>
        <v>0</v>
      </c>
      <c r="CC28" s="22">
        <f>IF(CB28=0,0,SUMPRODUCT((nTP_CandKey=BX28)*(nTP_Err="")*(1-(nTP_HT*BN28*((nTP_OK*BO28*(nTP_UTC_n-N(BQ28))+(1-nTP_OK*BO28)*(nTP_Loc_n-N(BP28)))&lt;=0)+(1-nTP_HT*BN28)*(nTP_Hi_n&lt;N(BR28)))-(nTP_HT*BN28*((nTP_OK*BO28*(nTP_UTC_n-N(BQ28))+(1-nTP_OK*BO28)*(nTP_Loc_n-N(BP28)))&gt;0)+(1-nTP_HT*BN28)*(nTP_Lo_n&gt;N(BS28)))-((1-nTP_HT*BN28)*(nTP_Lo_n=nTP_Hi_n)*(nTP_Lo_n=N(BR28))*(N(BR28)=N(BS28))))))</f>
        <v>0</v>
      </c>
      <c r="CD28" s="22">
        <f>IF(CB28=0,0,SUMPRODUCT((nTP_CandKey=BX28)*nTP_Exact*((nTP_HT*BN28*((nTP_OK*BO28*(nTP_UTC_n-N(BQ28))+(1-nTP_OK*BO28)*(nTP_Loc_n-N(BP28)))&lt;=0)+(1-nTP_HT*BN28)*(nTP_Hi_n&lt;N(BR28)))+((1-nTP_HT*BN28)*(nTP_Lo_n=nTP_Hi_n)*(nTP_Lo_n=N(BR28))*(N(BR28)=N(BS28))))))</f>
        <v>0</v>
      </c>
      <c r="CE28" s="22">
        <f>IF(CB28=0,0,SUMPRODUCT((nTP_CandKey=BX28)*(nTP_Err="")*(1-nTP_Exact)*((nTP_HT*BN28*((nTP_OK*BO28*(nTP_UTC_n-N(BQ28))+(1-nTP_OK*BO28)*(nTP_Loc_n-N(BP28)))&lt;=0)+(1-nTP_HT*BN28)*(nTP_Hi_n&lt;N(BR28)))+((1-nTP_HT*BN28)*(nTP_Lo_n=nTP_Hi_n)*(nTP_Lo_n=N(BR28))*(N(BR28)=N(BS28))))))</f>
        <v>0</v>
      </c>
      <c r="CF28" s="22">
        <f>IF(CD28=0,0,SUMPRODUCT(MAX((nTP_CandKey=BX28)*nTP_Exact*((nTP_HT*BN28*((nTP_OK*BO28*(nTP_UTC_n-N(BQ28))+(1-nTP_OK*BO28)*(nTP_Loc_n-N(BP28)))&lt;=0)+(1-nTP_HT*BN28)*(nTP_Hi_n&lt;N(BR28)))+((1-nTP_HT*BN28)*(nTP_Lo_n=nTP_Hi_n)*(nTP_Lo_n=N(BR28))*(N(BR28)=N(BS28))))*nTP_Lo_n)))</f>
        <v>0</v>
      </c>
      <c r="CG28" s="22">
        <f>IF(CD28=0,0,SUMPRODUCT((nTP_CandKey=BX28)*nTP_Exact*((nTP_HT*BN28*((nTP_OK*BO28*(nTP_UTC_n-N(BQ28))+(1-nTP_OK*BO28)*(nTP_Loc_n-N(BP28)))&lt;=0)+(1-nTP_HT*BN28)*(nTP_Hi_n&lt;N(BR28)))+((1-nTP_HT*BN28)*(nTP_Lo_n=nTP_Hi_n)*(nTP_Lo_n=N(BR28))*(N(BR28)=N(BS28))))*(nTP_Lo_n=CF28)))</f>
        <v>0</v>
      </c>
      <c r="CH28" s="22">
        <f>IF(CD28=0,0,SUMPRODUCT((nTP_CandKey=BX28)*nTP_Exact*((nTP_HT*BN28*((nTP_OK*BO28*(nTP_UTC_n-N(BQ28))+(1-nTP_OK*BO28)*(nTP_Loc_n-N(BP28)))&lt;=0)+(1-nTP_HT*BN28)*(nTP_Hi_n&lt;N(BR28)))+((1-nTP_HT*BN28)*(nTP_Lo_n=nTP_Hi_n)*(nTP_Lo_n=N(BR28))*(N(BR28)=N(BS28))))*(1-nTP_HT)*(nTP_Lo_n=CF28)))</f>
        <v>0</v>
      </c>
      <c r="CI28" s="22">
        <f>IF(CD28=0,0,SUMPRODUCT(MAX((nTP_CandKey=BX28)*nTP_Exact*((nTP_HT*BN28*((nTP_OK*BO28*(nTP_UTC_n-N(BQ28))+(1-nTP_OK*BO28)*(nTP_Loc_n-N(BP28)))&lt;=0)+(1-nTP_HT*BN28)*(nTP_Hi_n&lt;N(BR28)))+((1-nTP_HT*BN28)*(nTP_Lo_n=nTP_Hi_n)*(nTP_Lo_n=N(BR28))*(N(BR28)=N(BS28))))*(1-nTP_HT)*nTP_Lo_n)))</f>
        <v>0</v>
      </c>
      <c r="CJ28" s="22">
        <f>IF(CD28=0,0,SUMPRODUCT(MAX((nTP_CandKey=BX28)*nTP_Exact*((nTP_HT*BN28*((nTP_OK*BO28*(nTP_UTC_n-N(BQ28))+(1-nTP_OK*BO28)*(nTP_Loc_n-N(BP28)))&lt;=0)+(1-nTP_HT*BN28)*(nTP_Hi_n&lt;N(BR28)))+((1-nTP_HT*BN28)*(nTP_Lo_n=nTP_Hi_n)*(nTP_Lo_n=N(BR28))*(N(BR28)=N(BS28))))*nTP_HT*nTP_OK*nTP_UTC_n)))</f>
        <v>0</v>
      </c>
      <c r="CK28" s="22">
        <f>IF(CJ28=0,0,SUMPRODUCT((nTP_CandKey=BX28)*nTP_Exact*((nTP_HT*BN28*((nTP_OK*BO28*(nTP_UTC_n-N(BQ28))+(1-nTP_OK*BO28)*(nTP_Loc_n-N(BP28)))&lt;=0)+(1-nTP_HT*BN28)*(nTP_Hi_n&lt;N(BR28)))+((1-nTP_HT*BN28)*(nTP_Lo_n=nTP_Hi_n)*(nTP_Lo_n=N(BR28))*(N(BR28)=N(BS28))))*nTP_HT*nTP_OK*(nTP_UTC_n=CJ28)))</f>
        <v>0</v>
      </c>
      <c r="CL28" s="22">
        <f>IF(CK28&lt;&gt;1,0,SUMPRODUCT((nTP_CandKey=BX28)*nTP_Exact*((nTP_HT*BN28*((nTP_OK*BO28*(nTP_UTC_n-N(BQ28))+(1-nTP_OK*BO28)*(nTP_Loc_n-N(BP28)))&lt;=0)+(1-nTP_HT*BN28)*(nTP_Hi_n&lt;N(BR28)))+((1-nTP_HT*BN28)*(nTP_Lo_n=nTP_Hi_n)*(nTP_Lo_n=N(BR28))*(N(BR28)=N(BS28))))*nTP_HT*nTP_OK*(nTP_UTC_n=CJ28)*nTP_Loc_n))</f>
        <v>0</v>
      </c>
      <c r="CM28" s="22">
        <f>IF(CK28&lt;&gt;1,0,SUMPRODUCT((nTP_CandKey=BX28)*nTP_Exact*((nTP_HT*BN28*((nTP_OK*BO28*(nTP_UTC_n-N(BQ28))+(1-nTP_OK*BO28)*(nTP_Loc_n-N(BP28)))&lt;=0)+(1-nTP_HT*BN28)*(nTP_Hi_n&lt;N(BR28)))+((1-nTP_HT*BN28)*(nTP_Lo_n=nTP_Hi_n)*(nTP_Lo_n=N(BR28))*(N(BR28)=N(BS28))))*nTP_HT*nTP_OK*(nTP_UTC_n=CJ28)*nTP_Lo_n))</f>
        <v>0</v>
      </c>
      <c r="CN28" s="22">
        <f>IF(CD28=0,0,SUMPRODUCT(MAX((nTP_CandKey=BX28)*nTP_Exact*((nTP_HT*BN28*((nTP_OK*BO28*(nTP_UTC_n-N(BQ28))+(1-nTP_OK*BO28)*(nTP_Loc_n-N(BP28)))&lt;=0)+(1-nTP_HT*BN28)*(nTP_Hi_n&lt;N(BR28)))+((1-nTP_HT*BN28)*(nTP_Lo_n=nTP_Hi_n)*(nTP_Lo_n=N(BR28))*(N(BR28)=N(BS28))))*nTP_HT*(1-nTP_OK)*nTP_Loc_n)))</f>
        <v>0</v>
      </c>
      <c r="CO28" s="22">
        <f>IF(CN28=0,0,SUMPRODUCT((nTP_CandKey=BX28)*nTP_Exact*((nTP_HT*BN28*((nTP_OK*BO28*(nTP_UTC_n-N(BQ28))+(1-nTP_OK*BO28)*(nTP_Loc_n-N(BP28)))&lt;=0)+(1-nTP_HT*BN28)*(nTP_Hi_n&lt;N(BR28)))+((1-nTP_HT*BN28)*(nTP_Lo_n=nTP_Hi_n)*(nTP_Lo_n=N(BR28))*(N(BR28)=N(BS28))))*nTP_HT*(1-nTP_OK)*(nTP_Loc_n=CN28)))</f>
        <v>0</v>
      </c>
      <c r="CP28" s="22">
        <f>IF(CO28&lt;&gt;1,0,SUMPRODUCT((nTP_CandKey=BX28)*nTP_Exact*((nTP_HT*BN28*((nTP_OK*BO28*(nTP_UTC_n-N(BQ28))+(1-nTP_OK*BO28)*(nTP_Loc_n-N(BP28)))&lt;=0)+(1-nTP_HT*BN28)*(nTP_Hi_n&lt;N(BR28)))+((1-nTP_HT*BN28)*(nTP_Lo_n=nTP_Hi_n)*(nTP_Lo_n=N(BR28))*(N(BR28)=N(BS28))))*nTP_HT*(1-nTP_OK)*(nTP_Loc_n=CN28)*nTP_Lo_n))</f>
        <v>0</v>
      </c>
      <c r="CQ28" s="22">
        <f>IF(CD28=0,0,SUMPRODUCT(MAX((nTP_CandKey=BX28)*nTP_Exact*((nTP_HT*BN28*((nTP_OK*BO28*(nTP_UTC_n-N(BQ28))+(1-nTP_OK*BO28)*(nTP_Loc_n-N(BP28)))&lt;=0)+(1-nTP_HT*BN28)*(nTP_Hi_n&lt;N(BR28)))+((1-nTP_HT*BN28)*(nTP_Lo_n=nTP_Hi_n)*(nTP_Lo_n=N(BR28))*(N(BR28)=N(BS28))))*nTP_HT*nTP_OK*nTP_Loc_n)))</f>
        <v>0</v>
      </c>
      <c r="CR28" s="22">
        <f t="shared" si="28"/>
        <v>0</v>
      </c>
      <c r="CS28" s="22">
        <f>IF(CR28=0,0,IF(CR28=1,MATCH(1,INDEX((nTP_CandKey=BX28)*nTP_Exact*((nTP_HT*BN28*((nTP_OK*BO28*(nTP_UTC_n-N(BQ28))+(1-nTP_OK*BO28)*(nTP_Loc_n-N(BP28)))&lt;=0)+(1-nTP_HT*BN28)*(nTP_Hi_n&lt;N(BR28)))+((1-nTP_HT*BN28)*(nTP_Lo_n=nTP_Hi_n)*(nTP_Lo_n=N(BR28))*(N(BR28)=N(BS28))))*(1-nTP_HT)*(nTP_Lo_n=CF28),0),0),IF(CR28=2,MATCH(1,INDEX((nTP_CandKey=BX28)*nTP_Exact*((nTP_HT*BN28*((nTP_OK*BO28*(nTP_UTC_n-N(BQ28))+(1-nTP_OK*BO28)*(nTP_Loc_n-N(BP28)))&lt;=0)+(1-nTP_HT*BN28)*(nTP_Hi_n&lt;N(BR28)))+((1-nTP_HT*BN28)*(nTP_Lo_n=nTP_Hi_n)*(nTP_Lo_n=N(BR28))*(N(BR28)=N(BS28))))*nTP_HT*nTP_OK*(nTP_UTC_n=CJ28),0),0),MATCH(1,INDEX((nTP_CandKey=BX28)*nTP_Exact*((nTP_HT*BN28*((nTP_OK*BO28*(nTP_UTC_n-N(BQ28))+(1-nTP_OK*BO28)*(nTP_Loc_n-N(BP28)))&lt;=0)+(1-nTP_HT*BN28)*(nTP_Hi_n&lt;N(BR28)))+((1-nTP_HT*BN28)*(nTP_Lo_n=nTP_Hi_n)*(nTP_Lo_n=N(BR28))*(N(BR28)=N(BS28))))*nTP_HT*(1-nTP_OK)*(nTP_Loc_n=CN28),0),0))))</f>
        <v>0</v>
      </c>
      <c r="CT28" s="22">
        <f>IF(CS28=0,0,INDEX(nTP_Lo_n,CS28))</f>
        <v>0</v>
      </c>
      <c r="CU28" s="22">
        <f>IF(CS28=0,0,SUMPRODUCT((nTP_CandKey=BX28)*(nTP_Err="")*(1-nTP_Exact)*((nTP_HT*BN28*((nTP_OK*BO28*(nTP_UTC_n-N(BQ28))+(1-nTP_OK*BO28)*(nTP_Loc_n-N(BP28)))&lt;=0)+(1-nTP_HT*BN28)*(nTP_Hi_n&lt;N(BR28)))+((1-nTP_HT*BN28)*(nTP_Lo_n=nTP_Hi_n)*(nTP_Lo_n=N(BR28))*(N(BR28)=N(BS28))))*(nTP_Hi_n&gt;=CT28)))</f>
        <v>0</v>
      </c>
      <c r="CV28" s="21" t="str">
        <f t="shared" si="29"/>
        <v/>
      </c>
      <c r="CW28" s="21" t="str">
        <f>IF(AND(BG28=1,CB28=1,CV28="",CS28&gt;0),INDEX(nTP_Record_ID,CS28)&amp;"","")</f>
        <v/>
      </c>
      <c r="CX28" s="21" t="str">
        <f>IF(OR(CV28="",BG28=0),"",IF(CV28="none","an administration record (last dose before onset)",IF(CV28="uncertain","the anchor record: "&amp;INDEX(nTP_Record_ID,MATCH(1,INDEX((nTP_CandKey=BX28)*(nTP_Err="")*(1-(nTP_HT*BN28*((nTP_OK*BO28*(nTP_UTC_n-N(BQ28))+(1-nTP_OK*BO28)*(nTP_Loc_n-N(BP28)))&lt;=0)+(1-nTP_HT*BN28)*(nTP_Hi_n&lt;N(BR28)))-(nTP_HT*BN28*((nTP_OK*BO28*(nTP_UTC_n-N(BQ28))+(1-nTP_OK*BO28)*(nTP_Loc_n-N(BP28)))&gt;0)+(1-nTP_HT*BN28)*(nTP_Lo_n&gt;N(BS28)))-((1-nTP_HT*BN28)*(nTP_Lo_n=nTP_Hi_n)*(nTP_Lo_n=N(BR28))*(N(BR28)=N(BS28)))),0),0))&amp;IF(CC28&gt;1," and "&amp;(CC28-1)&amp;" more","")&amp;" may fall before or after the end point, so the last dose cannot be identified from the recorded dates",IF(CV28="noneligible","the anchor record: no administration with an exact date is recorded at or before the end point",IF(CV28="tie","the anchor record: the order of the latest administrations cannot be told from the recorded dates and times","the anchor record: partial-date administration "&amp;INDEX(nTP_Record_ID,MATCH(1,INDEX((nTP_CandKey=BX28)*(nTP_Err="")*(1-nTP_Exact)*((nTP_HT*BN28*((nTP_OK*BO28*(nTP_UTC_n-N(BQ28))+(1-nTP_OK*BO28)*(nTP_Loc_n-N(BP28)))&lt;=0)+(1-nTP_HT*BN28)*(nTP_Hi_n&lt;N(BR28)))+((1-nTP_HT*BN28)*(nTP_Lo_n=nTP_Hi_n)*(nTP_Lo_n=N(BR28))*(N(BR28)=N(BS28))))*(nTP_Hi_n&gt;=CT28),0),0))&amp;" could be the last dose before the end point")))))</f>
        <v/>
      </c>
      <c r="CY28" s="22">
        <f>IF(OR(AW28=1,AJ28=""),0,IFERROR(MATCH(AX28&amp;"|"&amp;AJ28,nTP_Key,0),0))</f>
        <v>0</v>
      </c>
      <c r="CZ28" s="21">
        <f>IF(CY28=0,0,INDEX(nTP_Dup,CY28))</f>
        <v>0</v>
      </c>
      <c r="DA28" s="21" t="str">
        <f>IF(CY28=0,"",INDEX(nTP_Record_Type,CY28))</f>
        <v/>
      </c>
      <c r="DB28" s="21" t="str">
        <f>IF(CY28=0,"",INDEX(nTP_Precision,CY28))</f>
        <v/>
      </c>
      <c r="DC28" s="21" t="str">
        <f>IF(CY28=0,"",INDEX(nTP_Err,CY28))</f>
        <v/>
      </c>
      <c r="DD28" s="21">
        <f>IF(CY28=0,0,INDEX(nTP_HT,CY28))</f>
        <v>0</v>
      </c>
      <c r="DE28" s="21">
        <f>IF(CY28=0,0,INDEX(nTP_OK,CY28))</f>
        <v>0</v>
      </c>
      <c r="DF28" s="21" t="str">
        <f>IF(CY28=0,"",INDEX(nTP_Loc,CY28))</f>
        <v/>
      </c>
      <c r="DG28" s="21" t="str">
        <f>IF(CY28=0,"",INDEX(nTP_UTC,CY28))</f>
        <v/>
      </c>
      <c r="DH28" s="21" t="str">
        <f>IF(CY28=0,"",INDEX(nTP_Lo,CY28))</f>
        <v/>
      </c>
      <c r="DI28" s="21" t="str">
        <f>IF(CY28=0,"",INDEX(nTP_Hi,CY28))</f>
        <v/>
      </c>
      <c r="DJ28" s="21" t="str">
        <f>IF(CY28=0,"",INDEX(nTP_Original_Text,CY28))</f>
        <v/>
      </c>
      <c r="DK28" s="21" t="str">
        <f>IF(CY28=0,"",INDEX(nTP_Source,CY28))</f>
        <v/>
      </c>
      <c r="DL28" s="22">
        <f t="shared" si="30"/>
        <v>0</v>
      </c>
      <c r="DM28" s="21" t="str">
        <f t="shared" si="31"/>
        <v/>
      </c>
      <c r="DN28" s="21" t="str">
        <f t="shared" si="32"/>
        <v/>
      </c>
      <c r="DO28" s="21" t="str">
        <f t="shared" si="33"/>
        <v/>
      </c>
      <c r="DP28" s="21" t="str">
        <f t="shared" si="34"/>
        <v/>
      </c>
      <c r="DQ28" s="21" t="str">
        <f t="shared" si="35"/>
        <v/>
      </c>
      <c r="DR28" s="22">
        <f>IF(OR(DQ28="",I28=""),0,IF(ISNA(MATCH(I28,nLIST_Mode,0)),1,IF(AND(I28="C1",DQ28&lt;&gt;"C1"),1,IF(AND(I28="C2",DQ28="C4"),1,0))))</f>
        <v>0</v>
      </c>
      <c r="DS28" s="21" t="str">
        <f t="shared" si="36"/>
        <v/>
      </c>
      <c r="DT28" s="22">
        <f t="shared" si="37"/>
        <v>0</v>
      </c>
      <c r="DU28" s="21" t="str">
        <f>IF(DT28=0,"",IF(COUNTIFS(nTP_Case_Key,AX28,nTP_Record_Type,"MILESTONE:INTERVENTION",nTP_Err,"E_INVALID_DATE")&gt;0,"; E_INVALID_DATE","")&amp;IF(COUNTIFS(nTP_Case_Key,AX28,nTP_Record_Type,"MILESTONE:INTERVENTION",nTP_Err,"E_REVERSED_BOUNDS")&gt;0,"; E_REVERSED_BOUNDS","")&amp;IF(COUNTIFS(nTP_Case_Key,AX28,nTP_Record_Type,"MILESTONE:INTERVENTION",nTP_Err,"E_MISSING_INPUT")&gt;0,"; E_MISSING_INPUT","")&amp;IF(COUNTIFS(nTP_Case_Key,AX28,nTP_Record_Type,"MILESTONE:INTERVENTION",nTP_Err,"E_INVALID_UNIT")&gt;0,"; E_INVALID_UNIT",""))</f>
        <v/>
      </c>
      <c r="DV28" s="22">
        <f>IF(DT28=0,0,SUMPRODUCT((nMS_CaseKey=AX28)*(nMS_Type="INTERVENTION")*nMS_Undated))</f>
        <v>0</v>
      </c>
      <c r="DW28" s="21" t="str">
        <f t="shared" si="38"/>
        <v/>
      </c>
      <c r="DX28" s="21" t="str">
        <f t="shared" si="39"/>
        <v/>
      </c>
      <c r="DY28" s="22">
        <f t="shared" si="40"/>
        <v>1</v>
      </c>
      <c r="DZ28" s="21" t="str">
        <f t="shared" si="41"/>
        <v/>
      </c>
      <c r="EA28" s="21" t="str">
        <f t="shared" si="42"/>
        <v/>
      </c>
      <c r="EB28" s="21" t="str">
        <f t="shared" si="43"/>
        <v/>
      </c>
      <c r="EC28" s="21" t="str">
        <f t="shared" si="44"/>
        <v/>
      </c>
      <c r="ED28" s="22">
        <f t="shared" si="45"/>
        <v>0</v>
      </c>
      <c r="EE28" s="22">
        <f t="shared" si="46"/>
        <v>0</v>
      </c>
      <c r="EF28" s="21" t="str">
        <f>IF(ED28=0,"",IF(OR(NOT(ISNUMBER(L28)),NOT(ISNUMBER(M28))),"I_APPROXIMATE_NOT_COMPARED",IF(AND(N28&lt;&gt;"",ISNA(MATCH(N28,nLIST_ReportedUnit,0))),"E_INVALID_UNIT",IF(N28="","E_MISSING_INPUT",IF(L28&gt;M28,"E_REVERSED_BOUNDS",IF(OR(N28="weeks",N28="months",N28="years"),"I_APPROXIMATE_NOT_COMPARED",IF(DX28&lt;&gt;"","",IF(EE28=0,"I_APPROXIMATE_NOT_COMPARED",IF(AND(L28*EE28&lt;=IF(DS28="C4",EC28,IF(DS28="C1",DZ28,EA28)),M28*EE28&gt;=IF(DS28="C4",EB28,IF(DS28="C1",DZ28,EA28))),"OVERLAP","W_REPORTED_TIMING_CONFLICT")))))))))</f>
        <v/>
      </c>
      <c r="EG28" s="21" t="str">
        <f t="shared" si="47"/>
        <v/>
      </c>
      <c r="EH28" s="21" t="str">
        <f t="shared" si="48"/>
        <v/>
      </c>
      <c r="EI28" s="22">
        <f t="shared" si="49"/>
        <v>0</v>
      </c>
      <c r="EJ28" s="22">
        <f t="shared" si="50"/>
        <v>0</v>
      </c>
      <c r="EK28" s="22">
        <f t="shared" si="51"/>
        <v>0</v>
      </c>
      <c r="EL28" s="28" t="str">
        <f t="shared" si="52"/>
        <v/>
      </c>
      <c r="EM28" s="28" t="str">
        <f t="shared" si="53"/>
        <v/>
      </c>
      <c r="EN28" s="21" t="str">
        <f t="shared" si="54"/>
        <v/>
      </c>
      <c r="EO28" s="22">
        <f>IF(OR(DT28=0,DX28&lt;&gt;""),0,SUMPRODUCT((nTP_Case_Key=AX28)*(nTP_Record_Type="MILESTONE:INTERVENTION")*(nTP_Err="")*(nTP_HT*DD28*BN28*(nTP_OK*DE28*(nTP_UTC_n&gt;=N(DG28))+(1-nTP_OK*DE28)*(nTP_Loc_n&gt;=N(DF28)))*(nTP_OK*BO28*(nTP_UTC_n&lt;=N(BQ28))+(1-nTP_OK*BO28)*(nTP_Loc_n&lt;=N(BP28)))+(1-nTP_HT*DD28*BN28)*(nTP_Hi_n&gt;=N(DH28))*(nTP_Lo_n&lt;=N(BS28)))))</f>
        <v>0</v>
      </c>
      <c r="EP28" s="22">
        <f>IF(OR(DT28=0,DX28&lt;&gt;""),0,SUMPRODUCT((nTP_Case_Key=AX28)*(nTP_Role="treatment of the event")*((nTP_Record_Type="EXPOSURE_START")+(nTP_Record_Type="ADMINISTRATION"))*(nTP_Err="")*(nTP_HT*DD28*BN28*(nTP_OK*DE28*(nTP_UTC_n&gt;=N(DG28))+(1-nTP_OK*DE28)*(nTP_Loc_n&gt;=N(DF28)))*(nTP_OK*BO28*(nTP_UTC_n&lt;=N(BQ28))+(1-nTP_OK*BO28)*(nTP_Loc_n&lt;=N(BP28)))+(1-nTP_HT*DD28*BN28)*(nTP_Hi_n&gt;=N(DH28))*(nTP_Lo_n&lt;=N(BS28)))))</f>
        <v>0</v>
      </c>
      <c r="EQ28" s="22">
        <f>IF(EO28&lt;1,0,IFERROR(_xlfn.AGGREGATE(15,6,nTP_RowN/((nTP_Case_Key=AX28)*(nTP_Record_Type="MILESTONE:INTERVENTION")*(nTP_Err="")*(nTP_HT*DD28*BN28*(nTP_OK*DE28*(nTP_UTC_n&gt;=N(DG28))+(1-nTP_OK*DE28)*(nTP_Loc_n&gt;=N(DF28)))*(nTP_OK*BO28*(nTP_UTC_n&lt;=N(BQ28))+(1-nTP_OK*BO28)*(nTP_Loc_n&lt;=N(BP28)))+(1-nTP_HT*DD28*BN28)*(nTP_Hi_n&gt;=N(DH28))*(nTP_Lo_n&lt;=N(BS28)))),1),0))</f>
        <v>0</v>
      </c>
      <c r="ER28" s="22">
        <f>IF(EO28&lt;2,0,IFERROR(_xlfn.AGGREGATE(15,6,nTP_RowN/((nTP_Case_Key=AX28)*(nTP_Record_Type="MILESTONE:INTERVENTION")*(nTP_Err="")*(nTP_HT*DD28*BN28*(nTP_OK*DE28*(nTP_UTC_n&gt;=N(DG28))+(1-nTP_OK*DE28)*(nTP_Loc_n&gt;=N(DF28)))*(nTP_OK*BO28*(nTP_UTC_n&lt;=N(BQ28))+(1-nTP_OK*BO28)*(nTP_Loc_n&lt;=N(BP28)))+(1-nTP_HT*DD28*BN28)*(nTP_Hi_n&gt;=N(DH28))*(nTP_Lo_n&lt;=N(BS28)))),2),0))</f>
        <v>0</v>
      </c>
      <c r="ES28" s="22">
        <f>IF(EO28&lt;3,0,IFERROR(_xlfn.AGGREGATE(15,6,nTP_RowN/((nTP_Case_Key=AX28)*(nTP_Record_Type="MILESTONE:INTERVENTION")*(nTP_Err="")*(nTP_HT*DD28*BN28*(nTP_OK*DE28*(nTP_UTC_n&gt;=N(DG28))+(1-nTP_OK*DE28)*(nTP_Loc_n&gt;=N(DF28)))*(nTP_OK*BO28*(nTP_UTC_n&lt;=N(BQ28))+(1-nTP_OK*BO28)*(nTP_Loc_n&lt;=N(BP28)))+(1-nTP_HT*DD28*BN28)*(nTP_Hi_n&gt;=N(DH28))*(nTP_Lo_n&lt;=N(BS28)))),3),0))</f>
        <v>0</v>
      </c>
      <c r="ET28" s="22">
        <f>IF(EP28&lt;1,0,IFERROR(_xlfn.AGGREGATE(15,6,nTP_RowN/((nTP_Case_Key=AX28)*(nTP_Role="treatment of the event")*((nTP_Record_Type="EXPOSURE_START")+(nTP_Record_Type="ADMINISTRATION"))*(nTP_Err="")*(nTP_HT*DD28*BN28*(nTP_OK*DE28*(nTP_UTC_n&gt;=N(DG28))+(1-nTP_OK*DE28)*(nTP_Loc_n&gt;=N(DF28)))*(nTP_OK*BO28*(nTP_UTC_n&lt;=N(BQ28))+(1-nTP_OK*BO28)*(nTP_Loc_n&lt;=N(BP28)))+(1-nTP_HT*DD28*BN28)*(nTP_Hi_n&gt;=N(DH28))*(nTP_Lo_n&lt;=N(BS28)))),1),0))</f>
        <v>0</v>
      </c>
      <c r="EU28" s="22">
        <f>IF(EP28&lt;2,0,IFERROR(_xlfn.AGGREGATE(15,6,nTP_RowN/((nTP_Case_Key=AX28)*(nTP_Role="treatment of the event")*((nTP_Record_Type="EXPOSURE_START")+(nTP_Record_Type="ADMINISTRATION"))*(nTP_Err="")*(nTP_HT*DD28*BN28*(nTP_OK*DE28*(nTP_UTC_n&gt;=N(DG28))+(1-nTP_OK*DE28)*(nTP_Loc_n&gt;=N(DF28)))*(nTP_OK*BO28*(nTP_UTC_n&lt;=N(BQ28))+(1-nTP_OK*BO28)*(nTP_Loc_n&lt;=N(BP28)))+(1-nTP_HT*DD28*BN28)*(nTP_Hi_n&gt;=N(DH28))*(nTP_Lo_n&lt;=N(BS28)))),2),0))</f>
        <v>0</v>
      </c>
      <c r="EV28" s="22">
        <f>IF(EP28&lt;3,0,IFERROR(_xlfn.AGGREGATE(15,6,nTP_RowN/((nTP_Case_Key=AX28)*(nTP_Role="treatment of the event")*((nTP_Record_Type="EXPOSURE_START")+(nTP_Record_Type="ADMINISTRATION"))*(nTP_Err="")*(nTP_HT*DD28*BN28*(nTP_OK*DE28*(nTP_UTC_n&gt;=N(DG28))+(1-nTP_OK*DE28)*(nTP_Loc_n&gt;=N(DF28)))*(nTP_OK*BO28*(nTP_UTC_n&lt;=N(BQ28))+(1-nTP_OK*BO28)*(nTP_Loc_n&lt;=N(BP28)))+(1-nTP_HT*DD28*BN28)*(nTP_Hi_n&gt;=N(DH28))*(nTP_Lo_n&lt;=N(BS28)))),3),0))</f>
        <v>0</v>
      </c>
      <c r="EW28" s="22">
        <f>IF(CE28&lt;1,0,IFERROR(_xlfn.AGGREGATE(15,6,nTP_RowN/((nTP_CandKey=BX28)*(nTP_Err="")*(1-nTP_Exact)*((nTP_HT*BN28*((nTP_OK*BO28*(nTP_UTC_n-N(BQ28))+(1-nTP_OK*BO28)*(nTP_Loc_n-N(BP28)))&lt;=0)+(1-nTP_HT*BN28)*(nTP_Hi_n&lt;N(BR28)))+((1-nTP_HT*BN28)*(nTP_Lo_n=nTP_Hi_n)*(nTP_Lo_n=N(BR28))*(N(BR28)=N(BS28))))),1),0))</f>
        <v>0</v>
      </c>
      <c r="EX28" s="22">
        <f>IF(CE28&lt;2,0,IFERROR(_xlfn.AGGREGATE(15,6,nTP_RowN/((nTP_CandKey=BX28)*(nTP_Err="")*(1-nTP_Exact)*((nTP_HT*BN28*((nTP_OK*BO28*(nTP_UTC_n-N(BQ28))+(1-nTP_OK*BO28)*(nTP_Loc_n-N(BP28)))&lt;=0)+(1-nTP_HT*BN28)*(nTP_Hi_n&lt;N(BR28)))+((1-nTP_HT*BN28)*(nTP_Lo_n=nTP_Hi_n)*(nTP_Lo_n=N(BR28))*(N(BR28)=N(BS28))))),2),0))</f>
        <v>0</v>
      </c>
      <c r="EY28" s="22">
        <f>IF(CE28&lt;3,0,IFERROR(_xlfn.AGGREGATE(15,6,nTP_RowN/((nTP_CandKey=BX28)*(nTP_Err="")*(1-nTP_Exact)*((nTP_HT*BN28*((nTP_OK*BO28*(nTP_UTC_n-N(BQ28))+(1-nTP_OK*BO28)*(nTP_Loc_n-N(BP28)))&lt;=0)+(1-nTP_HT*BN28)*(nTP_Hi_n&lt;N(BR28)))+((1-nTP_HT*BN28)*(nTP_Lo_n=nTP_Hi_n)*(nTP_Lo_n=N(BR28))*(N(BR28)=N(BS28))))),3),0))</f>
        <v>0</v>
      </c>
      <c r="EZ28" s="21" t="str">
        <f>IF(EO28=0,"",MID(IF(EQ28&gt;0,"; "&amp;INDEX(nTP_Record_ID,EQ28)&amp;IF(INDEX(nTP_Label,EQ28)="",""," ("&amp;INDEX(nTP_Label,EQ28)&amp;")"),"")&amp;IF(ER28&gt;0,"; "&amp;INDEX(nTP_Record_ID,ER28)&amp;IF(INDEX(nTP_Label,ER28)="",""," ("&amp;INDEX(nTP_Label,ER28)&amp;")"),"")&amp;IF(ES28&gt;0,"; "&amp;INDEX(nTP_Record_ID,ES28)&amp;IF(INDEX(nTP_Label,ES28)="",""," ("&amp;INDEX(nTP_Label,ES28)&amp;")"),"")&amp;IF(EO28&gt;3,"; and "&amp;(EO28-3)&amp;" more",""),3,999))</f>
        <v/>
      </c>
      <c r="FA28" s="21" t="str">
        <f>IF(EO28=0,"",MID(IF(EQ28&gt;0,"; "&amp;INDEX(nTP_Record_ID,EQ28),"")&amp;IF(ER28&gt;0,"; "&amp;INDEX(nTP_Record_ID,ER28),"")&amp;IF(ES28&gt;0,"; "&amp;INDEX(nTP_Record_ID,ES28),"")&amp;IF(EO28&gt;3,"; and "&amp;(EO28-3)&amp;" more",""),3,999))</f>
        <v/>
      </c>
      <c r="FB28" s="21" t="str">
        <f>IF(EP28=0,"",MID(IF(ET28&gt;0,"; "&amp;INDEX(nTP_Record_ID,ET28)&amp;IF(INDEX(nTP_Label,ET28)="",""," ("&amp;INDEX(nTP_Label,ET28)&amp;")"),"")&amp;IF(EU28&gt;0,"; "&amp;INDEX(nTP_Record_ID,EU28)&amp;IF(INDEX(nTP_Label,EU28)="",""," ("&amp;INDEX(nTP_Label,EU28)&amp;")"),"")&amp;IF(EV28&gt;0,"; "&amp;INDEX(nTP_Record_ID,EV28)&amp;IF(INDEX(nTP_Label,EV28)="",""," ("&amp;INDEX(nTP_Label,EV28)&amp;")"),"")&amp;IF(EP28&gt;3,"; and "&amp;(EP28-3)&amp;" more",""),3,999))</f>
        <v/>
      </c>
      <c r="FC28" s="21" t="str">
        <f>IF(CE28=0,"",MID(IF(EW28&gt;0,"; "&amp;INDEX(nTP_Record_ID,EW28),"")&amp;IF(EX28&gt;0,"; "&amp;INDEX(nTP_Record_ID,EX28),"")&amp;IF(EY28&gt;0,"; "&amp;INDEX(nTP_Record_ID,EY28),"")&amp;IF(CE28&gt;3,"; and "&amp;(CE28-3)&amp;" more",""),3,999))</f>
        <v/>
      </c>
      <c r="FD28" s="22">
        <f t="shared" si="55"/>
        <v>0</v>
      </c>
      <c r="FE28" s="22">
        <f t="shared" si="56"/>
        <v>0</v>
      </c>
      <c r="FF28" s="22">
        <f t="shared" si="57"/>
        <v>0</v>
      </c>
      <c r="FG28" s="22">
        <f t="shared" si="58"/>
        <v>0</v>
      </c>
      <c r="FH28" s="22">
        <f t="shared" si="59"/>
        <v>0</v>
      </c>
      <c r="FI28" s="22">
        <f t="shared" si="60"/>
        <v>0</v>
      </c>
      <c r="FJ28" s="22">
        <f t="shared" si="61"/>
        <v>0</v>
      </c>
      <c r="FK28" s="22">
        <f t="shared" si="62"/>
        <v>0</v>
      </c>
    </row>
    <row r="29" spans="1:167" x14ac:dyDescent="0.2">
      <c r="A29" s="10"/>
      <c r="B29" s="10"/>
      <c r="C29" s="12"/>
      <c r="D29" s="10"/>
      <c r="E29" s="17"/>
      <c r="F29" s="10"/>
      <c r="G29" s="10"/>
      <c r="H29" s="10"/>
      <c r="I29" s="17"/>
      <c r="J29" s="17"/>
      <c r="K29" s="10"/>
      <c r="L29" s="17"/>
      <c r="M29" s="17"/>
      <c r="N29" s="17"/>
      <c r="O29" s="10"/>
      <c r="P29" s="15"/>
      <c r="Q29" s="15"/>
      <c r="R29" s="10"/>
      <c r="S29" s="10"/>
      <c r="T29" s="21" t="str">
        <f t="shared" si="0"/>
        <v/>
      </c>
      <c r="U29" s="21" t="str">
        <f t="shared" si="1"/>
        <v/>
      </c>
      <c r="V29" s="21" t="str">
        <f t="shared" si="2"/>
        <v/>
      </c>
      <c r="W29" s="21" t="str">
        <f t="shared" si="3"/>
        <v/>
      </c>
      <c r="X29" s="21" t="str">
        <f t="shared" si="4"/>
        <v/>
      </c>
      <c r="Y29" s="21" t="str">
        <f t="shared" si="5"/>
        <v/>
      </c>
      <c r="Z29" s="21" t="str">
        <f t="shared" si="6"/>
        <v/>
      </c>
      <c r="AA29" s="21" t="str">
        <f t="shared" si="7"/>
        <v/>
      </c>
      <c r="AB29" s="21" t="str">
        <f t="shared" si="8"/>
        <v/>
      </c>
      <c r="AC29" s="21" t="str">
        <f t="shared" si="9"/>
        <v/>
      </c>
      <c r="AD29" s="21" t="str">
        <f>IF(AW29=1,"",MID(IF(ISNUMBER(SEARCH("E_INVALID_DATE",EG29))," | E_INVALID_DATE: "&amp;SUBSTITUTE(IFERROR(INDEX(nMSG_Text,MATCH("E_INVALID_DATE",nMSG_Code,0)),""),"[input]",""),"")&amp;IF(ISNUMBER(SEARCH("E_REVERSED_BOUNDS",EG29))," | E_REVERSED_BOUNDS: "&amp;SUBSTITUTE(IFERROR(INDEX(nMSG_Text,MATCH("E_REVERSED_BOUNDS",nMSG_Code,0)),""),"[input]",""),"")&amp;IF(ISNUMBER(SEARCH("E_DUPLICATE_ID",EG29))," | E_DUPLICATE_ID: "&amp;SUBSTITUTE(IFERROR(INDEX(nMSG_Text,MATCH("E_DUPLICATE_ID",nMSG_Code,0)),""),"[input]",""),"")&amp;IF(ISNUMBER(SEARCH("E_MISSING_LINK",EG29))," | E_MISSING_LINK: "&amp;SUBSTITUTE(IFERROR(INDEX(nMSG_Text,MATCH("E_MISSING_LINK",nMSG_Code,0)),""),"[input]",""),"")&amp;IF(ISNUMBER(SEARCH("E_MISSING_INPUT",EG29))," | E_MISSING_INPUT: "&amp;SUBSTITUTE(IFERROR(INDEX(nMSG_Text,MATCH("E_MISSING_INPUT",nMSG_Code,0)),""),"[input]",IF(EH29="","an input",EH29)),"")&amp;IF(ISNUMBER(SEARCH("E_INVALID_UNIT",EG29))," | E_INVALID_UNIT: "&amp;SUBSTITUTE(IFERROR(INDEX(nMSG_Text,MATCH("E_INVALID_UNIT",nMSG_Code,0)),""),"[input]",""),"")&amp;IF(FD29=1," | W_TZ_UNKNOWN: "&amp;SUBSTITUTE(IFERROR(INDEX(nMSG_Text,MATCH("W_TZ_UNKNOWN",nMSG_Code,0)),""),"[input]",""),"")&amp;IF(FE29=1," | W_SAME_DATE_ORDER_UNKNOWN: "&amp;SUBSTITUTE(IFERROR(INDEX(nMSG_Text,MATCH("W_SAME_DATE_ORDER_UNKNOWN",nMSG_Code,0)),""),"[input]",""),"")&amp;IF(FF29=1," | W_SEQUENCE_UNCERTAIN: "&amp;SUBSTITUTE(IFERROR(INDEX(nMSG_Text,MATCH("W_SEQUENCE_UNCERTAIN",nMSG_Code,0)),""),"[input]",""),"")&amp;IF(FG29=1," | W_ADMIN_SAME_DATE_AS_ONSET: "&amp;SUBSTITUTE(IFERROR(INDEX(nMSG_Text,MATCH("W_ADMIN_SAME_DATE_AS_ONSET",nMSG_Code,0)),""),"[input]",""),"")&amp;IF(FH29=1," | W_REPORTED_TIMING_CONFLICT: "&amp;SUBSTITUTE(IFERROR(INDEX(nMSG_Text,MATCH("W_REPORTED_TIMING_CONFLICT",nMSG_Code,0)),""),"[input]",""),"")&amp;IF(FI29=1," | W_INTERVENTION_BEFORE_RECOVERY: "&amp;SUBSTITUTE(IFERROR(INDEX(nMSG_Text,MATCH("W_INTERVENTION_BEFORE_RECOVERY",nMSG_Code,0)),""),"[input]",""),"")&amp;IF(FJ29=1," | I_TREATMENT_DAY_UNDEFINED: "&amp;SUBSTITUTE(IFERROR(INDEX(nMSG_Text,MATCH("I_TREATMENT_DAY_UNDEFINED",nMSG_Code,0)),""),"[input]",""),"")&amp;IF(FK29=1," | I_APPROXIMATE_NOT_COMPARED: "&amp;SUBSTITUTE(IFERROR(INDEX(nMSG_Text,MATCH("I_APPROXIMATE_NOT_COMPARED",nMSG_Code,0)),""),"[input]",""),""),4,9999))</f>
        <v/>
      </c>
      <c r="AE29" s="21" t="str">
        <f t="shared" si="10"/>
        <v/>
      </c>
      <c r="AF29" s="21" t="str">
        <f t="shared" si="11"/>
        <v/>
      </c>
      <c r="AG29" s="21" t="str">
        <f>IF(EN29="","",MID(IF(ISNUMBER(SEARCH("E_REVERSED_BOUNDS",EN29))," | E_REVERSED_BOUNDS: "&amp;SUBSTITUTE(IFERROR(INDEX(nMSG_Text,MATCH("E_REVERSED_BOUNDS",nMSG_Code,0)),""),"[input]",""),"")&amp;IF(ISNUMBER(SEARCH("E_MISSING_INPUT",EN29))," | E_MISSING_INPUT: "&amp;SUBSTITUTE(IFERROR(INDEX(nMSG_Text,MATCH("E_MISSING_INPUT",nMSG_Code,0)),""),"[input]",IF("the source of the constraint"="","an input","the source of the constraint")),""),4,999))</f>
        <v/>
      </c>
      <c r="AH29" s="21" t="str">
        <f t="shared" si="12"/>
        <v/>
      </c>
      <c r="AI29" s="21" t="str">
        <f t="shared" si="13"/>
        <v/>
      </c>
      <c r="AJ29" s="21" t="str">
        <f t="shared" si="14"/>
        <v/>
      </c>
      <c r="AK29" s="21" t="str">
        <f t="shared" si="15"/>
        <v/>
      </c>
      <c r="AL29" s="21" t="str">
        <f>IF(CY29=0,"",INDEX(nTP_ISO,CY29))</f>
        <v/>
      </c>
      <c r="AM29" s="21" t="str">
        <f>IF(CY29=0,"",INDEX(nTP_Display,CY29))</f>
        <v/>
      </c>
      <c r="AN29" s="21" t="str">
        <f>IF(BI29=0,"",INDEX(nTP_ISO,BI29))</f>
        <v/>
      </c>
      <c r="AO29" s="21" t="str">
        <f>IF(BI29=0,"",INDEX(nTP_Display,BI29))</f>
        <v/>
      </c>
      <c r="AP29" s="21" t="str">
        <f>IF(BA29=0,"",INDEX(nLNK_Exposure_Episode_ID,BA29)&amp;"")</f>
        <v/>
      </c>
      <c r="AQ29" s="21" t="str">
        <f>IF(BA29=0,"",INDEX(nLNK_Event_Episode_ID,BA29)&amp;"")</f>
        <v/>
      </c>
      <c r="AR29" s="21" t="str">
        <f t="shared" si="16"/>
        <v/>
      </c>
      <c r="AS29" s="21" t="str">
        <f>IF(EI29=0,"",MID(IF(DT29=1," | Recovery interval (C7) computed with "&amp;DS29&amp;".","")&amp;IF(BG29=1," | Anchor selected under C5 (CALC-SPEC 1.1): latest administration with an exact date or time at or before "&amp;IF(BH29=1,"onset","the end point")&amp;" ("&amp;AJ29&amp;"), ordered in UTC when offsets are known; later administrations are never selected.","")&amp;IF(AND(BG29=1,CE29&gt;0)," | Partial-date administrations wholly before the selected one were not candidates: "&amp;FC29&amp;".","")&amp;IF(BV29&lt;&gt;""," | "&amp;BV29,"")&amp;IF(AND(DS29="C2",EA29=0,DZ29&lt;&gt;"")," | Same calendar date; both times are known, so C1 decides the order ("&amp;AA29&amp;").","")&amp;IF(AND(DS29="C2",DD29*BN29=1,DT29=0)," | Calendar-date difference from the recorded local dates; it is never described as elapsed days.","")&amp;IF(AND(DS29="C4",DT29=0)," | Bounds are treated as independent; no single date is imputed from them.","")&amp;IF(EJ29=1," | Treatment day under the inclusive convention (C3); never written to E2B fields automatically.","")&amp;IF(AND(DS29="C4",DT29=0,EK29=0)," | No constraint applied.","")&amp;IF(AND(DS29="C4",EK29=1)," | Constraint applied to the anchor bounds: "&amp;IF(ISNUMBER(P29),"not before "&amp;DAY(P29)&amp;" "&amp;INDEX(nLIST_Months,MONTH(P29))&amp;" "&amp;YEAR(P29),"")&amp;IF(AND(ISNUMBER(P29),ISNUMBER(Q29)),", ","")&amp;IF(ISNUMBER(Q29),"not after "&amp;DAY(Q29)&amp;" "&amp;INDEX(nLIST_Months,MONTH(Q29))&amp;" "&amp;YEAR(Q29),"")&amp;". Source: "&amp;IF(R29="","not recorded",R29)&amp;IF(EN29="",". Constrained result shown beside the unconstrained one.",". Constrained result blocked ("&amp;EN29&amp;")."),"")&amp;IF(DT29=1,IF(EO29&gt;0," | Intervention recorded between cessation and recovery (ends included): "&amp;EZ29&amp;"."," | No intervention is recorded between cessation and recovery; absence of a record is not evidence that none was given."),"")&amp;IF(AND(DT29=1,DV29&gt;0)," | Intervention recorded without a date, so whether it came before recovery is unknown: "&amp;INDEX(nMS_Milestone_ID,MATCH(1,INDEX((nMS_CaseKey=AX29)*(nMS_Type="INTERVENTION")*nMS_Undated,0),0))&amp;IF(DV29&gt;1," and "&amp;(DV29-1)&amp;" more","")&amp;".","")&amp;IF(AND(DT29=1,EP29&gt;0)," | Not counted as interventions, because they are recorded as exposures rather than as intervention milestones (nothing is inferred): "&amp;FB29&amp;". If treatment was given, record it as an intervention milestone.",""),4,9999))</f>
        <v/>
      </c>
      <c r="AT29" s="21" t="str">
        <f t="shared" si="17"/>
        <v/>
      </c>
      <c r="AU29" s="21" t="str">
        <f t="shared" si="18"/>
        <v/>
      </c>
      <c r="AV29" s="21" t="str">
        <f t="shared" si="19"/>
        <v/>
      </c>
      <c r="AW29" s="22">
        <f t="shared" si="20"/>
        <v>1</v>
      </c>
      <c r="AX29" s="21" t="str">
        <f t="shared" si="21"/>
        <v>|</v>
      </c>
      <c r="AY29" s="21" t="str">
        <f t="shared" si="22"/>
        <v/>
      </c>
      <c r="AZ29" s="22">
        <f>IF(AY29="",0,COUNTIF(nINT_Key,AY29))</f>
        <v>0</v>
      </c>
      <c r="BA29" s="22">
        <f>IF(D29="",0,IFERROR(MATCH(AX29&amp;"|"&amp;D29,nLNK_Key,0),0))</f>
        <v>0</v>
      </c>
      <c r="BB29" s="22">
        <f>IF(BA29=0,1,INDEX(nLNK_Exp_Found,BA29))</f>
        <v>1</v>
      </c>
      <c r="BC29" s="22">
        <f>IF(BA29=0,1,INDEX(nLNK_Evt_Found,BA29))</f>
        <v>1</v>
      </c>
      <c r="BD29" s="22">
        <f>IF(AP29="",0,COUNTIF(nEXP_Key,AX29&amp;"|"&amp;AP29))</f>
        <v>0</v>
      </c>
      <c r="BE29" s="22">
        <f>IF(AQ29="",0,COUNTIF(nEVT_Key,AX29&amp;"|"&amp;AQ29))</f>
        <v>0</v>
      </c>
      <c r="BF29" s="22">
        <f>IF(ISNA(MATCH(E29,nLIST_AnchorType,0)),0,1)</f>
        <v>0</v>
      </c>
      <c r="BG29" s="22">
        <f t="shared" si="23"/>
        <v>0</v>
      </c>
      <c r="BH29" s="22">
        <f t="shared" si="24"/>
        <v>0</v>
      </c>
      <c r="BI29" s="22">
        <f>IF(OR(AW29=1,AK29=""),0,IFERROR(MATCH(AX29&amp;"|"&amp;AK29,nTP_Key,0),0))</f>
        <v>0</v>
      </c>
      <c r="BJ29" s="21">
        <f>IF(BI29=0,0,INDEX(nTP_Dup,BI29))</f>
        <v>0</v>
      </c>
      <c r="BK29" s="21" t="str">
        <f>IF(BI29=0,"",INDEX(nTP_Record_Type,BI29))</f>
        <v/>
      </c>
      <c r="BL29" s="21" t="str">
        <f>IF(BI29=0,"",INDEX(nTP_Precision,BI29))</f>
        <v/>
      </c>
      <c r="BM29" s="21" t="str">
        <f>IF(BI29=0,"",INDEX(nTP_Err,BI29))</f>
        <v/>
      </c>
      <c r="BN29" s="21">
        <f>IF(BI29=0,0,INDEX(nTP_HT,BI29))</f>
        <v>0</v>
      </c>
      <c r="BO29" s="21">
        <f>IF(BI29=0,0,INDEX(nTP_OK,BI29))</f>
        <v>0</v>
      </c>
      <c r="BP29" s="21" t="str">
        <f>IF(BI29=0,"",INDEX(nTP_Loc,BI29))</f>
        <v/>
      </c>
      <c r="BQ29" s="21" t="str">
        <f>IF(BI29=0,"",INDEX(nTP_UTC,BI29))</f>
        <v/>
      </c>
      <c r="BR29" s="21" t="str">
        <f>IF(BI29=0,"",INDEX(nTP_Lo,BI29))</f>
        <v/>
      </c>
      <c r="BS29" s="21" t="str">
        <f>IF(BI29=0,"",INDEX(nTP_Hi,BI29))</f>
        <v/>
      </c>
      <c r="BT29" s="21" t="str">
        <f>IF(BI29=0,"",INDEX(nTP_Original_Text,BI29))</f>
        <v/>
      </c>
      <c r="BU29" s="21" t="str">
        <f>IF(BI29=0,"",INDEX(nTP_Source,BI29))</f>
        <v/>
      </c>
      <c r="BV29" s="21" t="str">
        <f>IF(BI29=0,"",INDEX(nTP_Lab_Note,BI29))</f>
        <v/>
      </c>
      <c r="BW29" s="22">
        <f t="shared" si="25"/>
        <v>0</v>
      </c>
      <c r="BX29" s="21" t="str">
        <f t="shared" si="26"/>
        <v>||</v>
      </c>
      <c r="BY29" s="22">
        <f>IF(BG29=0,0,COUNTIF(nTP_CandKey,BX29))</f>
        <v>0</v>
      </c>
      <c r="BZ29" s="22">
        <f>IF(BG29=0,0,COUNTIFS(nTP_CandKey,BX29,nTP_Err,""))</f>
        <v>0</v>
      </c>
      <c r="CA29" s="21" t="str">
        <f>IF(BY29=BZ29,"",IF(COUNTIFS(nTP_CandKey,BX29,nTP_Err,"E_INVALID_DATE")&gt;0,"; E_INVALID_DATE","")&amp;IF(COUNTIFS(nTP_CandKey,BX29,nTP_Err,"E_REVERSED_BOUNDS")&gt;0,"; E_REVERSED_BOUNDS","")&amp;IF(COUNTIFS(nTP_CandKey,BX29,nTP_Err,"E_MISSING_INPUT")&gt;0,"; E_MISSING_INPUT","")&amp;IF(COUNTIFS(nTP_CandKey,BX29,nTP_Err,"E_INVALID_UNIT")&gt;0,"; E_INVALID_UNIT",""))</f>
        <v/>
      </c>
      <c r="CB29" s="22">
        <f t="shared" si="27"/>
        <v>0</v>
      </c>
      <c r="CC29" s="22">
        <f>IF(CB29=0,0,SUMPRODUCT((nTP_CandKey=BX29)*(nTP_Err="")*(1-(nTP_HT*BN29*((nTP_OK*BO29*(nTP_UTC_n-N(BQ29))+(1-nTP_OK*BO29)*(nTP_Loc_n-N(BP29)))&lt;=0)+(1-nTP_HT*BN29)*(nTP_Hi_n&lt;N(BR29)))-(nTP_HT*BN29*((nTP_OK*BO29*(nTP_UTC_n-N(BQ29))+(1-nTP_OK*BO29)*(nTP_Loc_n-N(BP29)))&gt;0)+(1-nTP_HT*BN29)*(nTP_Lo_n&gt;N(BS29)))-((1-nTP_HT*BN29)*(nTP_Lo_n=nTP_Hi_n)*(nTP_Lo_n=N(BR29))*(N(BR29)=N(BS29))))))</f>
        <v>0</v>
      </c>
      <c r="CD29" s="22">
        <f>IF(CB29=0,0,SUMPRODUCT((nTP_CandKey=BX29)*nTP_Exact*((nTP_HT*BN29*((nTP_OK*BO29*(nTP_UTC_n-N(BQ29))+(1-nTP_OK*BO29)*(nTP_Loc_n-N(BP29)))&lt;=0)+(1-nTP_HT*BN29)*(nTP_Hi_n&lt;N(BR29)))+((1-nTP_HT*BN29)*(nTP_Lo_n=nTP_Hi_n)*(nTP_Lo_n=N(BR29))*(N(BR29)=N(BS29))))))</f>
        <v>0</v>
      </c>
      <c r="CE29" s="22">
        <f>IF(CB29=0,0,SUMPRODUCT((nTP_CandKey=BX29)*(nTP_Err="")*(1-nTP_Exact)*((nTP_HT*BN29*((nTP_OK*BO29*(nTP_UTC_n-N(BQ29))+(1-nTP_OK*BO29)*(nTP_Loc_n-N(BP29)))&lt;=0)+(1-nTP_HT*BN29)*(nTP_Hi_n&lt;N(BR29)))+((1-nTP_HT*BN29)*(nTP_Lo_n=nTP_Hi_n)*(nTP_Lo_n=N(BR29))*(N(BR29)=N(BS29))))))</f>
        <v>0</v>
      </c>
      <c r="CF29" s="22">
        <f>IF(CD29=0,0,SUMPRODUCT(MAX((nTP_CandKey=BX29)*nTP_Exact*((nTP_HT*BN29*((nTP_OK*BO29*(nTP_UTC_n-N(BQ29))+(1-nTP_OK*BO29)*(nTP_Loc_n-N(BP29)))&lt;=0)+(1-nTP_HT*BN29)*(nTP_Hi_n&lt;N(BR29)))+((1-nTP_HT*BN29)*(nTP_Lo_n=nTP_Hi_n)*(nTP_Lo_n=N(BR29))*(N(BR29)=N(BS29))))*nTP_Lo_n)))</f>
        <v>0</v>
      </c>
      <c r="CG29" s="22">
        <f>IF(CD29=0,0,SUMPRODUCT((nTP_CandKey=BX29)*nTP_Exact*((nTP_HT*BN29*((nTP_OK*BO29*(nTP_UTC_n-N(BQ29))+(1-nTP_OK*BO29)*(nTP_Loc_n-N(BP29)))&lt;=0)+(1-nTP_HT*BN29)*(nTP_Hi_n&lt;N(BR29)))+((1-nTP_HT*BN29)*(nTP_Lo_n=nTP_Hi_n)*(nTP_Lo_n=N(BR29))*(N(BR29)=N(BS29))))*(nTP_Lo_n=CF29)))</f>
        <v>0</v>
      </c>
      <c r="CH29" s="22">
        <f>IF(CD29=0,0,SUMPRODUCT((nTP_CandKey=BX29)*nTP_Exact*((nTP_HT*BN29*((nTP_OK*BO29*(nTP_UTC_n-N(BQ29))+(1-nTP_OK*BO29)*(nTP_Loc_n-N(BP29)))&lt;=0)+(1-nTP_HT*BN29)*(nTP_Hi_n&lt;N(BR29)))+((1-nTP_HT*BN29)*(nTP_Lo_n=nTP_Hi_n)*(nTP_Lo_n=N(BR29))*(N(BR29)=N(BS29))))*(1-nTP_HT)*(nTP_Lo_n=CF29)))</f>
        <v>0</v>
      </c>
      <c r="CI29" s="22">
        <f>IF(CD29=0,0,SUMPRODUCT(MAX((nTP_CandKey=BX29)*nTP_Exact*((nTP_HT*BN29*((nTP_OK*BO29*(nTP_UTC_n-N(BQ29))+(1-nTP_OK*BO29)*(nTP_Loc_n-N(BP29)))&lt;=0)+(1-nTP_HT*BN29)*(nTP_Hi_n&lt;N(BR29)))+((1-nTP_HT*BN29)*(nTP_Lo_n=nTP_Hi_n)*(nTP_Lo_n=N(BR29))*(N(BR29)=N(BS29))))*(1-nTP_HT)*nTP_Lo_n)))</f>
        <v>0</v>
      </c>
      <c r="CJ29" s="22">
        <f>IF(CD29=0,0,SUMPRODUCT(MAX((nTP_CandKey=BX29)*nTP_Exact*((nTP_HT*BN29*((nTP_OK*BO29*(nTP_UTC_n-N(BQ29))+(1-nTP_OK*BO29)*(nTP_Loc_n-N(BP29)))&lt;=0)+(1-nTP_HT*BN29)*(nTP_Hi_n&lt;N(BR29)))+((1-nTP_HT*BN29)*(nTP_Lo_n=nTP_Hi_n)*(nTP_Lo_n=N(BR29))*(N(BR29)=N(BS29))))*nTP_HT*nTP_OK*nTP_UTC_n)))</f>
        <v>0</v>
      </c>
      <c r="CK29" s="22">
        <f>IF(CJ29=0,0,SUMPRODUCT((nTP_CandKey=BX29)*nTP_Exact*((nTP_HT*BN29*((nTP_OK*BO29*(nTP_UTC_n-N(BQ29))+(1-nTP_OK*BO29)*(nTP_Loc_n-N(BP29)))&lt;=0)+(1-nTP_HT*BN29)*(nTP_Hi_n&lt;N(BR29)))+((1-nTP_HT*BN29)*(nTP_Lo_n=nTP_Hi_n)*(nTP_Lo_n=N(BR29))*(N(BR29)=N(BS29))))*nTP_HT*nTP_OK*(nTP_UTC_n=CJ29)))</f>
        <v>0</v>
      </c>
      <c r="CL29" s="22">
        <f>IF(CK29&lt;&gt;1,0,SUMPRODUCT((nTP_CandKey=BX29)*nTP_Exact*((nTP_HT*BN29*((nTP_OK*BO29*(nTP_UTC_n-N(BQ29))+(1-nTP_OK*BO29)*(nTP_Loc_n-N(BP29)))&lt;=0)+(1-nTP_HT*BN29)*(nTP_Hi_n&lt;N(BR29)))+((1-nTP_HT*BN29)*(nTP_Lo_n=nTP_Hi_n)*(nTP_Lo_n=N(BR29))*(N(BR29)=N(BS29))))*nTP_HT*nTP_OK*(nTP_UTC_n=CJ29)*nTP_Loc_n))</f>
        <v>0</v>
      </c>
      <c r="CM29" s="22">
        <f>IF(CK29&lt;&gt;1,0,SUMPRODUCT((nTP_CandKey=BX29)*nTP_Exact*((nTP_HT*BN29*((nTP_OK*BO29*(nTP_UTC_n-N(BQ29))+(1-nTP_OK*BO29)*(nTP_Loc_n-N(BP29)))&lt;=0)+(1-nTP_HT*BN29)*(nTP_Hi_n&lt;N(BR29)))+((1-nTP_HT*BN29)*(nTP_Lo_n=nTP_Hi_n)*(nTP_Lo_n=N(BR29))*(N(BR29)=N(BS29))))*nTP_HT*nTP_OK*(nTP_UTC_n=CJ29)*nTP_Lo_n))</f>
        <v>0</v>
      </c>
      <c r="CN29" s="22">
        <f>IF(CD29=0,0,SUMPRODUCT(MAX((nTP_CandKey=BX29)*nTP_Exact*((nTP_HT*BN29*((nTP_OK*BO29*(nTP_UTC_n-N(BQ29))+(1-nTP_OK*BO29)*(nTP_Loc_n-N(BP29)))&lt;=0)+(1-nTP_HT*BN29)*(nTP_Hi_n&lt;N(BR29)))+((1-nTP_HT*BN29)*(nTP_Lo_n=nTP_Hi_n)*(nTP_Lo_n=N(BR29))*(N(BR29)=N(BS29))))*nTP_HT*(1-nTP_OK)*nTP_Loc_n)))</f>
        <v>0</v>
      </c>
      <c r="CO29" s="22">
        <f>IF(CN29=0,0,SUMPRODUCT((nTP_CandKey=BX29)*nTP_Exact*((nTP_HT*BN29*((nTP_OK*BO29*(nTP_UTC_n-N(BQ29))+(1-nTP_OK*BO29)*(nTP_Loc_n-N(BP29)))&lt;=0)+(1-nTP_HT*BN29)*(nTP_Hi_n&lt;N(BR29)))+((1-nTP_HT*BN29)*(nTP_Lo_n=nTP_Hi_n)*(nTP_Lo_n=N(BR29))*(N(BR29)=N(BS29))))*nTP_HT*(1-nTP_OK)*(nTP_Loc_n=CN29)))</f>
        <v>0</v>
      </c>
      <c r="CP29" s="22">
        <f>IF(CO29&lt;&gt;1,0,SUMPRODUCT((nTP_CandKey=BX29)*nTP_Exact*((nTP_HT*BN29*((nTP_OK*BO29*(nTP_UTC_n-N(BQ29))+(1-nTP_OK*BO29)*(nTP_Loc_n-N(BP29)))&lt;=0)+(1-nTP_HT*BN29)*(nTP_Hi_n&lt;N(BR29)))+((1-nTP_HT*BN29)*(nTP_Lo_n=nTP_Hi_n)*(nTP_Lo_n=N(BR29))*(N(BR29)=N(BS29))))*nTP_HT*(1-nTP_OK)*(nTP_Loc_n=CN29)*nTP_Lo_n))</f>
        <v>0</v>
      </c>
      <c r="CQ29" s="22">
        <f>IF(CD29=0,0,SUMPRODUCT(MAX((nTP_CandKey=BX29)*nTP_Exact*((nTP_HT*BN29*((nTP_OK*BO29*(nTP_UTC_n-N(BQ29))+(1-nTP_OK*BO29)*(nTP_Loc_n-N(BP29)))&lt;=0)+(1-nTP_HT*BN29)*(nTP_Hi_n&lt;N(BR29)))+((1-nTP_HT*BN29)*(nTP_Lo_n=nTP_Hi_n)*(nTP_Lo_n=N(BR29))*(N(BR29)=N(BS29))))*nTP_HT*nTP_OK*nTP_Loc_n)))</f>
        <v>0</v>
      </c>
      <c r="CR29" s="22">
        <f t="shared" si="28"/>
        <v>0</v>
      </c>
      <c r="CS29" s="22">
        <f>IF(CR29=0,0,IF(CR29=1,MATCH(1,INDEX((nTP_CandKey=BX29)*nTP_Exact*((nTP_HT*BN29*((nTP_OK*BO29*(nTP_UTC_n-N(BQ29))+(1-nTP_OK*BO29)*(nTP_Loc_n-N(BP29)))&lt;=0)+(1-nTP_HT*BN29)*(nTP_Hi_n&lt;N(BR29)))+((1-nTP_HT*BN29)*(nTP_Lo_n=nTP_Hi_n)*(nTP_Lo_n=N(BR29))*(N(BR29)=N(BS29))))*(1-nTP_HT)*(nTP_Lo_n=CF29),0),0),IF(CR29=2,MATCH(1,INDEX((nTP_CandKey=BX29)*nTP_Exact*((nTP_HT*BN29*((nTP_OK*BO29*(nTP_UTC_n-N(BQ29))+(1-nTP_OK*BO29)*(nTP_Loc_n-N(BP29)))&lt;=0)+(1-nTP_HT*BN29)*(nTP_Hi_n&lt;N(BR29)))+((1-nTP_HT*BN29)*(nTP_Lo_n=nTP_Hi_n)*(nTP_Lo_n=N(BR29))*(N(BR29)=N(BS29))))*nTP_HT*nTP_OK*(nTP_UTC_n=CJ29),0),0),MATCH(1,INDEX((nTP_CandKey=BX29)*nTP_Exact*((nTP_HT*BN29*((nTP_OK*BO29*(nTP_UTC_n-N(BQ29))+(1-nTP_OK*BO29)*(nTP_Loc_n-N(BP29)))&lt;=0)+(1-nTP_HT*BN29)*(nTP_Hi_n&lt;N(BR29)))+((1-nTP_HT*BN29)*(nTP_Lo_n=nTP_Hi_n)*(nTP_Lo_n=N(BR29))*(N(BR29)=N(BS29))))*nTP_HT*(1-nTP_OK)*(nTP_Loc_n=CN29),0),0))))</f>
        <v>0</v>
      </c>
      <c r="CT29" s="22">
        <f>IF(CS29=0,0,INDEX(nTP_Lo_n,CS29))</f>
        <v>0</v>
      </c>
      <c r="CU29" s="22">
        <f>IF(CS29=0,0,SUMPRODUCT((nTP_CandKey=BX29)*(nTP_Err="")*(1-nTP_Exact)*((nTP_HT*BN29*((nTP_OK*BO29*(nTP_UTC_n-N(BQ29))+(1-nTP_OK*BO29)*(nTP_Loc_n-N(BP29)))&lt;=0)+(1-nTP_HT*BN29)*(nTP_Hi_n&lt;N(BR29)))+((1-nTP_HT*BN29)*(nTP_Lo_n=nTP_Hi_n)*(nTP_Lo_n=N(BR29))*(N(BR29)=N(BS29))))*(nTP_Hi_n&gt;=CT29)))</f>
        <v>0</v>
      </c>
      <c r="CV29" s="21" t="str">
        <f t="shared" si="29"/>
        <v/>
      </c>
      <c r="CW29" s="21" t="str">
        <f>IF(AND(BG29=1,CB29=1,CV29="",CS29&gt;0),INDEX(nTP_Record_ID,CS29)&amp;"","")</f>
        <v/>
      </c>
      <c r="CX29" s="21" t="str">
        <f>IF(OR(CV29="",BG29=0),"",IF(CV29="none","an administration record (last dose before onset)",IF(CV29="uncertain","the anchor record: "&amp;INDEX(nTP_Record_ID,MATCH(1,INDEX((nTP_CandKey=BX29)*(nTP_Err="")*(1-(nTP_HT*BN29*((nTP_OK*BO29*(nTP_UTC_n-N(BQ29))+(1-nTP_OK*BO29)*(nTP_Loc_n-N(BP29)))&lt;=0)+(1-nTP_HT*BN29)*(nTP_Hi_n&lt;N(BR29)))-(nTP_HT*BN29*((nTP_OK*BO29*(nTP_UTC_n-N(BQ29))+(1-nTP_OK*BO29)*(nTP_Loc_n-N(BP29)))&gt;0)+(1-nTP_HT*BN29)*(nTP_Lo_n&gt;N(BS29)))-((1-nTP_HT*BN29)*(nTP_Lo_n=nTP_Hi_n)*(nTP_Lo_n=N(BR29))*(N(BR29)=N(BS29)))),0),0))&amp;IF(CC29&gt;1," and "&amp;(CC29-1)&amp;" more","")&amp;" may fall before or after the end point, so the last dose cannot be identified from the recorded dates",IF(CV29="noneligible","the anchor record: no administration with an exact date is recorded at or before the end point",IF(CV29="tie","the anchor record: the order of the latest administrations cannot be told from the recorded dates and times","the anchor record: partial-date administration "&amp;INDEX(nTP_Record_ID,MATCH(1,INDEX((nTP_CandKey=BX29)*(nTP_Err="")*(1-nTP_Exact)*((nTP_HT*BN29*((nTP_OK*BO29*(nTP_UTC_n-N(BQ29))+(1-nTP_OK*BO29)*(nTP_Loc_n-N(BP29)))&lt;=0)+(1-nTP_HT*BN29)*(nTP_Hi_n&lt;N(BR29)))+((1-nTP_HT*BN29)*(nTP_Lo_n=nTP_Hi_n)*(nTP_Lo_n=N(BR29))*(N(BR29)=N(BS29))))*(nTP_Hi_n&gt;=CT29),0),0))&amp;" could be the last dose before the end point")))))</f>
        <v/>
      </c>
      <c r="CY29" s="22">
        <f>IF(OR(AW29=1,AJ29=""),0,IFERROR(MATCH(AX29&amp;"|"&amp;AJ29,nTP_Key,0),0))</f>
        <v>0</v>
      </c>
      <c r="CZ29" s="21">
        <f>IF(CY29=0,0,INDEX(nTP_Dup,CY29))</f>
        <v>0</v>
      </c>
      <c r="DA29" s="21" t="str">
        <f>IF(CY29=0,"",INDEX(nTP_Record_Type,CY29))</f>
        <v/>
      </c>
      <c r="DB29" s="21" t="str">
        <f>IF(CY29=0,"",INDEX(nTP_Precision,CY29))</f>
        <v/>
      </c>
      <c r="DC29" s="21" t="str">
        <f>IF(CY29=0,"",INDEX(nTP_Err,CY29))</f>
        <v/>
      </c>
      <c r="DD29" s="21">
        <f>IF(CY29=0,0,INDEX(nTP_HT,CY29))</f>
        <v>0</v>
      </c>
      <c r="DE29" s="21">
        <f>IF(CY29=0,0,INDEX(nTP_OK,CY29))</f>
        <v>0</v>
      </c>
      <c r="DF29" s="21" t="str">
        <f>IF(CY29=0,"",INDEX(nTP_Loc,CY29))</f>
        <v/>
      </c>
      <c r="DG29" s="21" t="str">
        <f>IF(CY29=0,"",INDEX(nTP_UTC,CY29))</f>
        <v/>
      </c>
      <c r="DH29" s="21" t="str">
        <f>IF(CY29=0,"",INDEX(nTP_Lo,CY29))</f>
        <v/>
      </c>
      <c r="DI29" s="21" t="str">
        <f>IF(CY29=0,"",INDEX(nTP_Hi,CY29))</f>
        <v/>
      </c>
      <c r="DJ29" s="21" t="str">
        <f>IF(CY29=0,"",INDEX(nTP_Original_Text,CY29))</f>
        <v/>
      </c>
      <c r="DK29" s="21" t="str">
        <f>IF(CY29=0,"",INDEX(nTP_Source,CY29))</f>
        <v/>
      </c>
      <c r="DL29" s="22">
        <f t="shared" si="30"/>
        <v>0</v>
      </c>
      <c r="DM29" s="21" t="str">
        <f t="shared" si="31"/>
        <v/>
      </c>
      <c r="DN29" s="21" t="str">
        <f t="shared" si="32"/>
        <v/>
      </c>
      <c r="DO29" s="21" t="str">
        <f t="shared" si="33"/>
        <v/>
      </c>
      <c r="DP29" s="21" t="str">
        <f t="shared" si="34"/>
        <v/>
      </c>
      <c r="DQ29" s="21" t="str">
        <f t="shared" si="35"/>
        <v/>
      </c>
      <c r="DR29" s="22">
        <f>IF(OR(DQ29="",I29=""),0,IF(ISNA(MATCH(I29,nLIST_Mode,0)),1,IF(AND(I29="C1",DQ29&lt;&gt;"C1"),1,IF(AND(I29="C2",DQ29="C4"),1,0))))</f>
        <v>0</v>
      </c>
      <c r="DS29" s="21" t="str">
        <f t="shared" si="36"/>
        <v/>
      </c>
      <c r="DT29" s="22">
        <f t="shared" si="37"/>
        <v>0</v>
      </c>
      <c r="DU29" s="21" t="str">
        <f>IF(DT29=0,"",IF(COUNTIFS(nTP_Case_Key,AX29,nTP_Record_Type,"MILESTONE:INTERVENTION",nTP_Err,"E_INVALID_DATE")&gt;0,"; E_INVALID_DATE","")&amp;IF(COUNTIFS(nTP_Case_Key,AX29,nTP_Record_Type,"MILESTONE:INTERVENTION",nTP_Err,"E_REVERSED_BOUNDS")&gt;0,"; E_REVERSED_BOUNDS","")&amp;IF(COUNTIFS(nTP_Case_Key,AX29,nTP_Record_Type,"MILESTONE:INTERVENTION",nTP_Err,"E_MISSING_INPUT")&gt;0,"; E_MISSING_INPUT","")&amp;IF(COUNTIFS(nTP_Case_Key,AX29,nTP_Record_Type,"MILESTONE:INTERVENTION",nTP_Err,"E_INVALID_UNIT")&gt;0,"; E_INVALID_UNIT",""))</f>
        <v/>
      </c>
      <c r="DV29" s="22">
        <f>IF(DT29=0,0,SUMPRODUCT((nMS_CaseKey=AX29)*(nMS_Type="INTERVENTION")*nMS_Undated))</f>
        <v>0</v>
      </c>
      <c r="DW29" s="21" t="str">
        <f t="shared" si="38"/>
        <v/>
      </c>
      <c r="DX29" s="21" t="str">
        <f t="shared" si="39"/>
        <v/>
      </c>
      <c r="DY29" s="22">
        <f t="shared" si="40"/>
        <v>1</v>
      </c>
      <c r="DZ29" s="21" t="str">
        <f t="shared" si="41"/>
        <v/>
      </c>
      <c r="EA29" s="21" t="str">
        <f t="shared" si="42"/>
        <v/>
      </c>
      <c r="EB29" s="21" t="str">
        <f t="shared" si="43"/>
        <v/>
      </c>
      <c r="EC29" s="21" t="str">
        <f t="shared" si="44"/>
        <v/>
      </c>
      <c r="ED29" s="22">
        <f t="shared" si="45"/>
        <v>0</v>
      </c>
      <c r="EE29" s="22">
        <f t="shared" si="46"/>
        <v>0</v>
      </c>
      <c r="EF29" s="21" t="str">
        <f>IF(ED29=0,"",IF(OR(NOT(ISNUMBER(L29)),NOT(ISNUMBER(M29))),"I_APPROXIMATE_NOT_COMPARED",IF(AND(N29&lt;&gt;"",ISNA(MATCH(N29,nLIST_ReportedUnit,0))),"E_INVALID_UNIT",IF(N29="","E_MISSING_INPUT",IF(L29&gt;M29,"E_REVERSED_BOUNDS",IF(OR(N29="weeks",N29="months",N29="years"),"I_APPROXIMATE_NOT_COMPARED",IF(DX29&lt;&gt;"","",IF(EE29=0,"I_APPROXIMATE_NOT_COMPARED",IF(AND(L29*EE29&lt;=IF(DS29="C4",EC29,IF(DS29="C1",DZ29,EA29)),M29*EE29&gt;=IF(DS29="C4",EB29,IF(DS29="C1",DZ29,EA29))),"OVERLAP","W_REPORTED_TIMING_CONFLICT")))))))))</f>
        <v/>
      </c>
      <c r="EG29" s="21" t="str">
        <f t="shared" si="47"/>
        <v/>
      </c>
      <c r="EH29" s="21" t="str">
        <f t="shared" si="48"/>
        <v/>
      </c>
      <c r="EI29" s="22">
        <f t="shared" si="49"/>
        <v>0</v>
      </c>
      <c r="EJ29" s="22">
        <f t="shared" si="50"/>
        <v>0</v>
      </c>
      <c r="EK29" s="22">
        <f t="shared" si="51"/>
        <v>0</v>
      </c>
      <c r="EL29" s="28" t="str">
        <f t="shared" si="52"/>
        <v/>
      </c>
      <c r="EM29" s="28" t="str">
        <f t="shared" si="53"/>
        <v/>
      </c>
      <c r="EN29" s="21" t="str">
        <f t="shared" si="54"/>
        <v/>
      </c>
      <c r="EO29" s="22">
        <f>IF(OR(DT29=0,DX29&lt;&gt;""),0,SUMPRODUCT((nTP_Case_Key=AX29)*(nTP_Record_Type="MILESTONE:INTERVENTION")*(nTP_Err="")*(nTP_HT*DD29*BN29*(nTP_OK*DE29*(nTP_UTC_n&gt;=N(DG29))+(1-nTP_OK*DE29)*(nTP_Loc_n&gt;=N(DF29)))*(nTP_OK*BO29*(nTP_UTC_n&lt;=N(BQ29))+(1-nTP_OK*BO29)*(nTP_Loc_n&lt;=N(BP29)))+(1-nTP_HT*DD29*BN29)*(nTP_Hi_n&gt;=N(DH29))*(nTP_Lo_n&lt;=N(BS29)))))</f>
        <v>0</v>
      </c>
      <c r="EP29" s="22">
        <f>IF(OR(DT29=0,DX29&lt;&gt;""),0,SUMPRODUCT((nTP_Case_Key=AX29)*(nTP_Role="treatment of the event")*((nTP_Record_Type="EXPOSURE_START")+(nTP_Record_Type="ADMINISTRATION"))*(nTP_Err="")*(nTP_HT*DD29*BN29*(nTP_OK*DE29*(nTP_UTC_n&gt;=N(DG29))+(1-nTP_OK*DE29)*(nTP_Loc_n&gt;=N(DF29)))*(nTP_OK*BO29*(nTP_UTC_n&lt;=N(BQ29))+(1-nTP_OK*BO29)*(nTP_Loc_n&lt;=N(BP29)))+(1-nTP_HT*DD29*BN29)*(nTP_Hi_n&gt;=N(DH29))*(nTP_Lo_n&lt;=N(BS29)))))</f>
        <v>0</v>
      </c>
      <c r="EQ29" s="22">
        <f>IF(EO29&lt;1,0,IFERROR(_xlfn.AGGREGATE(15,6,nTP_RowN/((nTP_Case_Key=AX29)*(nTP_Record_Type="MILESTONE:INTERVENTION")*(nTP_Err="")*(nTP_HT*DD29*BN29*(nTP_OK*DE29*(nTP_UTC_n&gt;=N(DG29))+(1-nTP_OK*DE29)*(nTP_Loc_n&gt;=N(DF29)))*(nTP_OK*BO29*(nTP_UTC_n&lt;=N(BQ29))+(1-nTP_OK*BO29)*(nTP_Loc_n&lt;=N(BP29)))+(1-nTP_HT*DD29*BN29)*(nTP_Hi_n&gt;=N(DH29))*(nTP_Lo_n&lt;=N(BS29)))),1),0))</f>
        <v>0</v>
      </c>
      <c r="ER29" s="22">
        <f>IF(EO29&lt;2,0,IFERROR(_xlfn.AGGREGATE(15,6,nTP_RowN/((nTP_Case_Key=AX29)*(nTP_Record_Type="MILESTONE:INTERVENTION")*(nTP_Err="")*(nTP_HT*DD29*BN29*(nTP_OK*DE29*(nTP_UTC_n&gt;=N(DG29))+(1-nTP_OK*DE29)*(nTP_Loc_n&gt;=N(DF29)))*(nTP_OK*BO29*(nTP_UTC_n&lt;=N(BQ29))+(1-nTP_OK*BO29)*(nTP_Loc_n&lt;=N(BP29)))+(1-nTP_HT*DD29*BN29)*(nTP_Hi_n&gt;=N(DH29))*(nTP_Lo_n&lt;=N(BS29)))),2),0))</f>
        <v>0</v>
      </c>
      <c r="ES29" s="22">
        <f>IF(EO29&lt;3,0,IFERROR(_xlfn.AGGREGATE(15,6,nTP_RowN/((nTP_Case_Key=AX29)*(nTP_Record_Type="MILESTONE:INTERVENTION")*(nTP_Err="")*(nTP_HT*DD29*BN29*(nTP_OK*DE29*(nTP_UTC_n&gt;=N(DG29))+(1-nTP_OK*DE29)*(nTP_Loc_n&gt;=N(DF29)))*(nTP_OK*BO29*(nTP_UTC_n&lt;=N(BQ29))+(1-nTP_OK*BO29)*(nTP_Loc_n&lt;=N(BP29)))+(1-nTP_HT*DD29*BN29)*(nTP_Hi_n&gt;=N(DH29))*(nTP_Lo_n&lt;=N(BS29)))),3),0))</f>
        <v>0</v>
      </c>
      <c r="ET29" s="22">
        <f>IF(EP29&lt;1,0,IFERROR(_xlfn.AGGREGATE(15,6,nTP_RowN/((nTP_Case_Key=AX29)*(nTP_Role="treatment of the event")*((nTP_Record_Type="EXPOSURE_START")+(nTP_Record_Type="ADMINISTRATION"))*(nTP_Err="")*(nTP_HT*DD29*BN29*(nTP_OK*DE29*(nTP_UTC_n&gt;=N(DG29))+(1-nTP_OK*DE29)*(nTP_Loc_n&gt;=N(DF29)))*(nTP_OK*BO29*(nTP_UTC_n&lt;=N(BQ29))+(1-nTP_OK*BO29)*(nTP_Loc_n&lt;=N(BP29)))+(1-nTP_HT*DD29*BN29)*(nTP_Hi_n&gt;=N(DH29))*(nTP_Lo_n&lt;=N(BS29)))),1),0))</f>
        <v>0</v>
      </c>
      <c r="EU29" s="22">
        <f>IF(EP29&lt;2,0,IFERROR(_xlfn.AGGREGATE(15,6,nTP_RowN/((nTP_Case_Key=AX29)*(nTP_Role="treatment of the event")*((nTP_Record_Type="EXPOSURE_START")+(nTP_Record_Type="ADMINISTRATION"))*(nTP_Err="")*(nTP_HT*DD29*BN29*(nTP_OK*DE29*(nTP_UTC_n&gt;=N(DG29))+(1-nTP_OK*DE29)*(nTP_Loc_n&gt;=N(DF29)))*(nTP_OK*BO29*(nTP_UTC_n&lt;=N(BQ29))+(1-nTP_OK*BO29)*(nTP_Loc_n&lt;=N(BP29)))+(1-nTP_HT*DD29*BN29)*(nTP_Hi_n&gt;=N(DH29))*(nTP_Lo_n&lt;=N(BS29)))),2),0))</f>
        <v>0</v>
      </c>
      <c r="EV29" s="22">
        <f>IF(EP29&lt;3,0,IFERROR(_xlfn.AGGREGATE(15,6,nTP_RowN/((nTP_Case_Key=AX29)*(nTP_Role="treatment of the event")*((nTP_Record_Type="EXPOSURE_START")+(nTP_Record_Type="ADMINISTRATION"))*(nTP_Err="")*(nTP_HT*DD29*BN29*(nTP_OK*DE29*(nTP_UTC_n&gt;=N(DG29))+(1-nTP_OK*DE29)*(nTP_Loc_n&gt;=N(DF29)))*(nTP_OK*BO29*(nTP_UTC_n&lt;=N(BQ29))+(1-nTP_OK*BO29)*(nTP_Loc_n&lt;=N(BP29)))+(1-nTP_HT*DD29*BN29)*(nTP_Hi_n&gt;=N(DH29))*(nTP_Lo_n&lt;=N(BS29)))),3),0))</f>
        <v>0</v>
      </c>
      <c r="EW29" s="22">
        <f>IF(CE29&lt;1,0,IFERROR(_xlfn.AGGREGATE(15,6,nTP_RowN/((nTP_CandKey=BX29)*(nTP_Err="")*(1-nTP_Exact)*((nTP_HT*BN29*((nTP_OK*BO29*(nTP_UTC_n-N(BQ29))+(1-nTP_OK*BO29)*(nTP_Loc_n-N(BP29)))&lt;=0)+(1-nTP_HT*BN29)*(nTP_Hi_n&lt;N(BR29)))+((1-nTP_HT*BN29)*(nTP_Lo_n=nTP_Hi_n)*(nTP_Lo_n=N(BR29))*(N(BR29)=N(BS29))))),1),0))</f>
        <v>0</v>
      </c>
      <c r="EX29" s="22">
        <f>IF(CE29&lt;2,0,IFERROR(_xlfn.AGGREGATE(15,6,nTP_RowN/((nTP_CandKey=BX29)*(nTP_Err="")*(1-nTP_Exact)*((nTP_HT*BN29*((nTP_OK*BO29*(nTP_UTC_n-N(BQ29))+(1-nTP_OK*BO29)*(nTP_Loc_n-N(BP29)))&lt;=0)+(1-nTP_HT*BN29)*(nTP_Hi_n&lt;N(BR29)))+((1-nTP_HT*BN29)*(nTP_Lo_n=nTP_Hi_n)*(nTP_Lo_n=N(BR29))*(N(BR29)=N(BS29))))),2),0))</f>
        <v>0</v>
      </c>
      <c r="EY29" s="22">
        <f>IF(CE29&lt;3,0,IFERROR(_xlfn.AGGREGATE(15,6,nTP_RowN/((nTP_CandKey=BX29)*(nTP_Err="")*(1-nTP_Exact)*((nTP_HT*BN29*((nTP_OK*BO29*(nTP_UTC_n-N(BQ29))+(1-nTP_OK*BO29)*(nTP_Loc_n-N(BP29)))&lt;=0)+(1-nTP_HT*BN29)*(nTP_Hi_n&lt;N(BR29)))+((1-nTP_HT*BN29)*(nTP_Lo_n=nTP_Hi_n)*(nTP_Lo_n=N(BR29))*(N(BR29)=N(BS29))))),3),0))</f>
        <v>0</v>
      </c>
      <c r="EZ29" s="21" t="str">
        <f>IF(EO29=0,"",MID(IF(EQ29&gt;0,"; "&amp;INDEX(nTP_Record_ID,EQ29)&amp;IF(INDEX(nTP_Label,EQ29)="",""," ("&amp;INDEX(nTP_Label,EQ29)&amp;")"),"")&amp;IF(ER29&gt;0,"; "&amp;INDEX(nTP_Record_ID,ER29)&amp;IF(INDEX(nTP_Label,ER29)="",""," ("&amp;INDEX(nTP_Label,ER29)&amp;")"),"")&amp;IF(ES29&gt;0,"; "&amp;INDEX(nTP_Record_ID,ES29)&amp;IF(INDEX(nTP_Label,ES29)="",""," ("&amp;INDEX(nTP_Label,ES29)&amp;")"),"")&amp;IF(EO29&gt;3,"; and "&amp;(EO29-3)&amp;" more",""),3,999))</f>
        <v/>
      </c>
      <c r="FA29" s="21" t="str">
        <f>IF(EO29=0,"",MID(IF(EQ29&gt;0,"; "&amp;INDEX(nTP_Record_ID,EQ29),"")&amp;IF(ER29&gt;0,"; "&amp;INDEX(nTP_Record_ID,ER29),"")&amp;IF(ES29&gt;0,"; "&amp;INDEX(nTP_Record_ID,ES29),"")&amp;IF(EO29&gt;3,"; and "&amp;(EO29-3)&amp;" more",""),3,999))</f>
        <v/>
      </c>
      <c r="FB29" s="21" t="str">
        <f>IF(EP29=0,"",MID(IF(ET29&gt;0,"; "&amp;INDEX(nTP_Record_ID,ET29)&amp;IF(INDEX(nTP_Label,ET29)="",""," ("&amp;INDEX(nTP_Label,ET29)&amp;")"),"")&amp;IF(EU29&gt;0,"; "&amp;INDEX(nTP_Record_ID,EU29)&amp;IF(INDEX(nTP_Label,EU29)="",""," ("&amp;INDEX(nTP_Label,EU29)&amp;")"),"")&amp;IF(EV29&gt;0,"; "&amp;INDEX(nTP_Record_ID,EV29)&amp;IF(INDEX(nTP_Label,EV29)="",""," ("&amp;INDEX(nTP_Label,EV29)&amp;")"),"")&amp;IF(EP29&gt;3,"; and "&amp;(EP29-3)&amp;" more",""),3,999))</f>
        <v/>
      </c>
      <c r="FC29" s="21" t="str">
        <f>IF(CE29=0,"",MID(IF(EW29&gt;0,"; "&amp;INDEX(nTP_Record_ID,EW29),"")&amp;IF(EX29&gt;0,"; "&amp;INDEX(nTP_Record_ID,EX29),"")&amp;IF(EY29&gt;0,"; "&amp;INDEX(nTP_Record_ID,EY29),"")&amp;IF(CE29&gt;3,"; and "&amp;(CE29-3)&amp;" more",""),3,999))</f>
        <v/>
      </c>
      <c r="FD29" s="22">
        <f t="shared" si="55"/>
        <v>0</v>
      </c>
      <c r="FE29" s="22">
        <f t="shared" si="56"/>
        <v>0</v>
      </c>
      <c r="FF29" s="22">
        <f t="shared" si="57"/>
        <v>0</v>
      </c>
      <c r="FG29" s="22">
        <f t="shared" si="58"/>
        <v>0</v>
      </c>
      <c r="FH29" s="22">
        <f t="shared" si="59"/>
        <v>0</v>
      </c>
      <c r="FI29" s="22">
        <f t="shared" si="60"/>
        <v>0</v>
      </c>
      <c r="FJ29" s="22">
        <f t="shared" si="61"/>
        <v>0</v>
      </c>
      <c r="FK29" s="22">
        <f t="shared" si="62"/>
        <v>0</v>
      </c>
    </row>
    <row r="30" spans="1:167" x14ac:dyDescent="0.2">
      <c r="A30" s="10"/>
      <c r="B30" s="10"/>
      <c r="C30" s="12"/>
      <c r="D30" s="10"/>
      <c r="E30" s="17"/>
      <c r="F30" s="10"/>
      <c r="G30" s="10"/>
      <c r="H30" s="10"/>
      <c r="I30" s="17"/>
      <c r="J30" s="17"/>
      <c r="K30" s="10"/>
      <c r="L30" s="17"/>
      <c r="M30" s="17"/>
      <c r="N30" s="17"/>
      <c r="O30" s="10"/>
      <c r="P30" s="15"/>
      <c r="Q30" s="15"/>
      <c r="R30" s="10"/>
      <c r="S30" s="10"/>
      <c r="T30" s="21" t="str">
        <f t="shared" si="0"/>
        <v/>
      </c>
      <c r="U30" s="21" t="str">
        <f t="shared" si="1"/>
        <v/>
      </c>
      <c r="V30" s="21" t="str">
        <f t="shared" si="2"/>
        <v/>
      </c>
      <c r="W30" s="21" t="str">
        <f t="shared" si="3"/>
        <v/>
      </c>
      <c r="X30" s="21" t="str">
        <f t="shared" si="4"/>
        <v/>
      </c>
      <c r="Y30" s="21" t="str">
        <f t="shared" si="5"/>
        <v/>
      </c>
      <c r="Z30" s="21" t="str">
        <f t="shared" si="6"/>
        <v/>
      </c>
      <c r="AA30" s="21" t="str">
        <f t="shared" si="7"/>
        <v/>
      </c>
      <c r="AB30" s="21" t="str">
        <f t="shared" si="8"/>
        <v/>
      </c>
      <c r="AC30" s="21" t="str">
        <f t="shared" si="9"/>
        <v/>
      </c>
      <c r="AD30" s="21" t="str">
        <f>IF(AW30=1,"",MID(IF(ISNUMBER(SEARCH("E_INVALID_DATE",EG30))," | E_INVALID_DATE: "&amp;SUBSTITUTE(IFERROR(INDEX(nMSG_Text,MATCH("E_INVALID_DATE",nMSG_Code,0)),""),"[input]",""),"")&amp;IF(ISNUMBER(SEARCH("E_REVERSED_BOUNDS",EG30))," | E_REVERSED_BOUNDS: "&amp;SUBSTITUTE(IFERROR(INDEX(nMSG_Text,MATCH("E_REVERSED_BOUNDS",nMSG_Code,0)),""),"[input]",""),"")&amp;IF(ISNUMBER(SEARCH("E_DUPLICATE_ID",EG30))," | E_DUPLICATE_ID: "&amp;SUBSTITUTE(IFERROR(INDEX(nMSG_Text,MATCH("E_DUPLICATE_ID",nMSG_Code,0)),""),"[input]",""),"")&amp;IF(ISNUMBER(SEARCH("E_MISSING_LINK",EG30))," | E_MISSING_LINK: "&amp;SUBSTITUTE(IFERROR(INDEX(nMSG_Text,MATCH("E_MISSING_LINK",nMSG_Code,0)),""),"[input]",""),"")&amp;IF(ISNUMBER(SEARCH("E_MISSING_INPUT",EG30))," | E_MISSING_INPUT: "&amp;SUBSTITUTE(IFERROR(INDEX(nMSG_Text,MATCH("E_MISSING_INPUT",nMSG_Code,0)),""),"[input]",IF(EH30="","an input",EH30)),"")&amp;IF(ISNUMBER(SEARCH("E_INVALID_UNIT",EG30))," | E_INVALID_UNIT: "&amp;SUBSTITUTE(IFERROR(INDEX(nMSG_Text,MATCH("E_INVALID_UNIT",nMSG_Code,0)),""),"[input]",""),"")&amp;IF(FD30=1," | W_TZ_UNKNOWN: "&amp;SUBSTITUTE(IFERROR(INDEX(nMSG_Text,MATCH("W_TZ_UNKNOWN",nMSG_Code,0)),""),"[input]",""),"")&amp;IF(FE30=1," | W_SAME_DATE_ORDER_UNKNOWN: "&amp;SUBSTITUTE(IFERROR(INDEX(nMSG_Text,MATCH("W_SAME_DATE_ORDER_UNKNOWN",nMSG_Code,0)),""),"[input]",""),"")&amp;IF(FF30=1," | W_SEQUENCE_UNCERTAIN: "&amp;SUBSTITUTE(IFERROR(INDEX(nMSG_Text,MATCH("W_SEQUENCE_UNCERTAIN",nMSG_Code,0)),""),"[input]",""),"")&amp;IF(FG30=1," | W_ADMIN_SAME_DATE_AS_ONSET: "&amp;SUBSTITUTE(IFERROR(INDEX(nMSG_Text,MATCH("W_ADMIN_SAME_DATE_AS_ONSET",nMSG_Code,0)),""),"[input]",""),"")&amp;IF(FH30=1," | W_REPORTED_TIMING_CONFLICT: "&amp;SUBSTITUTE(IFERROR(INDEX(nMSG_Text,MATCH("W_REPORTED_TIMING_CONFLICT",nMSG_Code,0)),""),"[input]",""),"")&amp;IF(FI30=1," | W_INTERVENTION_BEFORE_RECOVERY: "&amp;SUBSTITUTE(IFERROR(INDEX(nMSG_Text,MATCH("W_INTERVENTION_BEFORE_RECOVERY",nMSG_Code,0)),""),"[input]",""),"")&amp;IF(FJ30=1," | I_TREATMENT_DAY_UNDEFINED: "&amp;SUBSTITUTE(IFERROR(INDEX(nMSG_Text,MATCH("I_TREATMENT_DAY_UNDEFINED",nMSG_Code,0)),""),"[input]",""),"")&amp;IF(FK30=1," | I_APPROXIMATE_NOT_COMPARED: "&amp;SUBSTITUTE(IFERROR(INDEX(nMSG_Text,MATCH("I_APPROXIMATE_NOT_COMPARED",nMSG_Code,0)),""),"[input]",""),""),4,9999))</f>
        <v/>
      </c>
      <c r="AE30" s="21" t="str">
        <f t="shared" si="10"/>
        <v/>
      </c>
      <c r="AF30" s="21" t="str">
        <f t="shared" si="11"/>
        <v/>
      </c>
      <c r="AG30" s="21" t="str">
        <f>IF(EN30="","",MID(IF(ISNUMBER(SEARCH("E_REVERSED_BOUNDS",EN30))," | E_REVERSED_BOUNDS: "&amp;SUBSTITUTE(IFERROR(INDEX(nMSG_Text,MATCH("E_REVERSED_BOUNDS",nMSG_Code,0)),""),"[input]",""),"")&amp;IF(ISNUMBER(SEARCH("E_MISSING_INPUT",EN30))," | E_MISSING_INPUT: "&amp;SUBSTITUTE(IFERROR(INDEX(nMSG_Text,MATCH("E_MISSING_INPUT",nMSG_Code,0)),""),"[input]",IF("the source of the constraint"="","an input","the source of the constraint")),""),4,999))</f>
        <v/>
      </c>
      <c r="AH30" s="21" t="str">
        <f t="shared" si="12"/>
        <v/>
      </c>
      <c r="AI30" s="21" t="str">
        <f t="shared" si="13"/>
        <v/>
      </c>
      <c r="AJ30" s="21" t="str">
        <f t="shared" si="14"/>
        <v/>
      </c>
      <c r="AK30" s="21" t="str">
        <f t="shared" si="15"/>
        <v/>
      </c>
      <c r="AL30" s="21" t="str">
        <f>IF(CY30=0,"",INDEX(nTP_ISO,CY30))</f>
        <v/>
      </c>
      <c r="AM30" s="21" t="str">
        <f>IF(CY30=0,"",INDEX(nTP_Display,CY30))</f>
        <v/>
      </c>
      <c r="AN30" s="21" t="str">
        <f>IF(BI30=0,"",INDEX(nTP_ISO,BI30))</f>
        <v/>
      </c>
      <c r="AO30" s="21" t="str">
        <f>IF(BI30=0,"",INDEX(nTP_Display,BI30))</f>
        <v/>
      </c>
      <c r="AP30" s="21" t="str">
        <f>IF(BA30=0,"",INDEX(nLNK_Exposure_Episode_ID,BA30)&amp;"")</f>
        <v/>
      </c>
      <c r="AQ30" s="21" t="str">
        <f>IF(BA30=0,"",INDEX(nLNK_Event_Episode_ID,BA30)&amp;"")</f>
        <v/>
      </c>
      <c r="AR30" s="21" t="str">
        <f t="shared" si="16"/>
        <v/>
      </c>
      <c r="AS30" s="21" t="str">
        <f>IF(EI30=0,"",MID(IF(DT30=1," | Recovery interval (C7) computed with "&amp;DS30&amp;".","")&amp;IF(BG30=1," | Anchor selected under C5 (CALC-SPEC 1.1): latest administration with an exact date or time at or before "&amp;IF(BH30=1,"onset","the end point")&amp;" ("&amp;AJ30&amp;"), ordered in UTC when offsets are known; later administrations are never selected.","")&amp;IF(AND(BG30=1,CE30&gt;0)," | Partial-date administrations wholly before the selected one were not candidates: "&amp;FC30&amp;".","")&amp;IF(BV30&lt;&gt;""," | "&amp;BV30,"")&amp;IF(AND(DS30="C2",EA30=0,DZ30&lt;&gt;"")," | Same calendar date; both times are known, so C1 decides the order ("&amp;AA30&amp;").","")&amp;IF(AND(DS30="C2",DD30*BN30=1,DT30=0)," | Calendar-date difference from the recorded local dates; it is never described as elapsed days.","")&amp;IF(AND(DS30="C4",DT30=0)," | Bounds are treated as independent; no single date is imputed from them.","")&amp;IF(EJ30=1," | Treatment day under the inclusive convention (C3); never written to E2B fields automatically.","")&amp;IF(AND(DS30="C4",DT30=0,EK30=0)," | No constraint applied.","")&amp;IF(AND(DS30="C4",EK30=1)," | Constraint applied to the anchor bounds: "&amp;IF(ISNUMBER(P30),"not before "&amp;DAY(P30)&amp;" "&amp;INDEX(nLIST_Months,MONTH(P30))&amp;" "&amp;YEAR(P30),"")&amp;IF(AND(ISNUMBER(P30),ISNUMBER(Q30)),", ","")&amp;IF(ISNUMBER(Q30),"not after "&amp;DAY(Q30)&amp;" "&amp;INDEX(nLIST_Months,MONTH(Q30))&amp;" "&amp;YEAR(Q30),"")&amp;". Source: "&amp;IF(R30="","not recorded",R30)&amp;IF(EN30="",". Constrained result shown beside the unconstrained one.",". Constrained result blocked ("&amp;EN30&amp;")."),"")&amp;IF(DT30=1,IF(EO30&gt;0," | Intervention recorded between cessation and recovery (ends included): "&amp;EZ30&amp;"."," | No intervention is recorded between cessation and recovery; absence of a record is not evidence that none was given."),"")&amp;IF(AND(DT30=1,DV30&gt;0)," | Intervention recorded without a date, so whether it came before recovery is unknown: "&amp;INDEX(nMS_Milestone_ID,MATCH(1,INDEX((nMS_CaseKey=AX30)*(nMS_Type="INTERVENTION")*nMS_Undated,0),0))&amp;IF(DV30&gt;1," and "&amp;(DV30-1)&amp;" more","")&amp;".","")&amp;IF(AND(DT30=1,EP30&gt;0)," | Not counted as interventions, because they are recorded as exposures rather than as intervention milestones (nothing is inferred): "&amp;FB30&amp;". If treatment was given, record it as an intervention milestone.",""),4,9999))</f>
        <v/>
      </c>
      <c r="AT30" s="21" t="str">
        <f t="shared" si="17"/>
        <v/>
      </c>
      <c r="AU30" s="21" t="str">
        <f t="shared" si="18"/>
        <v/>
      </c>
      <c r="AV30" s="21" t="str">
        <f t="shared" si="19"/>
        <v/>
      </c>
      <c r="AW30" s="22">
        <f t="shared" si="20"/>
        <v>1</v>
      </c>
      <c r="AX30" s="21" t="str">
        <f t="shared" si="21"/>
        <v>|</v>
      </c>
      <c r="AY30" s="21" t="str">
        <f t="shared" si="22"/>
        <v/>
      </c>
      <c r="AZ30" s="22">
        <f>IF(AY30="",0,COUNTIF(nINT_Key,AY30))</f>
        <v>0</v>
      </c>
      <c r="BA30" s="22">
        <f>IF(D30="",0,IFERROR(MATCH(AX30&amp;"|"&amp;D30,nLNK_Key,0),0))</f>
        <v>0</v>
      </c>
      <c r="BB30" s="22">
        <f>IF(BA30=0,1,INDEX(nLNK_Exp_Found,BA30))</f>
        <v>1</v>
      </c>
      <c r="BC30" s="22">
        <f>IF(BA30=0,1,INDEX(nLNK_Evt_Found,BA30))</f>
        <v>1</v>
      </c>
      <c r="BD30" s="22">
        <f>IF(AP30="",0,COUNTIF(nEXP_Key,AX30&amp;"|"&amp;AP30))</f>
        <v>0</v>
      </c>
      <c r="BE30" s="22">
        <f>IF(AQ30="",0,COUNTIF(nEVT_Key,AX30&amp;"|"&amp;AQ30))</f>
        <v>0</v>
      </c>
      <c r="BF30" s="22">
        <f>IF(ISNA(MATCH(E30,nLIST_AnchorType,0)),0,1)</f>
        <v>0</v>
      </c>
      <c r="BG30" s="22">
        <f t="shared" si="23"/>
        <v>0</v>
      </c>
      <c r="BH30" s="22">
        <f t="shared" si="24"/>
        <v>0</v>
      </c>
      <c r="BI30" s="22">
        <f>IF(OR(AW30=1,AK30=""),0,IFERROR(MATCH(AX30&amp;"|"&amp;AK30,nTP_Key,0),0))</f>
        <v>0</v>
      </c>
      <c r="BJ30" s="21">
        <f>IF(BI30=0,0,INDEX(nTP_Dup,BI30))</f>
        <v>0</v>
      </c>
      <c r="BK30" s="21" t="str">
        <f>IF(BI30=0,"",INDEX(nTP_Record_Type,BI30))</f>
        <v/>
      </c>
      <c r="BL30" s="21" t="str">
        <f>IF(BI30=0,"",INDEX(nTP_Precision,BI30))</f>
        <v/>
      </c>
      <c r="BM30" s="21" t="str">
        <f>IF(BI30=0,"",INDEX(nTP_Err,BI30))</f>
        <v/>
      </c>
      <c r="BN30" s="21">
        <f>IF(BI30=0,0,INDEX(nTP_HT,BI30))</f>
        <v>0</v>
      </c>
      <c r="BO30" s="21">
        <f>IF(BI30=0,0,INDEX(nTP_OK,BI30))</f>
        <v>0</v>
      </c>
      <c r="BP30" s="21" t="str">
        <f>IF(BI30=0,"",INDEX(nTP_Loc,BI30))</f>
        <v/>
      </c>
      <c r="BQ30" s="21" t="str">
        <f>IF(BI30=0,"",INDEX(nTP_UTC,BI30))</f>
        <v/>
      </c>
      <c r="BR30" s="21" t="str">
        <f>IF(BI30=0,"",INDEX(nTP_Lo,BI30))</f>
        <v/>
      </c>
      <c r="BS30" s="21" t="str">
        <f>IF(BI30=0,"",INDEX(nTP_Hi,BI30))</f>
        <v/>
      </c>
      <c r="BT30" s="21" t="str">
        <f>IF(BI30=0,"",INDEX(nTP_Original_Text,BI30))</f>
        <v/>
      </c>
      <c r="BU30" s="21" t="str">
        <f>IF(BI30=0,"",INDEX(nTP_Source,BI30))</f>
        <v/>
      </c>
      <c r="BV30" s="21" t="str">
        <f>IF(BI30=0,"",INDEX(nTP_Lab_Note,BI30))</f>
        <v/>
      </c>
      <c r="BW30" s="22">
        <f t="shared" si="25"/>
        <v>0</v>
      </c>
      <c r="BX30" s="21" t="str">
        <f t="shared" si="26"/>
        <v>||</v>
      </c>
      <c r="BY30" s="22">
        <f>IF(BG30=0,0,COUNTIF(nTP_CandKey,BX30))</f>
        <v>0</v>
      </c>
      <c r="BZ30" s="22">
        <f>IF(BG30=0,0,COUNTIFS(nTP_CandKey,BX30,nTP_Err,""))</f>
        <v>0</v>
      </c>
      <c r="CA30" s="21" t="str">
        <f>IF(BY30=BZ30,"",IF(COUNTIFS(nTP_CandKey,BX30,nTP_Err,"E_INVALID_DATE")&gt;0,"; E_INVALID_DATE","")&amp;IF(COUNTIFS(nTP_CandKey,BX30,nTP_Err,"E_REVERSED_BOUNDS")&gt;0,"; E_REVERSED_BOUNDS","")&amp;IF(COUNTIFS(nTP_CandKey,BX30,nTP_Err,"E_MISSING_INPUT")&gt;0,"; E_MISSING_INPUT","")&amp;IF(COUNTIFS(nTP_CandKey,BX30,nTP_Err,"E_INVALID_UNIT")&gt;0,"; E_INVALID_UNIT",""))</f>
        <v/>
      </c>
      <c r="CB30" s="22">
        <f t="shared" si="27"/>
        <v>0</v>
      </c>
      <c r="CC30" s="22">
        <f>IF(CB30=0,0,SUMPRODUCT((nTP_CandKey=BX30)*(nTP_Err="")*(1-(nTP_HT*BN30*((nTP_OK*BO30*(nTP_UTC_n-N(BQ30))+(1-nTP_OK*BO30)*(nTP_Loc_n-N(BP30)))&lt;=0)+(1-nTP_HT*BN30)*(nTP_Hi_n&lt;N(BR30)))-(nTP_HT*BN30*((nTP_OK*BO30*(nTP_UTC_n-N(BQ30))+(1-nTP_OK*BO30)*(nTP_Loc_n-N(BP30)))&gt;0)+(1-nTP_HT*BN30)*(nTP_Lo_n&gt;N(BS30)))-((1-nTP_HT*BN30)*(nTP_Lo_n=nTP_Hi_n)*(nTP_Lo_n=N(BR30))*(N(BR30)=N(BS30))))))</f>
        <v>0</v>
      </c>
      <c r="CD30" s="22">
        <f>IF(CB30=0,0,SUMPRODUCT((nTP_CandKey=BX30)*nTP_Exact*((nTP_HT*BN30*((nTP_OK*BO30*(nTP_UTC_n-N(BQ30))+(1-nTP_OK*BO30)*(nTP_Loc_n-N(BP30)))&lt;=0)+(1-nTP_HT*BN30)*(nTP_Hi_n&lt;N(BR30)))+((1-nTP_HT*BN30)*(nTP_Lo_n=nTP_Hi_n)*(nTP_Lo_n=N(BR30))*(N(BR30)=N(BS30))))))</f>
        <v>0</v>
      </c>
      <c r="CE30" s="22">
        <f>IF(CB30=0,0,SUMPRODUCT((nTP_CandKey=BX30)*(nTP_Err="")*(1-nTP_Exact)*((nTP_HT*BN30*((nTP_OK*BO30*(nTP_UTC_n-N(BQ30))+(1-nTP_OK*BO30)*(nTP_Loc_n-N(BP30)))&lt;=0)+(1-nTP_HT*BN30)*(nTP_Hi_n&lt;N(BR30)))+((1-nTP_HT*BN30)*(nTP_Lo_n=nTP_Hi_n)*(nTP_Lo_n=N(BR30))*(N(BR30)=N(BS30))))))</f>
        <v>0</v>
      </c>
      <c r="CF30" s="22">
        <f>IF(CD30=0,0,SUMPRODUCT(MAX((nTP_CandKey=BX30)*nTP_Exact*((nTP_HT*BN30*((nTP_OK*BO30*(nTP_UTC_n-N(BQ30))+(1-nTP_OK*BO30)*(nTP_Loc_n-N(BP30)))&lt;=0)+(1-nTP_HT*BN30)*(nTP_Hi_n&lt;N(BR30)))+((1-nTP_HT*BN30)*(nTP_Lo_n=nTP_Hi_n)*(nTP_Lo_n=N(BR30))*(N(BR30)=N(BS30))))*nTP_Lo_n)))</f>
        <v>0</v>
      </c>
      <c r="CG30" s="22">
        <f>IF(CD30=0,0,SUMPRODUCT((nTP_CandKey=BX30)*nTP_Exact*((nTP_HT*BN30*((nTP_OK*BO30*(nTP_UTC_n-N(BQ30))+(1-nTP_OK*BO30)*(nTP_Loc_n-N(BP30)))&lt;=0)+(1-nTP_HT*BN30)*(nTP_Hi_n&lt;N(BR30)))+((1-nTP_HT*BN30)*(nTP_Lo_n=nTP_Hi_n)*(nTP_Lo_n=N(BR30))*(N(BR30)=N(BS30))))*(nTP_Lo_n=CF30)))</f>
        <v>0</v>
      </c>
      <c r="CH30" s="22">
        <f>IF(CD30=0,0,SUMPRODUCT((nTP_CandKey=BX30)*nTP_Exact*((nTP_HT*BN30*((nTP_OK*BO30*(nTP_UTC_n-N(BQ30))+(1-nTP_OK*BO30)*(nTP_Loc_n-N(BP30)))&lt;=0)+(1-nTP_HT*BN30)*(nTP_Hi_n&lt;N(BR30)))+((1-nTP_HT*BN30)*(nTP_Lo_n=nTP_Hi_n)*(nTP_Lo_n=N(BR30))*(N(BR30)=N(BS30))))*(1-nTP_HT)*(nTP_Lo_n=CF30)))</f>
        <v>0</v>
      </c>
      <c r="CI30" s="22">
        <f>IF(CD30=0,0,SUMPRODUCT(MAX((nTP_CandKey=BX30)*nTP_Exact*((nTP_HT*BN30*((nTP_OK*BO30*(nTP_UTC_n-N(BQ30))+(1-nTP_OK*BO30)*(nTP_Loc_n-N(BP30)))&lt;=0)+(1-nTP_HT*BN30)*(nTP_Hi_n&lt;N(BR30)))+((1-nTP_HT*BN30)*(nTP_Lo_n=nTP_Hi_n)*(nTP_Lo_n=N(BR30))*(N(BR30)=N(BS30))))*(1-nTP_HT)*nTP_Lo_n)))</f>
        <v>0</v>
      </c>
      <c r="CJ30" s="22">
        <f>IF(CD30=0,0,SUMPRODUCT(MAX((nTP_CandKey=BX30)*nTP_Exact*((nTP_HT*BN30*((nTP_OK*BO30*(nTP_UTC_n-N(BQ30))+(1-nTP_OK*BO30)*(nTP_Loc_n-N(BP30)))&lt;=0)+(1-nTP_HT*BN30)*(nTP_Hi_n&lt;N(BR30)))+((1-nTP_HT*BN30)*(nTP_Lo_n=nTP_Hi_n)*(nTP_Lo_n=N(BR30))*(N(BR30)=N(BS30))))*nTP_HT*nTP_OK*nTP_UTC_n)))</f>
        <v>0</v>
      </c>
      <c r="CK30" s="22">
        <f>IF(CJ30=0,0,SUMPRODUCT((nTP_CandKey=BX30)*nTP_Exact*((nTP_HT*BN30*((nTP_OK*BO30*(nTP_UTC_n-N(BQ30))+(1-nTP_OK*BO30)*(nTP_Loc_n-N(BP30)))&lt;=0)+(1-nTP_HT*BN30)*(nTP_Hi_n&lt;N(BR30)))+((1-nTP_HT*BN30)*(nTP_Lo_n=nTP_Hi_n)*(nTP_Lo_n=N(BR30))*(N(BR30)=N(BS30))))*nTP_HT*nTP_OK*(nTP_UTC_n=CJ30)))</f>
        <v>0</v>
      </c>
      <c r="CL30" s="22">
        <f>IF(CK30&lt;&gt;1,0,SUMPRODUCT((nTP_CandKey=BX30)*nTP_Exact*((nTP_HT*BN30*((nTP_OK*BO30*(nTP_UTC_n-N(BQ30))+(1-nTP_OK*BO30)*(nTP_Loc_n-N(BP30)))&lt;=0)+(1-nTP_HT*BN30)*(nTP_Hi_n&lt;N(BR30)))+((1-nTP_HT*BN30)*(nTP_Lo_n=nTP_Hi_n)*(nTP_Lo_n=N(BR30))*(N(BR30)=N(BS30))))*nTP_HT*nTP_OK*(nTP_UTC_n=CJ30)*nTP_Loc_n))</f>
        <v>0</v>
      </c>
      <c r="CM30" s="22">
        <f>IF(CK30&lt;&gt;1,0,SUMPRODUCT((nTP_CandKey=BX30)*nTP_Exact*((nTP_HT*BN30*((nTP_OK*BO30*(nTP_UTC_n-N(BQ30))+(1-nTP_OK*BO30)*(nTP_Loc_n-N(BP30)))&lt;=0)+(1-nTP_HT*BN30)*(nTP_Hi_n&lt;N(BR30)))+((1-nTP_HT*BN30)*(nTP_Lo_n=nTP_Hi_n)*(nTP_Lo_n=N(BR30))*(N(BR30)=N(BS30))))*nTP_HT*nTP_OK*(nTP_UTC_n=CJ30)*nTP_Lo_n))</f>
        <v>0</v>
      </c>
      <c r="CN30" s="22">
        <f>IF(CD30=0,0,SUMPRODUCT(MAX((nTP_CandKey=BX30)*nTP_Exact*((nTP_HT*BN30*((nTP_OK*BO30*(nTP_UTC_n-N(BQ30))+(1-nTP_OK*BO30)*(nTP_Loc_n-N(BP30)))&lt;=0)+(1-nTP_HT*BN30)*(nTP_Hi_n&lt;N(BR30)))+((1-nTP_HT*BN30)*(nTP_Lo_n=nTP_Hi_n)*(nTP_Lo_n=N(BR30))*(N(BR30)=N(BS30))))*nTP_HT*(1-nTP_OK)*nTP_Loc_n)))</f>
        <v>0</v>
      </c>
      <c r="CO30" s="22">
        <f>IF(CN30=0,0,SUMPRODUCT((nTP_CandKey=BX30)*nTP_Exact*((nTP_HT*BN30*((nTP_OK*BO30*(nTP_UTC_n-N(BQ30))+(1-nTP_OK*BO30)*(nTP_Loc_n-N(BP30)))&lt;=0)+(1-nTP_HT*BN30)*(nTP_Hi_n&lt;N(BR30)))+((1-nTP_HT*BN30)*(nTP_Lo_n=nTP_Hi_n)*(nTP_Lo_n=N(BR30))*(N(BR30)=N(BS30))))*nTP_HT*(1-nTP_OK)*(nTP_Loc_n=CN30)))</f>
        <v>0</v>
      </c>
      <c r="CP30" s="22">
        <f>IF(CO30&lt;&gt;1,0,SUMPRODUCT((nTP_CandKey=BX30)*nTP_Exact*((nTP_HT*BN30*((nTP_OK*BO30*(nTP_UTC_n-N(BQ30))+(1-nTP_OK*BO30)*(nTP_Loc_n-N(BP30)))&lt;=0)+(1-nTP_HT*BN30)*(nTP_Hi_n&lt;N(BR30)))+((1-nTP_HT*BN30)*(nTP_Lo_n=nTP_Hi_n)*(nTP_Lo_n=N(BR30))*(N(BR30)=N(BS30))))*nTP_HT*(1-nTP_OK)*(nTP_Loc_n=CN30)*nTP_Lo_n))</f>
        <v>0</v>
      </c>
      <c r="CQ30" s="22">
        <f>IF(CD30=0,0,SUMPRODUCT(MAX((nTP_CandKey=BX30)*nTP_Exact*((nTP_HT*BN30*((nTP_OK*BO30*(nTP_UTC_n-N(BQ30))+(1-nTP_OK*BO30)*(nTP_Loc_n-N(BP30)))&lt;=0)+(1-nTP_HT*BN30)*(nTP_Hi_n&lt;N(BR30)))+((1-nTP_HT*BN30)*(nTP_Lo_n=nTP_Hi_n)*(nTP_Lo_n=N(BR30))*(N(BR30)=N(BS30))))*nTP_HT*nTP_OK*nTP_Loc_n)))</f>
        <v>0</v>
      </c>
      <c r="CR30" s="22">
        <f t="shared" si="28"/>
        <v>0</v>
      </c>
      <c r="CS30" s="22">
        <f>IF(CR30=0,0,IF(CR30=1,MATCH(1,INDEX((nTP_CandKey=BX30)*nTP_Exact*((nTP_HT*BN30*((nTP_OK*BO30*(nTP_UTC_n-N(BQ30))+(1-nTP_OK*BO30)*(nTP_Loc_n-N(BP30)))&lt;=0)+(1-nTP_HT*BN30)*(nTP_Hi_n&lt;N(BR30)))+((1-nTP_HT*BN30)*(nTP_Lo_n=nTP_Hi_n)*(nTP_Lo_n=N(BR30))*(N(BR30)=N(BS30))))*(1-nTP_HT)*(nTP_Lo_n=CF30),0),0),IF(CR30=2,MATCH(1,INDEX((nTP_CandKey=BX30)*nTP_Exact*((nTP_HT*BN30*((nTP_OK*BO30*(nTP_UTC_n-N(BQ30))+(1-nTP_OK*BO30)*(nTP_Loc_n-N(BP30)))&lt;=0)+(1-nTP_HT*BN30)*(nTP_Hi_n&lt;N(BR30)))+((1-nTP_HT*BN30)*(nTP_Lo_n=nTP_Hi_n)*(nTP_Lo_n=N(BR30))*(N(BR30)=N(BS30))))*nTP_HT*nTP_OK*(nTP_UTC_n=CJ30),0),0),MATCH(1,INDEX((nTP_CandKey=BX30)*nTP_Exact*((nTP_HT*BN30*((nTP_OK*BO30*(nTP_UTC_n-N(BQ30))+(1-nTP_OK*BO30)*(nTP_Loc_n-N(BP30)))&lt;=0)+(1-nTP_HT*BN30)*(nTP_Hi_n&lt;N(BR30)))+((1-nTP_HT*BN30)*(nTP_Lo_n=nTP_Hi_n)*(nTP_Lo_n=N(BR30))*(N(BR30)=N(BS30))))*nTP_HT*(1-nTP_OK)*(nTP_Loc_n=CN30),0),0))))</f>
        <v>0</v>
      </c>
      <c r="CT30" s="22">
        <f>IF(CS30=0,0,INDEX(nTP_Lo_n,CS30))</f>
        <v>0</v>
      </c>
      <c r="CU30" s="22">
        <f>IF(CS30=0,0,SUMPRODUCT((nTP_CandKey=BX30)*(nTP_Err="")*(1-nTP_Exact)*((nTP_HT*BN30*((nTP_OK*BO30*(nTP_UTC_n-N(BQ30))+(1-nTP_OK*BO30)*(nTP_Loc_n-N(BP30)))&lt;=0)+(1-nTP_HT*BN30)*(nTP_Hi_n&lt;N(BR30)))+((1-nTP_HT*BN30)*(nTP_Lo_n=nTP_Hi_n)*(nTP_Lo_n=N(BR30))*(N(BR30)=N(BS30))))*(nTP_Hi_n&gt;=CT30)))</f>
        <v>0</v>
      </c>
      <c r="CV30" s="21" t="str">
        <f t="shared" si="29"/>
        <v/>
      </c>
      <c r="CW30" s="21" t="str">
        <f>IF(AND(BG30=1,CB30=1,CV30="",CS30&gt;0),INDEX(nTP_Record_ID,CS30)&amp;"","")</f>
        <v/>
      </c>
      <c r="CX30" s="21" t="str">
        <f>IF(OR(CV30="",BG30=0),"",IF(CV30="none","an administration record (last dose before onset)",IF(CV30="uncertain","the anchor record: "&amp;INDEX(nTP_Record_ID,MATCH(1,INDEX((nTP_CandKey=BX30)*(nTP_Err="")*(1-(nTP_HT*BN30*((nTP_OK*BO30*(nTP_UTC_n-N(BQ30))+(1-nTP_OK*BO30)*(nTP_Loc_n-N(BP30)))&lt;=0)+(1-nTP_HT*BN30)*(nTP_Hi_n&lt;N(BR30)))-(nTP_HT*BN30*((nTP_OK*BO30*(nTP_UTC_n-N(BQ30))+(1-nTP_OK*BO30)*(nTP_Loc_n-N(BP30)))&gt;0)+(1-nTP_HT*BN30)*(nTP_Lo_n&gt;N(BS30)))-((1-nTP_HT*BN30)*(nTP_Lo_n=nTP_Hi_n)*(nTP_Lo_n=N(BR30))*(N(BR30)=N(BS30)))),0),0))&amp;IF(CC30&gt;1," and "&amp;(CC30-1)&amp;" more","")&amp;" may fall before or after the end point, so the last dose cannot be identified from the recorded dates",IF(CV30="noneligible","the anchor record: no administration with an exact date is recorded at or before the end point",IF(CV30="tie","the anchor record: the order of the latest administrations cannot be told from the recorded dates and times","the anchor record: partial-date administration "&amp;INDEX(nTP_Record_ID,MATCH(1,INDEX((nTP_CandKey=BX30)*(nTP_Err="")*(1-nTP_Exact)*((nTP_HT*BN30*((nTP_OK*BO30*(nTP_UTC_n-N(BQ30))+(1-nTP_OK*BO30)*(nTP_Loc_n-N(BP30)))&lt;=0)+(1-nTP_HT*BN30)*(nTP_Hi_n&lt;N(BR30)))+((1-nTP_HT*BN30)*(nTP_Lo_n=nTP_Hi_n)*(nTP_Lo_n=N(BR30))*(N(BR30)=N(BS30))))*(nTP_Hi_n&gt;=CT30),0),0))&amp;" could be the last dose before the end point")))))</f>
        <v/>
      </c>
      <c r="CY30" s="22">
        <f>IF(OR(AW30=1,AJ30=""),0,IFERROR(MATCH(AX30&amp;"|"&amp;AJ30,nTP_Key,0),0))</f>
        <v>0</v>
      </c>
      <c r="CZ30" s="21">
        <f>IF(CY30=0,0,INDEX(nTP_Dup,CY30))</f>
        <v>0</v>
      </c>
      <c r="DA30" s="21" t="str">
        <f>IF(CY30=0,"",INDEX(nTP_Record_Type,CY30))</f>
        <v/>
      </c>
      <c r="DB30" s="21" t="str">
        <f>IF(CY30=0,"",INDEX(nTP_Precision,CY30))</f>
        <v/>
      </c>
      <c r="DC30" s="21" t="str">
        <f>IF(CY30=0,"",INDEX(nTP_Err,CY30))</f>
        <v/>
      </c>
      <c r="DD30" s="21">
        <f>IF(CY30=0,0,INDEX(nTP_HT,CY30))</f>
        <v>0</v>
      </c>
      <c r="DE30" s="21">
        <f>IF(CY30=0,0,INDEX(nTP_OK,CY30))</f>
        <v>0</v>
      </c>
      <c r="DF30" s="21" t="str">
        <f>IF(CY30=0,"",INDEX(nTP_Loc,CY30))</f>
        <v/>
      </c>
      <c r="DG30" s="21" t="str">
        <f>IF(CY30=0,"",INDEX(nTP_UTC,CY30))</f>
        <v/>
      </c>
      <c r="DH30" s="21" t="str">
        <f>IF(CY30=0,"",INDEX(nTP_Lo,CY30))</f>
        <v/>
      </c>
      <c r="DI30" s="21" t="str">
        <f>IF(CY30=0,"",INDEX(nTP_Hi,CY30))</f>
        <v/>
      </c>
      <c r="DJ30" s="21" t="str">
        <f>IF(CY30=0,"",INDEX(nTP_Original_Text,CY30))</f>
        <v/>
      </c>
      <c r="DK30" s="21" t="str">
        <f>IF(CY30=0,"",INDEX(nTP_Source,CY30))</f>
        <v/>
      </c>
      <c r="DL30" s="22">
        <f t="shared" si="30"/>
        <v>0</v>
      </c>
      <c r="DM30" s="21" t="str">
        <f t="shared" si="31"/>
        <v/>
      </c>
      <c r="DN30" s="21" t="str">
        <f t="shared" si="32"/>
        <v/>
      </c>
      <c r="DO30" s="21" t="str">
        <f t="shared" si="33"/>
        <v/>
      </c>
      <c r="DP30" s="21" t="str">
        <f t="shared" si="34"/>
        <v/>
      </c>
      <c r="DQ30" s="21" t="str">
        <f t="shared" si="35"/>
        <v/>
      </c>
      <c r="DR30" s="22">
        <f>IF(OR(DQ30="",I30=""),0,IF(ISNA(MATCH(I30,nLIST_Mode,0)),1,IF(AND(I30="C1",DQ30&lt;&gt;"C1"),1,IF(AND(I30="C2",DQ30="C4"),1,0))))</f>
        <v>0</v>
      </c>
      <c r="DS30" s="21" t="str">
        <f t="shared" si="36"/>
        <v/>
      </c>
      <c r="DT30" s="22">
        <f t="shared" si="37"/>
        <v>0</v>
      </c>
      <c r="DU30" s="21" t="str">
        <f>IF(DT30=0,"",IF(COUNTIFS(nTP_Case_Key,AX30,nTP_Record_Type,"MILESTONE:INTERVENTION",nTP_Err,"E_INVALID_DATE")&gt;0,"; E_INVALID_DATE","")&amp;IF(COUNTIFS(nTP_Case_Key,AX30,nTP_Record_Type,"MILESTONE:INTERVENTION",nTP_Err,"E_REVERSED_BOUNDS")&gt;0,"; E_REVERSED_BOUNDS","")&amp;IF(COUNTIFS(nTP_Case_Key,AX30,nTP_Record_Type,"MILESTONE:INTERVENTION",nTP_Err,"E_MISSING_INPUT")&gt;0,"; E_MISSING_INPUT","")&amp;IF(COUNTIFS(nTP_Case_Key,AX30,nTP_Record_Type,"MILESTONE:INTERVENTION",nTP_Err,"E_INVALID_UNIT")&gt;0,"; E_INVALID_UNIT",""))</f>
        <v/>
      </c>
      <c r="DV30" s="22">
        <f>IF(DT30=0,0,SUMPRODUCT((nMS_CaseKey=AX30)*(nMS_Type="INTERVENTION")*nMS_Undated))</f>
        <v>0</v>
      </c>
      <c r="DW30" s="21" t="str">
        <f t="shared" si="38"/>
        <v/>
      </c>
      <c r="DX30" s="21" t="str">
        <f t="shared" si="39"/>
        <v/>
      </c>
      <c r="DY30" s="22">
        <f t="shared" si="40"/>
        <v>1</v>
      </c>
      <c r="DZ30" s="21" t="str">
        <f t="shared" si="41"/>
        <v/>
      </c>
      <c r="EA30" s="21" t="str">
        <f t="shared" si="42"/>
        <v/>
      </c>
      <c r="EB30" s="21" t="str">
        <f t="shared" si="43"/>
        <v/>
      </c>
      <c r="EC30" s="21" t="str">
        <f t="shared" si="44"/>
        <v/>
      </c>
      <c r="ED30" s="22">
        <f t="shared" si="45"/>
        <v>0</v>
      </c>
      <c r="EE30" s="22">
        <f t="shared" si="46"/>
        <v>0</v>
      </c>
      <c r="EF30" s="21" t="str">
        <f>IF(ED30=0,"",IF(OR(NOT(ISNUMBER(L30)),NOT(ISNUMBER(M30))),"I_APPROXIMATE_NOT_COMPARED",IF(AND(N30&lt;&gt;"",ISNA(MATCH(N30,nLIST_ReportedUnit,0))),"E_INVALID_UNIT",IF(N30="","E_MISSING_INPUT",IF(L30&gt;M30,"E_REVERSED_BOUNDS",IF(OR(N30="weeks",N30="months",N30="years"),"I_APPROXIMATE_NOT_COMPARED",IF(DX30&lt;&gt;"","",IF(EE30=0,"I_APPROXIMATE_NOT_COMPARED",IF(AND(L30*EE30&lt;=IF(DS30="C4",EC30,IF(DS30="C1",DZ30,EA30)),M30*EE30&gt;=IF(DS30="C4",EB30,IF(DS30="C1",DZ30,EA30))),"OVERLAP","W_REPORTED_TIMING_CONFLICT")))))))))</f>
        <v/>
      </c>
      <c r="EG30" s="21" t="str">
        <f t="shared" si="47"/>
        <v/>
      </c>
      <c r="EH30" s="21" t="str">
        <f t="shared" si="48"/>
        <v/>
      </c>
      <c r="EI30" s="22">
        <f t="shared" si="49"/>
        <v>0</v>
      </c>
      <c r="EJ30" s="22">
        <f t="shared" si="50"/>
        <v>0</v>
      </c>
      <c r="EK30" s="22">
        <f t="shared" si="51"/>
        <v>0</v>
      </c>
      <c r="EL30" s="28" t="str">
        <f t="shared" si="52"/>
        <v/>
      </c>
      <c r="EM30" s="28" t="str">
        <f t="shared" si="53"/>
        <v/>
      </c>
      <c r="EN30" s="21" t="str">
        <f t="shared" si="54"/>
        <v/>
      </c>
      <c r="EO30" s="22">
        <f>IF(OR(DT30=0,DX30&lt;&gt;""),0,SUMPRODUCT((nTP_Case_Key=AX30)*(nTP_Record_Type="MILESTONE:INTERVENTION")*(nTP_Err="")*(nTP_HT*DD30*BN30*(nTP_OK*DE30*(nTP_UTC_n&gt;=N(DG30))+(1-nTP_OK*DE30)*(nTP_Loc_n&gt;=N(DF30)))*(nTP_OK*BO30*(nTP_UTC_n&lt;=N(BQ30))+(1-nTP_OK*BO30)*(nTP_Loc_n&lt;=N(BP30)))+(1-nTP_HT*DD30*BN30)*(nTP_Hi_n&gt;=N(DH30))*(nTP_Lo_n&lt;=N(BS30)))))</f>
        <v>0</v>
      </c>
      <c r="EP30" s="22">
        <f>IF(OR(DT30=0,DX30&lt;&gt;""),0,SUMPRODUCT((nTP_Case_Key=AX30)*(nTP_Role="treatment of the event")*((nTP_Record_Type="EXPOSURE_START")+(nTP_Record_Type="ADMINISTRATION"))*(nTP_Err="")*(nTP_HT*DD30*BN30*(nTP_OK*DE30*(nTP_UTC_n&gt;=N(DG30))+(1-nTP_OK*DE30)*(nTP_Loc_n&gt;=N(DF30)))*(nTP_OK*BO30*(nTP_UTC_n&lt;=N(BQ30))+(1-nTP_OK*BO30)*(nTP_Loc_n&lt;=N(BP30)))+(1-nTP_HT*DD30*BN30)*(nTP_Hi_n&gt;=N(DH30))*(nTP_Lo_n&lt;=N(BS30)))))</f>
        <v>0</v>
      </c>
      <c r="EQ30" s="22">
        <f>IF(EO30&lt;1,0,IFERROR(_xlfn.AGGREGATE(15,6,nTP_RowN/((nTP_Case_Key=AX30)*(nTP_Record_Type="MILESTONE:INTERVENTION")*(nTP_Err="")*(nTP_HT*DD30*BN30*(nTP_OK*DE30*(nTP_UTC_n&gt;=N(DG30))+(1-nTP_OK*DE30)*(nTP_Loc_n&gt;=N(DF30)))*(nTP_OK*BO30*(nTP_UTC_n&lt;=N(BQ30))+(1-nTP_OK*BO30)*(nTP_Loc_n&lt;=N(BP30)))+(1-nTP_HT*DD30*BN30)*(nTP_Hi_n&gt;=N(DH30))*(nTP_Lo_n&lt;=N(BS30)))),1),0))</f>
        <v>0</v>
      </c>
      <c r="ER30" s="22">
        <f>IF(EO30&lt;2,0,IFERROR(_xlfn.AGGREGATE(15,6,nTP_RowN/((nTP_Case_Key=AX30)*(nTP_Record_Type="MILESTONE:INTERVENTION")*(nTP_Err="")*(nTP_HT*DD30*BN30*(nTP_OK*DE30*(nTP_UTC_n&gt;=N(DG30))+(1-nTP_OK*DE30)*(nTP_Loc_n&gt;=N(DF30)))*(nTP_OK*BO30*(nTP_UTC_n&lt;=N(BQ30))+(1-nTP_OK*BO30)*(nTP_Loc_n&lt;=N(BP30)))+(1-nTP_HT*DD30*BN30)*(nTP_Hi_n&gt;=N(DH30))*(nTP_Lo_n&lt;=N(BS30)))),2),0))</f>
        <v>0</v>
      </c>
      <c r="ES30" s="22">
        <f>IF(EO30&lt;3,0,IFERROR(_xlfn.AGGREGATE(15,6,nTP_RowN/((nTP_Case_Key=AX30)*(nTP_Record_Type="MILESTONE:INTERVENTION")*(nTP_Err="")*(nTP_HT*DD30*BN30*(nTP_OK*DE30*(nTP_UTC_n&gt;=N(DG30))+(1-nTP_OK*DE30)*(nTP_Loc_n&gt;=N(DF30)))*(nTP_OK*BO30*(nTP_UTC_n&lt;=N(BQ30))+(1-nTP_OK*BO30)*(nTP_Loc_n&lt;=N(BP30)))+(1-nTP_HT*DD30*BN30)*(nTP_Hi_n&gt;=N(DH30))*(nTP_Lo_n&lt;=N(BS30)))),3),0))</f>
        <v>0</v>
      </c>
      <c r="ET30" s="22">
        <f>IF(EP30&lt;1,0,IFERROR(_xlfn.AGGREGATE(15,6,nTP_RowN/((nTP_Case_Key=AX30)*(nTP_Role="treatment of the event")*((nTP_Record_Type="EXPOSURE_START")+(nTP_Record_Type="ADMINISTRATION"))*(nTP_Err="")*(nTP_HT*DD30*BN30*(nTP_OK*DE30*(nTP_UTC_n&gt;=N(DG30))+(1-nTP_OK*DE30)*(nTP_Loc_n&gt;=N(DF30)))*(nTP_OK*BO30*(nTP_UTC_n&lt;=N(BQ30))+(1-nTP_OK*BO30)*(nTP_Loc_n&lt;=N(BP30)))+(1-nTP_HT*DD30*BN30)*(nTP_Hi_n&gt;=N(DH30))*(nTP_Lo_n&lt;=N(BS30)))),1),0))</f>
        <v>0</v>
      </c>
      <c r="EU30" s="22">
        <f>IF(EP30&lt;2,0,IFERROR(_xlfn.AGGREGATE(15,6,nTP_RowN/((nTP_Case_Key=AX30)*(nTP_Role="treatment of the event")*((nTP_Record_Type="EXPOSURE_START")+(nTP_Record_Type="ADMINISTRATION"))*(nTP_Err="")*(nTP_HT*DD30*BN30*(nTP_OK*DE30*(nTP_UTC_n&gt;=N(DG30))+(1-nTP_OK*DE30)*(nTP_Loc_n&gt;=N(DF30)))*(nTP_OK*BO30*(nTP_UTC_n&lt;=N(BQ30))+(1-nTP_OK*BO30)*(nTP_Loc_n&lt;=N(BP30)))+(1-nTP_HT*DD30*BN30)*(nTP_Hi_n&gt;=N(DH30))*(nTP_Lo_n&lt;=N(BS30)))),2),0))</f>
        <v>0</v>
      </c>
      <c r="EV30" s="22">
        <f>IF(EP30&lt;3,0,IFERROR(_xlfn.AGGREGATE(15,6,nTP_RowN/((nTP_Case_Key=AX30)*(nTP_Role="treatment of the event")*((nTP_Record_Type="EXPOSURE_START")+(nTP_Record_Type="ADMINISTRATION"))*(nTP_Err="")*(nTP_HT*DD30*BN30*(nTP_OK*DE30*(nTP_UTC_n&gt;=N(DG30))+(1-nTP_OK*DE30)*(nTP_Loc_n&gt;=N(DF30)))*(nTP_OK*BO30*(nTP_UTC_n&lt;=N(BQ30))+(1-nTP_OK*BO30)*(nTP_Loc_n&lt;=N(BP30)))+(1-nTP_HT*DD30*BN30)*(nTP_Hi_n&gt;=N(DH30))*(nTP_Lo_n&lt;=N(BS30)))),3),0))</f>
        <v>0</v>
      </c>
      <c r="EW30" s="22">
        <f>IF(CE30&lt;1,0,IFERROR(_xlfn.AGGREGATE(15,6,nTP_RowN/((nTP_CandKey=BX30)*(nTP_Err="")*(1-nTP_Exact)*((nTP_HT*BN30*((nTP_OK*BO30*(nTP_UTC_n-N(BQ30))+(1-nTP_OK*BO30)*(nTP_Loc_n-N(BP30)))&lt;=0)+(1-nTP_HT*BN30)*(nTP_Hi_n&lt;N(BR30)))+((1-nTP_HT*BN30)*(nTP_Lo_n=nTP_Hi_n)*(nTP_Lo_n=N(BR30))*(N(BR30)=N(BS30))))),1),0))</f>
        <v>0</v>
      </c>
      <c r="EX30" s="22">
        <f>IF(CE30&lt;2,0,IFERROR(_xlfn.AGGREGATE(15,6,nTP_RowN/((nTP_CandKey=BX30)*(nTP_Err="")*(1-nTP_Exact)*((nTP_HT*BN30*((nTP_OK*BO30*(nTP_UTC_n-N(BQ30))+(1-nTP_OK*BO30)*(nTP_Loc_n-N(BP30)))&lt;=0)+(1-nTP_HT*BN30)*(nTP_Hi_n&lt;N(BR30)))+((1-nTP_HT*BN30)*(nTP_Lo_n=nTP_Hi_n)*(nTP_Lo_n=N(BR30))*(N(BR30)=N(BS30))))),2),0))</f>
        <v>0</v>
      </c>
      <c r="EY30" s="22">
        <f>IF(CE30&lt;3,0,IFERROR(_xlfn.AGGREGATE(15,6,nTP_RowN/((nTP_CandKey=BX30)*(nTP_Err="")*(1-nTP_Exact)*((nTP_HT*BN30*((nTP_OK*BO30*(nTP_UTC_n-N(BQ30))+(1-nTP_OK*BO30)*(nTP_Loc_n-N(BP30)))&lt;=0)+(1-nTP_HT*BN30)*(nTP_Hi_n&lt;N(BR30)))+((1-nTP_HT*BN30)*(nTP_Lo_n=nTP_Hi_n)*(nTP_Lo_n=N(BR30))*(N(BR30)=N(BS30))))),3),0))</f>
        <v>0</v>
      </c>
      <c r="EZ30" s="21" t="str">
        <f>IF(EO30=0,"",MID(IF(EQ30&gt;0,"; "&amp;INDEX(nTP_Record_ID,EQ30)&amp;IF(INDEX(nTP_Label,EQ30)="",""," ("&amp;INDEX(nTP_Label,EQ30)&amp;")"),"")&amp;IF(ER30&gt;0,"; "&amp;INDEX(nTP_Record_ID,ER30)&amp;IF(INDEX(nTP_Label,ER30)="",""," ("&amp;INDEX(nTP_Label,ER30)&amp;")"),"")&amp;IF(ES30&gt;0,"; "&amp;INDEX(nTP_Record_ID,ES30)&amp;IF(INDEX(nTP_Label,ES30)="",""," ("&amp;INDEX(nTP_Label,ES30)&amp;")"),"")&amp;IF(EO30&gt;3,"; and "&amp;(EO30-3)&amp;" more",""),3,999))</f>
        <v/>
      </c>
      <c r="FA30" s="21" t="str">
        <f>IF(EO30=0,"",MID(IF(EQ30&gt;0,"; "&amp;INDEX(nTP_Record_ID,EQ30),"")&amp;IF(ER30&gt;0,"; "&amp;INDEX(nTP_Record_ID,ER30),"")&amp;IF(ES30&gt;0,"; "&amp;INDEX(nTP_Record_ID,ES30),"")&amp;IF(EO30&gt;3,"; and "&amp;(EO30-3)&amp;" more",""),3,999))</f>
        <v/>
      </c>
      <c r="FB30" s="21" t="str">
        <f>IF(EP30=0,"",MID(IF(ET30&gt;0,"; "&amp;INDEX(nTP_Record_ID,ET30)&amp;IF(INDEX(nTP_Label,ET30)="",""," ("&amp;INDEX(nTP_Label,ET30)&amp;")"),"")&amp;IF(EU30&gt;0,"; "&amp;INDEX(nTP_Record_ID,EU30)&amp;IF(INDEX(nTP_Label,EU30)="",""," ("&amp;INDEX(nTP_Label,EU30)&amp;")"),"")&amp;IF(EV30&gt;0,"; "&amp;INDEX(nTP_Record_ID,EV30)&amp;IF(INDEX(nTP_Label,EV30)="",""," ("&amp;INDEX(nTP_Label,EV30)&amp;")"),"")&amp;IF(EP30&gt;3,"; and "&amp;(EP30-3)&amp;" more",""),3,999))</f>
        <v/>
      </c>
      <c r="FC30" s="21" t="str">
        <f>IF(CE30=0,"",MID(IF(EW30&gt;0,"; "&amp;INDEX(nTP_Record_ID,EW30),"")&amp;IF(EX30&gt;0,"; "&amp;INDEX(nTP_Record_ID,EX30),"")&amp;IF(EY30&gt;0,"; "&amp;INDEX(nTP_Record_ID,EY30),"")&amp;IF(CE30&gt;3,"; and "&amp;(CE30-3)&amp;" more",""),3,999))</f>
        <v/>
      </c>
      <c r="FD30" s="22">
        <f t="shared" si="55"/>
        <v>0</v>
      </c>
      <c r="FE30" s="22">
        <f t="shared" si="56"/>
        <v>0</v>
      </c>
      <c r="FF30" s="22">
        <f t="shared" si="57"/>
        <v>0</v>
      </c>
      <c r="FG30" s="22">
        <f t="shared" si="58"/>
        <v>0</v>
      </c>
      <c r="FH30" s="22">
        <f t="shared" si="59"/>
        <v>0</v>
      </c>
      <c r="FI30" s="22">
        <f t="shared" si="60"/>
        <v>0</v>
      </c>
      <c r="FJ30" s="22">
        <f t="shared" si="61"/>
        <v>0</v>
      </c>
      <c r="FK30" s="22">
        <f t="shared" si="62"/>
        <v>0</v>
      </c>
    </row>
    <row r="31" spans="1:167" x14ac:dyDescent="0.2">
      <c r="A31" s="10"/>
      <c r="B31" s="10"/>
      <c r="C31" s="12"/>
      <c r="D31" s="10"/>
      <c r="E31" s="17"/>
      <c r="F31" s="10"/>
      <c r="G31" s="10"/>
      <c r="H31" s="10"/>
      <c r="I31" s="17"/>
      <c r="J31" s="17"/>
      <c r="K31" s="10"/>
      <c r="L31" s="17"/>
      <c r="M31" s="17"/>
      <c r="N31" s="17"/>
      <c r="O31" s="10"/>
      <c r="P31" s="15"/>
      <c r="Q31" s="15"/>
      <c r="R31" s="10"/>
      <c r="S31" s="10"/>
      <c r="T31" s="21" t="str">
        <f t="shared" si="0"/>
        <v/>
      </c>
      <c r="U31" s="21" t="str">
        <f t="shared" si="1"/>
        <v/>
      </c>
      <c r="V31" s="21" t="str">
        <f t="shared" si="2"/>
        <v/>
      </c>
      <c r="W31" s="21" t="str">
        <f t="shared" si="3"/>
        <v/>
      </c>
      <c r="X31" s="21" t="str">
        <f t="shared" si="4"/>
        <v/>
      </c>
      <c r="Y31" s="21" t="str">
        <f t="shared" si="5"/>
        <v/>
      </c>
      <c r="Z31" s="21" t="str">
        <f t="shared" si="6"/>
        <v/>
      </c>
      <c r="AA31" s="21" t="str">
        <f t="shared" si="7"/>
        <v/>
      </c>
      <c r="AB31" s="21" t="str">
        <f t="shared" si="8"/>
        <v/>
      </c>
      <c r="AC31" s="21" t="str">
        <f t="shared" si="9"/>
        <v/>
      </c>
      <c r="AD31" s="21" t="str">
        <f>IF(AW31=1,"",MID(IF(ISNUMBER(SEARCH("E_INVALID_DATE",EG31))," | E_INVALID_DATE: "&amp;SUBSTITUTE(IFERROR(INDEX(nMSG_Text,MATCH("E_INVALID_DATE",nMSG_Code,0)),""),"[input]",""),"")&amp;IF(ISNUMBER(SEARCH("E_REVERSED_BOUNDS",EG31))," | E_REVERSED_BOUNDS: "&amp;SUBSTITUTE(IFERROR(INDEX(nMSG_Text,MATCH("E_REVERSED_BOUNDS",nMSG_Code,0)),""),"[input]",""),"")&amp;IF(ISNUMBER(SEARCH("E_DUPLICATE_ID",EG31))," | E_DUPLICATE_ID: "&amp;SUBSTITUTE(IFERROR(INDEX(nMSG_Text,MATCH("E_DUPLICATE_ID",nMSG_Code,0)),""),"[input]",""),"")&amp;IF(ISNUMBER(SEARCH("E_MISSING_LINK",EG31))," | E_MISSING_LINK: "&amp;SUBSTITUTE(IFERROR(INDEX(nMSG_Text,MATCH("E_MISSING_LINK",nMSG_Code,0)),""),"[input]",""),"")&amp;IF(ISNUMBER(SEARCH("E_MISSING_INPUT",EG31))," | E_MISSING_INPUT: "&amp;SUBSTITUTE(IFERROR(INDEX(nMSG_Text,MATCH("E_MISSING_INPUT",nMSG_Code,0)),""),"[input]",IF(EH31="","an input",EH31)),"")&amp;IF(ISNUMBER(SEARCH("E_INVALID_UNIT",EG31))," | E_INVALID_UNIT: "&amp;SUBSTITUTE(IFERROR(INDEX(nMSG_Text,MATCH("E_INVALID_UNIT",nMSG_Code,0)),""),"[input]",""),"")&amp;IF(FD31=1," | W_TZ_UNKNOWN: "&amp;SUBSTITUTE(IFERROR(INDEX(nMSG_Text,MATCH("W_TZ_UNKNOWN",nMSG_Code,0)),""),"[input]",""),"")&amp;IF(FE31=1," | W_SAME_DATE_ORDER_UNKNOWN: "&amp;SUBSTITUTE(IFERROR(INDEX(nMSG_Text,MATCH("W_SAME_DATE_ORDER_UNKNOWN",nMSG_Code,0)),""),"[input]",""),"")&amp;IF(FF31=1," | W_SEQUENCE_UNCERTAIN: "&amp;SUBSTITUTE(IFERROR(INDEX(nMSG_Text,MATCH("W_SEQUENCE_UNCERTAIN",nMSG_Code,0)),""),"[input]",""),"")&amp;IF(FG31=1," | W_ADMIN_SAME_DATE_AS_ONSET: "&amp;SUBSTITUTE(IFERROR(INDEX(nMSG_Text,MATCH("W_ADMIN_SAME_DATE_AS_ONSET",nMSG_Code,0)),""),"[input]",""),"")&amp;IF(FH31=1," | W_REPORTED_TIMING_CONFLICT: "&amp;SUBSTITUTE(IFERROR(INDEX(nMSG_Text,MATCH("W_REPORTED_TIMING_CONFLICT",nMSG_Code,0)),""),"[input]",""),"")&amp;IF(FI31=1," | W_INTERVENTION_BEFORE_RECOVERY: "&amp;SUBSTITUTE(IFERROR(INDEX(nMSG_Text,MATCH("W_INTERVENTION_BEFORE_RECOVERY",nMSG_Code,0)),""),"[input]",""),"")&amp;IF(FJ31=1," | I_TREATMENT_DAY_UNDEFINED: "&amp;SUBSTITUTE(IFERROR(INDEX(nMSG_Text,MATCH("I_TREATMENT_DAY_UNDEFINED",nMSG_Code,0)),""),"[input]",""),"")&amp;IF(FK31=1," | I_APPROXIMATE_NOT_COMPARED: "&amp;SUBSTITUTE(IFERROR(INDEX(nMSG_Text,MATCH("I_APPROXIMATE_NOT_COMPARED",nMSG_Code,0)),""),"[input]",""),""),4,9999))</f>
        <v/>
      </c>
      <c r="AE31" s="21" t="str">
        <f t="shared" si="10"/>
        <v/>
      </c>
      <c r="AF31" s="21" t="str">
        <f t="shared" si="11"/>
        <v/>
      </c>
      <c r="AG31" s="21" t="str">
        <f>IF(EN31="","",MID(IF(ISNUMBER(SEARCH("E_REVERSED_BOUNDS",EN31))," | E_REVERSED_BOUNDS: "&amp;SUBSTITUTE(IFERROR(INDEX(nMSG_Text,MATCH("E_REVERSED_BOUNDS",nMSG_Code,0)),""),"[input]",""),"")&amp;IF(ISNUMBER(SEARCH("E_MISSING_INPUT",EN31))," | E_MISSING_INPUT: "&amp;SUBSTITUTE(IFERROR(INDEX(nMSG_Text,MATCH("E_MISSING_INPUT",nMSG_Code,0)),""),"[input]",IF("the source of the constraint"="","an input","the source of the constraint")),""),4,999))</f>
        <v/>
      </c>
      <c r="AH31" s="21" t="str">
        <f t="shared" si="12"/>
        <v/>
      </c>
      <c r="AI31" s="21" t="str">
        <f t="shared" si="13"/>
        <v/>
      </c>
      <c r="AJ31" s="21" t="str">
        <f t="shared" si="14"/>
        <v/>
      </c>
      <c r="AK31" s="21" t="str">
        <f t="shared" si="15"/>
        <v/>
      </c>
      <c r="AL31" s="21" t="str">
        <f>IF(CY31=0,"",INDEX(nTP_ISO,CY31))</f>
        <v/>
      </c>
      <c r="AM31" s="21" t="str">
        <f>IF(CY31=0,"",INDEX(nTP_Display,CY31))</f>
        <v/>
      </c>
      <c r="AN31" s="21" t="str">
        <f>IF(BI31=0,"",INDEX(nTP_ISO,BI31))</f>
        <v/>
      </c>
      <c r="AO31" s="21" t="str">
        <f>IF(BI31=0,"",INDEX(nTP_Display,BI31))</f>
        <v/>
      </c>
      <c r="AP31" s="21" t="str">
        <f>IF(BA31=0,"",INDEX(nLNK_Exposure_Episode_ID,BA31)&amp;"")</f>
        <v/>
      </c>
      <c r="AQ31" s="21" t="str">
        <f>IF(BA31=0,"",INDEX(nLNK_Event_Episode_ID,BA31)&amp;"")</f>
        <v/>
      </c>
      <c r="AR31" s="21" t="str">
        <f t="shared" si="16"/>
        <v/>
      </c>
      <c r="AS31" s="21" t="str">
        <f>IF(EI31=0,"",MID(IF(DT31=1," | Recovery interval (C7) computed with "&amp;DS31&amp;".","")&amp;IF(BG31=1," | Anchor selected under C5 (CALC-SPEC 1.1): latest administration with an exact date or time at or before "&amp;IF(BH31=1,"onset","the end point")&amp;" ("&amp;AJ31&amp;"), ordered in UTC when offsets are known; later administrations are never selected.","")&amp;IF(AND(BG31=1,CE31&gt;0)," | Partial-date administrations wholly before the selected one were not candidates: "&amp;FC31&amp;".","")&amp;IF(BV31&lt;&gt;""," | "&amp;BV31,"")&amp;IF(AND(DS31="C2",EA31=0,DZ31&lt;&gt;"")," | Same calendar date; both times are known, so C1 decides the order ("&amp;AA31&amp;").","")&amp;IF(AND(DS31="C2",DD31*BN31=1,DT31=0)," | Calendar-date difference from the recorded local dates; it is never described as elapsed days.","")&amp;IF(AND(DS31="C4",DT31=0)," | Bounds are treated as independent; no single date is imputed from them.","")&amp;IF(EJ31=1," | Treatment day under the inclusive convention (C3); never written to E2B fields automatically.","")&amp;IF(AND(DS31="C4",DT31=0,EK31=0)," | No constraint applied.","")&amp;IF(AND(DS31="C4",EK31=1)," | Constraint applied to the anchor bounds: "&amp;IF(ISNUMBER(P31),"not before "&amp;DAY(P31)&amp;" "&amp;INDEX(nLIST_Months,MONTH(P31))&amp;" "&amp;YEAR(P31),"")&amp;IF(AND(ISNUMBER(P31),ISNUMBER(Q31)),", ","")&amp;IF(ISNUMBER(Q31),"not after "&amp;DAY(Q31)&amp;" "&amp;INDEX(nLIST_Months,MONTH(Q31))&amp;" "&amp;YEAR(Q31),"")&amp;". Source: "&amp;IF(R31="","not recorded",R31)&amp;IF(EN31="",". Constrained result shown beside the unconstrained one.",". Constrained result blocked ("&amp;EN31&amp;")."),"")&amp;IF(DT31=1,IF(EO31&gt;0," | Intervention recorded between cessation and recovery (ends included): "&amp;EZ31&amp;"."," | No intervention is recorded between cessation and recovery; absence of a record is not evidence that none was given."),"")&amp;IF(AND(DT31=1,DV31&gt;0)," | Intervention recorded without a date, so whether it came before recovery is unknown: "&amp;INDEX(nMS_Milestone_ID,MATCH(1,INDEX((nMS_CaseKey=AX31)*(nMS_Type="INTERVENTION")*nMS_Undated,0),0))&amp;IF(DV31&gt;1," and "&amp;(DV31-1)&amp;" more","")&amp;".","")&amp;IF(AND(DT31=1,EP31&gt;0)," | Not counted as interventions, because they are recorded as exposures rather than as intervention milestones (nothing is inferred): "&amp;FB31&amp;". If treatment was given, record it as an intervention milestone.",""),4,9999))</f>
        <v/>
      </c>
      <c r="AT31" s="21" t="str">
        <f t="shared" si="17"/>
        <v/>
      </c>
      <c r="AU31" s="21" t="str">
        <f t="shared" si="18"/>
        <v/>
      </c>
      <c r="AV31" s="21" t="str">
        <f t="shared" si="19"/>
        <v/>
      </c>
      <c r="AW31" s="22">
        <f t="shared" si="20"/>
        <v>1</v>
      </c>
      <c r="AX31" s="21" t="str">
        <f t="shared" si="21"/>
        <v>|</v>
      </c>
      <c r="AY31" s="21" t="str">
        <f t="shared" si="22"/>
        <v/>
      </c>
      <c r="AZ31" s="22">
        <f>IF(AY31="",0,COUNTIF(nINT_Key,AY31))</f>
        <v>0</v>
      </c>
      <c r="BA31" s="22">
        <f>IF(D31="",0,IFERROR(MATCH(AX31&amp;"|"&amp;D31,nLNK_Key,0),0))</f>
        <v>0</v>
      </c>
      <c r="BB31" s="22">
        <f>IF(BA31=0,1,INDEX(nLNK_Exp_Found,BA31))</f>
        <v>1</v>
      </c>
      <c r="BC31" s="22">
        <f>IF(BA31=0,1,INDEX(nLNK_Evt_Found,BA31))</f>
        <v>1</v>
      </c>
      <c r="BD31" s="22">
        <f>IF(AP31="",0,COUNTIF(nEXP_Key,AX31&amp;"|"&amp;AP31))</f>
        <v>0</v>
      </c>
      <c r="BE31" s="22">
        <f>IF(AQ31="",0,COUNTIF(nEVT_Key,AX31&amp;"|"&amp;AQ31))</f>
        <v>0</v>
      </c>
      <c r="BF31" s="22">
        <f>IF(ISNA(MATCH(E31,nLIST_AnchorType,0)),0,1)</f>
        <v>0</v>
      </c>
      <c r="BG31" s="22">
        <f t="shared" si="23"/>
        <v>0</v>
      </c>
      <c r="BH31" s="22">
        <f t="shared" si="24"/>
        <v>0</v>
      </c>
      <c r="BI31" s="22">
        <f>IF(OR(AW31=1,AK31=""),0,IFERROR(MATCH(AX31&amp;"|"&amp;AK31,nTP_Key,0),0))</f>
        <v>0</v>
      </c>
      <c r="BJ31" s="21">
        <f>IF(BI31=0,0,INDEX(nTP_Dup,BI31))</f>
        <v>0</v>
      </c>
      <c r="BK31" s="21" t="str">
        <f>IF(BI31=0,"",INDEX(nTP_Record_Type,BI31))</f>
        <v/>
      </c>
      <c r="BL31" s="21" t="str">
        <f>IF(BI31=0,"",INDEX(nTP_Precision,BI31))</f>
        <v/>
      </c>
      <c r="BM31" s="21" t="str">
        <f>IF(BI31=0,"",INDEX(nTP_Err,BI31))</f>
        <v/>
      </c>
      <c r="BN31" s="21">
        <f>IF(BI31=0,0,INDEX(nTP_HT,BI31))</f>
        <v>0</v>
      </c>
      <c r="BO31" s="21">
        <f>IF(BI31=0,0,INDEX(nTP_OK,BI31))</f>
        <v>0</v>
      </c>
      <c r="BP31" s="21" t="str">
        <f>IF(BI31=0,"",INDEX(nTP_Loc,BI31))</f>
        <v/>
      </c>
      <c r="BQ31" s="21" t="str">
        <f>IF(BI31=0,"",INDEX(nTP_UTC,BI31))</f>
        <v/>
      </c>
      <c r="BR31" s="21" t="str">
        <f>IF(BI31=0,"",INDEX(nTP_Lo,BI31))</f>
        <v/>
      </c>
      <c r="BS31" s="21" t="str">
        <f>IF(BI31=0,"",INDEX(nTP_Hi,BI31))</f>
        <v/>
      </c>
      <c r="BT31" s="21" t="str">
        <f>IF(BI31=0,"",INDEX(nTP_Original_Text,BI31))</f>
        <v/>
      </c>
      <c r="BU31" s="21" t="str">
        <f>IF(BI31=0,"",INDEX(nTP_Source,BI31))</f>
        <v/>
      </c>
      <c r="BV31" s="21" t="str">
        <f>IF(BI31=0,"",INDEX(nTP_Lab_Note,BI31))</f>
        <v/>
      </c>
      <c r="BW31" s="22">
        <f t="shared" si="25"/>
        <v>0</v>
      </c>
      <c r="BX31" s="21" t="str">
        <f t="shared" si="26"/>
        <v>||</v>
      </c>
      <c r="BY31" s="22">
        <f>IF(BG31=0,0,COUNTIF(nTP_CandKey,BX31))</f>
        <v>0</v>
      </c>
      <c r="BZ31" s="22">
        <f>IF(BG31=0,0,COUNTIFS(nTP_CandKey,BX31,nTP_Err,""))</f>
        <v>0</v>
      </c>
      <c r="CA31" s="21" t="str">
        <f>IF(BY31=BZ31,"",IF(COUNTIFS(nTP_CandKey,BX31,nTP_Err,"E_INVALID_DATE")&gt;0,"; E_INVALID_DATE","")&amp;IF(COUNTIFS(nTP_CandKey,BX31,nTP_Err,"E_REVERSED_BOUNDS")&gt;0,"; E_REVERSED_BOUNDS","")&amp;IF(COUNTIFS(nTP_CandKey,BX31,nTP_Err,"E_MISSING_INPUT")&gt;0,"; E_MISSING_INPUT","")&amp;IF(COUNTIFS(nTP_CandKey,BX31,nTP_Err,"E_INVALID_UNIT")&gt;0,"; E_INVALID_UNIT",""))</f>
        <v/>
      </c>
      <c r="CB31" s="22">
        <f t="shared" si="27"/>
        <v>0</v>
      </c>
      <c r="CC31" s="22">
        <f>IF(CB31=0,0,SUMPRODUCT((nTP_CandKey=BX31)*(nTP_Err="")*(1-(nTP_HT*BN31*((nTP_OK*BO31*(nTP_UTC_n-N(BQ31))+(1-nTP_OK*BO31)*(nTP_Loc_n-N(BP31)))&lt;=0)+(1-nTP_HT*BN31)*(nTP_Hi_n&lt;N(BR31)))-(nTP_HT*BN31*((nTP_OK*BO31*(nTP_UTC_n-N(BQ31))+(1-nTP_OK*BO31)*(nTP_Loc_n-N(BP31)))&gt;0)+(1-nTP_HT*BN31)*(nTP_Lo_n&gt;N(BS31)))-((1-nTP_HT*BN31)*(nTP_Lo_n=nTP_Hi_n)*(nTP_Lo_n=N(BR31))*(N(BR31)=N(BS31))))))</f>
        <v>0</v>
      </c>
      <c r="CD31" s="22">
        <f>IF(CB31=0,0,SUMPRODUCT((nTP_CandKey=BX31)*nTP_Exact*((nTP_HT*BN31*((nTP_OK*BO31*(nTP_UTC_n-N(BQ31))+(1-nTP_OK*BO31)*(nTP_Loc_n-N(BP31)))&lt;=0)+(1-nTP_HT*BN31)*(nTP_Hi_n&lt;N(BR31)))+((1-nTP_HT*BN31)*(nTP_Lo_n=nTP_Hi_n)*(nTP_Lo_n=N(BR31))*(N(BR31)=N(BS31))))))</f>
        <v>0</v>
      </c>
      <c r="CE31" s="22">
        <f>IF(CB31=0,0,SUMPRODUCT((nTP_CandKey=BX31)*(nTP_Err="")*(1-nTP_Exact)*((nTP_HT*BN31*((nTP_OK*BO31*(nTP_UTC_n-N(BQ31))+(1-nTP_OK*BO31)*(nTP_Loc_n-N(BP31)))&lt;=0)+(1-nTP_HT*BN31)*(nTP_Hi_n&lt;N(BR31)))+((1-nTP_HT*BN31)*(nTP_Lo_n=nTP_Hi_n)*(nTP_Lo_n=N(BR31))*(N(BR31)=N(BS31))))))</f>
        <v>0</v>
      </c>
      <c r="CF31" s="22">
        <f>IF(CD31=0,0,SUMPRODUCT(MAX((nTP_CandKey=BX31)*nTP_Exact*((nTP_HT*BN31*((nTP_OK*BO31*(nTP_UTC_n-N(BQ31))+(1-nTP_OK*BO31)*(nTP_Loc_n-N(BP31)))&lt;=0)+(1-nTP_HT*BN31)*(nTP_Hi_n&lt;N(BR31)))+((1-nTP_HT*BN31)*(nTP_Lo_n=nTP_Hi_n)*(nTP_Lo_n=N(BR31))*(N(BR31)=N(BS31))))*nTP_Lo_n)))</f>
        <v>0</v>
      </c>
      <c r="CG31" s="22">
        <f>IF(CD31=0,0,SUMPRODUCT((nTP_CandKey=BX31)*nTP_Exact*((nTP_HT*BN31*((nTP_OK*BO31*(nTP_UTC_n-N(BQ31))+(1-nTP_OK*BO31)*(nTP_Loc_n-N(BP31)))&lt;=0)+(1-nTP_HT*BN31)*(nTP_Hi_n&lt;N(BR31)))+((1-nTP_HT*BN31)*(nTP_Lo_n=nTP_Hi_n)*(nTP_Lo_n=N(BR31))*(N(BR31)=N(BS31))))*(nTP_Lo_n=CF31)))</f>
        <v>0</v>
      </c>
      <c r="CH31" s="22">
        <f>IF(CD31=0,0,SUMPRODUCT((nTP_CandKey=BX31)*nTP_Exact*((nTP_HT*BN31*((nTP_OK*BO31*(nTP_UTC_n-N(BQ31))+(1-nTP_OK*BO31)*(nTP_Loc_n-N(BP31)))&lt;=0)+(1-nTP_HT*BN31)*(nTP_Hi_n&lt;N(BR31)))+((1-nTP_HT*BN31)*(nTP_Lo_n=nTP_Hi_n)*(nTP_Lo_n=N(BR31))*(N(BR31)=N(BS31))))*(1-nTP_HT)*(nTP_Lo_n=CF31)))</f>
        <v>0</v>
      </c>
      <c r="CI31" s="22">
        <f>IF(CD31=0,0,SUMPRODUCT(MAX((nTP_CandKey=BX31)*nTP_Exact*((nTP_HT*BN31*((nTP_OK*BO31*(nTP_UTC_n-N(BQ31))+(1-nTP_OK*BO31)*(nTP_Loc_n-N(BP31)))&lt;=0)+(1-nTP_HT*BN31)*(nTP_Hi_n&lt;N(BR31)))+((1-nTP_HT*BN31)*(nTP_Lo_n=nTP_Hi_n)*(nTP_Lo_n=N(BR31))*(N(BR31)=N(BS31))))*(1-nTP_HT)*nTP_Lo_n)))</f>
        <v>0</v>
      </c>
      <c r="CJ31" s="22">
        <f>IF(CD31=0,0,SUMPRODUCT(MAX((nTP_CandKey=BX31)*nTP_Exact*((nTP_HT*BN31*((nTP_OK*BO31*(nTP_UTC_n-N(BQ31))+(1-nTP_OK*BO31)*(nTP_Loc_n-N(BP31)))&lt;=0)+(1-nTP_HT*BN31)*(nTP_Hi_n&lt;N(BR31)))+((1-nTP_HT*BN31)*(nTP_Lo_n=nTP_Hi_n)*(nTP_Lo_n=N(BR31))*(N(BR31)=N(BS31))))*nTP_HT*nTP_OK*nTP_UTC_n)))</f>
        <v>0</v>
      </c>
      <c r="CK31" s="22">
        <f>IF(CJ31=0,0,SUMPRODUCT((nTP_CandKey=BX31)*nTP_Exact*((nTP_HT*BN31*((nTP_OK*BO31*(nTP_UTC_n-N(BQ31))+(1-nTP_OK*BO31)*(nTP_Loc_n-N(BP31)))&lt;=0)+(1-nTP_HT*BN31)*(nTP_Hi_n&lt;N(BR31)))+((1-nTP_HT*BN31)*(nTP_Lo_n=nTP_Hi_n)*(nTP_Lo_n=N(BR31))*(N(BR31)=N(BS31))))*nTP_HT*nTP_OK*(nTP_UTC_n=CJ31)))</f>
        <v>0</v>
      </c>
      <c r="CL31" s="22">
        <f>IF(CK31&lt;&gt;1,0,SUMPRODUCT((nTP_CandKey=BX31)*nTP_Exact*((nTP_HT*BN31*((nTP_OK*BO31*(nTP_UTC_n-N(BQ31))+(1-nTP_OK*BO31)*(nTP_Loc_n-N(BP31)))&lt;=0)+(1-nTP_HT*BN31)*(nTP_Hi_n&lt;N(BR31)))+((1-nTP_HT*BN31)*(nTP_Lo_n=nTP_Hi_n)*(nTP_Lo_n=N(BR31))*(N(BR31)=N(BS31))))*nTP_HT*nTP_OK*(nTP_UTC_n=CJ31)*nTP_Loc_n))</f>
        <v>0</v>
      </c>
      <c r="CM31" s="22">
        <f>IF(CK31&lt;&gt;1,0,SUMPRODUCT((nTP_CandKey=BX31)*nTP_Exact*((nTP_HT*BN31*((nTP_OK*BO31*(nTP_UTC_n-N(BQ31))+(1-nTP_OK*BO31)*(nTP_Loc_n-N(BP31)))&lt;=0)+(1-nTP_HT*BN31)*(nTP_Hi_n&lt;N(BR31)))+((1-nTP_HT*BN31)*(nTP_Lo_n=nTP_Hi_n)*(nTP_Lo_n=N(BR31))*(N(BR31)=N(BS31))))*nTP_HT*nTP_OK*(nTP_UTC_n=CJ31)*nTP_Lo_n))</f>
        <v>0</v>
      </c>
      <c r="CN31" s="22">
        <f>IF(CD31=0,0,SUMPRODUCT(MAX((nTP_CandKey=BX31)*nTP_Exact*((nTP_HT*BN31*((nTP_OK*BO31*(nTP_UTC_n-N(BQ31))+(1-nTP_OK*BO31)*(nTP_Loc_n-N(BP31)))&lt;=0)+(1-nTP_HT*BN31)*(nTP_Hi_n&lt;N(BR31)))+((1-nTP_HT*BN31)*(nTP_Lo_n=nTP_Hi_n)*(nTP_Lo_n=N(BR31))*(N(BR31)=N(BS31))))*nTP_HT*(1-nTP_OK)*nTP_Loc_n)))</f>
        <v>0</v>
      </c>
      <c r="CO31" s="22">
        <f>IF(CN31=0,0,SUMPRODUCT((nTP_CandKey=BX31)*nTP_Exact*((nTP_HT*BN31*((nTP_OK*BO31*(nTP_UTC_n-N(BQ31))+(1-nTP_OK*BO31)*(nTP_Loc_n-N(BP31)))&lt;=0)+(1-nTP_HT*BN31)*(nTP_Hi_n&lt;N(BR31)))+((1-nTP_HT*BN31)*(nTP_Lo_n=nTP_Hi_n)*(nTP_Lo_n=N(BR31))*(N(BR31)=N(BS31))))*nTP_HT*(1-nTP_OK)*(nTP_Loc_n=CN31)))</f>
        <v>0</v>
      </c>
      <c r="CP31" s="22">
        <f>IF(CO31&lt;&gt;1,0,SUMPRODUCT((nTP_CandKey=BX31)*nTP_Exact*((nTP_HT*BN31*((nTP_OK*BO31*(nTP_UTC_n-N(BQ31))+(1-nTP_OK*BO31)*(nTP_Loc_n-N(BP31)))&lt;=0)+(1-nTP_HT*BN31)*(nTP_Hi_n&lt;N(BR31)))+((1-nTP_HT*BN31)*(nTP_Lo_n=nTP_Hi_n)*(nTP_Lo_n=N(BR31))*(N(BR31)=N(BS31))))*nTP_HT*(1-nTP_OK)*(nTP_Loc_n=CN31)*nTP_Lo_n))</f>
        <v>0</v>
      </c>
      <c r="CQ31" s="22">
        <f>IF(CD31=0,0,SUMPRODUCT(MAX((nTP_CandKey=BX31)*nTP_Exact*((nTP_HT*BN31*((nTP_OK*BO31*(nTP_UTC_n-N(BQ31))+(1-nTP_OK*BO31)*(nTP_Loc_n-N(BP31)))&lt;=0)+(1-nTP_HT*BN31)*(nTP_Hi_n&lt;N(BR31)))+((1-nTP_HT*BN31)*(nTP_Lo_n=nTP_Hi_n)*(nTP_Lo_n=N(BR31))*(N(BR31)=N(BS31))))*nTP_HT*nTP_OK*nTP_Loc_n)))</f>
        <v>0</v>
      </c>
      <c r="CR31" s="22">
        <f t="shared" si="28"/>
        <v>0</v>
      </c>
      <c r="CS31" s="22">
        <f>IF(CR31=0,0,IF(CR31=1,MATCH(1,INDEX((nTP_CandKey=BX31)*nTP_Exact*((nTP_HT*BN31*((nTP_OK*BO31*(nTP_UTC_n-N(BQ31))+(1-nTP_OK*BO31)*(nTP_Loc_n-N(BP31)))&lt;=0)+(1-nTP_HT*BN31)*(nTP_Hi_n&lt;N(BR31)))+((1-nTP_HT*BN31)*(nTP_Lo_n=nTP_Hi_n)*(nTP_Lo_n=N(BR31))*(N(BR31)=N(BS31))))*(1-nTP_HT)*(nTP_Lo_n=CF31),0),0),IF(CR31=2,MATCH(1,INDEX((nTP_CandKey=BX31)*nTP_Exact*((nTP_HT*BN31*((nTP_OK*BO31*(nTP_UTC_n-N(BQ31))+(1-nTP_OK*BO31)*(nTP_Loc_n-N(BP31)))&lt;=0)+(1-nTP_HT*BN31)*(nTP_Hi_n&lt;N(BR31)))+((1-nTP_HT*BN31)*(nTP_Lo_n=nTP_Hi_n)*(nTP_Lo_n=N(BR31))*(N(BR31)=N(BS31))))*nTP_HT*nTP_OK*(nTP_UTC_n=CJ31),0),0),MATCH(1,INDEX((nTP_CandKey=BX31)*nTP_Exact*((nTP_HT*BN31*((nTP_OK*BO31*(nTP_UTC_n-N(BQ31))+(1-nTP_OK*BO31)*(nTP_Loc_n-N(BP31)))&lt;=0)+(1-nTP_HT*BN31)*(nTP_Hi_n&lt;N(BR31)))+((1-nTP_HT*BN31)*(nTP_Lo_n=nTP_Hi_n)*(nTP_Lo_n=N(BR31))*(N(BR31)=N(BS31))))*nTP_HT*(1-nTP_OK)*(nTP_Loc_n=CN31),0),0))))</f>
        <v>0</v>
      </c>
      <c r="CT31" s="22">
        <f>IF(CS31=0,0,INDEX(nTP_Lo_n,CS31))</f>
        <v>0</v>
      </c>
      <c r="CU31" s="22">
        <f>IF(CS31=0,0,SUMPRODUCT((nTP_CandKey=BX31)*(nTP_Err="")*(1-nTP_Exact)*((nTP_HT*BN31*((nTP_OK*BO31*(nTP_UTC_n-N(BQ31))+(1-nTP_OK*BO31)*(nTP_Loc_n-N(BP31)))&lt;=0)+(1-nTP_HT*BN31)*(nTP_Hi_n&lt;N(BR31)))+((1-nTP_HT*BN31)*(nTP_Lo_n=nTP_Hi_n)*(nTP_Lo_n=N(BR31))*(N(BR31)=N(BS31))))*(nTP_Hi_n&gt;=CT31)))</f>
        <v>0</v>
      </c>
      <c r="CV31" s="21" t="str">
        <f t="shared" si="29"/>
        <v/>
      </c>
      <c r="CW31" s="21" t="str">
        <f>IF(AND(BG31=1,CB31=1,CV31="",CS31&gt;0),INDEX(nTP_Record_ID,CS31)&amp;"","")</f>
        <v/>
      </c>
      <c r="CX31" s="21" t="str">
        <f>IF(OR(CV31="",BG31=0),"",IF(CV31="none","an administration record (last dose before onset)",IF(CV31="uncertain","the anchor record: "&amp;INDEX(nTP_Record_ID,MATCH(1,INDEX((nTP_CandKey=BX31)*(nTP_Err="")*(1-(nTP_HT*BN31*((nTP_OK*BO31*(nTP_UTC_n-N(BQ31))+(1-nTP_OK*BO31)*(nTP_Loc_n-N(BP31)))&lt;=0)+(1-nTP_HT*BN31)*(nTP_Hi_n&lt;N(BR31)))-(nTP_HT*BN31*((nTP_OK*BO31*(nTP_UTC_n-N(BQ31))+(1-nTP_OK*BO31)*(nTP_Loc_n-N(BP31)))&gt;0)+(1-nTP_HT*BN31)*(nTP_Lo_n&gt;N(BS31)))-((1-nTP_HT*BN31)*(nTP_Lo_n=nTP_Hi_n)*(nTP_Lo_n=N(BR31))*(N(BR31)=N(BS31)))),0),0))&amp;IF(CC31&gt;1," and "&amp;(CC31-1)&amp;" more","")&amp;" may fall before or after the end point, so the last dose cannot be identified from the recorded dates",IF(CV31="noneligible","the anchor record: no administration with an exact date is recorded at or before the end point",IF(CV31="tie","the anchor record: the order of the latest administrations cannot be told from the recorded dates and times","the anchor record: partial-date administration "&amp;INDEX(nTP_Record_ID,MATCH(1,INDEX((nTP_CandKey=BX31)*(nTP_Err="")*(1-nTP_Exact)*((nTP_HT*BN31*((nTP_OK*BO31*(nTP_UTC_n-N(BQ31))+(1-nTP_OK*BO31)*(nTP_Loc_n-N(BP31)))&lt;=0)+(1-nTP_HT*BN31)*(nTP_Hi_n&lt;N(BR31)))+((1-nTP_HT*BN31)*(nTP_Lo_n=nTP_Hi_n)*(nTP_Lo_n=N(BR31))*(N(BR31)=N(BS31))))*(nTP_Hi_n&gt;=CT31),0),0))&amp;" could be the last dose before the end point")))))</f>
        <v/>
      </c>
      <c r="CY31" s="22">
        <f>IF(OR(AW31=1,AJ31=""),0,IFERROR(MATCH(AX31&amp;"|"&amp;AJ31,nTP_Key,0),0))</f>
        <v>0</v>
      </c>
      <c r="CZ31" s="21">
        <f>IF(CY31=0,0,INDEX(nTP_Dup,CY31))</f>
        <v>0</v>
      </c>
      <c r="DA31" s="21" t="str">
        <f>IF(CY31=0,"",INDEX(nTP_Record_Type,CY31))</f>
        <v/>
      </c>
      <c r="DB31" s="21" t="str">
        <f>IF(CY31=0,"",INDEX(nTP_Precision,CY31))</f>
        <v/>
      </c>
      <c r="DC31" s="21" t="str">
        <f>IF(CY31=0,"",INDEX(nTP_Err,CY31))</f>
        <v/>
      </c>
      <c r="DD31" s="21">
        <f>IF(CY31=0,0,INDEX(nTP_HT,CY31))</f>
        <v>0</v>
      </c>
      <c r="DE31" s="21">
        <f>IF(CY31=0,0,INDEX(nTP_OK,CY31))</f>
        <v>0</v>
      </c>
      <c r="DF31" s="21" t="str">
        <f>IF(CY31=0,"",INDEX(nTP_Loc,CY31))</f>
        <v/>
      </c>
      <c r="DG31" s="21" t="str">
        <f>IF(CY31=0,"",INDEX(nTP_UTC,CY31))</f>
        <v/>
      </c>
      <c r="DH31" s="21" t="str">
        <f>IF(CY31=0,"",INDEX(nTP_Lo,CY31))</f>
        <v/>
      </c>
      <c r="DI31" s="21" t="str">
        <f>IF(CY31=0,"",INDEX(nTP_Hi,CY31))</f>
        <v/>
      </c>
      <c r="DJ31" s="21" t="str">
        <f>IF(CY31=0,"",INDEX(nTP_Original_Text,CY31))</f>
        <v/>
      </c>
      <c r="DK31" s="21" t="str">
        <f>IF(CY31=0,"",INDEX(nTP_Source,CY31))</f>
        <v/>
      </c>
      <c r="DL31" s="22">
        <f t="shared" si="30"/>
        <v>0</v>
      </c>
      <c r="DM31" s="21" t="str">
        <f t="shared" si="31"/>
        <v/>
      </c>
      <c r="DN31" s="21" t="str">
        <f t="shared" si="32"/>
        <v/>
      </c>
      <c r="DO31" s="21" t="str">
        <f t="shared" si="33"/>
        <v/>
      </c>
      <c r="DP31" s="21" t="str">
        <f t="shared" si="34"/>
        <v/>
      </c>
      <c r="DQ31" s="21" t="str">
        <f t="shared" si="35"/>
        <v/>
      </c>
      <c r="DR31" s="22">
        <f>IF(OR(DQ31="",I31=""),0,IF(ISNA(MATCH(I31,nLIST_Mode,0)),1,IF(AND(I31="C1",DQ31&lt;&gt;"C1"),1,IF(AND(I31="C2",DQ31="C4"),1,0))))</f>
        <v>0</v>
      </c>
      <c r="DS31" s="21" t="str">
        <f t="shared" si="36"/>
        <v/>
      </c>
      <c r="DT31" s="22">
        <f t="shared" si="37"/>
        <v>0</v>
      </c>
      <c r="DU31" s="21" t="str">
        <f>IF(DT31=0,"",IF(COUNTIFS(nTP_Case_Key,AX31,nTP_Record_Type,"MILESTONE:INTERVENTION",nTP_Err,"E_INVALID_DATE")&gt;0,"; E_INVALID_DATE","")&amp;IF(COUNTIFS(nTP_Case_Key,AX31,nTP_Record_Type,"MILESTONE:INTERVENTION",nTP_Err,"E_REVERSED_BOUNDS")&gt;0,"; E_REVERSED_BOUNDS","")&amp;IF(COUNTIFS(nTP_Case_Key,AX31,nTP_Record_Type,"MILESTONE:INTERVENTION",nTP_Err,"E_MISSING_INPUT")&gt;0,"; E_MISSING_INPUT","")&amp;IF(COUNTIFS(nTP_Case_Key,AX31,nTP_Record_Type,"MILESTONE:INTERVENTION",nTP_Err,"E_INVALID_UNIT")&gt;0,"; E_INVALID_UNIT",""))</f>
        <v/>
      </c>
      <c r="DV31" s="22">
        <f>IF(DT31=0,0,SUMPRODUCT((nMS_CaseKey=AX31)*(nMS_Type="INTERVENTION")*nMS_Undated))</f>
        <v>0</v>
      </c>
      <c r="DW31" s="21" t="str">
        <f t="shared" si="38"/>
        <v/>
      </c>
      <c r="DX31" s="21" t="str">
        <f t="shared" si="39"/>
        <v/>
      </c>
      <c r="DY31" s="22">
        <f t="shared" si="40"/>
        <v>1</v>
      </c>
      <c r="DZ31" s="21" t="str">
        <f t="shared" si="41"/>
        <v/>
      </c>
      <c r="EA31" s="21" t="str">
        <f t="shared" si="42"/>
        <v/>
      </c>
      <c r="EB31" s="21" t="str">
        <f t="shared" si="43"/>
        <v/>
      </c>
      <c r="EC31" s="21" t="str">
        <f t="shared" si="44"/>
        <v/>
      </c>
      <c r="ED31" s="22">
        <f t="shared" si="45"/>
        <v>0</v>
      </c>
      <c r="EE31" s="22">
        <f t="shared" si="46"/>
        <v>0</v>
      </c>
      <c r="EF31" s="21" t="str">
        <f>IF(ED31=0,"",IF(OR(NOT(ISNUMBER(L31)),NOT(ISNUMBER(M31))),"I_APPROXIMATE_NOT_COMPARED",IF(AND(N31&lt;&gt;"",ISNA(MATCH(N31,nLIST_ReportedUnit,0))),"E_INVALID_UNIT",IF(N31="","E_MISSING_INPUT",IF(L31&gt;M31,"E_REVERSED_BOUNDS",IF(OR(N31="weeks",N31="months",N31="years"),"I_APPROXIMATE_NOT_COMPARED",IF(DX31&lt;&gt;"","",IF(EE31=0,"I_APPROXIMATE_NOT_COMPARED",IF(AND(L31*EE31&lt;=IF(DS31="C4",EC31,IF(DS31="C1",DZ31,EA31)),M31*EE31&gt;=IF(DS31="C4",EB31,IF(DS31="C1",DZ31,EA31))),"OVERLAP","W_REPORTED_TIMING_CONFLICT")))))))))</f>
        <v/>
      </c>
      <c r="EG31" s="21" t="str">
        <f t="shared" si="47"/>
        <v/>
      </c>
      <c r="EH31" s="21" t="str">
        <f t="shared" si="48"/>
        <v/>
      </c>
      <c r="EI31" s="22">
        <f t="shared" si="49"/>
        <v>0</v>
      </c>
      <c r="EJ31" s="22">
        <f t="shared" si="50"/>
        <v>0</v>
      </c>
      <c r="EK31" s="22">
        <f t="shared" si="51"/>
        <v>0</v>
      </c>
      <c r="EL31" s="28" t="str">
        <f t="shared" si="52"/>
        <v/>
      </c>
      <c r="EM31" s="28" t="str">
        <f t="shared" si="53"/>
        <v/>
      </c>
      <c r="EN31" s="21" t="str">
        <f t="shared" si="54"/>
        <v/>
      </c>
      <c r="EO31" s="22">
        <f>IF(OR(DT31=0,DX31&lt;&gt;""),0,SUMPRODUCT((nTP_Case_Key=AX31)*(nTP_Record_Type="MILESTONE:INTERVENTION")*(nTP_Err="")*(nTP_HT*DD31*BN31*(nTP_OK*DE31*(nTP_UTC_n&gt;=N(DG31))+(1-nTP_OK*DE31)*(nTP_Loc_n&gt;=N(DF31)))*(nTP_OK*BO31*(nTP_UTC_n&lt;=N(BQ31))+(1-nTP_OK*BO31)*(nTP_Loc_n&lt;=N(BP31)))+(1-nTP_HT*DD31*BN31)*(nTP_Hi_n&gt;=N(DH31))*(nTP_Lo_n&lt;=N(BS31)))))</f>
        <v>0</v>
      </c>
      <c r="EP31" s="22">
        <f>IF(OR(DT31=0,DX31&lt;&gt;""),0,SUMPRODUCT((nTP_Case_Key=AX31)*(nTP_Role="treatment of the event")*((nTP_Record_Type="EXPOSURE_START")+(nTP_Record_Type="ADMINISTRATION"))*(nTP_Err="")*(nTP_HT*DD31*BN31*(nTP_OK*DE31*(nTP_UTC_n&gt;=N(DG31))+(1-nTP_OK*DE31)*(nTP_Loc_n&gt;=N(DF31)))*(nTP_OK*BO31*(nTP_UTC_n&lt;=N(BQ31))+(1-nTP_OK*BO31)*(nTP_Loc_n&lt;=N(BP31)))+(1-nTP_HT*DD31*BN31)*(nTP_Hi_n&gt;=N(DH31))*(nTP_Lo_n&lt;=N(BS31)))))</f>
        <v>0</v>
      </c>
      <c r="EQ31" s="22">
        <f>IF(EO31&lt;1,0,IFERROR(_xlfn.AGGREGATE(15,6,nTP_RowN/((nTP_Case_Key=AX31)*(nTP_Record_Type="MILESTONE:INTERVENTION")*(nTP_Err="")*(nTP_HT*DD31*BN31*(nTP_OK*DE31*(nTP_UTC_n&gt;=N(DG31))+(1-nTP_OK*DE31)*(nTP_Loc_n&gt;=N(DF31)))*(nTP_OK*BO31*(nTP_UTC_n&lt;=N(BQ31))+(1-nTP_OK*BO31)*(nTP_Loc_n&lt;=N(BP31)))+(1-nTP_HT*DD31*BN31)*(nTP_Hi_n&gt;=N(DH31))*(nTP_Lo_n&lt;=N(BS31)))),1),0))</f>
        <v>0</v>
      </c>
      <c r="ER31" s="22">
        <f>IF(EO31&lt;2,0,IFERROR(_xlfn.AGGREGATE(15,6,nTP_RowN/((nTP_Case_Key=AX31)*(nTP_Record_Type="MILESTONE:INTERVENTION")*(nTP_Err="")*(nTP_HT*DD31*BN31*(nTP_OK*DE31*(nTP_UTC_n&gt;=N(DG31))+(1-nTP_OK*DE31)*(nTP_Loc_n&gt;=N(DF31)))*(nTP_OK*BO31*(nTP_UTC_n&lt;=N(BQ31))+(1-nTP_OK*BO31)*(nTP_Loc_n&lt;=N(BP31)))+(1-nTP_HT*DD31*BN31)*(nTP_Hi_n&gt;=N(DH31))*(nTP_Lo_n&lt;=N(BS31)))),2),0))</f>
        <v>0</v>
      </c>
      <c r="ES31" s="22">
        <f>IF(EO31&lt;3,0,IFERROR(_xlfn.AGGREGATE(15,6,nTP_RowN/((nTP_Case_Key=AX31)*(nTP_Record_Type="MILESTONE:INTERVENTION")*(nTP_Err="")*(nTP_HT*DD31*BN31*(nTP_OK*DE31*(nTP_UTC_n&gt;=N(DG31))+(1-nTP_OK*DE31)*(nTP_Loc_n&gt;=N(DF31)))*(nTP_OK*BO31*(nTP_UTC_n&lt;=N(BQ31))+(1-nTP_OK*BO31)*(nTP_Loc_n&lt;=N(BP31)))+(1-nTP_HT*DD31*BN31)*(nTP_Hi_n&gt;=N(DH31))*(nTP_Lo_n&lt;=N(BS31)))),3),0))</f>
        <v>0</v>
      </c>
      <c r="ET31" s="22">
        <f>IF(EP31&lt;1,0,IFERROR(_xlfn.AGGREGATE(15,6,nTP_RowN/((nTP_Case_Key=AX31)*(nTP_Role="treatment of the event")*((nTP_Record_Type="EXPOSURE_START")+(nTP_Record_Type="ADMINISTRATION"))*(nTP_Err="")*(nTP_HT*DD31*BN31*(nTP_OK*DE31*(nTP_UTC_n&gt;=N(DG31))+(1-nTP_OK*DE31)*(nTP_Loc_n&gt;=N(DF31)))*(nTP_OK*BO31*(nTP_UTC_n&lt;=N(BQ31))+(1-nTP_OK*BO31)*(nTP_Loc_n&lt;=N(BP31)))+(1-nTP_HT*DD31*BN31)*(nTP_Hi_n&gt;=N(DH31))*(nTP_Lo_n&lt;=N(BS31)))),1),0))</f>
        <v>0</v>
      </c>
      <c r="EU31" s="22">
        <f>IF(EP31&lt;2,0,IFERROR(_xlfn.AGGREGATE(15,6,nTP_RowN/((nTP_Case_Key=AX31)*(nTP_Role="treatment of the event")*((nTP_Record_Type="EXPOSURE_START")+(nTP_Record_Type="ADMINISTRATION"))*(nTP_Err="")*(nTP_HT*DD31*BN31*(nTP_OK*DE31*(nTP_UTC_n&gt;=N(DG31))+(1-nTP_OK*DE31)*(nTP_Loc_n&gt;=N(DF31)))*(nTP_OK*BO31*(nTP_UTC_n&lt;=N(BQ31))+(1-nTP_OK*BO31)*(nTP_Loc_n&lt;=N(BP31)))+(1-nTP_HT*DD31*BN31)*(nTP_Hi_n&gt;=N(DH31))*(nTP_Lo_n&lt;=N(BS31)))),2),0))</f>
        <v>0</v>
      </c>
      <c r="EV31" s="22">
        <f>IF(EP31&lt;3,0,IFERROR(_xlfn.AGGREGATE(15,6,nTP_RowN/((nTP_Case_Key=AX31)*(nTP_Role="treatment of the event")*((nTP_Record_Type="EXPOSURE_START")+(nTP_Record_Type="ADMINISTRATION"))*(nTP_Err="")*(nTP_HT*DD31*BN31*(nTP_OK*DE31*(nTP_UTC_n&gt;=N(DG31))+(1-nTP_OK*DE31)*(nTP_Loc_n&gt;=N(DF31)))*(nTP_OK*BO31*(nTP_UTC_n&lt;=N(BQ31))+(1-nTP_OK*BO31)*(nTP_Loc_n&lt;=N(BP31)))+(1-nTP_HT*DD31*BN31)*(nTP_Hi_n&gt;=N(DH31))*(nTP_Lo_n&lt;=N(BS31)))),3),0))</f>
        <v>0</v>
      </c>
      <c r="EW31" s="22">
        <f>IF(CE31&lt;1,0,IFERROR(_xlfn.AGGREGATE(15,6,nTP_RowN/((nTP_CandKey=BX31)*(nTP_Err="")*(1-nTP_Exact)*((nTP_HT*BN31*((nTP_OK*BO31*(nTP_UTC_n-N(BQ31))+(1-nTP_OK*BO31)*(nTP_Loc_n-N(BP31)))&lt;=0)+(1-nTP_HT*BN31)*(nTP_Hi_n&lt;N(BR31)))+((1-nTP_HT*BN31)*(nTP_Lo_n=nTP_Hi_n)*(nTP_Lo_n=N(BR31))*(N(BR31)=N(BS31))))),1),0))</f>
        <v>0</v>
      </c>
      <c r="EX31" s="22">
        <f>IF(CE31&lt;2,0,IFERROR(_xlfn.AGGREGATE(15,6,nTP_RowN/((nTP_CandKey=BX31)*(nTP_Err="")*(1-nTP_Exact)*((nTP_HT*BN31*((nTP_OK*BO31*(nTP_UTC_n-N(BQ31))+(1-nTP_OK*BO31)*(nTP_Loc_n-N(BP31)))&lt;=0)+(1-nTP_HT*BN31)*(nTP_Hi_n&lt;N(BR31)))+((1-nTP_HT*BN31)*(nTP_Lo_n=nTP_Hi_n)*(nTP_Lo_n=N(BR31))*(N(BR31)=N(BS31))))),2),0))</f>
        <v>0</v>
      </c>
      <c r="EY31" s="22">
        <f>IF(CE31&lt;3,0,IFERROR(_xlfn.AGGREGATE(15,6,nTP_RowN/((nTP_CandKey=BX31)*(nTP_Err="")*(1-nTP_Exact)*((nTP_HT*BN31*((nTP_OK*BO31*(nTP_UTC_n-N(BQ31))+(1-nTP_OK*BO31)*(nTP_Loc_n-N(BP31)))&lt;=0)+(1-nTP_HT*BN31)*(nTP_Hi_n&lt;N(BR31)))+((1-nTP_HT*BN31)*(nTP_Lo_n=nTP_Hi_n)*(nTP_Lo_n=N(BR31))*(N(BR31)=N(BS31))))),3),0))</f>
        <v>0</v>
      </c>
      <c r="EZ31" s="21" t="str">
        <f>IF(EO31=0,"",MID(IF(EQ31&gt;0,"; "&amp;INDEX(nTP_Record_ID,EQ31)&amp;IF(INDEX(nTP_Label,EQ31)="",""," ("&amp;INDEX(nTP_Label,EQ31)&amp;")"),"")&amp;IF(ER31&gt;0,"; "&amp;INDEX(nTP_Record_ID,ER31)&amp;IF(INDEX(nTP_Label,ER31)="",""," ("&amp;INDEX(nTP_Label,ER31)&amp;")"),"")&amp;IF(ES31&gt;0,"; "&amp;INDEX(nTP_Record_ID,ES31)&amp;IF(INDEX(nTP_Label,ES31)="",""," ("&amp;INDEX(nTP_Label,ES31)&amp;")"),"")&amp;IF(EO31&gt;3,"; and "&amp;(EO31-3)&amp;" more",""),3,999))</f>
        <v/>
      </c>
      <c r="FA31" s="21" t="str">
        <f>IF(EO31=0,"",MID(IF(EQ31&gt;0,"; "&amp;INDEX(nTP_Record_ID,EQ31),"")&amp;IF(ER31&gt;0,"; "&amp;INDEX(nTP_Record_ID,ER31),"")&amp;IF(ES31&gt;0,"; "&amp;INDEX(nTP_Record_ID,ES31),"")&amp;IF(EO31&gt;3,"; and "&amp;(EO31-3)&amp;" more",""),3,999))</f>
        <v/>
      </c>
      <c r="FB31" s="21" t="str">
        <f>IF(EP31=0,"",MID(IF(ET31&gt;0,"; "&amp;INDEX(nTP_Record_ID,ET31)&amp;IF(INDEX(nTP_Label,ET31)="",""," ("&amp;INDEX(nTP_Label,ET31)&amp;")"),"")&amp;IF(EU31&gt;0,"; "&amp;INDEX(nTP_Record_ID,EU31)&amp;IF(INDEX(nTP_Label,EU31)="",""," ("&amp;INDEX(nTP_Label,EU31)&amp;")"),"")&amp;IF(EV31&gt;0,"; "&amp;INDEX(nTP_Record_ID,EV31)&amp;IF(INDEX(nTP_Label,EV31)="",""," ("&amp;INDEX(nTP_Label,EV31)&amp;")"),"")&amp;IF(EP31&gt;3,"; and "&amp;(EP31-3)&amp;" more",""),3,999))</f>
        <v/>
      </c>
      <c r="FC31" s="21" t="str">
        <f>IF(CE31=0,"",MID(IF(EW31&gt;0,"; "&amp;INDEX(nTP_Record_ID,EW31),"")&amp;IF(EX31&gt;0,"; "&amp;INDEX(nTP_Record_ID,EX31),"")&amp;IF(EY31&gt;0,"; "&amp;INDEX(nTP_Record_ID,EY31),"")&amp;IF(CE31&gt;3,"; and "&amp;(CE31-3)&amp;" more",""),3,999))</f>
        <v/>
      </c>
      <c r="FD31" s="22">
        <f t="shared" si="55"/>
        <v>0</v>
      </c>
      <c r="FE31" s="22">
        <f t="shared" si="56"/>
        <v>0</v>
      </c>
      <c r="FF31" s="22">
        <f t="shared" si="57"/>
        <v>0</v>
      </c>
      <c r="FG31" s="22">
        <f t="shared" si="58"/>
        <v>0</v>
      </c>
      <c r="FH31" s="22">
        <f t="shared" si="59"/>
        <v>0</v>
      </c>
      <c r="FI31" s="22">
        <f t="shared" si="60"/>
        <v>0</v>
      </c>
      <c r="FJ31" s="22">
        <f t="shared" si="61"/>
        <v>0</v>
      </c>
      <c r="FK31" s="22">
        <f t="shared" si="62"/>
        <v>0</v>
      </c>
    </row>
    <row r="32" spans="1:167" x14ac:dyDescent="0.2">
      <c r="A32" s="10"/>
      <c r="B32" s="10"/>
      <c r="C32" s="12"/>
      <c r="D32" s="10"/>
      <c r="E32" s="17"/>
      <c r="F32" s="10"/>
      <c r="G32" s="10"/>
      <c r="H32" s="10"/>
      <c r="I32" s="17"/>
      <c r="J32" s="17"/>
      <c r="K32" s="10"/>
      <c r="L32" s="17"/>
      <c r="M32" s="17"/>
      <c r="N32" s="17"/>
      <c r="O32" s="10"/>
      <c r="P32" s="15"/>
      <c r="Q32" s="15"/>
      <c r="R32" s="10"/>
      <c r="S32" s="10"/>
      <c r="T32" s="21" t="str">
        <f t="shared" si="0"/>
        <v/>
      </c>
      <c r="U32" s="21" t="str">
        <f t="shared" si="1"/>
        <v/>
      </c>
      <c r="V32" s="21" t="str">
        <f t="shared" si="2"/>
        <v/>
      </c>
      <c r="W32" s="21" t="str">
        <f t="shared" si="3"/>
        <v/>
      </c>
      <c r="X32" s="21" t="str">
        <f t="shared" si="4"/>
        <v/>
      </c>
      <c r="Y32" s="21" t="str">
        <f t="shared" si="5"/>
        <v/>
      </c>
      <c r="Z32" s="21" t="str">
        <f t="shared" si="6"/>
        <v/>
      </c>
      <c r="AA32" s="21" t="str">
        <f t="shared" si="7"/>
        <v/>
      </c>
      <c r="AB32" s="21" t="str">
        <f t="shared" si="8"/>
        <v/>
      </c>
      <c r="AC32" s="21" t="str">
        <f t="shared" si="9"/>
        <v/>
      </c>
      <c r="AD32" s="21" t="str">
        <f>IF(AW32=1,"",MID(IF(ISNUMBER(SEARCH("E_INVALID_DATE",EG32))," | E_INVALID_DATE: "&amp;SUBSTITUTE(IFERROR(INDEX(nMSG_Text,MATCH("E_INVALID_DATE",nMSG_Code,0)),""),"[input]",""),"")&amp;IF(ISNUMBER(SEARCH("E_REVERSED_BOUNDS",EG32))," | E_REVERSED_BOUNDS: "&amp;SUBSTITUTE(IFERROR(INDEX(nMSG_Text,MATCH("E_REVERSED_BOUNDS",nMSG_Code,0)),""),"[input]",""),"")&amp;IF(ISNUMBER(SEARCH("E_DUPLICATE_ID",EG32))," | E_DUPLICATE_ID: "&amp;SUBSTITUTE(IFERROR(INDEX(nMSG_Text,MATCH("E_DUPLICATE_ID",nMSG_Code,0)),""),"[input]",""),"")&amp;IF(ISNUMBER(SEARCH("E_MISSING_LINK",EG32))," | E_MISSING_LINK: "&amp;SUBSTITUTE(IFERROR(INDEX(nMSG_Text,MATCH("E_MISSING_LINK",nMSG_Code,0)),""),"[input]",""),"")&amp;IF(ISNUMBER(SEARCH("E_MISSING_INPUT",EG32))," | E_MISSING_INPUT: "&amp;SUBSTITUTE(IFERROR(INDEX(nMSG_Text,MATCH("E_MISSING_INPUT",nMSG_Code,0)),""),"[input]",IF(EH32="","an input",EH32)),"")&amp;IF(ISNUMBER(SEARCH("E_INVALID_UNIT",EG32))," | E_INVALID_UNIT: "&amp;SUBSTITUTE(IFERROR(INDEX(nMSG_Text,MATCH("E_INVALID_UNIT",nMSG_Code,0)),""),"[input]",""),"")&amp;IF(FD32=1," | W_TZ_UNKNOWN: "&amp;SUBSTITUTE(IFERROR(INDEX(nMSG_Text,MATCH("W_TZ_UNKNOWN",nMSG_Code,0)),""),"[input]",""),"")&amp;IF(FE32=1," | W_SAME_DATE_ORDER_UNKNOWN: "&amp;SUBSTITUTE(IFERROR(INDEX(nMSG_Text,MATCH("W_SAME_DATE_ORDER_UNKNOWN",nMSG_Code,0)),""),"[input]",""),"")&amp;IF(FF32=1," | W_SEQUENCE_UNCERTAIN: "&amp;SUBSTITUTE(IFERROR(INDEX(nMSG_Text,MATCH("W_SEQUENCE_UNCERTAIN",nMSG_Code,0)),""),"[input]",""),"")&amp;IF(FG32=1," | W_ADMIN_SAME_DATE_AS_ONSET: "&amp;SUBSTITUTE(IFERROR(INDEX(nMSG_Text,MATCH("W_ADMIN_SAME_DATE_AS_ONSET",nMSG_Code,0)),""),"[input]",""),"")&amp;IF(FH32=1," | W_REPORTED_TIMING_CONFLICT: "&amp;SUBSTITUTE(IFERROR(INDEX(nMSG_Text,MATCH("W_REPORTED_TIMING_CONFLICT",nMSG_Code,0)),""),"[input]",""),"")&amp;IF(FI32=1," | W_INTERVENTION_BEFORE_RECOVERY: "&amp;SUBSTITUTE(IFERROR(INDEX(nMSG_Text,MATCH("W_INTERVENTION_BEFORE_RECOVERY",nMSG_Code,0)),""),"[input]",""),"")&amp;IF(FJ32=1," | I_TREATMENT_DAY_UNDEFINED: "&amp;SUBSTITUTE(IFERROR(INDEX(nMSG_Text,MATCH("I_TREATMENT_DAY_UNDEFINED",nMSG_Code,0)),""),"[input]",""),"")&amp;IF(FK32=1," | I_APPROXIMATE_NOT_COMPARED: "&amp;SUBSTITUTE(IFERROR(INDEX(nMSG_Text,MATCH("I_APPROXIMATE_NOT_COMPARED",nMSG_Code,0)),""),"[input]",""),""),4,9999))</f>
        <v/>
      </c>
      <c r="AE32" s="21" t="str">
        <f t="shared" si="10"/>
        <v/>
      </c>
      <c r="AF32" s="21" t="str">
        <f t="shared" si="11"/>
        <v/>
      </c>
      <c r="AG32" s="21" t="str">
        <f>IF(EN32="","",MID(IF(ISNUMBER(SEARCH("E_REVERSED_BOUNDS",EN32))," | E_REVERSED_BOUNDS: "&amp;SUBSTITUTE(IFERROR(INDEX(nMSG_Text,MATCH("E_REVERSED_BOUNDS",nMSG_Code,0)),""),"[input]",""),"")&amp;IF(ISNUMBER(SEARCH("E_MISSING_INPUT",EN32))," | E_MISSING_INPUT: "&amp;SUBSTITUTE(IFERROR(INDEX(nMSG_Text,MATCH("E_MISSING_INPUT",nMSG_Code,0)),""),"[input]",IF("the source of the constraint"="","an input","the source of the constraint")),""),4,999))</f>
        <v/>
      </c>
      <c r="AH32" s="21" t="str">
        <f t="shared" si="12"/>
        <v/>
      </c>
      <c r="AI32" s="21" t="str">
        <f t="shared" si="13"/>
        <v/>
      </c>
      <c r="AJ32" s="21" t="str">
        <f t="shared" si="14"/>
        <v/>
      </c>
      <c r="AK32" s="21" t="str">
        <f t="shared" si="15"/>
        <v/>
      </c>
      <c r="AL32" s="21" t="str">
        <f>IF(CY32=0,"",INDEX(nTP_ISO,CY32))</f>
        <v/>
      </c>
      <c r="AM32" s="21" t="str">
        <f>IF(CY32=0,"",INDEX(nTP_Display,CY32))</f>
        <v/>
      </c>
      <c r="AN32" s="21" t="str">
        <f>IF(BI32=0,"",INDEX(nTP_ISO,BI32))</f>
        <v/>
      </c>
      <c r="AO32" s="21" t="str">
        <f>IF(BI32=0,"",INDEX(nTP_Display,BI32))</f>
        <v/>
      </c>
      <c r="AP32" s="21" t="str">
        <f>IF(BA32=0,"",INDEX(nLNK_Exposure_Episode_ID,BA32)&amp;"")</f>
        <v/>
      </c>
      <c r="AQ32" s="21" t="str">
        <f>IF(BA32=0,"",INDEX(nLNK_Event_Episode_ID,BA32)&amp;"")</f>
        <v/>
      </c>
      <c r="AR32" s="21" t="str">
        <f t="shared" si="16"/>
        <v/>
      </c>
      <c r="AS32" s="21" t="str">
        <f>IF(EI32=0,"",MID(IF(DT32=1," | Recovery interval (C7) computed with "&amp;DS32&amp;".","")&amp;IF(BG32=1," | Anchor selected under C5 (CALC-SPEC 1.1): latest administration with an exact date or time at or before "&amp;IF(BH32=1,"onset","the end point")&amp;" ("&amp;AJ32&amp;"), ordered in UTC when offsets are known; later administrations are never selected.","")&amp;IF(AND(BG32=1,CE32&gt;0)," | Partial-date administrations wholly before the selected one were not candidates: "&amp;FC32&amp;".","")&amp;IF(BV32&lt;&gt;""," | "&amp;BV32,"")&amp;IF(AND(DS32="C2",EA32=0,DZ32&lt;&gt;"")," | Same calendar date; both times are known, so C1 decides the order ("&amp;AA32&amp;").","")&amp;IF(AND(DS32="C2",DD32*BN32=1,DT32=0)," | Calendar-date difference from the recorded local dates; it is never described as elapsed days.","")&amp;IF(AND(DS32="C4",DT32=0)," | Bounds are treated as independent; no single date is imputed from them.","")&amp;IF(EJ32=1," | Treatment day under the inclusive convention (C3); never written to E2B fields automatically.","")&amp;IF(AND(DS32="C4",DT32=0,EK32=0)," | No constraint applied.","")&amp;IF(AND(DS32="C4",EK32=1)," | Constraint applied to the anchor bounds: "&amp;IF(ISNUMBER(P32),"not before "&amp;DAY(P32)&amp;" "&amp;INDEX(nLIST_Months,MONTH(P32))&amp;" "&amp;YEAR(P32),"")&amp;IF(AND(ISNUMBER(P32),ISNUMBER(Q32)),", ","")&amp;IF(ISNUMBER(Q32),"not after "&amp;DAY(Q32)&amp;" "&amp;INDEX(nLIST_Months,MONTH(Q32))&amp;" "&amp;YEAR(Q32),"")&amp;". Source: "&amp;IF(R32="","not recorded",R32)&amp;IF(EN32="",". Constrained result shown beside the unconstrained one.",". Constrained result blocked ("&amp;EN32&amp;")."),"")&amp;IF(DT32=1,IF(EO32&gt;0," | Intervention recorded between cessation and recovery (ends included): "&amp;EZ32&amp;"."," | No intervention is recorded between cessation and recovery; absence of a record is not evidence that none was given."),"")&amp;IF(AND(DT32=1,DV32&gt;0)," | Intervention recorded without a date, so whether it came before recovery is unknown: "&amp;INDEX(nMS_Milestone_ID,MATCH(1,INDEX((nMS_CaseKey=AX32)*(nMS_Type="INTERVENTION")*nMS_Undated,0),0))&amp;IF(DV32&gt;1," and "&amp;(DV32-1)&amp;" more","")&amp;".","")&amp;IF(AND(DT32=1,EP32&gt;0)," | Not counted as interventions, because they are recorded as exposures rather than as intervention milestones (nothing is inferred): "&amp;FB32&amp;". If treatment was given, record it as an intervention milestone.",""),4,9999))</f>
        <v/>
      </c>
      <c r="AT32" s="21" t="str">
        <f t="shared" si="17"/>
        <v/>
      </c>
      <c r="AU32" s="21" t="str">
        <f t="shared" si="18"/>
        <v/>
      </c>
      <c r="AV32" s="21" t="str">
        <f t="shared" si="19"/>
        <v/>
      </c>
      <c r="AW32" s="22">
        <f t="shared" si="20"/>
        <v>1</v>
      </c>
      <c r="AX32" s="21" t="str">
        <f t="shared" si="21"/>
        <v>|</v>
      </c>
      <c r="AY32" s="21" t="str">
        <f t="shared" si="22"/>
        <v/>
      </c>
      <c r="AZ32" s="22">
        <f>IF(AY32="",0,COUNTIF(nINT_Key,AY32))</f>
        <v>0</v>
      </c>
      <c r="BA32" s="22">
        <f>IF(D32="",0,IFERROR(MATCH(AX32&amp;"|"&amp;D32,nLNK_Key,0),0))</f>
        <v>0</v>
      </c>
      <c r="BB32" s="22">
        <f>IF(BA32=0,1,INDEX(nLNK_Exp_Found,BA32))</f>
        <v>1</v>
      </c>
      <c r="BC32" s="22">
        <f>IF(BA32=0,1,INDEX(nLNK_Evt_Found,BA32))</f>
        <v>1</v>
      </c>
      <c r="BD32" s="22">
        <f>IF(AP32="",0,COUNTIF(nEXP_Key,AX32&amp;"|"&amp;AP32))</f>
        <v>0</v>
      </c>
      <c r="BE32" s="22">
        <f>IF(AQ32="",0,COUNTIF(nEVT_Key,AX32&amp;"|"&amp;AQ32))</f>
        <v>0</v>
      </c>
      <c r="BF32" s="22">
        <f>IF(ISNA(MATCH(E32,nLIST_AnchorType,0)),0,1)</f>
        <v>0</v>
      </c>
      <c r="BG32" s="22">
        <f t="shared" si="23"/>
        <v>0</v>
      </c>
      <c r="BH32" s="22">
        <f t="shared" si="24"/>
        <v>0</v>
      </c>
      <c r="BI32" s="22">
        <f>IF(OR(AW32=1,AK32=""),0,IFERROR(MATCH(AX32&amp;"|"&amp;AK32,nTP_Key,0),0))</f>
        <v>0</v>
      </c>
      <c r="BJ32" s="21">
        <f>IF(BI32=0,0,INDEX(nTP_Dup,BI32))</f>
        <v>0</v>
      </c>
      <c r="BK32" s="21" t="str">
        <f>IF(BI32=0,"",INDEX(nTP_Record_Type,BI32))</f>
        <v/>
      </c>
      <c r="BL32" s="21" t="str">
        <f>IF(BI32=0,"",INDEX(nTP_Precision,BI32))</f>
        <v/>
      </c>
      <c r="BM32" s="21" t="str">
        <f>IF(BI32=0,"",INDEX(nTP_Err,BI32))</f>
        <v/>
      </c>
      <c r="BN32" s="21">
        <f>IF(BI32=0,0,INDEX(nTP_HT,BI32))</f>
        <v>0</v>
      </c>
      <c r="BO32" s="21">
        <f>IF(BI32=0,0,INDEX(nTP_OK,BI32))</f>
        <v>0</v>
      </c>
      <c r="BP32" s="21" t="str">
        <f>IF(BI32=0,"",INDEX(nTP_Loc,BI32))</f>
        <v/>
      </c>
      <c r="BQ32" s="21" t="str">
        <f>IF(BI32=0,"",INDEX(nTP_UTC,BI32))</f>
        <v/>
      </c>
      <c r="BR32" s="21" t="str">
        <f>IF(BI32=0,"",INDEX(nTP_Lo,BI32))</f>
        <v/>
      </c>
      <c r="BS32" s="21" t="str">
        <f>IF(BI32=0,"",INDEX(nTP_Hi,BI32))</f>
        <v/>
      </c>
      <c r="BT32" s="21" t="str">
        <f>IF(BI32=0,"",INDEX(nTP_Original_Text,BI32))</f>
        <v/>
      </c>
      <c r="BU32" s="21" t="str">
        <f>IF(BI32=0,"",INDEX(nTP_Source,BI32))</f>
        <v/>
      </c>
      <c r="BV32" s="21" t="str">
        <f>IF(BI32=0,"",INDEX(nTP_Lab_Note,BI32))</f>
        <v/>
      </c>
      <c r="BW32" s="22">
        <f t="shared" si="25"/>
        <v>0</v>
      </c>
      <c r="BX32" s="21" t="str">
        <f t="shared" si="26"/>
        <v>||</v>
      </c>
      <c r="BY32" s="22">
        <f>IF(BG32=0,0,COUNTIF(nTP_CandKey,BX32))</f>
        <v>0</v>
      </c>
      <c r="BZ32" s="22">
        <f>IF(BG32=0,0,COUNTIFS(nTP_CandKey,BX32,nTP_Err,""))</f>
        <v>0</v>
      </c>
      <c r="CA32" s="21" t="str">
        <f>IF(BY32=BZ32,"",IF(COUNTIFS(nTP_CandKey,BX32,nTP_Err,"E_INVALID_DATE")&gt;0,"; E_INVALID_DATE","")&amp;IF(COUNTIFS(nTP_CandKey,BX32,nTP_Err,"E_REVERSED_BOUNDS")&gt;0,"; E_REVERSED_BOUNDS","")&amp;IF(COUNTIFS(nTP_CandKey,BX32,nTP_Err,"E_MISSING_INPUT")&gt;0,"; E_MISSING_INPUT","")&amp;IF(COUNTIFS(nTP_CandKey,BX32,nTP_Err,"E_INVALID_UNIT")&gt;0,"; E_INVALID_UNIT",""))</f>
        <v/>
      </c>
      <c r="CB32" s="22">
        <f t="shared" si="27"/>
        <v>0</v>
      </c>
      <c r="CC32" s="22">
        <f>IF(CB32=0,0,SUMPRODUCT((nTP_CandKey=BX32)*(nTP_Err="")*(1-(nTP_HT*BN32*((nTP_OK*BO32*(nTP_UTC_n-N(BQ32))+(1-nTP_OK*BO32)*(nTP_Loc_n-N(BP32)))&lt;=0)+(1-nTP_HT*BN32)*(nTP_Hi_n&lt;N(BR32)))-(nTP_HT*BN32*((nTP_OK*BO32*(nTP_UTC_n-N(BQ32))+(1-nTP_OK*BO32)*(nTP_Loc_n-N(BP32)))&gt;0)+(1-nTP_HT*BN32)*(nTP_Lo_n&gt;N(BS32)))-((1-nTP_HT*BN32)*(nTP_Lo_n=nTP_Hi_n)*(nTP_Lo_n=N(BR32))*(N(BR32)=N(BS32))))))</f>
        <v>0</v>
      </c>
      <c r="CD32" s="22">
        <f>IF(CB32=0,0,SUMPRODUCT((nTP_CandKey=BX32)*nTP_Exact*((nTP_HT*BN32*((nTP_OK*BO32*(nTP_UTC_n-N(BQ32))+(1-nTP_OK*BO32)*(nTP_Loc_n-N(BP32)))&lt;=0)+(1-nTP_HT*BN32)*(nTP_Hi_n&lt;N(BR32)))+((1-nTP_HT*BN32)*(nTP_Lo_n=nTP_Hi_n)*(nTP_Lo_n=N(BR32))*(N(BR32)=N(BS32))))))</f>
        <v>0</v>
      </c>
      <c r="CE32" s="22">
        <f>IF(CB32=0,0,SUMPRODUCT((nTP_CandKey=BX32)*(nTP_Err="")*(1-nTP_Exact)*((nTP_HT*BN32*((nTP_OK*BO32*(nTP_UTC_n-N(BQ32))+(1-nTP_OK*BO32)*(nTP_Loc_n-N(BP32)))&lt;=0)+(1-nTP_HT*BN32)*(nTP_Hi_n&lt;N(BR32)))+((1-nTP_HT*BN32)*(nTP_Lo_n=nTP_Hi_n)*(nTP_Lo_n=N(BR32))*(N(BR32)=N(BS32))))))</f>
        <v>0</v>
      </c>
      <c r="CF32" s="22">
        <f>IF(CD32=0,0,SUMPRODUCT(MAX((nTP_CandKey=BX32)*nTP_Exact*((nTP_HT*BN32*((nTP_OK*BO32*(nTP_UTC_n-N(BQ32))+(1-nTP_OK*BO32)*(nTP_Loc_n-N(BP32)))&lt;=0)+(1-nTP_HT*BN32)*(nTP_Hi_n&lt;N(BR32)))+((1-nTP_HT*BN32)*(nTP_Lo_n=nTP_Hi_n)*(nTP_Lo_n=N(BR32))*(N(BR32)=N(BS32))))*nTP_Lo_n)))</f>
        <v>0</v>
      </c>
      <c r="CG32" s="22">
        <f>IF(CD32=0,0,SUMPRODUCT((nTP_CandKey=BX32)*nTP_Exact*((nTP_HT*BN32*((nTP_OK*BO32*(nTP_UTC_n-N(BQ32))+(1-nTP_OK*BO32)*(nTP_Loc_n-N(BP32)))&lt;=0)+(1-nTP_HT*BN32)*(nTP_Hi_n&lt;N(BR32)))+((1-nTP_HT*BN32)*(nTP_Lo_n=nTP_Hi_n)*(nTP_Lo_n=N(BR32))*(N(BR32)=N(BS32))))*(nTP_Lo_n=CF32)))</f>
        <v>0</v>
      </c>
      <c r="CH32" s="22">
        <f>IF(CD32=0,0,SUMPRODUCT((nTP_CandKey=BX32)*nTP_Exact*((nTP_HT*BN32*((nTP_OK*BO32*(nTP_UTC_n-N(BQ32))+(1-nTP_OK*BO32)*(nTP_Loc_n-N(BP32)))&lt;=0)+(1-nTP_HT*BN32)*(nTP_Hi_n&lt;N(BR32)))+((1-nTP_HT*BN32)*(nTP_Lo_n=nTP_Hi_n)*(nTP_Lo_n=N(BR32))*(N(BR32)=N(BS32))))*(1-nTP_HT)*(nTP_Lo_n=CF32)))</f>
        <v>0</v>
      </c>
      <c r="CI32" s="22">
        <f>IF(CD32=0,0,SUMPRODUCT(MAX((nTP_CandKey=BX32)*nTP_Exact*((nTP_HT*BN32*((nTP_OK*BO32*(nTP_UTC_n-N(BQ32))+(1-nTP_OK*BO32)*(nTP_Loc_n-N(BP32)))&lt;=0)+(1-nTP_HT*BN32)*(nTP_Hi_n&lt;N(BR32)))+((1-nTP_HT*BN32)*(nTP_Lo_n=nTP_Hi_n)*(nTP_Lo_n=N(BR32))*(N(BR32)=N(BS32))))*(1-nTP_HT)*nTP_Lo_n)))</f>
        <v>0</v>
      </c>
      <c r="CJ32" s="22">
        <f>IF(CD32=0,0,SUMPRODUCT(MAX((nTP_CandKey=BX32)*nTP_Exact*((nTP_HT*BN32*((nTP_OK*BO32*(nTP_UTC_n-N(BQ32))+(1-nTP_OK*BO32)*(nTP_Loc_n-N(BP32)))&lt;=0)+(1-nTP_HT*BN32)*(nTP_Hi_n&lt;N(BR32)))+((1-nTP_HT*BN32)*(nTP_Lo_n=nTP_Hi_n)*(nTP_Lo_n=N(BR32))*(N(BR32)=N(BS32))))*nTP_HT*nTP_OK*nTP_UTC_n)))</f>
        <v>0</v>
      </c>
      <c r="CK32" s="22">
        <f>IF(CJ32=0,0,SUMPRODUCT((nTP_CandKey=BX32)*nTP_Exact*((nTP_HT*BN32*((nTP_OK*BO32*(nTP_UTC_n-N(BQ32))+(1-nTP_OK*BO32)*(nTP_Loc_n-N(BP32)))&lt;=0)+(1-nTP_HT*BN32)*(nTP_Hi_n&lt;N(BR32)))+((1-nTP_HT*BN32)*(nTP_Lo_n=nTP_Hi_n)*(nTP_Lo_n=N(BR32))*(N(BR32)=N(BS32))))*nTP_HT*nTP_OK*(nTP_UTC_n=CJ32)))</f>
        <v>0</v>
      </c>
      <c r="CL32" s="22">
        <f>IF(CK32&lt;&gt;1,0,SUMPRODUCT((nTP_CandKey=BX32)*nTP_Exact*((nTP_HT*BN32*((nTP_OK*BO32*(nTP_UTC_n-N(BQ32))+(1-nTP_OK*BO32)*(nTP_Loc_n-N(BP32)))&lt;=0)+(1-nTP_HT*BN32)*(nTP_Hi_n&lt;N(BR32)))+((1-nTP_HT*BN32)*(nTP_Lo_n=nTP_Hi_n)*(nTP_Lo_n=N(BR32))*(N(BR32)=N(BS32))))*nTP_HT*nTP_OK*(nTP_UTC_n=CJ32)*nTP_Loc_n))</f>
        <v>0</v>
      </c>
      <c r="CM32" s="22">
        <f>IF(CK32&lt;&gt;1,0,SUMPRODUCT((nTP_CandKey=BX32)*nTP_Exact*((nTP_HT*BN32*((nTP_OK*BO32*(nTP_UTC_n-N(BQ32))+(1-nTP_OK*BO32)*(nTP_Loc_n-N(BP32)))&lt;=0)+(1-nTP_HT*BN32)*(nTP_Hi_n&lt;N(BR32)))+((1-nTP_HT*BN32)*(nTP_Lo_n=nTP_Hi_n)*(nTP_Lo_n=N(BR32))*(N(BR32)=N(BS32))))*nTP_HT*nTP_OK*(nTP_UTC_n=CJ32)*nTP_Lo_n))</f>
        <v>0</v>
      </c>
      <c r="CN32" s="22">
        <f>IF(CD32=0,0,SUMPRODUCT(MAX((nTP_CandKey=BX32)*nTP_Exact*((nTP_HT*BN32*((nTP_OK*BO32*(nTP_UTC_n-N(BQ32))+(1-nTP_OK*BO32)*(nTP_Loc_n-N(BP32)))&lt;=0)+(1-nTP_HT*BN32)*(nTP_Hi_n&lt;N(BR32)))+((1-nTP_HT*BN32)*(nTP_Lo_n=nTP_Hi_n)*(nTP_Lo_n=N(BR32))*(N(BR32)=N(BS32))))*nTP_HT*(1-nTP_OK)*nTP_Loc_n)))</f>
        <v>0</v>
      </c>
      <c r="CO32" s="22">
        <f>IF(CN32=0,0,SUMPRODUCT((nTP_CandKey=BX32)*nTP_Exact*((nTP_HT*BN32*((nTP_OK*BO32*(nTP_UTC_n-N(BQ32))+(1-nTP_OK*BO32)*(nTP_Loc_n-N(BP32)))&lt;=0)+(1-nTP_HT*BN32)*(nTP_Hi_n&lt;N(BR32)))+((1-nTP_HT*BN32)*(nTP_Lo_n=nTP_Hi_n)*(nTP_Lo_n=N(BR32))*(N(BR32)=N(BS32))))*nTP_HT*(1-nTP_OK)*(nTP_Loc_n=CN32)))</f>
        <v>0</v>
      </c>
      <c r="CP32" s="22">
        <f>IF(CO32&lt;&gt;1,0,SUMPRODUCT((nTP_CandKey=BX32)*nTP_Exact*((nTP_HT*BN32*((nTP_OK*BO32*(nTP_UTC_n-N(BQ32))+(1-nTP_OK*BO32)*(nTP_Loc_n-N(BP32)))&lt;=0)+(1-nTP_HT*BN32)*(nTP_Hi_n&lt;N(BR32)))+((1-nTP_HT*BN32)*(nTP_Lo_n=nTP_Hi_n)*(nTP_Lo_n=N(BR32))*(N(BR32)=N(BS32))))*nTP_HT*(1-nTP_OK)*(nTP_Loc_n=CN32)*nTP_Lo_n))</f>
        <v>0</v>
      </c>
      <c r="CQ32" s="22">
        <f>IF(CD32=0,0,SUMPRODUCT(MAX((nTP_CandKey=BX32)*nTP_Exact*((nTP_HT*BN32*((nTP_OK*BO32*(nTP_UTC_n-N(BQ32))+(1-nTP_OK*BO32)*(nTP_Loc_n-N(BP32)))&lt;=0)+(1-nTP_HT*BN32)*(nTP_Hi_n&lt;N(BR32)))+((1-nTP_HT*BN32)*(nTP_Lo_n=nTP_Hi_n)*(nTP_Lo_n=N(BR32))*(N(BR32)=N(BS32))))*nTP_HT*nTP_OK*nTP_Loc_n)))</f>
        <v>0</v>
      </c>
      <c r="CR32" s="22">
        <f t="shared" si="28"/>
        <v>0</v>
      </c>
      <c r="CS32" s="22">
        <f>IF(CR32=0,0,IF(CR32=1,MATCH(1,INDEX((nTP_CandKey=BX32)*nTP_Exact*((nTP_HT*BN32*((nTP_OK*BO32*(nTP_UTC_n-N(BQ32))+(1-nTP_OK*BO32)*(nTP_Loc_n-N(BP32)))&lt;=0)+(1-nTP_HT*BN32)*(nTP_Hi_n&lt;N(BR32)))+((1-nTP_HT*BN32)*(nTP_Lo_n=nTP_Hi_n)*(nTP_Lo_n=N(BR32))*(N(BR32)=N(BS32))))*(1-nTP_HT)*(nTP_Lo_n=CF32),0),0),IF(CR32=2,MATCH(1,INDEX((nTP_CandKey=BX32)*nTP_Exact*((nTP_HT*BN32*((nTP_OK*BO32*(nTP_UTC_n-N(BQ32))+(1-nTP_OK*BO32)*(nTP_Loc_n-N(BP32)))&lt;=0)+(1-nTP_HT*BN32)*(nTP_Hi_n&lt;N(BR32)))+((1-nTP_HT*BN32)*(nTP_Lo_n=nTP_Hi_n)*(nTP_Lo_n=N(BR32))*(N(BR32)=N(BS32))))*nTP_HT*nTP_OK*(nTP_UTC_n=CJ32),0),0),MATCH(1,INDEX((nTP_CandKey=BX32)*nTP_Exact*((nTP_HT*BN32*((nTP_OK*BO32*(nTP_UTC_n-N(BQ32))+(1-nTP_OK*BO32)*(nTP_Loc_n-N(BP32)))&lt;=0)+(1-nTP_HT*BN32)*(nTP_Hi_n&lt;N(BR32)))+((1-nTP_HT*BN32)*(nTP_Lo_n=nTP_Hi_n)*(nTP_Lo_n=N(BR32))*(N(BR32)=N(BS32))))*nTP_HT*(1-nTP_OK)*(nTP_Loc_n=CN32),0),0))))</f>
        <v>0</v>
      </c>
      <c r="CT32" s="22">
        <f>IF(CS32=0,0,INDEX(nTP_Lo_n,CS32))</f>
        <v>0</v>
      </c>
      <c r="CU32" s="22">
        <f>IF(CS32=0,0,SUMPRODUCT((nTP_CandKey=BX32)*(nTP_Err="")*(1-nTP_Exact)*((nTP_HT*BN32*((nTP_OK*BO32*(nTP_UTC_n-N(BQ32))+(1-nTP_OK*BO32)*(nTP_Loc_n-N(BP32)))&lt;=0)+(1-nTP_HT*BN32)*(nTP_Hi_n&lt;N(BR32)))+((1-nTP_HT*BN32)*(nTP_Lo_n=nTP_Hi_n)*(nTP_Lo_n=N(BR32))*(N(BR32)=N(BS32))))*(nTP_Hi_n&gt;=CT32)))</f>
        <v>0</v>
      </c>
      <c r="CV32" s="21" t="str">
        <f t="shared" si="29"/>
        <v/>
      </c>
      <c r="CW32" s="21" t="str">
        <f>IF(AND(BG32=1,CB32=1,CV32="",CS32&gt;0),INDEX(nTP_Record_ID,CS32)&amp;"","")</f>
        <v/>
      </c>
      <c r="CX32" s="21" t="str">
        <f>IF(OR(CV32="",BG32=0),"",IF(CV32="none","an administration record (last dose before onset)",IF(CV32="uncertain","the anchor record: "&amp;INDEX(nTP_Record_ID,MATCH(1,INDEX((nTP_CandKey=BX32)*(nTP_Err="")*(1-(nTP_HT*BN32*((nTP_OK*BO32*(nTP_UTC_n-N(BQ32))+(1-nTP_OK*BO32)*(nTP_Loc_n-N(BP32)))&lt;=0)+(1-nTP_HT*BN32)*(nTP_Hi_n&lt;N(BR32)))-(nTP_HT*BN32*((nTP_OK*BO32*(nTP_UTC_n-N(BQ32))+(1-nTP_OK*BO32)*(nTP_Loc_n-N(BP32)))&gt;0)+(1-nTP_HT*BN32)*(nTP_Lo_n&gt;N(BS32)))-((1-nTP_HT*BN32)*(nTP_Lo_n=nTP_Hi_n)*(nTP_Lo_n=N(BR32))*(N(BR32)=N(BS32)))),0),0))&amp;IF(CC32&gt;1," and "&amp;(CC32-1)&amp;" more","")&amp;" may fall before or after the end point, so the last dose cannot be identified from the recorded dates",IF(CV32="noneligible","the anchor record: no administration with an exact date is recorded at or before the end point",IF(CV32="tie","the anchor record: the order of the latest administrations cannot be told from the recorded dates and times","the anchor record: partial-date administration "&amp;INDEX(nTP_Record_ID,MATCH(1,INDEX((nTP_CandKey=BX32)*(nTP_Err="")*(1-nTP_Exact)*((nTP_HT*BN32*((nTP_OK*BO32*(nTP_UTC_n-N(BQ32))+(1-nTP_OK*BO32)*(nTP_Loc_n-N(BP32)))&lt;=0)+(1-nTP_HT*BN32)*(nTP_Hi_n&lt;N(BR32)))+((1-nTP_HT*BN32)*(nTP_Lo_n=nTP_Hi_n)*(nTP_Lo_n=N(BR32))*(N(BR32)=N(BS32))))*(nTP_Hi_n&gt;=CT32),0),0))&amp;" could be the last dose before the end point")))))</f>
        <v/>
      </c>
      <c r="CY32" s="22">
        <f>IF(OR(AW32=1,AJ32=""),0,IFERROR(MATCH(AX32&amp;"|"&amp;AJ32,nTP_Key,0),0))</f>
        <v>0</v>
      </c>
      <c r="CZ32" s="21">
        <f>IF(CY32=0,0,INDEX(nTP_Dup,CY32))</f>
        <v>0</v>
      </c>
      <c r="DA32" s="21" t="str">
        <f>IF(CY32=0,"",INDEX(nTP_Record_Type,CY32))</f>
        <v/>
      </c>
      <c r="DB32" s="21" t="str">
        <f>IF(CY32=0,"",INDEX(nTP_Precision,CY32))</f>
        <v/>
      </c>
      <c r="DC32" s="21" t="str">
        <f>IF(CY32=0,"",INDEX(nTP_Err,CY32))</f>
        <v/>
      </c>
      <c r="DD32" s="21">
        <f>IF(CY32=0,0,INDEX(nTP_HT,CY32))</f>
        <v>0</v>
      </c>
      <c r="DE32" s="21">
        <f>IF(CY32=0,0,INDEX(nTP_OK,CY32))</f>
        <v>0</v>
      </c>
      <c r="DF32" s="21" t="str">
        <f>IF(CY32=0,"",INDEX(nTP_Loc,CY32))</f>
        <v/>
      </c>
      <c r="DG32" s="21" t="str">
        <f>IF(CY32=0,"",INDEX(nTP_UTC,CY32))</f>
        <v/>
      </c>
      <c r="DH32" s="21" t="str">
        <f>IF(CY32=0,"",INDEX(nTP_Lo,CY32))</f>
        <v/>
      </c>
      <c r="DI32" s="21" t="str">
        <f>IF(CY32=0,"",INDEX(nTP_Hi,CY32))</f>
        <v/>
      </c>
      <c r="DJ32" s="21" t="str">
        <f>IF(CY32=0,"",INDEX(nTP_Original_Text,CY32))</f>
        <v/>
      </c>
      <c r="DK32" s="21" t="str">
        <f>IF(CY32=0,"",INDEX(nTP_Source,CY32))</f>
        <v/>
      </c>
      <c r="DL32" s="22">
        <f t="shared" si="30"/>
        <v>0</v>
      </c>
      <c r="DM32" s="21" t="str">
        <f t="shared" si="31"/>
        <v/>
      </c>
      <c r="DN32" s="21" t="str">
        <f t="shared" si="32"/>
        <v/>
      </c>
      <c r="DO32" s="21" t="str">
        <f t="shared" si="33"/>
        <v/>
      </c>
      <c r="DP32" s="21" t="str">
        <f t="shared" si="34"/>
        <v/>
      </c>
      <c r="DQ32" s="21" t="str">
        <f t="shared" si="35"/>
        <v/>
      </c>
      <c r="DR32" s="22">
        <f>IF(OR(DQ32="",I32=""),0,IF(ISNA(MATCH(I32,nLIST_Mode,0)),1,IF(AND(I32="C1",DQ32&lt;&gt;"C1"),1,IF(AND(I32="C2",DQ32="C4"),1,0))))</f>
        <v>0</v>
      </c>
      <c r="DS32" s="21" t="str">
        <f t="shared" si="36"/>
        <v/>
      </c>
      <c r="DT32" s="22">
        <f t="shared" si="37"/>
        <v>0</v>
      </c>
      <c r="DU32" s="21" t="str">
        <f>IF(DT32=0,"",IF(COUNTIFS(nTP_Case_Key,AX32,nTP_Record_Type,"MILESTONE:INTERVENTION",nTP_Err,"E_INVALID_DATE")&gt;0,"; E_INVALID_DATE","")&amp;IF(COUNTIFS(nTP_Case_Key,AX32,nTP_Record_Type,"MILESTONE:INTERVENTION",nTP_Err,"E_REVERSED_BOUNDS")&gt;0,"; E_REVERSED_BOUNDS","")&amp;IF(COUNTIFS(nTP_Case_Key,AX32,nTP_Record_Type,"MILESTONE:INTERVENTION",nTP_Err,"E_MISSING_INPUT")&gt;0,"; E_MISSING_INPUT","")&amp;IF(COUNTIFS(nTP_Case_Key,AX32,nTP_Record_Type,"MILESTONE:INTERVENTION",nTP_Err,"E_INVALID_UNIT")&gt;0,"; E_INVALID_UNIT",""))</f>
        <v/>
      </c>
      <c r="DV32" s="22">
        <f>IF(DT32=0,0,SUMPRODUCT((nMS_CaseKey=AX32)*(nMS_Type="INTERVENTION")*nMS_Undated))</f>
        <v>0</v>
      </c>
      <c r="DW32" s="21" t="str">
        <f t="shared" si="38"/>
        <v/>
      </c>
      <c r="DX32" s="21" t="str">
        <f t="shared" si="39"/>
        <v/>
      </c>
      <c r="DY32" s="22">
        <f t="shared" si="40"/>
        <v>1</v>
      </c>
      <c r="DZ32" s="21" t="str">
        <f t="shared" si="41"/>
        <v/>
      </c>
      <c r="EA32" s="21" t="str">
        <f t="shared" si="42"/>
        <v/>
      </c>
      <c r="EB32" s="21" t="str">
        <f t="shared" si="43"/>
        <v/>
      </c>
      <c r="EC32" s="21" t="str">
        <f t="shared" si="44"/>
        <v/>
      </c>
      <c r="ED32" s="22">
        <f t="shared" si="45"/>
        <v>0</v>
      </c>
      <c r="EE32" s="22">
        <f t="shared" si="46"/>
        <v>0</v>
      </c>
      <c r="EF32" s="21" t="str">
        <f>IF(ED32=0,"",IF(OR(NOT(ISNUMBER(L32)),NOT(ISNUMBER(M32))),"I_APPROXIMATE_NOT_COMPARED",IF(AND(N32&lt;&gt;"",ISNA(MATCH(N32,nLIST_ReportedUnit,0))),"E_INVALID_UNIT",IF(N32="","E_MISSING_INPUT",IF(L32&gt;M32,"E_REVERSED_BOUNDS",IF(OR(N32="weeks",N32="months",N32="years"),"I_APPROXIMATE_NOT_COMPARED",IF(DX32&lt;&gt;"","",IF(EE32=0,"I_APPROXIMATE_NOT_COMPARED",IF(AND(L32*EE32&lt;=IF(DS32="C4",EC32,IF(DS32="C1",DZ32,EA32)),M32*EE32&gt;=IF(DS32="C4",EB32,IF(DS32="C1",DZ32,EA32))),"OVERLAP","W_REPORTED_TIMING_CONFLICT")))))))))</f>
        <v/>
      </c>
      <c r="EG32" s="21" t="str">
        <f t="shared" si="47"/>
        <v/>
      </c>
      <c r="EH32" s="21" t="str">
        <f t="shared" si="48"/>
        <v/>
      </c>
      <c r="EI32" s="22">
        <f t="shared" si="49"/>
        <v>0</v>
      </c>
      <c r="EJ32" s="22">
        <f t="shared" si="50"/>
        <v>0</v>
      </c>
      <c r="EK32" s="22">
        <f t="shared" si="51"/>
        <v>0</v>
      </c>
      <c r="EL32" s="28" t="str">
        <f t="shared" si="52"/>
        <v/>
      </c>
      <c r="EM32" s="28" t="str">
        <f t="shared" si="53"/>
        <v/>
      </c>
      <c r="EN32" s="21" t="str">
        <f t="shared" si="54"/>
        <v/>
      </c>
      <c r="EO32" s="22">
        <f>IF(OR(DT32=0,DX32&lt;&gt;""),0,SUMPRODUCT((nTP_Case_Key=AX32)*(nTP_Record_Type="MILESTONE:INTERVENTION")*(nTP_Err="")*(nTP_HT*DD32*BN32*(nTP_OK*DE32*(nTP_UTC_n&gt;=N(DG32))+(1-nTP_OK*DE32)*(nTP_Loc_n&gt;=N(DF32)))*(nTP_OK*BO32*(nTP_UTC_n&lt;=N(BQ32))+(1-nTP_OK*BO32)*(nTP_Loc_n&lt;=N(BP32)))+(1-nTP_HT*DD32*BN32)*(nTP_Hi_n&gt;=N(DH32))*(nTP_Lo_n&lt;=N(BS32)))))</f>
        <v>0</v>
      </c>
      <c r="EP32" s="22">
        <f>IF(OR(DT32=0,DX32&lt;&gt;""),0,SUMPRODUCT((nTP_Case_Key=AX32)*(nTP_Role="treatment of the event")*((nTP_Record_Type="EXPOSURE_START")+(nTP_Record_Type="ADMINISTRATION"))*(nTP_Err="")*(nTP_HT*DD32*BN32*(nTP_OK*DE32*(nTP_UTC_n&gt;=N(DG32))+(1-nTP_OK*DE32)*(nTP_Loc_n&gt;=N(DF32)))*(nTP_OK*BO32*(nTP_UTC_n&lt;=N(BQ32))+(1-nTP_OK*BO32)*(nTP_Loc_n&lt;=N(BP32)))+(1-nTP_HT*DD32*BN32)*(nTP_Hi_n&gt;=N(DH32))*(nTP_Lo_n&lt;=N(BS32)))))</f>
        <v>0</v>
      </c>
      <c r="EQ32" s="22">
        <f>IF(EO32&lt;1,0,IFERROR(_xlfn.AGGREGATE(15,6,nTP_RowN/((nTP_Case_Key=AX32)*(nTP_Record_Type="MILESTONE:INTERVENTION")*(nTP_Err="")*(nTP_HT*DD32*BN32*(nTP_OK*DE32*(nTP_UTC_n&gt;=N(DG32))+(1-nTP_OK*DE32)*(nTP_Loc_n&gt;=N(DF32)))*(nTP_OK*BO32*(nTP_UTC_n&lt;=N(BQ32))+(1-nTP_OK*BO32)*(nTP_Loc_n&lt;=N(BP32)))+(1-nTP_HT*DD32*BN32)*(nTP_Hi_n&gt;=N(DH32))*(nTP_Lo_n&lt;=N(BS32)))),1),0))</f>
        <v>0</v>
      </c>
      <c r="ER32" s="22">
        <f>IF(EO32&lt;2,0,IFERROR(_xlfn.AGGREGATE(15,6,nTP_RowN/((nTP_Case_Key=AX32)*(nTP_Record_Type="MILESTONE:INTERVENTION")*(nTP_Err="")*(nTP_HT*DD32*BN32*(nTP_OK*DE32*(nTP_UTC_n&gt;=N(DG32))+(1-nTP_OK*DE32)*(nTP_Loc_n&gt;=N(DF32)))*(nTP_OK*BO32*(nTP_UTC_n&lt;=N(BQ32))+(1-nTP_OK*BO32)*(nTP_Loc_n&lt;=N(BP32)))+(1-nTP_HT*DD32*BN32)*(nTP_Hi_n&gt;=N(DH32))*(nTP_Lo_n&lt;=N(BS32)))),2),0))</f>
        <v>0</v>
      </c>
      <c r="ES32" s="22">
        <f>IF(EO32&lt;3,0,IFERROR(_xlfn.AGGREGATE(15,6,nTP_RowN/((nTP_Case_Key=AX32)*(nTP_Record_Type="MILESTONE:INTERVENTION")*(nTP_Err="")*(nTP_HT*DD32*BN32*(nTP_OK*DE32*(nTP_UTC_n&gt;=N(DG32))+(1-nTP_OK*DE32)*(nTP_Loc_n&gt;=N(DF32)))*(nTP_OK*BO32*(nTP_UTC_n&lt;=N(BQ32))+(1-nTP_OK*BO32)*(nTP_Loc_n&lt;=N(BP32)))+(1-nTP_HT*DD32*BN32)*(nTP_Hi_n&gt;=N(DH32))*(nTP_Lo_n&lt;=N(BS32)))),3),0))</f>
        <v>0</v>
      </c>
      <c r="ET32" s="22">
        <f>IF(EP32&lt;1,0,IFERROR(_xlfn.AGGREGATE(15,6,nTP_RowN/((nTP_Case_Key=AX32)*(nTP_Role="treatment of the event")*((nTP_Record_Type="EXPOSURE_START")+(nTP_Record_Type="ADMINISTRATION"))*(nTP_Err="")*(nTP_HT*DD32*BN32*(nTP_OK*DE32*(nTP_UTC_n&gt;=N(DG32))+(1-nTP_OK*DE32)*(nTP_Loc_n&gt;=N(DF32)))*(nTP_OK*BO32*(nTP_UTC_n&lt;=N(BQ32))+(1-nTP_OK*BO32)*(nTP_Loc_n&lt;=N(BP32)))+(1-nTP_HT*DD32*BN32)*(nTP_Hi_n&gt;=N(DH32))*(nTP_Lo_n&lt;=N(BS32)))),1),0))</f>
        <v>0</v>
      </c>
      <c r="EU32" s="22">
        <f>IF(EP32&lt;2,0,IFERROR(_xlfn.AGGREGATE(15,6,nTP_RowN/((nTP_Case_Key=AX32)*(nTP_Role="treatment of the event")*((nTP_Record_Type="EXPOSURE_START")+(nTP_Record_Type="ADMINISTRATION"))*(nTP_Err="")*(nTP_HT*DD32*BN32*(nTP_OK*DE32*(nTP_UTC_n&gt;=N(DG32))+(1-nTP_OK*DE32)*(nTP_Loc_n&gt;=N(DF32)))*(nTP_OK*BO32*(nTP_UTC_n&lt;=N(BQ32))+(1-nTP_OK*BO32)*(nTP_Loc_n&lt;=N(BP32)))+(1-nTP_HT*DD32*BN32)*(nTP_Hi_n&gt;=N(DH32))*(nTP_Lo_n&lt;=N(BS32)))),2),0))</f>
        <v>0</v>
      </c>
      <c r="EV32" s="22">
        <f>IF(EP32&lt;3,0,IFERROR(_xlfn.AGGREGATE(15,6,nTP_RowN/((nTP_Case_Key=AX32)*(nTP_Role="treatment of the event")*((nTP_Record_Type="EXPOSURE_START")+(nTP_Record_Type="ADMINISTRATION"))*(nTP_Err="")*(nTP_HT*DD32*BN32*(nTP_OK*DE32*(nTP_UTC_n&gt;=N(DG32))+(1-nTP_OK*DE32)*(nTP_Loc_n&gt;=N(DF32)))*(nTP_OK*BO32*(nTP_UTC_n&lt;=N(BQ32))+(1-nTP_OK*BO32)*(nTP_Loc_n&lt;=N(BP32)))+(1-nTP_HT*DD32*BN32)*(nTP_Hi_n&gt;=N(DH32))*(nTP_Lo_n&lt;=N(BS32)))),3),0))</f>
        <v>0</v>
      </c>
      <c r="EW32" s="22">
        <f>IF(CE32&lt;1,0,IFERROR(_xlfn.AGGREGATE(15,6,nTP_RowN/((nTP_CandKey=BX32)*(nTP_Err="")*(1-nTP_Exact)*((nTP_HT*BN32*((nTP_OK*BO32*(nTP_UTC_n-N(BQ32))+(1-nTP_OK*BO32)*(nTP_Loc_n-N(BP32)))&lt;=0)+(1-nTP_HT*BN32)*(nTP_Hi_n&lt;N(BR32)))+((1-nTP_HT*BN32)*(nTP_Lo_n=nTP_Hi_n)*(nTP_Lo_n=N(BR32))*(N(BR32)=N(BS32))))),1),0))</f>
        <v>0</v>
      </c>
      <c r="EX32" s="22">
        <f>IF(CE32&lt;2,0,IFERROR(_xlfn.AGGREGATE(15,6,nTP_RowN/((nTP_CandKey=BX32)*(nTP_Err="")*(1-nTP_Exact)*((nTP_HT*BN32*((nTP_OK*BO32*(nTP_UTC_n-N(BQ32))+(1-nTP_OK*BO32)*(nTP_Loc_n-N(BP32)))&lt;=0)+(1-nTP_HT*BN32)*(nTP_Hi_n&lt;N(BR32)))+((1-nTP_HT*BN32)*(nTP_Lo_n=nTP_Hi_n)*(nTP_Lo_n=N(BR32))*(N(BR32)=N(BS32))))),2),0))</f>
        <v>0</v>
      </c>
      <c r="EY32" s="22">
        <f>IF(CE32&lt;3,0,IFERROR(_xlfn.AGGREGATE(15,6,nTP_RowN/((nTP_CandKey=BX32)*(nTP_Err="")*(1-nTP_Exact)*((nTP_HT*BN32*((nTP_OK*BO32*(nTP_UTC_n-N(BQ32))+(1-nTP_OK*BO32)*(nTP_Loc_n-N(BP32)))&lt;=0)+(1-nTP_HT*BN32)*(nTP_Hi_n&lt;N(BR32)))+((1-nTP_HT*BN32)*(nTP_Lo_n=nTP_Hi_n)*(nTP_Lo_n=N(BR32))*(N(BR32)=N(BS32))))),3),0))</f>
        <v>0</v>
      </c>
      <c r="EZ32" s="21" t="str">
        <f>IF(EO32=0,"",MID(IF(EQ32&gt;0,"; "&amp;INDEX(nTP_Record_ID,EQ32)&amp;IF(INDEX(nTP_Label,EQ32)="",""," ("&amp;INDEX(nTP_Label,EQ32)&amp;")"),"")&amp;IF(ER32&gt;0,"; "&amp;INDEX(nTP_Record_ID,ER32)&amp;IF(INDEX(nTP_Label,ER32)="",""," ("&amp;INDEX(nTP_Label,ER32)&amp;")"),"")&amp;IF(ES32&gt;0,"; "&amp;INDEX(nTP_Record_ID,ES32)&amp;IF(INDEX(nTP_Label,ES32)="",""," ("&amp;INDEX(nTP_Label,ES32)&amp;")"),"")&amp;IF(EO32&gt;3,"; and "&amp;(EO32-3)&amp;" more",""),3,999))</f>
        <v/>
      </c>
      <c r="FA32" s="21" t="str">
        <f>IF(EO32=0,"",MID(IF(EQ32&gt;0,"; "&amp;INDEX(nTP_Record_ID,EQ32),"")&amp;IF(ER32&gt;0,"; "&amp;INDEX(nTP_Record_ID,ER32),"")&amp;IF(ES32&gt;0,"; "&amp;INDEX(nTP_Record_ID,ES32),"")&amp;IF(EO32&gt;3,"; and "&amp;(EO32-3)&amp;" more",""),3,999))</f>
        <v/>
      </c>
      <c r="FB32" s="21" t="str">
        <f>IF(EP32=0,"",MID(IF(ET32&gt;0,"; "&amp;INDEX(nTP_Record_ID,ET32)&amp;IF(INDEX(nTP_Label,ET32)="",""," ("&amp;INDEX(nTP_Label,ET32)&amp;")"),"")&amp;IF(EU32&gt;0,"; "&amp;INDEX(nTP_Record_ID,EU32)&amp;IF(INDEX(nTP_Label,EU32)="",""," ("&amp;INDEX(nTP_Label,EU32)&amp;")"),"")&amp;IF(EV32&gt;0,"; "&amp;INDEX(nTP_Record_ID,EV32)&amp;IF(INDEX(nTP_Label,EV32)="",""," ("&amp;INDEX(nTP_Label,EV32)&amp;")"),"")&amp;IF(EP32&gt;3,"; and "&amp;(EP32-3)&amp;" more",""),3,999))</f>
        <v/>
      </c>
      <c r="FC32" s="21" t="str">
        <f>IF(CE32=0,"",MID(IF(EW32&gt;0,"; "&amp;INDEX(nTP_Record_ID,EW32),"")&amp;IF(EX32&gt;0,"; "&amp;INDEX(nTP_Record_ID,EX32),"")&amp;IF(EY32&gt;0,"; "&amp;INDEX(nTP_Record_ID,EY32),"")&amp;IF(CE32&gt;3,"; and "&amp;(CE32-3)&amp;" more",""),3,999))</f>
        <v/>
      </c>
      <c r="FD32" s="22">
        <f t="shared" si="55"/>
        <v>0</v>
      </c>
      <c r="FE32" s="22">
        <f t="shared" si="56"/>
        <v>0</v>
      </c>
      <c r="FF32" s="22">
        <f t="shared" si="57"/>
        <v>0</v>
      </c>
      <c r="FG32" s="22">
        <f t="shared" si="58"/>
        <v>0</v>
      </c>
      <c r="FH32" s="22">
        <f t="shared" si="59"/>
        <v>0</v>
      </c>
      <c r="FI32" s="22">
        <f t="shared" si="60"/>
        <v>0</v>
      </c>
      <c r="FJ32" s="22">
        <f t="shared" si="61"/>
        <v>0</v>
      </c>
      <c r="FK32" s="22">
        <f t="shared" si="62"/>
        <v>0</v>
      </c>
    </row>
    <row r="33" spans="1:167" x14ac:dyDescent="0.2">
      <c r="A33" s="10"/>
      <c r="B33" s="10"/>
      <c r="C33" s="12"/>
      <c r="D33" s="10"/>
      <c r="E33" s="17"/>
      <c r="F33" s="10"/>
      <c r="G33" s="10"/>
      <c r="H33" s="10"/>
      <c r="I33" s="17"/>
      <c r="J33" s="17"/>
      <c r="K33" s="10"/>
      <c r="L33" s="17"/>
      <c r="M33" s="17"/>
      <c r="N33" s="17"/>
      <c r="O33" s="10"/>
      <c r="P33" s="15"/>
      <c r="Q33" s="15"/>
      <c r="R33" s="10"/>
      <c r="S33" s="10"/>
      <c r="T33" s="21" t="str">
        <f t="shared" si="0"/>
        <v/>
      </c>
      <c r="U33" s="21" t="str">
        <f t="shared" si="1"/>
        <v/>
      </c>
      <c r="V33" s="21" t="str">
        <f t="shared" si="2"/>
        <v/>
      </c>
      <c r="W33" s="21" t="str">
        <f t="shared" si="3"/>
        <v/>
      </c>
      <c r="X33" s="21" t="str">
        <f t="shared" si="4"/>
        <v/>
      </c>
      <c r="Y33" s="21" t="str">
        <f t="shared" si="5"/>
        <v/>
      </c>
      <c r="Z33" s="21" t="str">
        <f t="shared" si="6"/>
        <v/>
      </c>
      <c r="AA33" s="21" t="str">
        <f t="shared" si="7"/>
        <v/>
      </c>
      <c r="AB33" s="21" t="str">
        <f t="shared" si="8"/>
        <v/>
      </c>
      <c r="AC33" s="21" t="str">
        <f t="shared" si="9"/>
        <v/>
      </c>
      <c r="AD33" s="21" t="str">
        <f>IF(AW33=1,"",MID(IF(ISNUMBER(SEARCH("E_INVALID_DATE",EG33))," | E_INVALID_DATE: "&amp;SUBSTITUTE(IFERROR(INDEX(nMSG_Text,MATCH("E_INVALID_DATE",nMSG_Code,0)),""),"[input]",""),"")&amp;IF(ISNUMBER(SEARCH("E_REVERSED_BOUNDS",EG33))," | E_REVERSED_BOUNDS: "&amp;SUBSTITUTE(IFERROR(INDEX(nMSG_Text,MATCH("E_REVERSED_BOUNDS",nMSG_Code,0)),""),"[input]",""),"")&amp;IF(ISNUMBER(SEARCH("E_DUPLICATE_ID",EG33))," | E_DUPLICATE_ID: "&amp;SUBSTITUTE(IFERROR(INDEX(nMSG_Text,MATCH("E_DUPLICATE_ID",nMSG_Code,0)),""),"[input]",""),"")&amp;IF(ISNUMBER(SEARCH("E_MISSING_LINK",EG33))," | E_MISSING_LINK: "&amp;SUBSTITUTE(IFERROR(INDEX(nMSG_Text,MATCH("E_MISSING_LINK",nMSG_Code,0)),""),"[input]",""),"")&amp;IF(ISNUMBER(SEARCH("E_MISSING_INPUT",EG33))," | E_MISSING_INPUT: "&amp;SUBSTITUTE(IFERROR(INDEX(nMSG_Text,MATCH("E_MISSING_INPUT",nMSG_Code,0)),""),"[input]",IF(EH33="","an input",EH33)),"")&amp;IF(ISNUMBER(SEARCH("E_INVALID_UNIT",EG33))," | E_INVALID_UNIT: "&amp;SUBSTITUTE(IFERROR(INDEX(nMSG_Text,MATCH("E_INVALID_UNIT",nMSG_Code,0)),""),"[input]",""),"")&amp;IF(FD33=1," | W_TZ_UNKNOWN: "&amp;SUBSTITUTE(IFERROR(INDEX(nMSG_Text,MATCH("W_TZ_UNKNOWN",nMSG_Code,0)),""),"[input]",""),"")&amp;IF(FE33=1," | W_SAME_DATE_ORDER_UNKNOWN: "&amp;SUBSTITUTE(IFERROR(INDEX(nMSG_Text,MATCH("W_SAME_DATE_ORDER_UNKNOWN",nMSG_Code,0)),""),"[input]",""),"")&amp;IF(FF33=1," | W_SEQUENCE_UNCERTAIN: "&amp;SUBSTITUTE(IFERROR(INDEX(nMSG_Text,MATCH("W_SEQUENCE_UNCERTAIN",nMSG_Code,0)),""),"[input]",""),"")&amp;IF(FG33=1," | W_ADMIN_SAME_DATE_AS_ONSET: "&amp;SUBSTITUTE(IFERROR(INDEX(nMSG_Text,MATCH("W_ADMIN_SAME_DATE_AS_ONSET",nMSG_Code,0)),""),"[input]",""),"")&amp;IF(FH33=1," | W_REPORTED_TIMING_CONFLICT: "&amp;SUBSTITUTE(IFERROR(INDEX(nMSG_Text,MATCH("W_REPORTED_TIMING_CONFLICT",nMSG_Code,0)),""),"[input]",""),"")&amp;IF(FI33=1," | W_INTERVENTION_BEFORE_RECOVERY: "&amp;SUBSTITUTE(IFERROR(INDEX(nMSG_Text,MATCH("W_INTERVENTION_BEFORE_RECOVERY",nMSG_Code,0)),""),"[input]",""),"")&amp;IF(FJ33=1," | I_TREATMENT_DAY_UNDEFINED: "&amp;SUBSTITUTE(IFERROR(INDEX(nMSG_Text,MATCH("I_TREATMENT_DAY_UNDEFINED",nMSG_Code,0)),""),"[input]",""),"")&amp;IF(FK33=1," | I_APPROXIMATE_NOT_COMPARED: "&amp;SUBSTITUTE(IFERROR(INDEX(nMSG_Text,MATCH("I_APPROXIMATE_NOT_COMPARED",nMSG_Code,0)),""),"[input]",""),""),4,9999))</f>
        <v/>
      </c>
      <c r="AE33" s="21" t="str">
        <f t="shared" si="10"/>
        <v/>
      </c>
      <c r="AF33" s="21" t="str">
        <f t="shared" si="11"/>
        <v/>
      </c>
      <c r="AG33" s="21" t="str">
        <f>IF(EN33="","",MID(IF(ISNUMBER(SEARCH("E_REVERSED_BOUNDS",EN33))," | E_REVERSED_BOUNDS: "&amp;SUBSTITUTE(IFERROR(INDEX(nMSG_Text,MATCH("E_REVERSED_BOUNDS",nMSG_Code,0)),""),"[input]",""),"")&amp;IF(ISNUMBER(SEARCH("E_MISSING_INPUT",EN33))," | E_MISSING_INPUT: "&amp;SUBSTITUTE(IFERROR(INDEX(nMSG_Text,MATCH("E_MISSING_INPUT",nMSG_Code,0)),""),"[input]",IF("the source of the constraint"="","an input","the source of the constraint")),""),4,999))</f>
        <v/>
      </c>
      <c r="AH33" s="21" t="str">
        <f t="shared" si="12"/>
        <v/>
      </c>
      <c r="AI33" s="21" t="str">
        <f t="shared" si="13"/>
        <v/>
      </c>
      <c r="AJ33" s="21" t="str">
        <f t="shared" si="14"/>
        <v/>
      </c>
      <c r="AK33" s="21" t="str">
        <f t="shared" si="15"/>
        <v/>
      </c>
      <c r="AL33" s="21" t="str">
        <f>IF(CY33=0,"",INDEX(nTP_ISO,CY33))</f>
        <v/>
      </c>
      <c r="AM33" s="21" t="str">
        <f>IF(CY33=0,"",INDEX(nTP_Display,CY33))</f>
        <v/>
      </c>
      <c r="AN33" s="21" t="str">
        <f>IF(BI33=0,"",INDEX(nTP_ISO,BI33))</f>
        <v/>
      </c>
      <c r="AO33" s="21" t="str">
        <f>IF(BI33=0,"",INDEX(nTP_Display,BI33))</f>
        <v/>
      </c>
      <c r="AP33" s="21" t="str">
        <f>IF(BA33=0,"",INDEX(nLNK_Exposure_Episode_ID,BA33)&amp;"")</f>
        <v/>
      </c>
      <c r="AQ33" s="21" t="str">
        <f>IF(BA33=0,"",INDEX(nLNK_Event_Episode_ID,BA33)&amp;"")</f>
        <v/>
      </c>
      <c r="AR33" s="21" t="str">
        <f t="shared" si="16"/>
        <v/>
      </c>
      <c r="AS33" s="21" t="str">
        <f>IF(EI33=0,"",MID(IF(DT33=1," | Recovery interval (C7) computed with "&amp;DS33&amp;".","")&amp;IF(BG33=1," | Anchor selected under C5 (CALC-SPEC 1.1): latest administration with an exact date or time at or before "&amp;IF(BH33=1,"onset","the end point")&amp;" ("&amp;AJ33&amp;"), ordered in UTC when offsets are known; later administrations are never selected.","")&amp;IF(AND(BG33=1,CE33&gt;0)," | Partial-date administrations wholly before the selected one were not candidates: "&amp;FC33&amp;".","")&amp;IF(BV33&lt;&gt;""," | "&amp;BV33,"")&amp;IF(AND(DS33="C2",EA33=0,DZ33&lt;&gt;"")," | Same calendar date; both times are known, so C1 decides the order ("&amp;AA33&amp;").","")&amp;IF(AND(DS33="C2",DD33*BN33=1,DT33=0)," | Calendar-date difference from the recorded local dates; it is never described as elapsed days.","")&amp;IF(AND(DS33="C4",DT33=0)," | Bounds are treated as independent; no single date is imputed from them.","")&amp;IF(EJ33=1," | Treatment day under the inclusive convention (C3); never written to E2B fields automatically.","")&amp;IF(AND(DS33="C4",DT33=0,EK33=0)," | No constraint applied.","")&amp;IF(AND(DS33="C4",EK33=1)," | Constraint applied to the anchor bounds: "&amp;IF(ISNUMBER(P33),"not before "&amp;DAY(P33)&amp;" "&amp;INDEX(nLIST_Months,MONTH(P33))&amp;" "&amp;YEAR(P33),"")&amp;IF(AND(ISNUMBER(P33),ISNUMBER(Q33)),", ","")&amp;IF(ISNUMBER(Q33),"not after "&amp;DAY(Q33)&amp;" "&amp;INDEX(nLIST_Months,MONTH(Q33))&amp;" "&amp;YEAR(Q33),"")&amp;". Source: "&amp;IF(R33="","not recorded",R33)&amp;IF(EN33="",". Constrained result shown beside the unconstrained one.",". Constrained result blocked ("&amp;EN33&amp;")."),"")&amp;IF(DT33=1,IF(EO33&gt;0," | Intervention recorded between cessation and recovery (ends included): "&amp;EZ33&amp;"."," | No intervention is recorded between cessation and recovery; absence of a record is not evidence that none was given."),"")&amp;IF(AND(DT33=1,DV33&gt;0)," | Intervention recorded without a date, so whether it came before recovery is unknown: "&amp;INDEX(nMS_Milestone_ID,MATCH(1,INDEX((nMS_CaseKey=AX33)*(nMS_Type="INTERVENTION")*nMS_Undated,0),0))&amp;IF(DV33&gt;1," and "&amp;(DV33-1)&amp;" more","")&amp;".","")&amp;IF(AND(DT33=1,EP33&gt;0)," | Not counted as interventions, because they are recorded as exposures rather than as intervention milestones (nothing is inferred): "&amp;FB33&amp;". If treatment was given, record it as an intervention milestone.",""),4,9999))</f>
        <v/>
      </c>
      <c r="AT33" s="21" t="str">
        <f t="shared" si="17"/>
        <v/>
      </c>
      <c r="AU33" s="21" t="str">
        <f t="shared" si="18"/>
        <v/>
      </c>
      <c r="AV33" s="21" t="str">
        <f t="shared" si="19"/>
        <v/>
      </c>
      <c r="AW33" s="22">
        <f t="shared" si="20"/>
        <v>1</v>
      </c>
      <c r="AX33" s="21" t="str">
        <f t="shared" si="21"/>
        <v>|</v>
      </c>
      <c r="AY33" s="21" t="str">
        <f t="shared" si="22"/>
        <v/>
      </c>
      <c r="AZ33" s="22">
        <f>IF(AY33="",0,COUNTIF(nINT_Key,AY33))</f>
        <v>0</v>
      </c>
      <c r="BA33" s="22">
        <f>IF(D33="",0,IFERROR(MATCH(AX33&amp;"|"&amp;D33,nLNK_Key,0),0))</f>
        <v>0</v>
      </c>
      <c r="BB33" s="22">
        <f>IF(BA33=0,1,INDEX(nLNK_Exp_Found,BA33))</f>
        <v>1</v>
      </c>
      <c r="BC33" s="22">
        <f>IF(BA33=0,1,INDEX(nLNK_Evt_Found,BA33))</f>
        <v>1</v>
      </c>
      <c r="BD33" s="22">
        <f>IF(AP33="",0,COUNTIF(nEXP_Key,AX33&amp;"|"&amp;AP33))</f>
        <v>0</v>
      </c>
      <c r="BE33" s="22">
        <f>IF(AQ33="",0,COUNTIF(nEVT_Key,AX33&amp;"|"&amp;AQ33))</f>
        <v>0</v>
      </c>
      <c r="BF33" s="22">
        <f>IF(ISNA(MATCH(E33,nLIST_AnchorType,0)),0,1)</f>
        <v>0</v>
      </c>
      <c r="BG33" s="22">
        <f t="shared" si="23"/>
        <v>0</v>
      </c>
      <c r="BH33" s="22">
        <f t="shared" si="24"/>
        <v>0</v>
      </c>
      <c r="BI33" s="22">
        <f>IF(OR(AW33=1,AK33=""),0,IFERROR(MATCH(AX33&amp;"|"&amp;AK33,nTP_Key,0),0))</f>
        <v>0</v>
      </c>
      <c r="BJ33" s="21">
        <f>IF(BI33=0,0,INDEX(nTP_Dup,BI33))</f>
        <v>0</v>
      </c>
      <c r="BK33" s="21" t="str">
        <f>IF(BI33=0,"",INDEX(nTP_Record_Type,BI33))</f>
        <v/>
      </c>
      <c r="BL33" s="21" t="str">
        <f>IF(BI33=0,"",INDEX(nTP_Precision,BI33))</f>
        <v/>
      </c>
      <c r="BM33" s="21" t="str">
        <f>IF(BI33=0,"",INDEX(nTP_Err,BI33))</f>
        <v/>
      </c>
      <c r="BN33" s="21">
        <f>IF(BI33=0,0,INDEX(nTP_HT,BI33))</f>
        <v>0</v>
      </c>
      <c r="BO33" s="21">
        <f>IF(BI33=0,0,INDEX(nTP_OK,BI33))</f>
        <v>0</v>
      </c>
      <c r="BP33" s="21" t="str">
        <f>IF(BI33=0,"",INDEX(nTP_Loc,BI33))</f>
        <v/>
      </c>
      <c r="BQ33" s="21" t="str">
        <f>IF(BI33=0,"",INDEX(nTP_UTC,BI33))</f>
        <v/>
      </c>
      <c r="BR33" s="21" t="str">
        <f>IF(BI33=0,"",INDEX(nTP_Lo,BI33))</f>
        <v/>
      </c>
      <c r="BS33" s="21" t="str">
        <f>IF(BI33=0,"",INDEX(nTP_Hi,BI33))</f>
        <v/>
      </c>
      <c r="BT33" s="21" t="str">
        <f>IF(BI33=0,"",INDEX(nTP_Original_Text,BI33))</f>
        <v/>
      </c>
      <c r="BU33" s="21" t="str">
        <f>IF(BI33=0,"",INDEX(nTP_Source,BI33))</f>
        <v/>
      </c>
      <c r="BV33" s="21" t="str">
        <f>IF(BI33=0,"",INDEX(nTP_Lab_Note,BI33))</f>
        <v/>
      </c>
      <c r="BW33" s="22">
        <f t="shared" si="25"/>
        <v>0</v>
      </c>
      <c r="BX33" s="21" t="str">
        <f t="shared" si="26"/>
        <v>||</v>
      </c>
      <c r="BY33" s="22">
        <f>IF(BG33=0,0,COUNTIF(nTP_CandKey,BX33))</f>
        <v>0</v>
      </c>
      <c r="BZ33" s="22">
        <f>IF(BG33=0,0,COUNTIFS(nTP_CandKey,BX33,nTP_Err,""))</f>
        <v>0</v>
      </c>
      <c r="CA33" s="21" t="str">
        <f>IF(BY33=BZ33,"",IF(COUNTIFS(nTP_CandKey,BX33,nTP_Err,"E_INVALID_DATE")&gt;0,"; E_INVALID_DATE","")&amp;IF(COUNTIFS(nTP_CandKey,BX33,nTP_Err,"E_REVERSED_BOUNDS")&gt;0,"; E_REVERSED_BOUNDS","")&amp;IF(COUNTIFS(nTP_CandKey,BX33,nTP_Err,"E_MISSING_INPUT")&gt;0,"; E_MISSING_INPUT","")&amp;IF(COUNTIFS(nTP_CandKey,BX33,nTP_Err,"E_INVALID_UNIT")&gt;0,"; E_INVALID_UNIT",""))</f>
        <v/>
      </c>
      <c r="CB33" s="22">
        <f t="shared" si="27"/>
        <v>0</v>
      </c>
      <c r="CC33" s="22">
        <f>IF(CB33=0,0,SUMPRODUCT((nTP_CandKey=BX33)*(nTP_Err="")*(1-(nTP_HT*BN33*((nTP_OK*BO33*(nTP_UTC_n-N(BQ33))+(1-nTP_OK*BO33)*(nTP_Loc_n-N(BP33)))&lt;=0)+(1-nTP_HT*BN33)*(nTP_Hi_n&lt;N(BR33)))-(nTP_HT*BN33*((nTP_OK*BO33*(nTP_UTC_n-N(BQ33))+(1-nTP_OK*BO33)*(nTP_Loc_n-N(BP33)))&gt;0)+(1-nTP_HT*BN33)*(nTP_Lo_n&gt;N(BS33)))-((1-nTP_HT*BN33)*(nTP_Lo_n=nTP_Hi_n)*(nTP_Lo_n=N(BR33))*(N(BR33)=N(BS33))))))</f>
        <v>0</v>
      </c>
      <c r="CD33" s="22">
        <f>IF(CB33=0,0,SUMPRODUCT((nTP_CandKey=BX33)*nTP_Exact*((nTP_HT*BN33*((nTP_OK*BO33*(nTP_UTC_n-N(BQ33))+(1-nTP_OK*BO33)*(nTP_Loc_n-N(BP33)))&lt;=0)+(1-nTP_HT*BN33)*(nTP_Hi_n&lt;N(BR33)))+((1-nTP_HT*BN33)*(nTP_Lo_n=nTP_Hi_n)*(nTP_Lo_n=N(BR33))*(N(BR33)=N(BS33))))))</f>
        <v>0</v>
      </c>
      <c r="CE33" s="22">
        <f>IF(CB33=0,0,SUMPRODUCT((nTP_CandKey=BX33)*(nTP_Err="")*(1-nTP_Exact)*((nTP_HT*BN33*((nTP_OK*BO33*(nTP_UTC_n-N(BQ33))+(1-nTP_OK*BO33)*(nTP_Loc_n-N(BP33)))&lt;=0)+(1-nTP_HT*BN33)*(nTP_Hi_n&lt;N(BR33)))+((1-nTP_HT*BN33)*(nTP_Lo_n=nTP_Hi_n)*(nTP_Lo_n=N(BR33))*(N(BR33)=N(BS33))))))</f>
        <v>0</v>
      </c>
      <c r="CF33" s="22">
        <f>IF(CD33=0,0,SUMPRODUCT(MAX((nTP_CandKey=BX33)*nTP_Exact*((nTP_HT*BN33*((nTP_OK*BO33*(nTP_UTC_n-N(BQ33))+(1-nTP_OK*BO33)*(nTP_Loc_n-N(BP33)))&lt;=0)+(1-nTP_HT*BN33)*(nTP_Hi_n&lt;N(BR33)))+((1-nTP_HT*BN33)*(nTP_Lo_n=nTP_Hi_n)*(nTP_Lo_n=N(BR33))*(N(BR33)=N(BS33))))*nTP_Lo_n)))</f>
        <v>0</v>
      </c>
      <c r="CG33" s="22">
        <f>IF(CD33=0,0,SUMPRODUCT((nTP_CandKey=BX33)*nTP_Exact*((nTP_HT*BN33*((nTP_OK*BO33*(nTP_UTC_n-N(BQ33))+(1-nTP_OK*BO33)*(nTP_Loc_n-N(BP33)))&lt;=0)+(1-nTP_HT*BN33)*(nTP_Hi_n&lt;N(BR33)))+((1-nTP_HT*BN33)*(nTP_Lo_n=nTP_Hi_n)*(nTP_Lo_n=N(BR33))*(N(BR33)=N(BS33))))*(nTP_Lo_n=CF33)))</f>
        <v>0</v>
      </c>
      <c r="CH33" s="22">
        <f>IF(CD33=0,0,SUMPRODUCT((nTP_CandKey=BX33)*nTP_Exact*((nTP_HT*BN33*((nTP_OK*BO33*(nTP_UTC_n-N(BQ33))+(1-nTP_OK*BO33)*(nTP_Loc_n-N(BP33)))&lt;=0)+(1-nTP_HT*BN33)*(nTP_Hi_n&lt;N(BR33)))+((1-nTP_HT*BN33)*(nTP_Lo_n=nTP_Hi_n)*(nTP_Lo_n=N(BR33))*(N(BR33)=N(BS33))))*(1-nTP_HT)*(nTP_Lo_n=CF33)))</f>
        <v>0</v>
      </c>
      <c r="CI33" s="22">
        <f>IF(CD33=0,0,SUMPRODUCT(MAX((nTP_CandKey=BX33)*nTP_Exact*((nTP_HT*BN33*((nTP_OK*BO33*(nTP_UTC_n-N(BQ33))+(1-nTP_OK*BO33)*(nTP_Loc_n-N(BP33)))&lt;=0)+(1-nTP_HT*BN33)*(nTP_Hi_n&lt;N(BR33)))+((1-nTP_HT*BN33)*(nTP_Lo_n=nTP_Hi_n)*(nTP_Lo_n=N(BR33))*(N(BR33)=N(BS33))))*(1-nTP_HT)*nTP_Lo_n)))</f>
        <v>0</v>
      </c>
      <c r="CJ33" s="22">
        <f>IF(CD33=0,0,SUMPRODUCT(MAX((nTP_CandKey=BX33)*nTP_Exact*((nTP_HT*BN33*((nTP_OK*BO33*(nTP_UTC_n-N(BQ33))+(1-nTP_OK*BO33)*(nTP_Loc_n-N(BP33)))&lt;=0)+(1-nTP_HT*BN33)*(nTP_Hi_n&lt;N(BR33)))+((1-nTP_HT*BN33)*(nTP_Lo_n=nTP_Hi_n)*(nTP_Lo_n=N(BR33))*(N(BR33)=N(BS33))))*nTP_HT*nTP_OK*nTP_UTC_n)))</f>
        <v>0</v>
      </c>
      <c r="CK33" s="22">
        <f>IF(CJ33=0,0,SUMPRODUCT((nTP_CandKey=BX33)*nTP_Exact*((nTP_HT*BN33*((nTP_OK*BO33*(nTP_UTC_n-N(BQ33))+(1-nTP_OK*BO33)*(nTP_Loc_n-N(BP33)))&lt;=0)+(1-nTP_HT*BN33)*(nTP_Hi_n&lt;N(BR33)))+((1-nTP_HT*BN33)*(nTP_Lo_n=nTP_Hi_n)*(nTP_Lo_n=N(BR33))*(N(BR33)=N(BS33))))*nTP_HT*nTP_OK*(nTP_UTC_n=CJ33)))</f>
        <v>0</v>
      </c>
      <c r="CL33" s="22">
        <f>IF(CK33&lt;&gt;1,0,SUMPRODUCT((nTP_CandKey=BX33)*nTP_Exact*((nTP_HT*BN33*((nTP_OK*BO33*(nTP_UTC_n-N(BQ33))+(1-nTP_OK*BO33)*(nTP_Loc_n-N(BP33)))&lt;=0)+(1-nTP_HT*BN33)*(nTP_Hi_n&lt;N(BR33)))+((1-nTP_HT*BN33)*(nTP_Lo_n=nTP_Hi_n)*(nTP_Lo_n=N(BR33))*(N(BR33)=N(BS33))))*nTP_HT*nTP_OK*(nTP_UTC_n=CJ33)*nTP_Loc_n))</f>
        <v>0</v>
      </c>
      <c r="CM33" s="22">
        <f>IF(CK33&lt;&gt;1,0,SUMPRODUCT((nTP_CandKey=BX33)*nTP_Exact*((nTP_HT*BN33*((nTP_OK*BO33*(nTP_UTC_n-N(BQ33))+(1-nTP_OK*BO33)*(nTP_Loc_n-N(BP33)))&lt;=0)+(1-nTP_HT*BN33)*(nTP_Hi_n&lt;N(BR33)))+((1-nTP_HT*BN33)*(nTP_Lo_n=nTP_Hi_n)*(nTP_Lo_n=N(BR33))*(N(BR33)=N(BS33))))*nTP_HT*nTP_OK*(nTP_UTC_n=CJ33)*nTP_Lo_n))</f>
        <v>0</v>
      </c>
      <c r="CN33" s="22">
        <f>IF(CD33=0,0,SUMPRODUCT(MAX((nTP_CandKey=BX33)*nTP_Exact*((nTP_HT*BN33*((nTP_OK*BO33*(nTP_UTC_n-N(BQ33))+(1-nTP_OK*BO33)*(nTP_Loc_n-N(BP33)))&lt;=0)+(1-nTP_HT*BN33)*(nTP_Hi_n&lt;N(BR33)))+((1-nTP_HT*BN33)*(nTP_Lo_n=nTP_Hi_n)*(nTP_Lo_n=N(BR33))*(N(BR33)=N(BS33))))*nTP_HT*(1-nTP_OK)*nTP_Loc_n)))</f>
        <v>0</v>
      </c>
      <c r="CO33" s="22">
        <f>IF(CN33=0,0,SUMPRODUCT((nTP_CandKey=BX33)*nTP_Exact*((nTP_HT*BN33*((nTP_OK*BO33*(nTP_UTC_n-N(BQ33))+(1-nTP_OK*BO33)*(nTP_Loc_n-N(BP33)))&lt;=0)+(1-nTP_HT*BN33)*(nTP_Hi_n&lt;N(BR33)))+((1-nTP_HT*BN33)*(nTP_Lo_n=nTP_Hi_n)*(nTP_Lo_n=N(BR33))*(N(BR33)=N(BS33))))*nTP_HT*(1-nTP_OK)*(nTP_Loc_n=CN33)))</f>
        <v>0</v>
      </c>
      <c r="CP33" s="22">
        <f>IF(CO33&lt;&gt;1,0,SUMPRODUCT((nTP_CandKey=BX33)*nTP_Exact*((nTP_HT*BN33*((nTP_OK*BO33*(nTP_UTC_n-N(BQ33))+(1-nTP_OK*BO33)*(nTP_Loc_n-N(BP33)))&lt;=0)+(1-nTP_HT*BN33)*(nTP_Hi_n&lt;N(BR33)))+((1-nTP_HT*BN33)*(nTP_Lo_n=nTP_Hi_n)*(nTP_Lo_n=N(BR33))*(N(BR33)=N(BS33))))*nTP_HT*(1-nTP_OK)*(nTP_Loc_n=CN33)*nTP_Lo_n))</f>
        <v>0</v>
      </c>
      <c r="CQ33" s="22">
        <f>IF(CD33=0,0,SUMPRODUCT(MAX((nTP_CandKey=BX33)*nTP_Exact*((nTP_HT*BN33*((nTP_OK*BO33*(nTP_UTC_n-N(BQ33))+(1-nTP_OK*BO33)*(nTP_Loc_n-N(BP33)))&lt;=0)+(1-nTP_HT*BN33)*(nTP_Hi_n&lt;N(BR33)))+((1-nTP_HT*BN33)*(nTP_Lo_n=nTP_Hi_n)*(nTP_Lo_n=N(BR33))*(N(BR33)=N(BS33))))*nTP_HT*nTP_OK*nTP_Loc_n)))</f>
        <v>0</v>
      </c>
      <c r="CR33" s="22">
        <f t="shared" si="28"/>
        <v>0</v>
      </c>
      <c r="CS33" s="22">
        <f>IF(CR33=0,0,IF(CR33=1,MATCH(1,INDEX((nTP_CandKey=BX33)*nTP_Exact*((nTP_HT*BN33*((nTP_OK*BO33*(nTP_UTC_n-N(BQ33))+(1-nTP_OK*BO33)*(nTP_Loc_n-N(BP33)))&lt;=0)+(1-nTP_HT*BN33)*(nTP_Hi_n&lt;N(BR33)))+((1-nTP_HT*BN33)*(nTP_Lo_n=nTP_Hi_n)*(nTP_Lo_n=N(BR33))*(N(BR33)=N(BS33))))*(1-nTP_HT)*(nTP_Lo_n=CF33),0),0),IF(CR33=2,MATCH(1,INDEX((nTP_CandKey=BX33)*nTP_Exact*((nTP_HT*BN33*((nTP_OK*BO33*(nTP_UTC_n-N(BQ33))+(1-nTP_OK*BO33)*(nTP_Loc_n-N(BP33)))&lt;=0)+(1-nTP_HT*BN33)*(nTP_Hi_n&lt;N(BR33)))+((1-nTP_HT*BN33)*(nTP_Lo_n=nTP_Hi_n)*(nTP_Lo_n=N(BR33))*(N(BR33)=N(BS33))))*nTP_HT*nTP_OK*(nTP_UTC_n=CJ33),0),0),MATCH(1,INDEX((nTP_CandKey=BX33)*nTP_Exact*((nTP_HT*BN33*((nTP_OK*BO33*(nTP_UTC_n-N(BQ33))+(1-nTP_OK*BO33)*(nTP_Loc_n-N(BP33)))&lt;=0)+(1-nTP_HT*BN33)*(nTP_Hi_n&lt;N(BR33)))+((1-nTP_HT*BN33)*(nTP_Lo_n=nTP_Hi_n)*(nTP_Lo_n=N(BR33))*(N(BR33)=N(BS33))))*nTP_HT*(1-nTP_OK)*(nTP_Loc_n=CN33),0),0))))</f>
        <v>0</v>
      </c>
      <c r="CT33" s="22">
        <f>IF(CS33=0,0,INDEX(nTP_Lo_n,CS33))</f>
        <v>0</v>
      </c>
      <c r="CU33" s="22">
        <f>IF(CS33=0,0,SUMPRODUCT((nTP_CandKey=BX33)*(nTP_Err="")*(1-nTP_Exact)*((nTP_HT*BN33*((nTP_OK*BO33*(nTP_UTC_n-N(BQ33))+(1-nTP_OK*BO33)*(nTP_Loc_n-N(BP33)))&lt;=0)+(1-nTP_HT*BN33)*(nTP_Hi_n&lt;N(BR33)))+((1-nTP_HT*BN33)*(nTP_Lo_n=nTP_Hi_n)*(nTP_Lo_n=N(BR33))*(N(BR33)=N(BS33))))*(nTP_Hi_n&gt;=CT33)))</f>
        <v>0</v>
      </c>
      <c r="CV33" s="21" t="str">
        <f t="shared" si="29"/>
        <v/>
      </c>
      <c r="CW33" s="21" t="str">
        <f>IF(AND(BG33=1,CB33=1,CV33="",CS33&gt;0),INDEX(nTP_Record_ID,CS33)&amp;"","")</f>
        <v/>
      </c>
      <c r="CX33" s="21" t="str">
        <f>IF(OR(CV33="",BG33=0),"",IF(CV33="none","an administration record (last dose before onset)",IF(CV33="uncertain","the anchor record: "&amp;INDEX(nTP_Record_ID,MATCH(1,INDEX((nTP_CandKey=BX33)*(nTP_Err="")*(1-(nTP_HT*BN33*((nTP_OK*BO33*(nTP_UTC_n-N(BQ33))+(1-nTP_OK*BO33)*(nTP_Loc_n-N(BP33)))&lt;=0)+(1-nTP_HT*BN33)*(nTP_Hi_n&lt;N(BR33)))-(nTP_HT*BN33*((nTP_OK*BO33*(nTP_UTC_n-N(BQ33))+(1-nTP_OK*BO33)*(nTP_Loc_n-N(BP33)))&gt;0)+(1-nTP_HT*BN33)*(nTP_Lo_n&gt;N(BS33)))-((1-nTP_HT*BN33)*(nTP_Lo_n=nTP_Hi_n)*(nTP_Lo_n=N(BR33))*(N(BR33)=N(BS33)))),0),0))&amp;IF(CC33&gt;1," and "&amp;(CC33-1)&amp;" more","")&amp;" may fall before or after the end point, so the last dose cannot be identified from the recorded dates",IF(CV33="noneligible","the anchor record: no administration with an exact date is recorded at or before the end point",IF(CV33="tie","the anchor record: the order of the latest administrations cannot be told from the recorded dates and times","the anchor record: partial-date administration "&amp;INDEX(nTP_Record_ID,MATCH(1,INDEX((nTP_CandKey=BX33)*(nTP_Err="")*(1-nTP_Exact)*((nTP_HT*BN33*((nTP_OK*BO33*(nTP_UTC_n-N(BQ33))+(1-nTP_OK*BO33)*(nTP_Loc_n-N(BP33)))&lt;=0)+(1-nTP_HT*BN33)*(nTP_Hi_n&lt;N(BR33)))+((1-nTP_HT*BN33)*(nTP_Lo_n=nTP_Hi_n)*(nTP_Lo_n=N(BR33))*(N(BR33)=N(BS33))))*(nTP_Hi_n&gt;=CT33),0),0))&amp;" could be the last dose before the end point")))))</f>
        <v/>
      </c>
      <c r="CY33" s="22">
        <f>IF(OR(AW33=1,AJ33=""),0,IFERROR(MATCH(AX33&amp;"|"&amp;AJ33,nTP_Key,0),0))</f>
        <v>0</v>
      </c>
      <c r="CZ33" s="21">
        <f>IF(CY33=0,0,INDEX(nTP_Dup,CY33))</f>
        <v>0</v>
      </c>
      <c r="DA33" s="21" t="str">
        <f>IF(CY33=0,"",INDEX(nTP_Record_Type,CY33))</f>
        <v/>
      </c>
      <c r="DB33" s="21" t="str">
        <f>IF(CY33=0,"",INDEX(nTP_Precision,CY33))</f>
        <v/>
      </c>
      <c r="DC33" s="21" t="str">
        <f>IF(CY33=0,"",INDEX(nTP_Err,CY33))</f>
        <v/>
      </c>
      <c r="DD33" s="21">
        <f>IF(CY33=0,0,INDEX(nTP_HT,CY33))</f>
        <v>0</v>
      </c>
      <c r="DE33" s="21">
        <f>IF(CY33=0,0,INDEX(nTP_OK,CY33))</f>
        <v>0</v>
      </c>
      <c r="DF33" s="21" t="str">
        <f>IF(CY33=0,"",INDEX(nTP_Loc,CY33))</f>
        <v/>
      </c>
      <c r="DG33" s="21" t="str">
        <f>IF(CY33=0,"",INDEX(nTP_UTC,CY33))</f>
        <v/>
      </c>
      <c r="DH33" s="21" t="str">
        <f>IF(CY33=0,"",INDEX(nTP_Lo,CY33))</f>
        <v/>
      </c>
      <c r="DI33" s="21" t="str">
        <f>IF(CY33=0,"",INDEX(nTP_Hi,CY33))</f>
        <v/>
      </c>
      <c r="DJ33" s="21" t="str">
        <f>IF(CY33=0,"",INDEX(nTP_Original_Text,CY33))</f>
        <v/>
      </c>
      <c r="DK33" s="21" t="str">
        <f>IF(CY33=0,"",INDEX(nTP_Source,CY33))</f>
        <v/>
      </c>
      <c r="DL33" s="22">
        <f t="shared" si="30"/>
        <v>0</v>
      </c>
      <c r="DM33" s="21" t="str">
        <f t="shared" si="31"/>
        <v/>
      </c>
      <c r="DN33" s="21" t="str">
        <f t="shared" si="32"/>
        <v/>
      </c>
      <c r="DO33" s="21" t="str">
        <f t="shared" si="33"/>
        <v/>
      </c>
      <c r="DP33" s="21" t="str">
        <f t="shared" si="34"/>
        <v/>
      </c>
      <c r="DQ33" s="21" t="str">
        <f t="shared" si="35"/>
        <v/>
      </c>
      <c r="DR33" s="22">
        <f>IF(OR(DQ33="",I33=""),0,IF(ISNA(MATCH(I33,nLIST_Mode,0)),1,IF(AND(I33="C1",DQ33&lt;&gt;"C1"),1,IF(AND(I33="C2",DQ33="C4"),1,0))))</f>
        <v>0</v>
      </c>
      <c r="DS33" s="21" t="str">
        <f t="shared" si="36"/>
        <v/>
      </c>
      <c r="DT33" s="22">
        <f t="shared" si="37"/>
        <v>0</v>
      </c>
      <c r="DU33" s="21" t="str">
        <f>IF(DT33=0,"",IF(COUNTIFS(nTP_Case_Key,AX33,nTP_Record_Type,"MILESTONE:INTERVENTION",nTP_Err,"E_INVALID_DATE")&gt;0,"; E_INVALID_DATE","")&amp;IF(COUNTIFS(nTP_Case_Key,AX33,nTP_Record_Type,"MILESTONE:INTERVENTION",nTP_Err,"E_REVERSED_BOUNDS")&gt;0,"; E_REVERSED_BOUNDS","")&amp;IF(COUNTIFS(nTP_Case_Key,AX33,nTP_Record_Type,"MILESTONE:INTERVENTION",nTP_Err,"E_MISSING_INPUT")&gt;0,"; E_MISSING_INPUT","")&amp;IF(COUNTIFS(nTP_Case_Key,AX33,nTP_Record_Type,"MILESTONE:INTERVENTION",nTP_Err,"E_INVALID_UNIT")&gt;0,"; E_INVALID_UNIT",""))</f>
        <v/>
      </c>
      <c r="DV33" s="22">
        <f>IF(DT33=0,0,SUMPRODUCT((nMS_CaseKey=AX33)*(nMS_Type="INTERVENTION")*nMS_Undated))</f>
        <v>0</v>
      </c>
      <c r="DW33" s="21" t="str">
        <f t="shared" si="38"/>
        <v/>
      </c>
      <c r="DX33" s="21" t="str">
        <f t="shared" si="39"/>
        <v/>
      </c>
      <c r="DY33" s="22">
        <f t="shared" si="40"/>
        <v>1</v>
      </c>
      <c r="DZ33" s="21" t="str">
        <f t="shared" si="41"/>
        <v/>
      </c>
      <c r="EA33" s="21" t="str">
        <f t="shared" si="42"/>
        <v/>
      </c>
      <c r="EB33" s="21" t="str">
        <f t="shared" si="43"/>
        <v/>
      </c>
      <c r="EC33" s="21" t="str">
        <f t="shared" si="44"/>
        <v/>
      </c>
      <c r="ED33" s="22">
        <f t="shared" si="45"/>
        <v>0</v>
      </c>
      <c r="EE33" s="22">
        <f t="shared" si="46"/>
        <v>0</v>
      </c>
      <c r="EF33" s="21" t="str">
        <f>IF(ED33=0,"",IF(OR(NOT(ISNUMBER(L33)),NOT(ISNUMBER(M33))),"I_APPROXIMATE_NOT_COMPARED",IF(AND(N33&lt;&gt;"",ISNA(MATCH(N33,nLIST_ReportedUnit,0))),"E_INVALID_UNIT",IF(N33="","E_MISSING_INPUT",IF(L33&gt;M33,"E_REVERSED_BOUNDS",IF(OR(N33="weeks",N33="months",N33="years"),"I_APPROXIMATE_NOT_COMPARED",IF(DX33&lt;&gt;"","",IF(EE33=0,"I_APPROXIMATE_NOT_COMPARED",IF(AND(L33*EE33&lt;=IF(DS33="C4",EC33,IF(DS33="C1",DZ33,EA33)),M33*EE33&gt;=IF(DS33="C4",EB33,IF(DS33="C1",DZ33,EA33))),"OVERLAP","W_REPORTED_TIMING_CONFLICT")))))))))</f>
        <v/>
      </c>
      <c r="EG33" s="21" t="str">
        <f t="shared" si="47"/>
        <v/>
      </c>
      <c r="EH33" s="21" t="str">
        <f t="shared" si="48"/>
        <v/>
      </c>
      <c r="EI33" s="22">
        <f t="shared" si="49"/>
        <v>0</v>
      </c>
      <c r="EJ33" s="22">
        <f t="shared" si="50"/>
        <v>0</v>
      </c>
      <c r="EK33" s="22">
        <f t="shared" si="51"/>
        <v>0</v>
      </c>
      <c r="EL33" s="28" t="str">
        <f t="shared" si="52"/>
        <v/>
      </c>
      <c r="EM33" s="28" t="str">
        <f t="shared" si="53"/>
        <v/>
      </c>
      <c r="EN33" s="21" t="str">
        <f t="shared" si="54"/>
        <v/>
      </c>
      <c r="EO33" s="22">
        <f>IF(OR(DT33=0,DX33&lt;&gt;""),0,SUMPRODUCT((nTP_Case_Key=AX33)*(nTP_Record_Type="MILESTONE:INTERVENTION")*(nTP_Err="")*(nTP_HT*DD33*BN33*(nTP_OK*DE33*(nTP_UTC_n&gt;=N(DG33))+(1-nTP_OK*DE33)*(nTP_Loc_n&gt;=N(DF33)))*(nTP_OK*BO33*(nTP_UTC_n&lt;=N(BQ33))+(1-nTP_OK*BO33)*(nTP_Loc_n&lt;=N(BP33)))+(1-nTP_HT*DD33*BN33)*(nTP_Hi_n&gt;=N(DH33))*(nTP_Lo_n&lt;=N(BS33)))))</f>
        <v>0</v>
      </c>
      <c r="EP33" s="22">
        <f>IF(OR(DT33=0,DX33&lt;&gt;""),0,SUMPRODUCT((nTP_Case_Key=AX33)*(nTP_Role="treatment of the event")*((nTP_Record_Type="EXPOSURE_START")+(nTP_Record_Type="ADMINISTRATION"))*(nTP_Err="")*(nTP_HT*DD33*BN33*(nTP_OK*DE33*(nTP_UTC_n&gt;=N(DG33))+(1-nTP_OK*DE33)*(nTP_Loc_n&gt;=N(DF33)))*(nTP_OK*BO33*(nTP_UTC_n&lt;=N(BQ33))+(1-nTP_OK*BO33)*(nTP_Loc_n&lt;=N(BP33)))+(1-nTP_HT*DD33*BN33)*(nTP_Hi_n&gt;=N(DH33))*(nTP_Lo_n&lt;=N(BS33)))))</f>
        <v>0</v>
      </c>
      <c r="EQ33" s="22">
        <f>IF(EO33&lt;1,0,IFERROR(_xlfn.AGGREGATE(15,6,nTP_RowN/((nTP_Case_Key=AX33)*(nTP_Record_Type="MILESTONE:INTERVENTION")*(nTP_Err="")*(nTP_HT*DD33*BN33*(nTP_OK*DE33*(nTP_UTC_n&gt;=N(DG33))+(1-nTP_OK*DE33)*(nTP_Loc_n&gt;=N(DF33)))*(nTP_OK*BO33*(nTP_UTC_n&lt;=N(BQ33))+(1-nTP_OK*BO33)*(nTP_Loc_n&lt;=N(BP33)))+(1-nTP_HT*DD33*BN33)*(nTP_Hi_n&gt;=N(DH33))*(nTP_Lo_n&lt;=N(BS33)))),1),0))</f>
        <v>0</v>
      </c>
      <c r="ER33" s="22">
        <f>IF(EO33&lt;2,0,IFERROR(_xlfn.AGGREGATE(15,6,nTP_RowN/((nTP_Case_Key=AX33)*(nTP_Record_Type="MILESTONE:INTERVENTION")*(nTP_Err="")*(nTP_HT*DD33*BN33*(nTP_OK*DE33*(nTP_UTC_n&gt;=N(DG33))+(1-nTP_OK*DE33)*(nTP_Loc_n&gt;=N(DF33)))*(nTP_OK*BO33*(nTP_UTC_n&lt;=N(BQ33))+(1-nTP_OK*BO33)*(nTP_Loc_n&lt;=N(BP33)))+(1-nTP_HT*DD33*BN33)*(nTP_Hi_n&gt;=N(DH33))*(nTP_Lo_n&lt;=N(BS33)))),2),0))</f>
        <v>0</v>
      </c>
      <c r="ES33" s="22">
        <f>IF(EO33&lt;3,0,IFERROR(_xlfn.AGGREGATE(15,6,nTP_RowN/((nTP_Case_Key=AX33)*(nTP_Record_Type="MILESTONE:INTERVENTION")*(nTP_Err="")*(nTP_HT*DD33*BN33*(nTP_OK*DE33*(nTP_UTC_n&gt;=N(DG33))+(1-nTP_OK*DE33)*(nTP_Loc_n&gt;=N(DF33)))*(nTP_OK*BO33*(nTP_UTC_n&lt;=N(BQ33))+(1-nTP_OK*BO33)*(nTP_Loc_n&lt;=N(BP33)))+(1-nTP_HT*DD33*BN33)*(nTP_Hi_n&gt;=N(DH33))*(nTP_Lo_n&lt;=N(BS33)))),3),0))</f>
        <v>0</v>
      </c>
      <c r="ET33" s="22">
        <f>IF(EP33&lt;1,0,IFERROR(_xlfn.AGGREGATE(15,6,nTP_RowN/((nTP_Case_Key=AX33)*(nTP_Role="treatment of the event")*((nTP_Record_Type="EXPOSURE_START")+(nTP_Record_Type="ADMINISTRATION"))*(nTP_Err="")*(nTP_HT*DD33*BN33*(nTP_OK*DE33*(nTP_UTC_n&gt;=N(DG33))+(1-nTP_OK*DE33)*(nTP_Loc_n&gt;=N(DF33)))*(nTP_OK*BO33*(nTP_UTC_n&lt;=N(BQ33))+(1-nTP_OK*BO33)*(nTP_Loc_n&lt;=N(BP33)))+(1-nTP_HT*DD33*BN33)*(nTP_Hi_n&gt;=N(DH33))*(nTP_Lo_n&lt;=N(BS33)))),1),0))</f>
        <v>0</v>
      </c>
      <c r="EU33" s="22">
        <f>IF(EP33&lt;2,0,IFERROR(_xlfn.AGGREGATE(15,6,nTP_RowN/((nTP_Case_Key=AX33)*(nTP_Role="treatment of the event")*((nTP_Record_Type="EXPOSURE_START")+(nTP_Record_Type="ADMINISTRATION"))*(nTP_Err="")*(nTP_HT*DD33*BN33*(nTP_OK*DE33*(nTP_UTC_n&gt;=N(DG33))+(1-nTP_OK*DE33)*(nTP_Loc_n&gt;=N(DF33)))*(nTP_OK*BO33*(nTP_UTC_n&lt;=N(BQ33))+(1-nTP_OK*BO33)*(nTP_Loc_n&lt;=N(BP33)))+(1-nTP_HT*DD33*BN33)*(nTP_Hi_n&gt;=N(DH33))*(nTP_Lo_n&lt;=N(BS33)))),2),0))</f>
        <v>0</v>
      </c>
      <c r="EV33" s="22">
        <f>IF(EP33&lt;3,0,IFERROR(_xlfn.AGGREGATE(15,6,nTP_RowN/((nTP_Case_Key=AX33)*(nTP_Role="treatment of the event")*((nTP_Record_Type="EXPOSURE_START")+(nTP_Record_Type="ADMINISTRATION"))*(nTP_Err="")*(nTP_HT*DD33*BN33*(nTP_OK*DE33*(nTP_UTC_n&gt;=N(DG33))+(1-nTP_OK*DE33)*(nTP_Loc_n&gt;=N(DF33)))*(nTP_OK*BO33*(nTP_UTC_n&lt;=N(BQ33))+(1-nTP_OK*BO33)*(nTP_Loc_n&lt;=N(BP33)))+(1-nTP_HT*DD33*BN33)*(nTP_Hi_n&gt;=N(DH33))*(nTP_Lo_n&lt;=N(BS33)))),3),0))</f>
        <v>0</v>
      </c>
      <c r="EW33" s="22">
        <f>IF(CE33&lt;1,0,IFERROR(_xlfn.AGGREGATE(15,6,nTP_RowN/((nTP_CandKey=BX33)*(nTP_Err="")*(1-nTP_Exact)*((nTP_HT*BN33*((nTP_OK*BO33*(nTP_UTC_n-N(BQ33))+(1-nTP_OK*BO33)*(nTP_Loc_n-N(BP33)))&lt;=0)+(1-nTP_HT*BN33)*(nTP_Hi_n&lt;N(BR33)))+((1-nTP_HT*BN33)*(nTP_Lo_n=nTP_Hi_n)*(nTP_Lo_n=N(BR33))*(N(BR33)=N(BS33))))),1),0))</f>
        <v>0</v>
      </c>
      <c r="EX33" s="22">
        <f>IF(CE33&lt;2,0,IFERROR(_xlfn.AGGREGATE(15,6,nTP_RowN/((nTP_CandKey=BX33)*(nTP_Err="")*(1-nTP_Exact)*((nTP_HT*BN33*((nTP_OK*BO33*(nTP_UTC_n-N(BQ33))+(1-nTP_OK*BO33)*(nTP_Loc_n-N(BP33)))&lt;=0)+(1-nTP_HT*BN33)*(nTP_Hi_n&lt;N(BR33)))+((1-nTP_HT*BN33)*(nTP_Lo_n=nTP_Hi_n)*(nTP_Lo_n=N(BR33))*(N(BR33)=N(BS33))))),2),0))</f>
        <v>0</v>
      </c>
      <c r="EY33" s="22">
        <f>IF(CE33&lt;3,0,IFERROR(_xlfn.AGGREGATE(15,6,nTP_RowN/((nTP_CandKey=BX33)*(nTP_Err="")*(1-nTP_Exact)*((nTP_HT*BN33*((nTP_OK*BO33*(nTP_UTC_n-N(BQ33))+(1-nTP_OK*BO33)*(nTP_Loc_n-N(BP33)))&lt;=0)+(1-nTP_HT*BN33)*(nTP_Hi_n&lt;N(BR33)))+((1-nTP_HT*BN33)*(nTP_Lo_n=nTP_Hi_n)*(nTP_Lo_n=N(BR33))*(N(BR33)=N(BS33))))),3),0))</f>
        <v>0</v>
      </c>
      <c r="EZ33" s="21" t="str">
        <f>IF(EO33=0,"",MID(IF(EQ33&gt;0,"; "&amp;INDEX(nTP_Record_ID,EQ33)&amp;IF(INDEX(nTP_Label,EQ33)="",""," ("&amp;INDEX(nTP_Label,EQ33)&amp;")"),"")&amp;IF(ER33&gt;0,"; "&amp;INDEX(nTP_Record_ID,ER33)&amp;IF(INDEX(nTP_Label,ER33)="",""," ("&amp;INDEX(nTP_Label,ER33)&amp;")"),"")&amp;IF(ES33&gt;0,"; "&amp;INDEX(nTP_Record_ID,ES33)&amp;IF(INDEX(nTP_Label,ES33)="",""," ("&amp;INDEX(nTP_Label,ES33)&amp;")"),"")&amp;IF(EO33&gt;3,"; and "&amp;(EO33-3)&amp;" more",""),3,999))</f>
        <v/>
      </c>
      <c r="FA33" s="21" t="str">
        <f>IF(EO33=0,"",MID(IF(EQ33&gt;0,"; "&amp;INDEX(nTP_Record_ID,EQ33),"")&amp;IF(ER33&gt;0,"; "&amp;INDEX(nTP_Record_ID,ER33),"")&amp;IF(ES33&gt;0,"; "&amp;INDEX(nTP_Record_ID,ES33),"")&amp;IF(EO33&gt;3,"; and "&amp;(EO33-3)&amp;" more",""),3,999))</f>
        <v/>
      </c>
      <c r="FB33" s="21" t="str">
        <f>IF(EP33=0,"",MID(IF(ET33&gt;0,"; "&amp;INDEX(nTP_Record_ID,ET33)&amp;IF(INDEX(nTP_Label,ET33)="",""," ("&amp;INDEX(nTP_Label,ET33)&amp;")"),"")&amp;IF(EU33&gt;0,"; "&amp;INDEX(nTP_Record_ID,EU33)&amp;IF(INDEX(nTP_Label,EU33)="",""," ("&amp;INDEX(nTP_Label,EU33)&amp;")"),"")&amp;IF(EV33&gt;0,"; "&amp;INDEX(nTP_Record_ID,EV33)&amp;IF(INDEX(nTP_Label,EV33)="",""," ("&amp;INDEX(nTP_Label,EV33)&amp;")"),"")&amp;IF(EP33&gt;3,"; and "&amp;(EP33-3)&amp;" more",""),3,999))</f>
        <v/>
      </c>
      <c r="FC33" s="21" t="str">
        <f>IF(CE33=0,"",MID(IF(EW33&gt;0,"; "&amp;INDEX(nTP_Record_ID,EW33),"")&amp;IF(EX33&gt;0,"; "&amp;INDEX(nTP_Record_ID,EX33),"")&amp;IF(EY33&gt;0,"; "&amp;INDEX(nTP_Record_ID,EY33),"")&amp;IF(CE33&gt;3,"; and "&amp;(CE33-3)&amp;" more",""),3,999))</f>
        <v/>
      </c>
      <c r="FD33" s="22">
        <f t="shared" si="55"/>
        <v>0</v>
      </c>
      <c r="FE33" s="22">
        <f t="shared" si="56"/>
        <v>0</v>
      </c>
      <c r="FF33" s="22">
        <f t="shared" si="57"/>
        <v>0</v>
      </c>
      <c r="FG33" s="22">
        <f t="shared" si="58"/>
        <v>0</v>
      </c>
      <c r="FH33" s="22">
        <f t="shared" si="59"/>
        <v>0</v>
      </c>
      <c r="FI33" s="22">
        <f t="shared" si="60"/>
        <v>0</v>
      </c>
      <c r="FJ33" s="22">
        <f t="shared" si="61"/>
        <v>0</v>
      </c>
      <c r="FK33" s="22">
        <f t="shared" si="62"/>
        <v>0</v>
      </c>
    </row>
    <row r="34" spans="1:167" x14ac:dyDescent="0.2">
      <c r="A34" s="10"/>
      <c r="B34" s="10"/>
      <c r="C34" s="12"/>
      <c r="D34" s="10"/>
      <c r="E34" s="17"/>
      <c r="F34" s="10"/>
      <c r="G34" s="10"/>
      <c r="H34" s="10"/>
      <c r="I34" s="17"/>
      <c r="J34" s="17"/>
      <c r="K34" s="10"/>
      <c r="L34" s="17"/>
      <c r="M34" s="17"/>
      <c r="N34" s="17"/>
      <c r="O34" s="10"/>
      <c r="P34" s="15"/>
      <c r="Q34" s="15"/>
      <c r="R34" s="10"/>
      <c r="S34" s="10"/>
      <c r="T34" s="21" t="str">
        <f t="shared" si="0"/>
        <v/>
      </c>
      <c r="U34" s="21" t="str">
        <f t="shared" si="1"/>
        <v/>
      </c>
      <c r="V34" s="21" t="str">
        <f t="shared" si="2"/>
        <v/>
      </c>
      <c r="W34" s="21" t="str">
        <f t="shared" si="3"/>
        <v/>
      </c>
      <c r="X34" s="21" t="str">
        <f t="shared" si="4"/>
        <v/>
      </c>
      <c r="Y34" s="21" t="str">
        <f t="shared" si="5"/>
        <v/>
      </c>
      <c r="Z34" s="21" t="str">
        <f t="shared" si="6"/>
        <v/>
      </c>
      <c r="AA34" s="21" t="str">
        <f t="shared" si="7"/>
        <v/>
      </c>
      <c r="AB34" s="21" t="str">
        <f t="shared" si="8"/>
        <v/>
      </c>
      <c r="AC34" s="21" t="str">
        <f t="shared" si="9"/>
        <v/>
      </c>
      <c r="AD34" s="21" t="str">
        <f>IF(AW34=1,"",MID(IF(ISNUMBER(SEARCH("E_INVALID_DATE",EG34))," | E_INVALID_DATE: "&amp;SUBSTITUTE(IFERROR(INDEX(nMSG_Text,MATCH("E_INVALID_DATE",nMSG_Code,0)),""),"[input]",""),"")&amp;IF(ISNUMBER(SEARCH("E_REVERSED_BOUNDS",EG34))," | E_REVERSED_BOUNDS: "&amp;SUBSTITUTE(IFERROR(INDEX(nMSG_Text,MATCH("E_REVERSED_BOUNDS",nMSG_Code,0)),""),"[input]",""),"")&amp;IF(ISNUMBER(SEARCH("E_DUPLICATE_ID",EG34))," | E_DUPLICATE_ID: "&amp;SUBSTITUTE(IFERROR(INDEX(nMSG_Text,MATCH("E_DUPLICATE_ID",nMSG_Code,0)),""),"[input]",""),"")&amp;IF(ISNUMBER(SEARCH("E_MISSING_LINK",EG34))," | E_MISSING_LINK: "&amp;SUBSTITUTE(IFERROR(INDEX(nMSG_Text,MATCH("E_MISSING_LINK",nMSG_Code,0)),""),"[input]",""),"")&amp;IF(ISNUMBER(SEARCH("E_MISSING_INPUT",EG34))," | E_MISSING_INPUT: "&amp;SUBSTITUTE(IFERROR(INDEX(nMSG_Text,MATCH("E_MISSING_INPUT",nMSG_Code,0)),""),"[input]",IF(EH34="","an input",EH34)),"")&amp;IF(ISNUMBER(SEARCH("E_INVALID_UNIT",EG34))," | E_INVALID_UNIT: "&amp;SUBSTITUTE(IFERROR(INDEX(nMSG_Text,MATCH("E_INVALID_UNIT",nMSG_Code,0)),""),"[input]",""),"")&amp;IF(FD34=1," | W_TZ_UNKNOWN: "&amp;SUBSTITUTE(IFERROR(INDEX(nMSG_Text,MATCH("W_TZ_UNKNOWN",nMSG_Code,0)),""),"[input]",""),"")&amp;IF(FE34=1," | W_SAME_DATE_ORDER_UNKNOWN: "&amp;SUBSTITUTE(IFERROR(INDEX(nMSG_Text,MATCH("W_SAME_DATE_ORDER_UNKNOWN",nMSG_Code,0)),""),"[input]",""),"")&amp;IF(FF34=1," | W_SEQUENCE_UNCERTAIN: "&amp;SUBSTITUTE(IFERROR(INDEX(nMSG_Text,MATCH("W_SEQUENCE_UNCERTAIN",nMSG_Code,0)),""),"[input]",""),"")&amp;IF(FG34=1," | W_ADMIN_SAME_DATE_AS_ONSET: "&amp;SUBSTITUTE(IFERROR(INDEX(nMSG_Text,MATCH("W_ADMIN_SAME_DATE_AS_ONSET",nMSG_Code,0)),""),"[input]",""),"")&amp;IF(FH34=1," | W_REPORTED_TIMING_CONFLICT: "&amp;SUBSTITUTE(IFERROR(INDEX(nMSG_Text,MATCH("W_REPORTED_TIMING_CONFLICT",nMSG_Code,0)),""),"[input]",""),"")&amp;IF(FI34=1," | W_INTERVENTION_BEFORE_RECOVERY: "&amp;SUBSTITUTE(IFERROR(INDEX(nMSG_Text,MATCH("W_INTERVENTION_BEFORE_RECOVERY",nMSG_Code,0)),""),"[input]",""),"")&amp;IF(FJ34=1," | I_TREATMENT_DAY_UNDEFINED: "&amp;SUBSTITUTE(IFERROR(INDEX(nMSG_Text,MATCH("I_TREATMENT_DAY_UNDEFINED",nMSG_Code,0)),""),"[input]",""),"")&amp;IF(FK34=1," | I_APPROXIMATE_NOT_COMPARED: "&amp;SUBSTITUTE(IFERROR(INDEX(nMSG_Text,MATCH("I_APPROXIMATE_NOT_COMPARED",nMSG_Code,0)),""),"[input]",""),""),4,9999))</f>
        <v/>
      </c>
      <c r="AE34" s="21" t="str">
        <f t="shared" si="10"/>
        <v/>
      </c>
      <c r="AF34" s="21" t="str">
        <f t="shared" si="11"/>
        <v/>
      </c>
      <c r="AG34" s="21" t="str">
        <f>IF(EN34="","",MID(IF(ISNUMBER(SEARCH("E_REVERSED_BOUNDS",EN34))," | E_REVERSED_BOUNDS: "&amp;SUBSTITUTE(IFERROR(INDEX(nMSG_Text,MATCH("E_REVERSED_BOUNDS",nMSG_Code,0)),""),"[input]",""),"")&amp;IF(ISNUMBER(SEARCH("E_MISSING_INPUT",EN34))," | E_MISSING_INPUT: "&amp;SUBSTITUTE(IFERROR(INDEX(nMSG_Text,MATCH("E_MISSING_INPUT",nMSG_Code,0)),""),"[input]",IF("the source of the constraint"="","an input","the source of the constraint")),""),4,999))</f>
        <v/>
      </c>
      <c r="AH34" s="21" t="str">
        <f t="shared" si="12"/>
        <v/>
      </c>
      <c r="AI34" s="21" t="str">
        <f t="shared" si="13"/>
        <v/>
      </c>
      <c r="AJ34" s="21" t="str">
        <f t="shared" si="14"/>
        <v/>
      </c>
      <c r="AK34" s="21" t="str">
        <f t="shared" si="15"/>
        <v/>
      </c>
      <c r="AL34" s="21" t="str">
        <f>IF(CY34=0,"",INDEX(nTP_ISO,CY34))</f>
        <v/>
      </c>
      <c r="AM34" s="21" t="str">
        <f>IF(CY34=0,"",INDEX(nTP_Display,CY34))</f>
        <v/>
      </c>
      <c r="AN34" s="21" t="str">
        <f>IF(BI34=0,"",INDEX(nTP_ISO,BI34))</f>
        <v/>
      </c>
      <c r="AO34" s="21" t="str">
        <f>IF(BI34=0,"",INDEX(nTP_Display,BI34))</f>
        <v/>
      </c>
      <c r="AP34" s="21" t="str">
        <f>IF(BA34=0,"",INDEX(nLNK_Exposure_Episode_ID,BA34)&amp;"")</f>
        <v/>
      </c>
      <c r="AQ34" s="21" t="str">
        <f>IF(BA34=0,"",INDEX(nLNK_Event_Episode_ID,BA34)&amp;"")</f>
        <v/>
      </c>
      <c r="AR34" s="21" t="str">
        <f t="shared" si="16"/>
        <v/>
      </c>
      <c r="AS34" s="21" t="str">
        <f>IF(EI34=0,"",MID(IF(DT34=1," | Recovery interval (C7) computed with "&amp;DS34&amp;".","")&amp;IF(BG34=1," | Anchor selected under C5 (CALC-SPEC 1.1): latest administration with an exact date or time at or before "&amp;IF(BH34=1,"onset","the end point")&amp;" ("&amp;AJ34&amp;"), ordered in UTC when offsets are known; later administrations are never selected.","")&amp;IF(AND(BG34=1,CE34&gt;0)," | Partial-date administrations wholly before the selected one were not candidates: "&amp;FC34&amp;".","")&amp;IF(BV34&lt;&gt;""," | "&amp;BV34,"")&amp;IF(AND(DS34="C2",EA34=0,DZ34&lt;&gt;"")," | Same calendar date; both times are known, so C1 decides the order ("&amp;AA34&amp;").","")&amp;IF(AND(DS34="C2",DD34*BN34=1,DT34=0)," | Calendar-date difference from the recorded local dates; it is never described as elapsed days.","")&amp;IF(AND(DS34="C4",DT34=0)," | Bounds are treated as independent; no single date is imputed from them.","")&amp;IF(EJ34=1," | Treatment day under the inclusive convention (C3); never written to E2B fields automatically.","")&amp;IF(AND(DS34="C4",DT34=0,EK34=0)," | No constraint applied.","")&amp;IF(AND(DS34="C4",EK34=1)," | Constraint applied to the anchor bounds: "&amp;IF(ISNUMBER(P34),"not before "&amp;DAY(P34)&amp;" "&amp;INDEX(nLIST_Months,MONTH(P34))&amp;" "&amp;YEAR(P34),"")&amp;IF(AND(ISNUMBER(P34),ISNUMBER(Q34)),", ","")&amp;IF(ISNUMBER(Q34),"not after "&amp;DAY(Q34)&amp;" "&amp;INDEX(nLIST_Months,MONTH(Q34))&amp;" "&amp;YEAR(Q34),"")&amp;". Source: "&amp;IF(R34="","not recorded",R34)&amp;IF(EN34="",". Constrained result shown beside the unconstrained one.",". Constrained result blocked ("&amp;EN34&amp;")."),"")&amp;IF(DT34=1,IF(EO34&gt;0," | Intervention recorded between cessation and recovery (ends included): "&amp;EZ34&amp;"."," | No intervention is recorded between cessation and recovery; absence of a record is not evidence that none was given."),"")&amp;IF(AND(DT34=1,DV34&gt;0)," | Intervention recorded without a date, so whether it came before recovery is unknown: "&amp;INDEX(nMS_Milestone_ID,MATCH(1,INDEX((nMS_CaseKey=AX34)*(nMS_Type="INTERVENTION")*nMS_Undated,0),0))&amp;IF(DV34&gt;1," and "&amp;(DV34-1)&amp;" more","")&amp;".","")&amp;IF(AND(DT34=1,EP34&gt;0)," | Not counted as interventions, because they are recorded as exposures rather than as intervention milestones (nothing is inferred): "&amp;FB34&amp;". If treatment was given, record it as an intervention milestone.",""),4,9999))</f>
        <v/>
      </c>
      <c r="AT34" s="21" t="str">
        <f t="shared" si="17"/>
        <v/>
      </c>
      <c r="AU34" s="21" t="str">
        <f t="shared" si="18"/>
        <v/>
      </c>
      <c r="AV34" s="21" t="str">
        <f t="shared" si="19"/>
        <v/>
      </c>
      <c r="AW34" s="22">
        <f t="shared" si="20"/>
        <v>1</v>
      </c>
      <c r="AX34" s="21" t="str">
        <f t="shared" si="21"/>
        <v>|</v>
      </c>
      <c r="AY34" s="21" t="str">
        <f t="shared" si="22"/>
        <v/>
      </c>
      <c r="AZ34" s="22">
        <f>IF(AY34="",0,COUNTIF(nINT_Key,AY34))</f>
        <v>0</v>
      </c>
      <c r="BA34" s="22">
        <f>IF(D34="",0,IFERROR(MATCH(AX34&amp;"|"&amp;D34,nLNK_Key,0),0))</f>
        <v>0</v>
      </c>
      <c r="BB34" s="22">
        <f>IF(BA34=0,1,INDEX(nLNK_Exp_Found,BA34))</f>
        <v>1</v>
      </c>
      <c r="BC34" s="22">
        <f>IF(BA34=0,1,INDEX(nLNK_Evt_Found,BA34))</f>
        <v>1</v>
      </c>
      <c r="BD34" s="22">
        <f>IF(AP34="",0,COUNTIF(nEXP_Key,AX34&amp;"|"&amp;AP34))</f>
        <v>0</v>
      </c>
      <c r="BE34" s="22">
        <f>IF(AQ34="",0,COUNTIF(nEVT_Key,AX34&amp;"|"&amp;AQ34))</f>
        <v>0</v>
      </c>
      <c r="BF34" s="22">
        <f>IF(ISNA(MATCH(E34,nLIST_AnchorType,0)),0,1)</f>
        <v>0</v>
      </c>
      <c r="BG34" s="22">
        <f t="shared" si="23"/>
        <v>0</v>
      </c>
      <c r="BH34" s="22">
        <f t="shared" si="24"/>
        <v>0</v>
      </c>
      <c r="BI34" s="22">
        <f>IF(OR(AW34=1,AK34=""),0,IFERROR(MATCH(AX34&amp;"|"&amp;AK34,nTP_Key,0),0))</f>
        <v>0</v>
      </c>
      <c r="BJ34" s="21">
        <f>IF(BI34=0,0,INDEX(nTP_Dup,BI34))</f>
        <v>0</v>
      </c>
      <c r="BK34" s="21" t="str">
        <f>IF(BI34=0,"",INDEX(nTP_Record_Type,BI34))</f>
        <v/>
      </c>
      <c r="BL34" s="21" t="str">
        <f>IF(BI34=0,"",INDEX(nTP_Precision,BI34))</f>
        <v/>
      </c>
      <c r="BM34" s="21" t="str">
        <f>IF(BI34=0,"",INDEX(nTP_Err,BI34))</f>
        <v/>
      </c>
      <c r="BN34" s="21">
        <f>IF(BI34=0,0,INDEX(nTP_HT,BI34))</f>
        <v>0</v>
      </c>
      <c r="BO34" s="21">
        <f>IF(BI34=0,0,INDEX(nTP_OK,BI34))</f>
        <v>0</v>
      </c>
      <c r="BP34" s="21" t="str">
        <f>IF(BI34=0,"",INDEX(nTP_Loc,BI34))</f>
        <v/>
      </c>
      <c r="BQ34" s="21" t="str">
        <f>IF(BI34=0,"",INDEX(nTP_UTC,BI34))</f>
        <v/>
      </c>
      <c r="BR34" s="21" t="str">
        <f>IF(BI34=0,"",INDEX(nTP_Lo,BI34))</f>
        <v/>
      </c>
      <c r="BS34" s="21" t="str">
        <f>IF(BI34=0,"",INDEX(nTP_Hi,BI34))</f>
        <v/>
      </c>
      <c r="BT34" s="21" t="str">
        <f>IF(BI34=0,"",INDEX(nTP_Original_Text,BI34))</f>
        <v/>
      </c>
      <c r="BU34" s="21" t="str">
        <f>IF(BI34=0,"",INDEX(nTP_Source,BI34))</f>
        <v/>
      </c>
      <c r="BV34" s="21" t="str">
        <f>IF(BI34=0,"",INDEX(nTP_Lab_Note,BI34))</f>
        <v/>
      </c>
      <c r="BW34" s="22">
        <f t="shared" si="25"/>
        <v>0</v>
      </c>
      <c r="BX34" s="21" t="str">
        <f t="shared" si="26"/>
        <v>||</v>
      </c>
      <c r="BY34" s="22">
        <f>IF(BG34=0,0,COUNTIF(nTP_CandKey,BX34))</f>
        <v>0</v>
      </c>
      <c r="BZ34" s="22">
        <f>IF(BG34=0,0,COUNTIFS(nTP_CandKey,BX34,nTP_Err,""))</f>
        <v>0</v>
      </c>
      <c r="CA34" s="21" t="str">
        <f>IF(BY34=BZ34,"",IF(COUNTIFS(nTP_CandKey,BX34,nTP_Err,"E_INVALID_DATE")&gt;0,"; E_INVALID_DATE","")&amp;IF(COUNTIFS(nTP_CandKey,BX34,nTP_Err,"E_REVERSED_BOUNDS")&gt;0,"; E_REVERSED_BOUNDS","")&amp;IF(COUNTIFS(nTP_CandKey,BX34,nTP_Err,"E_MISSING_INPUT")&gt;0,"; E_MISSING_INPUT","")&amp;IF(COUNTIFS(nTP_CandKey,BX34,nTP_Err,"E_INVALID_UNIT")&gt;0,"; E_INVALID_UNIT",""))</f>
        <v/>
      </c>
      <c r="CB34" s="22">
        <f t="shared" si="27"/>
        <v>0</v>
      </c>
      <c r="CC34" s="22">
        <f>IF(CB34=0,0,SUMPRODUCT((nTP_CandKey=BX34)*(nTP_Err="")*(1-(nTP_HT*BN34*((nTP_OK*BO34*(nTP_UTC_n-N(BQ34))+(1-nTP_OK*BO34)*(nTP_Loc_n-N(BP34)))&lt;=0)+(1-nTP_HT*BN34)*(nTP_Hi_n&lt;N(BR34)))-(nTP_HT*BN34*((nTP_OK*BO34*(nTP_UTC_n-N(BQ34))+(1-nTP_OK*BO34)*(nTP_Loc_n-N(BP34)))&gt;0)+(1-nTP_HT*BN34)*(nTP_Lo_n&gt;N(BS34)))-((1-nTP_HT*BN34)*(nTP_Lo_n=nTP_Hi_n)*(nTP_Lo_n=N(BR34))*(N(BR34)=N(BS34))))))</f>
        <v>0</v>
      </c>
      <c r="CD34" s="22">
        <f>IF(CB34=0,0,SUMPRODUCT((nTP_CandKey=BX34)*nTP_Exact*((nTP_HT*BN34*((nTP_OK*BO34*(nTP_UTC_n-N(BQ34))+(1-nTP_OK*BO34)*(nTP_Loc_n-N(BP34)))&lt;=0)+(1-nTP_HT*BN34)*(nTP_Hi_n&lt;N(BR34)))+((1-nTP_HT*BN34)*(nTP_Lo_n=nTP_Hi_n)*(nTP_Lo_n=N(BR34))*(N(BR34)=N(BS34))))))</f>
        <v>0</v>
      </c>
      <c r="CE34" s="22">
        <f>IF(CB34=0,0,SUMPRODUCT((nTP_CandKey=BX34)*(nTP_Err="")*(1-nTP_Exact)*((nTP_HT*BN34*((nTP_OK*BO34*(nTP_UTC_n-N(BQ34))+(1-nTP_OK*BO34)*(nTP_Loc_n-N(BP34)))&lt;=0)+(1-nTP_HT*BN34)*(nTP_Hi_n&lt;N(BR34)))+((1-nTP_HT*BN34)*(nTP_Lo_n=nTP_Hi_n)*(nTP_Lo_n=N(BR34))*(N(BR34)=N(BS34))))))</f>
        <v>0</v>
      </c>
      <c r="CF34" s="22">
        <f>IF(CD34=0,0,SUMPRODUCT(MAX((nTP_CandKey=BX34)*nTP_Exact*((nTP_HT*BN34*((nTP_OK*BO34*(nTP_UTC_n-N(BQ34))+(1-nTP_OK*BO34)*(nTP_Loc_n-N(BP34)))&lt;=0)+(1-nTP_HT*BN34)*(nTP_Hi_n&lt;N(BR34)))+((1-nTP_HT*BN34)*(nTP_Lo_n=nTP_Hi_n)*(nTP_Lo_n=N(BR34))*(N(BR34)=N(BS34))))*nTP_Lo_n)))</f>
        <v>0</v>
      </c>
      <c r="CG34" s="22">
        <f>IF(CD34=0,0,SUMPRODUCT((nTP_CandKey=BX34)*nTP_Exact*((nTP_HT*BN34*((nTP_OK*BO34*(nTP_UTC_n-N(BQ34))+(1-nTP_OK*BO34)*(nTP_Loc_n-N(BP34)))&lt;=0)+(1-nTP_HT*BN34)*(nTP_Hi_n&lt;N(BR34)))+((1-nTP_HT*BN34)*(nTP_Lo_n=nTP_Hi_n)*(nTP_Lo_n=N(BR34))*(N(BR34)=N(BS34))))*(nTP_Lo_n=CF34)))</f>
        <v>0</v>
      </c>
      <c r="CH34" s="22">
        <f>IF(CD34=0,0,SUMPRODUCT((nTP_CandKey=BX34)*nTP_Exact*((nTP_HT*BN34*((nTP_OK*BO34*(nTP_UTC_n-N(BQ34))+(1-nTP_OK*BO34)*(nTP_Loc_n-N(BP34)))&lt;=0)+(1-nTP_HT*BN34)*(nTP_Hi_n&lt;N(BR34)))+((1-nTP_HT*BN34)*(nTP_Lo_n=nTP_Hi_n)*(nTP_Lo_n=N(BR34))*(N(BR34)=N(BS34))))*(1-nTP_HT)*(nTP_Lo_n=CF34)))</f>
        <v>0</v>
      </c>
      <c r="CI34" s="22">
        <f>IF(CD34=0,0,SUMPRODUCT(MAX((nTP_CandKey=BX34)*nTP_Exact*((nTP_HT*BN34*((nTP_OK*BO34*(nTP_UTC_n-N(BQ34))+(1-nTP_OK*BO34)*(nTP_Loc_n-N(BP34)))&lt;=0)+(1-nTP_HT*BN34)*(nTP_Hi_n&lt;N(BR34)))+((1-nTP_HT*BN34)*(nTP_Lo_n=nTP_Hi_n)*(nTP_Lo_n=N(BR34))*(N(BR34)=N(BS34))))*(1-nTP_HT)*nTP_Lo_n)))</f>
        <v>0</v>
      </c>
      <c r="CJ34" s="22">
        <f>IF(CD34=0,0,SUMPRODUCT(MAX((nTP_CandKey=BX34)*nTP_Exact*((nTP_HT*BN34*((nTP_OK*BO34*(nTP_UTC_n-N(BQ34))+(1-nTP_OK*BO34)*(nTP_Loc_n-N(BP34)))&lt;=0)+(1-nTP_HT*BN34)*(nTP_Hi_n&lt;N(BR34)))+((1-nTP_HT*BN34)*(nTP_Lo_n=nTP_Hi_n)*(nTP_Lo_n=N(BR34))*(N(BR34)=N(BS34))))*nTP_HT*nTP_OK*nTP_UTC_n)))</f>
        <v>0</v>
      </c>
      <c r="CK34" s="22">
        <f>IF(CJ34=0,0,SUMPRODUCT((nTP_CandKey=BX34)*nTP_Exact*((nTP_HT*BN34*((nTP_OK*BO34*(nTP_UTC_n-N(BQ34))+(1-nTP_OK*BO34)*(nTP_Loc_n-N(BP34)))&lt;=0)+(1-nTP_HT*BN34)*(nTP_Hi_n&lt;N(BR34)))+((1-nTP_HT*BN34)*(nTP_Lo_n=nTP_Hi_n)*(nTP_Lo_n=N(BR34))*(N(BR34)=N(BS34))))*nTP_HT*nTP_OK*(nTP_UTC_n=CJ34)))</f>
        <v>0</v>
      </c>
      <c r="CL34" s="22">
        <f>IF(CK34&lt;&gt;1,0,SUMPRODUCT((nTP_CandKey=BX34)*nTP_Exact*((nTP_HT*BN34*((nTP_OK*BO34*(nTP_UTC_n-N(BQ34))+(1-nTP_OK*BO34)*(nTP_Loc_n-N(BP34)))&lt;=0)+(1-nTP_HT*BN34)*(nTP_Hi_n&lt;N(BR34)))+((1-nTP_HT*BN34)*(nTP_Lo_n=nTP_Hi_n)*(nTP_Lo_n=N(BR34))*(N(BR34)=N(BS34))))*nTP_HT*nTP_OK*(nTP_UTC_n=CJ34)*nTP_Loc_n))</f>
        <v>0</v>
      </c>
      <c r="CM34" s="22">
        <f>IF(CK34&lt;&gt;1,0,SUMPRODUCT((nTP_CandKey=BX34)*nTP_Exact*((nTP_HT*BN34*((nTP_OK*BO34*(nTP_UTC_n-N(BQ34))+(1-nTP_OK*BO34)*(nTP_Loc_n-N(BP34)))&lt;=0)+(1-nTP_HT*BN34)*(nTP_Hi_n&lt;N(BR34)))+((1-nTP_HT*BN34)*(nTP_Lo_n=nTP_Hi_n)*(nTP_Lo_n=N(BR34))*(N(BR34)=N(BS34))))*nTP_HT*nTP_OK*(nTP_UTC_n=CJ34)*nTP_Lo_n))</f>
        <v>0</v>
      </c>
      <c r="CN34" s="22">
        <f>IF(CD34=0,0,SUMPRODUCT(MAX((nTP_CandKey=BX34)*nTP_Exact*((nTP_HT*BN34*((nTP_OK*BO34*(nTP_UTC_n-N(BQ34))+(1-nTP_OK*BO34)*(nTP_Loc_n-N(BP34)))&lt;=0)+(1-nTP_HT*BN34)*(nTP_Hi_n&lt;N(BR34)))+((1-nTP_HT*BN34)*(nTP_Lo_n=nTP_Hi_n)*(nTP_Lo_n=N(BR34))*(N(BR34)=N(BS34))))*nTP_HT*(1-nTP_OK)*nTP_Loc_n)))</f>
        <v>0</v>
      </c>
      <c r="CO34" s="22">
        <f>IF(CN34=0,0,SUMPRODUCT((nTP_CandKey=BX34)*nTP_Exact*((nTP_HT*BN34*((nTP_OK*BO34*(nTP_UTC_n-N(BQ34))+(1-nTP_OK*BO34)*(nTP_Loc_n-N(BP34)))&lt;=0)+(1-nTP_HT*BN34)*(nTP_Hi_n&lt;N(BR34)))+((1-nTP_HT*BN34)*(nTP_Lo_n=nTP_Hi_n)*(nTP_Lo_n=N(BR34))*(N(BR34)=N(BS34))))*nTP_HT*(1-nTP_OK)*(nTP_Loc_n=CN34)))</f>
        <v>0</v>
      </c>
      <c r="CP34" s="22">
        <f>IF(CO34&lt;&gt;1,0,SUMPRODUCT((nTP_CandKey=BX34)*nTP_Exact*((nTP_HT*BN34*((nTP_OK*BO34*(nTP_UTC_n-N(BQ34))+(1-nTP_OK*BO34)*(nTP_Loc_n-N(BP34)))&lt;=0)+(1-nTP_HT*BN34)*(nTP_Hi_n&lt;N(BR34)))+((1-nTP_HT*BN34)*(nTP_Lo_n=nTP_Hi_n)*(nTP_Lo_n=N(BR34))*(N(BR34)=N(BS34))))*nTP_HT*(1-nTP_OK)*(nTP_Loc_n=CN34)*nTP_Lo_n))</f>
        <v>0</v>
      </c>
      <c r="CQ34" s="22">
        <f>IF(CD34=0,0,SUMPRODUCT(MAX((nTP_CandKey=BX34)*nTP_Exact*((nTP_HT*BN34*((nTP_OK*BO34*(nTP_UTC_n-N(BQ34))+(1-nTP_OK*BO34)*(nTP_Loc_n-N(BP34)))&lt;=0)+(1-nTP_HT*BN34)*(nTP_Hi_n&lt;N(BR34)))+((1-nTP_HT*BN34)*(nTP_Lo_n=nTP_Hi_n)*(nTP_Lo_n=N(BR34))*(N(BR34)=N(BS34))))*nTP_HT*nTP_OK*nTP_Loc_n)))</f>
        <v>0</v>
      </c>
      <c r="CR34" s="22">
        <f t="shared" si="28"/>
        <v>0</v>
      </c>
      <c r="CS34" s="22">
        <f>IF(CR34=0,0,IF(CR34=1,MATCH(1,INDEX((nTP_CandKey=BX34)*nTP_Exact*((nTP_HT*BN34*((nTP_OK*BO34*(nTP_UTC_n-N(BQ34))+(1-nTP_OK*BO34)*(nTP_Loc_n-N(BP34)))&lt;=0)+(1-nTP_HT*BN34)*(nTP_Hi_n&lt;N(BR34)))+((1-nTP_HT*BN34)*(nTP_Lo_n=nTP_Hi_n)*(nTP_Lo_n=N(BR34))*(N(BR34)=N(BS34))))*(1-nTP_HT)*(nTP_Lo_n=CF34),0),0),IF(CR34=2,MATCH(1,INDEX((nTP_CandKey=BX34)*nTP_Exact*((nTP_HT*BN34*((nTP_OK*BO34*(nTP_UTC_n-N(BQ34))+(1-nTP_OK*BO34)*(nTP_Loc_n-N(BP34)))&lt;=0)+(1-nTP_HT*BN34)*(nTP_Hi_n&lt;N(BR34)))+((1-nTP_HT*BN34)*(nTP_Lo_n=nTP_Hi_n)*(nTP_Lo_n=N(BR34))*(N(BR34)=N(BS34))))*nTP_HT*nTP_OK*(nTP_UTC_n=CJ34),0),0),MATCH(1,INDEX((nTP_CandKey=BX34)*nTP_Exact*((nTP_HT*BN34*((nTP_OK*BO34*(nTP_UTC_n-N(BQ34))+(1-nTP_OK*BO34)*(nTP_Loc_n-N(BP34)))&lt;=0)+(1-nTP_HT*BN34)*(nTP_Hi_n&lt;N(BR34)))+((1-nTP_HT*BN34)*(nTP_Lo_n=nTP_Hi_n)*(nTP_Lo_n=N(BR34))*(N(BR34)=N(BS34))))*nTP_HT*(1-nTP_OK)*(nTP_Loc_n=CN34),0),0))))</f>
        <v>0</v>
      </c>
      <c r="CT34" s="22">
        <f>IF(CS34=0,0,INDEX(nTP_Lo_n,CS34))</f>
        <v>0</v>
      </c>
      <c r="CU34" s="22">
        <f>IF(CS34=0,0,SUMPRODUCT((nTP_CandKey=BX34)*(nTP_Err="")*(1-nTP_Exact)*((nTP_HT*BN34*((nTP_OK*BO34*(nTP_UTC_n-N(BQ34))+(1-nTP_OK*BO34)*(nTP_Loc_n-N(BP34)))&lt;=0)+(1-nTP_HT*BN34)*(nTP_Hi_n&lt;N(BR34)))+((1-nTP_HT*BN34)*(nTP_Lo_n=nTP_Hi_n)*(nTP_Lo_n=N(BR34))*(N(BR34)=N(BS34))))*(nTP_Hi_n&gt;=CT34)))</f>
        <v>0</v>
      </c>
      <c r="CV34" s="21" t="str">
        <f t="shared" si="29"/>
        <v/>
      </c>
      <c r="CW34" s="21" t="str">
        <f>IF(AND(BG34=1,CB34=1,CV34="",CS34&gt;0),INDEX(nTP_Record_ID,CS34)&amp;"","")</f>
        <v/>
      </c>
      <c r="CX34" s="21" t="str">
        <f>IF(OR(CV34="",BG34=0),"",IF(CV34="none","an administration record (last dose before onset)",IF(CV34="uncertain","the anchor record: "&amp;INDEX(nTP_Record_ID,MATCH(1,INDEX((nTP_CandKey=BX34)*(nTP_Err="")*(1-(nTP_HT*BN34*((nTP_OK*BO34*(nTP_UTC_n-N(BQ34))+(1-nTP_OK*BO34)*(nTP_Loc_n-N(BP34)))&lt;=0)+(1-nTP_HT*BN34)*(nTP_Hi_n&lt;N(BR34)))-(nTP_HT*BN34*((nTP_OK*BO34*(nTP_UTC_n-N(BQ34))+(1-nTP_OK*BO34)*(nTP_Loc_n-N(BP34)))&gt;0)+(1-nTP_HT*BN34)*(nTP_Lo_n&gt;N(BS34)))-((1-nTP_HT*BN34)*(nTP_Lo_n=nTP_Hi_n)*(nTP_Lo_n=N(BR34))*(N(BR34)=N(BS34)))),0),0))&amp;IF(CC34&gt;1," and "&amp;(CC34-1)&amp;" more","")&amp;" may fall before or after the end point, so the last dose cannot be identified from the recorded dates",IF(CV34="noneligible","the anchor record: no administration with an exact date is recorded at or before the end point",IF(CV34="tie","the anchor record: the order of the latest administrations cannot be told from the recorded dates and times","the anchor record: partial-date administration "&amp;INDEX(nTP_Record_ID,MATCH(1,INDEX((nTP_CandKey=BX34)*(nTP_Err="")*(1-nTP_Exact)*((nTP_HT*BN34*((nTP_OK*BO34*(nTP_UTC_n-N(BQ34))+(1-nTP_OK*BO34)*(nTP_Loc_n-N(BP34)))&lt;=0)+(1-nTP_HT*BN34)*(nTP_Hi_n&lt;N(BR34)))+((1-nTP_HT*BN34)*(nTP_Lo_n=nTP_Hi_n)*(nTP_Lo_n=N(BR34))*(N(BR34)=N(BS34))))*(nTP_Hi_n&gt;=CT34),0),0))&amp;" could be the last dose before the end point")))))</f>
        <v/>
      </c>
      <c r="CY34" s="22">
        <f>IF(OR(AW34=1,AJ34=""),0,IFERROR(MATCH(AX34&amp;"|"&amp;AJ34,nTP_Key,0),0))</f>
        <v>0</v>
      </c>
      <c r="CZ34" s="21">
        <f>IF(CY34=0,0,INDEX(nTP_Dup,CY34))</f>
        <v>0</v>
      </c>
      <c r="DA34" s="21" t="str">
        <f>IF(CY34=0,"",INDEX(nTP_Record_Type,CY34))</f>
        <v/>
      </c>
      <c r="DB34" s="21" t="str">
        <f>IF(CY34=0,"",INDEX(nTP_Precision,CY34))</f>
        <v/>
      </c>
      <c r="DC34" s="21" t="str">
        <f>IF(CY34=0,"",INDEX(nTP_Err,CY34))</f>
        <v/>
      </c>
      <c r="DD34" s="21">
        <f>IF(CY34=0,0,INDEX(nTP_HT,CY34))</f>
        <v>0</v>
      </c>
      <c r="DE34" s="21">
        <f>IF(CY34=0,0,INDEX(nTP_OK,CY34))</f>
        <v>0</v>
      </c>
      <c r="DF34" s="21" t="str">
        <f>IF(CY34=0,"",INDEX(nTP_Loc,CY34))</f>
        <v/>
      </c>
      <c r="DG34" s="21" t="str">
        <f>IF(CY34=0,"",INDEX(nTP_UTC,CY34))</f>
        <v/>
      </c>
      <c r="DH34" s="21" t="str">
        <f>IF(CY34=0,"",INDEX(nTP_Lo,CY34))</f>
        <v/>
      </c>
      <c r="DI34" s="21" t="str">
        <f>IF(CY34=0,"",INDEX(nTP_Hi,CY34))</f>
        <v/>
      </c>
      <c r="DJ34" s="21" t="str">
        <f>IF(CY34=0,"",INDEX(nTP_Original_Text,CY34))</f>
        <v/>
      </c>
      <c r="DK34" s="21" t="str">
        <f>IF(CY34=0,"",INDEX(nTP_Source,CY34))</f>
        <v/>
      </c>
      <c r="DL34" s="22">
        <f t="shared" si="30"/>
        <v>0</v>
      </c>
      <c r="DM34" s="21" t="str">
        <f t="shared" si="31"/>
        <v/>
      </c>
      <c r="DN34" s="21" t="str">
        <f t="shared" si="32"/>
        <v/>
      </c>
      <c r="DO34" s="21" t="str">
        <f t="shared" si="33"/>
        <v/>
      </c>
      <c r="DP34" s="21" t="str">
        <f t="shared" si="34"/>
        <v/>
      </c>
      <c r="DQ34" s="21" t="str">
        <f t="shared" si="35"/>
        <v/>
      </c>
      <c r="DR34" s="22">
        <f>IF(OR(DQ34="",I34=""),0,IF(ISNA(MATCH(I34,nLIST_Mode,0)),1,IF(AND(I34="C1",DQ34&lt;&gt;"C1"),1,IF(AND(I34="C2",DQ34="C4"),1,0))))</f>
        <v>0</v>
      </c>
      <c r="DS34" s="21" t="str">
        <f t="shared" si="36"/>
        <v/>
      </c>
      <c r="DT34" s="22">
        <f t="shared" si="37"/>
        <v>0</v>
      </c>
      <c r="DU34" s="21" t="str">
        <f>IF(DT34=0,"",IF(COUNTIFS(nTP_Case_Key,AX34,nTP_Record_Type,"MILESTONE:INTERVENTION",nTP_Err,"E_INVALID_DATE")&gt;0,"; E_INVALID_DATE","")&amp;IF(COUNTIFS(nTP_Case_Key,AX34,nTP_Record_Type,"MILESTONE:INTERVENTION",nTP_Err,"E_REVERSED_BOUNDS")&gt;0,"; E_REVERSED_BOUNDS","")&amp;IF(COUNTIFS(nTP_Case_Key,AX34,nTP_Record_Type,"MILESTONE:INTERVENTION",nTP_Err,"E_MISSING_INPUT")&gt;0,"; E_MISSING_INPUT","")&amp;IF(COUNTIFS(nTP_Case_Key,AX34,nTP_Record_Type,"MILESTONE:INTERVENTION",nTP_Err,"E_INVALID_UNIT")&gt;0,"; E_INVALID_UNIT",""))</f>
        <v/>
      </c>
      <c r="DV34" s="22">
        <f>IF(DT34=0,0,SUMPRODUCT((nMS_CaseKey=AX34)*(nMS_Type="INTERVENTION")*nMS_Undated))</f>
        <v>0</v>
      </c>
      <c r="DW34" s="21" t="str">
        <f t="shared" si="38"/>
        <v/>
      </c>
      <c r="DX34" s="21" t="str">
        <f t="shared" si="39"/>
        <v/>
      </c>
      <c r="DY34" s="22">
        <f t="shared" si="40"/>
        <v>1</v>
      </c>
      <c r="DZ34" s="21" t="str">
        <f t="shared" si="41"/>
        <v/>
      </c>
      <c r="EA34" s="21" t="str">
        <f t="shared" si="42"/>
        <v/>
      </c>
      <c r="EB34" s="21" t="str">
        <f t="shared" si="43"/>
        <v/>
      </c>
      <c r="EC34" s="21" t="str">
        <f t="shared" si="44"/>
        <v/>
      </c>
      <c r="ED34" s="22">
        <f t="shared" si="45"/>
        <v>0</v>
      </c>
      <c r="EE34" s="22">
        <f t="shared" si="46"/>
        <v>0</v>
      </c>
      <c r="EF34" s="21" t="str">
        <f>IF(ED34=0,"",IF(OR(NOT(ISNUMBER(L34)),NOT(ISNUMBER(M34))),"I_APPROXIMATE_NOT_COMPARED",IF(AND(N34&lt;&gt;"",ISNA(MATCH(N34,nLIST_ReportedUnit,0))),"E_INVALID_UNIT",IF(N34="","E_MISSING_INPUT",IF(L34&gt;M34,"E_REVERSED_BOUNDS",IF(OR(N34="weeks",N34="months",N34="years"),"I_APPROXIMATE_NOT_COMPARED",IF(DX34&lt;&gt;"","",IF(EE34=0,"I_APPROXIMATE_NOT_COMPARED",IF(AND(L34*EE34&lt;=IF(DS34="C4",EC34,IF(DS34="C1",DZ34,EA34)),M34*EE34&gt;=IF(DS34="C4",EB34,IF(DS34="C1",DZ34,EA34))),"OVERLAP","W_REPORTED_TIMING_CONFLICT")))))))))</f>
        <v/>
      </c>
      <c r="EG34" s="21" t="str">
        <f t="shared" si="47"/>
        <v/>
      </c>
      <c r="EH34" s="21" t="str">
        <f t="shared" si="48"/>
        <v/>
      </c>
      <c r="EI34" s="22">
        <f t="shared" si="49"/>
        <v>0</v>
      </c>
      <c r="EJ34" s="22">
        <f t="shared" si="50"/>
        <v>0</v>
      </c>
      <c r="EK34" s="22">
        <f t="shared" si="51"/>
        <v>0</v>
      </c>
      <c r="EL34" s="28" t="str">
        <f t="shared" si="52"/>
        <v/>
      </c>
      <c r="EM34" s="28" t="str">
        <f t="shared" si="53"/>
        <v/>
      </c>
      <c r="EN34" s="21" t="str">
        <f t="shared" si="54"/>
        <v/>
      </c>
      <c r="EO34" s="22">
        <f>IF(OR(DT34=0,DX34&lt;&gt;""),0,SUMPRODUCT((nTP_Case_Key=AX34)*(nTP_Record_Type="MILESTONE:INTERVENTION")*(nTP_Err="")*(nTP_HT*DD34*BN34*(nTP_OK*DE34*(nTP_UTC_n&gt;=N(DG34))+(1-nTP_OK*DE34)*(nTP_Loc_n&gt;=N(DF34)))*(nTP_OK*BO34*(nTP_UTC_n&lt;=N(BQ34))+(1-nTP_OK*BO34)*(nTP_Loc_n&lt;=N(BP34)))+(1-nTP_HT*DD34*BN34)*(nTP_Hi_n&gt;=N(DH34))*(nTP_Lo_n&lt;=N(BS34)))))</f>
        <v>0</v>
      </c>
      <c r="EP34" s="22">
        <f>IF(OR(DT34=0,DX34&lt;&gt;""),0,SUMPRODUCT((nTP_Case_Key=AX34)*(nTP_Role="treatment of the event")*((nTP_Record_Type="EXPOSURE_START")+(nTP_Record_Type="ADMINISTRATION"))*(nTP_Err="")*(nTP_HT*DD34*BN34*(nTP_OK*DE34*(nTP_UTC_n&gt;=N(DG34))+(1-nTP_OK*DE34)*(nTP_Loc_n&gt;=N(DF34)))*(nTP_OK*BO34*(nTP_UTC_n&lt;=N(BQ34))+(1-nTP_OK*BO34)*(nTP_Loc_n&lt;=N(BP34)))+(1-nTP_HT*DD34*BN34)*(nTP_Hi_n&gt;=N(DH34))*(nTP_Lo_n&lt;=N(BS34)))))</f>
        <v>0</v>
      </c>
      <c r="EQ34" s="22">
        <f>IF(EO34&lt;1,0,IFERROR(_xlfn.AGGREGATE(15,6,nTP_RowN/((nTP_Case_Key=AX34)*(nTP_Record_Type="MILESTONE:INTERVENTION")*(nTP_Err="")*(nTP_HT*DD34*BN34*(nTP_OK*DE34*(nTP_UTC_n&gt;=N(DG34))+(1-nTP_OK*DE34)*(nTP_Loc_n&gt;=N(DF34)))*(nTP_OK*BO34*(nTP_UTC_n&lt;=N(BQ34))+(1-nTP_OK*BO34)*(nTP_Loc_n&lt;=N(BP34)))+(1-nTP_HT*DD34*BN34)*(nTP_Hi_n&gt;=N(DH34))*(nTP_Lo_n&lt;=N(BS34)))),1),0))</f>
        <v>0</v>
      </c>
      <c r="ER34" s="22">
        <f>IF(EO34&lt;2,0,IFERROR(_xlfn.AGGREGATE(15,6,nTP_RowN/((nTP_Case_Key=AX34)*(nTP_Record_Type="MILESTONE:INTERVENTION")*(nTP_Err="")*(nTP_HT*DD34*BN34*(nTP_OK*DE34*(nTP_UTC_n&gt;=N(DG34))+(1-nTP_OK*DE34)*(nTP_Loc_n&gt;=N(DF34)))*(nTP_OK*BO34*(nTP_UTC_n&lt;=N(BQ34))+(1-nTP_OK*BO34)*(nTP_Loc_n&lt;=N(BP34)))+(1-nTP_HT*DD34*BN34)*(nTP_Hi_n&gt;=N(DH34))*(nTP_Lo_n&lt;=N(BS34)))),2),0))</f>
        <v>0</v>
      </c>
      <c r="ES34" s="22">
        <f>IF(EO34&lt;3,0,IFERROR(_xlfn.AGGREGATE(15,6,nTP_RowN/((nTP_Case_Key=AX34)*(nTP_Record_Type="MILESTONE:INTERVENTION")*(nTP_Err="")*(nTP_HT*DD34*BN34*(nTP_OK*DE34*(nTP_UTC_n&gt;=N(DG34))+(1-nTP_OK*DE34)*(nTP_Loc_n&gt;=N(DF34)))*(nTP_OK*BO34*(nTP_UTC_n&lt;=N(BQ34))+(1-nTP_OK*BO34)*(nTP_Loc_n&lt;=N(BP34)))+(1-nTP_HT*DD34*BN34)*(nTP_Hi_n&gt;=N(DH34))*(nTP_Lo_n&lt;=N(BS34)))),3),0))</f>
        <v>0</v>
      </c>
      <c r="ET34" s="22">
        <f>IF(EP34&lt;1,0,IFERROR(_xlfn.AGGREGATE(15,6,nTP_RowN/((nTP_Case_Key=AX34)*(nTP_Role="treatment of the event")*((nTP_Record_Type="EXPOSURE_START")+(nTP_Record_Type="ADMINISTRATION"))*(nTP_Err="")*(nTP_HT*DD34*BN34*(nTP_OK*DE34*(nTP_UTC_n&gt;=N(DG34))+(1-nTP_OK*DE34)*(nTP_Loc_n&gt;=N(DF34)))*(nTP_OK*BO34*(nTP_UTC_n&lt;=N(BQ34))+(1-nTP_OK*BO34)*(nTP_Loc_n&lt;=N(BP34)))+(1-nTP_HT*DD34*BN34)*(nTP_Hi_n&gt;=N(DH34))*(nTP_Lo_n&lt;=N(BS34)))),1),0))</f>
        <v>0</v>
      </c>
      <c r="EU34" s="22">
        <f>IF(EP34&lt;2,0,IFERROR(_xlfn.AGGREGATE(15,6,nTP_RowN/((nTP_Case_Key=AX34)*(nTP_Role="treatment of the event")*((nTP_Record_Type="EXPOSURE_START")+(nTP_Record_Type="ADMINISTRATION"))*(nTP_Err="")*(nTP_HT*DD34*BN34*(nTP_OK*DE34*(nTP_UTC_n&gt;=N(DG34))+(1-nTP_OK*DE34)*(nTP_Loc_n&gt;=N(DF34)))*(nTP_OK*BO34*(nTP_UTC_n&lt;=N(BQ34))+(1-nTP_OK*BO34)*(nTP_Loc_n&lt;=N(BP34)))+(1-nTP_HT*DD34*BN34)*(nTP_Hi_n&gt;=N(DH34))*(nTP_Lo_n&lt;=N(BS34)))),2),0))</f>
        <v>0</v>
      </c>
      <c r="EV34" s="22">
        <f>IF(EP34&lt;3,0,IFERROR(_xlfn.AGGREGATE(15,6,nTP_RowN/((nTP_Case_Key=AX34)*(nTP_Role="treatment of the event")*((nTP_Record_Type="EXPOSURE_START")+(nTP_Record_Type="ADMINISTRATION"))*(nTP_Err="")*(nTP_HT*DD34*BN34*(nTP_OK*DE34*(nTP_UTC_n&gt;=N(DG34))+(1-nTP_OK*DE34)*(nTP_Loc_n&gt;=N(DF34)))*(nTP_OK*BO34*(nTP_UTC_n&lt;=N(BQ34))+(1-nTP_OK*BO34)*(nTP_Loc_n&lt;=N(BP34)))+(1-nTP_HT*DD34*BN34)*(nTP_Hi_n&gt;=N(DH34))*(nTP_Lo_n&lt;=N(BS34)))),3),0))</f>
        <v>0</v>
      </c>
      <c r="EW34" s="22">
        <f>IF(CE34&lt;1,0,IFERROR(_xlfn.AGGREGATE(15,6,nTP_RowN/((nTP_CandKey=BX34)*(nTP_Err="")*(1-nTP_Exact)*((nTP_HT*BN34*((nTP_OK*BO34*(nTP_UTC_n-N(BQ34))+(1-nTP_OK*BO34)*(nTP_Loc_n-N(BP34)))&lt;=0)+(1-nTP_HT*BN34)*(nTP_Hi_n&lt;N(BR34)))+((1-nTP_HT*BN34)*(nTP_Lo_n=nTP_Hi_n)*(nTP_Lo_n=N(BR34))*(N(BR34)=N(BS34))))),1),0))</f>
        <v>0</v>
      </c>
      <c r="EX34" s="22">
        <f>IF(CE34&lt;2,0,IFERROR(_xlfn.AGGREGATE(15,6,nTP_RowN/((nTP_CandKey=BX34)*(nTP_Err="")*(1-nTP_Exact)*((nTP_HT*BN34*((nTP_OK*BO34*(nTP_UTC_n-N(BQ34))+(1-nTP_OK*BO34)*(nTP_Loc_n-N(BP34)))&lt;=0)+(1-nTP_HT*BN34)*(nTP_Hi_n&lt;N(BR34)))+((1-nTP_HT*BN34)*(nTP_Lo_n=nTP_Hi_n)*(nTP_Lo_n=N(BR34))*(N(BR34)=N(BS34))))),2),0))</f>
        <v>0</v>
      </c>
      <c r="EY34" s="22">
        <f>IF(CE34&lt;3,0,IFERROR(_xlfn.AGGREGATE(15,6,nTP_RowN/((nTP_CandKey=BX34)*(nTP_Err="")*(1-nTP_Exact)*((nTP_HT*BN34*((nTP_OK*BO34*(nTP_UTC_n-N(BQ34))+(1-nTP_OK*BO34)*(nTP_Loc_n-N(BP34)))&lt;=0)+(1-nTP_HT*BN34)*(nTP_Hi_n&lt;N(BR34)))+((1-nTP_HT*BN34)*(nTP_Lo_n=nTP_Hi_n)*(nTP_Lo_n=N(BR34))*(N(BR34)=N(BS34))))),3),0))</f>
        <v>0</v>
      </c>
      <c r="EZ34" s="21" t="str">
        <f>IF(EO34=0,"",MID(IF(EQ34&gt;0,"; "&amp;INDEX(nTP_Record_ID,EQ34)&amp;IF(INDEX(nTP_Label,EQ34)="",""," ("&amp;INDEX(nTP_Label,EQ34)&amp;")"),"")&amp;IF(ER34&gt;0,"; "&amp;INDEX(nTP_Record_ID,ER34)&amp;IF(INDEX(nTP_Label,ER34)="",""," ("&amp;INDEX(nTP_Label,ER34)&amp;")"),"")&amp;IF(ES34&gt;0,"; "&amp;INDEX(nTP_Record_ID,ES34)&amp;IF(INDEX(nTP_Label,ES34)="",""," ("&amp;INDEX(nTP_Label,ES34)&amp;")"),"")&amp;IF(EO34&gt;3,"; and "&amp;(EO34-3)&amp;" more",""),3,999))</f>
        <v/>
      </c>
      <c r="FA34" s="21" t="str">
        <f>IF(EO34=0,"",MID(IF(EQ34&gt;0,"; "&amp;INDEX(nTP_Record_ID,EQ34),"")&amp;IF(ER34&gt;0,"; "&amp;INDEX(nTP_Record_ID,ER34),"")&amp;IF(ES34&gt;0,"; "&amp;INDEX(nTP_Record_ID,ES34),"")&amp;IF(EO34&gt;3,"; and "&amp;(EO34-3)&amp;" more",""),3,999))</f>
        <v/>
      </c>
      <c r="FB34" s="21" t="str">
        <f>IF(EP34=0,"",MID(IF(ET34&gt;0,"; "&amp;INDEX(nTP_Record_ID,ET34)&amp;IF(INDEX(nTP_Label,ET34)="",""," ("&amp;INDEX(nTP_Label,ET34)&amp;")"),"")&amp;IF(EU34&gt;0,"; "&amp;INDEX(nTP_Record_ID,EU34)&amp;IF(INDEX(nTP_Label,EU34)="",""," ("&amp;INDEX(nTP_Label,EU34)&amp;")"),"")&amp;IF(EV34&gt;0,"; "&amp;INDEX(nTP_Record_ID,EV34)&amp;IF(INDEX(nTP_Label,EV34)="",""," ("&amp;INDEX(nTP_Label,EV34)&amp;")"),"")&amp;IF(EP34&gt;3,"; and "&amp;(EP34-3)&amp;" more",""),3,999))</f>
        <v/>
      </c>
      <c r="FC34" s="21" t="str">
        <f>IF(CE34=0,"",MID(IF(EW34&gt;0,"; "&amp;INDEX(nTP_Record_ID,EW34),"")&amp;IF(EX34&gt;0,"; "&amp;INDEX(nTP_Record_ID,EX34),"")&amp;IF(EY34&gt;0,"; "&amp;INDEX(nTP_Record_ID,EY34),"")&amp;IF(CE34&gt;3,"; and "&amp;(CE34-3)&amp;" more",""),3,999))</f>
        <v/>
      </c>
      <c r="FD34" s="22">
        <f t="shared" si="55"/>
        <v>0</v>
      </c>
      <c r="FE34" s="22">
        <f t="shared" si="56"/>
        <v>0</v>
      </c>
      <c r="FF34" s="22">
        <f t="shared" si="57"/>
        <v>0</v>
      </c>
      <c r="FG34" s="22">
        <f t="shared" si="58"/>
        <v>0</v>
      </c>
      <c r="FH34" s="22">
        <f t="shared" si="59"/>
        <v>0</v>
      </c>
      <c r="FI34" s="22">
        <f t="shared" si="60"/>
        <v>0</v>
      </c>
      <c r="FJ34" s="22">
        <f t="shared" si="61"/>
        <v>0</v>
      </c>
      <c r="FK34" s="22">
        <f t="shared" si="62"/>
        <v>0</v>
      </c>
    </row>
    <row r="35" spans="1:167" x14ac:dyDescent="0.2">
      <c r="A35" s="10"/>
      <c r="B35" s="10"/>
      <c r="C35" s="12"/>
      <c r="D35" s="10"/>
      <c r="E35" s="17"/>
      <c r="F35" s="10"/>
      <c r="G35" s="10"/>
      <c r="H35" s="10"/>
      <c r="I35" s="17"/>
      <c r="J35" s="17"/>
      <c r="K35" s="10"/>
      <c r="L35" s="17"/>
      <c r="M35" s="17"/>
      <c r="N35" s="17"/>
      <c r="O35" s="10"/>
      <c r="P35" s="15"/>
      <c r="Q35" s="15"/>
      <c r="R35" s="10"/>
      <c r="S35" s="10"/>
      <c r="T35" s="21" t="str">
        <f t="shared" si="0"/>
        <v/>
      </c>
      <c r="U35" s="21" t="str">
        <f t="shared" si="1"/>
        <v/>
      </c>
      <c r="V35" s="21" t="str">
        <f t="shared" si="2"/>
        <v/>
      </c>
      <c r="W35" s="21" t="str">
        <f t="shared" si="3"/>
        <v/>
      </c>
      <c r="X35" s="21" t="str">
        <f t="shared" si="4"/>
        <v/>
      </c>
      <c r="Y35" s="21" t="str">
        <f t="shared" si="5"/>
        <v/>
      </c>
      <c r="Z35" s="21" t="str">
        <f t="shared" si="6"/>
        <v/>
      </c>
      <c r="AA35" s="21" t="str">
        <f t="shared" si="7"/>
        <v/>
      </c>
      <c r="AB35" s="21" t="str">
        <f t="shared" si="8"/>
        <v/>
      </c>
      <c r="AC35" s="21" t="str">
        <f t="shared" si="9"/>
        <v/>
      </c>
      <c r="AD35" s="21" t="str">
        <f>IF(AW35=1,"",MID(IF(ISNUMBER(SEARCH("E_INVALID_DATE",EG35))," | E_INVALID_DATE: "&amp;SUBSTITUTE(IFERROR(INDEX(nMSG_Text,MATCH("E_INVALID_DATE",nMSG_Code,0)),""),"[input]",""),"")&amp;IF(ISNUMBER(SEARCH("E_REVERSED_BOUNDS",EG35))," | E_REVERSED_BOUNDS: "&amp;SUBSTITUTE(IFERROR(INDEX(nMSG_Text,MATCH("E_REVERSED_BOUNDS",nMSG_Code,0)),""),"[input]",""),"")&amp;IF(ISNUMBER(SEARCH("E_DUPLICATE_ID",EG35))," | E_DUPLICATE_ID: "&amp;SUBSTITUTE(IFERROR(INDEX(nMSG_Text,MATCH("E_DUPLICATE_ID",nMSG_Code,0)),""),"[input]",""),"")&amp;IF(ISNUMBER(SEARCH("E_MISSING_LINK",EG35))," | E_MISSING_LINK: "&amp;SUBSTITUTE(IFERROR(INDEX(nMSG_Text,MATCH("E_MISSING_LINK",nMSG_Code,0)),""),"[input]",""),"")&amp;IF(ISNUMBER(SEARCH("E_MISSING_INPUT",EG35))," | E_MISSING_INPUT: "&amp;SUBSTITUTE(IFERROR(INDEX(nMSG_Text,MATCH("E_MISSING_INPUT",nMSG_Code,0)),""),"[input]",IF(EH35="","an input",EH35)),"")&amp;IF(ISNUMBER(SEARCH("E_INVALID_UNIT",EG35))," | E_INVALID_UNIT: "&amp;SUBSTITUTE(IFERROR(INDEX(nMSG_Text,MATCH("E_INVALID_UNIT",nMSG_Code,0)),""),"[input]",""),"")&amp;IF(FD35=1," | W_TZ_UNKNOWN: "&amp;SUBSTITUTE(IFERROR(INDEX(nMSG_Text,MATCH("W_TZ_UNKNOWN",nMSG_Code,0)),""),"[input]",""),"")&amp;IF(FE35=1," | W_SAME_DATE_ORDER_UNKNOWN: "&amp;SUBSTITUTE(IFERROR(INDEX(nMSG_Text,MATCH("W_SAME_DATE_ORDER_UNKNOWN",nMSG_Code,0)),""),"[input]",""),"")&amp;IF(FF35=1," | W_SEQUENCE_UNCERTAIN: "&amp;SUBSTITUTE(IFERROR(INDEX(nMSG_Text,MATCH("W_SEQUENCE_UNCERTAIN",nMSG_Code,0)),""),"[input]",""),"")&amp;IF(FG35=1," | W_ADMIN_SAME_DATE_AS_ONSET: "&amp;SUBSTITUTE(IFERROR(INDEX(nMSG_Text,MATCH("W_ADMIN_SAME_DATE_AS_ONSET",nMSG_Code,0)),""),"[input]",""),"")&amp;IF(FH35=1," | W_REPORTED_TIMING_CONFLICT: "&amp;SUBSTITUTE(IFERROR(INDEX(nMSG_Text,MATCH("W_REPORTED_TIMING_CONFLICT",nMSG_Code,0)),""),"[input]",""),"")&amp;IF(FI35=1," | W_INTERVENTION_BEFORE_RECOVERY: "&amp;SUBSTITUTE(IFERROR(INDEX(nMSG_Text,MATCH("W_INTERVENTION_BEFORE_RECOVERY",nMSG_Code,0)),""),"[input]",""),"")&amp;IF(FJ35=1," | I_TREATMENT_DAY_UNDEFINED: "&amp;SUBSTITUTE(IFERROR(INDEX(nMSG_Text,MATCH("I_TREATMENT_DAY_UNDEFINED",nMSG_Code,0)),""),"[input]",""),"")&amp;IF(FK35=1," | I_APPROXIMATE_NOT_COMPARED: "&amp;SUBSTITUTE(IFERROR(INDEX(nMSG_Text,MATCH("I_APPROXIMATE_NOT_COMPARED",nMSG_Code,0)),""),"[input]",""),""),4,9999))</f>
        <v/>
      </c>
      <c r="AE35" s="21" t="str">
        <f t="shared" si="10"/>
        <v/>
      </c>
      <c r="AF35" s="21" t="str">
        <f t="shared" si="11"/>
        <v/>
      </c>
      <c r="AG35" s="21" t="str">
        <f>IF(EN35="","",MID(IF(ISNUMBER(SEARCH("E_REVERSED_BOUNDS",EN35))," | E_REVERSED_BOUNDS: "&amp;SUBSTITUTE(IFERROR(INDEX(nMSG_Text,MATCH("E_REVERSED_BOUNDS",nMSG_Code,0)),""),"[input]",""),"")&amp;IF(ISNUMBER(SEARCH("E_MISSING_INPUT",EN35))," | E_MISSING_INPUT: "&amp;SUBSTITUTE(IFERROR(INDEX(nMSG_Text,MATCH("E_MISSING_INPUT",nMSG_Code,0)),""),"[input]",IF("the source of the constraint"="","an input","the source of the constraint")),""),4,999))</f>
        <v/>
      </c>
      <c r="AH35" s="21" t="str">
        <f t="shared" si="12"/>
        <v/>
      </c>
      <c r="AI35" s="21" t="str">
        <f t="shared" si="13"/>
        <v/>
      </c>
      <c r="AJ35" s="21" t="str">
        <f t="shared" si="14"/>
        <v/>
      </c>
      <c r="AK35" s="21" t="str">
        <f t="shared" si="15"/>
        <v/>
      </c>
      <c r="AL35" s="21" t="str">
        <f>IF(CY35=0,"",INDEX(nTP_ISO,CY35))</f>
        <v/>
      </c>
      <c r="AM35" s="21" t="str">
        <f>IF(CY35=0,"",INDEX(nTP_Display,CY35))</f>
        <v/>
      </c>
      <c r="AN35" s="21" t="str">
        <f>IF(BI35=0,"",INDEX(nTP_ISO,BI35))</f>
        <v/>
      </c>
      <c r="AO35" s="21" t="str">
        <f>IF(BI35=0,"",INDEX(nTP_Display,BI35))</f>
        <v/>
      </c>
      <c r="AP35" s="21" t="str">
        <f>IF(BA35=0,"",INDEX(nLNK_Exposure_Episode_ID,BA35)&amp;"")</f>
        <v/>
      </c>
      <c r="AQ35" s="21" t="str">
        <f>IF(BA35=0,"",INDEX(nLNK_Event_Episode_ID,BA35)&amp;"")</f>
        <v/>
      </c>
      <c r="AR35" s="21" t="str">
        <f t="shared" si="16"/>
        <v/>
      </c>
      <c r="AS35" s="21" t="str">
        <f>IF(EI35=0,"",MID(IF(DT35=1," | Recovery interval (C7) computed with "&amp;DS35&amp;".","")&amp;IF(BG35=1," | Anchor selected under C5 (CALC-SPEC 1.1): latest administration with an exact date or time at or before "&amp;IF(BH35=1,"onset","the end point")&amp;" ("&amp;AJ35&amp;"), ordered in UTC when offsets are known; later administrations are never selected.","")&amp;IF(AND(BG35=1,CE35&gt;0)," | Partial-date administrations wholly before the selected one were not candidates: "&amp;FC35&amp;".","")&amp;IF(BV35&lt;&gt;""," | "&amp;BV35,"")&amp;IF(AND(DS35="C2",EA35=0,DZ35&lt;&gt;"")," | Same calendar date; both times are known, so C1 decides the order ("&amp;AA35&amp;").","")&amp;IF(AND(DS35="C2",DD35*BN35=1,DT35=0)," | Calendar-date difference from the recorded local dates; it is never described as elapsed days.","")&amp;IF(AND(DS35="C4",DT35=0)," | Bounds are treated as independent; no single date is imputed from them.","")&amp;IF(EJ35=1," | Treatment day under the inclusive convention (C3); never written to E2B fields automatically.","")&amp;IF(AND(DS35="C4",DT35=0,EK35=0)," | No constraint applied.","")&amp;IF(AND(DS35="C4",EK35=1)," | Constraint applied to the anchor bounds: "&amp;IF(ISNUMBER(P35),"not before "&amp;DAY(P35)&amp;" "&amp;INDEX(nLIST_Months,MONTH(P35))&amp;" "&amp;YEAR(P35),"")&amp;IF(AND(ISNUMBER(P35),ISNUMBER(Q35)),", ","")&amp;IF(ISNUMBER(Q35),"not after "&amp;DAY(Q35)&amp;" "&amp;INDEX(nLIST_Months,MONTH(Q35))&amp;" "&amp;YEAR(Q35),"")&amp;". Source: "&amp;IF(R35="","not recorded",R35)&amp;IF(EN35="",". Constrained result shown beside the unconstrained one.",". Constrained result blocked ("&amp;EN35&amp;")."),"")&amp;IF(DT35=1,IF(EO35&gt;0," | Intervention recorded between cessation and recovery (ends included): "&amp;EZ35&amp;"."," | No intervention is recorded between cessation and recovery; absence of a record is not evidence that none was given."),"")&amp;IF(AND(DT35=1,DV35&gt;0)," | Intervention recorded without a date, so whether it came before recovery is unknown: "&amp;INDEX(nMS_Milestone_ID,MATCH(1,INDEX((nMS_CaseKey=AX35)*(nMS_Type="INTERVENTION")*nMS_Undated,0),0))&amp;IF(DV35&gt;1," and "&amp;(DV35-1)&amp;" more","")&amp;".","")&amp;IF(AND(DT35=1,EP35&gt;0)," | Not counted as interventions, because they are recorded as exposures rather than as intervention milestones (nothing is inferred): "&amp;FB35&amp;". If treatment was given, record it as an intervention milestone.",""),4,9999))</f>
        <v/>
      </c>
      <c r="AT35" s="21" t="str">
        <f t="shared" si="17"/>
        <v/>
      </c>
      <c r="AU35" s="21" t="str">
        <f t="shared" si="18"/>
        <v/>
      </c>
      <c r="AV35" s="21" t="str">
        <f t="shared" si="19"/>
        <v/>
      </c>
      <c r="AW35" s="22">
        <f t="shared" si="20"/>
        <v>1</v>
      </c>
      <c r="AX35" s="21" t="str">
        <f t="shared" si="21"/>
        <v>|</v>
      </c>
      <c r="AY35" s="21" t="str">
        <f t="shared" si="22"/>
        <v/>
      </c>
      <c r="AZ35" s="22">
        <f>IF(AY35="",0,COUNTIF(nINT_Key,AY35))</f>
        <v>0</v>
      </c>
      <c r="BA35" s="22">
        <f>IF(D35="",0,IFERROR(MATCH(AX35&amp;"|"&amp;D35,nLNK_Key,0),0))</f>
        <v>0</v>
      </c>
      <c r="BB35" s="22">
        <f>IF(BA35=0,1,INDEX(nLNK_Exp_Found,BA35))</f>
        <v>1</v>
      </c>
      <c r="BC35" s="22">
        <f>IF(BA35=0,1,INDEX(nLNK_Evt_Found,BA35))</f>
        <v>1</v>
      </c>
      <c r="BD35" s="22">
        <f>IF(AP35="",0,COUNTIF(nEXP_Key,AX35&amp;"|"&amp;AP35))</f>
        <v>0</v>
      </c>
      <c r="BE35" s="22">
        <f>IF(AQ35="",0,COUNTIF(nEVT_Key,AX35&amp;"|"&amp;AQ35))</f>
        <v>0</v>
      </c>
      <c r="BF35" s="22">
        <f>IF(ISNA(MATCH(E35,nLIST_AnchorType,0)),0,1)</f>
        <v>0</v>
      </c>
      <c r="BG35" s="22">
        <f t="shared" si="23"/>
        <v>0</v>
      </c>
      <c r="BH35" s="22">
        <f t="shared" si="24"/>
        <v>0</v>
      </c>
      <c r="BI35" s="22">
        <f>IF(OR(AW35=1,AK35=""),0,IFERROR(MATCH(AX35&amp;"|"&amp;AK35,nTP_Key,0),0))</f>
        <v>0</v>
      </c>
      <c r="BJ35" s="21">
        <f>IF(BI35=0,0,INDEX(nTP_Dup,BI35))</f>
        <v>0</v>
      </c>
      <c r="BK35" s="21" t="str">
        <f>IF(BI35=0,"",INDEX(nTP_Record_Type,BI35))</f>
        <v/>
      </c>
      <c r="BL35" s="21" t="str">
        <f>IF(BI35=0,"",INDEX(nTP_Precision,BI35))</f>
        <v/>
      </c>
      <c r="BM35" s="21" t="str">
        <f>IF(BI35=0,"",INDEX(nTP_Err,BI35))</f>
        <v/>
      </c>
      <c r="BN35" s="21">
        <f>IF(BI35=0,0,INDEX(nTP_HT,BI35))</f>
        <v>0</v>
      </c>
      <c r="BO35" s="21">
        <f>IF(BI35=0,0,INDEX(nTP_OK,BI35))</f>
        <v>0</v>
      </c>
      <c r="BP35" s="21" t="str">
        <f>IF(BI35=0,"",INDEX(nTP_Loc,BI35))</f>
        <v/>
      </c>
      <c r="BQ35" s="21" t="str">
        <f>IF(BI35=0,"",INDEX(nTP_UTC,BI35))</f>
        <v/>
      </c>
      <c r="BR35" s="21" t="str">
        <f>IF(BI35=0,"",INDEX(nTP_Lo,BI35))</f>
        <v/>
      </c>
      <c r="BS35" s="21" t="str">
        <f>IF(BI35=0,"",INDEX(nTP_Hi,BI35))</f>
        <v/>
      </c>
      <c r="BT35" s="21" t="str">
        <f>IF(BI35=0,"",INDEX(nTP_Original_Text,BI35))</f>
        <v/>
      </c>
      <c r="BU35" s="21" t="str">
        <f>IF(BI35=0,"",INDEX(nTP_Source,BI35))</f>
        <v/>
      </c>
      <c r="BV35" s="21" t="str">
        <f>IF(BI35=0,"",INDEX(nTP_Lab_Note,BI35))</f>
        <v/>
      </c>
      <c r="BW35" s="22">
        <f t="shared" si="25"/>
        <v>0</v>
      </c>
      <c r="BX35" s="21" t="str">
        <f t="shared" si="26"/>
        <v>||</v>
      </c>
      <c r="BY35" s="22">
        <f>IF(BG35=0,0,COUNTIF(nTP_CandKey,BX35))</f>
        <v>0</v>
      </c>
      <c r="BZ35" s="22">
        <f>IF(BG35=0,0,COUNTIFS(nTP_CandKey,BX35,nTP_Err,""))</f>
        <v>0</v>
      </c>
      <c r="CA35" s="21" t="str">
        <f>IF(BY35=BZ35,"",IF(COUNTIFS(nTP_CandKey,BX35,nTP_Err,"E_INVALID_DATE")&gt;0,"; E_INVALID_DATE","")&amp;IF(COUNTIFS(nTP_CandKey,BX35,nTP_Err,"E_REVERSED_BOUNDS")&gt;0,"; E_REVERSED_BOUNDS","")&amp;IF(COUNTIFS(nTP_CandKey,BX35,nTP_Err,"E_MISSING_INPUT")&gt;0,"; E_MISSING_INPUT","")&amp;IF(COUNTIFS(nTP_CandKey,BX35,nTP_Err,"E_INVALID_UNIT")&gt;0,"; E_INVALID_UNIT",""))</f>
        <v/>
      </c>
      <c r="CB35" s="22">
        <f t="shared" si="27"/>
        <v>0</v>
      </c>
      <c r="CC35" s="22">
        <f>IF(CB35=0,0,SUMPRODUCT((nTP_CandKey=BX35)*(nTP_Err="")*(1-(nTP_HT*BN35*((nTP_OK*BO35*(nTP_UTC_n-N(BQ35))+(1-nTP_OK*BO35)*(nTP_Loc_n-N(BP35)))&lt;=0)+(1-nTP_HT*BN35)*(nTP_Hi_n&lt;N(BR35)))-(nTP_HT*BN35*((nTP_OK*BO35*(nTP_UTC_n-N(BQ35))+(1-nTP_OK*BO35)*(nTP_Loc_n-N(BP35)))&gt;0)+(1-nTP_HT*BN35)*(nTP_Lo_n&gt;N(BS35)))-((1-nTP_HT*BN35)*(nTP_Lo_n=nTP_Hi_n)*(nTP_Lo_n=N(BR35))*(N(BR35)=N(BS35))))))</f>
        <v>0</v>
      </c>
      <c r="CD35" s="22">
        <f>IF(CB35=0,0,SUMPRODUCT((nTP_CandKey=BX35)*nTP_Exact*((nTP_HT*BN35*((nTP_OK*BO35*(nTP_UTC_n-N(BQ35))+(1-nTP_OK*BO35)*(nTP_Loc_n-N(BP35)))&lt;=0)+(1-nTP_HT*BN35)*(nTP_Hi_n&lt;N(BR35)))+((1-nTP_HT*BN35)*(nTP_Lo_n=nTP_Hi_n)*(nTP_Lo_n=N(BR35))*(N(BR35)=N(BS35))))))</f>
        <v>0</v>
      </c>
      <c r="CE35" s="22">
        <f>IF(CB35=0,0,SUMPRODUCT((nTP_CandKey=BX35)*(nTP_Err="")*(1-nTP_Exact)*((nTP_HT*BN35*((nTP_OK*BO35*(nTP_UTC_n-N(BQ35))+(1-nTP_OK*BO35)*(nTP_Loc_n-N(BP35)))&lt;=0)+(1-nTP_HT*BN35)*(nTP_Hi_n&lt;N(BR35)))+((1-nTP_HT*BN35)*(nTP_Lo_n=nTP_Hi_n)*(nTP_Lo_n=N(BR35))*(N(BR35)=N(BS35))))))</f>
        <v>0</v>
      </c>
      <c r="CF35" s="22">
        <f>IF(CD35=0,0,SUMPRODUCT(MAX((nTP_CandKey=BX35)*nTP_Exact*((nTP_HT*BN35*((nTP_OK*BO35*(nTP_UTC_n-N(BQ35))+(1-nTP_OK*BO35)*(nTP_Loc_n-N(BP35)))&lt;=0)+(1-nTP_HT*BN35)*(nTP_Hi_n&lt;N(BR35)))+((1-nTP_HT*BN35)*(nTP_Lo_n=nTP_Hi_n)*(nTP_Lo_n=N(BR35))*(N(BR35)=N(BS35))))*nTP_Lo_n)))</f>
        <v>0</v>
      </c>
      <c r="CG35" s="22">
        <f>IF(CD35=0,0,SUMPRODUCT((nTP_CandKey=BX35)*nTP_Exact*((nTP_HT*BN35*((nTP_OK*BO35*(nTP_UTC_n-N(BQ35))+(1-nTP_OK*BO35)*(nTP_Loc_n-N(BP35)))&lt;=0)+(1-nTP_HT*BN35)*(nTP_Hi_n&lt;N(BR35)))+((1-nTP_HT*BN35)*(nTP_Lo_n=nTP_Hi_n)*(nTP_Lo_n=N(BR35))*(N(BR35)=N(BS35))))*(nTP_Lo_n=CF35)))</f>
        <v>0</v>
      </c>
      <c r="CH35" s="22">
        <f>IF(CD35=0,0,SUMPRODUCT((nTP_CandKey=BX35)*nTP_Exact*((nTP_HT*BN35*((nTP_OK*BO35*(nTP_UTC_n-N(BQ35))+(1-nTP_OK*BO35)*(nTP_Loc_n-N(BP35)))&lt;=0)+(1-nTP_HT*BN35)*(nTP_Hi_n&lt;N(BR35)))+((1-nTP_HT*BN35)*(nTP_Lo_n=nTP_Hi_n)*(nTP_Lo_n=N(BR35))*(N(BR35)=N(BS35))))*(1-nTP_HT)*(nTP_Lo_n=CF35)))</f>
        <v>0</v>
      </c>
      <c r="CI35" s="22">
        <f>IF(CD35=0,0,SUMPRODUCT(MAX((nTP_CandKey=BX35)*nTP_Exact*((nTP_HT*BN35*((nTP_OK*BO35*(nTP_UTC_n-N(BQ35))+(1-nTP_OK*BO35)*(nTP_Loc_n-N(BP35)))&lt;=0)+(1-nTP_HT*BN35)*(nTP_Hi_n&lt;N(BR35)))+((1-nTP_HT*BN35)*(nTP_Lo_n=nTP_Hi_n)*(nTP_Lo_n=N(BR35))*(N(BR35)=N(BS35))))*(1-nTP_HT)*nTP_Lo_n)))</f>
        <v>0</v>
      </c>
      <c r="CJ35" s="22">
        <f>IF(CD35=0,0,SUMPRODUCT(MAX((nTP_CandKey=BX35)*nTP_Exact*((nTP_HT*BN35*((nTP_OK*BO35*(nTP_UTC_n-N(BQ35))+(1-nTP_OK*BO35)*(nTP_Loc_n-N(BP35)))&lt;=0)+(1-nTP_HT*BN35)*(nTP_Hi_n&lt;N(BR35)))+((1-nTP_HT*BN35)*(nTP_Lo_n=nTP_Hi_n)*(nTP_Lo_n=N(BR35))*(N(BR35)=N(BS35))))*nTP_HT*nTP_OK*nTP_UTC_n)))</f>
        <v>0</v>
      </c>
      <c r="CK35" s="22">
        <f>IF(CJ35=0,0,SUMPRODUCT((nTP_CandKey=BX35)*nTP_Exact*((nTP_HT*BN35*((nTP_OK*BO35*(nTP_UTC_n-N(BQ35))+(1-nTP_OK*BO35)*(nTP_Loc_n-N(BP35)))&lt;=0)+(1-nTP_HT*BN35)*(nTP_Hi_n&lt;N(BR35)))+((1-nTP_HT*BN35)*(nTP_Lo_n=nTP_Hi_n)*(nTP_Lo_n=N(BR35))*(N(BR35)=N(BS35))))*nTP_HT*nTP_OK*(nTP_UTC_n=CJ35)))</f>
        <v>0</v>
      </c>
      <c r="CL35" s="22">
        <f>IF(CK35&lt;&gt;1,0,SUMPRODUCT((nTP_CandKey=BX35)*nTP_Exact*((nTP_HT*BN35*((nTP_OK*BO35*(nTP_UTC_n-N(BQ35))+(1-nTP_OK*BO35)*(nTP_Loc_n-N(BP35)))&lt;=0)+(1-nTP_HT*BN35)*(nTP_Hi_n&lt;N(BR35)))+((1-nTP_HT*BN35)*(nTP_Lo_n=nTP_Hi_n)*(nTP_Lo_n=N(BR35))*(N(BR35)=N(BS35))))*nTP_HT*nTP_OK*(nTP_UTC_n=CJ35)*nTP_Loc_n))</f>
        <v>0</v>
      </c>
      <c r="CM35" s="22">
        <f>IF(CK35&lt;&gt;1,0,SUMPRODUCT((nTP_CandKey=BX35)*nTP_Exact*((nTP_HT*BN35*((nTP_OK*BO35*(nTP_UTC_n-N(BQ35))+(1-nTP_OK*BO35)*(nTP_Loc_n-N(BP35)))&lt;=0)+(1-nTP_HT*BN35)*(nTP_Hi_n&lt;N(BR35)))+((1-nTP_HT*BN35)*(nTP_Lo_n=nTP_Hi_n)*(nTP_Lo_n=N(BR35))*(N(BR35)=N(BS35))))*nTP_HT*nTP_OK*(nTP_UTC_n=CJ35)*nTP_Lo_n))</f>
        <v>0</v>
      </c>
      <c r="CN35" s="22">
        <f>IF(CD35=0,0,SUMPRODUCT(MAX((nTP_CandKey=BX35)*nTP_Exact*((nTP_HT*BN35*((nTP_OK*BO35*(nTP_UTC_n-N(BQ35))+(1-nTP_OK*BO35)*(nTP_Loc_n-N(BP35)))&lt;=0)+(1-nTP_HT*BN35)*(nTP_Hi_n&lt;N(BR35)))+((1-nTP_HT*BN35)*(nTP_Lo_n=nTP_Hi_n)*(nTP_Lo_n=N(BR35))*(N(BR35)=N(BS35))))*nTP_HT*(1-nTP_OK)*nTP_Loc_n)))</f>
        <v>0</v>
      </c>
      <c r="CO35" s="22">
        <f>IF(CN35=0,0,SUMPRODUCT((nTP_CandKey=BX35)*nTP_Exact*((nTP_HT*BN35*((nTP_OK*BO35*(nTP_UTC_n-N(BQ35))+(1-nTP_OK*BO35)*(nTP_Loc_n-N(BP35)))&lt;=0)+(1-nTP_HT*BN35)*(nTP_Hi_n&lt;N(BR35)))+((1-nTP_HT*BN35)*(nTP_Lo_n=nTP_Hi_n)*(nTP_Lo_n=N(BR35))*(N(BR35)=N(BS35))))*nTP_HT*(1-nTP_OK)*(nTP_Loc_n=CN35)))</f>
        <v>0</v>
      </c>
      <c r="CP35" s="22">
        <f>IF(CO35&lt;&gt;1,0,SUMPRODUCT((nTP_CandKey=BX35)*nTP_Exact*((nTP_HT*BN35*((nTP_OK*BO35*(nTP_UTC_n-N(BQ35))+(1-nTP_OK*BO35)*(nTP_Loc_n-N(BP35)))&lt;=0)+(1-nTP_HT*BN35)*(nTP_Hi_n&lt;N(BR35)))+((1-nTP_HT*BN35)*(nTP_Lo_n=nTP_Hi_n)*(nTP_Lo_n=N(BR35))*(N(BR35)=N(BS35))))*nTP_HT*(1-nTP_OK)*(nTP_Loc_n=CN35)*nTP_Lo_n))</f>
        <v>0</v>
      </c>
      <c r="CQ35" s="22">
        <f>IF(CD35=0,0,SUMPRODUCT(MAX((nTP_CandKey=BX35)*nTP_Exact*((nTP_HT*BN35*((nTP_OK*BO35*(nTP_UTC_n-N(BQ35))+(1-nTP_OK*BO35)*(nTP_Loc_n-N(BP35)))&lt;=0)+(1-nTP_HT*BN35)*(nTP_Hi_n&lt;N(BR35)))+((1-nTP_HT*BN35)*(nTP_Lo_n=nTP_Hi_n)*(nTP_Lo_n=N(BR35))*(N(BR35)=N(BS35))))*nTP_HT*nTP_OK*nTP_Loc_n)))</f>
        <v>0</v>
      </c>
      <c r="CR35" s="22">
        <f t="shared" si="28"/>
        <v>0</v>
      </c>
      <c r="CS35" s="22">
        <f>IF(CR35=0,0,IF(CR35=1,MATCH(1,INDEX((nTP_CandKey=BX35)*nTP_Exact*((nTP_HT*BN35*((nTP_OK*BO35*(nTP_UTC_n-N(BQ35))+(1-nTP_OK*BO35)*(nTP_Loc_n-N(BP35)))&lt;=0)+(1-nTP_HT*BN35)*(nTP_Hi_n&lt;N(BR35)))+((1-nTP_HT*BN35)*(nTP_Lo_n=nTP_Hi_n)*(nTP_Lo_n=N(BR35))*(N(BR35)=N(BS35))))*(1-nTP_HT)*(nTP_Lo_n=CF35),0),0),IF(CR35=2,MATCH(1,INDEX((nTP_CandKey=BX35)*nTP_Exact*((nTP_HT*BN35*((nTP_OK*BO35*(nTP_UTC_n-N(BQ35))+(1-nTP_OK*BO35)*(nTP_Loc_n-N(BP35)))&lt;=0)+(1-nTP_HT*BN35)*(nTP_Hi_n&lt;N(BR35)))+((1-nTP_HT*BN35)*(nTP_Lo_n=nTP_Hi_n)*(nTP_Lo_n=N(BR35))*(N(BR35)=N(BS35))))*nTP_HT*nTP_OK*(nTP_UTC_n=CJ35),0),0),MATCH(1,INDEX((nTP_CandKey=BX35)*nTP_Exact*((nTP_HT*BN35*((nTP_OK*BO35*(nTP_UTC_n-N(BQ35))+(1-nTP_OK*BO35)*(nTP_Loc_n-N(BP35)))&lt;=0)+(1-nTP_HT*BN35)*(nTP_Hi_n&lt;N(BR35)))+((1-nTP_HT*BN35)*(nTP_Lo_n=nTP_Hi_n)*(nTP_Lo_n=N(BR35))*(N(BR35)=N(BS35))))*nTP_HT*(1-nTP_OK)*(nTP_Loc_n=CN35),0),0))))</f>
        <v>0</v>
      </c>
      <c r="CT35" s="22">
        <f>IF(CS35=0,0,INDEX(nTP_Lo_n,CS35))</f>
        <v>0</v>
      </c>
      <c r="CU35" s="22">
        <f>IF(CS35=0,0,SUMPRODUCT((nTP_CandKey=BX35)*(nTP_Err="")*(1-nTP_Exact)*((nTP_HT*BN35*((nTP_OK*BO35*(nTP_UTC_n-N(BQ35))+(1-nTP_OK*BO35)*(nTP_Loc_n-N(BP35)))&lt;=0)+(1-nTP_HT*BN35)*(nTP_Hi_n&lt;N(BR35)))+((1-nTP_HT*BN35)*(nTP_Lo_n=nTP_Hi_n)*(nTP_Lo_n=N(BR35))*(N(BR35)=N(BS35))))*(nTP_Hi_n&gt;=CT35)))</f>
        <v>0</v>
      </c>
      <c r="CV35" s="21" t="str">
        <f t="shared" si="29"/>
        <v/>
      </c>
      <c r="CW35" s="21" t="str">
        <f>IF(AND(BG35=1,CB35=1,CV35="",CS35&gt;0),INDEX(nTP_Record_ID,CS35)&amp;"","")</f>
        <v/>
      </c>
      <c r="CX35" s="21" t="str">
        <f>IF(OR(CV35="",BG35=0),"",IF(CV35="none","an administration record (last dose before onset)",IF(CV35="uncertain","the anchor record: "&amp;INDEX(nTP_Record_ID,MATCH(1,INDEX((nTP_CandKey=BX35)*(nTP_Err="")*(1-(nTP_HT*BN35*((nTP_OK*BO35*(nTP_UTC_n-N(BQ35))+(1-nTP_OK*BO35)*(nTP_Loc_n-N(BP35)))&lt;=0)+(1-nTP_HT*BN35)*(nTP_Hi_n&lt;N(BR35)))-(nTP_HT*BN35*((nTP_OK*BO35*(nTP_UTC_n-N(BQ35))+(1-nTP_OK*BO35)*(nTP_Loc_n-N(BP35)))&gt;0)+(1-nTP_HT*BN35)*(nTP_Lo_n&gt;N(BS35)))-((1-nTP_HT*BN35)*(nTP_Lo_n=nTP_Hi_n)*(nTP_Lo_n=N(BR35))*(N(BR35)=N(BS35)))),0),0))&amp;IF(CC35&gt;1," and "&amp;(CC35-1)&amp;" more","")&amp;" may fall before or after the end point, so the last dose cannot be identified from the recorded dates",IF(CV35="noneligible","the anchor record: no administration with an exact date is recorded at or before the end point",IF(CV35="tie","the anchor record: the order of the latest administrations cannot be told from the recorded dates and times","the anchor record: partial-date administration "&amp;INDEX(nTP_Record_ID,MATCH(1,INDEX((nTP_CandKey=BX35)*(nTP_Err="")*(1-nTP_Exact)*((nTP_HT*BN35*((nTP_OK*BO35*(nTP_UTC_n-N(BQ35))+(1-nTP_OK*BO35)*(nTP_Loc_n-N(BP35)))&lt;=0)+(1-nTP_HT*BN35)*(nTP_Hi_n&lt;N(BR35)))+((1-nTP_HT*BN35)*(nTP_Lo_n=nTP_Hi_n)*(nTP_Lo_n=N(BR35))*(N(BR35)=N(BS35))))*(nTP_Hi_n&gt;=CT35),0),0))&amp;" could be the last dose before the end point")))))</f>
        <v/>
      </c>
      <c r="CY35" s="22">
        <f>IF(OR(AW35=1,AJ35=""),0,IFERROR(MATCH(AX35&amp;"|"&amp;AJ35,nTP_Key,0),0))</f>
        <v>0</v>
      </c>
      <c r="CZ35" s="21">
        <f>IF(CY35=0,0,INDEX(nTP_Dup,CY35))</f>
        <v>0</v>
      </c>
      <c r="DA35" s="21" t="str">
        <f>IF(CY35=0,"",INDEX(nTP_Record_Type,CY35))</f>
        <v/>
      </c>
      <c r="DB35" s="21" t="str">
        <f>IF(CY35=0,"",INDEX(nTP_Precision,CY35))</f>
        <v/>
      </c>
      <c r="DC35" s="21" t="str">
        <f>IF(CY35=0,"",INDEX(nTP_Err,CY35))</f>
        <v/>
      </c>
      <c r="DD35" s="21">
        <f>IF(CY35=0,0,INDEX(nTP_HT,CY35))</f>
        <v>0</v>
      </c>
      <c r="DE35" s="21">
        <f>IF(CY35=0,0,INDEX(nTP_OK,CY35))</f>
        <v>0</v>
      </c>
      <c r="DF35" s="21" t="str">
        <f>IF(CY35=0,"",INDEX(nTP_Loc,CY35))</f>
        <v/>
      </c>
      <c r="DG35" s="21" t="str">
        <f>IF(CY35=0,"",INDEX(nTP_UTC,CY35))</f>
        <v/>
      </c>
      <c r="DH35" s="21" t="str">
        <f>IF(CY35=0,"",INDEX(nTP_Lo,CY35))</f>
        <v/>
      </c>
      <c r="DI35" s="21" t="str">
        <f>IF(CY35=0,"",INDEX(nTP_Hi,CY35))</f>
        <v/>
      </c>
      <c r="DJ35" s="21" t="str">
        <f>IF(CY35=0,"",INDEX(nTP_Original_Text,CY35))</f>
        <v/>
      </c>
      <c r="DK35" s="21" t="str">
        <f>IF(CY35=0,"",INDEX(nTP_Source,CY35))</f>
        <v/>
      </c>
      <c r="DL35" s="22">
        <f t="shared" si="30"/>
        <v>0</v>
      </c>
      <c r="DM35" s="21" t="str">
        <f t="shared" si="31"/>
        <v/>
      </c>
      <c r="DN35" s="21" t="str">
        <f t="shared" si="32"/>
        <v/>
      </c>
      <c r="DO35" s="21" t="str">
        <f t="shared" si="33"/>
        <v/>
      </c>
      <c r="DP35" s="21" t="str">
        <f t="shared" si="34"/>
        <v/>
      </c>
      <c r="DQ35" s="21" t="str">
        <f t="shared" si="35"/>
        <v/>
      </c>
      <c r="DR35" s="22">
        <f>IF(OR(DQ35="",I35=""),0,IF(ISNA(MATCH(I35,nLIST_Mode,0)),1,IF(AND(I35="C1",DQ35&lt;&gt;"C1"),1,IF(AND(I35="C2",DQ35="C4"),1,0))))</f>
        <v>0</v>
      </c>
      <c r="DS35" s="21" t="str">
        <f t="shared" si="36"/>
        <v/>
      </c>
      <c r="DT35" s="22">
        <f t="shared" si="37"/>
        <v>0</v>
      </c>
      <c r="DU35" s="21" t="str">
        <f>IF(DT35=0,"",IF(COUNTIFS(nTP_Case_Key,AX35,nTP_Record_Type,"MILESTONE:INTERVENTION",nTP_Err,"E_INVALID_DATE")&gt;0,"; E_INVALID_DATE","")&amp;IF(COUNTIFS(nTP_Case_Key,AX35,nTP_Record_Type,"MILESTONE:INTERVENTION",nTP_Err,"E_REVERSED_BOUNDS")&gt;0,"; E_REVERSED_BOUNDS","")&amp;IF(COUNTIFS(nTP_Case_Key,AX35,nTP_Record_Type,"MILESTONE:INTERVENTION",nTP_Err,"E_MISSING_INPUT")&gt;0,"; E_MISSING_INPUT","")&amp;IF(COUNTIFS(nTP_Case_Key,AX35,nTP_Record_Type,"MILESTONE:INTERVENTION",nTP_Err,"E_INVALID_UNIT")&gt;0,"; E_INVALID_UNIT",""))</f>
        <v/>
      </c>
      <c r="DV35" s="22">
        <f>IF(DT35=0,0,SUMPRODUCT((nMS_CaseKey=AX35)*(nMS_Type="INTERVENTION")*nMS_Undated))</f>
        <v>0</v>
      </c>
      <c r="DW35" s="21" t="str">
        <f t="shared" si="38"/>
        <v/>
      </c>
      <c r="DX35" s="21" t="str">
        <f t="shared" si="39"/>
        <v/>
      </c>
      <c r="DY35" s="22">
        <f t="shared" si="40"/>
        <v>1</v>
      </c>
      <c r="DZ35" s="21" t="str">
        <f t="shared" si="41"/>
        <v/>
      </c>
      <c r="EA35" s="21" t="str">
        <f t="shared" si="42"/>
        <v/>
      </c>
      <c r="EB35" s="21" t="str">
        <f t="shared" si="43"/>
        <v/>
      </c>
      <c r="EC35" s="21" t="str">
        <f t="shared" si="44"/>
        <v/>
      </c>
      <c r="ED35" s="22">
        <f t="shared" si="45"/>
        <v>0</v>
      </c>
      <c r="EE35" s="22">
        <f t="shared" si="46"/>
        <v>0</v>
      </c>
      <c r="EF35" s="21" t="str">
        <f>IF(ED35=0,"",IF(OR(NOT(ISNUMBER(L35)),NOT(ISNUMBER(M35))),"I_APPROXIMATE_NOT_COMPARED",IF(AND(N35&lt;&gt;"",ISNA(MATCH(N35,nLIST_ReportedUnit,0))),"E_INVALID_UNIT",IF(N35="","E_MISSING_INPUT",IF(L35&gt;M35,"E_REVERSED_BOUNDS",IF(OR(N35="weeks",N35="months",N35="years"),"I_APPROXIMATE_NOT_COMPARED",IF(DX35&lt;&gt;"","",IF(EE35=0,"I_APPROXIMATE_NOT_COMPARED",IF(AND(L35*EE35&lt;=IF(DS35="C4",EC35,IF(DS35="C1",DZ35,EA35)),M35*EE35&gt;=IF(DS35="C4",EB35,IF(DS35="C1",DZ35,EA35))),"OVERLAP","W_REPORTED_TIMING_CONFLICT")))))))))</f>
        <v/>
      </c>
      <c r="EG35" s="21" t="str">
        <f t="shared" si="47"/>
        <v/>
      </c>
      <c r="EH35" s="21" t="str">
        <f t="shared" si="48"/>
        <v/>
      </c>
      <c r="EI35" s="22">
        <f t="shared" si="49"/>
        <v>0</v>
      </c>
      <c r="EJ35" s="22">
        <f t="shared" si="50"/>
        <v>0</v>
      </c>
      <c r="EK35" s="22">
        <f t="shared" si="51"/>
        <v>0</v>
      </c>
      <c r="EL35" s="28" t="str">
        <f t="shared" si="52"/>
        <v/>
      </c>
      <c r="EM35" s="28" t="str">
        <f t="shared" si="53"/>
        <v/>
      </c>
      <c r="EN35" s="21" t="str">
        <f t="shared" si="54"/>
        <v/>
      </c>
      <c r="EO35" s="22">
        <f>IF(OR(DT35=0,DX35&lt;&gt;""),0,SUMPRODUCT((nTP_Case_Key=AX35)*(nTP_Record_Type="MILESTONE:INTERVENTION")*(nTP_Err="")*(nTP_HT*DD35*BN35*(nTP_OK*DE35*(nTP_UTC_n&gt;=N(DG35))+(1-nTP_OK*DE35)*(nTP_Loc_n&gt;=N(DF35)))*(nTP_OK*BO35*(nTP_UTC_n&lt;=N(BQ35))+(1-nTP_OK*BO35)*(nTP_Loc_n&lt;=N(BP35)))+(1-nTP_HT*DD35*BN35)*(nTP_Hi_n&gt;=N(DH35))*(nTP_Lo_n&lt;=N(BS35)))))</f>
        <v>0</v>
      </c>
      <c r="EP35" s="22">
        <f>IF(OR(DT35=0,DX35&lt;&gt;""),0,SUMPRODUCT((nTP_Case_Key=AX35)*(nTP_Role="treatment of the event")*((nTP_Record_Type="EXPOSURE_START")+(nTP_Record_Type="ADMINISTRATION"))*(nTP_Err="")*(nTP_HT*DD35*BN35*(nTP_OK*DE35*(nTP_UTC_n&gt;=N(DG35))+(1-nTP_OK*DE35)*(nTP_Loc_n&gt;=N(DF35)))*(nTP_OK*BO35*(nTP_UTC_n&lt;=N(BQ35))+(1-nTP_OK*BO35)*(nTP_Loc_n&lt;=N(BP35)))+(1-nTP_HT*DD35*BN35)*(nTP_Hi_n&gt;=N(DH35))*(nTP_Lo_n&lt;=N(BS35)))))</f>
        <v>0</v>
      </c>
      <c r="EQ35" s="22">
        <f>IF(EO35&lt;1,0,IFERROR(_xlfn.AGGREGATE(15,6,nTP_RowN/((nTP_Case_Key=AX35)*(nTP_Record_Type="MILESTONE:INTERVENTION")*(nTP_Err="")*(nTP_HT*DD35*BN35*(nTP_OK*DE35*(nTP_UTC_n&gt;=N(DG35))+(1-nTP_OK*DE35)*(nTP_Loc_n&gt;=N(DF35)))*(nTP_OK*BO35*(nTP_UTC_n&lt;=N(BQ35))+(1-nTP_OK*BO35)*(nTP_Loc_n&lt;=N(BP35)))+(1-nTP_HT*DD35*BN35)*(nTP_Hi_n&gt;=N(DH35))*(nTP_Lo_n&lt;=N(BS35)))),1),0))</f>
        <v>0</v>
      </c>
      <c r="ER35" s="22">
        <f>IF(EO35&lt;2,0,IFERROR(_xlfn.AGGREGATE(15,6,nTP_RowN/((nTP_Case_Key=AX35)*(nTP_Record_Type="MILESTONE:INTERVENTION")*(nTP_Err="")*(nTP_HT*DD35*BN35*(nTP_OK*DE35*(nTP_UTC_n&gt;=N(DG35))+(1-nTP_OK*DE35)*(nTP_Loc_n&gt;=N(DF35)))*(nTP_OK*BO35*(nTP_UTC_n&lt;=N(BQ35))+(1-nTP_OK*BO35)*(nTP_Loc_n&lt;=N(BP35)))+(1-nTP_HT*DD35*BN35)*(nTP_Hi_n&gt;=N(DH35))*(nTP_Lo_n&lt;=N(BS35)))),2),0))</f>
        <v>0</v>
      </c>
      <c r="ES35" s="22">
        <f>IF(EO35&lt;3,0,IFERROR(_xlfn.AGGREGATE(15,6,nTP_RowN/((nTP_Case_Key=AX35)*(nTP_Record_Type="MILESTONE:INTERVENTION")*(nTP_Err="")*(nTP_HT*DD35*BN35*(nTP_OK*DE35*(nTP_UTC_n&gt;=N(DG35))+(1-nTP_OK*DE35)*(nTP_Loc_n&gt;=N(DF35)))*(nTP_OK*BO35*(nTP_UTC_n&lt;=N(BQ35))+(1-nTP_OK*BO35)*(nTP_Loc_n&lt;=N(BP35)))+(1-nTP_HT*DD35*BN35)*(nTP_Hi_n&gt;=N(DH35))*(nTP_Lo_n&lt;=N(BS35)))),3),0))</f>
        <v>0</v>
      </c>
      <c r="ET35" s="22">
        <f>IF(EP35&lt;1,0,IFERROR(_xlfn.AGGREGATE(15,6,nTP_RowN/((nTP_Case_Key=AX35)*(nTP_Role="treatment of the event")*((nTP_Record_Type="EXPOSURE_START")+(nTP_Record_Type="ADMINISTRATION"))*(nTP_Err="")*(nTP_HT*DD35*BN35*(nTP_OK*DE35*(nTP_UTC_n&gt;=N(DG35))+(1-nTP_OK*DE35)*(nTP_Loc_n&gt;=N(DF35)))*(nTP_OK*BO35*(nTP_UTC_n&lt;=N(BQ35))+(1-nTP_OK*BO35)*(nTP_Loc_n&lt;=N(BP35)))+(1-nTP_HT*DD35*BN35)*(nTP_Hi_n&gt;=N(DH35))*(nTP_Lo_n&lt;=N(BS35)))),1),0))</f>
        <v>0</v>
      </c>
      <c r="EU35" s="22">
        <f>IF(EP35&lt;2,0,IFERROR(_xlfn.AGGREGATE(15,6,nTP_RowN/((nTP_Case_Key=AX35)*(nTP_Role="treatment of the event")*((nTP_Record_Type="EXPOSURE_START")+(nTP_Record_Type="ADMINISTRATION"))*(nTP_Err="")*(nTP_HT*DD35*BN35*(nTP_OK*DE35*(nTP_UTC_n&gt;=N(DG35))+(1-nTP_OK*DE35)*(nTP_Loc_n&gt;=N(DF35)))*(nTP_OK*BO35*(nTP_UTC_n&lt;=N(BQ35))+(1-nTP_OK*BO35)*(nTP_Loc_n&lt;=N(BP35)))+(1-nTP_HT*DD35*BN35)*(nTP_Hi_n&gt;=N(DH35))*(nTP_Lo_n&lt;=N(BS35)))),2),0))</f>
        <v>0</v>
      </c>
      <c r="EV35" s="22">
        <f>IF(EP35&lt;3,0,IFERROR(_xlfn.AGGREGATE(15,6,nTP_RowN/((nTP_Case_Key=AX35)*(nTP_Role="treatment of the event")*((nTP_Record_Type="EXPOSURE_START")+(nTP_Record_Type="ADMINISTRATION"))*(nTP_Err="")*(nTP_HT*DD35*BN35*(nTP_OK*DE35*(nTP_UTC_n&gt;=N(DG35))+(1-nTP_OK*DE35)*(nTP_Loc_n&gt;=N(DF35)))*(nTP_OK*BO35*(nTP_UTC_n&lt;=N(BQ35))+(1-nTP_OK*BO35)*(nTP_Loc_n&lt;=N(BP35)))+(1-nTP_HT*DD35*BN35)*(nTP_Hi_n&gt;=N(DH35))*(nTP_Lo_n&lt;=N(BS35)))),3),0))</f>
        <v>0</v>
      </c>
      <c r="EW35" s="22">
        <f>IF(CE35&lt;1,0,IFERROR(_xlfn.AGGREGATE(15,6,nTP_RowN/((nTP_CandKey=BX35)*(nTP_Err="")*(1-nTP_Exact)*((nTP_HT*BN35*((nTP_OK*BO35*(nTP_UTC_n-N(BQ35))+(1-nTP_OK*BO35)*(nTP_Loc_n-N(BP35)))&lt;=0)+(1-nTP_HT*BN35)*(nTP_Hi_n&lt;N(BR35)))+((1-nTP_HT*BN35)*(nTP_Lo_n=nTP_Hi_n)*(nTP_Lo_n=N(BR35))*(N(BR35)=N(BS35))))),1),0))</f>
        <v>0</v>
      </c>
      <c r="EX35" s="22">
        <f>IF(CE35&lt;2,0,IFERROR(_xlfn.AGGREGATE(15,6,nTP_RowN/((nTP_CandKey=BX35)*(nTP_Err="")*(1-nTP_Exact)*((nTP_HT*BN35*((nTP_OK*BO35*(nTP_UTC_n-N(BQ35))+(1-nTP_OK*BO35)*(nTP_Loc_n-N(BP35)))&lt;=0)+(1-nTP_HT*BN35)*(nTP_Hi_n&lt;N(BR35)))+((1-nTP_HT*BN35)*(nTP_Lo_n=nTP_Hi_n)*(nTP_Lo_n=N(BR35))*(N(BR35)=N(BS35))))),2),0))</f>
        <v>0</v>
      </c>
      <c r="EY35" s="22">
        <f>IF(CE35&lt;3,0,IFERROR(_xlfn.AGGREGATE(15,6,nTP_RowN/((nTP_CandKey=BX35)*(nTP_Err="")*(1-nTP_Exact)*((nTP_HT*BN35*((nTP_OK*BO35*(nTP_UTC_n-N(BQ35))+(1-nTP_OK*BO35)*(nTP_Loc_n-N(BP35)))&lt;=0)+(1-nTP_HT*BN35)*(nTP_Hi_n&lt;N(BR35)))+((1-nTP_HT*BN35)*(nTP_Lo_n=nTP_Hi_n)*(nTP_Lo_n=N(BR35))*(N(BR35)=N(BS35))))),3),0))</f>
        <v>0</v>
      </c>
      <c r="EZ35" s="21" t="str">
        <f>IF(EO35=0,"",MID(IF(EQ35&gt;0,"; "&amp;INDEX(nTP_Record_ID,EQ35)&amp;IF(INDEX(nTP_Label,EQ35)="",""," ("&amp;INDEX(nTP_Label,EQ35)&amp;")"),"")&amp;IF(ER35&gt;0,"; "&amp;INDEX(nTP_Record_ID,ER35)&amp;IF(INDEX(nTP_Label,ER35)="",""," ("&amp;INDEX(nTP_Label,ER35)&amp;")"),"")&amp;IF(ES35&gt;0,"; "&amp;INDEX(nTP_Record_ID,ES35)&amp;IF(INDEX(nTP_Label,ES35)="",""," ("&amp;INDEX(nTP_Label,ES35)&amp;")"),"")&amp;IF(EO35&gt;3,"; and "&amp;(EO35-3)&amp;" more",""),3,999))</f>
        <v/>
      </c>
      <c r="FA35" s="21" t="str">
        <f>IF(EO35=0,"",MID(IF(EQ35&gt;0,"; "&amp;INDEX(nTP_Record_ID,EQ35),"")&amp;IF(ER35&gt;0,"; "&amp;INDEX(nTP_Record_ID,ER35),"")&amp;IF(ES35&gt;0,"; "&amp;INDEX(nTP_Record_ID,ES35),"")&amp;IF(EO35&gt;3,"; and "&amp;(EO35-3)&amp;" more",""),3,999))</f>
        <v/>
      </c>
      <c r="FB35" s="21" t="str">
        <f>IF(EP35=0,"",MID(IF(ET35&gt;0,"; "&amp;INDEX(nTP_Record_ID,ET35)&amp;IF(INDEX(nTP_Label,ET35)="",""," ("&amp;INDEX(nTP_Label,ET35)&amp;")"),"")&amp;IF(EU35&gt;0,"; "&amp;INDEX(nTP_Record_ID,EU35)&amp;IF(INDEX(nTP_Label,EU35)="",""," ("&amp;INDEX(nTP_Label,EU35)&amp;")"),"")&amp;IF(EV35&gt;0,"; "&amp;INDEX(nTP_Record_ID,EV35)&amp;IF(INDEX(nTP_Label,EV35)="",""," ("&amp;INDEX(nTP_Label,EV35)&amp;")"),"")&amp;IF(EP35&gt;3,"; and "&amp;(EP35-3)&amp;" more",""),3,999))</f>
        <v/>
      </c>
      <c r="FC35" s="21" t="str">
        <f>IF(CE35=0,"",MID(IF(EW35&gt;0,"; "&amp;INDEX(nTP_Record_ID,EW35),"")&amp;IF(EX35&gt;0,"; "&amp;INDEX(nTP_Record_ID,EX35),"")&amp;IF(EY35&gt;0,"; "&amp;INDEX(nTP_Record_ID,EY35),"")&amp;IF(CE35&gt;3,"; and "&amp;(CE35-3)&amp;" more",""),3,999))</f>
        <v/>
      </c>
      <c r="FD35" s="22">
        <f t="shared" si="55"/>
        <v>0</v>
      </c>
      <c r="FE35" s="22">
        <f t="shared" si="56"/>
        <v>0</v>
      </c>
      <c r="FF35" s="22">
        <f t="shared" si="57"/>
        <v>0</v>
      </c>
      <c r="FG35" s="22">
        <f t="shared" si="58"/>
        <v>0</v>
      </c>
      <c r="FH35" s="22">
        <f t="shared" si="59"/>
        <v>0</v>
      </c>
      <c r="FI35" s="22">
        <f t="shared" si="60"/>
        <v>0</v>
      </c>
      <c r="FJ35" s="22">
        <f t="shared" si="61"/>
        <v>0</v>
      </c>
      <c r="FK35" s="22">
        <f t="shared" si="62"/>
        <v>0</v>
      </c>
    </row>
    <row r="36" spans="1:167" x14ac:dyDescent="0.2">
      <c r="A36" s="10"/>
      <c r="B36" s="10"/>
      <c r="C36" s="12"/>
      <c r="D36" s="10"/>
      <c r="E36" s="17"/>
      <c r="F36" s="10"/>
      <c r="G36" s="10"/>
      <c r="H36" s="10"/>
      <c r="I36" s="17"/>
      <c r="J36" s="17"/>
      <c r="K36" s="10"/>
      <c r="L36" s="17"/>
      <c r="M36" s="17"/>
      <c r="N36" s="17"/>
      <c r="O36" s="10"/>
      <c r="P36" s="15"/>
      <c r="Q36" s="15"/>
      <c r="R36" s="10"/>
      <c r="S36" s="10"/>
      <c r="T36" s="21" t="str">
        <f t="shared" si="0"/>
        <v/>
      </c>
      <c r="U36" s="21" t="str">
        <f t="shared" si="1"/>
        <v/>
      </c>
      <c r="V36" s="21" t="str">
        <f t="shared" si="2"/>
        <v/>
      </c>
      <c r="W36" s="21" t="str">
        <f t="shared" si="3"/>
        <v/>
      </c>
      <c r="X36" s="21" t="str">
        <f t="shared" si="4"/>
        <v/>
      </c>
      <c r="Y36" s="21" t="str">
        <f t="shared" si="5"/>
        <v/>
      </c>
      <c r="Z36" s="21" t="str">
        <f t="shared" si="6"/>
        <v/>
      </c>
      <c r="AA36" s="21" t="str">
        <f t="shared" si="7"/>
        <v/>
      </c>
      <c r="AB36" s="21" t="str">
        <f t="shared" si="8"/>
        <v/>
      </c>
      <c r="AC36" s="21" t="str">
        <f t="shared" si="9"/>
        <v/>
      </c>
      <c r="AD36" s="21" t="str">
        <f>IF(AW36=1,"",MID(IF(ISNUMBER(SEARCH("E_INVALID_DATE",EG36))," | E_INVALID_DATE: "&amp;SUBSTITUTE(IFERROR(INDEX(nMSG_Text,MATCH("E_INVALID_DATE",nMSG_Code,0)),""),"[input]",""),"")&amp;IF(ISNUMBER(SEARCH("E_REVERSED_BOUNDS",EG36))," | E_REVERSED_BOUNDS: "&amp;SUBSTITUTE(IFERROR(INDEX(nMSG_Text,MATCH("E_REVERSED_BOUNDS",nMSG_Code,0)),""),"[input]",""),"")&amp;IF(ISNUMBER(SEARCH("E_DUPLICATE_ID",EG36))," | E_DUPLICATE_ID: "&amp;SUBSTITUTE(IFERROR(INDEX(nMSG_Text,MATCH("E_DUPLICATE_ID",nMSG_Code,0)),""),"[input]",""),"")&amp;IF(ISNUMBER(SEARCH("E_MISSING_LINK",EG36))," | E_MISSING_LINK: "&amp;SUBSTITUTE(IFERROR(INDEX(nMSG_Text,MATCH("E_MISSING_LINK",nMSG_Code,0)),""),"[input]",""),"")&amp;IF(ISNUMBER(SEARCH("E_MISSING_INPUT",EG36))," | E_MISSING_INPUT: "&amp;SUBSTITUTE(IFERROR(INDEX(nMSG_Text,MATCH("E_MISSING_INPUT",nMSG_Code,0)),""),"[input]",IF(EH36="","an input",EH36)),"")&amp;IF(ISNUMBER(SEARCH("E_INVALID_UNIT",EG36))," | E_INVALID_UNIT: "&amp;SUBSTITUTE(IFERROR(INDEX(nMSG_Text,MATCH("E_INVALID_UNIT",nMSG_Code,0)),""),"[input]",""),"")&amp;IF(FD36=1," | W_TZ_UNKNOWN: "&amp;SUBSTITUTE(IFERROR(INDEX(nMSG_Text,MATCH("W_TZ_UNKNOWN",nMSG_Code,0)),""),"[input]",""),"")&amp;IF(FE36=1," | W_SAME_DATE_ORDER_UNKNOWN: "&amp;SUBSTITUTE(IFERROR(INDEX(nMSG_Text,MATCH("W_SAME_DATE_ORDER_UNKNOWN",nMSG_Code,0)),""),"[input]",""),"")&amp;IF(FF36=1," | W_SEQUENCE_UNCERTAIN: "&amp;SUBSTITUTE(IFERROR(INDEX(nMSG_Text,MATCH("W_SEQUENCE_UNCERTAIN",nMSG_Code,0)),""),"[input]",""),"")&amp;IF(FG36=1," | W_ADMIN_SAME_DATE_AS_ONSET: "&amp;SUBSTITUTE(IFERROR(INDEX(nMSG_Text,MATCH("W_ADMIN_SAME_DATE_AS_ONSET",nMSG_Code,0)),""),"[input]",""),"")&amp;IF(FH36=1," | W_REPORTED_TIMING_CONFLICT: "&amp;SUBSTITUTE(IFERROR(INDEX(nMSG_Text,MATCH("W_REPORTED_TIMING_CONFLICT",nMSG_Code,0)),""),"[input]",""),"")&amp;IF(FI36=1," | W_INTERVENTION_BEFORE_RECOVERY: "&amp;SUBSTITUTE(IFERROR(INDEX(nMSG_Text,MATCH("W_INTERVENTION_BEFORE_RECOVERY",nMSG_Code,0)),""),"[input]",""),"")&amp;IF(FJ36=1," | I_TREATMENT_DAY_UNDEFINED: "&amp;SUBSTITUTE(IFERROR(INDEX(nMSG_Text,MATCH("I_TREATMENT_DAY_UNDEFINED",nMSG_Code,0)),""),"[input]",""),"")&amp;IF(FK36=1," | I_APPROXIMATE_NOT_COMPARED: "&amp;SUBSTITUTE(IFERROR(INDEX(nMSG_Text,MATCH("I_APPROXIMATE_NOT_COMPARED",nMSG_Code,0)),""),"[input]",""),""),4,9999))</f>
        <v/>
      </c>
      <c r="AE36" s="21" t="str">
        <f t="shared" si="10"/>
        <v/>
      </c>
      <c r="AF36" s="21" t="str">
        <f t="shared" si="11"/>
        <v/>
      </c>
      <c r="AG36" s="21" t="str">
        <f>IF(EN36="","",MID(IF(ISNUMBER(SEARCH("E_REVERSED_BOUNDS",EN36))," | E_REVERSED_BOUNDS: "&amp;SUBSTITUTE(IFERROR(INDEX(nMSG_Text,MATCH("E_REVERSED_BOUNDS",nMSG_Code,0)),""),"[input]",""),"")&amp;IF(ISNUMBER(SEARCH("E_MISSING_INPUT",EN36))," | E_MISSING_INPUT: "&amp;SUBSTITUTE(IFERROR(INDEX(nMSG_Text,MATCH("E_MISSING_INPUT",nMSG_Code,0)),""),"[input]",IF("the source of the constraint"="","an input","the source of the constraint")),""),4,999))</f>
        <v/>
      </c>
      <c r="AH36" s="21" t="str">
        <f t="shared" si="12"/>
        <v/>
      </c>
      <c r="AI36" s="21" t="str">
        <f t="shared" si="13"/>
        <v/>
      </c>
      <c r="AJ36" s="21" t="str">
        <f t="shared" si="14"/>
        <v/>
      </c>
      <c r="AK36" s="21" t="str">
        <f t="shared" si="15"/>
        <v/>
      </c>
      <c r="AL36" s="21" t="str">
        <f>IF(CY36=0,"",INDEX(nTP_ISO,CY36))</f>
        <v/>
      </c>
      <c r="AM36" s="21" t="str">
        <f>IF(CY36=0,"",INDEX(nTP_Display,CY36))</f>
        <v/>
      </c>
      <c r="AN36" s="21" t="str">
        <f>IF(BI36=0,"",INDEX(nTP_ISO,BI36))</f>
        <v/>
      </c>
      <c r="AO36" s="21" t="str">
        <f>IF(BI36=0,"",INDEX(nTP_Display,BI36))</f>
        <v/>
      </c>
      <c r="AP36" s="21" t="str">
        <f>IF(BA36=0,"",INDEX(nLNK_Exposure_Episode_ID,BA36)&amp;"")</f>
        <v/>
      </c>
      <c r="AQ36" s="21" t="str">
        <f>IF(BA36=0,"",INDEX(nLNK_Event_Episode_ID,BA36)&amp;"")</f>
        <v/>
      </c>
      <c r="AR36" s="21" t="str">
        <f t="shared" si="16"/>
        <v/>
      </c>
      <c r="AS36" s="21" t="str">
        <f>IF(EI36=0,"",MID(IF(DT36=1," | Recovery interval (C7) computed with "&amp;DS36&amp;".","")&amp;IF(BG36=1," | Anchor selected under C5 (CALC-SPEC 1.1): latest administration with an exact date or time at or before "&amp;IF(BH36=1,"onset","the end point")&amp;" ("&amp;AJ36&amp;"), ordered in UTC when offsets are known; later administrations are never selected.","")&amp;IF(AND(BG36=1,CE36&gt;0)," | Partial-date administrations wholly before the selected one were not candidates: "&amp;FC36&amp;".","")&amp;IF(BV36&lt;&gt;""," | "&amp;BV36,"")&amp;IF(AND(DS36="C2",EA36=0,DZ36&lt;&gt;"")," | Same calendar date; both times are known, so C1 decides the order ("&amp;AA36&amp;").","")&amp;IF(AND(DS36="C2",DD36*BN36=1,DT36=0)," | Calendar-date difference from the recorded local dates; it is never described as elapsed days.","")&amp;IF(AND(DS36="C4",DT36=0)," | Bounds are treated as independent; no single date is imputed from them.","")&amp;IF(EJ36=1," | Treatment day under the inclusive convention (C3); never written to E2B fields automatically.","")&amp;IF(AND(DS36="C4",DT36=0,EK36=0)," | No constraint applied.","")&amp;IF(AND(DS36="C4",EK36=1)," | Constraint applied to the anchor bounds: "&amp;IF(ISNUMBER(P36),"not before "&amp;DAY(P36)&amp;" "&amp;INDEX(nLIST_Months,MONTH(P36))&amp;" "&amp;YEAR(P36),"")&amp;IF(AND(ISNUMBER(P36),ISNUMBER(Q36)),", ","")&amp;IF(ISNUMBER(Q36),"not after "&amp;DAY(Q36)&amp;" "&amp;INDEX(nLIST_Months,MONTH(Q36))&amp;" "&amp;YEAR(Q36),"")&amp;". Source: "&amp;IF(R36="","not recorded",R36)&amp;IF(EN36="",". Constrained result shown beside the unconstrained one.",". Constrained result blocked ("&amp;EN36&amp;")."),"")&amp;IF(DT36=1,IF(EO36&gt;0," | Intervention recorded between cessation and recovery (ends included): "&amp;EZ36&amp;"."," | No intervention is recorded between cessation and recovery; absence of a record is not evidence that none was given."),"")&amp;IF(AND(DT36=1,DV36&gt;0)," | Intervention recorded without a date, so whether it came before recovery is unknown: "&amp;INDEX(nMS_Milestone_ID,MATCH(1,INDEX((nMS_CaseKey=AX36)*(nMS_Type="INTERVENTION")*nMS_Undated,0),0))&amp;IF(DV36&gt;1," and "&amp;(DV36-1)&amp;" more","")&amp;".","")&amp;IF(AND(DT36=1,EP36&gt;0)," | Not counted as interventions, because they are recorded as exposures rather than as intervention milestones (nothing is inferred): "&amp;FB36&amp;". If treatment was given, record it as an intervention milestone.",""),4,9999))</f>
        <v/>
      </c>
      <c r="AT36" s="21" t="str">
        <f t="shared" si="17"/>
        <v/>
      </c>
      <c r="AU36" s="21" t="str">
        <f t="shared" si="18"/>
        <v/>
      </c>
      <c r="AV36" s="21" t="str">
        <f t="shared" si="19"/>
        <v/>
      </c>
      <c r="AW36" s="22">
        <f t="shared" si="20"/>
        <v>1</v>
      </c>
      <c r="AX36" s="21" t="str">
        <f t="shared" si="21"/>
        <v>|</v>
      </c>
      <c r="AY36" s="21" t="str">
        <f t="shared" si="22"/>
        <v/>
      </c>
      <c r="AZ36" s="22">
        <f>IF(AY36="",0,COUNTIF(nINT_Key,AY36))</f>
        <v>0</v>
      </c>
      <c r="BA36" s="22">
        <f>IF(D36="",0,IFERROR(MATCH(AX36&amp;"|"&amp;D36,nLNK_Key,0),0))</f>
        <v>0</v>
      </c>
      <c r="BB36" s="22">
        <f>IF(BA36=0,1,INDEX(nLNK_Exp_Found,BA36))</f>
        <v>1</v>
      </c>
      <c r="BC36" s="22">
        <f>IF(BA36=0,1,INDEX(nLNK_Evt_Found,BA36))</f>
        <v>1</v>
      </c>
      <c r="BD36" s="22">
        <f>IF(AP36="",0,COUNTIF(nEXP_Key,AX36&amp;"|"&amp;AP36))</f>
        <v>0</v>
      </c>
      <c r="BE36" s="22">
        <f>IF(AQ36="",0,COUNTIF(nEVT_Key,AX36&amp;"|"&amp;AQ36))</f>
        <v>0</v>
      </c>
      <c r="BF36" s="22">
        <f>IF(ISNA(MATCH(E36,nLIST_AnchorType,0)),0,1)</f>
        <v>0</v>
      </c>
      <c r="BG36" s="22">
        <f t="shared" si="23"/>
        <v>0</v>
      </c>
      <c r="BH36" s="22">
        <f t="shared" si="24"/>
        <v>0</v>
      </c>
      <c r="BI36" s="22">
        <f>IF(OR(AW36=1,AK36=""),0,IFERROR(MATCH(AX36&amp;"|"&amp;AK36,nTP_Key,0),0))</f>
        <v>0</v>
      </c>
      <c r="BJ36" s="21">
        <f>IF(BI36=0,0,INDEX(nTP_Dup,BI36))</f>
        <v>0</v>
      </c>
      <c r="BK36" s="21" t="str">
        <f>IF(BI36=0,"",INDEX(nTP_Record_Type,BI36))</f>
        <v/>
      </c>
      <c r="BL36" s="21" t="str">
        <f>IF(BI36=0,"",INDEX(nTP_Precision,BI36))</f>
        <v/>
      </c>
      <c r="BM36" s="21" t="str">
        <f>IF(BI36=0,"",INDEX(nTP_Err,BI36))</f>
        <v/>
      </c>
      <c r="BN36" s="21">
        <f>IF(BI36=0,0,INDEX(nTP_HT,BI36))</f>
        <v>0</v>
      </c>
      <c r="BO36" s="21">
        <f>IF(BI36=0,0,INDEX(nTP_OK,BI36))</f>
        <v>0</v>
      </c>
      <c r="BP36" s="21" t="str">
        <f>IF(BI36=0,"",INDEX(nTP_Loc,BI36))</f>
        <v/>
      </c>
      <c r="BQ36" s="21" t="str">
        <f>IF(BI36=0,"",INDEX(nTP_UTC,BI36))</f>
        <v/>
      </c>
      <c r="BR36" s="21" t="str">
        <f>IF(BI36=0,"",INDEX(nTP_Lo,BI36))</f>
        <v/>
      </c>
      <c r="BS36" s="21" t="str">
        <f>IF(BI36=0,"",INDEX(nTP_Hi,BI36))</f>
        <v/>
      </c>
      <c r="BT36" s="21" t="str">
        <f>IF(BI36=0,"",INDEX(nTP_Original_Text,BI36))</f>
        <v/>
      </c>
      <c r="BU36" s="21" t="str">
        <f>IF(BI36=0,"",INDEX(nTP_Source,BI36))</f>
        <v/>
      </c>
      <c r="BV36" s="21" t="str">
        <f>IF(BI36=0,"",INDEX(nTP_Lab_Note,BI36))</f>
        <v/>
      </c>
      <c r="BW36" s="22">
        <f t="shared" si="25"/>
        <v>0</v>
      </c>
      <c r="BX36" s="21" t="str">
        <f t="shared" si="26"/>
        <v>||</v>
      </c>
      <c r="BY36" s="22">
        <f>IF(BG36=0,0,COUNTIF(nTP_CandKey,BX36))</f>
        <v>0</v>
      </c>
      <c r="BZ36" s="22">
        <f>IF(BG36=0,0,COUNTIFS(nTP_CandKey,BX36,nTP_Err,""))</f>
        <v>0</v>
      </c>
      <c r="CA36" s="21" t="str">
        <f>IF(BY36=BZ36,"",IF(COUNTIFS(nTP_CandKey,BX36,nTP_Err,"E_INVALID_DATE")&gt;0,"; E_INVALID_DATE","")&amp;IF(COUNTIFS(nTP_CandKey,BX36,nTP_Err,"E_REVERSED_BOUNDS")&gt;0,"; E_REVERSED_BOUNDS","")&amp;IF(COUNTIFS(nTP_CandKey,BX36,nTP_Err,"E_MISSING_INPUT")&gt;0,"; E_MISSING_INPUT","")&amp;IF(COUNTIFS(nTP_CandKey,BX36,nTP_Err,"E_INVALID_UNIT")&gt;0,"; E_INVALID_UNIT",""))</f>
        <v/>
      </c>
      <c r="CB36" s="22">
        <f t="shared" si="27"/>
        <v>0</v>
      </c>
      <c r="CC36" s="22">
        <f>IF(CB36=0,0,SUMPRODUCT((nTP_CandKey=BX36)*(nTP_Err="")*(1-(nTP_HT*BN36*((nTP_OK*BO36*(nTP_UTC_n-N(BQ36))+(1-nTP_OK*BO36)*(nTP_Loc_n-N(BP36)))&lt;=0)+(1-nTP_HT*BN36)*(nTP_Hi_n&lt;N(BR36)))-(nTP_HT*BN36*((nTP_OK*BO36*(nTP_UTC_n-N(BQ36))+(1-nTP_OK*BO36)*(nTP_Loc_n-N(BP36)))&gt;0)+(1-nTP_HT*BN36)*(nTP_Lo_n&gt;N(BS36)))-((1-nTP_HT*BN36)*(nTP_Lo_n=nTP_Hi_n)*(nTP_Lo_n=N(BR36))*(N(BR36)=N(BS36))))))</f>
        <v>0</v>
      </c>
      <c r="CD36" s="22">
        <f>IF(CB36=0,0,SUMPRODUCT((nTP_CandKey=BX36)*nTP_Exact*((nTP_HT*BN36*((nTP_OK*BO36*(nTP_UTC_n-N(BQ36))+(1-nTP_OK*BO36)*(nTP_Loc_n-N(BP36)))&lt;=0)+(1-nTP_HT*BN36)*(nTP_Hi_n&lt;N(BR36)))+((1-nTP_HT*BN36)*(nTP_Lo_n=nTP_Hi_n)*(nTP_Lo_n=N(BR36))*(N(BR36)=N(BS36))))))</f>
        <v>0</v>
      </c>
      <c r="CE36" s="22">
        <f>IF(CB36=0,0,SUMPRODUCT((nTP_CandKey=BX36)*(nTP_Err="")*(1-nTP_Exact)*((nTP_HT*BN36*((nTP_OK*BO36*(nTP_UTC_n-N(BQ36))+(1-nTP_OK*BO36)*(nTP_Loc_n-N(BP36)))&lt;=0)+(1-nTP_HT*BN36)*(nTP_Hi_n&lt;N(BR36)))+((1-nTP_HT*BN36)*(nTP_Lo_n=nTP_Hi_n)*(nTP_Lo_n=N(BR36))*(N(BR36)=N(BS36))))))</f>
        <v>0</v>
      </c>
      <c r="CF36" s="22">
        <f>IF(CD36=0,0,SUMPRODUCT(MAX((nTP_CandKey=BX36)*nTP_Exact*((nTP_HT*BN36*((nTP_OK*BO36*(nTP_UTC_n-N(BQ36))+(1-nTP_OK*BO36)*(nTP_Loc_n-N(BP36)))&lt;=0)+(1-nTP_HT*BN36)*(nTP_Hi_n&lt;N(BR36)))+((1-nTP_HT*BN36)*(nTP_Lo_n=nTP_Hi_n)*(nTP_Lo_n=N(BR36))*(N(BR36)=N(BS36))))*nTP_Lo_n)))</f>
        <v>0</v>
      </c>
      <c r="CG36" s="22">
        <f>IF(CD36=0,0,SUMPRODUCT((nTP_CandKey=BX36)*nTP_Exact*((nTP_HT*BN36*((nTP_OK*BO36*(nTP_UTC_n-N(BQ36))+(1-nTP_OK*BO36)*(nTP_Loc_n-N(BP36)))&lt;=0)+(1-nTP_HT*BN36)*(nTP_Hi_n&lt;N(BR36)))+((1-nTP_HT*BN36)*(nTP_Lo_n=nTP_Hi_n)*(nTP_Lo_n=N(BR36))*(N(BR36)=N(BS36))))*(nTP_Lo_n=CF36)))</f>
        <v>0</v>
      </c>
      <c r="CH36" s="22">
        <f>IF(CD36=0,0,SUMPRODUCT((nTP_CandKey=BX36)*nTP_Exact*((nTP_HT*BN36*((nTP_OK*BO36*(nTP_UTC_n-N(BQ36))+(1-nTP_OK*BO36)*(nTP_Loc_n-N(BP36)))&lt;=0)+(1-nTP_HT*BN36)*(nTP_Hi_n&lt;N(BR36)))+((1-nTP_HT*BN36)*(nTP_Lo_n=nTP_Hi_n)*(nTP_Lo_n=N(BR36))*(N(BR36)=N(BS36))))*(1-nTP_HT)*(nTP_Lo_n=CF36)))</f>
        <v>0</v>
      </c>
      <c r="CI36" s="22">
        <f>IF(CD36=0,0,SUMPRODUCT(MAX((nTP_CandKey=BX36)*nTP_Exact*((nTP_HT*BN36*((nTP_OK*BO36*(nTP_UTC_n-N(BQ36))+(1-nTP_OK*BO36)*(nTP_Loc_n-N(BP36)))&lt;=0)+(1-nTP_HT*BN36)*(nTP_Hi_n&lt;N(BR36)))+((1-nTP_HT*BN36)*(nTP_Lo_n=nTP_Hi_n)*(nTP_Lo_n=N(BR36))*(N(BR36)=N(BS36))))*(1-nTP_HT)*nTP_Lo_n)))</f>
        <v>0</v>
      </c>
      <c r="CJ36" s="22">
        <f>IF(CD36=0,0,SUMPRODUCT(MAX((nTP_CandKey=BX36)*nTP_Exact*((nTP_HT*BN36*((nTP_OK*BO36*(nTP_UTC_n-N(BQ36))+(1-nTP_OK*BO36)*(nTP_Loc_n-N(BP36)))&lt;=0)+(1-nTP_HT*BN36)*(nTP_Hi_n&lt;N(BR36)))+((1-nTP_HT*BN36)*(nTP_Lo_n=nTP_Hi_n)*(nTP_Lo_n=N(BR36))*(N(BR36)=N(BS36))))*nTP_HT*nTP_OK*nTP_UTC_n)))</f>
        <v>0</v>
      </c>
      <c r="CK36" s="22">
        <f>IF(CJ36=0,0,SUMPRODUCT((nTP_CandKey=BX36)*nTP_Exact*((nTP_HT*BN36*((nTP_OK*BO36*(nTP_UTC_n-N(BQ36))+(1-nTP_OK*BO36)*(nTP_Loc_n-N(BP36)))&lt;=0)+(1-nTP_HT*BN36)*(nTP_Hi_n&lt;N(BR36)))+((1-nTP_HT*BN36)*(nTP_Lo_n=nTP_Hi_n)*(nTP_Lo_n=N(BR36))*(N(BR36)=N(BS36))))*nTP_HT*nTP_OK*(nTP_UTC_n=CJ36)))</f>
        <v>0</v>
      </c>
      <c r="CL36" s="22">
        <f>IF(CK36&lt;&gt;1,0,SUMPRODUCT((nTP_CandKey=BX36)*nTP_Exact*((nTP_HT*BN36*((nTP_OK*BO36*(nTP_UTC_n-N(BQ36))+(1-nTP_OK*BO36)*(nTP_Loc_n-N(BP36)))&lt;=0)+(1-nTP_HT*BN36)*(nTP_Hi_n&lt;N(BR36)))+((1-nTP_HT*BN36)*(nTP_Lo_n=nTP_Hi_n)*(nTP_Lo_n=N(BR36))*(N(BR36)=N(BS36))))*nTP_HT*nTP_OK*(nTP_UTC_n=CJ36)*nTP_Loc_n))</f>
        <v>0</v>
      </c>
      <c r="CM36" s="22">
        <f>IF(CK36&lt;&gt;1,0,SUMPRODUCT((nTP_CandKey=BX36)*nTP_Exact*((nTP_HT*BN36*((nTP_OK*BO36*(nTP_UTC_n-N(BQ36))+(1-nTP_OK*BO36)*(nTP_Loc_n-N(BP36)))&lt;=0)+(1-nTP_HT*BN36)*(nTP_Hi_n&lt;N(BR36)))+((1-nTP_HT*BN36)*(nTP_Lo_n=nTP_Hi_n)*(nTP_Lo_n=N(BR36))*(N(BR36)=N(BS36))))*nTP_HT*nTP_OK*(nTP_UTC_n=CJ36)*nTP_Lo_n))</f>
        <v>0</v>
      </c>
      <c r="CN36" s="22">
        <f>IF(CD36=0,0,SUMPRODUCT(MAX((nTP_CandKey=BX36)*nTP_Exact*((nTP_HT*BN36*((nTP_OK*BO36*(nTP_UTC_n-N(BQ36))+(1-nTP_OK*BO36)*(nTP_Loc_n-N(BP36)))&lt;=0)+(1-nTP_HT*BN36)*(nTP_Hi_n&lt;N(BR36)))+((1-nTP_HT*BN36)*(nTP_Lo_n=nTP_Hi_n)*(nTP_Lo_n=N(BR36))*(N(BR36)=N(BS36))))*nTP_HT*(1-nTP_OK)*nTP_Loc_n)))</f>
        <v>0</v>
      </c>
      <c r="CO36" s="22">
        <f>IF(CN36=0,0,SUMPRODUCT((nTP_CandKey=BX36)*nTP_Exact*((nTP_HT*BN36*((nTP_OK*BO36*(nTP_UTC_n-N(BQ36))+(1-nTP_OK*BO36)*(nTP_Loc_n-N(BP36)))&lt;=0)+(1-nTP_HT*BN36)*(nTP_Hi_n&lt;N(BR36)))+((1-nTP_HT*BN36)*(nTP_Lo_n=nTP_Hi_n)*(nTP_Lo_n=N(BR36))*(N(BR36)=N(BS36))))*nTP_HT*(1-nTP_OK)*(nTP_Loc_n=CN36)))</f>
        <v>0</v>
      </c>
      <c r="CP36" s="22">
        <f>IF(CO36&lt;&gt;1,0,SUMPRODUCT((nTP_CandKey=BX36)*nTP_Exact*((nTP_HT*BN36*((nTP_OK*BO36*(nTP_UTC_n-N(BQ36))+(1-nTP_OK*BO36)*(nTP_Loc_n-N(BP36)))&lt;=0)+(1-nTP_HT*BN36)*(nTP_Hi_n&lt;N(BR36)))+((1-nTP_HT*BN36)*(nTP_Lo_n=nTP_Hi_n)*(nTP_Lo_n=N(BR36))*(N(BR36)=N(BS36))))*nTP_HT*(1-nTP_OK)*(nTP_Loc_n=CN36)*nTP_Lo_n))</f>
        <v>0</v>
      </c>
      <c r="CQ36" s="22">
        <f>IF(CD36=0,0,SUMPRODUCT(MAX((nTP_CandKey=BX36)*nTP_Exact*((nTP_HT*BN36*((nTP_OK*BO36*(nTP_UTC_n-N(BQ36))+(1-nTP_OK*BO36)*(nTP_Loc_n-N(BP36)))&lt;=0)+(1-nTP_HT*BN36)*(nTP_Hi_n&lt;N(BR36)))+((1-nTP_HT*BN36)*(nTP_Lo_n=nTP_Hi_n)*(nTP_Lo_n=N(BR36))*(N(BR36)=N(BS36))))*nTP_HT*nTP_OK*nTP_Loc_n)))</f>
        <v>0</v>
      </c>
      <c r="CR36" s="22">
        <f t="shared" si="28"/>
        <v>0</v>
      </c>
      <c r="CS36" s="22">
        <f>IF(CR36=0,0,IF(CR36=1,MATCH(1,INDEX((nTP_CandKey=BX36)*nTP_Exact*((nTP_HT*BN36*((nTP_OK*BO36*(nTP_UTC_n-N(BQ36))+(1-nTP_OK*BO36)*(nTP_Loc_n-N(BP36)))&lt;=0)+(1-nTP_HT*BN36)*(nTP_Hi_n&lt;N(BR36)))+((1-nTP_HT*BN36)*(nTP_Lo_n=nTP_Hi_n)*(nTP_Lo_n=N(BR36))*(N(BR36)=N(BS36))))*(1-nTP_HT)*(nTP_Lo_n=CF36),0),0),IF(CR36=2,MATCH(1,INDEX((nTP_CandKey=BX36)*nTP_Exact*((nTP_HT*BN36*((nTP_OK*BO36*(nTP_UTC_n-N(BQ36))+(1-nTP_OK*BO36)*(nTP_Loc_n-N(BP36)))&lt;=0)+(1-nTP_HT*BN36)*(nTP_Hi_n&lt;N(BR36)))+((1-nTP_HT*BN36)*(nTP_Lo_n=nTP_Hi_n)*(nTP_Lo_n=N(BR36))*(N(BR36)=N(BS36))))*nTP_HT*nTP_OK*(nTP_UTC_n=CJ36),0),0),MATCH(1,INDEX((nTP_CandKey=BX36)*nTP_Exact*((nTP_HT*BN36*((nTP_OK*BO36*(nTP_UTC_n-N(BQ36))+(1-nTP_OK*BO36)*(nTP_Loc_n-N(BP36)))&lt;=0)+(1-nTP_HT*BN36)*(nTP_Hi_n&lt;N(BR36)))+((1-nTP_HT*BN36)*(nTP_Lo_n=nTP_Hi_n)*(nTP_Lo_n=N(BR36))*(N(BR36)=N(BS36))))*nTP_HT*(1-nTP_OK)*(nTP_Loc_n=CN36),0),0))))</f>
        <v>0</v>
      </c>
      <c r="CT36" s="22">
        <f>IF(CS36=0,0,INDEX(nTP_Lo_n,CS36))</f>
        <v>0</v>
      </c>
      <c r="CU36" s="22">
        <f>IF(CS36=0,0,SUMPRODUCT((nTP_CandKey=BX36)*(nTP_Err="")*(1-nTP_Exact)*((nTP_HT*BN36*((nTP_OK*BO36*(nTP_UTC_n-N(BQ36))+(1-nTP_OK*BO36)*(nTP_Loc_n-N(BP36)))&lt;=0)+(1-nTP_HT*BN36)*(nTP_Hi_n&lt;N(BR36)))+((1-nTP_HT*BN36)*(nTP_Lo_n=nTP_Hi_n)*(nTP_Lo_n=N(BR36))*(N(BR36)=N(BS36))))*(nTP_Hi_n&gt;=CT36)))</f>
        <v>0</v>
      </c>
      <c r="CV36" s="21" t="str">
        <f t="shared" si="29"/>
        <v/>
      </c>
      <c r="CW36" s="21" t="str">
        <f>IF(AND(BG36=1,CB36=1,CV36="",CS36&gt;0),INDEX(nTP_Record_ID,CS36)&amp;"","")</f>
        <v/>
      </c>
      <c r="CX36" s="21" t="str">
        <f>IF(OR(CV36="",BG36=0),"",IF(CV36="none","an administration record (last dose before onset)",IF(CV36="uncertain","the anchor record: "&amp;INDEX(nTP_Record_ID,MATCH(1,INDEX((nTP_CandKey=BX36)*(nTP_Err="")*(1-(nTP_HT*BN36*((nTP_OK*BO36*(nTP_UTC_n-N(BQ36))+(1-nTP_OK*BO36)*(nTP_Loc_n-N(BP36)))&lt;=0)+(1-nTP_HT*BN36)*(nTP_Hi_n&lt;N(BR36)))-(nTP_HT*BN36*((nTP_OK*BO36*(nTP_UTC_n-N(BQ36))+(1-nTP_OK*BO36)*(nTP_Loc_n-N(BP36)))&gt;0)+(1-nTP_HT*BN36)*(nTP_Lo_n&gt;N(BS36)))-((1-nTP_HT*BN36)*(nTP_Lo_n=nTP_Hi_n)*(nTP_Lo_n=N(BR36))*(N(BR36)=N(BS36)))),0),0))&amp;IF(CC36&gt;1," and "&amp;(CC36-1)&amp;" more","")&amp;" may fall before or after the end point, so the last dose cannot be identified from the recorded dates",IF(CV36="noneligible","the anchor record: no administration with an exact date is recorded at or before the end point",IF(CV36="tie","the anchor record: the order of the latest administrations cannot be told from the recorded dates and times","the anchor record: partial-date administration "&amp;INDEX(nTP_Record_ID,MATCH(1,INDEX((nTP_CandKey=BX36)*(nTP_Err="")*(1-nTP_Exact)*((nTP_HT*BN36*((nTP_OK*BO36*(nTP_UTC_n-N(BQ36))+(1-nTP_OK*BO36)*(nTP_Loc_n-N(BP36)))&lt;=0)+(1-nTP_HT*BN36)*(nTP_Hi_n&lt;N(BR36)))+((1-nTP_HT*BN36)*(nTP_Lo_n=nTP_Hi_n)*(nTP_Lo_n=N(BR36))*(N(BR36)=N(BS36))))*(nTP_Hi_n&gt;=CT36),0),0))&amp;" could be the last dose before the end point")))))</f>
        <v/>
      </c>
      <c r="CY36" s="22">
        <f>IF(OR(AW36=1,AJ36=""),0,IFERROR(MATCH(AX36&amp;"|"&amp;AJ36,nTP_Key,0),0))</f>
        <v>0</v>
      </c>
      <c r="CZ36" s="21">
        <f>IF(CY36=0,0,INDEX(nTP_Dup,CY36))</f>
        <v>0</v>
      </c>
      <c r="DA36" s="21" t="str">
        <f>IF(CY36=0,"",INDEX(nTP_Record_Type,CY36))</f>
        <v/>
      </c>
      <c r="DB36" s="21" t="str">
        <f>IF(CY36=0,"",INDEX(nTP_Precision,CY36))</f>
        <v/>
      </c>
      <c r="DC36" s="21" t="str">
        <f>IF(CY36=0,"",INDEX(nTP_Err,CY36))</f>
        <v/>
      </c>
      <c r="DD36" s="21">
        <f>IF(CY36=0,0,INDEX(nTP_HT,CY36))</f>
        <v>0</v>
      </c>
      <c r="DE36" s="21">
        <f>IF(CY36=0,0,INDEX(nTP_OK,CY36))</f>
        <v>0</v>
      </c>
      <c r="DF36" s="21" t="str">
        <f>IF(CY36=0,"",INDEX(nTP_Loc,CY36))</f>
        <v/>
      </c>
      <c r="DG36" s="21" t="str">
        <f>IF(CY36=0,"",INDEX(nTP_UTC,CY36))</f>
        <v/>
      </c>
      <c r="DH36" s="21" t="str">
        <f>IF(CY36=0,"",INDEX(nTP_Lo,CY36))</f>
        <v/>
      </c>
      <c r="DI36" s="21" t="str">
        <f>IF(CY36=0,"",INDEX(nTP_Hi,CY36))</f>
        <v/>
      </c>
      <c r="DJ36" s="21" t="str">
        <f>IF(CY36=0,"",INDEX(nTP_Original_Text,CY36))</f>
        <v/>
      </c>
      <c r="DK36" s="21" t="str">
        <f>IF(CY36=0,"",INDEX(nTP_Source,CY36))</f>
        <v/>
      </c>
      <c r="DL36" s="22">
        <f t="shared" si="30"/>
        <v>0</v>
      </c>
      <c r="DM36" s="21" t="str">
        <f t="shared" si="31"/>
        <v/>
      </c>
      <c r="DN36" s="21" t="str">
        <f t="shared" si="32"/>
        <v/>
      </c>
      <c r="DO36" s="21" t="str">
        <f t="shared" si="33"/>
        <v/>
      </c>
      <c r="DP36" s="21" t="str">
        <f t="shared" si="34"/>
        <v/>
      </c>
      <c r="DQ36" s="21" t="str">
        <f t="shared" si="35"/>
        <v/>
      </c>
      <c r="DR36" s="22">
        <f>IF(OR(DQ36="",I36=""),0,IF(ISNA(MATCH(I36,nLIST_Mode,0)),1,IF(AND(I36="C1",DQ36&lt;&gt;"C1"),1,IF(AND(I36="C2",DQ36="C4"),1,0))))</f>
        <v>0</v>
      </c>
      <c r="DS36" s="21" t="str">
        <f t="shared" si="36"/>
        <v/>
      </c>
      <c r="DT36" s="22">
        <f t="shared" si="37"/>
        <v>0</v>
      </c>
      <c r="DU36" s="21" t="str">
        <f>IF(DT36=0,"",IF(COUNTIFS(nTP_Case_Key,AX36,nTP_Record_Type,"MILESTONE:INTERVENTION",nTP_Err,"E_INVALID_DATE")&gt;0,"; E_INVALID_DATE","")&amp;IF(COUNTIFS(nTP_Case_Key,AX36,nTP_Record_Type,"MILESTONE:INTERVENTION",nTP_Err,"E_REVERSED_BOUNDS")&gt;0,"; E_REVERSED_BOUNDS","")&amp;IF(COUNTIFS(nTP_Case_Key,AX36,nTP_Record_Type,"MILESTONE:INTERVENTION",nTP_Err,"E_MISSING_INPUT")&gt;0,"; E_MISSING_INPUT","")&amp;IF(COUNTIFS(nTP_Case_Key,AX36,nTP_Record_Type,"MILESTONE:INTERVENTION",nTP_Err,"E_INVALID_UNIT")&gt;0,"; E_INVALID_UNIT",""))</f>
        <v/>
      </c>
      <c r="DV36" s="22">
        <f>IF(DT36=0,0,SUMPRODUCT((nMS_CaseKey=AX36)*(nMS_Type="INTERVENTION")*nMS_Undated))</f>
        <v>0</v>
      </c>
      <c r="DW36" s="21" t="str">
        <f t="shared" si="38"/>
        <v/>
      </c>
      <c r="DX36" s="21" t="str">
        <f t="shared" si="39"/>
        <v/>
      </c>
      <c r="DY36" s="22">
        <f t="shared" si="40"/>
        <v>1</v>
      </c>
      <c r="DZ36" s="21" t="str">
        <f t="shared" si="41"/>
        <v/>
      </c>
      <c r="EA36" s="21" t="str">
        <f t="shared" si="42"/>
        <v/>
      </c>
      <c r="EB36" s="21" t="str">
        <f t="shared" si="43"/>
        <v/>
      </c>
      <c r="EC36" s="21" t="str">
        <f t="shared" si="44"/>
        <v/>
      </c>
      <c r="ED36" s="22">
        <f t="shared" si="45"/>
        <v>0</v>
      </c>
      <c r="EE36" s="22">
        <f t="shared" si="46"/>
        <v>0</v>
      </c>
      <c r="EF36" s="21" t="str">
        <f>IF(ED36=0,"",IF(OR(NOT(ISNUMBER(L36)),NOT(ISNUMBER(M36))),"I_APPROXIMATE_NOT_COMPARED",IF(AND(N36&lt;&gt;"",ISNA(MATCH(N36,nLIST_ReportedUnit,0))),"E_INVALID_UNIT",IF(N36="","E_MISSING_INPUT",IF(L36&gt;M36,"E_REVERSED_BOUNDS",IF(OR(N36="weeks",N36="months",N36="years"),"I_APPROXIMATE_NOT_COMPARED",IF(DX36&lt;&gt;"","",IF(EE36=0,"I_APPROXIMATE_NOT_COMPARED",IF(AND(L36*EE36&lt;=IF(DS36="C4",EC36,IF(DS36="C1",DZ36,EA36)),M36*EE36&gt;=IF(DS36="C4",EB36,IF(DS36="C1",DZ36,EA36))),"OVERLAP","W_REPORTED_TIMING_CONFLICT")))))))))</f>
        <v/>
      </c>
      <c r="EG36" s="21" t="str">
        <f t="shared" si="47"/>
        <v/>
      </c>
      <c r="EH36" s="21" t="str">
        <f t="shared" si="48"/>
        <v/>
      </c>
      <c r="EI36" s="22">
        <f t="shared" si="49"/>
        <v>0</v>
      </c>
      <c r="EJ36" s="22">
        <f t="shared" si="50"/>
        <v>0</v>
      </c>
      <c r="EK36" s="22">
        <f t="shared" si="51"/>
        <v>0</v>
      </c>
      <c r="EL36" s="28" t="str">
        <f t="shared" si="52"/>
        <v/>
      </c>
      <c r="EM36" s="28" t="str">
        <f t="shared" si="53"/>
        <v/>
      </c>
      <c r="EN36" s="21" t="str">
        <f t="shared" si="54"/>
        <v/>
      </c>
      <c r="EO36" s="22">
        <f>IF(OR(DT36=0,DX36&lt;&gt;""),0,SUMPRODUCT((nTP_Case_Key=AX36)*(nTP_Record_Type="MILESTONE:INTERVENTION")*(nTP_Err="")*(nTP_HT*DD36*BN36*(nTP_OK*DE36*(nTP_UTC_n&gt;=N(DG36))+(1-nTP_OK*DE36)*(nTP_Loc_n&gt;=N(DF36)))*(nTP_OK*BO36*(nTP_UTC_n&lt;=N(BQ36))+(1-nTP_OK*BO36)*(nTP_Loc_n&lt;=N(BP36)))+(1-nTP_HT*DD36*BN36)*(nTP_Hi_n&gt;=N(DH36))*(nTP_Lo_n&lt;=N(BS36)))))</f>
        <v>0</v>
      </c>
      <c r="EP36" s="22">
        <f>IF(OR(DT36=0,DX36&lt;&gt;""),0,SUMPRODUCT((nTP_Case_Key=AX36)*(nTP_Role="treatment of the event")*((nTP_Record_Type="EXPOSURE_START")+(nTP_Record_Type="ADMINISTRATION"))*(nTP_Err="")*(nTP_HT*DD36*BN36*(nTP_OK*DE36*(nTP_UTC_n&gt;=N(DG36))+(1-nTP_OK*DE36)*(nTP_Loc_n&gt;=N(DF36)))*(nTP_OK*BO36*(nTP_UTC_n&lt;=N(BQ36))+(1-nTP_OK*BO36)*(nTP_Loc_n&lt;=N(BP36)))+(1-nTP_HT*DD36*BN36)*(nTP_Hi_n&gt;=N(DH36))*(nTP_Lo_n&lt;=N(BS36)))))</f>
        <v>0</v>
      </c>
      <c r="EQ36" s="22">
        <f>IF(EO36&lt;1,0,IFERROR(_xlfn.AGGREGATE(15,6,nTP_RowN/((nTP_Case_Key=AX36)*(nTP_Record_Type="MILESTONE:INTERVENTION")*(nTP_Err="")*(nTP_HT*DD36*BN36*(nTP_OK*DE36*(nTP_UTC_n&gt;=N(DG36))+(1-nTP_OK*DE36)*(nTP_Loc_n&gt;=N(DF36)))*(nTP_OK*BO36*(nTP_UTC_n&lt;=N(BQ36))+(1-nTP_OK*BO36)*(nTP_Loc_n&lt;=N(BP36)))+(1-nTP_HT*DD36*BN36)*(nTP_Hi_n&gt;=N(DH36))*(nTP_Lo_n&lt;=N(BS36)))),1),0))</f>
        <v>0</v>
      </c>
      <c r="ER36" s="22">
        <f>IF(EO36&lt;2,0,IFERROR(_xlfn.AGGREGATE(15,6,nTP_RowN/((nTP_Case_Key=AX36)*(nTP_Record_Type="MILESTONE:INTERVENTION")*(nTP_Err="")*(nTP_HT*DD36*BN36*(nTP_OK*DE36*(nTP_UTC_n&gt;=N(DG36))+(1-nTP_OK*DE36)*(nTP_Loc_n&gt;=N(DF36)))*(nTP_OK*BO36*(nTP_UTC_n&lt;=N(BQ36))+(1-nTP_OK*BO36)*(nTP_Loc_n&lt;=N(BP36)))+(1-nTP_HT*DD36*BN36)*(nTP_Hi_n&gt;=N(DH36))*(nTP_Lo_n&lt;=N(BS36)))),2),0))</f>
        <v>0</v>
      </c>
      <c r="ES36" s="22">
        <f>IF(EO36&lt;3,0,IFERROR(_xlfn.AGGREGATE(15,6,nTP_RowN/((nTP_Case_Key=AX36)*(nTP_Record_Type="MILESTONE:INTERVENTION")*(nTP_Err="")*(nTP_HT*DD36*BN36*(nTP_OK*DE36*(nTP_UTC_n&gt;=N(DG36))+(1-nTP_OK*DE36)*(nTP_Loc_n&gt;=N(DF36)))*(nTP_OK*BO36*(nTP_UTC_n&lt;=N(BQ36))+(1-nTP_OK*BO36)*(nTP_Loc_n&lt;=N(BP36)))+(1-nTP_HT*DD36*BN36)*(nTP_Hi_n&gt;=N(DH36))*(nTP_Lo_n&lt;=N(BS36)))),3),0))</f>
        <v>0</v>
      </c>
      <c r="ET36" s="22">
        <f>IF(EP36&lt;1,0,IFERROR(_xlfn.AGGREGATE(15,6,nTP_RowN/((nTP_Case_Key=AX36)*(nTP_Role="treatment of the event")*((nTP_Record_Type="EXPOSURE_START")+(nTP_Record_Type="ADMINISTRATION"))*(nTP_Err="")*(nTP_HT*DD36*BN36*(nTP_OK*DE36*(nTP_UTC_n&gt;=N(DG36))+(1-nTP_OK*DE36)*(nTP_Loc_n&gt;=N(DF36)))*(nTP_OK*BO36*(nTP_UTC_n&lt;=N(BQ36))+(1-nTP_OK*BO36)*(nTP_Loc_n&lt;=N(BP36)))+(1-nTP_HT*DD36*BN36)*(nTP_Hi_n&gt;=N(DH36))*(nTP_Lo_n&lt;=N(BS36)))),1),0))</f>
        <v>0</v>
      </c>
      <c r="EU36" s="22">
        <f>IF(EP36&lt;2,0,IFERROR(_xlfn.AGGREGATE(15,6,nTP_RowN/((nTP_Case_Key=AX36)*(nTP_Role="treatment of the event")*((nTP_Record_Type="EXPOSURE_START")+(nTP_Record_Type="ADMINISTRATION"))*(nTP_Err="")*(nTP_HT*DD36*BN36*(nTP_OK*DE36*(nTP_UTC_n&gt;=N(DG36))+(1-nTP_OK*DE36)*(nTP_Loc_n&gt;=N(DF36)))*(nTP_OK*BO36*(nTP_UTC_n&lt;=N(BQ36))+(1-nTP_OK*BO36)*(nTP_Loc_n&lt;=N(BP36)))+(1-nTP_HT*DD36*BN36)*(nTP_Hi_n&gt;=N(DH36))*(nTP_Lo_n&lt;=N(BS36)))),2),0))</f>
        <v>0</v>
      </c>
      <c r="EV36" s="22">
        <f>IF(EP36&lt;3,0,IFERROR(_xlfn.AGGREGATE(15,6,nTP_RowN/((nTP_Case_Key=AX36)*(nTP_Role="treatment of the event")*((nTP_Record_Type="EXPOSURE_START")+(nTP_Record_Type="ADMINISTRATION"))*(nTP_Err="")*(nTP_HT*DD36*BN36*(nTP_OK*DE36*(nTP_UTC_n&gt;=N(DG36))+(1-nTP_OK*DE36)*(nTP_Loc_n&gt;=N(DF36)))*(nTP_OK*BO36*(nTP_UTC_n&lt;=N(BQ36))+(1-nTP_OK*BO36)*(nTP_Loc_n&lt;=N(BP36)))+(1-nTP_HT*DD36*BN36)*(nTP_Hi_n&gt;=N(DH36))*(nTP_Lo_n&lt;=N(BS36)))),3),0))</f>
        <v>0</v>
      </c>
      <c r="EW36" s="22">
        <f>IF(CE36&lt;1,0,IFERROR(_xlfn.AGGREGATE(15,6,nTP_RowN/((nTP_CandKey=BX36)*(nTP_Err="")*(1-nTP_Exact)*((nTP_HT*BN36*((nTP_OK*BO36*(nTP_UTC_n-N(BQ36))+(1-nTP_OK*BO36)*(nTP_Loc_n-N(BP36)))&lt;=0)+(1-nTP_HT*BN36)*(nTP_Hi_n&lt;N(BR36)))+((1-nTP_HT*BN36)*(nTP_Lo_n=nTP_Hi_n)*(nTP_Lo_n=N(BR36))*(N(BR36)=N(BS36))))),1),0))</f>
        <v>0</v>
      </c>
      <c r="EX36" s="22">
        <f>IF(CE36&lt;2,0,IFERROR(_xlfn.AGGREGATE(15,6,nTP_RowN/((nTP_CandKey=BX36)*(nTP_Err="")*(1-nTP_Exact)*((nTP_HT*BN36*((nTP_OK*BO36*(nTP_UTC_n-N(BQ36))+(1-nTP_OK*BO36)*(nTP_Loc_n-N(BP36)))&lt;=0)+(1-nTP_HT*BN36)*(nTP_Hi_n&lt;N(BR36)))+((1-nTP_HT*BN36)*(nTP_Lo_n=nTP_Hi_n)*(nTP_Lo_n=N(BR36))*(N(BR36)=N(BS36))))),2),0))</f>
        <v>0</v>
      </c>
      <c r="EY36" s="22">
        <f>IF(CE36&lt;3,0,IFERROR(_xlfn.AGGREGATE(15,6,nTP_RowN/((nTP_CandKey=BX36)*(nTP_Err="")*(1-nTP_Exact)*((nTP_HT*BN36*((nTP_OK*BO36*(nTP_UTC_n-N(BQ36))+(1-nTP_OK*BO36)*(nTP_Loc_n-N(BP36)))&lt;=0)+(1-nTP_HT*BN36)*(nTP_Hi_n&lt;N(BR36)))+((1-nTP_HT*BN36)*(nTP_Lo_n=nTP_Hi_n)*(nTP_Lo_n=N(BR36))*(N(BR36)=N(BS36))))),3),0))</f>
        <v>0</v>
      </c>
      <c r="EZ36" s="21" t="str">
        <f>IF(EO36=0,"",MID(IF(EQ36&gt;0,"; "&amp;INDEX(nTP_Record_ID,EQ36)&amp;IF(INDEX(nTP_Label,EQ36)="",""," ("&amp;INDEX(nTP_Label,EQ36)&amp;")"),"")&amp;IF(ER36&gt;0,"; "&amp;INDEX(nTP_Record_ID,ER36)&amp;IF(INDEX(nTP_Label,ER36)="",""," ("&amp;INDEX(nTP_Label,ER36)&amp;")"),"")&amp;IF(ES36&gt;0,"; "&amp;INDEX(nTP_Record_ID,ES36)&amp;IF(INDEX(nTP_Label,ES36)="",""," ("&amp;INDEX(nTP_Label,ES36)&amp;")"),"")&amp;IF(EO36&gt;3,"; and "&amp;(EO36-3)&amp;" more",""),3,999))</f>
        <v/>
      </c>
      <c r="FA36" s="21" t="str">
        <f>IF(EO36=0,"",MID(IF(EQ36&gt;0,"; "&amp;INDEX(nTP_Record_ID,EQ36),"")&amp;IF(ER36&gt;0,"; "&amp;INDEX(nTP_Record_ID,ER36),"")&amp;IF(ES36&gt;0,"; "&amp;INDEX(nTP_Record_ID,ES36),"")&amp;IF(EO36&gt;3,"; and "&amp;(EO36-3)&amp;" more",""),3,999))</f>
        <v/>
      </c>
      <c r="FB36" s="21" t="str">
        <f>IF(EP36=0,"",MID(IF(ET36&gt;0,"; "&amp;INDEX(nTP_Record_ID,ET36)&amp;IF(INDEX(nTP_Label,ET36)="",""," ("&amp;INDEX(nTP_Label,ET36)&amp;")"),"")&amp;IF(EU36&gt;0,"; "&amp;INDEX(nTP_Record_ID,EU36)&amp;IF(INDEX(nTP_Label,EU36)="",""," ("&amp;INDEX(nTP_Label,EU36)&amp;")"),"")&amp;IF(EV36&gt;0,"; "&amp;INDEX(nTP_Record_ID,EV36)&amp;IF(INDEX(nTP_Label,EV36)="",""," ("&amp;INDEX(nTP_Label,EV36)&amp;")"),"")&amp;IF(EP36&gt;3,"; and "&amp;(EP36-3)&amp;" more",""),3,999))</f>
        <v/>
      </c>
      <c r="FC36" s="21" t="str">
        <f>IF(CE36=0,"",MID(IF(EW36&gt;0,"; "&amp;INDEX(nTP_Record_ID,EW36),"")&amp;IF(EX36&gt;0,"; "&amp;INDEX(nTP_Record_ID,EX36),"")&amp;IF(EY36&gt;0,"; "&amp;INDEX(nTP_Record_ID,EY36),"")&amp;IF(CE36&gt;3,"; and "&amp;(CE36-3)&amp;" more",""),3,999))</f>
        <v/>
      </c>
      <c r="FD36" s="22">
        <f t="shared" si="55"/>
        <v>0</v>
      </c>
      <c r="FE36" s="22">
        <f t="shared" si="56"/>
        <v>0</v>
      </c>
      <c r="FF36" s="22">
        <f t="shared" si="57"/>
        <v>0</v>
      </c>
      <c r="FG36" s="22">
        <f t="shared" si="58"/>
        <v>0</v>
      </c>
      <c r="FH36" s="22">
        <f t="shared" si="59"/>
        <v>0</v>
      </c>
      <c r="FI36" s="22">
        <f t="shared" si="60"/>
        <v>0</v>
      </c>
      <c r="FJ36" s="22">
        <f t="shared" si="61"/>
        <v>0</v>
      </c>
      <c r="FK36" s="22">
        <f t="shared" si="62"/>
        <v>0</v>
      </c>
    </row>
    <row r="37" spans="1:167" x14ac:dyDescent="0.2">
      <c r="A37" s="10"/>
      <c r="B37" s="10"/>
      <c r="C37" s="12"/>
      <c r="D37" s="10"/>
      <c r="E37" s="17"/>
      <c r="F37" s="10"/>
      <c r="G37" s="10"/>
      <c r="H37" s="10"/>
      <c r="I37" s="17"/>
      <c r="J37" s="17"/>
      <c r="K37" s="10"/>
      <c r="L37" s="17"/>
      <c r="M37" s="17"/>
      <c r="N37" s="17"/>
      <c r="O37" s="10"/>
      <c r="P37" s="15"/>
      <c r="Q37" s="15"/>
      <c r="R37" s="10"/>
      <c r="S37" s="10"/>
      <c r="T37" s="21" t="str">
        <f t="shared" si="0"/>
        <v/>
      </c>
      <c r="U37" s="21" t="str">
        <f t="shared" si="1"/>
        <v/>
      </c>
      <c r="V37" s="21" t="str">
        <f t="shared" si="2"/>
        <v/>
      </c>
      <c r="W37" s="21" t="str">
        <f t="shared" si="3"/>
        <v/>
      </c>
      <c r="X37" s="21" t="str">
        <f t="shared" si="4"/>
        <v/>
      </c>
      <c r="Y37" s="21" t="str">
        <f t="shared" si="5"/>
        <v/>
      </c>
      <c r="Z37" s="21" t="str">
        <f t="shared" si="6"/>
        <v/>
      </c>
      <c r="AA37" s="21" t="str">
        <f t="shared" si="7"/>
        <v/>
      </c>
      <c r="AB37" s="21" t="str">
        <f t="shared" si="8"/>
        <v/>
      </c>
      <c r="AC37" s="21" t="str">
        <f t="shared" si="9"/>
        <v/>
      </c>
      <c r="AD37" s="21" t="str">
        <f>IF(AW37=1,"",MID(IF(ISNUMBER(SEARCH("E_INVALID_DATE",EG37))," | E_INVALID_DATE: "&amp;SUBSTITUTE(IFERROR(INDEX(nMSG_Text,MATCH("E_INVALID_DATE",nMSG_Code,0)),""),"[input]",""),"")&amp;IF(ISNUMBER(SEARCH("E_REVERSED_BOUNDS",EG37))," | E_REVERSED_BOUNDS: "&amp;SUBSTITUTE(IFERROR(INDEX(nMSG_Text,MATCH("E_REVERSED_BOUNDS",nMSG_Code,0)),""),"[input]",""),"")&amp;IF(ISNUMBER(SEARCH("E_DUPLICATE_ID",EG37))," | E_DUPLICATE_ID: "&amp;SUBSTITUTE(IFERROR(INDEX(nMSG_Text,MATCH("E_DUPLICATE_ID",nMSG_Code,0)),""),"[input]",""),"")&amp;IF(ISNUMBER(SEARCH("E_MISSING_LINK",EG37))," | E_MISSING_LINK: "&amp;SUBSTITUTE(IFERROR(INDEX(nMSG_Text,MATCH("E_MISSING_LINK",nMSG_Code,0)),""),"[input]",""),"")&amp;IF(ISNUMBER(SEARCH("E_MISSING_INPUT",EG37))," | E_MISSING_INPUT: "&amp;SUBSTITUTE(IFERROR(INDEX(nMSG_Text,MATCH("E_MISSING_INPUT",nMSG_Code,0)),""),"[input]",IF(EH37="","an input",EH37)),"")&amp;IF(ISNUMBER(SEARCH("E_INVALID_UNIT",EG37))," | E_INVALID_UNIT: "&amp;SUBSTITUTE(IFERROR(INDEX(nMSG_Text,MATCH("E_INVALID_UNIT",nMSG_Code,0)),""),"[input]",""),"")&amp;IF(FD37=1," | W_TZ_UNKNOWN: "&amp;SUBSTITUTE(IFERROR(INDEX(nMSG_Text,MATCH("W_TZ_UNKNOWN",nMSG_Code,0)),""),"[input]",""),"")&amp;IF(FE37=1," | W_SAME_DATE_ORDER_UNKNOWN: "&amp;SUBSTITUTE(IFERROR(INDEX(nMSG_Text,MATCH("W_SAME_DATE_ORDER_UNKNOWN",nMSG_Code,0)),""),"[input]",""),"")&amp;IF(FF37=1," | W_SEQUENCE_UNCERTAIN: "&amp;SUBSTITUTE(IFERROR(INDEX(nMSG_Text,MATCH("W_SEQUENCE_UNCERTAIN",nMSG_Code,0)),""),"[input]",""),"")&amp;IF(FG37=1," | W_ADMIN_SAME_DATE_AS_ONSET: "&amp;SUBSTITUTE(IFERROR(INDEX(nMSG_Text,MATCH("W_ADMIN_SAME_DATE_AS_ONSET",nMSG_Code,0)),""),"[input]",""),"")&amp;IF(FH37=1," | W_REPORTED_TIMING_CONFLICT: "&amp;SUBSTITUTE(IFERROR(INDEX(nMSG_Text,MATCH("W_REPORTED_TIMING_CONFLICT",nMSG_Code,0)),""),"[input]",""),"")&amp;IF(FI37=1," | W_INTERVENTION_BEFORE_RECOVERY: "&amp;SUBSTITUTE(IFERROR(INDEX(nMSG_Text,MATCH("W_INTERVENTION_BEFORE_RECOVERY",nMSG_Code,0)),""),"[input]",""),"")&amp;IF(FJ37=1," | I_TREATMENT_DAY_UNDEFINED: "&amp;SUBSTITUTE(IFERROR(INDEX(nMSG_Text,MATCH("I_TREATMENT_DAY_UNDEFINED",nMSG_Code,0)),""),"[input]",""),"")&amp;IF(FK37=1," | I_APPROXIMATE_NOT_COMPARED: "&amp;SUBSTITUTE(IFERROR(INDEX(nMSG_Text,MATCH("I_APPROXIMATE_NOT_COMPARED",nMSG_Code,0)),""),"[input]",""),""),4,9999))</f>
        <v/>
      </c>
      <c r="AE37" s="21" t="str">
        <f t="shared" si="10"/>
        <v/>
      </c>
      <c r="AF37" s="21" t="str">
        <f t="shared" si="11"/>
        <v/>
      </c>
      <c r="AG37" s="21" t="str">
        <f>IF(EN37="","",MID(IF(ISNUMBER(SEARCH("E_REVERSED_BOUNDS",EN37))," | E_REVERSED_BOUNDS: "&amp;SUBSTITUTE(IFERROR(INDEX(nMSG_Text,MATCH("E_REVERSED_BOUNDS",nMSG_Code,0)),""),"[input]",""),"")&amp;IF(ISNUMBER(SEARCH("E_MISSING_INPUT",EN37))," | E_MISSING_INPUT: "&amp;SUBSTITUTE(IFERROR(INDEX(nMSG_Text,MATCH("E_MISSING_INPUT",nMSG_Code,0)),""),"[input]",IF("the source of the constraint"="","an input","the source of the constraint")),""),4,999))</f>
        <v/>
      </c>
      <c r="AH37" s="21" t="str">
        <f t="shared" si="12"/>
        <v/>
      </c>
      <c r="AI37" s="21" t="str">
        <f t="shared" si="13"/>
        <v/>
      </c>
      <c r="AJ37" s="21" t="str">
        <f t="shared" si="14"/>
        <v/>
      </c>
      <c r="AK37" s="21" t="str">
        <f t="shared" si="15"/>
        <v/>
      </c>
      <c r="AL37" s="21" t="str">
        <f>IF(CY37=0,"",INDEX(nTP_ISO,CY37))</f>
        <v/>
      </c>
      <c r="AM37" s="21" t="str">
        <f>IF(CY37=0,"",INDEX(nTP_Display,CY37))</f>
        <v/>
      </c>
      <c r="AN37" s="21" t="str">
        <f>IF(BI37=0,"",INDEX(nTP_ISO,BI37))</f>
        <v/>
      </c>
      <c r="AO37" s="21" t="str">
        <f>IF(BI37=0,"",INDEX(nTP_Display,BI37))</f>
        <v/>
      </c>
      <c r="AP37" s="21" t="str">
        <f>IF(BA37=0,"",INDEX(nLNK_Exposure_Episode_ID,BA37)&amp;"")</f>
        <v/>
      </c>
      <c r="AQ37" s="21" t="str">
        <f>IF(BA37=0,"",INDEX(nLNK_Event_Episode_ID,BA37)&amp;"")</f>
        <v/>
      </c>
      <c r="AR37" s="21" t="str">
        <f t="shared" si="16"/>
        <v/>
      </c>
      <c r="AS37" s="21" t="str">
        <f>IF(EI37=0,"",MID(IF(DT37=1," | Recovery interval (C7) computed with "&amp;DS37&amp;".","")&amp;IF(BG37=1," | Anchor selected under C5 (CALC-SPEC 1.1): latest administration with an exact date or time at or before "&amp;IF(BH37=1,"onset","the end point")&amp;" ("&amp;AJ37&amp;"), ordered in UTC when offsets are known; later administrations are never selected.","")&amp;IF(AND(BG37=1,CE37&gt;0)," | Partial-date administrations wholly before the selected one were not candidates: "&amp;FC37&amp;".","")&amp;IF(BV37&lt;&gt;""," | "&amp;BV37,"")&amp;IF(AND(DS37="C2",EA37=0,DZ37&lt;&gt;"")," | Same calendar date; both times are known, so C1 decides the order ("&amp;AA37&amp;").","")&amp;IF(AND(DS37="C2",DD37*BN37=1,DT37=0)," | Calendar-date difference from the recorded local dates; it is never described as elapsed days.","")&amp;IF(AND(DS37="C4",DT37=0)," | Bounds are treated as independent; no single date is imputed from them.","")&amp;IF(EJ37=1," | Treatment day under the inclusive convention (C3); never written to E2B fields automatically.","")&amp;IF(AND(DS37="C4",DT37=0,EK37=0)," | No constraint applied.","")&amp;IF(AND(DS37="C4",EK37=1)," | Constraint applied to the anchor bounds: "&amp;IF(ISNUMBER(P37),"not before "&amp;DAY(P37)&amp;" "&amp;INDEX(nLIST_Months,MONTH(P37))&amp;" "&amp;YEAR(P37),"")&amp;IF(AND(ISNUMBER(P37),ISNUMBER(Q37)),", ","")&amp;IF(ISNUMBER(Q37),"not after "&amp;DAY(Q37)&amp;" "&amp;INDEX(nLIST_Months,MONTH(Q37))&amp;" "&amp;YEAR(Q37),"")&amp;". Source: "&amp;IF(R37="","not recorded",R37)&amp;IF(EN37="",". Constrained result shown beside the unconstrained one.",". Constrained result blocked ("&amp;EN37&amp;")."),"")&amp;IF(DT37=1,IF(EO37&gt;0," | Intervention recorded between cessation and recovery (ends included): "&amp;EZ37&amp;"."," | No intervention is recorded between cessation and recovery; absence of a record is not evidence that none was given."),"")&amp;IF(AND(DT37=1,DV37&gt;0)," | Intervention recorded without a date, so whether it came before recovery is unknown: "&amp;INDEX(nMS_Milestone_ID,MATCH(1,INDEX((nMS_CaseKey=AX37)*(nMS_Type="INTERVENTION")*nMS_Undated,0),0))&amp;IF(DV37&gt;1," and "&amp;(DV37-1)&amp;" more","")&amp;".","")&amp;IF(AND(DT37=1,EP37&gt;0)," | Not counted as interventions, because they are recorded as exposures rather than as intervention milestones (nothing is inferred): "&amp;FB37&amp;". If treatment was given, record it as an intervention milestone.",""),4,9999))</f>
        <v/>
      </c>
      <c r="AT37" s="21" t="str">
        <f t="shared" si="17"/>
        <v/>
      </c>
      <c r="AU37" s="21" t="str">
        <f t="shared" si="18"/>
        <v/>
      </c>
      <c r="AV37" s="21" t="str">
        <f t="shared" si="19"/>
        <v/>
      </c>
      <c r="AW37" s="22">
        <f t="shared" si="20"/>
        <v>1</v>
      </c>
      <c r="AX37" s="21" t="str">
        <f t="shared" si="21"/>
        <v>|</v>
      </c>
      <c r="AY37" s="21" t="str">
        <f t="shared" si="22"/>
        <v/>
      </c>
      <c r="AZ37" s="22">
        <f>IF(AY37="",0,COUNTIF(nINT_Key,AY37))</f>
        <v>0</v>
      </c>
      <c r="BA37" s="22">
        <f>IF(D37="",0,IFERROR(MATCH(AX37&amp;"|"&amp;D37,nLNK_Key,0),0))</f>
        <v>0</v>
      </c>
      <c r="BB37" s="22">
        <f>IF(BA37=0,1,INDEX(nLNK_Exp_Found,BA37))</f>
        <v>1</v>
      </c>
      <c r="BC37" s="22">
        <f>IF(BA37=0,1,INDEX(nLNK_Evt_Found,BA37))</f>
        <v>1</v>
      </c>
      <c r="BD37" s="22">
        <f>IF(AP37="",0,COUNTIF(nEXP_Key,AX37&amp;"|"&amp;AP37))</f>
        <v>0</v>
      </c>
      <c r="BE37" s="22">
        <f>IF(AQ37="",0,COUNTIF(nEVT_Key,AX37&amp;"|"&amp;AQ37))</f>
        <v>0</v>
      </c>
      <c r="BF37" s="22">
        <f>IF(ISNA(MATCH(E37,nLIST_AnchorType,0)),0,1)</f>
        <v>0</v>
      </c>
      <c r="BG37" s="22">
        <f t="shared" si="23"/>
        <v>0</v>
      </c>
      <c r="BH37" s="22">
        <f t="shared" si="24"/>
        <v>0</v>
      </c>
      <c r="BI37" s="22">
        <f>IF(OR(AW37=1,AK37=""),0,IFERROR(MATCH(AX37&amp;"|"&amp;AK37,nTP_Key,0),0))</f>
        <v>0</v>
      </c>
      <c r="BJ37" s="21">
        <f>IF(BI37=0,0,INDEX(nTP_Dup,BI37))</f>
        <v>0</v>
      </c>
      <c r="BK37" s="21" t="str">
        <f>IF(BI37=0,"",INDEX(nTP_Record_Type,BI37))</f>
        <v/>
      </c>
      <c r="BL37" s="21" t="str">
        <f>IF(BI37=0,"",INDEX(nTP_Precision,BI37))</f>
        <v/>
      </c>
      <c r="BM37" s="21" t="str">
        <f>IF(BI37=0,"",INDEX(nTP_Err,BI37))</f>
        <v/>
      </c>
      <c r="BN37" s="21">
        <f>IF(BI37=0,0,INDEX(nTP_HT,BI37))</f>
        <v>0</v>
      </c>
      <c r="BO37" s="21">
        <f>IF(BI37=0,0,INDEX(nTP_OK,BI37))</f>
        <v>0</v>
      </c>
      <c r="BP37" s="21" t="str">
        <f>IF(BI37=0,"",INDEX(nTP_Loc,BI37))</f>
        <v/>
      </c>
      <c r="BQ37" s="21" t="str">
        <f>IF(BI37=0,"",INDEX(nTP_UTC,BI37))</f>
        <v/>
      </c>
      <c r="BR37" s="21" t="str">
        <f>IF(BI37=0,"",INDEX(nTP_Lo,BI37))</f>
        <v/>
      </c>
      <c r="BS37" s="21" t="str">
        <f>IF(BI37=0,"",INDEX(nTP_Hi,BI37))</f>
        <v/>
      </c>
      <c r="BT37" s="21" t="str">
        <f>IF(BI37=0,"",INDEX(nTP_Original_Text,BI37))</f>
        <v/>
      </c>
      <c r="BU37" s="21" t="str">
        <f>IF(BI37=0,"",INDEX(nTP_Source,BI37))</f>
        <v/>
      </c>
      <c r="BV37" s="21" t="str">
        <f>IF(BI37=0,"",INDEX(nTP_Lab_Note,BI37))</f>
        <v/>
      </c>
      <c r="BW37" s="22">
        <f t="shared" si="25"/>
        <v>0</v>
      </c>
      <c r="BX37" s="21" t="str">
        <f t="shared" si="26"/>
        <v>||</v>
      </c>
      <c r="BY37" s="22">
        <f>IF(BG37=0,0,COUNTIF(nTP_CandKey,BX37))</f>
        <v>0</v>
      </c>
      <c r="BZ37" s="22">
        <f>IF(BG37=0,0,COUNTIFS(nTP_CandKey,BX37,nTP_Err,""))</f>
        <v>0</v>
      </c>
      <c r="CA37" s="21" t="str">
        <f>IF(BY37=BZ37,"",IF(COUNTIFS(nTP_CandKey,BX37,nTP_Err,"E_INVALID_DATE")&gt;0,"; E_INVALID_DATE","")&amp;IF(COUNTIFS(nTP_CandKey,BX37,nTP_Err,"E_REVERSED_BOUNDS")&gt;0,"; E_REVERSED_BOUNDS","")&amp;IF(COUNTIFS(nTP_CandKey,BX37,nTP_Err,"E_MISSING_INPUT")&gt;0,"; E_MISSING_INPUT","")&amp;IF(COUNTIFS(nTP_CandKey,BX37,nTP_Err,"E_INVALID_UNIT")&gt;0,"; E_INVALID_UNIT",""))</f>
        <v/>
      </c>
      <c r="CB37" s="22">
        <f t="shared" si="27"/>
        <v>0</v>
      </c>
      <c r="CC37" s="22">
        <f>IF(CB37=0,0,SUMPRODUCT((nTP_CandKey=BX37)*(nTP_Err="")*(1-(nTP_HT*BN37*((nTP_OK*BO37*(nTP_UTC_n-N(BQ37))+(1-nTP_OK*BO37)*(nTP_Loc_n-N(BP37)))&lt;=0)+(1-nTP_HT*BN37)*(nTP_Hi_n&lt;N(BR37)))-(nTP_HT*BN37*((nTP_OK*BO37*(nTP_UTC_n-N(BQ37))+(1-nTP_OK*BO37)*(nTP_Loc_n-N(BP37)))&gt;0)+(1-nTP_HT*BN37)*(nTP_Lo_n&gt;N(BS37)))-((1-nTP_HT*BN37)*(nTP_Lo_n=nTP_Hi_n)*(nTP_Lo_n=N(BR37))*(N(BR37)=N(BS37))))))</f>
        <v>0</v>
      </c>
      <c r="CD37" s="22">
        <f>IF(CB37=0,0,SUMPRODUCT((nTP_CandKey=BX37)*nTP_Exact*((nTP_HT*BN37*((nTP_OK*BO37*(nTP_UTC_n-N(BQ37))+(1-nTP_OK*BO37)*(nTP_Loc_n-N(BP37)))&lt;=0)+(1-nTP_HT*BN37)*(nTP_Hi_n&lt;N(BR37)))+((1-nTP_HT*BN37)*(nTP_Lo_n=nTP_Hi_n)*(nTP_Lo_n=N(BR37))*(N(BR37)=N(BS37))))))</f>
        <v>0</v>
      </c>
      <c r="CE37" s="22">
        <f>IF(CB37=0,0,SUMPRODUCT((nTP_CandKey=BX37)*(nTP_Err="")*(1-nTP_Exact)*((nTP_HT*BN37*((nTP_OK*BO37*(nTP_UTC_n-N(BQ37))+(1-nTP_OK*BO37)*(nTP_Loc_n-N(BP37)))&lt;=0)+(1-nTP_HT*BN37)*(nTP_Hi_n&lt;N(BR37)))+((1-nTP_HT*BN37)*(nTP_Lo_n=nTP_Hi_n)*(nTP_Lo_n=N(BR37))*(N(BR37)=N(BS37))))))</f>
        <v>0</v>
      </c>
      <c r="CF37" s="22">
        <f>IF(CD37=0,0,SUMPRODUCT(MAX((nTP_CandKey=BX37)*nTP_Exact*((nTP_HT*BN37*((nTP_OK*BO37*(nTP_UTC_n-N(BQ37))+(1-nTP_OK*BO37)*(nTP_Loc_n-N(BP37)))&lt;=0)+(1-nTP_HT*BN37)*(nTP_Hi_n&lt;N(BR37)))+((1-nTP_HT*BN37)*(nTP_Lo_n=nTP_Hi_n)*(nTP_Lo_n=N(BR37))*(N(BR37)=N(BS37))))*nTP_Lo_n)))</f>
        <v>0</v>
      </c>
      <c r="CG37" s="22">
        <f>IF(CD37=0,0,SUMPRODUCT((nTP_CandKey=BX37)*nTP_Exact*((nTP_HT*BN37*((nTP_OK*BO37*(nTP_UTC_n-N(BQ37))+(1-nTP_OK*BO37)*(nTP_Loc_n-N(BP37)))&lt;=0)+(1-nTP_HT*BN37)*(nTP_Hi_n&lt;N(BR37)))+((1-nTP_HT*BN37)*(nTP_Lo_n=nTP_Hi_n)*(nTP_Lo_n=N(BR37))*(N(BR37)=N(BS37))))*(nTP_Lo_n=CF37)))</f>
        <v>0</v>
      </c>
      <c r="CH37" s="22">
        <f>IF(CD37=0,0,SUMPRODUCT((nTP_CandKey=BX37)*nTP_Exact*((nTP_HT*BN37*((nTP_OK*BO37*(nTP_UTC_n-N(BQ37))+(1-nTP_OK*BO37)*(nTP_Loc_n-N(BP37)))&lt;=0)+(1-nTP_HT*BN37)*(nTP_Hi_n&lt;N(BR37)))+((1-nTP_HT*BN37)*(nTP_Lo_n=nTP_Hi_n)*(nTP_Lo_n=N(BR37))*(N(BR37)=N(BS37))))*(1-nTP_HT)*(nTP_Lo_n=CF37)))</f>
        <v>0</v>
      </c>
      <c r="CI37" s="22">
        <f>IF(CD37=0,0,SUMPRODUCT(MAX((nTP_CandKey=BX37)*nTP_Exact*((nTP_HT*BN37*((nTP_OK*BO37*(nTP_UTC_n-N(BQ37))+(1-nTP_OK*BO37)*(nTP_Loc_n-N(BP37)))&lt;=0)+(1-nTP_HT*BN37)*(nTP_Hi_n&lt;N(BR37)))+((1-nTP_HT*BN37)*(nTP_Lo_n=nTP_Hi_n)*(nTP_Lo_n=N(BR37))*(N(BR37)=N(BS37))))*(1-nTP_HT)*nTP_Lo_n)))</f>
        <v>0</v>
      </c>
      <c r="CJ37" s="22">
        <f>IF(CD37=0,0,SUMPRODUCT(MAX((nTP_CandKey=BX37)*nTP_Exact*((nTP_HT*BN37*((nTP_OK*BO37*(nTP_UTC_n-N(BQ37))+(1-nTP_OK*BO37)*(nTP_Loc_n-N(BP37)))&lt;=0)+(1-nTP_HT*BN37)*(nTP_Hi_n&lt;N(BR37)))+((1-nTP_HT*BN37)*(nTP_Lo_n=nTP_Hi_n)*(nTP_Lo_n=N(BR37))*(N(BR37)=N(BS37))))*nTP_HT*nTP_OK*nTP_UTC_n)))</f>
        <v>0</v>
      </c>
      <c r="CK37" s="22">
        <f>IF(CJ37=0,0,SUMPRODUCT((nTP_CandKey=BX37)*nTP_Exact*((nTP_HT*BN37*((nTP_OK*BO37*(nTP_UTC_n-N(BQ37))+(1-nTP_OK*BO37)*(nTP_Loc_n-N(BP37)))&lt;=0)+(1-nTP_HT*BN37)*(nTP_Hi_n&lt;N(BR37)))+((1-nTP_HT*BN37)*(nTP_Lo_n=nTP_Hi_n)*(nTP_Lo_n=N(BR37))*(N(BR37)=N(BS37))))*nTP_HT*nTP_OK*(nTP_UTC_n=CJ37)))</f>
        <v>0</v>
      </c>
      <c r="CL37" s="22">
        <f>IF(CK37&lt;&gt;1,0,SUMPRODUCT((nTP_CandKey=BX37)*nTP_Exact*((nTP_HT*BN37*((nTP_OK*BO37*(nTP_UTC_n-N(BQ37))+(1-nTP_OK*BO37)*(nTP_Loc_n-N(BP37)))&lt;=0)+(1-nTP_HT*BN37)*(nTP_Hi_n&lt;N(BR37)))+((1-nTP_HT*BN37)*(nTP_Lo_n=nTP_Hi_n)*(nTP_Lo_n=N(BR37))*(N(BR37)=N(BS37))))*nTP_HT*nTP_OK*(nTP_UTC_n=CJ37)*nTP_Loc_n))</f>
        <v>0</v>
      </c>
      <c r="CM37" s="22">
        <f>IF(CK37&lt;&gt;1,0,SUMPRODUCT((nTP_CandKey=BX37)*nTP_Exact*((nTP_HT*BN37*((nTP_OK*BO37*(nTP_UTC_n-N(BQ37))+(1-nTP_OK*BO37)*(nTP_Loc_n-N(BP37)))&lt;=0)+(1-nTP_HT*BN37)*(nTP_Hi_n&lt;N(BR37)))+((1-nTP_HT*BN37)*(nTP_Lo_n=nTP_Hi_n)*(nTP_Lo_n=N(BR37))*(N(BR37)=N(BS37))))*nTP_HT*nTP_OK*(nTP_UTC_n=CJ37)*nTP_Lo_n))</f>
        <v>0</v>
      </c>
      <c r="CN37" s="22">
        <f>IF(CD37=0,0,SUMPRODUCT(MAX((nTP_CandKey=BX37)*nTP_Exact*((nTP_HT*BN37*((nTP_OK*BO37*(nTP_UTC_n-N(BQ37))+(1-nTP_OK*BO37)*(nTP_Loc_n-N(BP37)))&lt;=0)+(1-nTP_HT*BN37)*(nTP_Hi_n&lt;N(BR37)))+((1-nTP_HT*BN37)*(nTP_Lo_n=nTP_Hi_n)*(nTP_Lo_n=N(BR37))*(N(BR37)=N(BS37))))*nTP_HT*(1-nTP_OK)*nTP_Loc_n)))</f>
        <v>0</v>
      </c>
      <c r="CO37" s="22">
        <f>IF(CN37=0,0,SUMPRODUCT((nTP_CandKey=BX37)*nTP_Exact*((nTP_HT*BN37*((nTP_OK*BO37*(nTP_UTC_n-N(BQ37))+(1-nTP_OK*BO37)*(nTP_Loc_n-N(BP37)))&lt;=0)+(1-nTP_HT*BN37)*(nTP_Hi_n&lt;N(BR37)))+((1-nTP_HT*BN37)*(nTP_Lo_n=nTP_Hi_n)*(nTP_Lo_n=N(BR37))*(N(BR37)=N(BS37))))*nTP_HT*(1-nTP_OK)*(nTP_Loc_n=CN37)))</f>
        <v>0</v>
      </c>
      <c r="CP37" s="22">
        <f>IF(CO37&lt;&gt;1,0,SUMPRODUCT((nTP_CandKey=BX37)*nTP_Exact*((nTP_HT*BN37*((nTP_OK*BO37*(nTP_UTC_n-N(BQ37))+(1-nTP_OK*BO37)*(nTP_Loc_n-N(BP37)))&lt;=0)+(1-nTP_HT*BN37)*(nTP_Hi_n&lt;N(BR37)))+((1-nTP_HT*BN37)*(nTP_Lo_n=nTP_Hi_n)*(nTP_Lo_n=N(BR37))*(N(BR37)=N(BS37))))*nTP_HT*(1-nTP_OK)*(nTP_Loc_n=CN37)*nTP_Lo_n))</f>
        <v>0</v>
      </c>
      <c r="CQ37" s="22">
        <f>IF(CD37=0,0,SUMPRODUCT(MAX((nTP_CandKey=BX37)*nTP_Exact*((nTP_HT*BN37*((nTP_OK*BO37*(nTP_UTC_n-N(BQ37))+(1-nTP_OK*BO37)*(nTP_Loc_n-N(BP37)))&lt;=0)+(1-nTP_HT*BN37)*(nTP_Hi_n&lt;N(BR37)))+((1-nTP_HT*BN37)*(nTP_Lo_n=nTP_Hi_n)*(nTP_Lo_n=N(BR37))*(N(BR37)=N(BS37))))*nTP_HT*nTP_OK*nTP_Loc_n)))</f>
        <v>0</v>
      </c>
      <c r="CR37" s="22">
        <f t="shared" si="28"/>
        <v>0</v>
      </c>
      <c r="CS37" s="22">
        <f>IF(CR37=0,0,IF(CR37=1,MATCH(1,INDEX((nTP_CandKey=BX37)*nTP_Exact*((nTP_HT*BN37*((nTP_OK*BO37*(nTP_UTC_n-N(BQ37))+(1-nTP_OK*BO37)*(nTP_Loc_n-N(BP37)))&lt;=0)+(1-nTP_HT*BN37)*(nTP_Hi_n&lt;N(BR37)))+((1-nTP_HT*BN37)*(nTP_Lo_n=nTP_Hi_n)*(nTP_Lo_n=N(BR37))*(N(BR37)=N(BS37))))*(1-nTP_HT)*(nTP_Lo_n=CF37),0),0),IF(CR37=2,MATCH(1,INDEX((nTP_CandKey=BX37)*nTP_Exact*((nTP_HT*BN37*((nTP_OK*BO37*(nTP_UTC_n-N(BQ37))+(1-nTP_OK*BO37)*(nTP_Loc_n-N(BP37)))&lt;=0)+(1-nTP_HT*BN37)*(nTP_Hi_n&lt;N(BR37)))+((1-nTP_HT*BN37)*(nTP_Lo_n=nTP_Hi_n)*(nTP_Lo_n=N(BR37))*(N(BR37)=N(BS37))))*nTP_HT*nTP_OK*(nTP_UTC_n=CJ37),0),0),MATCH(1,INDEX((nTP_CandKey=BX37)*nTP_Exact*((nTP_HT*BN37*((nTP_OK*BO37*(nTP_UTC_n-N(BQ37))+(1-nTP_OK*BO37)*(nTP_Loc_n-N(BP37)))&lt;=0)+(1-nTP_HT*BN37)*(nTP_Hi_n&lt;N(BR37)))+((1-nTP_HT*BN37)*(nTP_Lo_n=nTP_Hi_n)*(nTP_Lo_n=N(BR37))*(N(BR37)=N(BS37))))*nTP_HT*(1-nTP_OK)*(nTP_Loc_n=CN37),0),0))))</f>
        <v>0</v>
      </c>
      <c r="CT37" s="22">
        <f>IF(CS37=0,0,INDEX(nTP_Lo_n,CS37))</f>
        <v>0</v>
      </c>
      <c r="CU37" s="22">
        <f>IF(CS37=0,0,SUMPRODUCT((nTP_CandKey=BX37)*(nTP_Err="")*(1-nTP_Exact)*((nTP_HT*BN37*((nTP_OK*BO37*(nTP_UTC_n-N(BQ37))+(1-nTP_OK*BO37)*(nTP_Loc_n-N(BP37)))&lt;=0)+(1-nTP_HT*BN37)*(nTP_Hi_n&lt;N(BR37)))+((1-nTP_HT*BN37)*(nTP_Lo_n=nTP_Hi_n)*(nTP_Lo_n=N(BR37))*(N(BR37)=N(BS37))))*(nTP_Hi_n&gt;=CT37)))</f>
        <v>0</v>
      </c>
      <c r="CV37" s="21" t="str">
        <f t="shared" si="29"/>
        <v/>
      </c>
      <c r="CW37" s="21" t="str">
        <f>IF(AND(BG37=1,CB37=1,CV37="",CS37&gt;0),INDEX(nTP_Record_ID,CS37)&amp;"","")</f>
        <v/>
      </c>
      <c r="CX37" s="21" t="str">
        <f>IF(OR(CV37="",BG37=0),"",IF(CV37="none","an administration record (last dose before onset)",IF(CV37="uncertain","the anchor record: "&amp;INDEX(nTP_Record_ID,MATCH(1,INDEX((nTP_CandKey=BX37)*(nTP_Err="")*(1-(nTP_HT*BN37*((nTP_OK*BO37*(nTP_UTC_n-N(BQ37))+(1-nTP_OK*BO37)*(nTP_Loc_n-N(BP37)))&lt;=0)+(1-nTP_HT*BN37)*(nTP_Hi_n&lt;N(BR37)))-(nTP_HT*BN37*((nTP_OK*BO37*(nTP_UTC_n-N(BQ37))+(1-nTP_OK*BO37)*(nTP_Loc_n-N(BP37)))&gt;0)+(1-nTP_HT*BN37)*(nTP_Lo_n&gt;N(BS37)))-((1-nTP_HT*BN37)*(nTP_Lo_n=nTP_Hi_n)*(nTP_Lo_n=N(BR37))*(N(BR37)=N(BS37)))),0),0))&amp;IF(CC37&gt;1," and "&amp;(CC37-1)&amp;" more","")&amp;" may fall before or after the end point, so the last dose cannot be identified from the recorded dates",IF(CV37="noneligible","the anchor record: no administration with an exact date is recorded at or before the end point",IF(CV37="tie","the anchor record: the order of the latest administrations cannot be told from the recorded dates and times","the anchor record: partial-date administration "&amp;INDEX(nTP_Record_ID,MATCH(1,INDEX((nTP_CandKey=BX37)*(nTP_Err="")*(1-nTP_Exact)*((nTP_HT*BN37*((nTP_OK*BO37*(nTP_UTC_n-N(BQ37))+(1-nTP_OK*BO37)*(nTP_Loc_n-N(BP37)))&lt;=0)+(1-nTP_HT*BN37)*(nTP_Hi_n&lt;N(BR37)))+((1-nTP_HT*BN37)*(nTP_Lo_n=nTP_Hi_n)*(nTP_Lo_n=N(BR37))*(N(BR37)=N(BS37))))*(nTP_Hi_n&gt;=CT37),0),0))&amp;" could be the last dose before the end point")))))</f>
        <v/>
      </c>
      <c r="CY37" s="22">
        <f>IF(OR(AW37=1,AJ37=""),0,IFERROR(MATCH(AX37&amp;"|"&amp;AJ37,nTP_Key,0),0))</f>
        <v>0</v>
      </c>
      <c r="CZ37" s="21">
        <f>IF(CY37=0,0,INDEX(nTP_Dup,CY37))</f>
        <v>0</v>
      </c>
      <c r="DA37" s="21" t="str">
        <f>IF(CY37=0,"",INDEX(nTP_Record_Type,CY37))</f>
        <v/>
      </c>
      <c r="DB37" s="21" t="str">
        <f>IF(CY37=0,"",INDEX(nTP_Precision,CY37))</f>
        <v/>
      </c>
      <c r="DC37" s="21" t="str">
        <f>IF(CY37=0,"",INDEX(nTP_Err,CY37))</f>
        <v/>
      </c>
      <c r="DD37" s="21">
        <f>IF(CY37=0,0,INDEX(nTP_HT,CY37))</f>
        <v>0</v>
      </c>
      <c r="DE37" s="21">
        <f>IF(CY37=0,0,INDEX(nTP_OK,CY37))</f>
        <v>0</v>
      </c>
      <c r="DF37" s="21" t="str">
        <f>IF(CY37=0,"",INDEX(nTP_Loc,CY37))</f>
        <v/>
      </c>
      <c r="DG37" s="21" t="str">
        <f>IF(CY37=0,"",INDEX(nTP_UTC,CY37))</f>
        <v/>
      </c>
      <c r="DH37" s="21" t="str">
        <f>IF(CY37=0,"",INDEX(nTP_Lo,CY37))</f>
        <v/>
      </c>
      <c r="DI37" s="21" t="str">
        <f>IF(CY37=0,"",INDEX(nTP_Hi,CY37))</f>
        <v/>
      </c>
      <c r="DJ37" s="21" t="str">
        <f>IF(CY37=0,"",INDEX(nTP_Original_Text,CY37))</f>
        <v/>
      </c>
      <c r="DK37" s="21" t="str">
        <f>IF(CY37=0,"",INDEX(nTP_Source,CY37))</f>
        <v/>
      </c>
      <c r="DL37" s="22">
        <f t="shared" si="30"/>
        <v>0</v>
      </c>
      <c r="DM37" s="21" t="str">
        <f t="shared" si="31"/>
        <v/>
      </c>
      <c r="DN37" s="21" t="str">
        <f t="shared" si="32"/>
        <v/>
      </c>
      <c r="DO37" s="21" t="str">
        <f t="shared" si="33"/>
        <v/>
      </c>
      <c r="DP37" s="21" t="str">
        <f t="shared" si="34"/>
        <v/>
      </c>
      <c r="DQ37" s="21" t="str">
        <f t="shared" si="35"/>
        <v/>
      </c>
      <c r="DR37" s="22">
        <f>IF(OR(DQ37="",I37=""),0,IF(ISNA(MATCH(I37,nLIST_Mode,0)),1,IF(AND(I37="C1",DQ37&lt;&gt;"C1"),1,IF(AND(I37="C2",DQ37="C4"),1,0))))</f>
        <v>0</v>
      </c>
      <c r="DS37" s="21" t="str">
        <f t="shared" si="36"/>
        <v/>
      </c>
      <c r="DT37" s="22">
        <f t="shared" si="37"/>
        <v>0</v>
      </c>
      <c r="DU37" s="21" t="str">
        <f>IF(DT37=0,"",IF(COUNTIFS(nTP_Case_Key,AX37,nTP_Record_Type,"MILESTONE:INTERVENTION",nTP_Err,"E_INVALID_DATE")&gt;0,"; E_INVALID_DATE","")&amp;IF(COUNTIFS(nTP_Case_Key,AX37,nTP_Record_Type,"MILESTONE:INTERVENTION",nTP_Err,"E_REVERSED_BOUNDS")&gt;0,"; E_REVERSED_BOUNDS","")&amp;IF(COUNTIFS(nTP_Case_Key,AX37,nTP_Record_Type,"MILESTONE:INTERVENTION",nTP_Err,"E_MISSING_INPUT")&gt;0,"; E_MISSING_INPUT","")&amp;IF(COUNTIFS(nTP_Case_Key,AX37,nTP_Record_Type,"MILESTONE:INTERVENTION",nTP_Err,"E_INVALID_UNIT")&gt;0,"; E_INVALID_UNIT",""))</f>
        <v/>
      </c>
      <c r="DV37" s="22">
        <f>IF(DT37=0,0,SUMPRODUCT((nMS_CaseKey=AX37)*(nMS_Type="INTERVENTION")*nMS_Undated))</f>
        <v>0</v>
      </c>
      <c r="DW37" s="21" t="str">
        <f t="shared" si="38"/>
        <v/>
      </c>
      <c r="DX37" s="21" t="str">
        <f t="shared" si="39"/>
        <v/>
      </c>
      <c r="DY37" s="22">
        <f t="shared" si="40"/>
        <v>1</v>
      </c>
      <c r="DZ37" s="21" t="str">
        <f t="shared" si="41"/>
        <v/>
      </c>
      <c r="EA37" s="21" t="str">
        <f t="shared" si="42"/>
        <v/>
      </c>
      <c r="EB37" s="21" t="str">
        <f t="shared" si="43"/>
        <v/>
      </c>
      <c r="EC37" s="21" t="str">
        <f t="shared" si="44"/>
        <v/>
      </c>
      <c r="ED37" s="22">
        <f t="shared" si="45"/>
        <v>0</v>
      </c>
      <c r="EE37" s="22">
        <f t="shared" si="46"/>
        <v>0</v>
      </c>
      <c r="EF37" s="21" t="str">
        <f>IF(ED37=0,"",IF(OR(NOT(ISNUMBER(L37)),NOT(ISNUMBER(M37))),"I_APPROXIMATE_NOT_COMPARED",IF(AND(N37&lt;&gt;"",ISNA(MATCH(N37,nLIST_ReportedUnit,0))),"E_INVALID_UNIT",IF(N37="","E_MISSING_INPUT",IF(L37&gt;M37,"E_REVERSED_BOUNDS",IF(OR(N37="weeks",N37="months",N37="years"),"I_APPROXIMATE_NOT_COMPARED",IF(DX37&lt;&gt;"","",IF(EE37=0,"I_APPROXIMATE_NOT_COMPARED",IF(AND(L37*EE37&lt;=IF(DS37="C4",EC37,IF(DS37="C1",DZ37,EA37)),M37*EE37&gt;=IF(DS37="C4",EB37,IF(DS37="C1",DZ37,EA37))),"OVERLAP","W_REPORTED_TIMING_CONFLICT")))))))))</f>
        <v/>
      </c>
      <c r="EG37" s="21" t="str">
        <f t="shared" si="47"/>
        <v/>
      </c>
      <c r="EH37" s="21" t="str">
        <f t="shared" si="48"/>
        <v/>
      </c>
      <c r="EI37" s="22">
        <f t="shared" si="49"/>
        <v>0</v>
      </c>
      <c r="EJ37" s="22">
        <f t="shared" si="50"/>
        <v>0</v>
      </c>
      <c r="EK37" s="22">
        <f t="shared" si="51"/>
        <v>0</v>
      </c>
      <c r="EL37" s="28" t="str">
        <f t="shared" si="52"/>
        <v/>
      </c>
      <c r="EM37" s="28" t="str">
        <f t="shared" si="53"/>
        <v/>
      </c>
      <c r="EN37" s="21" t="str">
        <f t="shared" si="54"/>
        <v/>
      </c>
      <c r="EO37" s="22">
        <f>IF(OR(DT37=0,DX37&lt;&gt;""),0,SUMPRODUCT((nTP_Case_Key=AX37)*(nTP_Record_Type="MILESTONE:INTERVENTION")*(nTP_Err="")*(nTP_HT*DD37*BN37*(nTP_OK*DE37*(nTP_UTC_n&gt;=N(DG37))+(1-nTP_OK*DE37)*(nTP_Loc_n&gt;=N(DF37)))*(nTP_OK*BO37*(nTP_UTC_n&lt;=N(BQ37))+(1-nTP_OK*BO37)*(nTP_Loc_n&lt;=N(BP37)))+(1-nTP_HT*DD37*BN37)*(nTP_Hi_n&gt;=N(DH37))*(nTP_Lo_n&lt;=N(BS37)))))</f>
        <v>0</v>
      </c>
      <c r="EP37" s="22">
        <f>IF(OR(DT37=0,DX37&lt;&gt;""),0,SUMPRODUCT((nTP_Case_Key=AX37)*(nTP_Role="treatment of the event")*((nTP_Record_Type="EXPOSURE_START")+(nTP_Record_Type="ADMINISTRATION"))*(nTP_Err="")*(nTP_HT*DD37*BN37*(nTP_OK*DE37*(nTP_UTC_n&gt;=N(DG37))+(1-nTP_OK*DE37)*(nTP_Loc_n&gt;=N(DF37)))*(nTP_OK*BO37*(nTP_UTC_n&lt;=N(BQ37))+(1-nTP_OK*BO37)*(nTP_Loc_n&lt;=N(BP37)))+(1-nTP_HT*DD37*BN37)*(nTP_Hi_n&gt;=N(DH37))*(nTP_Lo_n&lt;=N(BS37)))))</f>
        <v>0</v>
      </c>
      <c r="EQ37" s="22">
        <f>IF(EO37&lt;1,0,IFERROR(_xlfn.AGGREGATE(15,6,nTP_RowN/((nTP_Case_Key=AX37)*(nTP_Record_Type="MILESTONE:INTERVENTION")*(nTP_Err="")*(nTP_HT*DD37*BN37*(nTP_OK*DE37*(nTP_UTC_n&gt;=N(DG37))+(1-nTP_OK*DE37)*(nTP_Loc_n&gt;=N(DF37)))*(nTP_OK*BO37*(nTP_UTC_n&lt;=N(BQ37))+(1-nTP_OK*BO37)*(nTP_Loc_n&lt;=N(BP37)))+(1-nTP_HT*DD37*BN37)*(nTP_Hi_n&gt;=N(DH37))*(nTP_Lo_n&lt;=N(BS37)))),1),0))</f>
        <v>0</v>
      </c>
      <c r="ER37" s="22">
        <f>IF(EO37&lt;2,0,IFERROR(_xlfn.AGGREGATE(15,6,nTP_RowN/((nTP_Case_Key=AX37)*(nTP_Record_Type="MILESTONE:INTERVENTION")*(nTP_Err="")*(nTP_HT*DD37*BN37*(nTP_OK*DE37*(nTP_UTC_n&gt;=N(DG37))+(1-nTP_OK*DE37)*(nTP_Loc_n&gt;=N(DF37)))*(nTP_OK*BO37*(nTP_UTC_n&lt;=N(BQ37))+(1-nTP_OK*BO37)*(nTP_Loc_n&lt;=N(BP37)))+(1-nTP_HT*DD37*BN37)*(nTP_Hi_n&gt;=N(DH37))*(nTP_Lo_n&lt;=N(BS37)))),2),0))</f>
        <v>0</v>
      </c>
      <c r="ES37" s="22">
        <f>IF(EO37&lt;3,0,IFERROR(_xlfn.AGGREGATE(15,6,nTP_RowN/((nTP_Case_Key=AX37)*(nTP_Record_Type="MILESTONE:INTERVENTION")*(nTP_Err="")*(nTP_HT*DD37*BN37*(nTP_OK*DE37*(nTP_UTC_n&gt;=N(DG37))+(1-nTP_OK*DE37)*(nTP_Loc_n&gt;=N(DF37)))*(nTP_OK*BO37*(nTP_UTC_n&lt;=N(BQ37))+(1-nTP_OK*BO37)*(nTP_Loc_n&lt;=N(BP37)))+(1-nTP_HT*DD37*BN37)*(nTP_Hi_n&gt;=N(DH37))*(nTP_Lo_n&lt;=N(BS37)))),3),0))</f>
        <v>0</v>
      </c>
      <c r="ET37" s="22">
        <f>IF(EP37&lt;1,0,IFERROR(_xlfn.AGGREGATE(15,6,nTP_RowN/((nTP_Case_Key=AX37)*(nTP_Role="treatment of the event")*((nTP_Record_Type="EXPOSURE_START")+(nTP_Record_Type="ADMINISTRATION"))*(nTP_Err="")*(nTP_HT*DD37*BN37*(nTP_OK*DE37*(nTP_UTC_n&gt;=N(DG37))+(1-nTP_OK*DE37)*(nTP_Loc_n&gt;=N(DF37)))*(nTP_OK*BO37*(nTP_UTC_n&lt;=N(BQ37))+(1-nTP_OK*BO37)*(nTP_Loc_n&lt;=N(BP37)))+(1-nTP_HT*DD37*BN37)*(nTP_Hi_n&gt;=N(DH37))*(nTP_Lo_n&lt;=N(BS37)))),1),0))</f>
        <v>0</v>
      </c>
      <c r="EU37" s="22">
        <f>IF(EP37&lt;2,0,IFERROR(_xlfn.AGGREGATE(15,6,nTP_RowN/((nTP_Case_Key=AX37)*(nTP_Role="treatment of the event")*((nTP_Record_Type="EXPOSURE_START")+(nTP_Record_Type="ADMINISTRATION"))*(nTP_Err="")*(nTP_HT*DD37*BN37*(nTP_OK*DE37*(nTP_UTC_n&gt;=N(DG37))+(1-nTP_OK*DE37)*(nTP_Loc_n&gt;=N(DF37)))*(nTP_OK*BO37*(nTP_UTC_n&lt;=N(BQ37))+(1-nTP_OK*BO37)*(nTP_Loc_n&lt;=N(BP37)))+(1-nTP_HT*DD37*BN37)*(nTP_Hi_n&gt;=N(DH37))*(nTP_Lo_n&lt;=N(BS37)))),2),0))</f>
        <v>0</v>
      </c>
      <c r="EV37" s="22">
        <f>IF(EP37&lt;3,0,IFERROR(_xlfn.AGGREGATE(15,6,nTP_RowN/((nTP_Case_Key=AX37)*(nTP_Role="treatment of the event")*((nTP_Record_Type="EXPOSURE_START")+(nTP_Record_Type="ADMINISTRATION"))*(nTP_Err="")*(nTP_HT*DD37*BN37*(nTP_OK*DE37*(nTP_UTC_n&gt;=N(DG37))+(1-nTP_OK*DE37)*(nTP_Loc_n&gt;=N(DF37)))*(nTP_OK*BO37*(nTP_UTC_n&lt;=N(BQ37))+(1-nTP_OK*BO37)*(nTP_Loc_n&lt;=N(BP37)))+(1-nTP_HT*DD37*BN37)*(nTP_Hi_n&gt;=N(DH37))*(nTP_Lo_n&lt;=N(BS37)))),3),0))</f>
        <v>0</v>
      </c>
      <c r="EW37" s="22">
        <f>IF(CE37&lt;1,0,IFERROR(_xlfn.AGGREGATE(15,6,nTP_RowN/((nTP_CandKey=BX37)*(nTP_Err="")*(1-nTP_Exact)*((nTP_HT*BN37*((nTP_OK*BO37*(nTP_UTC_n-N(BQ37))+(1-nTP_OK*BO37)*(nTP_Loc_n-N(BP37)))&lt;=0)+(1-nTP_HT*BN37)*(nTP_Hi_n&lt;N(BR37)))+((1-nTP_HT*BN37)*(nTP_Lo_n=nTP_Hi_n)*(nTP_Lo_n=N(BR37))*(N(BR37)=N(BS37))))),1),0))</f>
        <v>0</v>
      </c>
      <c r="EX37" s="22">
        <f>IF(CE37&lt;2,0,IFERROR(_xlfn.AGGREGATE(15,6,nTP_RowN/((nTP_CandKey=BX37)*(nTP_Err="")*(1-nTP_Exact)*((nTP_HT*BN37*((nTP_OK*BO37*(nTP_UTC_n-N(BQ37))+(1-nTP_OK*BO37)*(nTP_Loc_n-N(BP37)))&lt;=0)+(1-nTP_HT*BN37)*(nTP_Hi_n&lt;N(BR37)))+((1-nTP_HT*BN37)*(nTP_Lo_n=nTP_Hi_n)*(nTP_Lo_n=N(BR37))*(N(BR37)=N(BS37))))),2),0))</f>
        <v>0</v>
      </c>
      <c r="EY37" s="22">
        <f>IF(CE37&lt;3,0,IFERROR(_xlfn.AGGREGATE(15,6,nTP_RowN/((nTP_CandKey=BX37)*(nTP_Err="")*(1-nTP_Exact)*((nTP_HT*BN37*((nTP_OK*BO37*(nTP_UTC_n-N(BQ37))+(1-nTP_OK*BO37)*(nTP_Loc_n-N(BP37)))&lt;=0)+(1-nTP_HT*BN37)*(nTP_Hi_n&lt;N(BR37)))+((1-nTP_HT*BN37)*(nTP_Lo_n=nTP_Hi_n)*(nTP_Lo_n=N(BR37))*(N(BR37)=N(BS37))))),3),0))</f>
        <v>0</v>
      </c>
      <c r="EZ37" s="21" t="str">
        <f>IF(EO37=0,"",MID(IF(EQ37&gt;0,"; "&amp;INDEX(nTP_Record_ID,EQ37)&amp;IF(INDEX(nTP_Label,EQ37)="",""," ("&amp;INDEX(nTP_Label,EQ37)&amp;")"),"")&amp;IF(ER37&gt;0,"; "&amp;INDEX(nTP_Record_ID,ER37)&amp;IF(INDEX(nTP_Label,ER37)="",""," ("&amp;INDEX(nTP_Label,ER37)&amp;")"),"")&amp;IF(ES37&gt;0,"; "&amp;INDEX(nTP_Record_ID,ES37)&amp;IF(INDEX(nTP_Label,ES37)="",""," ("&amp;INDEX(nTP_Label,ES37)&amp;")"),"")&amp;IF(EO37&gt;3,"; and "&amp;(EO37-3)&amp;" more",""),3,999))</f>
        <v/>
      </c>
      <c r="FA37" s="21" t="str">
        <f>IF(EO37=0,"",MID(IF(EQ37&gt;0,"; "&amp;INDEX(nTP_Record_ID,EQ37),"")&amp;IF(ER37&gt;0,"; "&amp;INDEX(nTP_Record_ID,ER37),"")&amp;IF(ES37&gt;0,"; "&amp;INDEX(nTP_Record_ID,ES37),"")&amp;IF(EO37&gt;3,"; and "&amp;(EO37-3)&amp;" more",""),3,999))</f>
        <v/>
      </c>
      <c r="FB37" s="21" t="str">
        <f>IF(EP37=0,"",MID(IF(ET37&gt;0,"; "&amp;INDEX(nTP_Record_ID,ET37)&amp;IF(INDEX(nTP_Label,ET37)="",""," ("&amp;INDEX(nTP_Label,ET37)&amp;")"),"")&amp;IF(EU37&gt;0,"; "&amp;INDEX(nTP_Record_ID,EU37)&amp;IF(INDEX(nTP_Label,EU37)="",""," ("&amp;INDEX(nTP_Label,EU37)&amp;")"),"")&amp;IF(EV37&gt;0,"; "&amp;INDEX(nTP_Record_ID,EV37)&amp;IF(INDEX(nTP_Label,EV37)="",""," ("&amp;INDEX(nTP_Label,EV37)&amp;")"),"")&amp;IF(EP37&gt;3,"; and "&amp;(EP37-3)&amp;" more",""),3,999))</f>
        <v/>
      </c>
      <c r="FC37" s="21" t="str">
        <f>IF(CE37=0,"",MID(IF(EW37&gt;0,"; "&amp;INDEX(nTP_Record_ID,EW37),"")&amp;IF(EX37&gt;0,"; "&amp;INDEX(nTP_Record_ID,EX37),"")&amp;IF(EY37&gt;0,"; "&amp;INDEX(nTP_Record_ID,EY37),"")&amp;IF(CE37&gt;3,"; and "&amp;(CE37-3)&amp;" more",""),3,999))</f>
        <v/>
      </c>
      <c r="FD37" s="22">
        <f t="shared" si="55"/>
        <v>0</v>
      </c>
      <c r="FE37" s="22">
        <f t="shared" si="56"/>
        <v>0</v>
      </c>
      <c r="FF37" s="22">
        <f t="shared" si="57"/>
        <v>0</v>
      </c>
      <c r="FG37" s="22">
        <f t="shared" si="58"/>
        <v>0</v>
      </c>
      <c r="FH37" s="22">
        <f t="shared" si="59"/>
        <v>0</v>
      </c>
      <c r="FI37" s="22">
        <f t="shared" si="60"/>
        <v>0</v>
      </c>
      <c r="FJ37" s="22">
        <f t="shared" si="61"/>
        <v>0</v>
      </c>
      <c r="FK37" s="22">
        <f t="shared" si="62"/>
        <v>0</v>
      </c>
    </row>
    <row r="38" spans="1:167" x14ac:dyDescent="0.2">
      <c r="A38" s="10"/>
      <c r="B38" s="10"/>
      <c r="C38" s="12"/>
      <c r="D38" s="10"/>
      <c r="E38" s="17"/>
      <c r="F38" s="10"/>
      <c r="G38" s="10"/>
      <c r="H38" s="10"/>
      <c r="I38" s="17"/>
      <c r="J38" s="17"/>
      <c r="K38" s="10"/>
      <c r="L38" s="17"/>
      <c r="M38" s="17"/>
      <c r="N38" s="17"/>
      <c r="O38" s="10"/>
      <c r="P38" s="15"/>
      <c r="Q38" s="15"/>
      <c r="R38" s="10"/>
      <c r="S38" s="10"/>
      <c r="T38" s="21" t="str">
        <f t="shared" si="0"/>
        <v/>
      </c>
      <c r="U38" s="21" t="str">
        <f t="shared" si="1"/>
        <v/>
      </c>
      <c r="V38" s="21" t="str">
        <f t="shared" si="2"/>
        <v/>
      </c>
      <c r="W38" s="21" t="str">
        <f t="shared" si="3"/>
        <v/>
      </c>
      <c r="X38" s="21" t="str">
        <f t="shared" si="4"/>
        <v/>
      </c>
      <c r="Y38" s="21" t="str">
        <f t="shared" si="5"/>
        <v/>
      </c>
      <c r="Z38" s="21" t="str">
        <f t="shared" si="6"/>
        <v/>
      </c>
      <c r="AA38" s="21" t="str">
        <f t="shared" si="7"/>
        <v/>
      </c>
      <c r="AB38" s="21" t="str">
        <f t="shared" si="8"/>
        <v/>
      </c>
      <c r="AC38" s="21" t="str">
        <f t="shared" si="9"/>
        <v/>
      </c>
      <c r="AD38" s="21" t="str">
        <f>IF(AW38=1,"",MID(IF(ISNUMBER(SEARCH("E_INVALID_DATE",EG38))," | E_INVALID_DATE: "&amp;SUBSTITUTE(IFERROR(INDEX(nMSG_Text,MATCH("E_INVALID_DATE",nMSG_Code,0)),""),"[input]",""),"")&amp;IF(ISNUMBER(SEARCH("E_REVERSED_BOUNDS",EG38))," | E_REVERSED_BOUNDS: "&amp;SUBSTITUTE(IFERROR(INDEX(nMSG_Text,MATCH("E_REVERSED_BOUNDS",nMSG_Code,0)),""),"[input]",""),"")&amp;IF(ISNUMBER(SEARCH("E_DUPLICATE_ID",EG38))," | E_DUPLICATE_ID: "&amp;SUBSTITUTE(IFERROR(INDEX(nMSG_Text,MATCH("E_DUPLICATE_ID",nMSG_Code,0)),""),"[input]",""),"")&amp;IF(ISNUMBER(SEARCH("E_MISSING_LINK",EG38))," | E_MISSING_LINK: "&amp;SUBSTITUTE(IFERROR(INDEX(nMSG_Text,MATCH("E_MISSING_LINK",nMSG_Code,0)),""),"[input]",""),"")&amp;IF(ISNUMBER(SEARCH("E_MISSING_INPUT",EG38))," | E_MISSING_INPUT: "&amp;SUBSTITUTE(IFERROR(INDEX(nMSG_Text,MATCH("E_MISSING_INPUT",nMSG_Code,0)),""),"[input]",IF(EH38="","an input",EH38)),"")&amp;IF(ISNUMBER(SEARCH("E_INVALID_UNIT",EG38))," | E_INVALID_UNIT: "&amp;SUBSTITUTE(IFERROR(INDEX(nMSG_Text,MATCH("E_INVALID_UNIT",nMSG_Code,0)),""),"[input]",""),"")&amp;IF(FD38=1," | W_TZ_UNKNOWN: "&amp;SUBSTITUTE(IFERROR(INDEX(nMSG_Text,MATCH("W_TZ_UNKNOWN",nMSG_Code,0)),""),"[input]",""),"")&amp;IF(FE38=1," | W_SAME_DATE_ORDER_UNKNOWN: "&amp;SUBSTITUTE(IFERROR(INDEX(nMSG_Text,MATCH("W_SAME_DATE_ORDER_UNKNOWN",nMSG_Code,0)),""),"[input]",""),"")&amp;IF(FF38=1," | W_SEQUENCE_UNCERTAIN: "&amp;SUBSTITUTE(IFERROR(INDEX(nMSG_Text,MATCH("W_SEQUENCE_UNCERTAIN",nMSG_Code,0)),""),"[input]",""),"")&amp;IF(FG38=1," | W_ADMIN_SAME_DATE_AS_ONSET: "&amp;SUBSTITUTE(IFERROR(INDEX(nMSG_Text,MATCH("W_ADMIN_SAME_DATE_AS_ONSET",nMSG_Code,0)),""),"[input]",""),"")&amp;IF(FH38=1," | W_REPORTED_TIMING_CONFLICT: "&amp;SUBSTITUTE(IFERROR(INDEX(nMSG_Text,MATCH("W_REPORTED_TIMING_CONFLICT",nMSG_Code,0)),""),"[input]",""),"")&amp;IF(FI38=1," | W_INTERVENTION_BEFORE_RECOVERY: "&amp;SUBSTITUTE(IFERROR(INDEX(nMSG_Text,MATCH("W_INTERVENTION_BEFORE_RECOVERY",nMSG_Code,0)),""),"[input]",""),"")&amp;IF(FJ38=1," | I_TREATMENT_DAY_UNDEFINED: "&amp;SUBSTITUTE(IFERROR(INDEX(nMSG_Text,MATCH("I_TREATMENT_DAY_UNDEFINED",nMSG_Code,0)),""),"[input]",""),"")&amp;IF(FK38=1," | I_APPROXIMATE_NOT_COMPARED: "&amp;SUBSTITUTE(IFERROR(INDEX(nMSG_Text,MATCH("I_APPROXIMATE_NOT_COMPARED",nMSG_Code,0)),""),"[input]",""),""),4,9999))</f>
        <v/>
      </c>
      <c r="AE38" s="21" t="str">
        <f t="shared" si="10"/>
        <v/>
      </c>
      <c r="AF38" s="21" t="str">
        <f t="shared" si="11"/>
        <v/>
      </c>
      <c r="AG38" s="21" t="str">
        <f>IF(EN38="","",MID(IF(ISNUMBER(SEARCH("E_REVERSED_BOUNDS",EN38))," | E_REVERSED_BOUNDS: "&amp;SUBSTITUTE(IFERROR(INDEX(nMSG_Text,MATCH("E_REVERSED_BOUNDS",nMSG_Code,0)),""),"[input]",""),"")&amp;IF(ISNUMBER(SEARCH("E_MISSING_INPUT",EN38))," | E_MISSING_INPUT: "&amp;SUBSTITUTE(IFERROR(INDEX(nMSG_Text,MATCH("E_MISSING_INPUT",nMSG_Code,0)),""),"[input]",IF("the source of the constraint"="","an input","the source of the constraint")),""),4,999))</f>
        <v/>
      </c>
      <c r="AH38" s="21" t="str">
        <f t="shared" si="12"/>
        <v/>
      </c>
      <c r="AI38" s="21" t="str">
        <f t="shared" si="13"/>
        <v/>
      </c>
      <c r="AJ38" s="21" t="str">
        <f t="shared" si="14"/>
        <v/>
      </c>
      <c r="AK38" s="21" t="str">
        <f t="shared" si="15"/>
        <v/>
      </c>
      <c r="AL38" s="21" t="str">
        <f>IF(CY38=0,"",INDEX(nTP_ISO,CY38))</f>
        <v/>
      </c>
      <c r="AM38" s="21" t="str">
        <f>IF(CY38=0,"",INDEX(nTP_Display,CY38))</f>
        <v/>
      </c>
      <c r="AN38" s="21" t="str">
        <f>IF(BI38=0,"",INDEX(nTP_ISO,BI38))</f>
        <v/>
      </c>
      <c r="AO38" s="21" t="str">
        <f>IF(BI38=0,"",INDEX(nTP_Display,BI38))</f>
        <v/>
      </c>
      <c r="AP38" s="21" t="str">
        <f>IF(BA38=0,"",INDEX(nLNK_Exposure_Episode_ID,BA38)&amp;"")</f>
        <v/>
      </c>
      <c r="AQ38" s="21" t="str">
        <f>IF(BA38=0,"",INDEX(nLNK_Event_Episode_ID,BA38)&amp;"")</f>
        <v/>
      </c>
      <c r="AR38" s="21" t="str">
        <f t="shared" si="16"/>
        <v/>
      </c>
      <c r="AS38" s="21" t="str">
        <f>IF(EI38=0,"",MID(IF(DT38=1," | Recovery interval (C7) computed with "&amp;DS38&amp;".","")&amp;IF(BG38=1," | Anchor selected under C5 (CALC-SPEC 1.1): latest administration with an exact date or time at or before "&amp;IF(BH38=1,"onset","the end point")&amp;" ("&amp;AJ38&amp;"), ordered in UTC when offsets are known; later administrations are never selected.","")&amp;IF(AND(BG38=1,CE38&gt;0)," | Partial-date administrations wholly before the selected one were not candidates: "&amp;FC38&amp;".","")&amp;IF(BV38&lt;&gt;""," | "&amp;BV38,"")&amp;IF(AND(DS38="C2",EA38=0,DZ38&lt;&gt;"")," | Same calendar date; both times are known, so C1 decides the order ("&amp;AA38&amp;").","")&amp;IF(AND(DS38="C2",DD38*BN38=1,DT38=0)," | Calendar-date difference from the recorded local dates; it is never described as elapsed days.","")&amp;IF(AND(DS38="C4",DT38=0)," | Bounds are treated as independent; no single date is imputed from them.","")&amp;IF(EJ38=1," | Treatment day under the inclusive convention (C3); never written to E2B fields automatically.","")&amp;IF(AND(DS38="C4",DT38=0,EK38=0)," | No constraint applied.","")&amp;IF(AND(DS38="C4",EK38=1)," | Constraint applied to the anchor bounds: "&amp;IF(ISNUMBER(P38),"not before "&amp;DAY(P38)&amp;" "&amp;INDEX(nLIST_Months,MONTH(P38))&amp;" "&amp;YEAR(P38),"")&amp;IF(AND(ISNUMBER(P38),ISNUMBER(Q38)),", ","")&amp;IF(ISNUMBER(Q38),"not after "&amp;DAY(Q38)&amp;" "&amp;INDEX(nLIST_Months,MONTH(Q38))&amp;" "&amp;YEAR(Q38),"")&amp;". Source: "&amp;IF(R38="","not recorded",R38)&amp;IF(EN38="",". Constrained result shown beside the unconstrained one.",". Constrained result blocked ("&amp;EN38&amp;")."),"")&amp;IF(DT38=1,IF(EO38&gt;0," | Intervention recorded between cessation and recovery (ends included): "&amp;EZ38&amp;"."," | No intervention is recorded between cessation and recovery; absence of a record is not evidence that none was given."),"")&amp;IF(AND(DT38=1,DV38&gt;0)," | Intervention recorded without a date, so whether it came before recovery is unknown: "&amp;INDEX(nMS_Milestone_ID,MATCH(1,INDEX((nMS_CaseKey=AX38)*(nMS_Type="INTERVENTION")*nMS_Undated,0),0))&amp;IF(DV38&gt;1," and "&amp;(DV38-1)&amp;" more","")&amp;".","")&amp;IF(AND(DT38=1,EP38&gt;0)," | Not counted as interventions, because they are recorded as exposures rather than as intervention milestones (nothing is inferred): "&amp;FB38&amp;". If treatment was given, record it as an intervention milestone.",""),4,9999))</f>
        <v/>
      </c>
      <c r="AT38" s="21" t="str">
        <f t="shared" si="17"/>
        <v/>
      </c>
      <c r="AU38" s="21" t="str">
        <f t="shared" si="18"/>
        <v/>
      </c>
      <c r="AV38" s="21" t="str">
        <f t="shared" si="19"/>
        <v/>
      </c>
      <c r="AW38" s="22">
        <f t="shared" si="20"/>
        <v>1</v>
      </c>
      <c r="AX38" s="21" t="str">
        <f t="shared" si="21"/>
        <v>|</v>
      </c>
      <c r="AY38" s="21" t="str">
        <f t="shared" si="22"/>
        <v/>
      </c>
      <c r="AZ38" s="22">
        <f>IF(AY38="",0,COUNTIF(nINT_Key,AY38))</f>
        <v>0</v>
      </c>
      <c r="BA38" s="22">
        <f>IF(D38="",0,IFERROR(MATCH(AX38&amp;"|"&amp;D38,nLNK_Key,0),0))</f>
        <v>0</v>
      </c>
      <c r="BB38" s="22">
        <f>IF(BA38=0,1,INDEX(nLNK_Exp_Found,BA38))</f>
        <v>1</v>
      </c>
      <c r="BC38" s="22">
        <f>IF(BA38=0,1,INDEX(nLNK_Evt_Found,BA38))</f>
        <v>1</v>
      </c>
      <c r="BD38" s="22">
        <f>IF(AP38="",0,COUNTIF(nEXP_Key,AX38&amp;"|"&amp;AP38))</f>
        <v>0</v>
      </c>
      <c r="BE38" s="22">
        <f>IF(AQ38="",0,COUNTIF(nEVT_Key,AX38&amp;"|"&amp;AQ38))</f>
        <v>0</v>
      </c>
      <c r="BF38" s="22">
        <f>IF(ISNA(MATCH(E38,nLIST_AnchorType,0)),0,1)</f>
        <v>0</v>
      </c>
      <c r="BG38" s="22">
        <f t="shared" si="23"/>
        <v>0</v>
      </c>
      <c r="BH38" s="22">
        <f t="shared" si="24"/>
        <v>0</v>
      </c>
      <c r="BI38" s="22">
        <f>IF(OR(AW38=1,AK38=""),0,IFERROR(MATCH(AX38&amp;"|"&amp;AK38,nTP_Key,0),0))</f>
        <v>0</v>
      </c>
      <c r="BJ38" s="21">
        <f>IF(BI38=0,0,INDEX(nTP_Dup,BI38))</f>
        <v>0</v>
      </c>
      <c r="BK38" s="21" t="str">
        <f>IF(BI38=0,"",INDEX(nTP_Record_Type,BI38))</f>
        <v/>
      </c>
      <c r="BL38" s="21" t="str">
        <f>IF(BI38=0,"",INDEX(nTP_Precision,BI38))</f>
        <v/>
      </c>
      <c r="BM38" s="21" t="str">
        <f>IF(BI38=0,"",INDEX(nTP_Err,BI38))</f>
        <v/>
      </c>
      <c r="BN38" s="21">
        <f>IF(BI38=0,0,INDEX(nTP_HT,BI38))</f>
        <v>0</v>
      </c>
      <c r="BO38" s="21">
        <f>IF(BI38=0,0,INDEX(nTP_OK,BI38))</f>
        <v>0</v>
      </c>
      <c r="BP38" s="21" t="str">
        <f>IF(BI38=0,"",INDEX(nTP_Loc,BI38))</f>
        <v/>
      </c>
      <c r="BQ38" s="21" t="str">
        <f>IF(BI38=0,"",INDEX(nTP_UTC,BI38))</f>
        <v/>
      </c>
      <c r="BR38" s="21" t="str">
        <f>IF(BI38=0,"",INDEX(nTP_Lo,BI38))</f>
        <v/>
      </c>
      <c r="BS38" s="21" t="str">
        <f>IF(BI38=0,"",INDEX(nTP_Hi,BI38))</f>
        <v/>
      </c>
      <c r="BT38" s="21" t="str">
        <f>IF(BI38=0,"",INDEX(nTP_Original_Text,BI38))</f>
        <v/>
      </c>
      <c r="BU38" s="21" t="str">
        <f>IF(BI38=0,"",INDEX(nTP_Source,BI38))</f>
        <v/>
      </c>
      <c r="BV38" s="21" t="str">
        <f>IF(BI38=0,"",INDEX(nTP_Lab_Note,BI38))</f>
        <v/>
      </c>
      <c r="BW38" s="22">
        <f t="shared" si="25"/>
        <v>0</v>
      </c>
      <c r="BX38" s="21" t="str">
        <f t="shared" si="26"/>
        <v>||</v>
      </c>
      <c r="BY38" s="22">
        <f>IF(BG38=0,0,COUNTIF(nTP_CandKey,BX38))</f>
        <v>0</v>
      </c>
      <c r="BZ38" s="22">
        <f>IF(BG38=0,0,COUNTIFS(nTP_CandKey,BX38,nTP_Err,""))</f>
        <v>0</v>
      </c>
      <c r="CA38" s="21" t="str">
        <f>IF(BY38=BZ38,"",IF(COUNTIFS(nTP_CandKey,BX38,nTP_Err,"E_INVALID_DATE")&gt;0,"; E_INVALID_DATE","")&amp;IF(COUNTIFS(nTP_CandKey,BX38,nTP_Err,"E_REVERSED_BOUNDS")&gt;0,"; E_REVERSED_BOUNDS","")&amp;IF(COUNTIFS(nTP_CandKey,BX38,nTP_Err,"E_MISSING_INPUT")&gt;0,"; E_MISSING_INPUT","")&amp;IF(COUNTIFS(nTP_CandKey,BX38,nTP_Err,"E_INVALID_UNIT")&gt;0,"; E_INVALID_UNIT",""))</f>
        <v/>
      </c>
      <c r="CB38" s="22">
        <f t="shared" si="27"/>
        <v>0</v>
      </c>
      <c r="CC38" s="22">
        <f>IF(CB38=0,0,SUMPRODUCT((nTP_CandKey=BX38)*(nTP_Err="")*(1-(nTP_HT*BN38*((nTP_OK*BO38*(nTP_UTC_n-N(BQ38))+(1-nTP_OK*BO38)*(nTP_Loc_n-N(BP38)))&lt;=0)+(1-nTP_HT*BN38)*(nTP_Hi_n&lt;N(BR38)))-(nTP_HT*BN38*((nTP_OK*BO38*(nTP_UTC_n-N(BQ38))+(1-nTP_OK*BO38)*(nTP_Loc_n-N(BP38)))&gt;0)+(1-nTP_HT*BN38)*(nTP_Lo_n&gt;N(BS38)))-((1-nTP_HT*BN38)*(nTP_Lo_n=nTP_Hi_n)*(nTP_Lo_n=N(BR38))*(N(BR38)=N(BS38))))))</f>
        <v>0</v>
      </c>
      <c r="CD38" s="22">
        <f>IF(CB38=0,0,SUMPRODUCT((nTP_CandKey=BX38)*nTP_Exact*((nTP_HT*BN38*((nTP_OK*BO38*(nTP_UTC_n-N(BQ38))+(1-nTP_OK*BO38)*(nTP_Loc_n-N(BP38)))&lt;=0)+(1-nTP_HT*BN38)*(nTP_Hi_n&lt;N(BR38)))+((1-nTP_HT*BN38)*(nTP_Lo_n=nTP_Hi_n)*(nTP_Lo_n=N(BR38))*(N(BR38)=N(BS38))))))</f>
        <v>0</v>
      </c>
      <c r="CE38" s="22">
        <f>IF(CB38=0,0,SUMPRODUCT((nTP_CandKey=BX38)*(nTP_Err="")*(1-nTP_Exact)*((nTP_HT*BN38*((nTP_OK*BO38*(nTP_UTC_n-N(BQ38))+(1-nTP_OK*BO38)*(nTP_Loc_n-N(BP38)))&lt;=0)+(1-nTP_HT*BN38)*(nTP_Hi_n&lt;N(BR38)))+((1-nTP_HT*BN38)*(nTP_Lo_n=nTP_Hi_n)*(nTP_Lo_n=N(BR38))*(N(BR38)=N(BS38))))))</f>
        <v>0</v>
      </c>
      <c r="CF38" s="22">
        <f>IF(CD38=0,0,SUMPRODUCT(MAX((nTP_CandKey=BX38)*nTP_Exact*((nTP_HT*BN38*((nTP_OK*BO38*(nTP_UTC_n-N(BQ38))+(1-nTP_OK*BO38)*(nTP_Loc_n-N(BP38)))&lt;=0)+(1-nTP_HT*BN38)*(nTP_Hi_n&lt;N(BR38)))+((1-nTP_HT*BN38)*(nTP_Lo_n=nTP_Hi_n)*(nTP_Lo_n=N(BR38))*(N(BR38)=N(BS38))))*nTP_Lo_n)))</f>
        <v>0</v>
      </c>
      <c r="CG38" s="22">
        <f>IF(CD38=0,0,SUMPRODUCT((nTP_CandKey=BX38)*nTP_Exact*((nTP_HT*BN38*((nTP_OK*BO38*(nTP_UTC_n-N(BQ38))+(1-nTP_OK*BO38)*(nTP_Loc_n-N(BP38)))&lt;=0)+(1-nTP_HT*BN38)*(nTP_Hi_n&lt;N(BR38)))+((1-nTP_HT*BN38)*(nTP_Lo_n=nTP_Hi_n)*(nTP_Lo_n=N(BR38))*(N(BR38)=N(BS38))))*(nTP_Lo_n=CF38)))</f>
        <v>0</v>
      </c>
      <c r="CH38" s="22">
        <f>IF(CD38=0,0,SUMPRODUCT((nTP_CandKey=BX38)*nTP_Exact*((nTP_HT*BN38*((nTP_OK*BO38*(nTP_UTC_n-N(BQ38))+(1-nTP_OK*BO38)*(nTP_Loc_n-N(BP38)))&lt;=0)+(1-nTP_HT*BN38)*(nTP_Hi_n&lt;N(BR38)))+((1-nTP_HT*BN38)*(nTP_Lo_n=nTP_Hi_n)*(nTP_Lo_n=N(BR38))*(N(BR38)=N(BS38))))*(1-nTP_HT)*(nTP_Lo_n=CF38)))</f>
        <v>0</v>
      </c>
      <c r="CI38" s="22">
        <f>IF(CD38=0,0,SUMPRODUCT(MAX((nTP_CandKey=BX38)*nTP_Exact*((nTP_HT*BN38*((nTP_OK*BO38*(nTP_UTC_n-N(BQ38))+(1-nTP_OK*BO38)*(nTP_Loc_n-N(BP38)))&lt;=0)+(1-nTP_HT*BN38)*(nTP_Hi_n&lt;N(BR38)))+((1-nTP_HT*BN38)*(nTP_Lo_n=nTP_Hi_n)*(nTP_Lo_n=N(BR38))*(N(BR38)=N(BS38))))*(1-nTP_HT)*nTP_Lo_n)))</f>
        <v>0</v>
      </c>
      <c r="CJ38" s="22">
        <f>IF(CD38=0,0,SUMPRODUCT(MAX((nTP_CandKey=BX38)*nTP_Exact*((nTP_HT*BN38*((nTP_OK*BO38*(nTP_UTC_n-N(BQ38))+(1-nTP_OK*BO38)*(nTP_Loc_n-N(BP38)))&lt;=0)+(1-nTP_HT*BN38)*(nTP_Hi_n&lt;N(BR38)))+((1-nTP_HT*BN38)*(nTP_Lo_n=nTP_Hi_n)*(nTP_Lo_n=N(BR38))*(N(BR38)=N(BS38))))*nTP_HT*nTP_OK*nTP_UTC_n)))</f>
        <v>0</v>
      </c>
      <c r="CK38" s="22">
        <f>IF(CJ38=0,0,SUMPRODUCT((nTP_CandKey=BX38)*nTP_Exact*((nTP_HT*BN38*((nTP_OK*BO38*(nTP_UTC_n-N(BQ38))+(1-nTP_OK*BO38)*(nTP_Loc_n-N(BP38)))&lt;=0)+(1-nTP_HT*BN38)*(nTP_Hi_n&lt;N(BR38)))+((1-nTP_HT*BN38)*(nTP_Lo_n=nTP_Hi_n)*(nTP_Lo_n=N(BR38))*(N(BR38)=N(BS38))))*nTP_HT*nTP_OK*(nTP_UTC_n=CJ38)))</f>
        <v>0</v>
      </c>
      <c r="CL38" s="22">
        <f>IF(CK38&lt;&gt;1,0,SUMPRODUCT((nTP_CandKey=BX38)*nTP_Exact*((nTP_HT*BN38*((nTP_OK*BO38*(nTP_UTC_n-N(BQ38))+(1-nTP_OK*BO38)*(nTP_Loc_n-N(BP38)))&lt;=0)+(1-nTP_HT*BN38)*(nTP_Hi_n&lt;N(BR38)))+((1-nTP_HT*BN38)*(nTP_Lo_n=nTP_Hi_n)*(nTP_Lo_n=N(BR38))*(N(BR38)=N(BS38))))*nTP_HT*nTP_OK*(nTP_UTC_n=CJ38)*nTP_Loc_n))</f>
        <v>0</v>
      </c>
      <c r="CM38" s="22">
        <f>IF(CK38&lt;&gt;1,0,SUMPRODUCT((nTP_CandKey=BX38)*nTP_Exact*((nTP_HT*BN38*((nTP_OK*BO38*(nTP_UTC_n-N(BQ38))+(1-nTP_OK*BO38)*(nTP_Loc_n-N(BP38)))&lt;=0)+(1-nTP_HT*BN38)*(nTP_Hi_n&lt;N(BR38)))+((1-nTP_HT*BN38)*(nTP_Lo_n=nTP_Hi_n)*(nTP_Lo_n=N(BR38))*(N(BR38)=N(BS38))))*nTP_HT*nTP_OK*(nTP_UTC_n=CJ38)*nTP_Lo_n))</f>
        <v>0</v>
      </c>
      <c r="CN38" s="22">
        <f>IF(CD38=0,0,SUMPRODUCT(MAX((nTP_CandKey=BX38)*nTP_Exact*((nTP_HT*BN38*((nTP_OK*BO38*(nTP_UTC_n-N(BQ38))+(1-nTP_OK*BO38)*(nTP_Loc_n-N(BP38)))&lt;=0)+(1-nTP_HT*BN38)*(nTP_Hi_n&lt;N(BR38)))+((1-nTP_HT*BN38)*(nTP_Lo_n=nTP_Hi_n)*(nTP_Lo_n=N(BR38))*(N(BR38)=N(BS38))))*nTP_HT*(1-nTP_OK)*nTP_Loc_n)))</f>
        <v>0</v>
      </c>
      <c r="CO38" s="22">
        <f>IF(CN38=0,0,SUMPRODUCT((nTP_CandKey=BX38)*nTP_Exact*((nTP_HT*BN38*((nTP_OK*BO38*(nTP_UTC_n-N(BQ38))+(1-nTP_OK*BO38)*(nTP_Loc_n-N(BP38)))&lt;=0)+(1-nTP_HT*BN38)*(nTP_Hi_n&lt;N(BR38)))+((1-nTP_HT*BN38)*(nTP_Lo_n=nTP_Hi_n)*(nTP_Lo_n=N(BR38))*(N(BR38)=N(BS38))))*nTP_HT*(1-nTP_OK)*(nTP_Loc_n=CN38)))</f>
        <v>0</v>
      </c>
      <c r="CP38" s="22">
        <f>IF(CO38&lt;&gt;1,0,SUMPRODUCT((nTP_CandKey=BX38)*nTP_Exact*((nTP_HT*BN38*((nTP_OK*BO38*(nTP_UTC_n-N(BQ38))+(1-nTP_OK*BO38)*(nTP_Loc_n-N(BP38)))&lt;=0)+(1-nTP_HT*BN38)*(nTP_Hi_n&lt;N(BR38)))+((1-nTP_HT*BN38)*(nTP_Lo_n=nTP_Hi_n)*(nTP_Lo_n=N(BR38))*(N(BR38)=N(BS38))))*nTP_HT*(1-nTP_OK)*(nTP_Loc_n=CN38)*nTP_Lo_n))</f>
        <v>0</v>
      </c>
      <c r="CQ38" s="22">
        <f>IF(CD38=0,0,SUMPRODUCT(MAX((nTP_CandKey=BX38)*nTP_Exact*((nTP_HT*BN38*((nTP_OK*BO38*(nTP_UTC_n-N(BQ38))+(1-nTP_OK*BO38)*(nTP_Loc_n-N(BP38)))&lt;=0)+(1-nTP_HT*BN38)*(nTP_Hi_n&lt;N(BR38)))+((1-nTP_HT*BN38)*(nTP_Lo_n=nTP_Hi_n)*(nTP_Lo_n=N(BR38))*(N(BR38)=N(BS38))))*nTP_HT*nTP_OK*nTP_Loc_n)))</f>
        <v>0</v>
      </c>
      <c r="CR38" s="22">
        <f t="shared" si="28"/>
        <v>0</v>
      </c>
      <c r="CS38" s="22">
        <f>IF(CR38=0,0,IF(CR38=1,MATCH(1,INDEX((nTP_CandKey=BX38)*nTP_Exact*((nTP_HT*BN38*((nTP_OK*BO38*(nTP_UTC_n-N(BQ38))+(1-nTP_OK*BO38)*(nTP_Loc_n-N(BP38)))&lt;=0)+(1-nTP_HT*BN38)*(nTP_Hi_n&lt;N(BR38)))+((1-nTP_HT*BN38)*(nTP_Lo_n=nTP_Hi_n)*(nTP_Lo_n=N(BR38))*(N(BR38)=N(BS38))))*(1-nTP_HT)*(nTP_Lo_n=CF38),0),0),IF(CR38=2,MATCH(1,INDEX((nTP_CandKey=BX38)*nTP_Exact*((nTP_HT*BN38*((nTP_OK*BO38*(nTP_UTC_n-N(BQ38))+(1-nTP_OK*BO38)*(nTP_Loc_n-N(BP38)))&lt;=0)+(1-nTP_HT*BN38)*(nTP_Hi_n&lt;N(BR38)))+((1-nTP_HT*BN38)*(nTP_Lo_n=nTP_Hi_n)*(nTP_Lo_n=N(BR38))*(N(BR38)=N(BS38))))*nTP_HT*nTP_OK*(nTP_UTC_n=CJ38),0),0),MATCH(1,INDEX((nTP_CandKey=BX38)*nTP_Exact*((nTP_HT*BN38*((nTP_OK*BO38*(nTP_UTC_n-N(BQ38))+(1-nTP_OK*BO38)*(nTP_Loc_n-N(BP38)))&lt;=0)+(1-nTP_HT*BN38)*(nTP_Hi_n&lt;N(BR38)))+((1-nTP_HT*BN38)*(nTP_Lo_n=nTP_Hi_n)*(nTP_Lo_n=N(BR38))*(N(BR38)=N(BS38))))*nTP_HT*(1-nTP_OK)*(nTP_Loc_n=CN38),0),0))))</f>
        <v>0</v>
      </c>
      <c r="CT38" s="22">
        <f>IF(CS38=0,0,INDEX(nTP_Lo_n,CS38))</f>
        <v>0</v>
      </c>
      <c r="CU38" s="22">
        <f>IF(CS38=0,0,SUMPRODUCT((nTP_CandKey=BX38)*(nTP_Err="")*(1-nTP_Exact)*((nTP_HT*BN38*((nTP_OK*BO38*(nTP_UTC_n-N(BQ38))+(1-nTP_OK*BO38)*(nTP_Loc_n-N(BP38)))&lt;=0)+(1-nTP_HT*BN38)*(nTP_Hi_n&lt;N(BR38)))+((1-nTP_HT*BN38)*(nTP_Lo_n=nTP_Hi_n)*(nTP_Lo_n=N(BR38))*(N(BR38)=N(BS38))))*(nTP_Hi_n&gt;=CT38)))</f>
        <v>0</v>
      </c>
      <c r="CV38" s="21" t="str">
        <f t="shared" si="29"/>
        <v/>
      </c>
      <c r="CW38" s="21" t="str">
        <f>IF(AND(BG38=1,CB38=1,CV38="",CS38&gt;0),INDEX(nTP_Record_ID,CS38)&amp;"","")</f>
        <v/>
      </c>
      <c r="CX38" s="21" t="str">
        <f>IF(OR(CV38="",BG38=0),"",IF(CV38="none","an administration record (last dose before onset)",IF(CV38="uncertain","the anchor record: "&amp;INDEX(nTP_Record_ID,MATCH(1,INDEX((nTP_CandKey=BX38)*(nTP_Err="")*(1-(nTP_HT*BN38*((nTP_OK*BO38*(nTP_UTC_n-N(BQ38))+(1-nTP_OK*BO38)*(nTP_Loc_n-N(BP38)))&lt;=0)+(1-nTP_HT*BN38)*(nTP_Hi_n&lt;N(BR38)))-(nTP_HT*BN38*((nTP_OK*BO38*(nTP_UTC_n-N(BQ38))+(1-nTP_OK*BO38)*(nTP_Loc_n-N(BP38)))&gt;0)+(1-nTP_HT*BN38)*(nTP_Lo_n&gt;N(BS38)))-((1-nTP_HT*BN38)*(nTP_Lo_n=nTP_Hi_n)*(nTP_Lo_n=N(BR38))*(N(BR38)=N(BS38)))),0),0))&amp;IF(CC38&gt;1," and "&amp;(CC38-1)&amp;" more","")&amp;" may fall before or after the end point, so the last dose cannot be identified from the recorded dates",IF(CV38="noneligible","the anchor record: no administration with an exact date is recorded at or before the end point",IF(CV38="tie","the anchor record: the order of the latest administrations cannot be told from the recorded dates and times","the anchor record: partial-date administration "&amp;INDEX(nTP_Record_ID,MATCH(1,INDEX((nTP_CandKey=BX38)*(nTP_Err="")*(1-nTP_Exact)*((nTP_HT*BN38*((nTP_OK*BO38*(nTP_UTC_n-N(BQ38))+(1-nTP_OK*BO38)*(nTP_Loc_n-N(BP38)))&lt;=0)+(1-nTP_HT*BN38)*(nTP_Hi_n&lt;N(BR38)))+((1-nTP_HT*BN38)*(nTP_Lo_n=nTP_Hi_n)*(nTP_Lo_n=N(BR38))*(N(BR38)=N(BS38))))*(nTP_Hi_n&gt;=CT38),0),0))&amp;" could be the last dose before the end point")))))</f>
        <v/>
      </c>
      <c r="CY38" s="22">
        <f>IF(OR(AW38=1,AJ38=""),0,IFERROR(MATCH(AX38&amp;"|"&amp;AJ38,nTP_Key,0),0))</f>
        <v>0</v>
      </c>
      <c r="CZ38" s="21">
        <f>IF(CY38=0,0,INDEX(nTP_Dup,CY38))</f>
        <v>0</v>
      </c>
      <c r="DA38" s="21" t="str">
        <f>IF(CY38=0,"",INDEX(nTP_Record_Type,CY38))</f>
        <v/>
      </c>
      <c r="DB38" s="21" t="str">
        <f>IF(CY38=0,"",INDEX(nTP_Precision,CY38))</f>
        <v/>
      </c>
      <c r="DC38" s="21" t="str">
        <f>IF(CY38=0,"",INDEX(nTP_Err,CY38))</f>
        <v/>
      </c>
      <c r="DD38" s="21">
        <f>IF(CY38=0,0,INDEX(nTP_HT,CY38))</f>
        <v>0</v>
      </c>
      <c r="DE38" s="21">
        <f>IF(CY38=0,0,INDEX(nTP_OK,CY38))</f>
        <v>0</v>
      </c>
      <c r="DF38" s="21" t="str">
        <f>IF(CY38=0,"",INDEX(nTP_Loc,CY38))</f>
        <v/>
      </c>
      <c r="DG38" s="21" t="str">
        <f>IF(CY38=0,"",INDEX(nTP_UTC,CY38))</f>
        <v/>
      </c>
      <c r="DH38" s="21" t="str">
        <f>IF(CY38=0,"",INDEX(nTP_Lo,CY38))</f>
        <v/>
      </c>
      <c r="DI38" s="21" t="str">
        <f>IF(CY38=0,"",INDEX(nTP_Hi,CY38))</f>
        <v/>
      </c>
      <c r="DJ38" s="21" t="str">
        <f>IF(CY38=0,"",INDEX(nTP_Original_Text,CY38))</f>
        <v/>
      </c>
      <c r="DK38" s="21" t="str">
        <f>IF(CY38=0,"",INDEX(nTP_Source,CY38))</f>
        <v/>
      </c>
      <c r="DL38" s="22">
        <f t="shared" si="30"/>
        <v>0</v>
      </c>
      <c r="DM38" s="21" t="str">
        <f t="shared" si="31"/>
        <v/>
      </c>
      <c r="DN38" s="21" t="str">
        <f t="shared" si="32"/>
        <v/>
      </c>
      <c r="DO38" s="21" t="str">
        <f t="shared" si="33"/>
        <v/>
      </c>
      <c r="DP38" s="21" t="str">
        <f t="shared" si="34"/>
        <v/>
      </c>
      <c r="DQ38" s="21" t="str">
        <f t="shared" si="35"/>
        <v/>
      </c>
      <c r="DR38" s="22">
        <f>IF(OR(DQ38="",I38=""),0,IF(ISNA(MATCH(I38,nLIST_Mode,0)),1,IF(AND(I38="C1",DQ38&lt;&gt;"C1"),1,IF(AND(I38="C2",DQ38="C4"),1,0))))</f>
        <v>0</v>
      </c>
      <c r="DS38" s="21" t="str">
        <f t="shared" si="36"/>
        <v/>
      </c>
      <c r="DT38" s="22">
        <f t="shared" si="37"/>
        <v>0</v>
      </c>
      <c r="DU38" s="21" t="str">
        <f>IF(DT38=0,"",IF(COUNTIFS(nTP_Case_Key,AX38,nTP_Record_Type,"MILESTONE:INTERVENTION",nTP_Err,"E_INVALID_DATE")&gt;0,"; E_INVALID_DATE","")&amp;IF(COUNTIFS(nTP_Case_Key,AX38,nTP_Record_Type,"MILESTONE:INTERVENTION",nTP_Err,"E_REVERSED_BOUNDS")&gt;0,"; E_REVERSED_BOUNDS","")&amp;IF(COUNTIFS(nTP_Case_Key,AX38,nTP_Record_Type,"MILESTONE:INTERVENTION",nTP_Err,"E_MISSING_INPUT")&gt;0,"; E_MISSING_INPUT","")&amp;IF(COUNTIFS(nTP_Case_Key,AX38,nTP_Record_Type,"MILESTONE:INTERVENTION",nTP_Err,"E_INVALID_UNIT")&gt;0,"; E_INVALID_UNIT",""))</f>
        <v/>
      </c>
      <c r="DV38" s="22">
        <f>IF(DT38=0,0,SUMPRODUCT((nMS_CaseKey=AX38)*(nMS_Type="INTERVENTION")*nMS_Undated))</f>
        <v>0</v>
      </c>
      <c r="DW38" s="21" t="str">
        <f t="shared" si="38"/>
        <v/>
      </c>
      <c r="DX38" s="21" t="str">
        <f t="shared" si="39"/>
        <v/>
      </c>
      <c r="DY38" s="22">
        <f t="shared" si="40"/>
        <v>1</v>
      </c>
      <c r="DZ38" s="21" t="str">
        <f t="shared" si="41"/>
        <v/>
      </c>
      <c r="EA38" s="21" t="str">
        <f t="shared" si="42"/>
        <v/>
      </c>
      <c r="EB38" s="21" t="str">
        <f t="shared" si="43"/>
        <v/>
      </c>
      <c r="EC38" s="21" t="str">
        <f t="shared" si="44"/>
        <v/>
      </c>
      <c r="ED38" s="22">
        <f t="shared" si="45"/>
        <v>0</v>
      </c>
      <c r="EE38" s="22">
        <f t="shared" si="46"/>
        <v>0</v>
      </c>
      <c r="EF38" s="21" t="str">
        <f>IF(ED38=0,"",IF(OR(NOT(ISNUMBER(L38)),NOT(ISNUMBER(M38))),"I_APPROXIMATE_NOT_COMPARED",IF(AND(N38&lt;&gt;"",ISNA(MATCH(N38,nLIST_ReportedUnit,0))),"E_INVALID_UNIT",IF(N38="","E_MISSING_INPUT",IF(L38&gt;M38,"E_REVERSED_BOUNDS",IF(OR(N38="weeks",N38="months",N38="years"),"I_APPROXIMATE_NOT_COMPARED",IF(DX38&lt;&gt;"","",IF(EE38=0,"I_APPROXIMATE_NOT_COMPARED",IF(AND(L38*EE38&lt;=IF(DS38="C4",EC38,IF(DS38="C1",DZ38,EA38)),M38*EE38&gt;=IF(DS38="C4",EB38,IF(DS38="C1",DZ38,EA38))),"OVERLAP","W_REPORTED_TIMING_CONFLICT")))))))))</f>
        <v/>
      </c>
      <c r="EG38" s="21" t="str">
        <f t="shared" si="47"/>
        <v/>
      </c>
      <c r="EH38" s="21" t="str">
        <f t="shared" si="48"/>
        <v/>
      </c>
      <c r="EI38" s="22">
        <f t="shared" si="49"/>
        <v>0</v>
      </c>
      <c r="EJ38" s="22">
        <f t="shared" si="50"/>
        <v>0</v>
      </c>
      <c r="EK38" s="22">
        <f t="shared" si="51"/>
        <v>0</v>
      </c>
      <c r="EL38" s="28" t="str">
        <f t="shared" si="52"/>
        <v/>
      </c>
      <c r="EM38" s="28" t="str">
        <f t="shared" si="53"/>
        <v/>
      </c>
      <c r="EN38" s="21" t="str">
        <f t="shared" si="54"/>
        <v/>
      </c>
      <c r="EO38" s="22">
        <f>IF(OR(DT38=0,DX38&lt;&gt;""),0,SUMPRODUCT((nTP_Case_Key=AX38)*(nTP_Record_Type="MILESTONE:INTERVENTION")*(nTP_Err="")*(nTP_HT*DD38*BN38*(nTP_OK*DE38*(nTP_UTC_n&gt;=N(DG38))+(1-nTP_OK*DE38)*(nTP_Loc_n&gt;=N(DF38)))*(nTP_OK*BO38*(nTP_UTC_n&lt;=N(BQ38))+(1-nTP_OK*BO38)*(nTP_Loc_n&lt;=N(BP38)))+(1-nTP_HT*DD38*BN38)*(nTP_Hi_n&gt;=N(DH38))*(nTP_Lo_n&lt;=N(BS38)))))</f>
        <v>0</v>
      </c>
      <c r="EP38" s="22">
        <f>IF(OR(DT38=0,DX38&lt;&gt;""),0,SUMPRODUCT((nTP_Case_Key=AX38)*(nTP_Role="treatment of the event")*((nTP_Record_Type="EXPOSURE_START")+(nTP_Record_Type="ADMINISTRATION"))*(nTP_Err="")*(nTP_HT*DD38*BN38*(nTP_OK*DE38*(nTP_UTC_n&gt;=N(DG38))+(1-nTP_OK*DE38)*(nTP_Loc_n&gt;=N(DF38)))*(nTP_OK*BO38*(nTP_UTC_n&lt;=N(BQ38))+(1-nTP_OK*BO38)*(nTP_Loc_n&lt;=N(BP38)))+(1-nTP_HT*DD38*BN38)*(nTP_Hi_n&gt;=N(DH38))*(nTP_Lo_n&lt;=N(BS38)))))</f>
        <v>0</v>
      </c>
      <c r="EQ38" s="22">
        <f>IF(EO38&lt;1,0,IFERROR(_xlfn.AGGREGATE(15,6,nTP_RowN/((nTP_Case_Key=AX38)*(nTP_Record_Type="MILESTONE:INTERVENTION")*(nTP_Err="")*(nTP_HT*DD38*BN38*(nTP_OK*DE38*(nTP_UTC_n&gt;=N(DG38))+(1-nTP_OK*DE38)*(nTP_Loc_n&gt;=N(DF38)))*(nTP_OK*BO38*(nTP_UTC_n&lt;=N(BQ38))+(1-nTP_OK*BO38)*(nTP_Loc_n&lt;=N(BP38)))+(1-nTP_HT*DD38*BN38)*(nTP_Hi_n&gt;=N(DH38))*(nTP_Lo_n&lt;=N(BS38)))),1),0))</f>
        <v>0</v>
      </c>
      <c r="ER38" s="22">
        <f>IF(EO38&lt;2,0,IFERROR(_xlfn.AGGREGATE(15,6,nTP_RowN/((nTP_Case_Key=AX38)*(nTP_Record_Type="MILESTONE:INTERVENTION")*(nTP_Err="")*(nTP_HT*DD38*BN38*(nTP_OK*DE38*(nTP_UTC_n&gt;=N(DG38))+(1-nTP_OK*DE38)*(nTP_Loc_n&gt;=N(DF38)))*(nTP_OK*BO38*(nTP_UTC_n&lt;=N(BQ38))+(1-nTP_OK*BO38)*(nTP_Loc_n&lt;=N(BP38)))+(1-nTP_HT*DD38*BN38)*(nTP_Hi_n&gt;=N(DH38))*(nTP_Lo_n&lt;=N(BS38)))),2),0))</f>
        <v>0</v>
      </c>
      <c r="ES38" s="22">
        <f>IF(EO38&lt;3,0,IFERROR(_xlfn.AGGREGATE(15,6,nTP_RowN/((nTP_Case_Key=AX38)*(nTP_Record_Type="MILESTONE:INTERVENTION")*(nTP_Err="")*(nTP_HT*DD38*BN38*(nTP_OK*DE38*(nTP_UTC_n&gt;=N(DG38))+(1-nTP_OK*DE38)*(nTP_Loc_n&gt;=N(DF38)))*(nTP_OK*BO38*(nTP_UTC_n&lt;=N(BQ38))+(1-nTP_OK*BO38)*(nTP_Loc_n&lt;=N(BP38)))+(1-nTP_HT*DD38*BN38)*(nTP_Hi_n&gt;=N(DH38))*(nTP_Lo_n&lt;=N(BS38)))),3),0))</f>
        <v>0</v>
      </c>
      <c r="ET38" s="22">
        <f>IF(EP38&lt;1,0,IFERROR(_xlfn.AGGREGATE(15,6,nTP_RowN/((nTP_Case_Key=AX38)*(nTP_Role="treatment of the event")*((nTP_Record_Type="EXPOSURE_START")+(nTP_Record_Type="ADMINISTRATION"))*(nTP_Err="")*(nTP_HT*DD38*BN38*(nTP_OK*DE38*(nTP_UTC_n&gt;=N(DG38))+(1-nTP_OK*DE38)*(nTP_Loc_n&gt;=N(DF38)))*(nTP_OK*BO38*(nTP_UTC_n&lt;=N(BQ38))+(1-nTP_OK*BO38)*(nTP_Loc_n&lt;=N(BP38)))+(1-nTP_HT*DD38*BN38)*(nTP_Hi_n&gt;=N(DH38))*(nTP_Lo_n&lt;=N(BS38)))),1),0))</f>
        <v>0</v>
      </c>
      <c r="EU38" s="22">
        <f>IF(EP38&lt;2,0,IFERROR(_xlfn.AGGREGATE(15,6,nTP_RowN/((nTP_Case_Key=AX38)*(nTP_Role="treatment of the event")*((nTP_Record_Type="EXPOSURE_START")+(nTP_Record_Type="ADMINISTRATION"))*(nTP_Err="")*(nTP_HT*DD38*BN38*(nTP_OK*DE38*(nTP_UTC_n&gt;=N(DG38))+(1-nTP_OK*DE38)*(nTP_Loc_n&gt;=N(DF38)))*(nTP_OK*BO38*(nTP_UTC_n&lt;=N(BQ38))+(1-nTP_OK*BO38)*(nTP_Loc_n&lt;=N(BP38)))+(1-nTP_HT*DD38*BN38)*(nTP_Hi_n&gt;=N(DH38))*(nTP_Lo_n&lt;=N(BS38)))),2),0))</f>
        <v>0</v>
      </c>
      <c r="EV38" s="22">
        <f>IF(EP38&lt;3,0,IFERROR(_xlfn.AGGREGATE(15,6,nTP_RowN/((nTP_Case_Key=AX38)*(nTP_Role="treatment of the event")*((nTP_Record_Type="EXPOSURE_START")+(nTP_Record_Type="ADMINISTRATION"))*(nTP_Err="")*(nTP_HT*DD38*BN38*(nTP_OK*DE38*(nTP_UTC_n&gt;=N(DG38))+(1-nTP_OK*DE38)*(nTP_Loc_n&gt;=N(DF38)))*(nTP_OK*BO38*(nTP_UTC_n&lt;=N(BQ38))+(1-nTP_OK*BO38)*(nTP_Loc_n&lt;=N(BP38)))+(1-nTP_HT*DD38*BN38)*(nTP_Hi_n&gt;=N(DH38))*(nTP_Lo_n&lt;=N(BS38)))),3),0))</f>
        <v>0</v>
      </c>
      <c r="EW38" s="22">
        <f>IF(CE38&lt;1,0,IFERROR(_xlfn.AGGREGATE(15,6,nTP_RowN/((nTP_CandKey=BX38)*(nTP_Err="")*(1-nTP_Exact)*((nTP_HT*BN38*((nTP_OK*BO38*(nTP_UTC_n-N(BQ38))+(1-nTP_OK*BO38)*(nTP_Loc_n-N(BP38)))&lt;=0)+(1-nTP_HT*BN38)*(nTP_Hi_n&lt;N(BR38)))+((1-nTP_HT*BN38)*(nTP_Lo_n=nTP_Hi_n)*(nTP_Lo_n=N(BR38))*(N(BR38)=N(BS38))))),1),0))</f>
        <v>0</v>
      </c>
      <c r="EX38" s="22">
        <f>IF(CE38&lt;2,0,IFERROR(_xlfn.AGGREGATE(15,6,nTP_RowN/((nTP_CandKey=BX38)*(nTP_Err="")*(1-nTP_Exact)*((nTP_HT*BN38*((nTP_OK*BO38*(nTP_UTC_n-N(BQ38))+(1-nTP_OK*BO38)*(nTP_Loc_n-N(BP38)))&lt;=0)+(1-nTP_HT*BN38)*(nTP_Hi_n&lt;N(BR38)))+((1-nTP_HT*BN38)*(nTP_Lo_n=nTP_Hi_n)*(nTP_Lo_n=N(BR38))*(N(BR38)=N(BS38))))),2),0))</f>
        <v>0</v>
      </c>
      <c r="EY38" s="22">
        <f>IF(CE38&lt;3,0,IFERROR(_xlfn.AGGREGATE(15,6,nTP_RowN/((nTP_CandKey=BX38)*(nTP_Err="")*(1-nTP_Exact)*((nTP_HT*BN38*((nTP_OK*BO38*(nTP_UTC_n-N(BQ38))+(1-nTP_OK*BO38)*(nTP_Loc_n-N(BP38)))&lt;=0)+(1-nTP_HT*BN38)*(nTP_Hi_n&lt;N(BR38)))+((1-nTP_HT*BN38)*(nTP_Lo_n=nTP_Hi_n)*(nTP_Lo_n=N(BR38))*(N(BR38)=N(BS38))))),3),0))</f>
        <v>0</v>
      </c>
      <c r="EZ38" s="21" t="str">
        <f>IF(EO38=0,"",MID(IF(EQ38&gt;0,"; "&amp;INDEX(nTP_Record_ID,EQ38)&amp;IF(INDEX(nTP_Label,EQ38)="",""," ("&amp;INDEX(nTP_Label,EQ38)&amp;")"),"")&amp;IF(ER38&gt;0,"; "&amp;INDEX(nTP_Record_ID,ER38)&amp;IF(INDEX(nTP_Label,ER38)="",""," ("&amp;INDEX(nTP_Label,ER38)&amp;")"),"")&amp;IF(ES38&gt;0,"; "&amp;INDEX(nTP_Record_ID,ES38)&amp;IF(INDEX(nTP_Label,ES38)="",""," ("&amp;INDEX(nTP_Label,ES38)&amp;")"),"")&amp;IF(EO38&gt;3,"; and "&amp;(EO38-3)&amp;" more",""),3,999))</f>
        <v/>
      </c>
      <c r="FA38" s="21" t="str">
        <f>IF(EO38=0,"",MID(IF(EQ38&gt;0,"; "&amp;INDEX(nTP_Record_ID,EQ38),"")&amp;IF(ER38&gt;0,"; "&amp;INDEX(nTP_Record_ID,ER38),"")&amp;IF(ES38&gt;0,"; "&amp;INDEX(nTP_Record_ID,ES38),"")&amp;IF(EO38&gt;3,"; and "&amp;(EO38-3)&amp;" more",""),3,999))</f>
        <v/>
      </c>
      <c r="FB38" s="21" t="str">
        <f>IF(EP38=0,"",MID(IF(ET38&gt;0,"; "&amp;INDEX(nTP_Record_ID,ET38)&amp;IF(INDEX(nTP_Label,ET38)="",""," ("&amp;INDEX(nTP_Label,ET38)&amp;")"),"")&amp;IF(EU38&gt;0,"; "&amp;INDEX(nTP_Record_ID,EU38)&amp;IF(INDEX(nTP_Label,EU38)="",""," ("&amp;INDEX(nTP_Label,EU38)&amp;")"),"")&amp;IF(EV38&gt;0,"; "&amp;INDEX(nTP_Record_ID,EV38)&amp;IF(INDEX(nTP_Label,EV38)="",""," ("&amp;INDEX(nTP_Label,EV38)&amp;")"),"")&amp;IF(EP38&gt;3,"; and "&amp;(EP38-3)&amp;" more",""),3,999))</f>
        <v/>
      </c>
      <c r="FC38" s="21" t="str">
        <f>IF(CE38=0,"",MID(IF(EW38&gt;0,"; "&amp;INDEX(nTP_Record_ID,EW38),"")&amp;IF(EX38&gt;0,"; "&amp;INDEX(nTP_Record_ID,EX38),"")&amp;IF(EY38&gt;0,"; "&amp;INDEX(nTP_Record_ID,EY38),"")&amp;IF(CE38&gt;3,"; and "&amp;(CE38-3)&amp;" more",""),3,999))</f>
        <v/>
      </c>
      <c r="FD38" s="22">
        <f t="shared" si="55"/>
        <v>0</v>
      </c>
      <c r="FE38" s="22">
        <f t="shared" si="56"/>
        <v>0</v>
      </c>
      <c r="FF38" s="22">
        <f t="shared" si="57"/>
        <v>0</v>
      </c>
      <c r="FG38" s="22">
        <f t="shared" si="58"/>
        <v>0</v>
      </c>
      <c r="FH38" s="22">
        <f t="shared" si="59"/>
        <v>0</v>
      </c>
      <c r="FI38" s="22">
        <f t="shared" si="60"/>
        <v>0</v>
      </c>
      <c r="FJ38" s="22">
        <f t="shared" si="61"/>
        <v>0</v>
      </c>
      <c r="FK38" s="22">
        <f t="shared" si="62"/>
        <v>0</v>
      </c>
    </row>
    <row r="39" spans="1:167" x14ac:dyDescent="0.2">
      <c r="A39" s="10"/>
      <c r="B39" s="10"/>
      <c r="C39" s="12"/>
      <c r="D39" s="10"/>
      <c r="E39" s="17"/>
      <c r="F39" s="10"/>
      <c r="G39" s="10"/>
      <c r="H39" s="10"/>
      <c r="I39" s="17"/>
      <c r="J39" s="17"/>
      <c r="K39" s="10"/>
      <c r="L39" s="17"/>
      <c r="M39" s="17"/>
      <c r="N39" s="17"/>
      <c r="O39" s="10"/>
      <c r="P39" s="15"/>
      <c r="Q39" s="15"/>
      <c r="R39" s="10"/>
      <c r="S39" s="10"/>
      <c r="T39" s="21" t="str">
        <f t="shared" si="0"/>
        <v/>
      </c>
      <c r="U39" s="21" t="str">
        <f t="shared" si="1"/>
        <v/>
      </c>
      <c r="V39" s="21" t="str">
        <f t="shared" si="2"/>
        <v/>
      </c>
      <c r="W39" s="21" t="str">
        <f t="shared" si="3"/>
        <v/>
      </c>
      <c r="X39" s="21" t="str">
        <f t="shared" si="4"/>
        <v/>
      </c>
      <c r="Y39" s="21" t="str">
        <f t="shared" si="5"/>
        <v/>
      </c>
      <c r="Z39" s="21" t="str">
        <f t="shared" si="6"/>
        <v/>
      </c>
      <c r="AA39" s="21" t="str">
        <f t="shared" si="7"/>
        <v/>
      </c>
      <c r="AB39" s="21" t="str">
        <f t="shared" si="8"/>
        <v/>
      </c>
      <c r="AC39" s="21" t="str">
        <f t="shared" si="9"/>
        <v/>
      </c>
      <c r="AD39" s="21" t="str">
        <f>IF(AW39=1,"",MID(IF(ISNUMBER(SEARCH("E_INVALID_DATE",EG39))," | E_INVALID_DATE: "&amp;SUBSTITUTE(IFERROR(INDEX(nMSG_Text,MATCH("E_INVALID_DATE",nMSG_Code,0)),""),"[input]",""),"")&amp;IF(ISNUMBER(SEARCH("E_REVERSED_BOUNDS",EG39))," | E_REVERSED_BOUNDS: "&amp;SUBSTITUTE(IFERROR(INDEX(nMSG_Text,MATCH("E_REVERSED_BOUNDS",nMSG_Code,0)),""),"[input]",""),"")&amp;IF(ISNUMBER(SEARCH("E_DUPLICATE_ID",EG39))," | E_DUPLICATE_ID: "&amp;SUBSTITUTE(IFERROR(INDEX(nMSG_Text,MATCH("E_DUPLICATE_ID",nMSG_Code,0)),""),"[input]",""),"")&amp;IF(ISNUMBER(SEARCH("E_MISSING_LINK",EG39))," | E_MISSING_LINK: "&amp;SUBSTITUTE(IFERROR(INDEX(nMSG_Text,MATCH("E_MISSING_LINK",nMSG_Code,0)),""),"[input]",""),"")&amp;IF(ISNUMBER(SEARCH("E_MISSING_INPUT",EG39))," | E_MISSING_INPUT: "&amp;SUBSTITUTE(IFERROR(INDEX(nMSG_Text,MATCH("E_MISSING_INPUT",nMSG_Code,0)),""),"[input]",IF(EH39="","an input",EH39)),"")&amp;IF(ISNUMBER(SEARCH("E_INVALID_UNIT",EG39))," | E_INVALID_UNIT: "&amp;SUBSTITUTE(IFERROR(INDEX(nMSG_Text,MATCH("E_INVALID_UNIT",nMSG_Code,0)),""),"[input]",""),"")&amp;IF(FD39=1," | W_TZ_UNKNOWN: "&amp;SUBSTITUTE(IFERROR(INDEX(nMSG_Text,MATCH("W_TZ_UNKNOWN",nMSG_Code,0)),""),"[input]",""),"")&amp;IF(FE39=1," | W_SAME_DATE_ORDER_UNKNOWN: "&amp;SUBSTITUTE(IFERROR(INDEX(nMSG_Text,MATCH("W_SAME_DATE_ORDER_UNKNOWN",nMSG_Code,0)),""),"[input]",""),"")&amp;IF(FF39=1," | W_SEQUENCE_UNCERTAIN: "&amp;SUBSTITUTE(IFERROR(INDEX(nMSG_Text,MATCH("W_SEQUENCE_UNCERTAIN",nMSG_Code,0)),""),"[input]",""),"")&amp;IF(FG39=1," | W_ADMIN_SAME_DATE_AS_ONSET: "&amp;SUBSTITUTE(IFERROR(INDEX(nMSG_Text,MATCH("W_ADMIN_SAME_DATE_AS_ONSET",nMSG_Code,0)),""),"[input]",""),"")&amp;IF(FH39=1," | W_REPORTED_TIMING_CONFLICT: "&amp;SUBSTITUTE(IFERROR(INDEX(nMSG_Text,MATCH("W_REPORTED_TIMING_CONFLICT",nMSG_Code,0)),""),"[input]",""),"")&amp;IF(FI39=1," | W_INTERVENTION_BEFORE_RECOVERY: "&amp;SUBSTITUTE(IFERROR(INDEX(nMSG_Text,MATCH("W_INTERVENTION_BEFORE_RECOVERY",nMSG_Code,0)),""),"[input]",""),"")&amp;IF(FJ39=1," | I_TREATMENT_DAY_UNDEFINED: "&amp;SUBSTITUTE(IFERROR(INDEX(nMSG_Text,MATCH("I_TREATMENT_DAY_UNDEFINED",nMSG_Code,0)),""),"[input]",""),"")&amp;IF(FK39=1," | I_APPROXIMATE_NOT_COMPARED: "&amp;SUBSTITUTE(IFERROR(INDEX(nMSG_Text,MATCH("I_APPROXIMATE_NOT_COMPARED",nMSG_Code,0)),""),"[input]",""),""),4,9999))</f>
        <v/>
      </c>
      <c r="AE39" s="21" t="str">
        <f t="shared" si="10"/>
        <v/>
      </c>
      <c r="AF39" s="21" t="str">
        <f t="shared" si="11"/>
        <v/>
      </c>
      <c r="AG39" s="21" t="str">
        <f>IF(EN39="","",MID(IF(ISNUMBER(SEARCH("E_REVERSED_BOUNDS",EN39))," | E_REVERSED_BOUNDS: "&amp;SUBSTITUTE(IFERROR(INDEX(nMSG_Text,MATCH("E_REVERSED_BOUNDS",nMSG_Code,0)),""),"[input]",""),"")&amp;IF(ISNUMBER(SEARCH("E_MISSING_INPUT",EN39))," | E_MISSING_INPUT: "&amp;SUBSTITUTE(IFERROR(INDEX(nMSG_Text,MATCH("E_MISSING_INPUT",nMSG_Code,0)),""),"[input]",IF("the source of the constraint"="","an input","the source of the constraint")),""),4,999))</f>
        <v/>
      </c>
      <c r="AH39" s="21" t="str">
        <f t="shared" si="12"/>
        <v/>
      </c>
      <c r="AI39" s="21" t="str">
        <f t="shared" si="13"/>
        <v/>
      </c>
      <c r="AJ39" s="21" t="str">
        <f t="shared" si="14"/>
        <v/>
      </c>
      <c r="AK39" s="21" t="str">
        <f t="shared" si="15"/>
        <v/>
      </c>
      <c r="AL39" s="21" t="str">
        <f>IF(CY39=0,"",INDEX(nTP_ISO,CY39))</f>
        <v/>
      </c>
      <c r="AM39" s="21" t="str">
        <f>IF(CY39=0,"",INDEX(nTP_Display,CY39))</f>
        <v/>
      </c>
      <c r="AN39" s="21" t="str">
        <f>IF(BI39=0,"",INDEX(nTP_ISO,BI39))</f>
        <v/>
      </c>
      <c r="AO39" s="21" t="str">
        <f>IF(BI39=0,"",INDEX(nTP_Display,BI39))</f>
        <v/>
      </c>
      <c r="AP39" s="21" t="str">
        <f>IF(BA39=0,"",INDEX(nLNK_Exposure_Episode_ID,BA39)&amp;"")</f>
        <v/>
      </c>
      <c r="AQ39" s="21" t="str">
        <f>IF(BA39=0,"",INDEX(nLNK_Event_Episode_ID,BA39)&amp;"")</f>
        <v/>
      </c>
      <c r="AR39" s="21" t="str">
        <f t="shared" si="16"/>
        <v/>
      </c>
      <c r="AS39" s="21" t="str">
        <f>IF(EI39=0,"",MID(IF(DT39=1," | Recovery interval (C7) computed with "&amp;DS39&amp;".","")&amp;IF(BG39=1," | Anchor selected under C5 (CALC-SPEC 1.1): latest administration with an exact date or time at or before "&amp;IF(BH39=1,"onset","the end point")&amp;" ("&amp;AJ39&amp;"), ordered in UTC when offsets are known; later administrations are never selected.","")&amp;IF(AND(BG39=1,CE39&gt;0)," | Partial-date administrations wholly before the selected one were not candidates: "&amp;FC39&amp;".","")&amp;IF(BV39&lt;&gt;""," | "&amp;BV39,"")&amp;IF(AND(DS39="C2",EA39=0,DZ39&lt;&gt;"")," | Same calendar date; both times are known, so C1 decides the order ("&amp;AA39&amp;").","")&amp;IF(AND(DS39="C2",DD39*BN39=1,DT39=0)," | Calendar-date difference from the recorded local dates; it is never described as elapsed days.","")&amp;IF(AND(DS39="C4",DT39=0)," | Bounds are treated as independent; no single date is imputed from them.","")&amp;IF(EJ39=1," | Treatment day under the inclusive convention (C3); never written to E2B fields automatically.","")&amp;IF(AND(DS39="C4",DT39=0,EK39=0)," | No constraint applied.","")&amp;IF(AND(DS39="C4",EK39=1)," | Constraint applied to the anchor bounds: "&amp;IF(ISNUMBER(P39),"not before "&amp;DAY(P39)&amp;" "&amp;INDEX(nLIST_Months,MONTH(P39))&amp;" "&amp;YEAR(P39),"")&amp;IF(AND(ISNUMBER(P39),ISNUMBER(Q39)),", ","")&amp;IF(ISNUMBER(Q39),"not after "&amp;DAY(Q39)&amp;" "&amp;INDEX(nLIST_Months,MONTH(Q39))&amp;" "&amp;YEAR(Q39),"")&amp;". Source: "&amp;IF(R39="","not recorded",R39)&amp;IF(EN39="",". Constrained result shown beside the unconstrained one.",". Constrained result blocked ("&amp;EN39&amp;")."),"")&amp;IF(DT39=1,IF(EO39&gt;0," | Intervention recorded between cessation and recovery (ends included): "&amp;EZ39&amp;"."," | No intervention is recorded between cessation and recovery; absence of a record is not evidence that none was given."),"")&amp;IF(AND(DT39=1,DV39&gt;0)," | Intervention recorded without a date, so whether it came before recovery is unknown: "&amp;INDEX(nMS_Milestone_ID,MATCH(1,INDEX((nMS_CaseKey=AX39)*(nMS_Type="INTERVENTION")*nMS_Undated,0),0))&amp;IF(DV39&gt;1," and "&amp;(DV39-1)&amp;" more","")&amp;".","")&amp;IF(AND(DT39=1,EP39&gt;0)," | Not counted as interventions, because they are recorded as exposures rather than as intervention milestones (nothing is inferred): "&amp;FB39&amp;". If treatment was given, record it as an intervention milestone.",""),4,9999))</f>
        <v/>
      </c>
      <c r="AT39" s="21" t="str">
        <f t="shared" si="17"/>
        <v/>
      </c>
      <c r="AU39" s="21" t="str">
        <f t="shared" si="18"/>
        <v/>
      </c>
      <c r="AV39" s="21" t="str">
        <f t="shared" si="19"/>
        <v/>
      </c>
      <c r="AW39" s="22">
        <f t="shared" si="20"/>
        <v>1</v>
      </c>
      <c r="AX39" s="21" t="str">
        <f t="shared" si="21"/>
        <v>|</v>
      </c>
      <c r="AY39" s="21" t="str">
        <f t="shared" si="22"/>
        <v/>
      </c>
      <c r="AZ39" s="22">
        <f>IF(AY39="",0,COUNTIF(nINT_Key,AY39))</f>
        <v>0</v>
      </c>
      <c r="BA39" s="22">
        <f>IF(D39="",0,IFERROR(MATCH(AX39&amp;"|"&amp;D39,nLNK_Key,0),0))</f>
        <v>0</v>
      </c>
      <c r="BB39" s="22">
        <f>IF(BA39=0,1,INDEX(nLNK_Exp_Found,BA39))</f>
        <v>1</v>
      </c>
      <c r="BC39" s="22">
        <f>IF(BA39=0,1,INDEX(nLNK_Evt_Found,BA39))</f>
        <v>1</v>
      </c>
      <c r="BD39" s="22">
        <f>IF(AP39="",0,COUNTIF(nEXP_Key,AX39&amp;"|"&amp;AP39))</f>
        <v>0</v>
      </c>
      <c r="BE39" s="22">
        <f>IF(AQ39="",0,COUNTIF(nEVT_Key,AX39&amp;"|"&amp;AQ39))</f>
        <v>0</v>
      </c>
      <c r="BF39" s="22">
        <f>IF(ISNA(MATCH(E39,nLIST_AnchorType,0)),0,1)</f>
        <v>0</v>
      </c>
      <c r="BG39" s="22">
        <f t="shared" si="23"/>
        <v>0</v>
      </c>
      <c r="BH39" s="22">
        <f t="shared" si="24"/>
        <v>0</v>
      </c>
      <c r="BI39" s="22">
        <f>IF(OR(AW39=1,AK39=""),0,IFERROR(MATCH(AX39&amp;"|"&amp;AK39,nTP_Key,0),0))</f>
        <v>0</v>
      </c>
      <c r="BJ39" s="21">
        <f>IF(BI39=0,0,INDEX(nTP_Dup,BI39))</f>
        <v>0</v>
      </c>
      <c r="BK39" s="21" t="str">
        <f>IF(BI39=0,"",INDEX(nTP_Record_Type,BI39))</f>
        <v/>
      </c>
      <c r="BL39" s="21" t="str">
        <f>IF(BI39=0,"",INDEX(nTP_Precision,BI39))</f>
        <v/>
      </c>
      <c r="BM39" s="21" t="str">
        <f>IF(BI39=0,"",INDEX(nTP_Err,BI39))</f>
        <v/>
      </c>
      <c r="BN39" s="21">
        <f>IF(BI39=0,0,INDEX(nTP_HT,BI39))</f>
        <v>0</v>
      </c>
      <c r="BO39" s="21">
        <f>IF(BI39=0,0,INDEX(nTP_OK,BI39))</f>
        <v>0</v>
      </c>
      <c r="BP39" s="21" t="str">
        <f>IF(BI39=0,"",INDEX(nTP_Loc,BI39))</f>
        <v/>
      </c>
      <c r="BQ39" s="21" t="str">
        <f>IF(BI39=0,"",INDEX(nTP_UTC,BI39))</f>
        <v/>
      </c>
      <c r="BR39" s="21" t="str">
        <f>IF(BI39=0,"",INDEX(nTP_Lo,BI39))</f>
        <v/>
      </c>
      <c r="BS39" s="21" t="str">
        <f>IF(BI39=0,"",INDEX(nTP_Hi,BI39))</f>
        <v/>
      </c>
      <c r="BT39" s="21" t="str">
        <f>IF(BI39=0,"",INDEX(nTP_Original_Text,BI39))</f>
        <v/>
      </c>
      <c r="BU39" s="21" t="str">
        <f>IF(BI39=0,"",INDEX(nTP_Source,BI39))</f>
        <v/>
      </c>
      <c r="BV39" s="21" t="str">
        <f>IF(BI39=0,"",INDEX(nTP_Lab_Note,BI39))</f>
        <v/>
      </c>
      <c r="BW39" s="22">
        <f t="shared" si="25"/>
        <v>0</v>
      </c>
      <c r="BX39" s="21" t="str">
        <f t="shared" si="26"/>
        <v>||</v>
      </c>
      <c r="BY39" s="22">
        <f>IF(BG39=0,0,COUNTIF(nTP_CandKey,BX39))</f>
        <v>0</v>
      </c>
      <c r="BZ39" s="22">
        <f>IF(BG39=0,0,COUNTIFS(nTP_CandKey,BX39,nTP_Err,""))</f>
        <v>0</v>
      </c>
      <c r="CA39" s="21" t="str">
        <f>IF(BY39=BZ39,"",IF(COUNTIFS(nTP_CandKey,BX39,nTP_Err,"E_INVALID_DATE")&gt;0,"; E_INVALID_DATE","")&amp;IF(COUNTIFS(nTP_CandKey,BX39,nTP_Err,"E_REVERSED_BOUNDS")&gt;0,"; E_REVERSED_BOUNDS","")&amp;IF(COUNTIFS(nTP_CandKey,BX39,nTP_Err,"E_MISSING_INPUT")&gt;0,"; E_MISSING_INPUT","")&amp;IF(COUNTIFS(nTP_CandKey,BX39,nTP_Err,"E_INVALID_UNIT")&gt;0,"; E_INVALID_UNIT",""))</f>
        <v/>
      </c>
      <c r="CB39" s="22">
        <f t="shared" si="27"/>
        <v>0</v>
      </c>
      <c r="CC39" s="22">
        <f>IF(CB39=0,0,SUMPRODUCT((nTP_CandKey=BX39)*(nTP_Err="")*(1-(nTP_HT*BN39*((nTP_OK*BO39*(nTP_UTC_n-N(BQ39))+(1-nTP_OK*BO39)*(nTP_Loc_n-N(BP39)))&lt;=0)+(1-nTP_HT*BN39)*(nTP_Hi_n&lt;N(BR39)))-(nTP_HT*BN39*((nTP_OK*BO39*(nTP_UTC_n-N(BQ39))+(1-nTP_OK*BO39)*(nTP_Loc_n-N(BP39)))&gt;0)+(1-nTP_HT*BN39)*(nTP_Lo_n&gt;N(BS39)))-((1-nTP_HT*BN39)*(nTP_Lo_n=nTP_Hi_n)*(nTP_Lo_n=N(BR39))*(N(BR39)=N(BS39))))))</f>
        <v>0</v>
      </c>
      <c r="CD39" s="22">
        <f>IF(CB39=0,0,SUMPRODUCT((nTP_CandKey=BX39)*nTP_Exact*((nTP_HT*BN39*((nTP_OK*BO39*(nTP_UTC_n-N(BQ39))+(1-nTP_OK*BO39)*(nTP_Loc_n-N(BP39)))&lt;=0)+(1-nTP_HT*BN39)*(nTP_Hi_n&lt;N(BR39)))+((1-nTP_HT*BN39)*(nTP_Lo_n=nTP_Hi_n)*(nTP_Lo_n=N(BR39))*(N(BR39)=N(BS39))))))</f>
        <v>0</v>
      </c>
      <c r="CE39" s="22">
        <f>IF(CB39=0,0,SUMPRODUCT((nTP_CandKey=BX39)*(nTP_Err="")*(1-nTP_Exact)*((nTP_HT*BN39*((nTP_OK*BO39*(nTP_UTC_n-N(BQ39))+(1-nTP_OK*BO39)*(nTP_Loc_n-N(BP39)))&lt;=0)+(1-nTP_HT*BN39)*(nTP_Hi_n&lt;N(BR39)))+((1-nTP_HT*BN39)*(nTP_Lo_n=nTP_Hi_n)*(nTP_Lo_n=N(BR39))*(N(BR39)=N(BS39))))))</f>
        <v>0</v>
      </c>
      <c r="CF39" s="22">
        <f>IF(CD39=0,0,SUMPRODUCT(MAX((nTP_CandKey=BX39)*nTP_Exact*((nTP_HT*BN39*((nTP_OK*BO39*(nTP_UTC_n-N(BQ39))+(1-nTP_OK*BO39)*(nTP_Loc_n-N(BP39)))&lt;=0)+(1-nTP_HT*BN39)*(nTP_Hi_n&lt;N(BR39)))+((1-nTP_HT*BN39)*(nTP_Lo_n=nTP_Hi_n)*(nTP_Lo_n=N(BR39))*(N(BR39)=N(BS39))))*nTP_Lo_n)))</f>
        <v>0</v>
      </c>
      <c r="CG39" s="22">
        <f>IF(CD39=0,0,SUMPRODUCT((nTP_CandKey=BX39)*nTP_Exact*((nTP_HT*BN39*((nTP_OK*BO39*(nTP_UTC_n-N(BQ39))+(1-nTP_OK*BO39)*(nTP_Loc_n-N(BP39)))&lt;=0)+(1-nTP_HT*BN39)*(nTP_Hi_n&lt;N(BR39)))+((1-nTP_HT*BN39)*(nTP_Lo_n=nTP_Hi_n)*(nTP_Lo_n=N(BR39))*(N(BR39)=N(BS39))))*(nTP_Lo_n=CF39)))</f>
        <v>0</v>
      </c>
      <c r="CH39" s="22">
        <f>IF(CD39=0,0,SUMPRODUCT((nTP_CandKey=BX39)*nTP_Exact*((nTP_HT*BN39*((nTP_OK*BO39*(nTP_UTC_n-N(BQ39))+(1-nTP_OK*BO39)*(nTP_Loc_n-N(BP39)))&lt;=0)+(1-nTP_HT*BN39)*(nTP_Hi_n&lt;N(BR39)))+((1-nTP_HT*BN39)*(nTP_Lo_n=nTP_Hi_n)*(nTP_Lo_n=N(BR39))*(N(BR39)=N(BS39))))*(1-nTP_HT)*(nTP_Lo_n=CF39)))</f>
        <v>0</v>
      </c>
      <c r="CI39" s="22">
        <f>IF(CD39=0,0,SUMPRODUCT(MAX((nTP_CandKey=BX39)*nTP_Exact*((nTP_HT*BN39*((nTP_OK*BO39*(nTP_UTC_n-N(BQ39))+(1-nTP_OK*BO39)*(nTP_Loc_n-N(BP39)))&lt;=0)+(1-nTP_HT*BN39)*(nTP_Hi_n&lt;N(BR39)))+((1-nTP_HT*BN39)*(nTP_Lo_n=nTP_Hi_n)*(nTP_Lo_n=N(BR39))*(N(BR39)=N(BS39))))*(1-nTP_HT)*nTP_Lo_n)))</f>
        <v>0</v>
      </c>
      <c r="CJ39" s="22">
        <f>IF(CD39=0,0,SUMPRODUCT(MAX((nTP_CandKey=BX39)*nTP_Exact*((nTP_HT*BN39*((nTP_OK*BO39*(nTP_UTC_n-N(BQ39))+(1-nTP_OK*BO39)*(nTP_Loc_n-N(BP39)))&lt;=0)+(1-nTP_HT*BN39)*(nTP_Hi_n&lt;N(BR39)))+((1-nTP_HT*BN39)*(nTP_Lo_n=nTP_Hi_n)*(nTP_Lo_n=N(BR39))*(N(BR39)=N(BS39))))*nTP_HT*nTP_OK*nTP_UTC_n)))</f>
        <v>0</v>
      </c>
      <c r="CK39" s="22">
        <f>IF(CJ39=0,0,SUMPRODUCT((nTP_CandKey=BX39)*nTP_Exact*((nTP_HT*BN39*((nTP_OK*BO39*(nTP_UTC_n-N(BQ39))+(1-nTP_OK*BO39)*(nTP_Loc_n-N(BP39)))&lt;=0)+(1-nTP_HT*BN39)*(nTP_Hi_n&lt;N(BR39)))+((1-nTP_HT*BN39)*(nTP_Lo_n=nTP_Hi_n)*(nTP_Lo_n=N(BR39))*(N(BR39)=N(BS39))))*nTP_HT*nTP_OK*(nTP_UTC_n=CJ39)))</f>
        <v>0</v>
      </c>
      <c r="CL39" s="22">
        <f>IF(CK39&lt;&gt;1,0,SUMPRODUCT((nTP_CandKey=BX39)*nTP_Exact*((nTP_HT*BN39*((nTP_OK*BO39*(nTP_UTC_n-N(BQ39))+(1-nTP_OK*BO39)*(nTP_Loc_n-N(BP39)))&lt;=0)+(1-nTP_HT*BN39)*(nTP_Hi_n&lt;N(BR39)))+((1-nTP_HT*BN39)*(nTP_Lo_n=nTP_Hi_n)*(nTP_Lo_n=N(BR39))*(N(BR39)=N(BS39))))*nTP_HT*nTP_OK*(nTP_UTC_n=CJ39)*nTP_Loc_n))</f>
        <v>0</v>
      </c>
      <c r="CM39" s="22">
        <f>IF(CK39&lt;&gt;1,0,SUMPRODUCT((nTP_CandKey=BX39)*nTP_Exact*((nTP_HT*BN39*((nTP_OK*BO39*(nTP_UTC_n-N(BQ39))+(1-nTP_OK*BO39)*(nTP_Loc_n-N(BP39)))&lt;=0)+(1-nTP_HT*BN39)*(nTP_Hi_n&lt;N(BR39)))+((1-nTP_HT*BN39)*(nTP_Lo_n=nTP_Hi_n)*(nTP_Lo_n=N(BR39))*(N(BR39)=N(BS39))))*nTP_HT*nTP_OK*(nTP_UTC_n=CJ39)*nTP_Lo_n))</f>
        <v>0</v>
      </c>
      <c r="CN39" s="22">
        <f>IF(CD39=0,0,SUMPRODUCT(MAX((nTP_CandKey=BX39)*nTP_Exact*((nTP_HT*BN39*((nTP_OK*BO39*(nTP_UTC_n-N(BQ39))+(1-nTP_OK*BO39)*(nTP_Loc_n-N(BP39)))&lt;=0)+(1-nTP_HT*BN39)*(nTP_Hi_n&lt;N(BR39)))+((1-nTP_HT*BN39)*(nTP_Lo_n=nTP_Hi_n)*(nTP_Lo_n=N(BR39))*(N(BR39)=N(BS39))))*nTP_HT*(1-nTP_OK)*nTP_Loc_n)))</f>
        <v>0</v>
      </c>
      <c r="CO39" s="22">
        <f>IF(CN39=0,0,SUMPRODUCT((nTP_CandKey=BX39)*nTP_Exact*((nTP_HT*BN39*((nTP_OK*BO39*(nTP_UTC_n-N(BQ39))+(1-nTP_OK*BO39)*(nTP_Loc_n-N(BP39)))&lt;=0)+(1-nTP_HT*BN39)*(nTP_Hi_n&lt;N(BR39)))+((1-nTP_HT*BN39)*(nTP_Lo_n=nTP_Hi_n)*(nTP_Lo_n=N(BR39))*(N(BR39)=N(BS39))))*nTP_HT*(1-nTP_OK)*(nTP_Loc_n=CN39)))</f>
        <v>0</v>
      </c>
      <c r="CP39" s="22">
        <f>IF(CO39&lt;&gt;1,0,SUMPRODUCT((nTP_CandKey=BX39)*nTP_Exact*((nTP_HT*BN39*((nTP_OK*BO39*(nTP_UTC_n-N(BQ39))+(1-nTP_OK*BO39)*(nTP_Loc_n-N(BP39)))&lt;=0)+(1-nTP_HT*BN39)*(nTP_Hi_n&lt;N(BR39)))+((1-nTP_HT*BN39)*(nTP_Lo_n=nTP_Hi_n)*(nTP_Lo_n=N(BR39))*(N(BR39)=N(BS39))))*nTP_HT*(1-nTP_OK)*(nTP_Loc_n=CN39)*nTP_Lo_n))</f>
        <v>0</v>
      </c>
      <c r="CQ39" s="22">
        <f>IF(CD39=0,0,SUMPRODUCT(MAX((nTP_CandKey=BX39)*nTP_Exact*((nTP_HT*BN39*((nTP_OK*BO39*(nTP_UTC_n-N(BQ39))+(1-nTP_OK*BO39)*(nTP_Loc_n-N(BP39)))&lt;=0)+(1-nTP_HT*BN39)*(nTP_Hi_n&lt;N(BR39)))+((1-nTP_HT*BN39)*(nTP_Lo_n=nTP_Hi_n)*(nTP_Lo_n=N(BR39))*(N(BR39)=N(BS39))))*nTP_HT*nTP_OK*nTP_Loc_n)))</f>
        <v>0</v>
      </c>
      <c r="CR39" s="22">
        <f t="shared" si="28"/>
        <v>0</v>
      </c>
      <c r="CS39" s="22">
        <f>IF(CR39=0,0,IF(CR39=1,MATCH(1,INDEX((nTP_CandKey=BX39)*nTP_Exact*((nTP_HT*BN39*((nTP_OK*BO39*(nTP_UTC_n-N(BQ39))+(1-nTP_OK*BO39)*(nTP_Loc_n-N(BP39)))&lt;=0)+(1-nTP_HT*BN39)*(nTP_Hi_n&lt;N(BR39)))+((1-nTP_HT*BN39)*(nTP_Lo_n=nTP_Hi_n)*(nTP_Lo_n=N(BR39))*(N(BR39)=N(BS39))))*(1-nTP_HT)*(nTP_Lo_n=CF39),0),0),IF(CR39=2,MATCH(1,INDEX((nTP_CandKey=BX39)*nTP_Exact*((nTP_HT*BN39*((nTP_OK*BO39*(nTP_UTC_n-N(BQ39))+(1-nTP_OK*BO39)*(nTP_Loc_n-N(BP39)))&lt;=0)+(1-nTP_HT*BN39)*(nTP_Hi_n&lt;N(BR39)))+((1-nTP_HT*BN39)*(nTP_Lo_n=nTP_Hi_n)*(nTP_Lo_n=N(BR39))*(N(BR39)=N(BS39))))*nTP_HT*nTP_OK*(nTP_UTC_n=CJ39),0),0),MATCH(1,INDEX((nTP_CandKey=BX39)*nTP_Exact*((nTP_HT*BN39*((nTP_OK*BO39*(nTP_UTC_n-N(BQ39))+(1-nTP_OK*BO39)*(nTP_Loc_n-N(BP39)))&lt;=0)+(1-nTP_HT*BN39)*(nTP_Hi_n&lt;N(BR39)))+((1-nTP_HT*BN39)*(nTP_Lo_n=nTP_Hi_n)*(nTP_Lo_n=N(BR39))*(N(BR39)=N(BS39))))*nTP_HT*(1-nTP_OK)*(nTP_Loc_n=CN39),0),0))))</f>
        <v>0</v>
      </c>
      <c r="CT39" s="22">
        <f>IF(CS39=0,0,INDEX(nTP_Lo_n,CS39))</f>
        <v>0</v>
      </c>
      <c r="CU39" s="22">
        <f>IF(CS39=0,0,SUMPRODUCT((nTP_CandKey=BX39)*(nTP_Err="")*(1-nTP_Exact)*((nTP_HT*BN39*((nTP_OK*BO39*(nTP_UTC_n-N(BQ39))+(1-nTP_OK*BO39)*(nTP_Loc_n-N(BP39)))&lt;=0)+(1-nTP_HT*BN39)*(nTP_Hi_n&lt;N(BR39)))+((1-nTP_HT*BN39)*(nTP_Lo_n=nTP_Hi_n)*(nTP_Lo_n=N(BR39))*(N(BR39)=N(BS39))))*(nTP_Hi_n&gt;=CT39)))</f>
        <v>0</v>
      </c>
      <c r="CV39" s="21" t="str">
        <f t="shared" si="29"/>
        <v/>
      </c>
      <c r="CW39" s="21" t="str">
        <f>IF(AND(BG39=1,CB39=1,CV39="",CS39&gt;0),INDEX(nTP_Record_ID,CS39)&amp;"","")</f>
        <v/>
      </c>
      <c r="CX39" s="21" t="str">
        <f>IF(OR(CV39="",BG39=0),"",IF(CV39="none","an administration record (last dose before onset)",IF(CV39="uncertain","the anchor record: "&amp;INDEX(nTP_Record_ID,MATCH(1,INDEX((nTP_CandKey=BX39)*(nTP_Err="")*(1-(nTP_HT*BN39*((nTP_OK*BO39*(nTP_UTC_n-N(BQ39))+(1-nTP_OK*BO39)*(nTP_Loc_n-N(BP39)))&lt;=0)+(1-nTP_HT*BN39)*(nTP_Hi_n&lt;N(BR39)))-(nTP_HT*BN39*((nTP_OK*BO39*(nTP_UTC_n-N(BQ39))+(1-nTP_OK*BO39)*(nTP_Loc_n-N(BP39)))&gt;0)+(1-nTP_HT*BN39)*(nTP_Lo_n&gt;N(BS39)))-((1-nTP_HT*BN39)*(nTP_Lo_n=nTP_Hi_n)*(nTP_Lo_n=N(BR39))*(N(BR39)=N(BS39)))),0),0))&amp;IF(CC39&gt;1," and "&amp;(CC39-1)&amp;" more","")&amp;" may fall before or after the end point, so the last dose cannot be identified from the recorded dates",IF(CV39="noneligible","the anchor record: no administration with an exact date is recorded at or before the end point",IF(CV39="tie","the anchor record: the order of the latest administrations cannot be told from the recorded dates and times","the anchor record: partial-date administration "&amp;INDEX(nTP_Record_ID,MATCH(1,INDEX((nTP_CandKey=BX39)*(nTP_Err="")*(1-nTP_Exact)*((nTP_HT*BN39*((nTP_OK*BO39*(nTP_UTC_n-N(BQ39))+(1-nTP_OK*BO39)*(nTP_Loc_n-N(BP39)))&lt;=0)+(1-nTP_HT*BN39)*(nTP_Hi_n&lt;N(BR39)))+((1-nTP_HT*BN39)*(nTP_Lo_n=nTP_Hi_n)*(nTP_Lo_n=N(BR39))*(N(BR39)=N(BS39))))*(nTP_Hi_n&gt;=CT39),0),0))&amp;" could be the last dose before the end point")))))</f>
        <v/>
      </c>
      <c r="CY39" s="22">
        <f>IF(OR(AW39=1,AJ39=""),0,IFERROR(MATCH(AX39&amp;"|"&amp;AJ39,nTP_Key,0),0))</f>
        <v>0</v>
      </c>
      <c r="CZ39" s="21">
        <f>IF(CY39=0,0,INDEX(nTP_Dup,CY39))</f>
        <v>0</v>
      </c>
      <c r="DA39" s="21" t="str">
        <f>IF(CY39=0,"",INDEX(nTP_Record_Type,CY39))</f>
        <v/>
      </c>
      <c r="DB39" s="21" t="str">
        <f>IF(CY39=0,"",INDEX(nTP_Precision,CY39))</f>
        <v/>
      </c>
      <c r="DC39" s="21" t="str">
        <f>IF(CY39=0,"",INDEX(nTP_Err,CY39))</f>
        <v/>
      </c>
      <c r="DD39" s="21">
        <f>IF(CY39=0,0,INDEX(nTP_HT,CY39))</f>
        <v>0</v>
      </c>
      <c r="DE39" s="21">
        <f>IF(CY39=0,0,INDEX(nTP_OK,CY39))</f>
        <v>0</v>
      </c>
      <c r="DF39" s="21" t="str">
        <f>IF(CY39=0,"",INDEX(nTP_Loc,CY39))</f>
        <v/>
      </c>
      <c r="DG39" s="21" t="str">
        <f>IF(CY39=0,"",INDEX(nTP_UTC,CY39))</f>
        <v/>
      </c>
      <c r="DH39" s="21" t="str">
        <f>IF(CY39=0,"",INDEX(nTP_Lo,CY39))</f>
        <v/>
      </c>
      <c r="DI39" s="21" t="str">
        <f>IF(CY39=0,"",INDEX(nTP_Hi,CY39))</f>
        <v/>
      </c>
      <c r="DJ39" s="21" t="str">
        <f>IF(CY39=0,"",INDEX(nTP_Original_Text,CY39))</f>
        <v/>
      </c>
      <c r="DK39" s="21" t="str">
        <f>IF(CY39=0,"",INDEX(nTP_Source,CY39))</f>
        <v/>
      </c>
      <c r="DL39" s="22">
        <f t="shared" si="30"/>
        <v>0</v>
      </c>
      <c r="DM39" s="21" t="str">
        <f t="shared" si="31"/>
        <v/>
      </c>
      <c r="DN39" s="21" t="str">
        <f t="shared" si="32"/>
        <v/>
      </c>
      <c r="DO39" s="21" t="str">
        <f t="shared" si="33"/>
        <v/>
      </c>
      <c r="DP39" s="21" t="str">
        <f t="shared" si="34"/>
        <v/>
      </c>
      <c r="DQ39" s="21" t="str">
        <f t="shared" si="35"/>
        <v/>
      </c>
      <c r="DR39" s="22">
        <f>IF(OR(DQ39="",I39=""),0,IF(ISNA(MATCH(I39,nLIST_Mode,0)),1,IF(AND(I39="C1",DQ39&lt;&gt;"C1"),1,IF(AND(I39="C2",DQ39="C4"),1,0))))</f>
        <v>0</v>
      </c>
      <c r="DS39" s="21" t="str">
        <f t="shared" si="36"/>
        <v/>
      </c>
      <c r="DT39" s="22">
        <f t="shared" si="37"/>
        <v>0</v>
      </c>
      <c r="DU39" s="21" t="str">
        <f>IF(DT39=0,"",IF(COUNTIFS(nTP_Case_Key,AX39,nTP_Record_Type,"MILESTONE:INTERVENTION",nTP_Err,"E_INVALID_DATE")&gt;0,"; E_INVALID_DATE","")&amp;IF(COUNTIFS(nTP_Case_Key,AX39,nTP_Record_Type,"MILESTONE:INTERVENTION",nTP_Err,"E_REVERSED_BOUNDS")&gt;0,"; E_REVERSED_BOUNDS","")&amp;IF(COUNTIFS(nTP_Case_Key,AX39,nTP_Record_Type,"MILESTONE:INTERVENTION",nTP_Err,"E_MISSING_INPUT")&gt;0,"; E_MISSING_INPUT","")&amp;IF(COUNTIFS(nTP_Case_Key,AX39,nTP_Record_Type,"MILESTONE:INTERVENTION",nTP_Err,"E_INVALID_UNIT")&gt;0,"; E_INVALID_UNIT",""))</f>
        <v/>
      </c>
      <c r="DV39" s="22">
        <f>IF(DT39=0,0,SUMPRODUCT((nMS_CaseKey=AX39)*(nMS_Type="INTERVENTION")*nMS_Undated))</f>
        <v>0</v>
      </c>
      <c r="DW39" s="21" t="str">
        <f t="shared" si="38"/>
        <v/>
      </c>
      <c r="DX39" s="21" t="str">
        <f t="shared" si="39"/>
        <v/>
      </c>
      <c r="DY39" s="22">
        <f t="shared" si="40"/>
        <v>1</v>
      </c>
      <c r="DZ39" s="21" t="str">
        <f t="shared" si="41"/>
        <v/>
      </c>
      <c r="EA39" s="21" t="str">
        <f t="shared" si="42"/>
        <v/>
      </c>
      <c r="EB39" s="21" t="str">
        <f t="shared" si="43"/>
        <v/>
      </c>
      <c r="EC39" s="21" t="str">
        <f t="shared" si="44"/>
        <v/>
      </c>
      <c r="ED39" s="22">
        <f t="shared" si="45"/>
        <v>0</v>
      </c>
      <c r="EE39" s="22">
        <f t="shared" si="46"/>
        <v>0</v>
      </c>
      <c r="EF39" s="21" t="str">
        <f>IF(ED39=0,"",IF(OR(NOT(ISNUMBER(L39)),NOT(ISNUMBER(M39))),"I_APPROXIMATE_NOT_COMPARED",IF(AND(N39&lt;&gt;"",ISNA(MATCH(N39,nLIST_ReportedUnit,0))),"E_INVALID_UNIT",IF(N39="","E_MISSING_INPUT",IF(L39&gt;M39,"E_REVERSED_BOUNDS",IF(OR(N39="weeks",N39="months",N39="years"),"I_APPROXIMATE_NOT_COMPARED",IF(DX39&lt;&gt;"","",IF(EE39=0,"I_APPROXIMATE_NOT_COMPARED",IF(AND(L39*EE39&lt;=IF(DS39="C4",EC39,IF(DS39="C1",DZ39,EA39)),M39*EE39&gt;=IF(DS39="C4",EB39,IF(DS39="C1",DZ39,EA39))),"OVERLAP","W_REPORTED_TIMING_CONFLICT")))))))))</f>
        <v/>
      </c>
      <c r="EG39" s="21" t="str">
        <f t="shared" si="47"/>
        <v/>
      </c>
      <c r="EH39" s="21" t="str">
        <f t="shared" si="48"/>
        <v/>
      </c>
      <c r="EI39" s="22">
        <f t="shared" si="49"/>
        <v>0</v>
      </c>
      <c r="EJ39" s="22">
        <f t="shared" si="50"/>
        <v>0</v>
      </c>
      <c r="EK39" s="22">
        <f t="shared" si="51"/>
        <v>0</v>
      </c>
      <c r="EL39" s="28" t="str">
        <f t="shared" si="52"/>
        <v/>
      </c>
      <c r="EM39" s="28" t="str">
        <f t="shared" si="53"/>
        <v/>
      </c>
      <c r="EN39" s="21" t="str">
        <f t="shared" si="54"/>
        <v/>
      </c>
      <c r="EO39" s="22">
        <f>IF(OR(DT39=0,DX39&lt;&gt;""),0,SUMPRODUCT((nTP_Case_Key=AX39)*(nTP_Record_Type="MILESTONE:INTERVENTION")*(nTP_Err="")*(nTP_HT*DD39*BN39*(nTP_OK*DE39*(nTP_UTC_n&gt;=N(DG39))+(1-nTP_OK*DE39)*(nTP_Loc_n&gt;=N(DF39)))*(nTP_OK*BO39*(nTP_UTC_n&lt;=N(BQ39))+(1-nTP_OK*BO39)*(nTP_Loc_n&lt;=N(BP39)))+(1-nTP_HT*DD39*BN39)*(nTP_Hi_n&gt;=N(DH39))*(nTP_Lo_n&lt;=N(BS39)))))</f>
        <v>0</v>
      </c>
      <c r="EP39" s="22">
        <f>IF(OR(DT39=0,DX39&lt;&gt;""),0,SUMPRODUCT((nTP_Case_Key=AX39)*(nTP_Role="treatment of the event")*((nTP_Record_Type="EXPOSURE_START")+(nTP_Record_Type="ADMINISTRATION"))*(nTP_Err="")*(nTP_HT*DD39*BN39*(nTP_OK*DE39*(nTP_UTC_n&gt;=N(DG39))+(1-nTP_OK*DE39)*(nTP_Loc_n&gt;=N(DF39)))*(nTP_OK*BO39*(nTP_UTC_n&lt;=N(BQ39))+(1-nTP_OK*BO39)*(nTP_Loc_n&lt;=N(BP39)))+(1-nTP_HT*DD39*BN39)*(nTP_Hi_n&gt;=N(DH39))*(nTP_Lo_n&lt;=N(BS39)))))</f>
        <v>0</v>
      </c>
      <c r="EQ39" s="22">
        <f>IF(EO39&lt;1,0,IFERROR(_xlfn.AGGREGATE(15,6,nTP_RowN/((nTP_Case_Key=AX39)*(nTP_Record_Type="MILESTONE:INTERVENTION")*(nTP_Err="")*(nTP_HT*DD39*BN39*(nTP_OK*DE39*(nTP_UTC_n&gt;=N(DG39))+(1-nTP_OK*DE39)*(nTP_Loc_n&gt;=N(DF39)))*(nTP_OK*BO39*(nTP_UTC_n&lt;=N(BQ39))+(1-nTP_OK*BO39)*(nTP_Loc_n&lt;=N(BP39)))+(1-nTP_HT*DD39*BN39)*(nTP_Hi_n&gt;=N(DH39))*(nTP_Lo_n&lt;=N(BS39)))),1),0))</f>
        <v>0</v>
      </c>
      <c r="ER39" s="22">
        <f>IF(EO39&lt;2,0,IFERROR(_xlfn.AGGREGATE(15,6,nTP_RowN/((nTP_Case_Key=AX39)*(nTP_Record_Type="MILESTONE:INTERVENTION")*(nTP_Err="")*(nTP_HT*DD39*BN39*(nTP_OK*DE39*(nTP_UTC_n&gt;=N(DG39))+(1-nTP_OK*DE39)*(nTP_Loc_n&gt;=N(DF39)))*(nTP_OK*BO39*(nTP_UTC_n&lt;=N(BQ39))+(1-nTP_OK*BO39)*(nTP_Loc_n&lt;=N(BP39)))+(1-nTP_HT*DD39*BN39)*(nTP_Hi_n&gt;=N(DH39))*(nTP_Lo_n&lt;=N(BS39)))),2),0))</f>
        <v>0</v>
      </c>
      <c r="ES39" s="22">
        <f>IF(EO39&lt;3,0,IFERROR(_xlfn.AGGREGATE(15,6,nTP_RowN/((nTP_Case_Key=AX39)*(nTP_Record_Type="MILESTONE:INTERVENTION")*(nTP_Err="")*(nTP_HT*DD39*BN39*(nTP_OK*DE39*(nTP_UTC_n&gt;=N(DG39))+(1-nTP_OK*DE39)*(nTP_Loc_n&gt;=N(DF39)))*(nTP_OK*BO39*(nTP_UTC_n&lt;=N(BQ39))+(1-nTP_OK*BO39)*(nTP_Loc_n&lt;=N(BP39)))+(1-nTP_HT*DD39*BN39)*(nTP_Hi_n&gt;=N(DH39))*(nTP_Lo_n&lt;=N(BS39)))),3),0))</f>
        <v>0</v>
      </c>
      <c r="ET39" s="22">
        <f>IF(EP39&lt;1,0,IFERROR(_xlfn.AGGREGATE(15,6,nTP_RowN/((nTP_Case_Key=AX39)*(nTP_Role="treatment of the event")*((nTP_Record_Type="EXPOSURE_START")+(nTP_Record_Type="ADMINISTRATION"))*(nTP_Err="")*(nTP_HT*DD39*BN39*(nTP_OK*DE39*(nTP_UTC_n&gt;=N(DG39))+(1-nTP_OK*DE39)*(nTP_Loc_n&gt;=N(DF39)))*(nTP_OK*BO39*(nTP_UTC_n&lt;=N(BQ39))+(1-nTP_OK*BO39)*(nTP_Loc_n&lt;=N(BP39)))+(1-nTP_HT*DD39*BN39)*(nTP_Hi_n&gt;=N(DH39))*(nTP_Lo_n&lt;=N(BS39)))),1),0))</f>
        <v>0</v>
      </c>
      <c r="EU39" s="22">
        <f>IF(EP39&lt;2,0,IFERROR(_xlfn.AGGREGATE(15,6,nTP_RowN/((nTP_Case_Key=AX39)*(nTP_Role="treatment of the event")*((nTP_Record_Type="EXPOSURE_START")+(nTP_Record_Type="ADMINISTRATION"))*(nTP_Err="")*(nTP_HT*DD39*BN39*(nTP_OK*DE39*(nTP_UTC_n&gt;=N(DG39))+(1-nTP_OK*DE39)*(nTP_Loc_n&gt;=N(DF39)))*(nTP_OK*BO39*(nTP_UTC_n&lt;=N(BQ39))+(1-nTP_OK*BO39)*(nTP_Loc_n&lt;=N(BP39)))+(1-nTP_HT*DD39*BN39)*(nTP_Hi_n&gt;=N(DH39))*(nTP_Lo_n&lt;=N(BS39)))),2),0))</f>
        <v>0</v>
      </c>
      <c r="EV39" s="22">
        <f>IF(EP39&lt;3,0,IFERROR(_xlfn.AGGREGATE(15,6,nTP_RowN/((nTP_Case_Key=AX39)*(nTP_Role="treatment of the event")*((nTP_Record_Type="EXPOSURE_START")+(nTP_Record_Type="ADMINISTRATION"))*(nTP_Err="")*(nTP_HT*DD39*BN39*(nTP_OK*DE39*(nTP_UTC_n&gt;=N(DG39))+(1-nTP_OK*DE39)*(nTP_Loc_n&gt;=N(DF39)))*(nTP_OK*BO39*(nTP_UTC_n&lt;=N(BQ39))+(1-nTP_OK*BO39)*(nTP_Loc_n&lt;=N(BP39)))+(1-nTP_HT*DD39*BN39)*(nTP_Hi_n&gt;=N(DH39))*(nTP_Lo_n&lt;=N(BS39)))),3),0))</f>
        <v>0</v>
      </c>
      <c r="EW39" s="22">
        <f>IF(CE39&lt;1,0,IFERROR(_xlfn.AGGREGATE(15,6,nTP_RowN/((nTP_CandKey=BX39)*(nTP_Err="")*(1-nTP_Exact)*((nTP_HT*BN39*((nTP_OK*BO39*(nTP_UTC_n-N(BQ39))+(1-nTP_OK*BO39)*(nTP_Loc_n-N(BP39)))&lt;=0)+(1-nTP_HT*BN39)*(nTP_Hi_n&lt;N(BR39)))+((1-nTP_HT*BN39)*(nTP_Lo_n=nTP_Hi_n)*(nTP_Lo_n=N(BR39))*(N(BR39)=N(BS39))))),1),0))</f>
        <v>0</v>
      </c>
      <c r="EX39" s="22">
        <f>IF(CE39&lt;2,0,IFERROR(_xlfn.AGGREGATE(15,6,nTP_RowN/((nTP_CandKey=BX39)*(nTP_Err="")*(1-nTP_Exact)*((nTP_HT*BN39*((nTP_OK*BO39*(nTP_UTC_n-N(BQ39))+(1-nTP_OK*BO39)*(nTP_Loc_n-N(BP39)))&lt;=0)+(1-nTP_HT*BN39)*(nTP_Hi_n&lt;N(BR39)))+((1-nTP_HT*BN39)*(nTP_Lo_n=nTP_Hi_n)*(nTP_Lo_n=N(BR39))*(N(BR39)=N(BS39))))),2),0))</f>
        <v>0</v>
      </c>
      <c r="EY39" s="22">
        <f>IF(CE39&lt;3,0,IFERROR(_xlfn.AGGREGATE(15,6,nTP_RowN/((nTP_CandKey=BX39)*(nTP_Err="")*(1-nTP_Exact)*((nTP_HT*BN39*((nTP_OK*BO39*(nTP_UTC_n-N(BQ39))+(1-nTP_OK*BO39)*(nTP_Loc_n-N(BP39)))&lt;=0)+(1-nTP_HT*BN39)*(nTP_Hi_n&lt;N(BR39)))+((1-nTP_HT*BN39)*(nTP_Lo_n=nTP_Hi_n)*(nTP_Lo_n=N(BR39))*(N(BR39)=N(BS39))))),3),0))</f>
        <v>0</v>
      </c>
      <c r="EZ39" s="21" t="str">
        <f>IF(EO39=0,"",MID(IF(EQ39&gt;0,"; "&amp;INDEX(nTP_Record_ID,EQ39)&amp;IF(INDEX(nTP_Label,EQ39)="",""," ("&amp;INDEX(nTP_Label,EQ39)&amp;")"),"")&amp;IF(ER39&gt;0,"; "&amp;INDEX(nTP_Record_ID,ER39)&amp;IF(INDEX(nTP_Label,ER39)="",""," ("&amp;INDEX(nTP_Label,ER39)&amp;")"),"")&amp;IF(ES39&gt;0,"; "&amp;INDEX(nTP_Record_ID,ES39)&amp;IF(INDEX(nTP_Label,ES39)="",""," ("&amp;INDEX(nTP_Label,ES39)&amp;")"),"")&amp;IF(EO39&gt;3,"; and "&amp;(EO39-3)&amp;" more",""),3,999))</f>
        <v/>
      </c>
      <c r="FA39" s="21" t="str">
        <f>IF(EO39=0,"",MID(IF(EQ39&gt;0,"; "&amp;INDEX(nTP_Record_ID,EQ39),"")&amp;IF(ER39&gt;0,"; "&amp;INDEX(nTP_Record_ID,ER39),"")&amp;IF(ES39&gt;0,"; "&amp;INDEX(nTP_Record_ID,ES39),"")&amp;IF(EO39&gt;3,"; and "&amp;(EO39-3)&amp;" more",""),3,999))</f>
        <v/>
      </c>
      <c r="FB39" s="21" t="str">
        <f>IF(EP39=0,"",MID(IF(ET39&gt;0,"; "&amp;INDEX(nTP_Record_ID,ET39)&amp;IF(INDEX(nTP_Label,ET39)="",""," ("&amp;INDEX(nTP_Label,ET39)&amp;")"),"")&amp;IF(EU39&gt;0,"; "&amp;INDEX(nTP_Record_ID,EU39)&amp;IF(INDEX(nTP_Label,EU39)="",""," ("&amp;INDEX(nTP_Label,EU39)&amp;")"),"")&amp;IF(EV39&gt;0,"; "&amp;INDEX(nTP_Record_ID,EV39)&amp;IF(INDEX(nTP_Label,EV39)="",""," ("&amp;INDEX(nTP_Label,EV39)&amp;")"),"")&amp;IF(EP39&gt;3,"; and "&amp;(EP39-3)&amp;" more",""),3,999))</f>
        <v/>
      </c>
      <c r="FC39" s="21" t="str">
        <f>IF(CE39=0,"",MID(IF(EW39&gt;0,"; "&amp;INDEX(nTP_Record_ID,EW39),"")&amp;IF(EX39&gt;0,"; "&amp;INDEX(nTP_Record_ID,EX39),"")&amp;IF(EY39&gt;0,"; "&amp;INDEX(nTP_Record_ID,EY39),"")&amp;IF(CE39&gt;3,"; and "&amp;(CE39-3)&amp;" more",""),3,999))</f>
        <v/>
      </c>
      <c r="FD39" s="22">
        <f t="shared" si="55"/>
        <v>0</v>
      </c>
      <c r="FE39" s="22">
        <f t="shared" si="56"/>
        <v>0</v>
      </c>
      <c r="FF39" s="22">
        <f t="shared" si="57"/>
        <v>0</v>
      </c>
      <c r="FG39" s="22">
        <f t="shared" si="58"/>
        <v>0</v>
      </c>
      <c r="FH39" s="22">
        <f t="shared" si="59"/>
        <v>0</v>
      </c>
      <c r="FI39" s="22">
        <f t="shared" si="60"/>
        <v>0</v>
      </c>
      <c r="FJ39" s="22">
        <f t="shared" si="61"/>
        <v>0</v>
      </c>
      <c r="FK39" s="22">
        <f t="shared" si="62"/>
        <v>0</v>
      </c>
    </row>
    <row r="40" spans="1:167" x14ac:dyDescent="0.2">
      <c r="A40" s="10"/>
      <c r="B40" s="10"/>
      <c r="C40" s="12"/>
      <c r="D40" s="10"/>
      <c r="E40" s="17"/>
      <c r="F40" s="10"/>
      <c r="G40" s="10"/>
      <c r="H40" s="10"/>
      <c r="I40" s="17"/>
      <c r="J40" s="17"/>
      <c r="K40" s="10"/>
      <c r="L40" s="17"/>
      <c r="M40" s="17"/>
      <c r="N40" s="17"/>
      <c r="O40" s="10"/>
      <c r="P40" s="15"/>
      <c r="Q40" s="15"/>
      <c r="R40" s="10"/>
      <c r="S40" s="10"/>
      <c r="T40" s="21" t="str">
        <f t="shared" si="0"/>
        <v/>
      </c>
      <c r="U40" s="21" t="str">
        <f t="shared" si="1"/>
        <v/>
      </c>
      <c r="V40" s="21" t="str">
        <f t="shared" si="2"/>
        <v/>
      </c>
      <c r="W40" s="21" t="str">
        <f t="shared" si="3"/>
        <v/>
      </c>
      <c r="X40" s="21" t="str">
        <f t="shared" si="4"/>
        <v/>
      </c>
      <c r="Y40" s="21" t="str">
        <f t="shared" si="5"/>
        <v/>
      </c>
      <c r="Z40" s="21" t="str">
        <f t="shared" si="6"/>
        <v/>
      </c>
      <c r="AA40" s="21" t="str">
        <f t="shared" si="7"/>
        <v/>
      </c>
      <c r="AB40" s="21" t="str">
        <f t="shared" si="8"/>
        <v/>
      </c>
      <c r="AC40" s="21" t="str">
        <f t="shared" si="9"/>
        <v/>
      </c>
      <c r="AD40" s="21" t="str">
        <f>IF(AW40=1,"",MID(IF(ISNUMBER(SEARCH("E_INVALID_DATE",EG40))," | E_INVALID_DATE: "&amp;SUBSTITUTE(IFERROR(INDEX(nMSG_Text,MATCH("E_INVALID_DATE",nMSG_Code,0)),""),"[input]",""),"")&amp;IF(ISNUMBER(SEARCH("E_REVERSED_BOUNDS",EG40))," | E_REVERSED_BOUNDS: "&amp;SUBSTITUTE(IFERROR(INDEX(nMSG_Text,MATCH("E_REVERSED_BOUNDS",nMSG_Code,0)),""),"[input]",""),"")&amp;IF(ISNUMBER(SEARCH("E_DUPLICATE_ID",EG40))," | E_DUPLICATE_ID: "&amp;SUBSTITUTE(IFERROR(INDEX(nMSG_Text,MATCH("E_DUPLICATE_ID",nMSG_Code,0)),""),"[input]",""),"")&amp;IF(ISNUMBER(SEARCH("E_MISSING_LINK",EG40))," | E_MISSING_LINK: "&amp;SUBSTITUTE(IFERROR(INDEX(nMSG_Text,MATCH("E_MISSING_LINK",nMSG_Code,0)),""),"[input]",""),"")&amp;IF(ISNUMBER(SEARCH("E_MISSING_INPUT",EG40))," | E_MISSING_INPUT: "&amp;SUBSTITUTE(IFERROR(INDEX(nMSG_Text,MATCH("E_MISSING_INPUT",nMSG_Code,0)),""),"[input]",IF(EH40="","an input",EH40)),"")&amp;IF(ISNUMBER(SEARCH("E_INVALID_UNIT",EG40))," | E_INVALID_UNIT: "&amp;SUBSTITUTE(IFERROR(INDEX(nMSG_Text,MATCH("E_INVALID_UNIT",nMSG_Code,0)),""),"[input]",""),"")&amp;IF(FD40=1," | W_TZ_UNKNOWN: "&amp;SUBSTITUTE(IFERROR(INDEX(nMSG_Text,MATCH("W_TZ_UNKNOWN",nMSG_Code,0)),""),"[input]",""),"")&amp;IF(FE40=1," | W_SAME_DATE_ORDER_UNKNOWN: "&amp;SUBSTITUTE(IFERROR(INDEX(nMSG_Text,MATCH("W_SAME_DATE_ORDER_UNKNOWN",nMSG_Code,0)),""),"[input]",""),"")&amp;IF(FF40=1," | W_SEQUENCE_UNCERTAIN: "&amp;SUBSTITUTE(IFERROR(INDEX(nMSG_Text,MATCH("W_SEQUENCE_UNCERTAIN",nMSG_Code,0)),""),"[input]",""),"")&amp;IF(FG40=1," | W_ADMIN_SAME_DATE_AS_ONSET: "&amp;SUBSTITUTE(IFERROR(INDEX(nMSG_Text,MATCH("W_ADMIN_SAME_DATE_AS_ONSET",nMSG_Code,0)),""),"[input]",""),"")&amp;IF(FH40=1," | W_REPORTED_TIMING_CONFLICT: "&amp;SUBSTITUTE(IFERROR(INDEX(nMSG_Text,MATCH("W_REPORTED_TIMING_CONFLICT",nMSG_Code,0)),""),"[input]",""),"")&amp;IF(FI40=1," | W_INTERVENTION_BEFORE_RECOVERY: "&amp;SUBSTITUTE(IFERROR(INDEX(nMSG_Text,MATCH("W_INTERVENTION_BEFORE_RECOVERY",nMSG_Code,0)),""),"[input]",""),"")&amp;IF(FJ40=1," | I_TREATMENT_DAY_UNDEFINED: "&amp;SUBSTITUTE(IFERROR(INDEX(nMSG_Text,MATCH("I_TREATMENT_DAY_UNDEFINED",nMSG_Code,0)),""),"[input]",""),"")&amp;IF(FK40=1," | I_APPROXIMATE_NOT_COMPARED: "&amp;SUBSTITUTE(IFERROR(INDEX(nMSG_Text,MATCH("I_APPROXIMATE_NOT_COMPARED",nMSG_Code,0)),""),"[input]",""),""),4,9999))</f>
        <v/>
      </c>
      <c r="AE40" s="21" t="str">
        <f t="shared" si="10"/>
        <v/>
      </c>
      <c r="AF40" s="21" t="str">
        <f t="shared" si="11"/>
        <v/>
      </c>
      <c r="AG40" s="21" t="str">
        <f>IF(EN40="","",MID(IF(ISNUMBER(SEARCH("E_REVERSED_BOUNDS",EN40))," | E_REVERSED_BOUNDS: "&amp;SUBSTITUTE(IFERROR(INDEX(nMSG_Text,MATCH("E_REVERSED_BOUNDS",nMSG_Code,0)),""),"[input]",""),"")&amp;IF(ISNUMBER(SEARCH("E_MISSING_INPUT",EN40))," | E_MISSING_INPUT: "&amp;SUBSTITUTE(IFERROR(INDEX(nMSG_Text,MATCH("E_MISSING_INPUT",nMSG_Code,0)),""),"[input]",IF("the source of the constraint"="","an input","the source of the constraint")),""),4,999))</f>
        <v/>
      </c>
      <c r="AH40" s="21" t="str">
        <f t="shared" si="12"/>
        <v/>
      </c>
      <c r="AI40" s="21" t="str">
        <f t="shared" si="13"/>
        <v/>
      </c>
      <c r="AJ40" s="21" t="str">
        <f t="shared" si="14"/>
        <v/>
      </c>
      <c r="AK40" s="21" t="str">
        <f t="shared" si="15"/>
        <v/>
      </c>
      <c r="AL40" s="21" t="str">
        <f>IF(CY40=0,"",INDEX(nTP_ISO,CY40))</f>
        <v/>
      </c>
      <c r="AM40" s="21" t="str">
        <f>IF(CY40=0,"",INDEX(nTP_Display,CY40))</f>
        <v/>
      </c>
      <c r="AN40" s="21" t="str">
        <f>IF(BI40=0,"",INDEX(nTP_ISO,BI40))</f>
        <v/>
      </c>
      <c r="AO40" s="21" t="str">
        <f>IF(BI40=0,"",INDEX(nTP_Display,BI40))</f>
        <v/>
      </c>
      <c r="AP40" s="21" t="str">
        <f>IF(BA40=0,"",INDEX(nLNK_Exposure_Episode_ID,BA40)&amp;"")</f>
        <v/>
      </c>
      <c r="AQ40" s="21" t="str">
        <f>IF(BA40=0,"",INDEX(nLNK_Event_Episode_ID,BA40)&amp;"")</f>
        <v/>
      </c>
      <c r="AR40" s="21" t="str">
        <f t="shared" si="16"/>
        <v/>
      </c>
      <c r="AS40" s="21" t="str">
        <f>IF(EI40=0,"",MID(IF(DT40=1," | Recovery interval (C7) computed with "&amp;DS40&amp;".","")&amp;IF(BG40=1," | Anchor selected under C5 (CALC-SPEC 1.1): latest administration with an exact date or time at or before "&amp;IF(BH40=1,"onset","the end point")&amp;" ("&amp;AJ40&amp;"), ordered in UTC when offsets are known; later administrations are never selected.","")&amp;IF(AND(BG40=1,CE40&gt;0)," | Partial-date administrations wholly before the selected one were not candidates: "&amp;FC40&amp;".","")&amp;IF(BV40&lt;&gt;""," | "&amp;BV40,"")&amp;IF(AND(DS40="C2",EA40=0,DZ40&lt;&gt;"")," | Same calendar date; both times are known, so C1 decides the order ("&amp;AA40&amp;").","")&amp;IF(AND(DS40="C2",DD40*BN40=1,DT40=0)," | Calendar-date difference from the recorded local dates; it is never described as elapsed days.","")&amp;IF(AND(DS40="C4",DT40=0)," | Bounds are treated as independent; no single date is imputed from them.","")&amp;IF(EJ40=1," | Treatment day under the inclusive convention (C3); never written to E2B fields automatically.","")&amp;IF(AND(DS40="C4",DT40=0,EK40=0)," | No constraint applied.","")&amp;IF(AND(DS40="C4",EK40=1)," | Constraint applied to the anchor bounds: "&amp;IF(ISNUMBER(P40),"not before "&amp;DAY(P40)&amp;" "&amp;INDEX(nLIST_Months,MONTH(P40))&amp;" "&amp;YEAR(P40),"")&amp;IF(AND(ISNUMBER(P40),ISNUMBER(Q40)),", ","")&amp;IF(ISNUMBER(Q40),"not after "&amp;DAY(Q40)&amp;" "&amp;INDEX(nLIST_Months,MONTH(Q40))&amp;" "&amp;YEAR(Q40),"")&amp;". Source: "&amp;IF(R40="","not recorded",R40)&amp;IF(EN40="",". Constrained result shown beside the unconstrained one.",". Constrained result blocked ("&amp;EN40&amp;")."),"")&amp;IF(DT40=1,IF(EO40&gt;0," | Intervention recorded between cessation and recovery (ends included): "&amp;EZ40&amp;"."," | No intervention is recorded between cessation and recovery; absence of a record is not evidence that none was given."),"")&amp;IF(AND(DT40=1,DV40&gt;0)," | Intervention recorded without a date, so whether it came before recovery is unknown: "&amp;INDEX(nMS_Milestone_ID,MATCH(1,INDEX((nMS_CaseKey=AX40)*(nMS_Type="INTERVENTION")*nMS_Undated,0),0))&amp;IF(DV40&gt;1," and "&amp;(DV40-1)&amp;" more","")&amp;".","")&amp;IF(AND(DT40=1,EP40&gt;0)," | Not counted as interventions, because they are recorded as exposures rather than as intervention milestones (nothing is inferred): "&amp;FB40&amp;". If treatment was given, record it as an intervention milestone.",""),4,9999))</f>
        <v/>
      </c>
      <c r="AT40" s="21" t="str">
        <f t="shared" si="17"/>
        <v/>
      </c>
      <c r="AU40" s="21" t="str">
        <f t="shared" si="18"/>
        <v/>
      </c>
      <c r="AV40" s="21" t="str">
        <f t="shared" si="19"/>
        <v/>
      </c>
      <c r="AW40" s="22">
        <f t="shared" si="20"/>
        <v>1</v>
      </c>
      <c r="AX40" s="21" t="str">
        <f t="shared" si="21"/>
        <v>|</v>
      </c>
      <c r="AY40" s="21" t="str">
        <f t="shared" si="22"/>
        <v/>
      </c>
      <c r="AZ40" s="22">
        <f>IF(AY40="",0,COUNTIF(nINT_Key,AY40))</f>
        <v>0</v>
      </c>
      <c r="BA40" s="22">
        <f>IF(D40="",0,IFERROR(MATCH(AX40&amp;"|"&amp;D40,nLNK_Key,0),0))</f>
        <v>0</v>
      </c>
      <c r="BB40" s="22">
        <f>IF(BA40=0,1,INDEX(nLNK_Exp_Found,BA40))</f>
        <v>1</v>
      </c>
      <c r="BC40" s="22">
        <f>IF(BA40=0,1,INDEX(nLNK_Evt_Found,BA40))</f>
        <v>1</v>
      </c>
      <c r="BD40" s="22">
        <f>IF(AP40="",0,COUNTIF(nEXP_Key,AX40&amp;"|"&amp;AP40))</f>
        <v>0</v>
      </c>
      <c r="BE40" s="22">
        <f>IF(AQ40="",0,COUNTIF(nEVT_Key,AX40&amp;"|"&amp;AQ40))</f>
        <v>0</v>
      </c>
      <c r="BF40" s="22">
        <f>IF(ISNA(MATCH(E40,nLIST_AnchorType,0)),0,1)</f>
        <v>0</v>
      </c>
      <c r="BG40" s="22">
        <f t="shared" si="23"/>
        <v>0</v>
      </c>
      <c r="BH40" s="22">
        <f t="shared" si="24"/>
        <v>0</v>
      </c>
      <c r="BI40" s="22">
        <f>IF(OR(AW40=1,AK40=""),0,IFERROR(MATCH(AX40&amp;"|"&amp;AK40,nTP_Key,0),0))</f>
        <v>0</v>
      </c>
      <c r="BJ40" s="21">
        <f>IF(BI40=0,0,INDEX(nTP_Dup,BI40))</f>
        <v>0</v>
      </c>
      <c r="BK40" s="21" t="str">
        <f>IF(BI40=0,"",INDEX(nTP_Record_Type,BI40))</f>
        <v/>
      </c>
      <c r="BL40" s="21" t="str">
        <f>IF(BI40=0,"",INDEX(nTP_Precision,BI40))</f>
        <v/>
      </c>
      <c r="BM40" s="21" t="str">
        <f>IF(BI40=0,"",INDEX(nTP_Err,BI40))</f>
        <v/>
      </c>
      <c r="BN40" s="21">
        <f>IF(BI40=0,0,INDEX(nTP_HT,BI40))</f>
        <v>0</v>
      </c>
      <c r="BO40" s="21">
        <f>IF(BI40=0,0,INDEX(nTP_OK,BI40))</f>
        <v>0</v>
      </c>
      <c r="BP40" s="21" t="str">
        <f>IF(BI40=0,"",INDEX(nTP_Loc,BI40))</f>
        <v/>
      </c>
      <c r="BQ40" s="21" t="str">
        <f>IF(BI40=0,"",INDEX(nTP_UTC,BI40))</f>
        <v/>
      </c>
      <c r="BR40" s="21" t="str">
        <f>IF(BI40=0,"",INDEX(nTP_Lo,BI40))</f>
        <v/>
      </c>
      <c r="BS40" s="21" t="str">
        <f>IF(BI40=0,"",INDEX(nTP_Hi,BI40))</f>
        <v/>
      </c>
      <c r="BT40" s="21" t="str">
        <f>IF(BI40=0,"",INDEX(nTP_Original_Text,BI40))</f>
        <v/>
      </c>
      <c r="BU40" s="21" t="str">
        <f>IF(BI40=0,"",INDEX(nTP_Source,BI40))</f>
        <v/>
      </c>
      <c r="BV40" s="21" t="str">
        <f>IF(BI40=0,"",INDEX(nTP_Lab_Note,BI40))</f>
        <v/>
      </c>
      <c r="BW40" s="22">
        <f t="shared" si="25"/>
        <v>0</v>
      </c>
      <c r="BX40" s="21" t="str">
        <f t="shared" si="26"/>
        <v>||</v>
      </c>
      <c r="BY40" s="22">
        <f>IF(BG40=0,0,COUNTIF(nTP_CandKey,BX40))</f>
        <v>0</v>
      </c>
      <c r="BZ40" s="22">
        <f>IF(BG40=0,0,COUNTIFS(nTP_CandKey,BX40,nTP_Err,""))</f>
        <v>0</v>
      </c>
      <c r="CA40" s="21" t="str">
        <f>IF(BY40=BZ40,"",IF(COUNTIFS(nTP_CandKey,BX40,nTP_Err,"E_INVALID_DATE")&gt;0,"; E_INVALID_DATE","")&amp;IF(COUNTIFS(nTP_CandKey,BX40,nTP_Err,"E_REVERSED_BOUNDS")&gt;0,"; E_REVERSED_BOUNDS","")&amp;IF(COUNTIFS(nTP_CandKey,BX40,nTP_Err,"E_MISSING_INPUT")&gt;0,"; E_MISSING_INPUT","")&amp;IF(COUNTIFS(nTP_CandKey,BX40,nTP_Err,"E_INVALID_UNIT")&gt;0,"; E_INVALID_UNIT",""))</f>
        <v/>
      </c>
      <c r="CB40" s="22">
        <f t="shared" si="27"/>
        <v>0</v>
      </c>
      <c r="CC40" s="22">
        <f>IF(CB40=0,0,SUMPRODUCT((nTP_CandKey=BX40)*(nTP_Err="")*(1-(nTP_HT*BN40*((nTP_OK*BO40*(nTP_UTC_n-N(BQ40))+(1-nTP_OK*BO40)*(nTP_Loc_n-N(BP40)))&lt;=0)+(1-nTP_HT*BN40)*(nTP_Hi_n&lt;N(BR40)))-(nTP_HT*BN40*((nTP_OK*BO40*(nTP_UTC_n-N(BQ40))+(1-nTP_OK*BO40)*(nTP_Loc_n-N(BP40)))&gt;0)+(1-nTP_HT*BN40)*(nTP_Lo_n&gt;N(BS40)))-((1-nTP_HT*BN40)*(nTP_Lo_n=nTP_Hi_n)*(nTP_Lo_n=N(BR40))*(N(BR40)=N(BS40))))))</f>
        <v>0</v>
      </c>
      <c r="CD40" s="22">
        <f>IF(CB40=0,0,SUMPRODUCT((nTP_CandKey=BX40)*nTP_Exact*((nTP_HT*BN40*((nTP_OK*BO40*(nTP_UTC_n-N(BQ40))+(1-nTP_OK*BO40)*(nTP_Loc_n-N(BP40)))&lt;=0)+(1-nTP_HT*BN40)*(nTP_Hi_n&lt;N(BR40)))+((1-nTP_HT*BN40)*(nTP_Lo_n=nTP_Hi_n)*(nTP_Lo_n=N(BR40))*(N(BR40)=N(BS40))))))</f>
        <v>0</v>
      </c>
      <c r="CE40" s="22">
        <f>IF(CB40=0,0,SUMPRODUCT((nTP_CandKey=BX40)*(nTP_Err="")*(1-nTP_Exact)*((nTP_HT*BN40*((nTP_OK*BO40*(nTP_UTC_n-N(BQ40))+(1-nTP_OK*BO40)*(nTP_Loc_n-N(BP40)))&lt;=0)+(1-nTP_HT*BN40)*(nTP_Hi_n&lt;N(BR40)))+((1-nTP_HT*BN40)*(nTP_Lo_n=nTP_Hi_n)*(nTP_Lo_n=N(BR40))*(N(BR40)=N(BS40))))))</f>
        <v>0</v>
      </c>
      <c r="CF40" s="22">
        <f>IF(CD40=0,0,SUMPRODUCT(MAX((nTP_CandKey=BX40)*nTP_Exact*((nTP_HT*BN40*((nTP_OK*BO40*(nTP_UTC_n-N(BQ40))+(1-nTP_OK*BO40)*(nTP_Loc_n-N(BP40)))&lt;=0)+(1-nTP_HT*BN40)*(nTP_Hi_n&lt;N(BR40)))+((1-nTP_HT*BN40)*(nTP_Lo_n=nTP_Hi_n)*(nTP_Lo_n=N(BR40))*(N(BR40)=N(BS40))))*nTP_Lo_n)))</f>
        <v>0</v>
      </c>
      <c r="CG40" s="22">
        <f>IF(CD40=0,0,SUMPRODUCT((nTP_CandKey=BX40)*nTP_Exact*((nTP_HT*BN40*((nTP_OK*BO40*(nTP_UTC_n-N(BQ40))+(1-nTP_OK*BO40)*(nTP_Loc_n-N(BP40)))&lt;=0)+(1-nTP_HT*BN40)*(nTP_Hi_n&lt;N(BR40)))+((1-nTP_HT*BN40)*(nTP_Lo_n=nTP_Hi_n)*(nTP_Lo_n=N(BR40))*(N(BR40)=N(BS40))))*(nTP_Lo_n=CF40)))</f>
        <v>0</v>
      </c>
      <c r="CH40" s="22">
        <f>IF(CD40=0,0,SUMPRODUCT((nTP_CandKey=BX40)*nTP_Exact*((nTP_HT*BN40*((nTP_OK*BO40*(nTP_UTC_n-N(BQ40))+(1-nTP_OK*BO40)*(nTP_Loc_n-N(BP40)))&lt;=0)+(1-nTP_HT*BN40)*(nTP_Hi_n&lt;N(BR40)))+((1-nTP_HT*BN40)*(nTP_Lo_n=nTP_Hi_n)*(nTP_Lo_n=N(BR40))*(N(BR40)=N(BS40))))*(1-nTP_HT)*(nTP_Lo_n=CF40)))</f>
        <v>0</v>
      </c>
      <c r="CI40" s="22">
        <f>IF(CD40=0,0,SUMPRODUCT(MAX((nTP_CandKey=BX40)*nTP_Exact*((nTP_HT*BN40*((nTP_OK*BO40*(nTP_UTC_n-N(BQ40))+(1-nTP_OK*BO40)*(nTP_Loc_n-N(BP40)))&lt;=0)+(1-nTP_HT*BN40)*(nTP_Hi_n&lt;N(BR40)))+((1-nTP_HT*BN40)*(nTP_Lo_n=nTP_Hi_n)*(nTP_Lo_n=N(BR40))*(N(BR40)=N(BS40))))*(1-nTP_HT)*nTP_Lo_n)))</f>
        <v>0</v>
      </c>
      <c r="CJ40" s="22">
        <f>IF(CD40=0,0,SUMPRODUCT(MAX((nTP_CandKey=BX40)*nTP_Exact*((nTP_HT*BN40*((nTP_OK*BO40*(nTP_UTC_n-N(BQ40))+(1-nTP_OK*BO40)*(nTP_Loc_n-N(BP40)))&lt;=0)+(1-nTP_HT*BN40)*(nTP_Hi_n&lt;N(BR40)))+((1-nTP_HT*BN40)*(nTP_Lo_n=nTP_Hi_n)*(nTP_Lo_n=N(BR40))*(N(BR40)=N(BS40))))*nTP_HT*nTP_OK*nTP_UTC_n)))</f>
        <v>0</v>
      </c>
      <c r="CK40" s="22">
        <f>IF(CJ40=0,0,SUMPRODUCT((nTP_CandKey=BX40)*nTP_Exact*((nTP_HT*BN40*((nTP_OK*BO40*(nTP_UTC_n-N(BQ40))+(1-nTP_OK*BO40)*(nTP_Loc_n-N(BP40)))&lt;=0)+(1-nTP_HT*BN40)*(nTP_Hi_n&lt;N(BR40)))+((1-nTP_HT*BN40)*(nTP_Lo_n=nTP_Hi_n)*(nTP_Lo_n=N(BR40))*(N(BR40)=N(BS40))))*nTP_HT*nTP_OK*(nTP_UTC_n=CJ40)))</f>
        <v>0</v>
      </c>
      <c r="CL40" s="22">
        <f>IF(CK40&lt;&gt;1,0,SUMPRODUCT((nTP_CandKey=BX40)*nTP_Exact*((nTP_HT*BN40*((nTP_OK*BO40*(nTP_UTC_n-N(BQ40))+(1-nTP_OK*BO40)*(nTP_Loc_n-N(BP40)))&lt;=0)+(1-nTP_HT*BN40)*(nTP_Hi_n&lt;N(BR40)))+((1-nTP_HT*BN40)*(nTP_Lo_n=nTP_Hi_n)*(nTP_Lo_n=N(BR40))*(N(BR40)=N(BS40))))*nTP_HT*nTP_OK*(nTP_UTC_n=CJ40)*nTP_Loc_n))</f>
        <v>0</v>
      </c>
      <c r="CM40" s="22">
        <f>IF(CK40&lt;&gt;1,0,SUMPRODUCT((nTP_CandKey=BX40)*nTP_Exact*((nTP_HT*BN40*((nTP_OK*BO40*(nTP_UTC_n-N(BQ40))+(1-nTP_OK*BO40)*(nTP_Loc_n-N(BP40)))&lt;=0)+(1-nTP_HT*BN40)*(nTP_Hi_n&lt;N(BR40)))+((1-nTP_HT*BN40)*(nTP_Lo_n=nTP_Hi_n)*(nTP_Lo_n=N(BR40))*(N(BR40)=N(BS40))))*nTP_HT*nTP_OK*(nTP_UTC_n=CJ40)*nTP_Lo_n))</f>
        <v>0</v>
      </c>
      <c r="CN40" s="22">
        <f>IF(CD40=0,0,SUMPRODUCT(MAX((nTP_CandKey=BX40)*nTP_Exact*((nTP_HT*BN40*((nTP_OK*BO40*(nTP_UTC_n-N(BQ40))+(1-nTP_OK*BO40)*(nTP_Loc_n-N(BP40)))&lt;=0)+(1-nTP_HT*BN40)*(nTP_Hi_n&lt;N(BR40)))+((1-nTP_HT*BN40)*(nTP_Lo_n=nTP_Hi_n)*(nTP_Lo_n=N(BR40))*(N(BR40)=N(BS40))))*nTP_HT*(1-nTP_OK)*nTP_Loc_n)))</f>
        <v>0</v>
      </c>
      <c r="CO40" s="22">
        <f>IF(CN40=0,0,SUMPRODUCT((nTP_CandKey=BX40)*nTP_Exact*((nTP_HT*BN40*((nTP_OK*BO40*(nTP_UTC_n-N(BQ40))+(1-nTP_OK*BO40)*(nTP_Loc_n-N(BP40)))&lt;=0)+(1-nTP_HT*BN40)*(nTP_Hi_n&lt;N(BR40)))+((1-nTP_HT*BN40)*(nTP_Lo_n=nTP_Hi_n)*(nTP_Lo_n=N(BR40))*(N(BR40)=N(BS40))))*nTP_HT*(1-nTP_OK)*(nTP_Loc_n=CN40)))</f>
        <v>0</v>
      </c>
      <c r="CP40" s="22">
        <f>IF(CO40&lt;&gt;1,0,SUMPRODUCT((nTP_CandKey=BX40)*nTP_Exact*((nTP_HT*BN40*((nTP_OK*BO40*(nTP_UTC_n-N(BQ40))+(1-nTP_OK*BO40)*(nTP_Loc_n-N(BP40)))&lt;=0)+(1-nTP_HT*BN40)*(nTP_Hi_n&lt;N(BR40)))+((1-nTP_HT*BN40)*(nTP_Lo_n=nTP_Hi_n)*(nTP_Lo_n=N(BR40))*(N(BR40)=N(BS40))))*nTP_HT*(1-nTP_OK)*(nTP_Loc_n=CN40)*nTP_Lo_n))</f>
        <v>0</v>
      </c>
      <c r="CQ40" s="22">
        <f>IF(CD40=0,0,SUMPRODUCT(MAX((nTP_CandKey=BX40)*nTP_Exact*((nTP_HT*BN40*((nTP_OK*BO40*(nTP_UTC_n-N(BQ40))+(1-nTP_OK*BO40)*(nTP_Loc_n-N(BP40)))&lt;=0)+(1-nTP_HT*BN40)*(nTP_Hi_n&lt;N(BR40)))+((1-nTP_HT*BN40)*(nTP_Lo_n=nTP_Hi_n)*(nTP_Lo_n=N(BR40))*(N(BR40)=N(BS40))))*nTP_HT*nTP_OK*nTP_Loc_n)))</f>
        <v>0</v>
      </c>
      <c r="CR40" s="22">
        <f t="shared" si="28"/>
        <v>0</v>
      </c>
      <c r="CS40" s="22">
        <f>IF(CR40=0,0,IF(CR40=1,MATCH(1,INDEX((nTP_CandKey=BX40)*nTP_Exact*((nTP_HT*BN40*((nTP_OK*BO40*(nTP_UTC_n-N(BQ40))+(1-nTP_OK*BO40)*(nTP_Loc_n-N(BP40)))&lt;=0)+(1-nTP_HT*BN40)*(nTP_Hi_n&lt;N(BR40)))+((1-nTP_HT*BN40)*(nTP_Lo_n=nTP_Hi_n)*(nTP_Lo_n=N(BR40))*(N(BR40)=N(BS40))))*(1-nTP_HT)*(nTP_Lo_n=CF40),0),0),IF(CR40=2,MATCH(1,INDEX((nTP_CandKey=BX40)*nTP_Exact*((nTP_HT*BN40*((nTP_OK*BO40*(nTP_UTC_n-N(BQ40))+(1-nTP_OK*BO40)*(nTP_Loc_n-N(BP40)))&lt;=0)+(1-nTP_HT*BN40)*(nTP_Hi_n&lt;N(BR40)))+((1-nTP_HT*BN40)*(nTP_Lo_n=nTP_Hi_n)*(nTP_Lo_n=N(BR40))*(N(BR40)=N(BS40))))*nTP_HT*nTP_OK*(nTP_UTC_n=CJ40),0),0),MATCH(1,INDEX((nTP_CandKey=BX40)*nTP_Exact*((nTP_HT*BN40*((nTP_OK*BO40*(nTP_UTC_n-N(BQ40))+(1-nTP_OK*BO40)*(nTP_Loc_n-N(BP40)))&lt;=0)+(1-nTP_HT*BN40)*(nTP_Hi_n&lt;N(BR40)))+((1-nTP_HT*BN40)*(nTP_Lo_n=nTP_Hi_n)*(nTP_Lo_n=N(BR40))*(N(BR40)=N(BS40))))*nTP_HT*(1-nTP_OK)*(nTP_Loc_n=CN40),0),0))))</f>
        <v>0</v>
      </c>
      <c r="CT40" s="22">
        <f>IF(CS40=0,0,INDEX(nTP_Lo_n,CS40))</f>
        <v>0</v>
      </c>
      <c r="CU40" s="22">
        <f>IF(CS40=0,0,SUMPRODUCT((nTP_CandKey=BX40)*(nTP_Err="")*(1-nTP_Exact)*((nTP_HT*BN40*((nTP_OK*BO40*(nTP_UTC_n-N(BQ40))+(1-nTP_OK*BO40)*(nTP_Loc_n-N(BP40)))&lt;=0)+(1-nTP_HT*BN40)*(nTP_Hi_n&lt;N(BR40)))+((1-nTP_HT*BN40)*(nTP_Lo_n=nTP_Hi_n)*(nTP_Lo_n=N(BR40))*(N(BR40)=N(BS40))))*(nTP_Hi_n&gt;=CT40)))</f>
        <v>0</v>
      </c>
      <c r="CV40" s="21" t="str">
        <f t="shared" si="29"/>
        <v/>
      </c>
      <c r="CW40" s="21" t="str">
        <f>IF(AND(BG40=1,CB40=1,CV40="",CS40&gt;0),INDEX(nTP_Record_ID,CS40)&amp;"","")</f>
        <v/>
      </c>
      <c r="CX40" s="21" t="str">
        <f>IF(OR(CV40="",BG40=0),"",IF(CV40="none","an administration record (last dose before onset)",IF(CV40="uncertain","the anchor record: "&amp;INDEX(nTP_Record_ID,MATCH(1,INDEX((nTP_CandKey=BX40)*(nTP_Err="")*(1-(nTP_HT*BN40*((nTP_OK*BO40*(nTP_UTC_n-N(BQ40))+(1-nTP_OK*BO40)*(nTP_Loc_n-N(BP40)))&lt;=0)+(1-nTP_HT*BN40)*(nTP_Hi_n&lt;N(BR40)))-(nTP_HT*BN40*((nTP_OK*BO40*(nTP_UTC_n-N(BQ40))+(1-nTP_OK*BO40)*(nTP_Loc_n-N(BP40)))&gt;0)+(1-nTP_HT*BN40)*(nTP_Lo_n&gt;N(BS40)))-((1-nTP_HT*BN40)*(nTP_Lo_n=nTP_Hi_n)*(nTP_Lo_n=N(BR40))*(N(BR40)=N(BS40)))),0),0))&amp;IF(CC40&gt;1," and "&amp;(CC40-1)&amp;" more","")&amp;" may fall before or after the end point, so the last dose cannot be identified from the recorded dates",IF(CV40="noneligible","the anchor record: no administration with an exact date is recorded at or before the end point",IF(CV40="tie","the anchor record: the order of the latest administrations cannot be told from the recorded dates and times","the anchor record: partial-date administration "&amp;INDEX(nTP_Record_ID,MATCH(1,INDEX((nTP_CandKey=BX40)*(nTP_Err="")*(1-nTP_Exact)*((nTP_HT*BN40*((nTP_OK*BO40*(nTP_UTC_n-N(BQ40))+(1-nTP_OK*BO40)*(nTP_Loc_n-N(BP40)))&lt;=0)+(1-nTP_HT*BN40)*(nTP_Hi_n&lt;N(BR40)))+((1-nTP_HT*BN40)*(nTP_Lo_n=nTP_Hi_n)*(nTP_Lo_n=N(BR40))*(N(BR40)=N(BS40))))*(nTP_Hi_n&gt;=CT40),0),0))&amp;" could be the last dose before the end point")))))</f>
        <v/>
      </c>
      <c r="CY40" s="22">
        <f>IF(OR(AW40=1,AJ40=""),0,IFERROR(MATCH(AX40&amp;"|"&amp;AJ40,nTP_Key,0),0))</f>
        <v>0</v>
      </c>
      <c r="CZ40" s="21">
        <f>IF(CY40=0,0,INDEX(nTP_Dup,CY40))</f>
        <v>0</v>
      </c>
      <c r="DA40" s="21" t="str">
        <f>IF(CY40=0,"",INDEX(nTP_Record_Type,CY40))</f>
        <v/>
      </c>
      <c r="DB40" s="21" t="str">
        <f>IF(CY40=0,"",INDEX(nTP_Precision,CY40))</f>
        <v/>
      </c>
      <c r="DC40" s="21" t="str">
        <f>IF(CY40=0,"",INDEX(nTP_Err,CY40))</f>
        <v/>
      </c>
      <c r="DD40" s="21">
        <f>IF(CY40=0,0,INDEX(nTP_HT,CY40))</f>
        <v>0</v>
      </c>
      <c r="DE40" s="21">
        <f>IF(CY40=0,0,INDEX(nTP_OK,CY40))</f>
        <v>0</v>
      </c>
      <c r="DF40" s="21" t="str">
        <f>IF(CY40=0,"",INDEX(nTP_Loc,CY40))</f>
        <v/>
      </c>
      <c r="DG40" s="21" t="str">
        <f>IF(CY40=0,"",INDEX(nTP_UTC,CY40))</f>
        <v/>
      </c>
      <c r="DH40" s="21" t="str">
        <f>IF(CY40=0,"",INDEX(nTP_Lo,CY40))</f>
        <v/>
      </c>
      <c r="DI40" s="21" t="str">
        <f>IF(CY40=0,"",INDEX(nTP_Hi,CY40))</f>
        <v/>
      </c>
      <c r="DJ40" s="21" t="str">
        <f>IF(CY40=0,"",INDEX(nTP_Original_Text,CY40))</f>
        <v/>
      </c>
      <c r="DK40" s="21" t="str">
        <f>IF(CY40=0,"",INDEX(nTP_Source,CY40))</f>
        <v/>
      </c>
      <c r="DL40" s="22">
        <f t="shared" si="30"/>
        <v>0</v>
      </c>
      <c r="DM40" s="21" t="str">
        <f t="shared" si="31"/>
        <v/>
      </c>
      <c r="DN40" s="21" t="str">
        <f t="shared" si="32"/>
        <v/>
      </c>
      <c r="DO40" s="21" t="str">
        <f t="shared" si="33"/>
        <v/>
      </c>
      <c r="DP40" s="21" t="str">
        <f t="shared" si="34"/>
        <v/>
      </c>
      <c r="DQ40" s="21" t="str">
        <f t="shared" si="35"/>
        <v/>
      </c>
      <c r="DR40" s="22">
        <f>IF(OR(DQ40="",I40=""),0,IF(ISNA(MATCH(I40,nLIST_Mode,0)),1,IF(AND(I40="C1",DQ40&lt;&gt;"C1"),1,IF(AND(I40="C2",DQ40="C4"),1,0))))</f>
        <v>0</v>
      </c>
      <c r="DS40" s="21" t="str">
        <f t="shared" si="36"/>
        <v/>
      </c>
      <c r="DT40" s="22">
        <f t="shared" si="37"/>
        <v>0</v>
      </c>
      <c r="DU40" s="21" t="str">
        <f>IF(DT40=0,"",IF(COUNTIFS(nTP_Case_Key,AX40,nTP_Record_Type,"MILESTONE:INTERVENTION",nTP_Err,"E_INVALID_DATE")&gt;0,"; E_INVALID_DATE","")&amp;IF(COUNTIFS(nTP_Case_Key,AX40,nTP_Record_Type,"MILESTONE:INTERVENTION",nTP_Err,"E_REVERSED_BOUNDS")&gt;0,"; E_REVERSED_BOUNDS","")&amp;IF(COUNTIFS(nTP_Case_Key,AX40,nTP_Record_Type,"MILESTONE:INTERVENTION",nTP_Err,"E_MISSING_INPUT")&gt;0,"; E_MISSING_INPUT","")&amp;IF(COUNTIFS(nTP_Case_Key,AX40,nTP_Record_Type,"MILESTONE:INTERVENTION",nTP_Err,"E_INVALID_UNIT")&gt;0,"; E_INVALID_UNIT",""))</f>
        <v/>
      </c>
      <c r="DV40" s="22">
        <f>IF(DT40=0,0,SUMPRODUCT((nMS_CaseKey=AX40)*(nMS_Type="INTERVENTION")*nMS_Undated))</f>
        <v>0</v>
      </c>
      <c r="DW40" s="21" t="str">
        <f t="shared" si="38"/>
        <v/>
      </c>
      <c r="DX40" s="21" t="str">
        <f t="shared" si="39"/>
        <v/>
      </c>
      <c r="DY40" s="22">
        <f t="shared" si="40"/>
        <v>1</v>
      </c>
      <c r="DZ40" s="21" t="str">
        <f t="shared" si="41"/>
        <v/>
      </c>
      <c r="EA40" s="21" t="str">
        <f t="shared" si="42"/>
        <v/>
      </c>
      <c r="EB40" s="21" t="str">
        <f t="shared" si="43"/>
        <v/>
      </c>
      <c r="EC40" s="21" t="str">
        <f t="shared" si="44"/>
        <v/>
      </c>
      <c r="ED40" s="22">
        <f t="shared" si="45"/>
        <v>0</v>
      </c>
      <c r="EE40" s="22">
        <f t="shared" si="46"/>
        <v>0</v>
      </c>
      <c r="EF40" s="21" t="str">
        <f>IF(ED40=0,"",IF(OR(NOT(ISNUMBER(L40)),NOT(ISNUMBER(M40))),"I_APPROXIMATE_NOT_COMPARED",IF(AND(N40&lt;&gt;"",ISNA(MATCH(N40,nLIST_ReportedUnit,0))),"E_INVALID_UNIT",IF(N40="","E_MISSING_INPUT",IF(L40&gt;M40,"E_REVERSED_BOUNDS",IF(OR(N40="weeks",N40="months",N40="years"),"I_APPROXIMATE_NOT_COMPARED",IF(DX40&lt;&gt;"","",IF(EE40=0,"I_APPROXIMATE_NOT_COMPARED",IF(AND(L40*EE40&lt;=IF(DS40="C4",EC40,IF(DS40="C1",DZ40,EA40)),M40*EE40&gt;=IF(DS40="C4",EB40,IF(DS40="C1",DZ40,EA40))),"OVERLAP","W_REPORTED_TIMING_CONFLICT")))))))))</f>
        <v/>
      </c>
      <c r="EG40" s="21" t="str">
        <f t="shared" si="47"/>
        <v/>
      </c>
      <c r="EH40" s="21" t="str">
        <f t="shared" si="48"/>
        <v/>
      </c>
      <c r="EI40" s="22">
        <f t="shared" si="49"/>
        <v>0</v>
      </c>
      <c r="EJ40" s="22">
        <f t="shared" si="50"/>
        <v>0</v>
      </c>
      <c r="EK40" s="22">
        <f t="shared" si="51"/>
        <v>0</v>
      </c>
      <c r="EL40" s="28" t="str">
        <f t="shared" si="52"/>
        <v/>
      </c>
      <c r="EM40" s="28" t="str">
        <f t="shared" si="53"/>
        <v/>
      </c>
      <c r="EN40" s="21" t="str">
        <f t="shared" si="54"/>
        <v/>
      </c>
      <c r="EO40" s="22">
        <f>IF(OR(DT40=0,DX40&lt;&gt;""),0,SUMPRODUCT((nTP_Case_Key=AX40)*(nTP_Record_Type="MILESTONE:INTERVENTION")*(nTP_Err="")*(nTP_HT*DD40*BN40*(nTP_OK*DE40*(nTP_UTC_n&gt;=N(DG40))+(1-nTP_OK*DE40)*(nTP_Loc_n&gt;=N(DF40)))*(nTP_OK*BO40*(nTP_UTC_n&lt;=N(BQ40))+(1-nTP_OK*BO40)*(nTP_Loc_n&lt;=N(BP40)))+(1-nTP_HT*DD40*BN40)*(nTP_Hi_n&gt;=N(DH40))*(nTP_Lo_n&lt;=N(BS40)))))</f>
        <v>0</v>
      </c>
      <c r="EP40" s="22">
        <f>IF(OR(DT40=0,DX40&lt;&gt;""),0,SUMPRODUCT((nTP_Case_Key=AX40)*(nTP_Role="treatment of the event")*((nTP_Record_Type="EXPOSURE_START")+(nTP_Record_Type="ADMINISTRATION"))*(nTP_Err="")*(nTP_HT*DD40*BN40*(nTP_OK*DE40*(nTP_UTC_n&gt;=N(DG40))+(1-nTP_OK*DE40)*(nTP_Loc_n&gt;=N(DF40)))*(nTP_OK*BO40*(nTP_UTC_n&lt;=N(BQ40))+(1-nTP_OK*BO40)*(nTP_Loc_n&lt;=N(BP40)))+(1-nTP_HT*DD40*BN40)*(nTP_Hi_n&gt;=N(DH40))*(nTP_Lo_n&lt;=N(BS40)))))</f>
        <v>0</v>
      </c>
      <c r="EQ40" s="22">
        <f>IF(EO40&lt;1,0,IFERROR(_xlfn.AGGREGATE(15,6,nTP_RowN/((nTP_Case_Key=AX40)*(nTP_Record_Type="MILESTONE:INTERVENTION")*(nTP_Err="")*(nTP_HT*DD40*BN40*(nTP_OK*DE40*(nTP_UTC_n&gt;=N(DG40))+(1-nTP_OK*DE40)*(nTP_Loc_n&gt;=N(DF40)))*(nTP_OK*BO40*(nTP_UTC_n&lt;=N(BQ40))+(1-nTP_OK*BO40)*(nTP_Loc_n&lt;=N(BP40)))+(1-nTP_HT*DD40*BN40)*(nTP_Hi_n&gt;=N(DH40))*(nTP_Lo_n&lt;=N(BS40)))),1),0))</f>
        <v>0</v>
      </c>
      <c r="ER40" s="22">
        <f>IF(EO40&lt;2,0,IFERROR(_xlfn.AGGREGATE(15,6,nTP_RowN/((nTP_Case_Key=AX40)*(nTP_Record_Type="MILESTONE:INTERVENTION")*(nTP_Err="")*(nTP_HT*DD40*BN40*(nTP_OK*DE40*(nTP_UTC_n&gt;=N(DG40))+(1-nTP_OK*DE40)*(nTP_Loc_n&gt;=N(DF40)))*(nTP_OK*BO40*(nTP_UTC_n&lt;=N(BQ40))+(1-nTP_OK*BO40)*(nTP_Loc_n&lt;=N(BP40)))+(1-nTP_HT*DD40*BN40)*(nTP_Hi_n&gt;=N(DH40))*(nTP_Lo_n&lt;=N(BS40)))),2),0))</f>
        <v>0</v>
      </c>
      <c r="ES40" s="22">
        <f>IF(EO40&lt;3,0,IFERROR(_xlfn.AGGREGATE(15,6,nTP_RowN/((nTP_Case_Key=AX40)*(nTP_Record_Type="MILESTONE:INTERVENTION")*(nTP_Err="")*(nTP_HT*DD40*BN40*(nTP_OK*DE40*(nTP_UTC_n&gt;=N(DG40))+(1-nTP_OK*DE40)*(nTP_Loc_n&gt;=N(DF40)))*(nTP_OK*BO40*(nTP_UTC_n&lt;=N(BQ40))+(1-nTP_OK*BO40)*(nTP_Loc_n&lt;=N(BP40)))+(1-nTP_HT*DD40*BN40)*(nTP_Hi_n&gt;=N(DH40))*(nTP_Lo_n&lt;=N(BS40)))),3),0))</f>
        <v>0</v>
      </c>
      <c r="ET40" s="22">
        <f>IF(EP40&lt;1,0,IFERROR(_xlfn.AGGREGATE(15,6,nTP_RowN/((nTP_Case_Key=AX40)*(nTP_Role="treatment of the event")*((nTP_Record_Type="EXPOSURE_START")+(nTP_Record_Type="ADMINISTRATION"))*(nTP_Err="")*(nTP_HT*DD40*BN40*(nTP_OK*DE40*(nTP_UTC_n&gt;=N(DG40))+(1-nTP_OK*DE40)*(nTP_Loc_n&gt;=N(DF40)))*(nTP_OK*BO40*(nTP_UTC_n&lt;=N(BQ40))+(1-nTP_OK*BO40)*(nTP_Loc_n&lt;=N(BP40)))+(1-nTP_HT*DD40*BN40)*(nTP_Hi_n&gt;=N(DH40))*(nTP_Lo_n&lt;=N(BS40)))),1),0))</f>
        <v>0</v>
      </c>
      <c r="EU40" s="22">
        <f>IF(EP40&lt;2,0,IFERROR(_xlfn.AGGREGATE(15,6,nTP_RowN/((nTP_Case_Key=AX40)*(nTP_Role="treatment of the event")*((nTP_Record_Type="EXPOSURE_START")+(nTP_Record_Type="ADMINISTRATION"))*(nTP_Err="")*(nTP_HT*DD40*BN40*(nTP_OK*DE40*(nTP_UTC_n&gt;=N(DG40))+(1-nTP_OK*DE40)*(nTP_Loc_n&gt;=N(DF40)))*(nTP_OK*BO40*(nTP_UTC_n&lt;=N(BQ40))+(1-nTP_OK*BO40)*(nTP_Loc_n&lt;=N(BP40)))+(1-nTP_HT*DD40*BN40)*(nTP_Hi_n&gt;=N(DH40))*(nTP_Lo_n&lt;=N(BS40)))),2),0))</f>
        <v>0</v>
      </c>
      <c r="EV40" s="22">
        <f>IF(EP40&lt;3,0,IFERROR(_xlfn.AGGREGATE(15,6,nTP_RowN/((nTP_Case_Key=AX40)*(nTP_Role="treatment of the event")*((nTP_Record_Type="EXPOSURE_START")+(nTP_Record_Type="ADMINISTRATION"))*(nTP_Err="")*(nTP_HT*DD40*BN40*(nTP_OK*DE40*(nTP_UTC_n&gt;=N(DG40))+(1-nTP_OK*DE40)*(nTP_Loc_n&gt;=N(DF40)))*(nTP_OK*BO40*(nTP_UTC_n&lt;=N(BQ40))+(1-nTP_OK*BO40)*(nTP_Loc_n&lt;=N(BP40)))+(1-nTP_HT*DD40*BN40)*(nTP_Hi_n&gt;=N(DH40))*(nTP_Lo_n&lt;=N(BS40)))),3),0))</f>
        <v>0</v>
      </c>
      <c r="EW40" s="22">
        <f>IF(CE40&lt;1,0,IFERROR(_xlfn.AGGREGATE(15,6,nTP_RowN/((nTP_CandKey=BX40)*(nTP_Err="")*(1-nTP_Exact)*((nTP_HT*BN40*((nTP_OK*BO40*(nTP_UTC_n-N(BQ40))+(1-nTP_OK*BO40)*(nTP_Loc_n-N(BP40)))&lt;=0)+(1-nTP_HT*BN40)*(nTP_Hi_n&lt;N(BR40)))+((1-nTP_HT*BN40)*(nTP_Lo_n=nTP_Hi_n)*(nTP_Lo_n=N(BR40))*(N(BR40)=N(BS40))))),1),0))</f>
        <v>0</v>
      </c>
      <c r="EX40" s="22">
        <f>IF(CE40&lt;2,0,IFERROR(_xlfn.AGGREGATE(15,6,nTP_RowN/((nTP_CandKey=BX40)*(nTP_Err="")*(1-nTP_Exact)*((nTP_HT*BN40*((nTP_OK*BO40*(nTP_UTC_n-N(BQ40))+(1-nTP_OK*BO40)*(nTP_Loc_n-N(BP40)))&lt;=0)+(1-nTP_HT*BN40)*(nTP_Hi_n&lt;N(BR40)))+((1-nTP_HT*BN40)*(nTP_Lo_n=nTP_Hi_n)*(nTP_Lo_n=N(BR40))*(N(BR40)=N(BS40))))),2),0))</f>
        <v>0</v>
      </c>
      <c r="EY40" s="22">
        <f>IF(CE40&lt;3,0,IFERROR(_xlfn.AGGREGATE(15,6,nTP_RowN/((nTP_CandKey=BX40)*(nTP_Err="")*(1-nTP_Exact)*((nTP_HT*BN40*((nTP_OK*BO40*(nTP_UTC_n-N(BQ40))+(1-nTP_OK*BO40)*(nTP_Loc_n-N(BP40)))&lt;=0)+(1-nTP_HT*BN40)*(nTP_Hi_n&lt;N(BR40)))+((1-nTP_HT*BN40)*(nTP_Lo_n=nTP_Hi_n)*(nTP_Lo_n=N(BR40))*(N(BR40)=N(BS40))))),3),0))</f>
        <v>0</v>
      </c>
      <c r="EZ40" s="21" t="str">
        <f>IF(EO40=0,"",MID(IF(EQ40&gt;0,"; "&amp;INDEX(nTP_Record_ID,EQ40)&amp;IF(INDEX(nTP_Label,EQ40)="",""," ("&amp;INDEX(nTP_Label,EQ40)&amp;")"),"")&amp;IF(ER40&gt;0,"; "&amp;INDEX(nTP_Record_ID,ER40)&amp;IF(INDEX(nTP_Label,ER40)="",""," ("&amp;INDEX(nTP_Label,ER40)&amp;")"),"")&amp;IF(ES40&gt;0,"; "&amp;INDEX(nTP_Record_ID,ES40)&amp;IF(INDEX(nTP_Label,ES40)="",""," ("&amp;INDEX(nTP_Label,ES40)&amp;")"),"")&amp;IF(EO40&gt;3,"; and "&amp;(EO40-3)&amp;" more",""),3,999))</f>
        <v/>
      </c>
      <c r="FA40" s="21" t="str">
        <f>IF(EO40=0,"",MID(IF(EQ40&gt;0,"; "&amp;INDEX(nTP_Record_ID,EQ40),"")&amp;IF(ER40&gt;0,"; "&amp;INDEX(nTP_Record_ID,ER40),"")&amp;IF(ES40&gt;0,"; "&amp;INDEX(nTP_Record_ID,ES40),"")&amp;IF(EO40&gt;3,"; and "&amp;(EO40-3)&amp;" more",""),3,999))</f>
        <v/>
      </c>
      <c r="FB40" s="21" t="str">
        <f>IF(EP40=0,"",MID(IF(ET40&gt;0,"; "&amp;INDEX(nTP_Record_ID,ET40)&amp;IF(INDEX(nTP_Label,ET40)="",""," ("&amp;INDEX(nTP_Label,ET40)&amp;")"),"")&amp;IF(EU40&gt;0,"; "&amp;INDEX(nTP_Record_ID,EU40)&amp;IF(INDEX(nTP_Label,EU40)="",""," ("&amp;INDEX(nTP_Label,EU40)&amp;")"),"")&amp;IF(EV40&gt;0,"; "&amp;INDEX(nTP_Record_ID,EV40)&amp;IF(INDEX(nTP_Label,EV40)="",""," ("&amp;INDEX(nTP_Label,EV40)&amp;")"),"")&amp;IF(EP40&gt;3,"; and "&amp;(EP40-3)&amp;" more",""),3,999))</f>
        <v/>
      </c>
      <c r="FC40" s="21" t="str">
        <f>IF(CE40=0,"",MID(IF(EW40&gt;0,"; "&amp;INDEX(nTP_Record_ID,EW40),"")&amp;IF(EX40&gt;0,"; "&amp;INDEX(nTP_Record_ID,EX40),"")&amp;IF(EY40&gt;0,"; "&amp;INDEX(nTP_Record_ID,EY40),"")&amp;IF(CE40&gt;3,"; and "&amp;(CE40-3)&amp;" more",""),3,999))</f>
        <v/>
      </c>
      <c r="FD40" s="22">
        <f t="shared" si="55"/>
        <v>0</v>
      </c>
      <c r="FE40" s="22">
        <f t="shared" si="56"/>
        <v>0</v>
      </c>
      <c r="FF40" s="22">
        <f t="shared" si="57"/>
        <v>0</v>
      </c>
      <c r="FG40" s="22">
        <f t="shared" si="58"/>
        <v>0</v>
      </c>
      <c r="FH40" s="22">
        <f t="shared" si="59"/>
        <v>0</v>
      </c>
      <c r="FI40" s="22">
        <f t="shared" si="60"/>
        <v>0</v>
      </c>
      <c r="FJ40" s="22">
        <f t="shared" si="61"/>
        <v>0</v>
      </c>
      <c r="FK40" s="22">
        <f t="shared" si="62"/>
        <v>0</v>
      </c>
    </row>
    <row r="41" spans="1:167" x14ac:dyDescent="0.2">
      <c r="A41" s="10"/>
      <c r="B41" s="10"/>
      <c r="C41" s="12"/>
      <c r="D41" s="10"/>
      <c r="E41" s="17"/>
      <c r="F41" s="10"/>
      <c r="G41" s="10"/>
      <c r="H41" s="10"/>
      <c r="I41" s="17"/>
      <c r="J41" s="17"/>
      <c r="K41" s="10"/>
      <c r="L41" s="17"/>
      <c r="M41" s="17"/>
      <c r="N41" s="17"/>
      <c r="O41" s="10"/>
      <c r="P41" s="15"/>
      <c r="Q41" s="15"/>
      <c r="R41" s="10"/>
      <c r="S41" s="10"/>
      <c r="T41" s="21" t="str">
        <f t="shared" si="0"/>
        <v/>
      </c>
      <c r="U41" s="21" t="str">
        <f t="shared" si="1"/>
        <v/>
      </c>
      <c r="V41" s="21" t="str">
        <f t="shared" si="2"/>
        <v/>
      </c>
      <c r="W41" s="21" t="str">
        <f t="shared" si="3"/>
        <v/>
      </c>
      <c r="X41" s="21" t="str">
        <f t="shared" si="4"/>
        <v/>
      </c>
      <c r="Y41" s="21" t="str">
        <f t="shared" si="5"/>
        <v/>
      </c>
      <c r="Z41" s="21" t="str">
        <f t="shared" si="6"/>
        <v/>
      </c>
      <c r="AA41" s="21" t="str">
        <f t="shared" si="7"/>
        <v/>
      </c>
      <c r="AB41" s="21" t="str">
        <f t="shared" si="8"/>
        <v/>
      </c>
      <c r="AC41" s="21" t="str">
        <f t="shared" si="9"/>
        <v/>
      </c>
      <c r="AD41" s="21" t="str">
        <f>IF(AW41=1,"",MID(IF(ISNUMBER(SEARCH("E_INVALID_DATE",EG41))," | E_INVALID_DATE: "&amp;SUBSTITUTE(IFERROR(INDEX(nMSG_Text,MATCH("E_INVALID_DATE",nMSG_Code,0)),""),"[input]",""),"")&amp;IF(ISNUMBER(SEARCH("E_REVERSED_BOUNDS",EG41))," | E_REVERSED_BOUNDS: "&amp;SUBSTITUTE(IFERROR(INDEX(nMSG_Text,MATCH("E_REVERSED_BOUNDS",nMSG_Code,0)),""),"[input]",""),"")&amp;IF(ISNUMBER(SEARCH("E_DUPLICATE_ID",EG41))," | E_DUPLICATE_ID: "&amp;SUBSTITUTE(IFERROR(INDEX(nMSG_Text,MATCH("E_DUPLICATE_ID",nMSG_Code,0)),""),"[input]",""),"")&amp;IF(ISNUMBER(SEARCH("E_MISSING_LINK",EG41))," | E_MISSING_LINK: "&amp;SUBSTITUTE(IFERROR(INDEX(nMSG_Text,MATCH("E_MISSING_LINK",nMSG_Code,0)),""),"[input]",""),"")&amp;IF(ISNUMBER(SEARCH("E_MISSING_INPUT",EG41))," | E_MISSING_INPUT: "&amp;SUBSTITUTE(IFERROR(INDEX(nMSG_Text,MATCH("E_MISSING_INPUT",nMSG_Code,0)),""),"[input]",IF(EH41="","an input",EH41)),"")&amp;IF(ISNUMBER(SEARCH("E_INVALID_UNIT",EG41))," | E_INVALID_UNIT: "&amp;SUBSTITUTE(IFERROR(INDEX(nMSG_Text,MATCH("E_INVALID_UNIT",nMSG_Code,0)),""),"[input]",""),"")&amp;IF(FD41=1," | W_TZ_UNKNOWN: "&amp;SUBSTITUTE(IFERROR(INDEX(nMSG_Text,MATCH("W_TZ_UNKNOWN",nMSG_Code,0)),""),"[input]",""),"")&amp;IF(FE41=1," | W_SAME_DATE_ORDER_UNKNOWN: "&amp;SUBSTITUTE(IFERROR(INDEX(nMSG_Text,MATCH("W_SAME_DATE_ORDER_UNKNOWN",nMSG_Code,0)),""),"[input]",""),"")&amp;IF(FF41=1," | W_SEQUENCE_UNCERTAIN: "&amp;SUBSTITUTE(IFERROR(INDEX(nMSG_Text,MATCH("W_SEQUENCE_UNCERTAIN",nMSG_Code,0)),""),"[input]",""),"")&amp;IF(FG41=1," | W_ADMIN_SAME_DATE_AS_ONSET: "&amp;SUBSTITUTE(IFERROR(INDEX(nMSG_Text,MATCH("W_ADMIN_SAME_DATE_AS_ONSET",nMSG_Code,0)),""),"[input]",""),"")&amp;IF(FH41=1," | W_REPORTED_TIMING_CONFLICT: "&amp;SUBSTITUTE(IFERROR(INDEX(nMSG_Text,MATCH("W_REPORTED_TIMING_CONFLICT",nMSG_Code,0)),""),"[input]",""),"")&amp;IF(FI41=1," | W_INTERVENTION_BEFORE_RECOVERY: "&amp;SUBSTITUTE(IFERROR(INDEX(nMSG_Text,MATCH("W_INTERVENTION_BEFORE_RECOVERY",nMSG_Code,0)),""),"[input]",""),"")&amp;IF(FJ41=1," | I_TREATMENT_DAY_UNDEFINED: "&amp;SUBSTITUTE(IFERROR(INDEX(nMSG_Text,MATCH("I_TREATMENT_DAY_UNDEFINED",nMSG_Code,0)),""),"[input]",""),"")&amp;IF(FK41=1," | I_APPROXIMATE_NOT_COMPARED: "&amp;SUBSTITUTE(IFERROR(INDEX(nMSG_Text,MATCH("I_APPROXIMATE_NOT_COMPARED",nMSG_Code,0)),""),"[input]",""),""),4,9999))</f>
        <v/>
      </c>
      <c r="AE41" s="21" t="str">
        <f t="shared" si="10"/>
        <v/>
      </c>
      <c r="AF41" s="21" t="str">
        <f t="shared" si="11"/>
        <v/>
      </c>
      <c r="AG41" s="21" t="str">
        <f>IF(EN41="","",MID(IF(ISNUMBER(SEARCH("E_REVERSED_BOUNDS",EN41))," | E_REVERSED_BOUNDS: "&amp;SUBSTITUTE(IFERROR(INDEX(nMSG_Text,MATCH("E_REVERSED_BOUNDS",nMSG_Code,0)),""),"[input]",""),"")&amp;IF(ISNUMBER(SEARCH("E_MISSING_INPUT",EN41))," | E_MISSING_INPUT: "&amp;SUBSTITUTE(IFERROR(INDEX(nMSG_Text,MATCH("E_MISSING_INPUT",nMSG_Code,0)),""),"[input]",IF("the source of the constraint"="","an input","the source of the constraint")),""),4,999))</f>
        <v/>
      </c>
      <c r="AH41" s="21" t="str">
        <f t="shared" si="12"/>
        <v/>
      </c>
      <c r="AI41" s="21" t="str">
        <f t="shared" si="13"/>
        <v/>
      </c>
      <c r="AJ41" s="21" t="str">
        <f t="shared" si="14"/>
        <v/>
      </c>
      <c r="AK41" s="21" t="str">
        <f t="shared" si="15"/>
        <v/>
      </c>
      <c r="AL41" s="21" t="str">
        <f>IF(CY41=0,"",INDEX(nTP_ISO,CY41))</f>
        <v/>
      </c>
      <c r="AM41" s="21" t="str">
        <f>IF(CY41=0,"",INDEX(nTP_Display,CY41))</f>
        <v/>
      </c>
      <c r="AN41" s="21" t="str">
        <f>IF(BI41=0,"",INDEX(nTP_ISO,BI41))</f>
        <v/>
      </c>
      <c r="AO41" s="21" t="str">
        <f>IF(BI41=0,"",INDEX(nTP_Display,BI41))</f>
        <v/>
      </c>
      <c r="AP41" s="21" t="str">
        <f>IF(BA41=0,"",INDEX(nLNK_Exposure_Episode_ID,BA41)&amp;"")</f>
        <v/>
      </c>
      <c r="AQ41" s="21" t="str">
        <f>IF(BA41=0,"",INDEX(nLNK_Event_Episode_ID,BA41)&amp;"")</f>
        <v/>
      </c>
      <c r="AR41" s="21" t="str">
        <f t="shared" si="16"/>
        <v/>
      </c>
      <c r="AS41" s="21" t="str">
        <f>IF(EI41=0,"",MID(IF(DT41=1," | Recovery interval (C7) computed with "&amp;DS41&amp;".","")&amp;IF(BG41=1," | Anchor selected under C5 (CALC-SPEC 1.1): latest administration with an exact date or time at or before "&amp;IF(BH41=1,"onset","the end point")&amp;" ("&amp;AJ41&amp;"), ordered in UTC when offsets are known; later administrations are never selected.","")&amp;IF(AND(BG41=1,CE41&gt;0)," | Partial-date administrations wholly before the selected one were not candidates: "&amp;FC41&amp;".","")&amp;IF(BV41&lt;&gt;""," | "&amp;BV41,"")&amp;IF(AND(DS41="C2",EA41=0,DZ41&lt;&gt;"")," | Same calendar date; both times are known, so C1 decides the order ("&amp;AA41&amp;").","")&amp;IF(AND(DS41="C2",DD41*BN41=1,DT41=0)," | Calendar-date difference from the recorded local dates; it is never described as elapsed days.","")&amp;IF(AND(DS41="C4",DT41=0)," | Bounds are treated as independent; no single date is imputed from them.","")&amp;IF(EJ41=1," | Treatment day under the inclusive convention (C3); never written to E2B fields automatically.","")&amp;IF(AND(DS41="C4",DT41=0,EK41=0)," | No constraint applied.","")&amp;IF(AND(DS41="C4",EK41=1)," | Constraint applied to the anchor bounds: "&amp;IF(ISNUMBER(P41),"not before "&amp;DAY(P41)&amp;" "&amp;INDEX(nLIST_Months,MONTH(P41))&amp;" "&amp;YEAR(P41),"")&amp;IF(AND(ISNUMBER(P41),ISNUMBER(Q41)),", ","")&amp;IF(ISNUMBER(Q41),"not after "&amp;DAY(Q41)&amp;" "&amp;INDEX(nLIST_Months,MONTH(Q41))&amp;" "&amp;YEAR(Q41),"")&amp;". Source: "&amp;IF(R41="","not recorded",R41)&amp;IF(EN41="",". Constrained result shown beside the unconstrained one.",". Constrained result blocked ("&amp;EN41&amp;")."),"")&amp;IF(DT41=1,IF(EO41&gt;0," | Intervention recorded between cessation and recovery (ends included): "&amp;EZ41&amp;"."," | No intervention is recorded between cessation and recovery; absence of a record is not evidence that none was given."),"")&amp;IF(AND(DT41=1,DV41&gt;0)," | Intervention recorded without a date, so whether it came before recovery is unknown: "&amp;INDEX(nMS_Milestone_ID,MATCH(1,INDEX((nMS_CaseKey=AX41)*(nMS_Type="INTERVENTION")*nMS_Undated,0),0))&amp;IF(DV41&gt;1," and "&amp;(DV41-1)&amp;" more","")&amp;".","")&amp;IF(AND(DT41=1,EP41&gt;0)," | Not counted as interventions, because they are recorded as exposures rather than as intervention milestones (nothing is inferred): "&amp;FB41&amp;". If treatment was given, record it as an intervention milestone.",""),4,9999))</f>
        <v/>
      </c>
      <c r="AT41" s="21" t="str">
        <f t="shared" si="17"/>
        <v/>
      </c>
      <c r="AU41" s="21" t="str">
        <f t="shared" si="18"/>
        <v/>
      </c>
      <c r="AV41" s="21" t="str">
        <f t="shared" si="19"/>
        <v/>
      </c>
      <c r="AW41" s="22">
        <f t="shared" si="20"/>
        <v>1</v>
      </c>
      <c r="AX41" s="21" t="str">
        <f t="shared" si="21"/>
        <v>|</v>
      </c>
      <c r="AY41" s="21" t="str">
        <f t="shared" si="22"/>
        <v/>
      </c>
      <c r="AZ41" s="22">
        <f>IF(AY41="",0,COUNTIF(nINT_Key,AY41))</f>
        <v>0</v>
      </c>
      <c r="BA41" s="22">
        <f>IF(D41="",0,IFERROR(MATCH(AX41&amp;"|"&amp;D41,nLNK_Key,0),0))</f>
        <v>0</v>
      </c>
      <c r="BB41" s="22">
        <f>IF(BA41=0,1,INDEX(nLNK_Exp_Found,BA41))</f>
        <v>1</v>
      </c>
      <c r="BC41" s="22">
        <f>IF(BA41=0,1,INDEX(nLNK_Evt_Found,BA41))</f>
        <v>1</v>
      </c>
      <c r="BD41" s="22">
        <f>IF(AP41="",0,COUNTIF(nEXP_Key,AX41&amp;"|"&amp;AP41))</f>
        <v>0</v>
      </c>
      <c r="BE41" s="22">
        <f>IF(AQ41="",0,COUNTIF(nEVT_Key,AX41&amp;"|"&amp;AQ41))</f>
        <v>0</v>
      </c>
      <c r="BF41" s="22">
        <f>IF(ISNA(MATCH(E41,nLIST_AnchorType,0)),0,1)</f>
        <v>0</v>
      </c>
      <c r="BG41" s="22">
        <f t="shared" si="23"/>
        <v>0</v>
      </c>
      <c r="BH41" s="22">
        <f t="shared" si="24"/>
        <v>0</v>
      </c>
      <c r="BI41" s="22">
        <f>IF(OR(AW41=1,AK41=""),0,IFERROR(MATCH(AX41&amp;"|"&amp;AK41,nTP_Key,0),0))</f>
        <v>0</v>
      </c>
      <c r="BJ41" s="21">
        <f>IF(BI41=0,0,INDEX(nTP_Dup,BI41))</f>
        <v>0</v>
      </c>
      <c r="BK41" s="21" t="str">
        <f>IF(BI41=0,"",INDEX(nTP_Record_Type,BI41))</f>
        <v/>
      </c>
      <c r="BL41" s="21" t="str">
        <f>IF(BI41=0,"",INDEX(nTP_Precision,BI41))</f>
        <v/>
      </c>
      <c r="BM41" s="21" t="str">
        <f>IF(BI41=0,"",INDEX(nTP_Err,BI41))</f>
        <v/>
      </c>
      <c r="BN41" s="21">
        <f>IF(BI41=0,0,INDEX(nTP_HT,BI41))</f>
        <v>0</v>
      </c>
      <c r="BO41" s="21">
        <f>IF(BI41=0,0,INDEX(nTP_OK,BI41))</f>
        <v>0</v>
      </c>
      <c r="BP41" s="21" t="str">
        <f>IF(BI41=0,"",INDEX(nTP_Loc,BI41))</f>
        <v/>
      </c>
      <c r="BQ41" s="21" t="str">
        <f>IF(BI41=0,"",INDEX(nTP_UTC,BI41))</f>
        <v/>
      </c>
      <c r="BR41" s="21" t="str">
        <f>IF(BI41=0,"",INDEX(nTP_Lo,BI41))</f>
        <v/>
      </c>
      <c r="BS41" s="21" t="str">
        <f>IF(BI41=0,"",INDEX(nTP_Hi,BI41))</f>
        <v/>
      </c>
      <c r="BT41" s="21" t="str">
        <f>IF(BI41=0,"",INDEX(nTP_Original_Text,BI41))</f>
        <v/>
      </c>
      <c r="BU41" s="21" t="str">
        <f>IF(BI41=0,"",INDEX(nTP_Source,BI41))</f>
        <v/>
      </c>
      <c r="BV41" s="21" t="str">
        <f>IF(BI41=0,"",INDEX(nTP_Lab_Note,BI41))</f>
        <v/>
      </c>
      <c r="BW41" s="22">
        <f t="shared" si="25"/>
        <v>0</v>
      </c>
      <c r="BX41" s="21" t="str">
        <f t="shared" si="26"/>
        <v>||</v>
      </c>
      <c r="BY41" s="22">
        <f>IF(BG41=0,0,COUNTIF(nTP_CandKey,BX41))</f>
        <v>0</v>
      </c>
      <c r="BZ41" s="22">
        <f>IF(BG41=0,0,COUNTIFS(nTP_CandKey,BX41,nTP_Err,""))</f>
        <v>0</v>
      </c>
      <c r="CA41" s="21" t="str">
        <f>IF(BY41=BZ41,"",IF(COUNTIFS(nTP_CandKey,BX41,nTP_Err,"E_INVALID_DATE")&gt;0,"; E_INVALID_DATE","")&amp;IF(COUNTIFS(nTP_CandKey,BX41,nTP_Err,"E_REVERSED_BOUNDS")&gt;0,"; E_REVERSED_BOUNDS","")&amp;IF(COUNTIFS(nTP_CandKey,BX41,nTP_Err,"E_MISSING_INPUT")&gt;0,"; E_MISSING_INPUT","")&amp;IF(COUNTIFS(nTP_CandKey,BX41,nTP_Err,"E_INVALID_UNIT")&gt;0,"; E_INVALID_UNIT",""))</f>
        <v/>
      </c>
      <c r="CB41" s="22">
        <f t="shared" si="27"/>
        <v>0</v>
      </c>
      <c r="CC41" s="22">
        <f>IF(CB41=0,0,SUMPRODUCT((nTP_CandKey=BX41)*(nTP_Err="")*(1-(nTP_HT*BN41*((nTP_OK*BO41*(nTP_UTC_n-N(BQ41))+(1-nTP_OK*BO41)*(nTP_Loc_n-N(BP41)))&lt;=0)+(1-nTP_HT*BN41)*(nTP_Hi_n&lt;N(BR41)))-(nTP_HT*BN41*((nTP_OK*BO41*(nTP_UTC_n-N(BQ41))+(1-nTP_OK*BO41)*(nTP_Loc_n-N(BP41)))&gt;0)+(1-nTP_HT*BN41)*(nTP_Lo_n&gt;N(BS41)))-((1-nTP_HT*BN41)*(nTP_Lo_n=nTP_Hi_n)*(nTP_Lo_n=N(BR41))*(N(BR41)=N(BS41))))))</f>
        <v>0</v>
      </c>
      <c r="CD41" s="22">
        <f>IF(CB41=0,0,SUMPRODUCT((nTP_CandKey=BX41)*nTP_Exact*((nTP_HT*BN41*((nTP_OK*BO41*(nTP_UTC_n-N(BQ41))+(1-nTP_OK*BO41)*(nTP_Loc_n-N(BP41)))&lt;=0)+(1-nTP_HT*BN41)*(nTP_Hi_n&lt;N(BR41)))+((1-nTP_HT*BN41)*(nTP_Lo_n=nTP_Hi_n)*(nTP_Lo_n=N(BR41))*(N(BR41)=N(BS41))))))</f>
        <v>0</v>
      </c>
      <c r="CE41" s="22">
        <f>IF(CB41=0,0,SUMPRODUCT((nTP_CandKey=BX41)*(nTP_Err="")*(1-nTP_Exact)*((nTP_HT*BN41*((nTP_OK*BO41*(nTP_UTC_n-N(BQ41))+(1-nTP_OK*BO41)*(nTP_Loc_n-N(BP41)))&lt;=0)+(1-nTP_HT*BN41)*(nTP_Hi_n&lt;N(BR41)))+((1-nTP_HT*BN41)*(nTP_Lo_n=nTP_Hi_n)*(nTP_Lo_n=N(BR41))*(N(BR41)=N(BS41))))))</f>
        <v>0</v>
      </c>
      <c r="CF41" s="22">
        <f>IF(CD41=0,0,SUMPRODUCT(MAX((nTP_CandKey=BX41)*nTP_Exact*((nTP_HT*BN41*((nTP_OK*BO41*(nTP_UTC_n-N(BQ41))+(1-nTP_OK*BO41)*(nTP_Loc_n-N(BP41)))&lt;=0)+(1-nTP_HT*BN41)*(nTP_Hi_n&lt;N(BR41)))+((1-nTP_HT*BN41)*(nTP_Lo_n=nTP_Hi_n)*(nTP_Lo_n=N(BR41))*(N(BR41)=N(BS41))))*nTP_Lo_n)))</f>
        <v>0</v>
      </c>
      <c r="CG41" s="22">
        <f>IF(CD41=0,0,SUMPRODUCT((nTP_CandKey=BX41)*nTP_Exact*((nTP_HT*BN41*((nTP_OK*BO41*(nTP_UTC_n-N(BQ41))+(1-nTP_OK*BO41)*(nTP_Loc_n-N(BP41)))&lt;=0)+(1-nTP_HT*BN41)*(nTP_Hi_n&lt;N(BR41)))+((1-nTP_HT*BN41)*(nTP_Lo_n=nTP_Hi_n)*(nTP_Lo_n=N(BR41))*(N(BR41)=N(BS41))))*(nTP_Lo_n=CF41)))</f>
        <v>0</v>
      </c>
      <c r="CH41" s="22">
        <f>IF(CD41=0,0,SUMPRODUCT((nTP_CandKey=BX41)*nTP_Exact*((nTP_HT*BN41*((nTP_OK*BO41*(nTP_UTC_n-N(BQ41))+(1-nTP_OK*BO41)*(nTP_Loc_n-N(BP41)))&lt;=0)+(1-nTP_HT*BN41)*(nTP_Hi_n&lt;N(BR41)))+((1-nTP_HT*BN41)*(nTP_Lo_n=nTP_Hi_n)*(nTP_Lo_n=N(BR41))*(N(BR41)=N(BS41))))*(1-nTP_HT)*(nTP_Lo_n=CF41)))</f>
        <v>0</v>
      </c>
      <c r="CI41" s="22">
        <f>IF(CD41=0,0,SUMPRODUCT(MAX((nTP_CandKey=BX41)*nTP_Exact*((nTP_HT*BN41*((nTP_OK*BO41*(nTP_UTC_n-N(BQ41))+(1-nTP_OK*BO41)*(nTP_Loc_n-N(BP41)))&lt;=0)+(1-nTP_HT*BN41)*(nTP_Hi_n&lt;N(BR41)))+((1-nTP_HT*BN41)*(nTP_Lo_n=nTP_Hi_n)*(nTP_Lo_n=N(BR41))*(N(BR41)=N(BS41))))*(1-nTP_HT)*nTP_Lo_n)))</f>
        <v>0</v>
      </c>
      <c r="CJ41" s="22">
        <f>IF(CD41=0,0,SUMPRODUCT(MAX((nTP_CandKey=BX41)*nTP_Exact*((nTP_HT*BN41*((nTP_OK*BO41*(nTP_UTC_n-N(BQ41))+(1-nTP_OK*BO41)*(nTP_Loc_n-N(BP41)))&lt;=0)+(1-nTP_HT*BN41)*(nTP_Hi_n&lt;N(BR41)))+((1-nTP_HT*BN41)*(nTP_Lo_n=nTP_Hi_n)*(nTP_Lo_n=N(BR41))*(N(BR41)=N(BS41))))*nTP_HT*nTP_OK*nTP_UTC_n)))</f>
        <v>0</v>
      </c>
      <c r="CK41" s="22">
        <f>IF(CJ41=0,0,SUMPRODUCT((nTP_CandKey=BX41)*nTP_Exact*((nTP_HT*BN41*((nTP_OK*BO41*(nTP_UTC_n-N(BQ41))+(1-nTP_OK*BO41)*(nTP_Loc_n-N(BP41)))&lt;=0)+(1-nTP_HT*BN41)*(nTP_Hi_n&lt;N(BR41)))+((1-nTP_HT*BN41)*(nTP_Lo_n=nTP_Hi_n)*(nTP_Lo_n=N(BR41))*(N(BR41)=N(BS41))))*nTP_HT*nTP_OK*(nTP_UTC_n=CJ41)))</f>
        <v>0</v>
      </c>
      <c r="CL41" s="22">
        <f>IF(CK41&lt;&gt;1,0,SUMPRODUCT((nTP_CandKey=BX41)*nTP_Exact*((nTP_HT*BN41*((nTP_OK*BO41*(nTP_UTC_n-N(BQ41))+(1-nTP_OK*BO41)*(nTP_Loc_n-N(BP41)))&lt;=0)+(1-nTP_HT*BN41)*(nTP_Hi_n&lt;N(BR41)))+((1-nTP_HT*BN41)*(nTP_Lo_n=nTP_Hi_n)*(nTP_Lo_n=N(BR41))*(N(BR41)=N(BS41))))*nTP_HT*nTP_OK*(nTP_UTC_n=CJ41)*nTP_Loc_n))</f>
        <v>0</v>
      </c>
      <c r="CM41" s="22">
        <f>IF(CK41&lt;&gt;1,0,SUMPRODUCT((nTP_CandKey=BX41)*nTP_Exact*((nTP_HT*BN41*((nTP_OK*BO41*(nTP_UTC_n-N(BQ41))+(1-nTP_OK*BO41)*(nTP_Loc_n-N(BP41)))&lt;=0)+(1-nTP_HT*BN41)*(nTP_Hi_n&lt;N(BR41)))+((1-nTP_HT*BN41)*(nTP_Lo_n=nTP_Hi_n)*(nTP_Lo_n=N(BR41))*(N(BR41)=N(BS41))))*nTP_HT*nTP_OK*(nTP_UTC_n=CJ41)*nTP_Lo_n))</f>
        <v>0</v>
      </c>
      <c r="CN41" s="22">
        <f>IF(CD41=0,0,SUMPRODUCT(MAX((nTP_CandKey=BX41)*nTP_Exact*((nTP_HT*BN41*((nTP_OK*BO41*(nTP_UTC_n-N(BQ41))+(1-nTP_OK*BO41)*(nTP_Loc_n-N(BP41)))&lt;=0)+(1-nTP_HT*BN41)*(nTP_Hi_n&lt;N(BR41)))+((1-nTP_HT*BN41)*(nTP_Lo_n=nTP_Hi_n)*(nTP_Lo_n=N(BR41))*(N(BR41)=N(BS41))))*nTP_HT*(1-nTP_OK)*nTP_Loc_n)))</f>
        <v>0</v>
      </c>
      <c r="CO41" s="22">
        <f>IF(CN41=0,0,SUMPRODUCT((nTP_CandKey=BX41)*nTP_Exact*((nTP_HT*BN41*((nTP_OK*BO41*(nTP_UTC_n-N(BQ41))+(1-nTP_OK*BO41)*(nTP_Loc_n-N(BP41)))&lt;=0)+(1-nTP_HT*BN41)*(nTP_Hi_n&lt;N(BR41)))+((1-nTP_HT*BN41)*(nTP_Lo_n=nTP_Hi_n)*(nTP_Lo_n=N(BR41))*(N(BR41)=N(BS41))))*nTP_HT*(1-nTP_OK)*(nTP_Loc_n=CN41)))</f>
        <v>0</v>
      </c>
      <c r="CP41" s="22">
        <f>IF(CO41&lt;&gt;1,0,SUMPRODUCT((nTP_CandKey=BX41)*nTP_Exact*((nTP_HT*BN41*((nTP_OK*BO41*(nTP_UTC_n-N(BQ41))+(1-nTP_OK*BO41)*(nTP_Loc_n-N(BP41)))&lt;=0)+(1-nTP_HT*BN41)*(nTP_Hi_n&lt;N(BR41)))+((1-nTP_HT*BN41)*(nTP_Lo_n=nTP_Hi_n)*(nTP_Lo_n=N(BR41))*(N(BR41)=N(BS41))))*nTP_HT*(1-nTP_OK)*(nTP_Loc_n=CN41)*nTP_Lo_n))</f>
        <v>0</v>
      </c>
      <c r="CQ41" s="22">
        <f>IF(CD41=0,0,SUMPRODUCT(MAX((nTP_CandKey=BX41)*nTP_Exact*((nTP_HT*BN41*((nTP_OK*BO41*(nTP_UTC_n-N(BQ41))+(1-nTP_OK*BO41)*(nTP_Loc_n-N(BP41)))&lt;=0)+(1-nTP_HT*BN41)*(nTP_Hi_n&lt;N(BR41)))+((1-nTP_HT*BN41)*(nTP_Lo_n=nTP_Hi_n)*(nTP_Lo_n=N(BR41))*(N(BR41)=N(BS41))))*nTP_HT*nTP_OK*nTP_Loc_n)))</f>
        <v>0</v>
      </c>
      <c r="CR41" s="22">
        <f t="shared" si="28"/>
        <v>0</v>
      </c>
      <c r="CS41" s="22">
        <f>IF(CR41=0,0,IF(CR41=1,MATCH(1,INDEX((nTP_CandKey=BX41)*nTP_Exact*((nTP_HT*BN41*((nTP_OK*BO41*(nTP_UTC_n-N(BQ41))+(1-nTP_OK*BO41)*(nTP_Loc_n-N(BP41)))&lt;=0)+(1-nTP_HT*BN41)*(nTP_Hi_n&lt;N(BR41)))+((1-nTP_HT*BN41)*(nTP_Lo_n=nTP_Hi_n)*(nTP_Lo_n=N(BR41))*(N(BR41)=N(BS41))))*(1-nTP_HT)*(nTP_Lo_n=CF41),0),0),IF(CR41=2,MATCH(1,INDEX((nTP_CandKey=BX41)*nTP_Exact*((nTP_HT*BN41*((nTP_OK*BO41*(nTP_UTC_n-N(BQ41))+(1-nTP_OK*BO41)*(nTP_Loc_n-N(BP41)))&lt;=0)+(1-nTP_HT*BN41)*(nTP_Hi_n&lt;N(BR41)))+((1-nTP_HT*BN41)*(nTP_Lo_n=nTP_Hi_n)*(nTP_Lo_n=N(BR41))*(N(BR41)=N(BS41))))*nTP_HT*nTP_OK*(nTP_UTC_n=CJ41),0),0),MATCH(1,INDEX((nTP_CandKey=BX41)*nTP_Exact*((nTP_HT*BN41*((nTP_OK*BO41*(nTP_UTC_n-N(BQ41))+(1-nTP_OK*BO41)*(nTP_Loc_n-N(BP41)))&lt;=0)+(1-nTP_HT*BN41)*(nTP_Hi_n&lt;N(BR41)))+((1-nTP_HT*BN41)*(nTP_Lo_n=nTP_Hi_n)*(nTP_Lo_n=N(BR41))*(N(BR41)=N(BS41))))*nTP_HT*(1-nTP_OK)*(nTP_Loc_n=CN41),0),0))))</f>
        <v>0</v>
      </c>
      <c r="CT41" s="22">
        <f>IF(CS41=0,0,INDEX(nTP_Lo_n,CS41))</f>
        <v>0</v>
      </c>
      <c r="CU41" s="22">
        <f>IF(CS41=0,0,SUMPRODUCT((nTP_CandKey=BX41)*(nTP_Err="")*(1-nTP_Exact)*((nTP_HT*BN41*((nTP_OK*BO41*(nTP_UTC_n-N(BQ41))+(1-nTP_OK*BO41)*(nTP_Loc_n-N(BP41)))&lt;=0)+(1-nTP_HT*BN41)*(nTP_Hi_n&lt;N(BR41)))+((1-nTP_HT*BN41)*(nTP_Lo_n=nTP_Hi_n)*(nTP_Lo_n=N(BR41))*(N(BR41)=N(BS41))))*(nTP_Hi_n&gt;=CT41)))</f>
        <v>0</v>
      </c>
      <c r="CV41" s="21" t="str">
        <f t="shared" si="29"/>
        <v/>
      </c>
      <c r="CW41" s="21" t="str">
        <f>IF(AND(BG41=1,CB41=1,CV41="",CS41&gt;0),INDEX(nTP_Record_ID,CS41)&amp;"","")</f>
        <v/>
      </c>
      <c r="CX41" s="21" t="str">
        <f>IF(OR(CV41="",BG41=0),"",IF(CV41="none","an administration record (last dose before onset)",IF(CV41="uncertain","the anchor record: "&amp;INDEX(nTP_Record_ID,MATCH(1,INDEX((nTP_CandKey=BX41)*(nTP_Err="")*(1-(nTP_HT*BN41*((nTP_OK*BO41*(nTP_UTC_n-N(BQ41))+(1-nTP_OK*BO41)*(nTP_Loc_n-N(BP41)))&lt;=0)+(1-nTP_HT*BN41)*(nTP_Hi_n&lt;N(BR41)))-(nTP_HT*BN41*((nTP_OK*BO41*(nTP_UTC_n-N(BQ41))+(1-nTP_OK*BO41)*(nTP_Loc_n-N(BP41)))&gt;0)+(1-nTP_HT*BN41)*(nTP_Lo_n&gt;N(BS41)))-((1-nTP_HT*BN41)*(nTP_Lo_n=nTP_Hi_n)*(nTP_Lo_n=N(BR41))*(N(BR41)=N(BS41)))),0),0))&amp;IF(CC41&gt;1," and "&amp;(CC41-1)&amp;" more","")&amp;" may fall before or after the end point, so the last dose cannot be identified from the recorded dates",IF(CV41="noneligible","the anchor record: no administration with an exact date is recorded at or before the end point",IF(CV41="tie","the anchor record: the order of the latest administrations cannot be told from the recorded dates and times","the anchor record: partial-date administration "&amp;INDEX(nTP_Record_ID,MATCH(1,INDEX((nTP_CandKey=BX41)*(nTP_Err="")*(1-nTP_Exact)*((nTP_HT*BN41*((nTP_OK*BO41*(nTP_UTC_n-N(BQ41))+(1-nTP_OK*BO41)*(nTP_Loc_n-N(BP41)))&lt;=0)+(1-nTP_HT*BN41)*(nTP_Hi_n&lt;N(BR41)))+((1-nTP_HT*BN41)*(nTP_Lo_n=nTP_Hi_n)*(nTP_Lo_n=N(BR41))*(N(BR41)=N(BS41))))*(nTP_Hi_n&gt;=CT41),0),0))&amp;" could be the last dose before the end point")))))</f>
        <v/>
      </c>
      <c r="CY41" s="22">
        <f>IF(OR(AW41=1,AJ41=""),0,IFERROR(MATCH(AX41&amp;"|"&amp;AJ41,nTP_Key,0),0))</f>
        <v>0</v>
      </c>
      <c r="CZ41" s="21">
        <f>IF(CY41=0,0,INDEX(nTP_Dup,CY41))</f>
        <v>0</v>
      </c>
      <c r="DA41" s="21" t="str">
        <f>IF(CY41=0,"",INDEX(nTP_Record_Type,CY41))</f>
        <v/>
      </c>
      <c r="DB41" s="21" t="str">
        <f>IF(CY41=0,"",INDEX(nTP_Precision,CY41))</f>
        <v/>
      </c>
      <c r="DC41" s="21" t="str">
        <f>IF(CY41=0,"",INDEX(nTP_Err,CY41))</f>
        <v/>
      </c>
      <c r="DD41" s="21">
        <f>IF(CY41=0,0,INDEX(nTP_HT,CY41))</f>
        <v>0</v>
      </c>
      <c r="DE41" s="21">
        <f>IF(CY41=0,0,INDEX(nTP_OK,CY41))</f>
        <v>0</v>
      </c>
      <c r="DF41" s="21" t="str">
        <f>IF(CY41=0,"",INDEX(nTP_Loc,CY41))</f>
        <v/>
      </c>
      <c r="DG41" s="21" t="str">
        <f>IF(CY41=0,"",INDEX(nTP_UTC,CY41))</f>
        <v/>
      </c>
      <c r="DH41" s="21" t="str">
        <f>IF(CY41=0,"",INDEX(nTP_Lo,CY41))</f>
        <v/>
      </c>
      <c r="DI41" s="21" t="str">
        <f>IF(CY41=0,"",INDEX(nTP_Hi,CY41))</f>
        <v/>
      </c>
      <c r="DJ41" s="21" t="str">
        <f>IF(CY41=0,"",INDEX(nTP_Original_Text,CY41))</f>
        <v/>
      </c>
      <c r="DK41" s="21" t="str">
        <f>IF(CY41=0,"",INDEX(nTP_Source,CY41))</f>
        <v/>
      </c>
      <c r="DL41" s="22">
        <f t="shared" si="30"/>
        <v>0</v>
      </c>
      <c r="DM41" s="21" t="str">
        <f t="shared" si="31"/>
        <v/>
      </c>
      <c r="DN41" s="21" t="str">
        <f t="shared" si="32"/>
        <v/>
      </c>
      <c r="DO41" s="21" t="str">
        <f t="shared" si="33"/>
        <v/>
      </c>
      <c r="DP41" s="21" t="str">
        <f t="shared" si="34"/>
        <v/>
      </c>
      <c r="DQ41" s="21" t="str">
        <f t="shared" si="35"/>
        <v/>
      </c>
      <c r="DR41" s="22">
        <f>IF(OR(DQ41="",I41=""),0,IF(ISNA(MATCH(I41,nLIST_Mode,0)),1,IF(AND(I41="C1",DQ41&lt;&gt;"C1"),1,IF(AND(I41="C2",DQ41="C4"),1,0))))</f>
        <v>0</v>
      </c>
      <c r="DS41" s="21" t="str">
        <f t="shared" si="36"/>
        <v/>
      </c>
      <c r="DT41" s="22">
        <f t="shared" si="37"/>
        <v>0</v>
      </c>
      <c r="DU41" s="21" t="str">
        <f>IF(DT41=0,"",IF(COUNTIFS(nTP_Case_Key,AX41,nTP_Record_Type,"MILESTONE:INTERVENTION",nTP_Err,"E_INVALID_DATE")&gt;0,"; E_INVALID_DATE","")&amp;IF(COUNTIFS(nTP_Case_Key,AX41,nTP_Record_Type,"MILESTONE:INTERVENTION",nTP_Err,"E_REVERSED_BOUNDS")&gt;0,"; E_REVERSED_BOUNDS","")&amp;IF(COUNTIFS(nTP_Case_Key,AX41,nTP_Record_Type,"MILESTONE:INTERVENTION",nTP_Err,"E_MISSING_INPUT")&gt;0,"; E_MISSING_INPUT","")&amp;IF(COUNTIFS(nTP_Case_Key,AX41,nTP_Record_Type,"MILESTONE:INTERVENTION",nTP_Err,"E_INVALID_UNIT")&gt;0,"; E_INVALID_UNIT",""))</f>
        <v/>
      </c>
      <c r="DV41" s="22">
        <f>IF(DT41=0,0,SUMPRODUCT((nMS_CaseKey=AX41)*(nMS_Type="INTERVENTION")*nMS_Undated))</f>
        <v>0</v>
      </c>
      <c r="DW41" s="21" t="str">
        <f t="shared" si="38"/>
        <v/>
      </c>
      <c r="DX41" s="21" t="str">
        <f t="shared" si="39"/>
        <v/>
      </c>
      <c r="DY41" s="22">
        <f t="shared" si="40"/>
        <v>1</v>
      </c>
      <c r="DZ41" s="21" t="str">
        <f t="shared" si="41"/>
        <v/>
      </c>
      <c r="EA41" s="21" t="str">
        <f t="shared" si="42"/>
        <v/>
      </c>
      <c r="EB41" s="21" t="str">
        <f t="shared" si="43"/>
        <v/>
      </c>
      <c r="EC41" s="21" t="str">
        <f t="shared" si="44"/>
        <v/>
      </c>
      <c r="ED41" s="22">
        <f t="shared" si="45"/>
        <v>0</v>
      </c>
      <c r="EE41" s="22">
        <f t="shared" si="46"/>
        <v>0</v>
      </c>
      <c r="EF41" s="21" t="str">
        <f>IF(ED41=0,"",IF(OR(NOT(ISNUMBER(L41)),NOT(ISNUMBER(M41))),"I_APPROXIMATE_NOT_COMPARED",IF(AND(N41&lt;&gt;"",ISNA(MATCH(N41,nLIST_ReportedUnit,0))),"E_INVALID_UNIT",IF(N41="","E_MISSING_INPUT",IF(L41&gt;M41,"E_REVERSED_BOUNDS",IF(OR(N41="weeks",N41="months",N41="years"),"I_APPROXIMATE_NOT_COMPARED",IF(DX41&lt;&gt;"","",IF(EE41=0,"I_APPROXIMATE_NOT_COMPARED",IF(AND(L41*EE41&lt;=IF(DS41="C4",EC41,IF(DS41="C1",DZ41,EA41)),M41*EE41&gt;=IF(DS41="C4",EB41,IF(DS41="C1",DZ41,EA41))),"OVERLAP","W_REPORTED_TIMING_CONFLICT")))))))))</f>
        <v/>
      </c>
      <c r="EG41" s="21" t="str">
        <f t="shared" si="47"/>
        <v/>
      </c>
      <c r="EH41" s="21" t="str">
        <f t="shared" si="48"/>
        <v/>
      </c>
      <c r="EI41" s="22">
        <f t="shared" si="49"/>
        <v>0</v>
      </c>
      <c r="EJ41" s="22">
        <f t="shared" si="50"/>
        <v>0</v>
      </c>
      <c r="EK41" s="22">
        <f t="shared" si="51"/>
        <v>0</v>
      </c>
      <c r="EL41" s="28" t="str">
        <f t="shared" si="52"/>
        <v/>
      </c>
      <c r="EM41" s="28" t="str">
        <f t="shared" si="53"/>
        <v/>
      </c>
      <c r="EN41" s="21" t="str">
        <f t="shared" si="54"/>
        <v/>
      </c>
      <c r="EO41" s="22">
        <f>IF(OR(DT41=0,DX41&lt;&gt;""),0,SUMPRODUCT((nTP_Case_Key=AX41)*(nTP_Record_Type="MILESTONE:INTERVENTION")*(nTP_Err="")*(nTP_HT*DD41*BN41*(nTP_OK*DE41*(nTP_UTC_n&gt;=N(DG41))+(1-nTP_OK*DE41)*(nTP_Loc_n&gt;=N(DF41)))*(nTP_OK*BO41*(nTP_UTC_n&lt;=N(BQ41))+(1-nTP_OK*BO41)*(nTP_Loc_n&lt;=N(BP41)))+(1-nTP_HT*DD41*BN41)*(nTP_Hi_n&gt;=N(DH41))*(nTP_Lo_n&lt;=N(BS41)))))</f>
        <v>0</v>
      </c>
      <c r="EP41" s="22">
        <f>IF(OR(DT41=0,DX41&lt;&gt;""),0,SUMPRODUCT((nTP_Case_Key=AX41)*(nTP_Role="treatment of the event")*((nTP_Record_Type="EXPOSURE_START")+(nTP_Record_Type="ADMINISTRATION"))*(nTP_Err="")*(nTP_HT*DD41*BN41*(nTP_OK*DE41*(nTP_UTC_n&gt;=N(DG41))+(1-nTP_OK*DE41)*(nTP_Loc_n&gt;=N(DF41)))*(nTP_OK*BO41*(nTP_UTC_n&lt;=N(BQ41))+(1-nTP_OK*BO41)*(nTP_Loc_n&lt;=N(BP41)))+(1-nTP_HT*DD41*BN41)*(nTP_Hi_n&gt;=N(DH41))*(nTP_Lo_n&lt;=N(BS41)))))</f>
        <v>0</v>
      </c>
      <c r="EQ41" s="22">
        <f>IF(EO41&lt;1,0,IFERROR(_xlfn.AGGREGATE(15,6,nTP_RowN/((nTP_Case_Key=AX41)*(nTP_Record_Type="MILESTONE:INTERVENTION")*(nTP_Err="")*(nTP_HT*DD41*BN41*(nTP_OK*DE41*(nTP_UTC_n&gt;=N(DG41))+(1-nTP_OK*DE41)*(nTP_Loc_n&gt;=N(DF41)))*(nTP_OK*BO41*(nTP_UTC_n&lt;=N(BQ41))+(1-nTP_OK*BO41)*(nTP_Loc_n&lt;=N(BP41)))+(1-nTP_HT*DD41*BN41)*(nTP_Hi_n&gt;=N(DH41))*(nTP_Lo_n&lt;=N(BS41)))),1),0))</f>
        <v>0</v>
      </c>
      <c r="ER41" s="22">
        <f>IF(EO41&lt;2,0,IFERROR(_xlfn.AGGREGATE(15,6,nTP_RowN/((nTP_Case_Key=AX41)*(nTP_Record_Type="MILESTONE:INTERVENTION")*(nTP_Err="")*(nTP_HT*DD41*BN41*(nTP_OK*DE41*(nTP_UTC_n&gt;=N(DG41))+(1-nTP_OK*DE41)*(nTP_Loc_n&gt;=N(DF41)))*(nTP_OK*BO41*(nTP_UTC_n&lt;=N(BQ41))+(1-nTP_OK*BO41)*(nTP_Loc_n&lt;=N(BP41)))+(1-nTP_HT*DD41*BN41)*(nTP_Hi_n&gt;=N(DH41))*(nTP_Lo_n&lt;=N(BS41)))),2),0))</f>
        <v>0</v>
      </c>
      <c r="ES41" s="22">
        <f>IF(EO41&lt;3,0,IFERROR(_xlfn.AGGREGATE(15,6,nTP_RowN/((nTP_Case_Key=AX41)*(nTP_Record_Type="MILESTONE:INTERVENTION")*(nTP_Err="")*(nTP_HT*DD41*BN41*(nTP_OK*DE41*(nTP_UTC_n&gt;=N(DG41))+(1-nTP_OK*DE41)*(nTP_Loc_n&gt;=N(DF41)))*(nTP_OK*BO41*(nTP_UTC_n&lt;=N(BQ41))+(1-nTP_OK*BO41)*(nTP_Loc_n&lt;=N(BP41)))+(1-nTP_HT*DD41*BN41)*(nTP_Hi_n&gt;=N(DH41))*(nTP_Lo_n&lt;=N(BS41)))),3),0))</f>
        <v>0</v>
      </c>
      <c r="ET41" s="22">
        <f>IF(EP41&lt;1,0,IFERROR(_xlfn.AGGREGATE(15,6,nTP_RowN/((nTP_Case_Key=AX41)*(nTP_Role="treatment of the event")*((nTP_Record_Type="EXPOSURE_START")+(nTP_Record_Type="ADMINISTRATION"))*(nTP_Err="")*(nTP_HT*DD41*BN41*(nTP_OK*DE41*(nTP_UTC_n&gt;=N(DG41))+(1-nTP_OK*DE41)*(nTP_Loc_n&gt;=N(DF41)))*(nTP_OK*BO41*(nTP_UTC_n&lt;=N(BQ41))+(1-nTP_OK*BO41)*(nTP_Loc_n&lt;=N(BP41)))+(1-nTP_HT*DD41*BN41)*(nTP_Hi_n&gt;=N(DH41))*(nTP_Lo_n&lt;=N(BS41)))),1),0))</f>
        <v>0</v>
      </c>
      <c r="EU41" s="22">
        <f>IF(EP41&lt;2,0,IFERROR(_xlfn.AGGREGATE(15,6,nTP_RowN/((nTP_Case_Key=AX41)*(nTP_Role="treatment of the event")*((nTP_Record_Type="EXPOSURE_START")+(nTP_Record_Type="ADMINISTRATION"))*(nTP_Err="")*(nTP_HT*DD41*BN41*(nTP_OK*DE41*(nTP_UTC_n&gt;=N(DG41))+(1-nTP_OK*DE41)*(nTP_Loc_n&gt;=N(DF41)))*(nTP_OK*BO41*(nTP_UTC_n&lt;=N(BQ41))+(1-nTP_OK*BO41)*(nTP_Loc_n&lt;=N(BP41)))+(1-nTP_HT*DD41*BN41)*(nTP_Hi_n&gt;=N(DH41))*(nTP_Lo_n&lt;=N(BS41)))),2),0))</f>
        <v>0</v>
      </c>
      <c r="EV41" s="22">
        <f>IF(EP41&lt;3,0,IFERROR(_xlfn.AGGREGATE(15,6,nTP_RowN/((nTP_Case_Key=AX41)*(nTP_Role="treatment of the event")*((nTP_Record_Type="EXPOSURE_START")+(nTP_Record_Type="ADMINISTRATION"))*(nTP_Err="")*(nTP_HT*DD41*BN41*(nTP_OK*DE41*(nTP_UTC_n&gt;=N(DG41))+(1-nTP_OK*DE41)*(nTP_Loc_n&gt;=N(DF41)))*(nTP_OK*BO41*(nTP_UTC_n&lt;=N(BQ41))+(1-nTP_OK*BO41)*(nTP_Loc_n&lt;=N(BP41)))+(1-nTP_HT*DD41*BN41)*(nTP_Hi_n&gt;=N(DH41))*(nTP_Lo_n&lt;=N(BS41)))),3),0))</f>
        <v>0</v>
      </c>
      <c r="EW41" s="22">
        <f>IF(CE41&lt;1,0,IFERROR(_xlfn.AGGREGATE(15,6,nTP_RowN/((nTP_CandKey=BX41)*(nTP_Err="")*(1-nTP_Exact)*((nTP_HT*BN41*((nTP_OK*BO41*(nTP_UTC_n-N(BQ41))+(1-nTP_OK*BO41)*(nTP_Loc_n-N(BP41)))&lt;=0)+(1-nTP_HT*BN41)*(nTP_Hi_n&lt;N(BR41)))+((1-nTP_HT*BN41)*(nTP_Lo_n=nTP_Hi_n)*(nTP_Lo_n=N(BR41))*(N(BR41)=N(BS41))))),1),0))</f>
        <v>0</v>
      </c>
      <c r="EX41" s="22">
        <f>IF(CE41&lt;2,0,IFERROR(_xlfn.AGGREGATE(15,6,nTP_RowN/((nTP_CandKey=BX41)*(nTP_Err="")*(1-nTP_Exact)*((nTP_HT*BN41*((nTP_OK*BO41*(nTP_UTC_n-N(BQ41))+(1-nTP_OK*BO41)*(nTP_Loc_n-N(BP41)))&lt;=0)+(1-nTP_HT*BN41)*(nTP_Hi_n&lt;N(BR41)))+((1-nTP_HT*BN41)*(nTP_Lo_n=nTP_Hi_n)*(nTP_Lo_n=N(BR41))*(N(BR41)=N(BS41))))),2),0))</f>
        <v>0</v>
      </c>
      <c r="EY41" s="22">
        <f>IF(CE41&lt;3,0,IFERROR(_xlfn.AGGREGATE(15,6,nTP_RowN/((nTP_CandKey=BX41)*(nTP_Err="")*(1-nTP_Exact)*((nTP_HT*BN41*((nTP_OK*BO41*(nTP_UTC_n-N(BQ41))+(1-nTP_OK*BO41)*(nTP_Loc_n-N(BP41)))&lt;=0)+(1-nTP_HT*BN41)*(nTP_Hi_n&lt;N(BR41)))+((1-nTP_HT*BN41)*(nTP_Lo_n=nTP_Hi_n)*(nTP_Lo_n=N(BR41))*(N(BR41)=N(BS41))))),3),0))</f>
        <v>0</v>
      </c>
      <c r="EZ41" s="21" t="str">
        <f>IF(EO41=0,"",MID(IF(EQ41&gt;0,"; "&amp;INDEX(nTP_Record_ID,EQ41)&amp;IF(INDEX(nTP_Label,EQ41)="",""," ("&amp;INDEX(nTP_Label,EQ41)&amp;")"),"")&amp;IF(ER41&gt;0,"; "&amp;INDEX(nTP_Record_ID,ER41)&amp;IF(INDEX(nTP_Label,ER41)="",""," ("&amp;INDEX(nTP_Label,ER41)&amp;")"),"")&amp;IF(ES41&gt;0,"; "&amp;INDEX(nTP_Record_ID,ES41)&amp;IF(INDEX(nTP_Label,ES41)="",""," ("&amp;INDEX(nTP_Label,ES41)&amp;")"),"")&amp;IF(EO41&gt;3,"; and "&amp;(EO41-3)&amp;" more",""),3,999))</f>
        <v/>
      </c>
      <c r="FA41" s="21" t="str">
        <f>IF(EO41=0,"",MID(IF(EQ41&gt;0,"; "&amp;INDEX(nTP_Record_ID,EQ41),"")&amp;IF(ER41&gt;0,"; "&amp;INDEX(nTP_Record_ID,ER41),"")&amp;IF(ES41&gt;0,"; "&amp;INDEX(nTP_Record_ID,ES41),"")&amp;IF(EO41&gt;3,"; and "&amp;(EO41-3)&amp;" more",""),3,999))</f>
        <v/>
      </c>
      <c r="FB41" s="21" t="str">
        <f>IF(EP41=0,"",MID(IF(ET41&gt;0,"; "&amp;INDEX(nTP_Record_ID,ET41)&amp;IF(INDEX(nTP_Label,ET41)="",""," ("&amp;INDEX(nTP_Label,ET41)&amp;")"),"")&amp;IF(EU41&gt;0,"; "&amp;INDEX(nTP_Record_ID,EU41)&amp;IF(INDEX(nTP_Label,EU41)="",""," ("&amp;INDEX(nTP_Label,EU41)&amp;")"),"")&amp;IF(EV41&gt;0,"; "&amp;INDEX(nTP_Record_ID,EV41)&amp;IF(INDEX(nTP_Label,EV41)="",""," ("&amp;INDEX(nTP_Label,EV41)&amp;")"),"")&amp;IF(EP41&gt;3,"; and "&amp;(EP41-3)&amp;" more",""),3,999))</f>
        <v/>
      </c>
      <c r="FC41" s="21" t="str">
        <f>IF(CE41=0,"",MID(IF(EW41&gt;0,"; "&amp;INDEX(nTP_Record_ID,EW41),"")&amp;IF(EX41&gt;0,"; "&amp;INDEX(nTP_Record_ID,EX41),"")&amp;IF(EY41&gt;0,"; "&amp;INDEX(nTP_Record_ID,EY41),"")&amp;IF(CE41&gt;3,"; and "&amp;(CE41-3)&amp;" more",""),3,999))</f>
        <v/>
      </c>
      <c r="FD41" s="22">
        <f t="shared" si="55"/>
        <v>0</v>
      </c>
      <c r="FE41" s="22">
        <f t="shared" si="56"/>
        <v>0</v>
      </c>
      <c r="FF41" s="22">
        <f t="shared" si="57"/>
        <v>0</v>
      </c>
      <c r="FG41" s="22">
        <f t="shared" si="58"/>
        <v>0</v>
      </c>
      <c r="FH41" s="22">
        <f t="shared" si="59"/>
        <v>0</v>
      </c>
      <c r="FI41" s="22">
        <f t="shared" si="60"/>
        <v>0</v>
      </c>
      <c r="FJ41" s="22">
        <f t="shared" si="61"/>
        <v>0</v>
      </c>
      <c r="FK41" s="22">
        <f t="shared" si="62"/>
        <v>0</v>
      </c>
    </row>
    <row r="42" spans="1:167" x14ac:dyDescent="0.2">
      <c r="A42" s="10"/>
      <c r="B42" s="10"/>
      <c r="C42" s="12"/>
      <c r="D42" s="10"/>
      <c r="E42" s="17"/>
      <c r="F42" s="10"/>
      <c r="G42" s="10"/>
      <c r="H42" s="10"/>
      <c r="I42" s="17"/>
      <c r="J42" s="17"/>
      <c r="K42" s="10"/>
      <c r="L42" s="17"/>
      <c r="M42" s="17"/>
      <c r="N42" s="17"/>
      <c r="O42" s="10"/>
      <c r="P42" s="15"/>
      <c r="Q42" s="15"/>
      <c r="R42" s="10"/>
      <c r="S42" s="10"/>
      <c r="T42" s="21" t="str">
        <f t="shared" si="0"/>
        <v/>
      </c>
      <c r="U42" s="21" t="str">
        <f t="shared" si="1"/>
        <v/>
      </c>
      <c r="V42" s="21" t="str">
        <f t="shared" si="2"/>
        <v/>
      </c>
      <c r="W42" s="21" t="str">
        <f t="shared" si="3"/>
        <v/>
      </c>
      <c r="X42" s="21" t="str">
        <f t="shared" si="4"/>
        <v/>
      </c>
      <c r="Y42" s="21" t="str">
        <f t="shared" si="5"/>
        <v/>
      </c>
      <c r="Z42" s="21" t="str">
        <f t="shared" si="6"/>
        <v/>
      </c>
      <c r="AA42" s="21" t="str">
        <f t="shared" si="7"/>
        <v/>
      </c>
      <c r="AB42" s="21" t="str">
        <f t="shared" si="8"/>
        <v/>
      </c>
      <c r="AC42" s="21" t="str">
        <f t="shared" si="9"/>
        <v/>
      </c>
      <c r="AD42" s="21" t="str">
        <f>IF(AW42=1,"",MID(IF(ISNUMBER(SEARCH("E_INVALID_DATE",EG42))," | E_INVALID_DATE: "&amp;SUBSTITUTE(IFERROR(INDEX(nMSG_Text,MATCH("E_INVALID_DATE",nMSG_Code,0)),""),"[input]",""),"")&amp;IF(ISNUMBER(SEARCH("E_REVERSED_BOUNDS",EG42))," | E_REVERSED_BOUNDS: "&amp;SUBSTITUTE(IFERROR(INDEX(nMSG_Text,MATCH("E_REVERSED_BOUNDS",nMSG_Code,0)),""),"[input]",""),"")&amp;IF(ISNUMBER(SEARCH("E_DUPLICATE_ID",EG42))," | E_DUPLICATE_ID: "&amp;SUBSTITUTE(IFERROR(INDEX(nMSG_Text,MATCH("E_DUPLICATE_ID",nMSG_Code,0)),""),"[input]",""),"")&amp;IF(ISNUMBER(SEARCH("E_MISSING_LINK",EG42))," | E_MISSING_LINK: "&amp;SUBSTITUTE(IFERROR(INDEX(nMSG_Text,MATCH("E_MISSING_LINK",nMSG_Code,0)),""),"[input]",""),"")&amp;IF(ISNUMBER(SEARCH("E_MISSING_INPUT",EG42))," | E_MISSING_INPUT: "&amp;SUBSTITUTE(IFERROR(INDEX(nMSG_Text,MATCH("E_MISSING_INPUT",nMSG_Code,0)),""),"[input]",IF(EH42="","an input",EH42)),"")&amp;IF(ISNUMBER(SEARCH("E_INVALID_UNIT",EG42))," | E_INVALID_UNIT: "&amp;SUBSTITUTE(IFERROR(INDEX(nMSG_Text,MATCH("E_INVALID_UNIT",nMSG_Code,0)),""),"[input]",""),"")&amp;IF(FD42=1," | W_TZ_UNKNOWN: "&amp;SUBSTITUTE(IFERROR(INDEX(nMSG_Text,MATCH("W_TZ_UNKNOWN",nMSG_Code,0)),""),"[input]",""),"")&amp;IF(FE42=1," | W_SAME_DATE_ORDER_UNKNOWN: "&amp;SUBSTITUTE(IFERROR(INDEX(nMSG_Text,MATCH("W_SAME_DATE_ORDER_UNKNOWN",nMSG_Code,0)),""),"[input]",""),"")&amp;IF(FF42=1," | W_SEQUENCE_UNCERTAIN: "&amp;SUBSTITUTE(IFERROR(INDEX(nMSG_Text,MATCH("W_SEQUENCE_UNCERTAIN",nMSG_Code,0)),""),"[input]",""),"")&amp;IF(FG42=1," | W_ADMIN_SAME_DATE_AS_ONSET: "&amp;SUBSTITUTE(IFERROR(INDEX(nMSG_Text,MATCH("W_ADMIN_SAME_DATE_AS_ONSET",nMSG_Code,0)),""),"[input]",""),"")&amp;IF(FH42=1," | W_REPORTED_TIMING_CONFLICT: "&amp;SUBSTITUTE(IFERROR(INDEX(nMSG_Text,MATCH("W_REPORTED_TIMING_CONFLICT",nMSG_Code,0)),""),"[input]",""),"")&amp;IF(FI42=1," | W_INTERVENTION_BEFORE_RECOVERY: "&amp;SUBSTITUTE(IFERROR(INDEX(nMSG_Text,MATCH("W_INTERVENTION_BEFORE_RECOVERY",nMSG_Code,0)),""),"[input]",""),"")&amp;IF(FJ42=1," | I_TREATMENT_DAY_UNDEFINED: "&amp;SUBSTITUTE(IFERROR(INDEX(nMSG_Text,MATCH("I_TREATMENT_DAY_UNDEFINED",nMSG_Code,0)),""),"[input]",""),"")&amp;IF(FK42=1," | I_APPROXIMATE_NOT_COMPARED: "&amp;SUBSTITUTE(IFERROR(INDEX(nMSG_Text,MATCH("I_APPROXIMATE_NOT_COMPARED",nMSG_Code,0)),""),"[input]",""),""),4,9999))</f>
        <v/>
      </c>
      <c r="AE42" s="21" t="str">
        <f t="shared" si="10"/>
        <v/>
      </c>
      <c r="AF42" s="21" t="str">
        <f t="shared" si="11"/>
        <v/>
      </c>
      <c r="AG42" s="21" t="str">
        <f>IF(EN42="","",MID(IF(ISNUMBER(SEARCH("E_REVERSED_BOUNDS",EN42))," | E_REVERSED_BOUNDS: "&amp;SUBSTITUTE(IFERROR(INDEX(nMSG_Text,MATCH("E_REVERSED_BOUNDS",nMSG_Code,0)),""),"[input]",""),"")&amp;IF(ISNUMBER(SEARCH("E_MISSING_INPUT",EN42))," | E_MISSING_INPUT: "&amp;SUBSTITUTE(IFERROR(INDEX(nMSG_Text,MATCH("E_MISSING_INPUT",nMSG_Code,0)),""),"[input]",IF("the source of the constraint"="","an input","the source of the constraint")),""),4,999))</f>
        <v/>
      </c>
      <c r="AH42" s="21" t="str">
        <f t="shared" si="12"/>
        <v/>
      </c>
      <c r="AI42" s="21" t="str">
        <f t="shared" si="13"/>
        <v/>
      </c>
      <c r="AJ42" s="21" t="str">
        <f t="shared" si="14"/>
        <v/>
      </c>
      <c r="AK42" s="21" t="str">
        <f t="shared" si="15"/>
        <v/>
      </c>
      <c r="AL42" s="21" t="str">
        <f>IF(CY42=0,"",INDEX(nTP_ISO,CY42))</f>
        <v/>
      </c>
      <c r="AM42" s="21" t="str">
        <f>IF(CY42=0,"",INDEX(nTP_Display,CY42))</f>
        <v/>
      </c>
      <c r="AN42" s="21" t="str">
        <f>IF(BI42=0,"",INDEX(nTP_ISO,BI42))</f>
        <v/>
      </c>
      <c r="AO42" s="21" t="str">
        <f>IF(BI42=0,"",INDEX(nTP_Display,BI42))</f>
        <v/>
      </c>
      <c r="AP42" s="21" t="str">
        <f>IF(BA42=0,"",INDEX(nLNK_Exposure_Episode_ID,BA42)&amp;"")</f>
        <v/>
      </c>
      <c r="AQ42" s="21" t="str">
        <f>IF(BA42=0,"",INDEX(nLNK_Event_Episode_ID,BA42)&amp;"")</f>
        <v/>
      </c>
      <c r="AR42" s="21" t="str">
        <f t="shared" si="16"/>
        <v/>
      </c>
      <c r="AS42" s="21" t="str">
        <f>IF(EI42=0,"",MID(IF(DT42=1," | Recovery interval (C7) computed with "&amp;DS42&amp;".","")&amp;IF(BG42=1," | Anchor selected under C5 (CALC-SPEC 1.1): latest administration with an exact date or time at or before "&amp;IF(BH42=1,"onset","the end point")&amp;" ("&amp;AJ42&amp;"), ordered in UTC when offsets are known; later administrations are never selected.","")&amp;IF(AND(BG42=1,CE42&gt;0)," | Partial-date administrations wholly before the selected one were not candidates: "&amp;FC42&amp;".","")&amp;IF(BV42&lt;&gt;""," | "&amp;BV42,"")&amp;IF(AND(DS42="C2",EA42=0,DZ42&lt;&gt;"")," | Same calendar date; both times are known, so C1 decides the order ("&amp;AA42&amp;").","")&amp;IF(AND(DS42="C2",DD42*BN42=1,DT42=0)," | Calendar-date difference from the recorded local dates; it is never described as elapsed days.","")&amp;IF(AND(DS42="C4",DT42=0)," | Bounds are treated as independent; no single date is imputed from them.","")&amp;IF(EJ42=1," | Treatment day under the inclusive convention (C3); never written to E2B fields automatically.","")&amp;IF(AND(DS42="C4",DT42=0,EK42=0)," | No constraint applied.","")&amp;IF(AND(DS42="C4",EK42=1)," | Constraint applied to the anchor bounds: "&amp;IF(ISNUMBER(P42),"not before "&amp;DAY(P42)&amp;" "&amp;INDEX(nLIST_Months,MONTH(P42))&amp;" "&amp;YEAR(P42),"")&amp;IF(AND(ISNUMBER(P42),ISNUMBER(Q42)),", ","")&amp;IF(ISNUMBER(Q42),"not after "&amp;DAY(Q42)&amp;" "&amp;INDEX(nLIST_Months,MONTH(Q42))&amp;" "&amp;YEAR(Q42),"")&amp;". Source: "&amp;IF(R42="","not recorded",R42)&amp;IF(EN42="",". Constrained result shown beside the unconstrained one.",". Constrained result blocked ("&amp;EN42&amp;")."),"")&amp;IF(DT42=1,IF(EO42&gt;0," | Intervention recorded between cessation and recovery (ends included): "&amp;EZ42&amp;"."," | No intervention is recorded between cessation and recovery; absence of a record is not evidence that none was given."),"")&amp;IF(AND(DT42=1,DV42&gt;0)," | Intervention recorded without a date, so whether it came before recovery is unknown: "&amp;INDEX(nMS_Milestone_ID,MATCH(1,INDEX((nMS_CaseKey=AX42)*(nMS_Type="INTERVENTION")*nMS_Undated,0),0))&amp;IF(DV42&gt;1," and "&amp;(DV42-1)&amp;" more","")&amp;".","")&amp;IF(AND(DT42=1,EP42&gt;0)," | Not counted as interventions, because they are recorded as exposures rather than as intervention milestones (nothing is inferred): "&amp;FB42&amp;". If treatment was given, record it as an intervention milestone.",""),4,9999))</f>
        <v/>
      </c>
      <c r="AT42" s="21" t="str">
        <f t="shared" si="17"/>
        <v/>
      </c>
      <c r="AU42" s="21" t="str">
        <f t="shared" si="18"/>
        <v/>
      </c>
      <c r="AV42" s="21" t="str">
        <f t="shared" si="19"/>
        <v/>
      </c>
      <c r="AW42" s="22">
        <f t="shared" si="20"/>
        <v>1</v>
      </c>
      <c r="AX42" s="21" t="str">
        <f t="shared" si="21"/>
        <v>|</v>
      </c>
      <c r="AY42" s="21" t="str">
        <f t="shared" si="22"/>
        <v/>
      </c>
      <c r="AZ42" s="22">
        <f>IF(AY42="",0,COUNTIF(nINT_Key,AY42))</f>
        <v>0</v>
      </c>
      <c r="BA42" s="22">
        <f>IF(D42="",0,IFERROR(MATCH(AX42&amp;"|"&amp;D42,nLNK_Key,0),0))</f>
        <v>0</v>
      </c>
      <c r="BB42" s="22">
        <f>IF(BA42=0,1,INDEX(nLNK_Exp_Found,BA42))</f>
        <v>1</v>
      </c>
      <c r="BC42" s="22">
        <f>IF(BA42=0,1,INDEX(nLNK_Evt_Found,BA42))</f>
        <v>1</v>
      </c>
      <c r="BD42" s="22">
        <f>IF(AP42="",0,COUNTIF(nEXP_Key,AX42&amp;"|"&amp;AP42))</f>
        <v>0</v>
      </c>
      <c r="BE42" s="22">
        <f>IF(AQ42="",0,COUNTIF(nEVT_Key,AX42&amp;"|"&amp;AQ42))</f>
        <v>0</v>
      </c>
      <c r="BF42" s="22">
        <f>IF(ISNA(MATCH(E42,nLIST_AnchorType,0)),0,1)</f>
        <v>0</v>
      </c>
      <c r="BG42" s="22">
        <f t="shared" si="23"/>
        <v>0</v>
      </c>
      <c r="BH42" s="22">
        <f t="shared" si="24"/>
        <v>0</v>
      </c>
      <c r="BI42" s="22">
        <f>IF(OR(AW42=1,AK42=""),0,IFERROR(MATCH(AX42&amp;"|"&amp;AK42,nTP_Key,0),0))</f>
        <v>0</v>
      </c>
      <c r="BJ42" s="21">
        <f>IF(BI42=0,0,INDEX(nTP_Dup,BI42))</f>
        <v>0</v>
      </c>
      <c r="BK42" s="21" t="str">
        <f>IF(BI42=0,"",INDEX(nTP_Record_Type,BI42))</f>
        <v/>
      </c>
      <c r="BL42" s="21" t="str">
        <f>IF(BI42=0,"",INDEX(nTP_Precision,BI42))</f>
        <v/>
      </c>
      <c r="BM42" s="21" t="str">
        <f>IF(BI42=0,"",INDEX(nTP_Err,BI42))</f>
        <v/>
      </c>
      <c r="BN42" s="21">
        <f>IF(BI42=0,0,INDEX(nTP_HT,BI42))</f>
        <v>0</v>
      </c>
      <c r="BO42" s="21">
        <f>IF(BI42=0,0,INDEX(nTP_OK,BI42))</f>
        <v>0</v>
      </c>
      <c r="BP42" s="21" t="str">
        <f>IF(BI42=0,"",INDEX(nTP_Loc,BI42))</f>
        <v/>
      </c>
      <c r="BQ42" s="21" t="str">
        <f>IF(BI42=0,"",INDEX(nTP_UTC,BI42))</f>
        <v/>
      </c>
      <c r="BR42" s="21" t="str">
        <f>IF(BI42=0,"",INDEX(nTP_Lo,BI42))</f>
        <v/>
      </c>
      <c r="BS42" s="21" t="str">
        <f>IF(BI42=0,"",INDEX(nTP_Hi,BI42))</f>
        <v/>
      </c>
      <c r="BT42" s="21" t="str">
        <f>IF(BI42=0,"",INDEX(nTP_Original_Text,BI42))</f>
        <v/>
      </c>
      <c r="BU42" s="21" t="str">
        <f>IF(BI42=0,"",INDEX(nTP_Source,BI42))</f>
        <v/>
      </c>
      <c r="BV42" s="21" t="str">
        <f>IF(BI42=0,"",INDEX(nTP_Lab_Note,BI42))</f>
        <v/>
      </c>
      <c r="BW42" s="22">
        <f t="shared" si="25"/>
        <v>0</v>
      </c>
      <c r="BX42" s="21" t="str">
        <f t="shared" si="26"/>
        <v>||</v>
      </c>
      <c r="BY42" s="22">
        <f>IF(BG42=0,0,COUNTIF(nTP_CandKey,BX42))</f>
        <v>0</v>
      </c>
      <c r="BZ42" s="22">
        <f>IF(BG42=0,0,COUNTIFS(nTP_CandKey,BX42,nTP_Err,""))</f>
        <v>0</v>
      </c>
      <c r="CA42" s="21" t="str">
        <f>IF(BY42=BZ42,"",IF(COUNTIFS(nTP_CandKey,BX42,nTP_Err,"E_INVALID_DATE")&gt;0,"; E_INVALID_DATE","")&amp;IF(COUNTIFS(nTP_CandKey,BX42,nTP_Err,"E_REVERSED_BOUNDS")&gt;0,"; E_REVERSED_BOUNDS","")&amp;IF(COUNTIFS(nTP_CandKey,BX42,nTP_Err,"E_MISSING_INPUT")&gt;0,"; E_MISSING_INPUT","")&amp;IF(COUNTIFS(nTP_CandKey,BX42,nTP_Err,"E_INVALID_UNIT")&gt;0,"; E_INVALID_UNIT",""))</f>
        <v/>
      </c>
      <c r="CB42" s="22">
        <f t="shared" si="27"/>
        <v>0</v>
      </c>
      <c r="CC42" s="22">
        <f>IF(CB42=0,0,SUMPRODUCT((nTP_CandKey=BX42)*(nTP_Err="")*(1-(nTP_HT*BN42*((nTP_OK*BO42*(nTP_UTC_n-N(BQ42))+(1-nTP_OK*BO42)*(nTP_Loc_n-N(BP42)))&lt;=0)+(1-nTP_HT*BN42)*(nTP_Hi_n&lt;N(BR42)))-(nTP_HT*BN42*((nTP_OK*BO42*(nTP_UTC_n-N(BQ42))+(1-nTP_OK*BO42)*(nTP_Loc_n-N(BP42)))&gt;0)+(1-nTP_HT*BN42)*(nTP_Lo_n&gt;N(BS42)))-((1-nTP_HT*BN42)*(nTP_Lo_n=nTP_Hi_n)*(nTP_Lo_n=N(BR42))*(N(BR42)=N(BS42))))))</f>
        <v>0</v>
      </c>
      <c r="CD42" s="22">
        <f>IF(CB42=0,0,SUMPRODUCT((nTP_CandKey=BX42)*nTP_Exact*((nTP_HT*BN42*((nTP_OK*BO42*(nTP_UTC_n-N(BQ42))+(1-nTP_OK*BO42)*(nTP_Loc_n-N(BP42)))&lt;=0)+(1-nTP_HT*BN42)*(nTP_Hi_n&lt;N(BR42)))+((1-nTP_HT*BN42)*(nTP_Lo_n=nTP_Hi_n)*(nTP_Lo_n=N(BR42))*(N(BR42)=N(BS42))))))</f>
        <v>0</v>
      </c>
      <c r="CE42" s="22">
        <f>IF(CB42=0,0,SUMPRODUCT((nTP_CandKey=BX42)*(nTP_Err="")*(1-nTP_Exact)*((nTP_HT*BN42*((nTP_OK*BO42*(nTP_UTC_n-N(BQ42))+(1-nTP_OK*BO42)*(nTP_Loc_n-N(BP42)))&lt;=0)+(1-nTP_HT*BN42)*(nTP_Hi_n&lt;N(BR42)))+((1-nTP_HT*BN42)*(nTP_Lo_n=nTP_Hi_n)*(nTP_Lo_n=N(BR42))*(N(BR42)=N(BS42))))))</f>
        <v>0</v>
      </c>
      <c r="CF42" s="22">
        <f>IF(CD42=0,0,SUMPRODUCT(MAX((nTP_CandKey=BX42)*nTP_Exact*((nTP_HT*BN42*((nTP_OK*BO42*(nTP_UTC_n-N(BQ42))+(1-nTP_OK*BO42)*(nTP_Loc_n-N(BP42)))&lt;=0)+(1-nTP_HT*BN42)*(nTP_Hi_n&lt;N(BR42)))+((1-nTP_HT*BN42)*(nTP_Lo_n=nTP_Hi_n)*(nTP_Lo_n=N(BR42))*(N(BR42)=N(BS42))))*nTP_Lo_n)))</f>
        <v>0</v>
      </c>
      <c r="CG42" s="22">
        <f>IF(CD42=0,0,SUMPRODUCT((nTP_CandKey=BX42)*nTP_Exact*((nTP_HT*BN42*((nTP_OK*BO42*(nTP_UTC_n-N(BQ42))+(1-nTP_OK*BO42)*(nTP_Loc_n-N(BP42)))&lt;=0)+(1-nTP_HT*BN42)*(nTP_Hi_n&lt;N(BR42)))+((1-nTP_HT*BN42)*(nTP_Lo_n=nTP_Hi_n)*(nTP_Lo_n=N(BR42))*(N(BR42)=N(BS42))))*(nTP_Lo_n=CF42)))</f>
        <v>0</v>
      </c>
      <c r="CH42" s="22">
        <f>IF(CD42=0,0,SUMPRODUCT((nTP_CandKey=BX42)*nTP_Exact*((nTP_HT*BN42*((nTP_OK*BO42*(nTP_UTC_n-N(BQ42))+(1-nTP_OK*BO42)*(nTP_Loc_n-N(BP42)))&lt;=0)+(1-nTP_HT*BN42)*(nTP_Hi_n&lt;N(BR42)))+((1-nTP_HT*BN42)*(nTP_Lo_n=nTP_Hi_n)*(nTP_Lo_n=N(BR42))*(N(BR42)=N(BS42))))*(1-nTP_HT)*(nTP_Lo_n=CF42)))</f>
        <v>0</v>
      </c>
      <c r="CI42" s="22">
        <f>IF(CD42=0,0,SUMPRODUCT(MAX((nTP_CandKey=BX42)*nTP_Exact*((nTP_HT*BN42*((nTP_OK*BO42*(nTP_UTC_n-N(BQ42))+(1-nTP_OK*BO42)*(nTP_Loc_n-N(BP42)))&lt;=0)+(1-nTP_HT*BN42)*(nTP_Hi_n&lt;N(BR42)))+((1-nTP_HT*BN42)*(nTP_Lo_n=nTP_Hi_n)*(nTP_Lo_n=N(BR42))*(N(BR42)=N(BS42))))*(1-nTP_HT)*nTP_Lo_n)))</f>
        <v>0</v>
      </c>
      <c r="CJ42" s="22">
        <f>IF(CD42=0,0,SUMPRODUCT(MAX((nTP_CandKey=BX42)*nTP_Exact*((nTP_HT*BN42*((nTP_OK*BO42*(nTP_UTC_n-N(BQ42))+(1-nTP_OK*BO42)*(nTP_Loc_n-N(BP42)))&lt;=0)+(1-nTP_HT*BN42)*(nTP_Hi_n&lt;N(BR42)))+((1-nTP_HT*BN42)*(nTP_Lo_n=nTP_Hi_n)*(nTP_Lo_n=N(BR42))*(N(BR42)=N(BS42))))*nTP_HT*nTP_OK*nTP_UTC_n)))</f>
        <v>0</v>
      </c>
      <c r="CK42" s="22">
        <f>IF(CJ42=0,0,SUMPRODUCT((nTP_CandKey=BX42)*nTP_Exact*((nTP_HT*BN42*((nTP_OK*BO42*(nTP_UTC_n-N(BQ42))+(1-nTP_OK*BO42)*(nTP_Loc_n-N(BP42)))&lt;=0)+(1-nTP_HT*BN42)*(nTP_Hi_n&lt;N(BR42)))+((1-nTP_HT*BN42)*(nTP_Lo_n=nTP_Hi_n)*(nTP_Lo_n=N(BR42))*(N(BR42)=N(BS42))))*nTP_HT*nTP_OK*(nTP_UTC_n=CJ42)))</f>
        <v>0</v>
      </c>
      <c r="CL42" s="22">
        <f>IF(CK42&lt;&gt;1,0,SUMPRODUCT((nTP_CandKey=BX42)*nTP_Exact*((nTP_HT*BN42*((nTP_OK*BO42*(nTP_UTC_n-N(BQ42))+(1-nTP_OK*BO42)*(nTP_Loc_n-N(BP42)))&lt;=0)+(1-nTP_HT*BN42)*(nTP_Hi_n&lt;N(BR42)))+((1-nTP_HT*BN42)*(nTP_Lo_n=nTP_Hi_n)*(nTP_Lo_n=N(BR42))*(N(BR42)=N(BS42))))*nTP_HT*nTP_OK*(nTP_UTC_n=CJ42)*nTP_Loc_n))</f>
        <v>0</v>
      </c>
      <c r="CM42" s="22">
        <f>IF(CK42&lt;&gt;1,0,SUMPRODUCT((nTP_CandKey=BX42)*nTP_Exact*((nTP_HT*BN42*((nTP_OK*BO42*(nTP_UTC_n-N(BQ42))+(1-nTP_OK*BO42)*(nTP_Loc_n-N(BP42)))&lt;=0)+(1-nTP_HT*BN42)*(nTP_Hi_n&lt;N(BR42)))+((1-nTP_HT*BN42)*(nTP_Lo_n=nTP_Hi_n)*(nTP_Lo_n=N(BR42))*(N(BR42)=N(BS42))))*nTP_HT*nTP_OK*(nTP_UTC_n=CJ42)*nTP_Lo_n))</f>
        <v>0</v>
      </c>
      <c r="CN42" s="22">
        <f>IF(CD42=0,0,SUMPRODUCT(MAX((nTP_CandKey=BX42)*nTP_Exact*((nTP_HT*BN42*((nTP_OK*BO42*(nTP_UTC_n-N(BQ42))+(1-nTP_OK*BO42)*(nTP_Loc_n-N(BP42)))&lt;=0)+(1-nTP_HT*BN42)*(nTP_Hi_n&lt;N(BR42)))+((1-nTP_HT*BN42)*(nTP_Lo_n=nTP_Hi_n)*(nTP_Lo_n=N(BR42))*(N(BR42)=N(BS42))))*nTP_HT*(1-nTP_OK)*nTP_Loc_n)))</f>
        <v>0</v>
      </c>
      <c r="CO42" s="22">
        <f>IF(CN42=0,0,SUMPRODUCT((nTP_CandKey=BX42)*nTP_Exact*((nTP_HT*BN42*((nTP_OK*BO42*(nTP_UTC_n-N(BQ42))+(1-nTP_OK*BO42)*(nTP_Loc_n-N(BP42)))&lt;=0)+(1-nTP_HT*BN42)*(nTP_Hi_n&lt;N(BR42)))+((1-nTP_HT*BN42)*(nTP_Lo_n=nTP_Hi_n)*(nTP_Lo_n=N(BR42))*(N(BR42)=N(BS42))))*nTP_HT*(1-nTP_OK)*(nTP_Loc_n=CN42)))</f>
        <v>0</v>
      </c>
      <c r="CP42" s="22">
        <f>IF(CO42&lt;&gt;1,0,SUMPRODUCT((nTP_CandKey=BX42)*nTP_Exact*((nTP_HT*BN42*((nTP_OK*BO42*(nTP_UTC_n-N(BQ42))+(1-nTP_OK*BO42)*(nTP_Loc_n-N(BP42)))&lt;=0)+(1-nTP_HT*BN42)*(nTP_Hi_n&lt;N(BR42)))+((1-nTP_HT*BN42)*(nTP_Lo_n=nTP_Hi_n)*(nTP_Lo_n=N(BR42))*(N(BR42)=N(BS42))))*nTP_HT*(1-nTP_OK)*(nTP_Loc_n=CN42)*nTP_Lo_n))</f>
        <v>0</v>
      </c>
      <c r="CQ42" s="22">
        <f>IF(CD42=0,0,SUMPRODUCT(MAX((nTP_CandKey=BX42)*nTP_Exact*((nTP_HT*BN42*((nTP_OK*BO42*(nTP_UTC_n-N(BQ42))+(1-nTP_OK*BO42)*(nTP_Loc_n-N(BP42)))&lt;=0)+(1-nTP_HT*BN42)*(nTP_Hi_n&lt;N(BR42)))+((1-nTP_HT*BN42)*(nTP_Lo_n=nTP_Hi_n)*(nTP_Lo_n=N(BR42))*(N(BR42)=N(BS42))))*nTP_HT*nTP_OK*nTP_Loc_n)))</f>
        <v>0</v>
      </c>
      <c r="CR42" s="22">
        <f t="shared" si="28"/>
        <v>0</v>
      </c>
      <c r="CS42" s="22">
        <f>IF(CR42=0,0,IF(CR42=1,MATCH(1,INDEX((nTP_CandKey=BX42)*nTP_Exact*((nTP_HT*BN42*((nTP_OK*BO42*(nTP_UTC_n-N(BQ42))+(1-nTP_OK*BO42)*(nTP_Loc_n-N(BP42)))&lt;=0)+(1-nTP_HT*BN42)*(nTP_Hi_n&lt;N(BR42)))+((1-nTP_HT*BN42)*(nTP_Lo_n=nTP_Hi_n)*(nTP_Lo_n=N(BR42))*(N(BR42)=N(BS42))))*(1-nTP_HT)*(nTP_Lo_n=CF42),0),0),IF(CR42=2,MATCH(1,INDEX((nTP_CandKey=BX42)*nTP_Exact*((nTP_HT*BN42*((nTP_OK*BO42*(nTP_UTC_n-N(BQ42))+(1-nTP_OK*BO42)*(nTP_Loc_n-N(BP42)))&lt;=0)+(1-nTP_HT*BN42)*(nTP_Hi_n&lt;N(BR42)))+((1-nTP_HT*BN42)*(nTP_Lo_n=nTP_Hi_n)*(nTP_Lo_n=N(BR42))*(N(BR42)=N(BS42))))*nTP_HT*nTP_OK*(nTP_UTC_n=CJ42),0),0),MATCH(1,INDEX((nTP_CandKey=BX42)*nTP_Exact*((nTP_HT*BN42*((nTP_OK*BO42*(nTP_UTC_n-N(BQ42))+(1-nTP_OK*BO42)*(nTP_Loc_n-N(BP42)))&lt;=0)+(1-nTP_HT*BN42)*(nTP_Hi_n&lt;N(BR42)))+((1-nTP_HT*BN42)*(nTP_Lo_n=nTP_Hi_n)*(nTP_Lo_n=N(BR42))*(N(BR42)=N(BS42))))*nTP_HT*(1-nTP_OK)*(nTP_Loc_n=CN42),0),0))))</f>
        <v>0</v>
      </c>
      <c r="CT42" s="22">
        <f>IF(CS42=0,0,INDEX(nTP_Lo_n,CS42))</f>
        <v>0</v>
      </c>
      <c r="CU42" s="22">
        <f>IF(CS42=0,0,SUMPRODUCT((nTP_CandKey=BX42)*(nTP_Err="")*(1-nTP_Exact)*((nTP_HT*BN42*((nTP_OK*BO42*(nTP_UTC_n-N(BQ42))+(1-nTP_OK*BO42)*(nTP_Loc_n-N(BP42)))&lt;=0)+(1-nTP_HT*BN42)*(nTP_Hi_n&lt;N(BR42)))+((1-nTP_HT*BN42)*(nTP_Lo_n=nTP_Hi_n)*(nTP_Lo_n=N(BR42))*(N(BR42)=N(BS42))))*(nTP_Hi_n&gt;=CT42)))</f>
        <v>0</v>
      </c>
      <c r="CV42" s="21" t="str">
        <f t="shared" si="29"/>
        <v/>
      </c>
      <c r="CW42" s="21" t="str">
        <f>IF(AND(BG42=1,CB42=1,CV42="",CS42&gt;0),INDEX(nTP_Record_ID,CS42)&amp;"","")</f>
        <v/>
      </c>
      <c r="CX42" s="21" t="str">
        <f>IF(OR(CV42="",BG42=0),"",IF(CV42="none","an administration record (last dose before onset)",IF(CV42="uncertain","the anchor record: "&amp;INDEX(nTP_Record_ID,MATCH(1,INDEX((nTP_CandKey=BX42)*(nTP_Err="")*(1-(nTP_HT*BN42*((nTP_OK*BO42*(nTP_UTC_n-N(BQ42))+(1-nTP_OK*BO42)*(nTP_Loc_n-N(BP42)))&lt;=0)+(1-nTP_HT*BN42)*(nTP_Hi_n&lt;N(BR42)))-(nTP_HT*BN42*((nTP_OK*BO42*(nTP_UTC_n-N(BQ42))+(1-nTP_OK*BO42)*(nTP_Loc_n-N(BP42)))&gt;0)+(1-nTP_HT*BN42)*(nTP_Lo_n&gt;N(BS42)))-((1-nTP_HT*BN42)*(nTP_Lo_n=nTP_Hi_n)*(nTP_Lo_n=N(BR42))*(N(BR42)=N(BS42)))),0),0))&amp;IF(CC42&gt;1," and "&amp;(CC42-1)&amp;" more","")&amp;" may fall before or after the end point, so the last dose cannot be identified from the recorded dates",IF(CV42="noneligible","the anchor record: no administration with an exact date is recorded at or before the end point",IF(CV42="tie","the anchor record: the order of the latest administrations cannot be told from the recorded dates and times","the anchor record: partial-date administration "&amp;INDEX(nTP_Record_ID,MATCH(1,INDEX((nTP_CandKey=BX42)*(nTP_Err="")*(1-nTP_Exact)*((nTP_HT*BN42*((nTP_OK*BO42*(nTP_UTC_n-N(BQ42))+(1-nTP_OK*BO42)*(nTP_Loc_n-N(BP42)))&lt;=0)+(1-nTP_HT*BN42)*(nTP_Hi_n&lt;N(BR42)))+((1-nTP_HT*BN42)*(nTP_Lo_n=nTP_Hi_n)*(nTP_Lo_n=N(BR42))*(N(BR42)=N(BS42))))*(nTP_Hi_n&gt;=CT42),0),0))&amp;" could be the last dose before the end point")))))</f>
        <v/>
      </c>
      <c r="CY42" s="22">
        <f>IF(OR(AW42=1,AJ42=""),0,IFERROR(MATCH(AX42&amp;"|"&amp;AJ42,nTP_Key,0),0))</f>
        <v>0</v>
      </c>
      <c r="CZ42" s="21">
        <f>IF(CY42=0,0,INDEX(nTP_Dup,CY42))</f>
        <v>0</v>
      </c>
      <c r="DA42" s="21" t="str">
        <f>IF(CY42=0,"",INDEX(nTP_Record_Type,CY42))</f>
        <v/>
      </c>
      <c r="DB42" s="21" t="str">
        <f>IF(CY42=0,"",INDEX(nTP_Precision,CY42))</f>
        <v/>
      </c>
      <c r="DC42" s="21" t="str">
        <f>IF(CY42=0,"",INDEX(nTP_Err,CY42))</f>
        <v/>
      </c>
      <c r="DD42" s="21">
        <f>IF(CY42=0,0,INDEX(nTP_HT,CY42))</f>
        <v>0</v>
      </c>
      <c r="DE42" s="21">
        <f>IF(CY42=0,0,INDEX(nTP_OK,CY42))</f>
        <v>0</v>
      </c>
      <c r="DF42" s="21" t="str">
        <f>IF(CY42=0,"",INDEX(nTP_Loc,CY42))</f>
        <v/>
      </c>
      <c r="DG42" s="21" t="str">
        <f>IF(CY42=0,"",INDEX(nTP_UTC,CY42))</f>
        <v/>
      </c>
      <c r="DH42" s="21" t="str">
        <f>IF(CY42=0,"",INDEX(nTP_Lo,CY42))</f>
        <v/>
      </c>
      <c r="DI42" s="21" t="str">
        <f>IF(CY42=0,"",INDEX(nTP_Hi,CY42))</f>
        <v/>
      </c>
      <c r="DJ42" s="21" t="str">
        <f>IF(CY42=0,"",INDEX(nTP_Original_Text,CY42))</f>
        <v/>
      </c>
      <c r="DK42" s="21" t="str">
        <f>IF(CY42=0,"",INDEX(nTP_Source,CY42))</f>
        <v/>
      </c>
      <c r="DL42" s="22">
        <f t="shared" si="30"/>
        <v>0</v>
      </c>
      <c r="DM42" s="21" t="str">
        <f t="shared" si="31"/>
        <v/>
      </c>
      <c r="DN42" s="21" t="str">
        <f t="shared" si="32"/>
        <v/>
      </c>
      <c r="DO42" s="21" t="str">
        <f t="shared" si="33"/>
        <v/>
      </c>
      <c r="DP42" s="21" t="str">
        <f t="shared" si="34"/>
        <v/>
      </c>
      <c r="DQ42" s="21" t="str">
        <f t="shared" si="35"/>
        <v/>
      </c>
      <c r="DR42" s="22">
        <f>IF(OR(DQ42="",I42=""),0,IF(ISNA(MATCH(I42,nLIST_Mode,0)),1,IF(AND(I42="C1",DQ42&lt;&gt;"C1"),1,IF(AND(I42="C2",DQ42="C4"),1,0))))</f>
        <v>0</v>
      </c>
      <c r="DS42" s="21" t="str">
        <f t="shared" si="36"/>
        <v/>
      </c>
      <c r="DT42" s="22">
        <f t="shared" si="37"/>
        <v>0</v>
      </c>
      <c r="DU42" s="21" t="str">
        <f>IF(DT42=0,"",IF(COUNTIFS(nTP_Case_Key,AX42,nTP_Record_Type,"MILESTONE:INTERVENTION",nTP_Err,"E_INVALID_DATE")&gt;0,"; E_INVALID_DATE","")&amp;IF(COUNTIFS(nTP_Case_Key,AX42,nTP_Record_Type,"MILESTONE:INTERVENTION",nTP_Err,"E_REVERSED_BOUNDS")&gt;0,"; E_REVERSED_BOUNDS","")&amp;IF(COUNTIFS(nTP_Case_Key,AX42,nTP_Record_Type,"MILESTONE:INTERVENTION",nTP_Err,"E_MISSING_INPUT")&gt;0,"; E_MISSING_INPUT","")&amp;IF(COUNTIFS(nTP_Case_Key,AX42,nTP_Record_Type,"MILESTONE:INTERVENTION",nTP_Err,"E_INVALID_UNIT")&gt;0,"; E_INVALID_UNIT",""))</f>
        <v/>
      </c>
      <c r="DV42" s="22">
        <f>IF(DT42=0,0,SUMPRODUCT((nMS_CaseKey=AX42)*(nMS_Type="INTERVENTION")*nMS_Undated))</f>
        <v>0</v>
      </c>
      <c r="DW42" s="21" t="str">
        <f t="shared" si="38"/>
        <v/>
      </c>
      <c r="DX42" s="21" t="str">
        <f t="shared" si="39"/>
        <v/>
      </c>
      <c r="DY42" s="22">
        <f t="shared" si="40"/>
        <v>1</v>
      </c>
      <c r="DZ42" s="21" t="str">
        <f t="shared" si="41"/>
        <v/>
      </c>
      <c r="EA42" s="21" t="str">
        <f t="shared" si="42"/>
        <v/>
      </c>
      <c r="EB42" s="21" t="str">
        <f t="shared" si="43"/>
        <v/>
      </c>
      <c r="EC42" s="21" t="str">
        <f t="shared" si="44"/>
        <v/>
      </c>
      <c r="ED42" s="22">
        <f t="shared" si="45"/>
        <v>0</v>
      </c>
      <c r="EE42" s="22">
        <f t="shared" si="46"/>
        <v>0</v>
      </c>
      <c r="EF42" s="21" t="str">
        <f>IF(ED42=0,"",IF(OR(NOT(ISNUMBER(L42)),NOT(ISNUMBER(M42))),"I_APPROXIMATE_NOT_COMPARED",IF(AND(N42&lt;&gt;"",ISNA(MATCH(N42,nLIST_ReportedUnit,0))),"E_INVALID_UNIT",IF(N42="","E_MISSING_INPUT",IF(L42&gt;M42,"E_REVERSED_BOUNDS",IF(OR(N42="weeks",N42="months",N42="years"),"I_APPROXIMATE_NOT_COMPARED",IF(DX42&lt;&gt;"","",IF(EE42=0,"I_APPROXIMATE_NOT_COMPARED",IF(AND(L42*EE42&lt;=IF(DS42="C4",EC42,IF(DS42="C1",DZ42,EA42)),M42*EE42&gt;=IF(DS42="C4",EB42,IF(DS42="C1",DZ42,EA42))),"OVERLAP","W_REPORTED_TIMING_CONFLICT")))))))))</f>
        <v/>
      </c>
      <c r="EG42" s="21" t="str">
        <f t="shared" si="47"/>
        <v/>
      </c>
      <c r="EH42" s="21" t="str">
        <f t="shared" si="48"/>
        <v/>
      </c>
      <c r="EI42" s="22">
        <f t="shared" si="49"/>
        <v>0</v>
      </c>
      <c r="EJ42" s="22">
        <f t="shared" si="50"/>
        <v>0</v>
      </c>
      <c r="EK42" s="22">
        <f t="shared" si="51"/>
        <v>0</v>
      </c>
      <c r="EL42" s="28" t="str">
        <f t="shared" si="52"/>
        <v/>
      </c>
      <c r="EM42" s="28" t="str">
        <f t="shared" si="53"/>
        <v/>
      </c>
      <c r="EN42" s="21" t="str">
        <f t="shared" si="54"/>
        <v/>
      </c>
      <c r="EO42" s="22">
        <f>IF(OR(DT42=0,DX42&lt;&gt;""),0,SUMPRODUCT((nTP_Case_Key=AX42)*(nTP_Record_Type="MILESTONE:INTERVENTION")*(nTP_Err="")*(nTP_HT*DD42*BN42*(nTP_OK*DE42*(nTP_UTC_n&gt;=N(DG42))+(1-nTP_OK*DE42)*(nTP_Loc_n&gt;=N(DF42)))*(nTP_OK*BO42*(nTP_UTC_n&lt;=N(BQ42))+(1-nTP_OK*BO42)*(nTP_Loc_n&lt;=N(BP42)))+(1-nTP_HT*DD42*BN42)*(nTP_Hi_n&gt;=N(DH42))*(nTP_Lo_n&lt;=N(BS42)))))</f>
        <v>0</v>
      </c>
      <c r="EP42" s="22">
        <f>IF(OR(DT42=0,DX42&lt;&gt;""),0,SUMPRODUCT((nTP_Case_Key=AX42)*(nTP_Role="treatment of the event")*((nTP_Record_Type="EXPOSURE_START")+(nTP_Record_Type="ADMINISTRATION"))*(nTP_Err="")*(nTP_HT*DD42*BN42*(nTP_OK*DE42*(nTP_UTC_n&gt;=N(DG42))+(1-nTP_OK*DE42)*(nTP_Loc_n&gt;=N(DF42)))*(nTP_OK*BO42*(nTP_UTC_n&lt;=N(BQ42))+(1-nTP_OK*BO42)*(nTP_Loc_n&lt;=N(BP42)))+(1-nTP_HT*DD42*BN42)*(nTP_Hi_n&gt;=N(DH42))*(nTP_Lo_n&lt;=N(BS42)))))</f>
        <v>0</v>
      </c>
      <c r="EQ42" s="22">
        <f>IF(EO42&lt;1,0,IFERROR(_xlfn.AGGREGATE(15,6,nTP_RowN/((nTP_Case_Key=AX42)*(nTP_Record_Type="MILESTONE:INTERVENTION")*(nTP_Err="")*(nTP_HT*DD42*BN42*(nTP_OK*DE42*(nTP_UTC_n&gt;=N(DG42))+(1-nTP_OK*DE42)*(nTP_Loc_n&gt;=N(DF42)))*(nTP_OK*BO42*(nTP_UTC_n&lt;=N(BQ42))+(1-nTP_OK*BO42)*(nTP_Loc_n&lt;=N(BP42)))+(1-nTP_HT*DD42*BN42)*(nTP_Hi_n&gt;=N(DH42))*(nTP_Lo_n&lt;=N(BS42)))),1),0))</f>
        <v>0</v>
      </c>
      <c r="ER42" s="22">
        <f>IF(EO42&lt;2,0,IFERROR(_xlfn.AGGREGATE(15,6,nTP_RowN/((nTP_Case_Key=AX42)*(nTP_Record_Type="MILESTONE:INTERVENTION")*(nTP_Err="")*(nTP_HT*DD42*BN42*(nTP_OK*DE42*(nTP_UTC_n&gt;=N(DG42))+(1-nTP_OK*DE42)*(nTP_Loc_n&gt;=N(DF42)))*(nTP_OK*BO42*(nTP_UTC_n&lt;=N(BQ42))+(1-nTP_OK*BO42)*(nTP_Loc_n&lt;=N(BP42)))+(1-nTP_HT*DD42*BN42)*(nTP_Hi_n&gt;=N(DH42))*(nTP_Lo_n&lt;=N(BS42)))),2),0))</f>
        <v>0</v>
      </c>
      <c r="ES42" s="22">
        <f>IF(EO42&lt;3,0,IFERROR(_xlfn.AGGREGATE(15,6,nTP_RowN/((nTP_Case_Key=AX42)*(nTP_Record_Type="MILESTONE:INTERVENTION")*(nTP_Err="")*(nTP_HT*DD42*BN42*(nTP_OK*DE42*(nTP_UTC_n&gt;=N(DG42))+(1-nTP_OK*DE42)*(nTP_Loc_n&gt;=N(DF42)))*(nTP_OK*BO42*(nTP_UTC_n&lt;=N(BQ42))+(1-nTP_OK*BO42)*(nTP_Loc_n&lt;=N(BP42)))+(1-nTP_HT*DD42*BN42)*(nTP_Hi_n&gt;=N(DH42))*(nTP_Lo_n&lt;=N(BS42)))),3),0))</f>
        <v>0</v>
      </c>
      <c r="ET42" s="22">
        <f>IF(EP42&lt;1,0,IFERROR(_xlfn.AGGREGATE(15,6,nTP_RowN/((nTP_Case_Key=AX42)*(nTP_Role="treatment of the event")*((nTP_Record_Type="EXPOSURE_START")+(nTP_Record_Type="ADMINISTRATION"))*(nTP_Err="")*(nTP_HT*DD42*BN42*(nTP_OK*DE42*(nTP_UTC_n&gt;=N(DG42))+(1-nTP_OK*DE42)*(nTP_Loc_n&gt;=N(DF42)))*(nTP_OK*BO42*(nTP_UTC_n&lt;=N(BQ42))+(1-nTP_OK*BO42)*(nTP_Loc_n&lt;=N(BP42)))+(1-nTP_HT*DD42*BN42)*(nTP_Hi_n&gt;=N(DH42))*(nTP_Lo_n&lt;=N(BS42)))),1),0))</f>
        <v>0</v>
      </c>
      <c r="EU42" s="22">
        <f>IF(EP42&lt;2,0,IFERROR(_xlfn.AGGREGATE(15,6,nTP_RowN/((nTP_Case_Key=AX42)*(nTP_Role="treatment of the event")*((nTP_Record_Type="EXPOSURE_START")+(nTP_Record_Type="ADMINISTRATION"))*(nTP_Err="")*(nTP_HT*DD42*BN42*(nTP_OK*DE42*(nTP_UTC_n&gt;=N(DG42))+(1-nTP_OK*DE42)*(nTP_Loc_n&gt;=N(DF42)))*(nTP_OK*BO42*(nTP_UTC_n&lt;=N(BQ42))+(1-nTP_OK*BO42)*(nTP_Loc_n&lt;=N(BP42)))+(1-nTP_HT*DD42*BN42)*(nTP_Hi_n&gt;=N(DH42))*(nTP_Lo_n&lt;=N(BS42)))),2),0))</f>
        <v>0</v>
      </c>
      <c r="EV42" s="22">
        <f>IF(EP42&lt;3,0,IFERROR(_xlfn.AGGREGATE(15,6,nTP_RowN/((nTP_Case_Key=AX42)*(nTP_Role="treatment of the event")*((nTP_Record_Type="EXPOSURE_START")+(nTP_Record_Type="ADMINISTRATION"))*(nTP_Err="")*(nTP_HT*DD42*BN42*(nTP_OK*DE42*(nTP_UTC_n&gt;=N(DG42))+(1-nTP_OK*DE42)*(nTP_Loc_n&gt;=N(DF42)))*(nTP_OK*BO42*(nTP_UTC_n&lt;=N(BQ42))+(1-nTP_OK*BO42)*(nTP_Loc_n&lt;=N(BP42)))+(1-nTP_HT*DD42*BN42)*(nTP_Hi_n&gt;=N(DH42))*(nTP_Lo_n&lt;=N(BS42)))),3),0))</f>
        <v>0</v>
      </c>
      <c r="EW42" s="22">
        <f>IF(CE42&lt;1,0,IFERROR(_xlfn.AGGREGATE(15,6,nTP_RowN/((nTP_CandKey=BX42)*(nTP_Err="")*(1-nTP_Exact)*((nTP_HT*BN42*((nTP_OK*BO42*(nTP_UTC_n-N(BQ42))+(1-nTP_OK*BO42)*(nTP_Loc_n-N(BP42)))&lt;=0)+(1-nTP_HT*BN42)*(nTP_Hi_n&lt;N(BR42)))+((1-nTP_HT*BN42)*(nTP_Lo_n=nTP_Hi_n)*(nTP_Lo_n=N(BR42))*(N(BR42)=N(BS42))))),1),0))</f>
        <v>0</v>
      </c>
      <c r="EX42" s="22">
        <f>IF(CE42&lt;2,0,IFERROR(_xlfn.AGGREGATE(15,6,nTP_RowN/((nTP_CandKey=BX42)*(nTP_Err="")*(1-nTP_Exact)*((nTP_HT*BN42*((nTP_OK*BO42*(nTP_UTC_n-N(BQ42))+(1-nTP_OK*BO42)*(nTP_Loc_n-N(BP42)))&lt;=0)+(1-nTP_HT*BN42)*(nTP_Hi_n&lt;N(BR42)))+((1-nTP_HT*BN42)*(nTP_Lo_n=nTP_Hi_n)*(nTP_Lo_n=N(BR42))*(N(BR42)=N(BS42))))),2),0))</f>
        <v>0</v>
      </c>
      <c r="EY42" s="22">
        <f>IF(CE42&lt;3,0,IFERROR(_xlfn.AGGREGATE(15,6,nTP_RowN/((nTP_CandKey=BX42)*(nTP_Err="")*(1-nTP_Exact)*((nTP_HT*BN42*((nTP_OK*BO42*(nTP_UTC_n-N(BQ42))+(1-nTP_OK*BO42)*(nTP_Loc_n-N(BP42)))&lt;=0)+(1-nTP_HT*BN42)*(nTP_Hi_n&lt;N(BR42)))+((1-nTP_HT*BN42)*(nTP_Lo_n=nTP_Hi_n)*(nTP_Lo_n=N(BR42))*(N(BR42)=N(BS42))))),3),0))</f>
        <v>0</v>
      </c>
      <c r="EZ42" s="21" t="str">
        <f>IF(EO42=0,"",MID(IF(EQ42&gt;0,"; "&amp;INDEX(nTP_Record_ID,EQ42)&amp;IF(INDEX(nTP_Label,EQ42)="",""," ("&amp;INDEX(nTP_Label,EQ42)&amp;")"),"")&amp;IF(ER42&gt;0,"; "&amp;INDEX(nTP_Record_ID,ER42)&amp;IF(INDEX(nTP_Label,ER42)="",""," ("&amp;INDEX(nTP_Label,ER42)&amp;")"),"")&amp;IF(ES42&gt;0,"; "&amp;INDEX(nTP_Record_ID,ES42)&amp;IF(INDEX(nTP_Label,ES42)="",""," ("&amp;INDEX(nTP_Label,ES42)&amp;")"),"")&amp;IF(EO42&gt;3,"; and "&amp;(EO42-3)&amp;" more",""),3,999))</f>
        <v/>
      </c>
      <c r="FA42" s="21" t="str">
        <f>IF(EO42=0,"",MID(IF(EQ42&gt;0,"; "&amp;INDEX(nTP_Record_ID,EQ42),"")&amp;IF(ER42&gt;0,"; "&amp;INDEX(nTP_Record_ID,ER42),"")&amp;IF(ES42&gt;0,"; "&amp;INDEX(nTP_Record_ID,ES42),"")&amp;IF(EO42&gt;3,"; and "&amp;(EO42-3)&amp;" more",""),3,999))</f>
        <v/>
      </c>
      <c r="FB42" s="21" t="str">
        <f>IF(EP42=0,"",MID(IF(ET42&gt;0,"; "&amp;INDEX(nTP_Record_ID,ET42)&amp;IF(INDEX(nTP_Label,ET42)="",""," ("&amp;INDEX(nTP_Label,ET42)&amp;")"),"")&amp;IF(EU42&gt;0,"; "&amp;INDEX(nTP_Record_ID,EU42)&amp;IF(INDEX(nTP_Label,EU42)="",""," ("&amp;INDEX(nTP_Label,EU42)&amp;")"),"")&amp;IF(EV42&gt;0,"; "&amp;INDEX(nTP_Record_ID,EV42)&amp;IF(INDEX(nTP_Label,EV42)="",""," ("&amp;INDEX(nTP_Label,EV42)&amp;")"),"")&amp;IF(EP42&gt;3,"; and "&amp;(EP42-3)&amp;" more",""),3,999))</f>
        <v/>
      </c>
      <c r="FC42" s="21" t="str">
        <f>IF(CE42=0,"",MID(IF(EW42&gt;0,"; "&amp;INDEX(nTP_Record_ID,EW42),"")&amp;IF(EX42&gt;0,"; "&amp;INDEX(nTP_Record_ID,EX42),"")&amp;IF(EY42&gt;0,"; "&amp;INDEX(nTP_Record_ID,EY42),"")&amp;IF(CE42&gt;3,"; and "&amp;(CE42-3)&amp;" more",""),3,999))</f>
        <v/>
      </c>
      <c r="FD42" s="22">
        <f t="shared" si="55"/>
        <v>0</v>
      </c>
      <c r="FE42" s="22">
        <f t="shared" si="56"/>
        <v>0</v>
      </c>
      <c r="FF42" s="22">
        <f t="shared" si="57"/>
        <v>0</v>
      </c>
      <c r="FG42" s="22">
        <f t="shared" si="58"/>
        <v>0</v>
      </c>
      <c r="FH42" s="22">
        <f t="shared" si="59"/>
        <v>0</v>
      </c>
      <c r="FI42" s="22">
        <f t="shared" si="60"/>
        <v>0</v>
      </c>
      <c r="FJ42" s="22">
        <f t="shared" si="61"/>
        <v>0</v>
      </c>
      <c r="FK42" s="22">
        <f t="shared" si="62"/>
        <v>0</v>
      </c>
    </row>
    <row r="43" spans="1:167" x14ac:dyDescent="0.2">
      <c r="A43" s="10"/>
      <c r="B43" s="10"/>
      <c r="C43" s="12"/>
      <c r="D43" s="10"/>
      <c r="E43" s="17"/>
      <c r="F43" s="10"/>
      <c r="G43" s="10"/>
      <c r="H43" s="10"/>
      <c r="I43" s="17"/>
      <c r="J43" s="17"/>
      <c r="K43" s="10"/>
      <c r="L43" s="17"/>
      <c r="M43" s="17"/>
      <c r="N43" s="17"/>
      <c r="O43" s="10"/>
      <c r="P43" s="15"/>
      <c r="Q43" s="15"/>
      <c r="R43" s="10"/>
      <c r="S43" s="10"/>
      <c r="T43" s="21" t="str">
        <f t="shared" si="0"/>
        <v/>
      </c>
      <c r="U43" s="21" t="str">
        <f t="shared" si="1"/>
        <v/>
      </c>
      <c r="V43" s="21" t="str">
        <f t="shared" si="2"/>
        <v/>
      </c>
      <c r="W43" s="21" t="str">
        <f t="shared" si="3"/>
        <v/>
      </c>
      <c r="X43" s="21" t="str">
        <f t="shared" si="4"/>
        <v/>
      </c>
      <c r="Y43" s="21" t="str">
        <f t="shared" si="5"/>
        <v/>
      </c>
      <c r="Z43" s="21" t="str">
        <f t="shared" si="6"/>
        <v/>
      </c>
      <c r="AA43" s="21" t="str">
        <f t="shared" si="7"/>
        <v/>
      </c>
      <c r="AB43" s="21" t="str">
        <f t="shared" si="8"/>
        <v/>
      </c>
      <c r="AC43" s="21" t="str">
        <f t="shared" si="9"/>
        <v/>
      </c>
      <c r="AD43" s="21" t="str">
        <f>IF(AW43=1,"",MID(IF(ISNUMBER(SEARCH("E_INVALID_DATE",EG43))," | E_INVALID_DATE: "&amp;SUBSTITUTE(IFERROR(INDEX(nMSG_Text,MATCH("E_INVALID_DATE",nMSG_Code,0)),""),"[input]",""),"")&amp;IF(ISNUMBER(SEARCH("E_REVERSED_BOUNDS",EG43))," | E_REVERSED_BOUNDS: "&amp;SUBSTITUTE(IFERROR(INDEX(nMSG_Text,MATCH("E_REVERSED_BOUNDS",nMSG_Code,0)),""),"[input]",""),"")&amp;IF(ISNUMBER(SEARCH("E_DUPLICATE_ID",EG43))," | E_DUPLICATE_ID: "&amp;SUBSTITUTE(IFERROR(INDEX(nMSG_Text,MATCH("E_DUPLICATE_ID",nMSG_Code,0)),""),"[input]",""),"")&amp;IF(ISNUMBER(SEARCH("E_MISSING_LINK",EG43))," | E_MISSING_LINK: "&amp;SUBSTITUTE(IFERROR(INDEX(nMSG_Text,MATCH("E_MISSING_LINK",nMSG_Code,0)),""),"[input]",""),"")&amp;IF(ISNUMBER(SEARCH("E_MISSING_INPUT",EG43))," | E_MISSING_INPUT: "&amp;SUBSTITUTE(IFERROR(INDEX(nMSG_Text,MATCH("E_MISSING_INPUT",nMSG_Code,0)),""),"[input]",IF(EH43="","an input",EH43)),"")&amp;IF(ISNUMBER(SEARCH("E_INVALID_UNIT",EG43))," | E_INVALID_UNIT: "&amp;SUBSTITUTE(IFERROR(INDEX(nMSG_Text,MATCH("E_INVALID_UNIT",nMSG_Code,0)),""),"[input]",""),"")&amp;IF(FD43=1," | W_TZ_UNKNOWN: "&amp;SUBSTITUTE(IFERROR(INDEX(nMSG_Text,MATCH("W_TZ_UNKNOWN",nMSG_Code,0)),""),"[input]",""),"")&amp;IF(FE43=1," | W_SAME_DATE_ORDER_UNKNOWN: "&amp;SUBSTITUTE(IFERROR(INDEX(nMSG_Text,MATCH("W_SAME_DATE_ORDER_UNKNOWN",nMSG_Code,0)),""),"[input]",""),"")&amp;IF(FF43=1," | W_SEQUENCE_UNCERTAIN: "&amp;SUBSTITUTE(IFERROR(INDEX(nMSG_Text,MATCH("W_SEQUENCE_UNCERTAIN",nMSG_Code,0)),""),"[input]",""),"")&amp;IF(FG43=1," | W_ADMIN_SAME_DATE_AS_ONSET: "&amp;SUBSTITUTE(IFERROR(INDEX(nMSG_Text,MATCH("W_ADMIN_SAME_DATE_AS_ONSET",nMSG_Code,0)),""),"[input]",""),"")&amp;IF(FH43=1," | W_REPORTED_TIMING_CONFLICT: "&amp;SUBSTITUTE(IFERROR(INDEX(nMSG_Text,MATCH("W_REPORTED_TIMING_CONFLICT",nMSG_Code,0)),""),"[input]",""),"")&amp;IF(FI43=1," | W_INTERVENTION_BEFORE_RECOVERY: "&amp;SUBSTITUTE(IFERROR(INDEX(nMSG_Text,MATCH("W_INTERVENTION_BEFORE_RECOVERY",nMSG_Code,0)),""),"[input]",""),"")&amp;IF(FJ43=1," | I_TREATMENT_DAY_UNDEFINED: "&amp;SUBSTITUTE(IFERROR(INDEX(nMSG_Text,MATCH("I_TREATMENT_DAY_UNDEFINED",nMSG_Code,0)),""),"[input]",""),"")&amp;IF(FK43=1," | I_APPROXIMATE_NOT_COMPARED: "&amp;SUBSTITUTE(IFERROR(INDEX(nMSG_Text,MATCH("I_APPROXIMATE_NOT_COMPARED",nMSG_Code,0)),""),"[input]",""),""),4,9999))</f>
        <v/>
      </c>
      <c r="AE43" s="21" t="str">
        <f t="shared" si="10"/>
        <v/>
      </c>
      <c r="AF43" s="21" t="str">
        <f t="shared" si="11"/>
        <v/>
      </c>
      <c r="AG43" s="21" t="str">
        <f>IF(EN43="","",MID(IF(ISNUMBER(SEARCH("E_REVERSED_BOUNDS",EN43))," | E_REVERSED_BOUNDS: "&amp;SUBSTITUTE(IFERROR(INDEX(nMSG_Text,MATCH("E_REVERSED_BOUNDS",nMSG_Code,0)),""),"[input]",""),"")&amp;IF(ISNUMBER(SEARCH("E_MISSING_INPUT",EN43))," | E_MISSING_INPUT: "&amp;SUBSTITUTE(IFERROR(INDEX(nMSG_Text,MATCH("E_MISSING_INPUT",nMSG_Code,0)),""),"[input]",IF("the source of the constraint"="","an input","the source of the constraint")),""),4,999))</f>
        <v/>
      </c>
      <c r="AH43" s="21" t="str">
        <f t="shared" si="12"/>
        <v/>
      </c>
      <c r="AI43" s="21" t="str">
        <f t="shared" si="13"/>
        <v/>
      </c>
      <c r="AJ43" s="21" t="str">
        <f t="shared" si="14"/>
        <v/>
      </c>
      <c r="AK43" s="21" t="str">
        <f t="shared" si="15"/>
        <v/>
      </c>
      <c r="AL43" s="21" t="str">
        <f>IF(CY43=0,"",INDEX(nTP_ISO,CY43))</f>
        <v/>
      </c>
      <c r="AM43" s="21" t="str">
        <f>IF(CY43=0,"",INDEX(nTP_Display,CY43))</f>
        <v/>
      </c>
      <c r="AN43" s="21" t="str">
        <f>IF(BI43=0,"",INDEX(nTP_ISO,BI43))</f>
        <v/>
      </c>
      <c r="AO43" s="21" t="str">
        <f>IF(BI43=0,"",INDEX(nTP_Display,BI43))</f>
        <v/>
      </c>
      <c r="AP43" s="21" t="str">
        <f>IF(BA43=0,"",INDEX(nLNK_Exposure_Episode_ID,BA43)&amp;"")</f>
        <v/>
      </c>
      <c r="AQ43" s="21" t="str">
        <f>IF(BA43=0,"",INDEX(nLNK_Event_Episode_ID,BA43)&amp;"")</f>
        <v/>
      </c>
      <c r="AR43" s="21" t="str">
        <f t="shared" si="16"/>
        <v/>
      </c>
      <c r="AS43" s="21" t="str">
        <f>IF(EI43=0,"",MID(IF(DT43=1," | Recovery interval (C7) computed with "&amp;DS43&amp;".","")&amp;IF(BG43=1," | Anchor selected under C5 (CALC-SPEC 1.1): latest administration with an exact date or time at or before "&amp;IF(BH43=1,"onset","the end point")&amp;" ("&amp;AJ43&amp;"), ordered in UTC when offsets are known; later administrations are never selected.","")&amp;IF(AND(BG43=1,CE43&gt;0)," | Partial-date administrations wholly before the selected one were not candidates: "&amp;FC43&amp;".","")&amp;IF(BV43&lt;&gt;""," | "&amp;BV43,"")&amp;IF(AND(DS43="C2",EA43=0,DZ43&lt;&gt;"")," | Same calendar date; both times are known, so C1 decides the order ("&amp;AA43&amp;").","")&amp;IF(AND(DS43="C2",DD43*BN43=1,DT43=0)," | Calendar-date difference from the recorded local dates; it is never described as elapsed days.","")&amp;IF(AND(DS43="C4",DT43=0)," | Bounds are treated as independent; no single date is imputed from them.","")&amp;IF(EJ43=1," | Treatment day under the inclusive convention (C3); never written to E2B fields automatically.","")&amp;IF(AND(DS43="C4",DT43=0,EK43=0)," | No constraint applied.","")&amp;IF(AND(DS43="C4",EK43=1)," | Constraint applied to the anchor bounds: "&amp;IF(ISNUMBER(P43),"not before "&amp;DAY(P43)&amp;" "&amp;INDEX(nLIST_Months,MONTH(P43))&amp;" "&amp;YEAR(P43),"")&amp;IF(AND(ISNUMBER(P43),ISNUMBER(Q43)),", ","")&amp;IF(ISNUMBER(Q43),"not after "&amp;DAY(Q43)&amp;" "&amp;INDEX(nLIST_Months,MONTH(Q43))&amp;" "&amp;YEAR(Q43),"")&amp;". Source: "&amp;IF(R43="","not recorded",R43)&amp;IF(EN43="",". Constrained result shown beside the unconstrained one.",". Constrained result blocked ("&amp;EN43&amp;")."),"")&amp;IF(DT43=1,IF(EO43&gt;0," | Intervention recorded between cessation and recovery (ends included): "&amp;EZ43&amp;"."," | No intervention is recorded between cessation and recovery; absence of a record is not evidence that none was given."),"")&amp;IF(AND(DT43=1,DV43&gt;0)," | Intervention recorded without a date, so whether it came before recovery is unknown: "&amp;INDEX(nMS_Milestone_ID,MATCH(1,INDEX((nMS_CaseKey=AX43)*(nMS_Type="INTERVENTION")*nMS_Undated,0),0))&amp;IF(DV43&gt;1," and "&amp;(DV43-1)&amp;" more","")&amp;".","")&amp;IF(AND(DT43=1,EP43&gt;0)," | Not counted as interventions, because they are recorded as exposures rather than as intervention milestones (nothing is inferred): "&amp;FB43&amp;". If treatment was given, record it as an intervention milestone.",""),4,9999))</f>
        <v/>
      </c>
      <c r="AT43" s="21" t="str">
        <f t="shared" si="17"/>
        <v/>
      </c>
      <c r="AU43" s="21" t="str">
        <f t="shared" si="18"/>
        <v/>
      </c>
      <c r="AV43" s="21" t="str">
        <f t="shared" si="19"/>
        <v/>
      </c>
      <c r="AW43" s="22">
        <f t="shared" si="20"/>
        <v>1</v>
      </c>
      <c r="AX43" s="21" t="str">
        <f t="shared" si="21"/>
        <v>|</v>
      </c>
      <c r="AY43" s="21" t="str">
        <f t="shared" si="22"/>
        <v/>
      </c>
      <c r="AZ43" s="22">
        <f>IF(AY43="",0,COUNTIF(nINT_Key,AY43))</f>
        <v>0</v>
      </c>
      <c r="BA43" s="22">
        <f>IF(D43="",0,IFERROR(MATCH(AX43&amp;"|"&amp;D43,nLNK_Key,0),0))</f>
        <v>0</v>
      </c>
      <c r="BB43" s="22">
        <f>IF(BA43=0,1,INDEX(nLNK_Exp_Found,BA43))</f>
        <v>1</v>
      </c>
      <c r="BC43" s="22">
        <f>IF(BA43=0,1,INDEX(nLNK_Evt_Found,BA43))</f>
        <v>1</v>
      </c>
      <c r="BD43" s="22">
        <f>IF(AP43="",0,COUNTIF(nEXP_Key,AX43&amp;"|"&amp;AP43))</f>
        <v>0</v>
      </c>
      <c r="BE43" s="22">
        <f>IF(AQ43="",0,COUNTIF(nEVT_Key,AX43&amp;"|"&amp;AQ43))</f>
        <v>0</v>
      </c>
      <c r="BF43" s="22">
        <f>IF(ISNA(MATCH(E43,nLIST_AnchorType,0)),0,1)</f>
        <v>0</v>
      </c>
      <c r="BG43" s="22">
        <f t="shared" si="23"/>
        <v>0</v>
      </c>
      <c r="BH43" s="22">
        <f t="shared" si="24"/>
        <v>0</v>
      </c>
      <c r="BI43" s="22">
        <f>IF(OR(AW43=1,AK43=""),0,IFERROR(MATCH(AX43&amp;"|"&amp;AK43,nTP_Key,0),0))</f>
        <v>0</v>
      </c>
      <c r="BJ43" s="21">
        <f>IF(BI43=0,0,INDEX(nTP_Dup,BI43))</f>
        <v>0</v>
      </c>
      <c r="BK43" s="21" t="str">
        <f>IF(BI43=0,"",INDEX(nTP_Record_Type,BI43))</f>
        <v/>
      </c>
      <c r="BL43" s="21" t="str">
        <f>IF(BI43=0,"",INDEX(nTP_Precision,BI43))</f>
        <v/>
      </c>
      <c r="BM43" s="21" t="str">
        <f>IF(BI43=0,"",INDEX(nTP_Err,BI43))</f>
        <v/>
      </c>
      <c r="BN43" s="21">
        <f>IF(BI43=0,0,INDEX(nTP_HT,BI43))</f>
        <v>0</v>
      </c>
      <c r="BO43" s="21">
        <f>IF(BI43=0,0,INDEX(nTP_OK,BI43))</f>
        <v>0</v>
      </c>
      <c r="BP43" s="21" t="str">
        <f>IF(BI43=0,"",INDEX(nTP_Loc,BI43))</f>
        <v/>
      </c>
      <c r="BQ43" s="21" t="str">
        <f>IF(BI43=0,"",INDEX(nTP_UTC,BI43))</f>
        <v/>
      </c>
      <c r="BR43" s="21" t="str">
        <f>IF(BI43=0,"",INDEX(nTP_Lo,BI43))</f>
        <v/>
      </c>
      <c r="BS43" s="21" t="str">
        <f>IF(BI43=0,"",INDEX(nTP_Hi,BI43))</f>
        <v/>
      </c>
      <c r="BT43" s="21" t="str">
        <f>IF(BI43=0,"",INDEX(nTP_Original_Text,BI43))</f>
        <v/>
      </c>
      <c r="BU43" s="21" t="str">
        <f>IF(BI43=0,"",INDEX(nTP_Source,BI43))</f>
        <v/>
      </c>
      <c r="BV43" s="21" t="str">
        <f>IF(BI43=0,"",INDEX(nTP_Lab_Note,BI43))</f>
        <v/>
      </c>
      <c r="BW43" s="22">
        <f t="shared" si="25"/>
        <v>0</v>
      </c>
      <c r="BX43" s="21" t="str">
        <f t="shared" si="26"/>
        <v>||</v>
      </c>
      <c r="BY43" s="22">
        <f>IF(BG43=0,0,COUNTIF(nTP_CandKey,BX43))</f>
        <v>0</v>
      </c>
      <c r="BZ43" s="22">
        <f>IF(BG43=0,0,COUNTIFS(nTP_CandKey,BX43,nTP_Err,""))</f>
        <v>0</v>
      </c>
      <c r="CA43" s="21" t="str">
        <f>IF(BY43=BZ43,"",IF(COUNTIFS(nTP_CandKey,BX43,nTP_Err,"E_INVALID_DATE")&gt;0,"; E_INVALID_DATE","")&amp;IF(COUNTIFS(nTP_CandKey,BX43,nTP_Err,"E_REVERSED_BOUNDS")&gt;0,"; E_REVERSED_BOUNDS","")&amp;IF(COUNTIFS(nTP_CandKey,BX43,nTP_Err,"E_MISSING_INPUT")&gt;0,"; E_MISSING_INPUT","")&amp;IF(COUNTIFS(nTP_CandKey,BX43,nTP_Err,"E_INVALID_UNIT")&gt;0,"; E_INVALID_UNIT",""))</f>
        <v/>
      </c>
      <c r="CB43" s="22">
        <f t="shared" si="27"/>
        <v>0</v>
      </c>
      <c r="CC43" s="22">
        <f>IF(CB43=0,0,SUMPRODUCT((nTP_CandKey=BX43)*(nTP_Err="")*(1-(nTP_HT*BN43*((nTP_OK*BO43*(nTP_UTC_n-N(BQ43))+(1-nTP_OK*BO43)*(nTP_Loc_n-N(BP43)))&lt;=0)+(1-nTP_HT*BN43)*(nTP_Hi_n&lt;N(BR43)))-(nTP_HT*BN43*((nTP_OK*BO43*(nTP_UTC_n-N(BQ43))+(1-nTP_OK*BO43)*(nTP_Loc_n-N(BP43)))&gt;0)+(1-nTP_HT*BN43)*(nTP_Lo_n&gt;N(BS43)))-((1-nTP_HT*BN43)*(nTP_Lo_n=nTP_Hi_n)*(nTP_Lo_n=N(BR43))*(N(BR43)=N(BS43))))))</f>
        <v>0</v>
      </c>
      <c r="CD43" s="22">
        <f>IF(CB43=0,0,SUMPRODUCT((nTP_CandKey=BX43)*nTP_Exact*((nTP_HT*BN43*((nTP_OK*BO43*(nTP_UTC_n-N(BQ43))+(1-nTP_OK*BO43)*(nTP_Loc_n-N(BP43)))&lt;=0)+(1-nTP_HT*BN43)*(nTP_Hi_n&lt;N(BR43)))+((1-nTP_HT*BN43)*(nTP_Lo_n=nTP_Hi_n)*(nTP_Lo_n=N(BR43))*(N(BR43)=N(BS43))))))</f>
        <v>0</v>
      </c>
      <c r="CE43" s="22">
        <f>IF(CB43=0,0,SUMPRODUCT((nTP_CandKey=BX43)*(nTP_Err="")*(1-nTP_Exact)*((nTP_HT*BN43*((nTP_OK*BO43*(nTP_UTC_n-N(BQ43))+(1-nTP_OK*BO43)*(nTP_Loc_n-N(BP43)))&lt;=0)+(1-nTP_HT*BN43)*(nTP_Hi_n&lt;N(BR43)))+((1-nTP_HT*BN43)*(nTP_Lo_n=nTP_Hi_n)*(nTP_Lo_n=N(BR43))*(N(BR43)=N(BS43))))))</f>
        <v>0</v>
      </c>
      <c r="CF43" s="22">
        <f>IF(CD43=0,0,SUMPRODUCT(MAX((nTP_CandKey=BX43)*nTP_Exact*((nTP_HT*BN43*((nTP_OK*BO43*(nTP_UTC_n-N(BQ43))+(1-nTP_OK*BO43)*(nTP_Loc_n-N(BP43)))&lt;=0)+(1-nTP_HT*BN43)*(nTP_Hi_n&lt;N(BR43)))+((1-nTP_HT*BN43)*(nTP_Lo_n=nTP_Hi_n)*(nTP_Lo_n=N(BR43))*(N(BR43)=N(BS43))))*nTP_Lo_n)))</f>
        <v>0</v>
      </c>
      <c r="CG43" s="22">
        <f>IF(CD43=0,0,SUMPRODUCT((nTP_CandKey=BX43)*nTP_Exact*((nTP_HT*BN43*((nTP_OK*BO43*(nTP_UTC_n-N(BQ43))+(1-nTP_OK*BO43)*(nTP_Loc_n-N(BP43)))&lt;=0)+(1-nTP_HT*BN43)*(nTP_Hi_n&lt;N(BR43)))+((1-nTP_HT*BN43)*(nTP_Lo_n=nTP_Hi_n)*(nTP_Lo_n=N(BR43))*(N(BR43)=N(BS43))))*(nTP_Lo_n=CF43)))</f>
        <v>0</v>
      </c>
      <c r="CH43" s="22">
        <f>IF(CD43=0,0,SUMPRODUCT((nTP_CandKey=BX43)*nTP_Exact*((nTP_HT*BN43*((nTP_OK*BO43*(nTP_UTC_n-N(BQ43))+(1-nTP_OK*BO43)*(nTP_Loc_n-N(BP43)))&lt;=0)+(1-nTP_HT*BN43)*(nTP_Hi_n&lt;N(BR43)))+((1-nTP_HT*BN43)*(nTP_Lo_n=nTP_Hi_n)*(nTP_Lo_n=N(BR43))*(N(BR43)=N(BS43))))*(1-nTP_HT)*(nTP_Lo_n=CF43)))</f>
        <v>0</v>
      </c>
      <c r="CI43" s="22">
        <f>IF(CD43=0,0,SUMPRODUCT(MAX((nTP_CandKey=BX43)*nTP_Exact*((nTP_HT*BN43*((nTP_OK*BO43*(nTP_UTC_n-N(BQ43))+(1-nTP_OK*BO43)*(nTP_Loc_n-N(BP43)))&lt;=0)+(1-nTP_HT*BN43)*(nTP_Hi_n&lt;N(BR43)))+((1-nTP_HT*BN43)*(nTP_Lo_n=nTP_Hi_n)*(nTP_Lo_n=N(BR43))*(N(BR43)=N(BS43))))*(1-nTP_HT)*nTP_Lo_n)))</f>
        <v>0</v>
      </c>
      <c r="CJ43" s="22">
        <f>IF(CD43=0,0,SUMPRODUCT(MAX((nTP_CandKey=BX43)*nTP_Exact*((nTP_HT*BN43*((nTP_OK*BO43*(nTP_UTC_n-N(BQ43))+(1-nTP_OK*BO43)*(nTP_Loc_n-N(BP43)))&lt;=0)+(1-nTP_HT*BN43)*(nTP_Hi_n&lt;N(BR43)))+((1-nTP_HT*BN43)*(nTP_Lo_n=nTP_Hi_n)*(nTP_Lo_n=N(BR43))*(N(BR43)=N(BS43))))*nTP_HT*nTP_OK*nTP_UTC_n)))</f>
        <v>0</v>
      </c>
      <c r="CK43" s="22">
        <f>IF(CJ43=0,0,SUMPRODUCT((nTP_CandKey=BX43)*nTP_Exact*((nTP_HT*BN43*((nTP_OK*BO43*(nTP_UTC_n-N(BQ43))+(1-nTP_OK*BO43)*(nTP_Loc_n-N(BP43)))&lt;=0)+(1-nTP_HT*BN43)*(nTP_Hi_n&lt;N(BR43)))+((1-nTP_HT*BN43)*(nTP_Lo_n=nTP_Hi_n)*(nTP_Lo_n=N(BR43))*(N(BR43)=N(BS43))))*nTP_HT*nTP_OK*(nTP_UTC_n=CJ43)))</f>
        <v>0</v>
      </c>
      <c r="CL43" s="22">
        <f>IF(CK43&lt;&gt;1,0,SUMPRODUCT((nTP_CandKey=BX43)*nTP_Exact*((nTP_HT*BN43*((nTP_OK*BO43*(nTP_UTC_n-N(BQ43))+(1-nTP_OK*BO43)*(nTP_Loc_n-N(BP43)))&lt;=0)+(1-nTP_HT*BN43)*(nTP_Hi_n&lt;N(BR43)))+((1-nTP_HT*BN43)*(nTP_Lo_n=nTP_Hi_n)*(nTP_Lo_n=N(BR43))*(N(BR43)=N(BS43))))*nTP_HT*nTP_OK*(nTP_UTC_n=CJ43)*nTP_Loc_n))</f>
        <v>0</v>
      </c>
      <c r="CM43" s="22">
        <f>IF(CK43&lt;&gt;1,0,SUMPRODUCT((nTP_CandKey=BX43)*nTP_Exact*((nTP_HT*BN43*((nTP_OK*BO43*(nTP_UTC_n-N(BQ43))+(1-nTP_OK*BO43)*(nTP_Loc_n-N(BP43)))&lt;=0)+(1-nTP_HT*BN43)*(nTP_Hi_n&lt;N(BR43)))+((1-nTP_HT*BN43)*(nTP_Lo_n=nTP_Hi_n)*(nTP_Lo_n=N(BR43))*(N(BR43)=N(BS43))))*nTP_HT*nTP_OK*(nTP_UTC_n=CJ43)*nTP_Lo_n))</f>
        <v>0</v>
      </c>
      <c r="CN43" s="22">
        <f>IF(CD43=0,0,SUMPRODUCT(MAX((nTP_CandKey=BX43)*nTP_Exact*((nTP_HT*BN43*((nTP_OK*BO43*(nTP_UTC_n-N(BQ43))+(1-nTP_OK*BO43)*(nTP_Loc_n-N(BP43)))&lt;=0)+(1-nTP_HT*BN43)*(nTP_Hi_n&lt;N(BR43)))+((1-nTP_HT*BN43)*(nTP_Lo_n=nTP_Hi_n)*(nTP_Lo_n=N(BR43))*(N(BR43)=N(BS43))))*nTP_HT*(1-nTP_OK)*nTP_Loc_n)))</f>
        <v>0</v>
      </c>
      <c r="CO43" s="22">
        <f>IF(CN43=0,0,SUMPRODUCT((nTP_CandKey=BX43)*nTP_Exact*((nTP_HT*BN43*((nTP_OK*BO43*(nTP_UTC_n-N(BQ43))+(1-nTP_OK*BO43)*(nTP_Loc_n-N(BP43)))&lt;=0)+(1-nTP_HT*BN43)*(nTP_Hi_n&lt;N(BR43)))+((1-nTP_HT*BN43)*(nTP_Lo_n=nTP_Hi_n)*(nTP_Lo_n=N(BR43))*(N(BR43)=N(BS43))))*nTP_HT*(1-nTP_OK)*(nTP_Loc_n=CN43)))</f>
        <v>0</v>
      </c>
      <c r="CP43" s="22">
        <f>IF(CO43&lt;&gt;1,0,SUMPRODUCT((nTP_CandKey=BX43)*nTP_Exact*((nTP_HT*BN43*((nTP_OK*BO43*(nTP_UTC_n-N(BQ43))+(1-nTP_OK*BO43)*(nTP_Loc_n-N(BP43)))&lt;=0)+(1-nTP_HT*BN43)*(nTP_Hi_n&lt;N(BR43)))+((1-nTP_HT*BN43)*(nTP_Lo_n=nTP_Hi_n)*(nTP_Lo_n=N(BR43))*(N(BR43)=N(BS43))))*nTP_HT*(1-nTP_OK)*(nTP_Loc_n=CN43)*nTP_Lo_n))</f>
        <v>0</v>
      </c>
      <c r="CQ43" s="22">
        <f>IF(CD43=0,0,SUMPRODUCT(MAX((nTP_CandKey=BX43)*nTP_Exact*((nTP_HT*BN43*((nTP_OK*BO43*(nTP_UTC_n-N(BQ43))+(1-nTP_OK*BO43)*(nTP_Loc_n-N(BP43)))&lt;=0)+(1-nTP_HT*BN43)*(nTP_Hi_n&lt;N(BR43)))+((1-nTP_HT*BN43)*(nTP_Lo_n=nTP_Hi_n)*(nTP_Lo_n=N(BR43))*(N(BR43)=N(BS43))))*nTP_HT*nTP_OK*nTP_Loc_n)))</f>
        <v>0</v>
      </c>
      <c r="CR43" s="22">
        <f t="shared" si="28"/>
        <v>0</v>
      </c>
      <c r="CS43" s="22">
        <f>IF(CR43=0,0,IF(CR43=1,MATCH(1,INDEX((nTP_CandKey=BX43)*nTP_Exact*((nTP_HT*BN43*((nTP_OK*BO43*(nTP_UTC_n-N(BQ43))+(1-nTP_OK*BO43)*(nTP_Loc_n-N(BP43)))&lt;=0)+(1-nTP_HT*BN43)*(nTP_Hi_n&lt;N(BR43)))+((1-nTP_HT*BN43)*(nTP_Lo_n=nTP_Hi_n)*(nTP_Lo_n=N(BR43))*(N(BR43)=N(BS43))))*(1-nTP_HT)*(nTP_Lo_n=CF43),0),0),IF(CR43=2,MATCH(1,INDEX((nTP_CandKey=BX43)*nTP_Exact*((nTP_HT*BN43*((nTP_OK*BO43*(nTP_UTC_n-N(BQ43))+(1-nTP_OK*BO43)*(nTP_Loc_n-N(BP43)))&lt;=0)+(1-nTP_HT*BN43)*(nTP_Hi_n&lt;N(BR43)))+((1-nTP_HT*BN43)*(nTP_Lo_n=nTP_Hi_n)*(nTP_Lo_n=N(BR43))*(N(BR43)=N(BS43))))*nTP_HT*nTP_OK*(nTP_UTC_n=CJ43),0),0),MATCH(1,INDEX((nTP_CandKey=BX43)*nTP_Exact*((nTP_HT*BN43*((nTP_OK*BO43*(nTP_UTC_n-N(BQ43))+(1-nTP_OK*BO43)*(nTP_Loc_n-N(BP43)))&lt;=0)+(1-nTP_HT*BN43)*(nTP_Hi_n&lt;N(BR43)))+((1-nTP_HT*BN43)*(nTP_Lo_n=nTP_Hi_n)*(nTP_Lo_n=N(BR43))*(N(BR43)=N(BS43))))*nTP_HT*(1-nTP_OK)*(nTP_Loc_n=CN43),0),0))))</f>
        <v>0</v>
      </c>
      <c r="CT43" s="22">
        <f>IF(CS43=0,0,INDEX(nTP_Lo_n,CS43))</f>
        <v>0</v>
      </c>
      <c r="CU43" s="22">
        <f>IF(CS43=0,0,SUMPRODUCT((nTP_CandKey=BX43)*(nTP_Err="")*(1-nTP_Exact)*((nTP_HT*BN43*((nTP_OK*BO43*(nTP_UTC_n-N(BQ43))+(1-nTP_OK*BO43)*(nTP_Loc_n-N(BP43)))&lt;=0)+(1-nTP_HT*BN43)*(nTP_Hi_n&lt;N(BR43)))+((1-nTP_HT*BN43)*(nTP_Lo_n=nTP_Hi_n)*(nTP_Lo_n=N(BR43))*(N(BR43)=N(BS43))))*(nTP_Hi_n&gt;=CT43)))</f>
        <v>0</v>
      </c>
      <c r="CV43" s="21" t="str">
        <f t="shared" si="29"/>
        <v/>
      </c>
      <c r="CW43" s="21" t="str">
        <f>IF(AND(BG43=1,CB43=1,CV43="",CS43&gt;0),INDEX(nTP_Record_ID,CS43)&amp;"","")</f>
        <v/>
      </c>
      <c r="CX43" s="21" t="str">
        <f>IF(OR(CV43="",BG43=0),"",IF(CV43="none","an administration record (last dose before onset)",IF(CV43="uncertain","the anchor record: "&amp;INDEX(nTP_Record_ID,MATCH(1,INDEX((nTP_CandKey=BX43)*(nTP_Err="")*(1-(nTP_HT*BN43*((nTP_OK*BO43*(nTP_UTC_n-N(BQ43))+(1-nTP_OK*BO43)*(nTP_Loc_n-N(BP43)))&lt;=0)+(1-nTP_HT*BN43)*(nTP_Hi_n&lt;N(BR43)))-(nTP_HT*BN43*((nTP_OK*BO43*(nTP_UTC_n-N(BQ43))+(1-nTP_OK*BO43)*(nTP_Loc_n-N(BP43)))&gt;0)+(1-nTP_HT*BN43)*(nTP_Lo_n&gt;N(BS43)))-((1-nTP_HT*BN43)*(nTP_Lo_n=nTP_Hi_n)*(nTP_Lo_n=N(BR43))*(N(BR43)=N(BS43)))),0),0))&amp;IF(CC43&gt;1," and "&amp;(CC43-1)&amp;" more","")&amp;" may fall before or after the end point, so the last dose cannot be identified from the recorded dates",IF(CV43="noneligible","the anchor record: no administration with an exact date is recorded at or before the end point",IF(CV43="tie","the anchor record: the order of the latest administrations cannot be told from the recorded dates and times","the anchor record: partial-date administration "&amp;INDEX(nTP_Record_ID,MATCH(1,INDEX((nTP_CandKey=BX43)*(nTP_Err="")*(1-nTP_Exact)*((nTP_HT*BN43*((nTP_OK*BO43*(nTP_UTC_n-N(BQ43))+(1-nTP_OK*BO43)*(nTP_Loc_n-N(BP43)))&lt;=0)+(1-nTP_HT*BN43)*(nTP_Hi_n&lt;N(BR43)))+((1-nTP_HT*BN43)*(nTP_Lo_n=nTP_Hi_n)*(nTP_Lo_n=N(BR43))*(N(BR43)=N(BS43))))*(nTP_Hi_n&gt;=CT43),0),0))&amp;" could be the last dose before the end point")))))</f>
        <v/>
      </c>
      <c r="CY43" s="22">
        <f>IF(OR(AW43=1,AJ43=""),0,IFERROR(MATCH(AX43&amp;"|"&amp;AJ43,nTP_Key,0),0))</f>
        <v>0</v>
      </c>
      <c r="CZ43" s="21">
        <f>IF(CY43=0,0,INDEX(nTP_Dup,CY43))</f>
        <v>0</v>
      </c>
      <c r="DA43" s="21" t="str">
        <f>IF(CY43=0,"",INDEX(nTP_Record_Type,CY43))</f>
        <v/>
      </c>
      <c r="DB43" s="21" t="str">
        <f>IF(CY43=0,"",INDEX(nTP_Precision,CY43))</f>
        <v/>
      </c>
      <c r="DC43" s="21" t="str">
        <f>IF(CY43=0,"",INDEX(nTP_Err,CY43))</f>
        <v/>
      </c>
      <c r="DD43" s="21">
        <f>IF(CY43=0,0,INDEX(nTP_HT,CY43))</f>
        <v>0</v>
      </c>
      <c r="DE43" s="21">
        <f>IF(CY43=0,0,INDEX(nTP_OK,CY43))</f>
        <v>0</v>
      </c>
      <c r="DF43" s="21" t="str">
        <f>IF(CY43=0,"",INDEX(nTP_Loc,CY43))</f>
        <v/>
      </c>
      <c r="DG43" s="21" t="str">
        <f>IF(CY43=0,"",INDEX(nTP_UTC,CY43))</f>
        <v/>
      </c>
      <c r="DH43" s="21" t="str">
        <f>IF(CY43=0,"",INDEX(nTP_Lo,CY43))</f>
        <v/>
      </c>
      <c r="DI43" s="21" t="str">
        <f>IF(CY43=0,"",INDEX(nTP_Hi,CY43))</f>
        <v/>
      </c>
      <c r="DJ43" s="21" t="str">
        <f>IF(CY43=0,"",INDEX(nTP_Original_Text,CY43))</f>
        <v/>
      </c>
      <c r="DK43" s="21" t="str">
        <f>IF(CY43=0,"",INDEX(nTP_Source,CY43))</f>
        <v/>
      </c>
      <c r="DL43" s="22">
        <f t="shared" si="30"/>
        <v>0</v>
      </c>
      <c r="DM43" s="21" t="str">
        <f t="shared" si="31"/>
        <v/>
      </c>
      <c r="DN43" s="21" t="str">
        <f t="shared" si="32"/>
        <v/>
      </c>
      <c r="DO43" s="21" t="str">
        <f t="shared" si="33"/>
        <v/>
      </c>
      <c r="DP43" s="21" t="str">
        <f t="shared" si="34"/>
        <v/>
      </c>
      <c r="DQ43" s="21" t="str">
        <f t="shared" si="35"/>
        <v/>
      </c>
      <c r="DR43" s="22">
        <f>IF(OR(DQ43="",I43=""),0,IF(ISNA(MATCH(I43,nLIST_Mode,0)),1,IF(AND(I43="C1",DQ43&lt;&gt;"C1"),1,IF(AND(I43="C2",DQ43="C4"),1,0))))</f>
        <v>0</v>
      </c>
      <c r="DS43" s="21" t="str">
        <f t="shared" si="36"/>
        <v/>
      </c>
      <c r="DT43" s="22">
        <f t="shared" si="37"/>
        <v>0</v>
      </c>
      <c r="DU43" s="21" t="str">
        <f>IF(DT43=0,"",IF(COUNTIFS(nTP_Case_Key,AX43,nTP_Record_Type,"MILESTONE:INTERVENTION",nTP_Err,"E_INVALID_DATE")&gt;0,"; E_INVALID_DATE","")&amp;IF(COUNTIFS(nTP_Case_Key,AX43,nTP_Record_Type,"MILESTONE:INTERVENTION",nTP_Err,"E_REVERSED_BOUNDS")&gt;0,"; E_REVERSED_BOUNDS","")&amp;IF(COUNTIFS(nTP_Case_Key,AX43,nTP_Record_Type,"MILESTONE:INTERVENTION",nTP_Err,"E_MISSING_INPUT")&gt;0,"; E_MISSING_INPUT","")&amp;IF(COUNTIFS(nTP_Case_Key,AX43,nTP_Record_Type,"MILESTONE:INTERVENTION",nTP_Err,"E_INVALID_UNIT")&gt;0,"; E_INVALID_UNIT",""))</f>
        <v/>
      </c>
      <c r="DV43" s="22">
        <f>IF(DT43=0,0,SUMPRODUCT((nMS_CaseKey=AX43)*(nMS_Type="INTERVENTION")*nMS_Undated))</f>
        <v>0</v>
      </c>
      <c r="DW43" s="21" t="str">
        <f t="shared" si="38"/>
        <v/>
      </c>
      <c r="DX43" s="21" t="str">
        <f t="shared" si="39"/>
        <v/>
      </c>
      <c r="DY43" s="22">
        <f t="shared" si="40"/>
        <v>1</v>
      </c>
      <c r="DZ43" s="21" t="str">
        <f t="shared" si="41"/>
        <v/>
      </c>
      <c r="EA43" s="21" t="str">
        <f t="shared" si="42"/>
        <v/>
      </c>
      <c r="EB43" s="21" t="str">
        <f t="shared" si="43"/>
        <v/>
      </c>
      <c r="EC43" s="21" t="str">
        <f t="shared" si="44"/>
        <v/>
      </c>
      <c r="ED43" s="22">
        <f t="shared" si="45"/>
        <v>0</v>
      </c>
      <c r="EE43" s="22">
        <f t="shared" si="46"/>
        <v>0</v>
      </c>
      <c r="EF43" s="21" t="str">
        <f>IF(ED43=0,"",IF(OR(NOT(ISNUMBER(L43)),NOT(ISNUMBER(M43))),"I_APPROXIMATE_NOT_COMPARED",IF(AND(N43&lt;&gt;"",ISNA(MATCH(N43,nLIST_ReportedUnit,0))),"E_INVALID_UNIT",IF(N43="","E_MISSING_INPUT",IF(L43&gt;M43,"E_REVERSED_BOUNDS",IF(OR(N43="weeks",N43="months",N43="years"),"I_APPROXIMATE_NOT_COMPARED",IF(DX43&lt;&gt;"","",IF(EE43=0,"I_APPROXIMATE_NOT_COMPARED",IF(AND(L43*EE43&lt;=IF(DS43="C4",EC43,IF(DS43="C1",DZ43,EA43)),M43*EE43&gt;=IF(DS43="C4",EB43,IF(DS43="C1",DZ43,EA43))),"OVERLAP","W_REPORTED_TIMING_CONFLICT")))))))))</f>
        <v/>
      </c>
      <c r="EG43" s="21" t="str">
        <f t="shared" si="47"/>
        <v/>
      </c>
      <c r="EH43" s="21" t="str">
        <f t="shared" si="48"/>
        <v/>
      </c>
      <c r="EI43" s="22">
        <f t="shared" si="49"/>
        <v>0</v>
      </c>
      <c r="EJ43" s="22">
        <f t="shared" si="50"/>
        <v>0</v>
      </c>
      <c r="EK43" s="22">
        <f t="shared" si="51"/>
        <v>0</v>
      </c>
      <c r="EL43" s="28" t="str">
        <f t="shared" si="52"/>
        <v/>
      </c>
      <c r="EM43" s="28" t="str">
        <f t="shared" si="53"/>
        <v/>
      </c>
      <c r="EN43" s="21" t="str">
        <f t="shared" si="54"/>
        <v/>
      </c>
      <c r="EO43" s="22">
        <f>IF(OR(DT43=0,DX43&lt;&gt;""),0,SUMPRODUCT((nTP_Case_Key=AX43)*(nTP_Record_Type="MILESTONE:INTERVENTION")*(nTP_Err="")*(nTP_HT*DD43*BN43*(nTP_OK*DE43*(nTP_UTC_n&gt;=N(DG43))+(1-nTP_OK*DE43)*(nTP_Loc_n&gt;=N(DF43)))*(nTP_OK*BO43*(nTP_UTC_n&lt;=N(BQ43))+(1-nTP_OK*BO43)*(nTP_Loc_n&lt;=N(BP43)))+(1-nTP_HT*DD43*BN43)*(nTP_Hi_n&gt;=N(DH43))*(nTP_Lo_n&lt;=N(BS43)))))</f>
        <v>0</v>
      </c>
      <c r="EP43" s="22">
        <f>IF(OR(DT43=0,DX43&lt;&gt;""),0,SUMPRODUCT((nTP_Case_Key=AX43)*(nTP_Role="treatment of the event")*((nTP_Record_Type="EXPOSURE_START")+(nTP_Record_Type="ADMINISTRATION"))*(nTP_Err="")*(nTP_HT*DD43*BN43*(nTP_OK*DE43*(nTP_UTC_n&gt;=N(DG43))+(1-nTP_OK*DE43)*(nTP_Loc_n&gt;=N(DF43)))*(nTP_OK*BO43*(nTP_UTC_n&lt;=N(BQ43))+(1-nTP_OK*BO43)*(nTP_Loc_n&lt;=N(BP43)))+(1-nTP_HT*DD43*BN43)*(nTP_Hi_n&gt;=N(DH43))*(nTP_Lo_n&lt;=N(BS43)))))</f>
        <v>0</v>
      </c>
      <c r="EQ43" s="22">
        <f>IF(EO43&lt;1,0,IFERROR(_xlfn.AGGREGATE(15,6,nTP_RowN/((nTP_Case_Key=AX43)*(nTP_Record_Type="MILESTONE:INTERVENTION")*(nTP_Err="")*(nTP_HT*DD43*BN43*(nTP_OK*DE43*(nTP_UTC_n&gt;=N(DG43))+(1-nTP_OK*DE43)*(nTP_Loc_n&gt;=N(DF43)))*(nTP_OK*BO43*(nTP_UTC_n&lt;=N(BQ43))+(1-nTP_OK*BO43)*(nTP_Loc_n&lt;=N(BP43)))+(1-nTP_HT*DD43*BN43)*(nTP_Hi_n&gt;=N(DH43))*(nTP_Lo_n&lt;=N(BS43)))),1),0))</f>
        <v>0</v>
      </c>
      <c r="ER43" s="22">
        <f>IF(EO43&lt;2,0,IFERROR(_xlfn.AGGREGATE(15,6,nTP_RowN/((nTP_Case_Key=AX43)*(nTP_Record_Type="MILESTONE:INTERVENTION")*(nTP_Err="")*(nTP_HT*DD43*BN43*(nTP_OK*DE43*(nTP_UTC_n&gt;=N(DG43))+(1-nTP_OK*DE43)*(nTP_Loc_n&gt;=N(DF43)))*(nTP_OK*BO43*(nTP_UTC_n&lt;=N(BQ43))+(1-nTP_OK*BO43)*(nTP_Loc_n&lt;=N(BP43)))+(1-nTP_HT*DD43*BN43)*(nTP_Hi_n&gt;=N(DH43))*(nTP_Lo_n&lt;=N(BS43)))),2),0))</f>
        <v>0</v>
      </c>
      <c r="ES43" s="22">
        <f>IF(EO43&lt;3,0,IFERROR(_xlfn.AGGREGATE(15,6,nTP_RowN/((nTP_Case_Key=AX43)*(nTP_Record_Type="MILESTONE:INTERVENTION")*(nTP_Err="")*(nTP_HT*DD43*BN43*(nTP_OK*DE43*(nTP_UTC_n&gt;=N(DG43))+(1-nTP_OK*DE43)*(nTP_Loc_n&gt;=N(DF43)))*(nTP_OK*BO43*(nTP_UTC_n&lt;=N(BQ43))+(1-nTP_OK*BO43)*(nTP_Loc_n&lt;=N(BP43)))+(1-nTP_HT*DD43*BN43)*(nTP_Hi_n&gt;=N(DH43))*(nTP_Lo_n&lt;=N(BS43)))),3),0))</f>
        <v>0</v>
      </c>
      <c r="ET43" s="22">
        <f>IF(EP43&lt;1,0,IFERROR(_xlfn.AGGREGATE(15,6,nTP_RowN/((nTP_Case_Key=AX43)*(nTP_Role="treatment of the event")*((nTP_Record_Type="EXPOSURE_START")+(nTP_Record_Type="ADMINISTRATION"))*(nTP_Err="")*(nTP_HT*DD43*BN43*(nTP_OK*DE43*(nTP_UTC_n&gt;=N(DG43))+(1-nTP_OK*DE43)*(nTP_Loc_n&gt;=N(DF43)))*(nTP_OK*BO43*(nTP_UTC_n&lt;=N(BQ43))+(1-nTP_OK*BO43)*(nTP_Loc_n&lt;=N(BP43)))+(1-nTP_HT*DD43*BN43)*(nTP_Hi_n&gt;=N(DH43))*(nTP_Lo_n&lt;=N(BS43)))),1),0))</f>
        <v>0</v>
      </c>
      <c r="EU43" s="22">
        <f>IF(EP43&lt;2,0,IFERROR(_xlfn.AGGREGATE(15,6,nTP_RowN/((nTP_Case_Key=AX43)*(nTP_Role="treatment of the event")*((nTP_Record_Type="EXPOSURE_START")+(nTP_Record_Type="ADMINISTRATION"))*(nTP_Err="")*(nTP_HT*DD43*BN43*(nTP_OK*DE43*(nTP_UTC_n&gt;=N(DG43))+(1-nTP_OK*DE43)*(nTP_Loc_n&gt;=N(DF43)))*(nTP_OK*BO43*(nTP_UTC_n&lt;=N(BQ43))+(1-nTP_OK*BO43)*(nTP_Loc_n&lt;=N(BP43)))+(1-nTP_HT*DD43*BN43)*(nTP_Hi_n&gt;=N(DH43))*(nTP_Lo_n&lt;=N(BS43)))),2),0))</f>
        <v>0</v>
      </c>
      <c r="EV43" s="22">
        <f>IF(EP43&lt;3,0,IFERROR(_xlfn.AGGREGATE(15,6,nTP_RowN/((nTP_Case_Key=AX43)*(nTP_Role="treatment of the event")*((nTP_Record_Type="EXPOSURE_START")+(nTP_Record_Type="ADMINISTRATION"))*(nTP_Err="")*(nTP_HT*DD43*BN43*(nTP_OK*DE43*(nTP_UTC_n&gt;=N(DG43))+(1-nTP_OK*DE43)*(nTP_Loc_n&gt;=N(DF43)))*(nTP_OK*BO43*(nTP_UTC_n&lt;=N(BQ43))+(1-nTP_OK*BO43)*(nTP_Loc_n&lt;=N(BP43)))+(1-nTP_HT*DD43*BN43)*(nTP_Hi_n&gt;=N(DH43))*(nTP_Lo_n&lt;=N(BS43)))),3),0))</f>
        <v>0</v>
      </c>
      <c r="EW43" s="22">
        <f>IF(CE43&lt;1,0,IFERROR(_xlfn.AGGREGATE(15,6,nTP_RowN/((nTP_CandKey=BX43)*(nTP_Err="")*(1-nTP_Exact)*((nTP_HT*BN43*((nTP_OK*BO43*(nTP_UTC_n-N(BQ43))+(1-nTP_OK*BO43)*(nTP_Loc_n-N(BP43)))&lt;=0)+(1-nTP_HT*BN43)*(nTP_Hi_n&lt;N(BR43)))+((1-nTP_HT*BN43)*(nTP_Lo_n=nTP_Hi_n)*(nTP_Lo_n=N(BR43))*(N(BR43)=N(BS43))))),1),0))</f>
        <v>0</v>
      </c>
      <c r="EX43" s="22">
        <f>IF(CE43&lt;2,0,IFERROR(_xlfn.AGGREGATE(15,6,nTP_RowN/((nTP_CandKey=BX43)*(nTP_Err="")*(1-nTP_Exact)*((nTP_HT*BN43*((nTP_OK*BO43*(nTP_UTC_n-N(BQ43))+(1-nTP_OK*BO43)*(nTP_Loc_n-N(BP43)))&lt;=0)+(1-nTP_HT*BN43)*(nTP_Hi_n&lt;N(BR43)))+((1-nTP_HT*BN43)*(nTP_Lo_n=nTP_Hi_n)*(nTP_Lo_n=N(BR43))*(N(BR43)=N(BS43))))),2),0))</f>
        <v>0</v>
      </c>
      <c r="EY43" s="22">
        <f>IF(CE43&lt;3,0,IFERROR(_xlfn.AGGREGATE(15,6,nTP_RowN/((nTP_CandKey=BX43)*(nTP_Err="")*(1-nTP_Exact)*((nTP_HT*BN43*((nTP_OK*BO43*(nTP_UTC_n-N(BQ43))+(1-nTP_OK*BO43)*(nTP_Loc_n-N(BP43)))&lt;=0)+(1-nTP_HT*BN43)*(nTP_Hi_n&lt;N(BR43)))+((1-nTP_HT*BN43)*(nTP_Lo_n=nTP_Hi_n)*(nTP_Lo_n=N(BR43))*(N(BR43)=N(BS43))))),3),0))</f>
        <v>0</v>
      </c>
      <c r="EZ43" s="21" t="str">
        <f>IF(EO43=0,"",MID(IF(EQ43&gt;0,"; "&amp;INDEX(nTP_Record_ID,EQ43)&amp;IF(INDEX(nTP_Label,EQ43)="",""," ("&amp;INDEX(nTP_Label,EQ43)&amp;")"),"")&amp;IF(ER43&gt;0,"; "&amp;INDEX(nTP_Record_ID,ER43)&amp;IF(INDEX(nTP_Label,ER43)="",""," ("&amp;INDEX(nTP_Label,ER43)&amp;")"),"")&amp;IF(ES43&gt;0,"; "&amp;INDEX(nTP_Record_ID,ES43)&amp;IF(INDEX(nTP_Label,ES43)="",""," ("&amp;INDEX(nTP_Label,ES43)&amp;")"),"")&amp;IF(EO43&gt;3,"; and "&amp;(EO43-3)&amp;" more",""),3,999))</f>
        <v/>
      </c>
      <c r="FA43" s="21" t="str">
        <f>IF(EO43=0,"",MID(IF(EQ43&gt;0,"; "&amp;INDEX(nTP_Record_ID,EQ43),"")&amp;IF(ER43&gt;0,"; "&amp;INDEX(nTP_Record_ID,ER43),"")&amp;IF(ES43&gt;0,"; "&amp;INDEX(nTP_Record_ID,ES43),"")&amp;IF(EO43&gt;3,"; and "&amp;(EO43-3)&amp;" more",""),3,999))</f>
        <v/>
      </c>
      <c r="FB43" s="21" t="str">
        <f>IF(EP43=0,"",MID(IF(ET43&gt;0,"; "&amp;INDEX(nTP_Record_ID,ET43)&amp;IF(INDEX(nTP_Label,ET43)="",""," ("&amp;INDEX(nTP_Label,ET43)&amp;")"),"")&amp;IF(EU43&gt;0,"; "&amp;INDEX(nTP_Record_ID,EU43)&amp;IF(INDEX(nTP_Label,EU43)="",""," ("&amp;INDEX(nTP_Label,EU43)&amp;")"),"")&amp;IF(EV43&gt;0,"; "&amp;INDEX(nTP_Record_ID,EV43)&amp;IF(INDEX(nTP_Label,EV43)="",""," ("&amp;INDEX(nTP_Label,EV43)&amp;")"),"")&amp;IF(EP43&gt;3,"; and "&amp;(EP43-3)&amp;" more",""),3,999))</f>
        <v/>
      </c>
      <c r="FC43" s="21" t="str">
        <f>IF(CE43=0,"",MID(IF(EW43&gt;0,"; "&amp;INDEX(nTP_Record_ID,EW43),"")&amp;IF(EX43&gt;0,"; "&amp;INDEX(nTP_Record_ID,EX43),"")&amp;IF(EY43&gt;0,"; "&amp;INDEX(nTP_Record_ID,EY43),"")&amp;IF(CE43&gt;3,"; and "&amp;(CE43-3)&amp;" more",""),3,999))</f>
        <v/>
      </c>
      <c r="FD43" s="22">
        <f t="shared" si="55"/>
        <v>0</v>
      </c>
      <c r="FE43" s="22">
        <f t="shared" si="56"/>
        <v>0</v>
      </c>
      <c r="FF43" s="22">
        <f t="shared" si="57"/>
        <v>0</v>
      </c>
      <c r="FG43" s="22">
        <f t="shared" si="58"/>
        <v>0</v>
      </c>
      <c r="FH43" s="22">
        <f t="shared" si="59"/>
        <v>0</v>
      </c>
      <c r="FI43" s="22">
        <f t="shared" si="60"/>
        <v>0</v>
      </c>
      <c r="FJ43" s="22">
        <f t="shared" si="61"/>
        <v>0</v>
      </c>
      <c r="FK43" s="22">
        <f t="shared" si="62"/>
        <v>0</v>
      </c>
    </row>
    <row r="44" spans="1:167" x14ac:dyDescent="0.2">
      <c r="A44" s="10"/>
      <c r="B44" s="10"/>
      <c r="C44" s="12"/>
      <c r="D44" s="10"/>
      <c r="E44" s="17"/>
      <c r="F44" s="10"/>
      <c r="G44" s="10"/>
      <c r="H44" s="10"/>
      <c r="I44" s="17"/>
      <c r="J44" s="17"/>
      <c r="K44" s="10"/>
      <c r="L44" s="17"/>
      <c r="M44" s="17"/>
      <c r="N44" s="17"/>
      <c r="O44" s="10"/>
      <c r="P44" s="15"/>
      <c r="Q44" s="15"/>
      <c r="R44" s="10"/>
      <c r="S44" s="10"/>
      <c r="T44" s="21" t="str">
        <f t="shared" si="0"/>
        <v/>
      </c>
      <c r="U44" s="21" t="str">
        <f t="shared" si="1"/>
        <v/>
      </c>
      <c r="V44" s="21" t="str">
        <f t="shared" si="2"/>
        <v/>
      </c>
      <c r="W44" s="21" t="str">
        <f t="shared" si="3"/>
        <v/>
      </c>
      <c r="X44" s="21" t="str">
        <f t="shared" si="4"/>
        <v/>
      </c>
      <c r="Y44" s="21" t="str">
        <f t="shared" si="5"/>
        <v/>
      </c>
      <c r="Z44" s="21" t="str">
        <f t="shared" si="6"/>
        <v/>
      </c>
      <c r="AA44" s="21" t="str">
        <f t="shared" si="7"/>
        <v/>
      </c>
      <c r="AB44" s="21" t="str">
        <f t="shared" si="8"/>
        <v/>
      </c>
      <c r="AC44" s="21" t="str">
        <f t="shared" si="9"/>
        <v/>
      </c>
      <c r="AD44" s="21" t="str">
        <f>IF(AW44=1,"",MID(IF(ISNUMBER(SEARCH("E_INVALID_DATE",EG44))," | E_INVALID_DATE: "&amp;SUBSTITUTE(IFERROR(INDEX(nMSG_Text,MATCH("E_INVALID_DATE",nMSG_Code,0)),""),"[input]",""),"")&amp;IF(ISNUMBER(SEARCH("E_REVERSED_BOUNDS",EG44))," | E_REVERSED_BOUNDS: "&amp;SUBSTITUTE(IFERROR(INDEX(nMSG_Text,MATCH("E_REVERSED_BOUNDS",nMSG_Code,0)),""),"[input]",""),"")&amp;IF(ISNUMBER(SEARCH("E_DUPLICATE_ID",EG44))," | E_DUPLICATE_ID: "&amp;SUBSTITUTE(IFERROR(INDEX(nMSG_Text,MATCH("E_DUPLICATE_ID",nMSG_Code,0)),""),"[input]",""),"")&amp;IF(ISNUMBER(SEARCH("E_MISSING_LINK",EG44))," | E_MISSING_LINK: "&amp;SUBSTITUTE(IFERROR(INDEX(nMSG_Text,MATCH("E_MISSING_LINK",nMSG_Code,0)),""),"[input]",""),"")&amp;IF(ISNUMBER(SEARCH("E_MISSING_INPUT",EG44))," | E_MISSING_INPUT: "&amp;SUBSTITUTE(IFERROR(INDEX(nMSG_Text,MATCH("E_MISSING_INPUT",nMSG_Code,0)),""),"[input]",IF(EH44="","an input",EH44)),"")&amp;IF(ISNUMBER(SEARCH("E_INVALID_UNIT",EG44))," | E_INVALID_UNIT: "&amp;SUBSTITUTE(IFERROR(INDEX(nMSG_Text,MATCH("E_INVALID_UNIT",nMSG_Code,0)),""),"[input]",""),"")&amp;IF(FD44=1," | W_TZ_UNKNOWN: "&amp;SUBSTITUTE(IFERROR(INDEX(nMSG_Text,MATCH("W_TZ_UNKNOWN",nMSG_Code,0)),""),"[input]",""),"")&amp;IF(FE44=1," | W_SAME_DATE_ORDER_UNKNOWN: "&amp;SUBSTITUTE(IFERROR(INDEX(nMSG_Text,MATCH("W_SAME_DATE_ORDER_UNKNOWN",nMSG_Code,0)),""),"[input]",""),"")&amp;IF(FF44=1," | W_SEQUENCE_UNCERTAIN: "&amp;SUBSTITUTE(IFERROR(INDEX(nMSG_Text,MATCH("W_SEQUENCE_UNCERTAIN",nMSG_Code,0)),""),"[input]",""),"")&amp;IF(FG44=1," | W_ADMIN_SAME_DATE_AS_ONSET: "&amp;SUBSTITUTE(IFERROR(INDEX(nMSG_Text,MATCH("W_ADMIN_SAME_DATE_AS_ONSET",nMSG_Code,0)),""),"[input]",""),"")&amp;IF(FH44=1," | W_REPORTED_TIMING_CONFLICT: "&amp;SUBSTITUTE(IFERROR(INDEX(nMSG_Text,MATCH("W_REPORTED_TIMING_CONFLICT",nMSG_Code,0)),""),"[input]",""),"")&amp;IF(FI44=1," | W_INTERVENTION_BEFORE_RECOVERY: "&amp;SUBSTITUTE(IFERROR(INDEX(nMSG_Text,MATCH("W_INTERVENTION_BEFORE_RECOVERY",nMSG_Code,0)),""),"[input]",""),"")&amp;IF(FJ44=1," | I_TREATMENT_DAY_UNDEFINED: "&amp;SUBSTITUTE(IFERROR(INDEX(nMSG_Text,MATCH("I_TREATMENT_DAY_UNDEFINED",nMSG_Code,0)),""),"[input]",""),"")&amp;IF(FK44=1," | I_APPROXIMATE_NOT_COMPARED: "&amp;SUBSTITUTE(IFERROR(INDEX(nMSG_Text,MATCH("I_APPROXIMATE_NOT_COMPARED",nMSG_Code,0)),""),"[input]",""),""),4,9999))</f>
        <v/>
      </c>
      <c r="AE44" s="21" t="str">
        <f t="shared" si="10"/>
        <v/>
      </c>
      <c r="AF44" s="21" t="str">
        <f t="shared" si="11"/>
        <v/>
      </c>
      <c r="AG44" s="21" t="str">
        <f>IF(EN44="","",MID(IF(ISNUMBER(SEARCH("E_REVERSED_BOUNDS",EN44))," | E_REVERSED_BOUNDS: "&amp;SUBSTITUTE(IFERROR(INDEX(nMSG_Text,MATCH("E_REVERSED_BOUNDS",nMSG_Code,0)),""),"[input]",""),"")&amp;IF(ISNUMBER(SEARCH("E_MISSING_INPUT",EN44))," | E_MISSING_INPUT: "&amp;SUBSTITUTE(IFERROR(INDEX(nMSG_Text,MATCH("E_MISSING_INPUT",nMSG_Code,0)),""),"[input]",IF("the source of the constraint"="","an input","the source of the constraint")),""),4,999))</f>
        <v/>
      </c>
      <c r="AH44" s="21" t="str">
        <f t="shared" si="12"/>
        <v/>
      </c>
      <c r="AI44" s="21" t="str">
        <f t="shared" si="13"/>
        <v/>
      </c>
      <c r="AJ44" s="21" t="str">
        <f t="shared" si="14"/>
        <v/>
      </c>
      <c r="AK44" s="21" t="str">
        <f t="shared" si="15"/>
        <v/>
      </c>
      <c r="AL44" s="21" t="str">
        <f>IF(CY44=0,"",INDEX(nTP_ISO,CY44))</f>
        <v/>
      </c>
      <c r="AM44" s="21" t="str">
        <f>IF(CY44=0,"",INDEX(nTP_Display,CY44))</f>
        <v/>
      </c>
      <c r="AN44" s="21" t="str">
        <f>IF(BI44=0,"",INDEX(nTP_ISO,BI44))</f>
        <v/>
      </c>
      <c r="AO44" s="21" t="str">
        <f>IF(BI44=0,"",INDEX(nTP_Display,BI44))</f>
        <v/>
      </c>
      <c r="AP44" s="21" t="str">
        <f>IF(BA44=0,"",INDEX(nLNK_Exposure_Episode_ID,BA44)&amp;"")</f>
        <v/>
      </c>
      <c r="AQ44" s="21" t="str">
        <f>IF(BA44=0,"",INDEX(nLNK_Event_Episode_ID,BA44)&amp;"")</f>
        <v/>
      </c>
      <c r="AR44" s="21" t="str">
        <f t="shared" si="16"/>
        <v/>
      </c>
      <c r="AS44" s="21" t="str">
        <f>IF(EI44=0,"",MID(IF(DT44=1," | Recovery interval (C7) computed with "&amp;DS44&amp;".","")&amp;IF(BG44=1," | Anchor selected under C5 (CALC-SPEC 1.1): latest administration with an exact date or time at or before "&amp;IF(BH44=1,"onset","the end point")&amp;" ("&amp;AJ44&amp;"), ordered in UTC when offsets are known; later administrations are never selected.","")&amp;IF(AND(BG44=1,CE44&gt;0)," | Partial-date administrations wholly before the selected one were not candidates: "&amp;FC44&amp;".","")&amp;IF(BV44&lt;&gt;""," | "&amp;BV44,"")&amp;IF(AND(DS44="C2",EA44=0,DZ44&lt;&gt;"")," | Same calendar date; both times are known, so C1 decides the order ("&amp;AA44&amp;").","")&amp;IF(AND(DS44="C2",DD44*BN44=1,DT44=0)," | Calendar-date difference from the recorded local dates; it is never described as elapsed days.","")&amp;IF(AND(DS44="C4",DT44=0)," | Bounds are treated as independent; no single date is imputed from them.","")&amp;IF(EJ44=1," | Treatment day under the inclusive convention (C3); never written to E2B fields automatically.","")&amp;IF(AND(DS44="C4",DT44=0,EK44=0)," | No constraint applied.","")&amp;IF(AND(DS44="C4",EK44=1)," | Constraint applied to the anchor bounds: "&amp;IF(ISNUMBER(P44),"not before "&amp;DAY(P44)&amp;" "&amp;INDEX(nLIST_Months,MONTH(P44))&amp;" "&amp;YEAR(P44),"")&amp;IF(AND(ISNUMBER(P44),ISNUMBER(Q44)),", ","")&amp;IF(ISNUMBER(Q44),"not after "&amp;DAY(Q44)&amp;" "&amp;INDEX(nLIST_Months,MONTH(Q44))&amp;" "&amp;YEAR(Q44),"")&amp;". Source: "&amp;IF(R44="","not recorded",R44)&amp;IF(EN44="",". Constrained result shown beside the unconstrained one.",". Constrained result blocked ("&amp;EN44&amp;")."),"")&amp;IF(DT44=1,IF(EO44&gt;0," | Intervention recorded between cessation and recovery (ends included): "&amp;EZ44&amp;"."," | No intervention is recorded between cessation and recovery; absence of a record is not evidence that none was given."),"")&amp;IF(AND(DT44=1,DV44&gt;0)," | Intervention recorded without a date, so whether it came before recovery is unknown: "&amp;INDEX(nMS_Milestone_ID,MATCH(1,INDEX((nMS_CaseKey=AX44)*(nMS_Type="INTERVENTION")*nMS_Undated,0),0))&amp;IF(DV44&gt;1," and "&amp;(DV44-1)&amp;" more","")&amp;".","")&amp;IF(AND(DT44=1,EP44&gt;0)," | Not counted as interventions, because they are recorded as exposures rather than as intervention milestones (nothing is inferred): "&amp;FB44&amp;". If treatment was given, record it as an intervention milestone.",""),4,9999))</f>
        <v/>
      </c>
      <c r="AT44" s="21" t="str">
        <f t="shared" si="17"/>
        <v/>
      </c>
      <c r="AU44" s="21" t="str">
        <f t="shared" si="18"/>
        <v/>
      </c>
      <c r="AV44" s="21" t="str">
        <f t="shared" si="19"/>
        <v/>
      </c>
      <c r="AW44" s="22">
        <f t="shared" si="20"/>
        <v>1</v>
      </c>
      <c r="AX44" s="21" t="str">
        <f t="shared" si="21"/>
        <v>|</v>
      </c>
      <c r="AY44" s="21" t="str">
        <f t="shared" si="22"/>
        <v/>
      </c>
      <c r="AZ44" s="22">
        <f>IF(AY44="",0,COUNTIF(nINT_Key,AY44))</f>
        <v>0</v>
      </c>
      <c r="BA44" s="22">
        <f>IF(D44="",0,IFERROR(MATCH(AX44&amp;"|"&amp;D44,nLNK_Key,0),0))</f>
        <v>0</v>
      </c>
      <c r="BB44" s="22">
        <f>IF(BA44=0,1,INDEX(nLNK_Exp_Found,BA44))</f>
        <v>1</v>
      </c>
      <c r="BC44" s="22">
        <f>IF(BA44=0,1,INDEX(nLNK_Evt_Found,BA44))</f>
        <v>1</v>
      </c>
      <c r="BD44" s="22">
        <f>IF(AP44="",0,COUNTIF(nEXP_Key,AX44&amp;"|"&amp;AP44))</f>
        <v>0</v>
      </c>
      <c r="BE44" s="22">
        <f>IF(AQ44="",0,COUNTIF(nEVT_Key,AX44&amp;"|"&amp;AQ44))</f>
        <v>0</v>
      </c>
      <c r="BF44" s="22">
        <f>IF(ISNA(MATCH(E44,nLIST_AnchorType,0)),0,1)</f>
        <v>0</v>
      </c>
      <c r="BG44" s="22">
        <f t="shared" si="23"/>
        <v>0</v>
      </c>
      <c r="BH44" s="22">
        <f t="shared" si="24"/>
        <v>0</v>
      </c>
      <c r="BI44" s="22">
        <f>IF(OR(AW44=1,AK44=""),0,IFERROR(MATCH(AX44&amp;"|"&amp;AK44,nTP_Key,0),0))</f>
        <v>0</v>
      </c>
      <c r="BJ44" s="21">
        <f>IF(BI44=0,0,INDEX(nTP_Dup,BI44))</f>
        <v>0</v>
      </c>
      <c r="BK44" s="21" t="str">
        <f>IF(BI44=0,"",INDEX(nTP_Record_Type,BI44))</f>
        <v/>
      </c>
      <c r="BL44" s="21" t="str">
        <f>IF(BI44=0,"",INDEX(nTP_Precision,BI44))</f>
        <v/>
      </c>
      <c r="BM44" s="21" t="str">
        <f>IF(BI44=0,"",INDEX(nTP_Err,BI44))</f>
        <v/>
      </c>
      <c r="BN44" s="21">
        <f>IF(BI44=0,0,INDEX(nTP_HT,BI44))</f>
        <v>0</v>
      </c>
      <c r="BO44" s="21">
        <f>IF(BI44=0,0,INDEX(nTP_OK,BI44))</f>
        <v>0</v>
      </c>
      <c r="BP44" s="21" t="str">
        <f>IF(BI44=0,"",INDEX(nTP_Loc,BI44))</f>
        <v/>
      </c>
      <c r="BQ44" s="21" t="str">
        <f>IF(BI44=0,"",INDEX(nTP_UTC,BI44))</f>
        <v/>
      </c>
      <c r="BR44" s="21" t="str">
        <f>IF(BI44=0,"",INDEX(nTP_Lo,BI44))</f>
        <v/>
      </c>
      <c r="BS44" s="21" t="str">
        <f>IF(BI44=0,"",INDEX(nTP_Hi,BI44))</f>
        <v/>
      </c>
      <c r="BT44" s="21" t="str">
        <f>IF(BI44=0,"",INDEX(nTP_Original_Text,BI44))</f>
        <v/>
      </c>
      <c r="BU44" s="21" t="str">
        <f>IF(BI44=0,"",INDEX(nTP_Source,BI44))</f>
        <v/>
      </c>
      <c r="BV44" s="21" t="str">
        <f>IF(BI44=0,"",INDEX(nTP_Lab_Note,BI44))</f>
        <v/>
      </c>
      <c r="BW44" s="22">
        <f t="shared" si="25"/>
        <v>0</v>
      </c>
      <c r="BX44" s="21" t="str">
        <f t="shared" si="26"/>
        <v>||</v>
      </c>
      <c r="BY44" s="22">
        <f>IF(BG44=0,0,COUNTIF(nTP_CandKey,BX44))</f>
        <v>0</v>
      </c>
      <c r="BZ44" s="22">
        <f>IF(BG44=0,0,COUNTIFS(nTP_CandKey,BX44,nTP_Err,""))</f>
        <v>0</v>
      </c>
      <c r="CA44" s="21" t="str">
        <f>IF(BY44=BZ44,"",IF(COUNTIFS(nTP_CandKey,BX44,nTP_Err,"E_INVALID_DATE")&gt;0,"; E_INVALID_DATE","")&amp;IF(COUNTIFS(nTP_CandKey,BX44,nTP_Err,"E_REVERSED_BOUNDS")&gt;0,"; E_REVERSED_BOUNDS","")&amp;IF(COUNTIFS(nTP_CandKey,BX44,nTP_Err,"E_MISSING_INPUT")&gt;0,"; E_MISSING_INPUT","")&amp;IF(COUNTIFS(nTP_CandKey,BX44,nTP_Err,"E_INVALID_UNIT")&gt;0,"; E_INVALID_UNIT",""))</f>
        <v/>
      </c>
      <c r="CB44" s="22">
        <f t="shared" si="27"/>
        <v>0</v>
      </c>
      <c r="CC44" s="22">
        <f>IF(CB44=0,0,SUMPRODUCT((nTP_CandKey=BX44)*(nTP_Err="")*(1-(nTP_HT*BN44*((nTP_OK*BO44*(nTP_UTC_n-N(BQ44))+(1-nTP_OK*BO44)*(nTP_Loc_n-N(BP44)))&lt;=0)+(1-nTP_HT*BN44)*(nTP_Hi_n&lt;N(BR44)))-(nTP_HT*BN44*((nTP_OK*BO44*(nTP_UTC_n-N(BQ44))+(1-nTP_OK*BO44)*(nTP_Loc_n-N(BP44)))&gt;0)+(1-nTP_HT*BN44)*(nTP_Lo_n&gt;N(BS44)))-((1-nTP_HT*BN44)*(nTP_Lo_n=nTP_Hi_n)*(nTP_Lo_n=N(BR44))*(N(BR44)=N(BS44))))))</f>
        <v>0</v>
      </c>
      <c r="CD44" s="22">
        <f>IF(CB44=0,0,SUMPRODUCT((nTP_CandKey=BX44)*nTP_Exact*((nTP_HT*BN44*((nTP_OK*BO44*(nTP_UTC_n-N(BQ44))+(1-nTP_OK*BO44)*(nTP_Loc_n-N(BP44)))&lt;=0)+(1-nTP_HT*BN44)*(nTP_Hi_n&lt;N(BR44)))+((1-nTP_HT*BN44)*(nTP_Lo_n=nTP_Hi_n)*(nTP_Lo_n=N(BR44))*(N(BR44)=N(BS44))))))</f>
        <v>0</v>
      </c>
      <c r="CE44" s="22">
        <f>IF(CB44=0,0,SUMPRODUCT((nTP_CandKey=BX44)*(nTP_Err="")*(1-nTP_Exact)*((nTP_HT*BN44*((nTP_OK*BO44*(nTP_UTC_n-N(BQ44))+(1-nTP_OK*BO44)*(nTP_Loc_n-N(BP44)))&lt;=0)+(1-nTP_HT*BN44)*(nTP_Hi_n&lt;N(BR44)))+((1-nTP_HT*BN44)*(nTP_Lo_n=nTP_Hi_n)*(nTP_Lo_n=N(BR44))*(N(BR44)=N(BS44))))))</f>
        <v>0</v>
      </c>
      <c r="CF44" s="22">
        <f>IF(CD44=0,0,SUMPRODUCT(MAX((nTP_CandKey=BX44)*nTP_Exact*((nTP_HT*BN44*((nTP_OK*BO44*(nTP_UTC_n-N(BQ44))+(1-nTP_OK*BO44)*(nTP_Loc_n-N(BP44)))&lt;=0)+(1-nTP_HT*BN44)*(nTP_Hi_n&lt;N(BR44)))+((1-nTP_HT*BN44)*(nTP_Lo_n=nTP_Hi_n)*(nTP_Lo_n=N(BR44))*(N(BR44)=N(BS44))))*nTP_Lo_n)))</f>
        <v>0</v>
      </c>
      <c r="CG44" s="22">
        <f>IF(CD44=0,0,SUMPRODUCT((nTP_CandKey=BX44)*nTP_Exact*((nTP_HT*BN44*((nTP_OK*BO44*(nTP_UTC_n-N(BQ44))+(1-nTP_OK*BO44)*(nTP_Loc_n-N(BP44)))&lt;=0)+(1-nTP_HT*BN44)*(nTP_Hi_n&lt;N(BR44)))+((1-nTP_HT*BN44)*(nTP_Lo_n=nTP_Hi_n)*(nTP_Lo_n=N(BR44))*(N(BR44)=N(BS44))))*(nTP_Lo_n=CF44)))</f>
        <v>0</v>
      </c>
      <c r="CH44" s="22">
        <f>IF(CD44=0,0,SUMPRODUCT((nTP_CandKey=BX44)*nTP_Exact*((nTP_HT*BN44*((nTP_OK*BO44*(nTP_UTC_n-N(BQ44))+(1-nTP_OK*BO44)*(nTP_Loc_n-N(BP44)))&lt;=0)+(1-nTP_HT*BN44)*(nTP_Hi_n&lt;N(BR44)))+((1-nTP_HT*BN44)*(nTP_Lo_n=nTP_Hi_n)*(nTP_Lo_n=N(BR44))*(N(BR44)=N(BS44))))*(1-nTP_HT)*(nTP_Lo_n=CF44)))</f>
        <v>0</v>
      </c>
      <c r="CI44" s="22">
        <f>IF(CD44=0,0,SUMPRODUCT(MAX((nTP_CandKey=BX44)*nTP_Exact*((nTP_HT*BN44*((nTP_OK*BO44*(nTP_UTC_n-N(BQ44))+(1-nTP_OK*BO44)*(nTP_Loc_n-N(BP44)))&lt;=0)+(1-nTP_HT*BN44)*(nTP_Hi_n&lt;N(BR44)))+((1-nTP_HT*BN44)*(nTP_Lo_n=nTP_Hi_n)*(nTP_Lo_n=N(BR44))*(N(BR44)=N(BS44))))*(1-nTP_HT)*nTP_Lo_n)))</f>
        <v>0</v>
      </c>
      <c r="CJ44" s="22">
        <f>IF(CD44=0,0,SUMPRODUCT(MAX((nTP_CandKey=BX44)*nTP_Exact*((nTP_HT*BN44*((nTP_OK*BO44*(nTP_UTC_n-N(BQ44))+(1-nTP_OK*BO44)*(nTP_Loc_n-N(BP44)))&lt;=0)+(1-nTP_HT*BN44)*(nTP_Hi_n&lt;N(BR44)))+((1-nTP_HT*BN44)*(nTP_Lo_n=nTP_Hi_n)*(nTP_Lo_n=N(BR44))*(N(BR44)=N(BS44))))*nTP_HT*nTP_OK*nTP_UTC_n)))</f>
        <v>0</v>
      </c>
      <c r="CK44" s="22">
        <f>IF(CJ44=0,0,SUMPRODUCT((nTP_CandKey=BX44)*nTP_Exact*((nTP_HT*BN44*((nTP_OK*BO44*(nTP_UTC_n-N(BQ44))+(1-nTP_OK*BO44)*(nTP_Loc_n-N(BP44)))&lt;=0)+(1-nTP_HT*BN44)*(nTP_Hi_n&lt;N(BR44)))+((1-nTP_HT*BN44)*(nTP_Lo_n=nTP_Hi_n)*(nTP_Lo_n=N(BR44))*(N(BR44)=N(BS44))))*nTP_HT*nTP_OK*(nTP_UTC_n=CJ44)))</f>
        <v>0</v>
      </c>
      <c r="CL44" s="22">
        <f>IF(CK44&lt;&gt;1,0,SUMPRODUCT((nTP_CandKey=BX44)*nTP_Exact*((nTP_HT*BN44*((nTP_OK*BO44*(nTP_UTC_n-N(BQ44))+(1-nTP_OK*BO44)*(nTP_Loc_n-N(BP44)))&lt;=0)+(1-nTP_HT*BN44)*(nTP_Hi_n&lt;N(BR44)))+((1-nTP_HT*BN44)*(nTP_Lo_n=nTP_Hi_n)*(nTP_Lo_n=N(BR44))*(N(BR44)=N(BS44))))*nTP_HT*nTP_OK*(nTP_UTC_n=CJ44)*nTP_Loc_n))</f>
        <v>0</v>
      </c>
      <c r="CM44" s="22">
        <f>IF(CK44&lt;&gt;1,0,SUMPRODUCT((nTP_CandKey=BX44)*nTP_Exact*((nTP_HT*BN44*((nTP_OK*BO44*(nTP_UTC_n-N(BQ44))+(1-nTP_OK*BO44)*(nTP_Loc_n-N(BP44)))&lt;=0)+(1-nTP_HT*BN44)*(nTP_Hi_n&lt;N(BR44)))+((1-nTP_HT*BN44)*(nTP_Lo_n=nTP_Hi_n)*(nTP_Lo_n=N(BR44))*(N(BR44)=N(BS44))))*nTP_HT*nTP_OK*(nTP_UTC_n=CJ44)*nTP_Lo_n))</f>
        <v>0</v>
      </c>
      <c r="CN44" s="22">
        <f>IF(CD44=0,0,SUMPRODUCT(MAX((nTP_CandKey=BX44)*nTP_Exact*((nTP_HT*BN44*((nTP_OK*BO44*(nTP_UTC_n-N(BQ44))+(1-nTP_OK*BO44)*(nTP_Loc_n-N(BP44)))&lt;=0)+(1-nTP_HT*BN44)*(nTP_Hi_n&lt;N(BR44)))+((1-nTP_HT*BN44)*(nTP_Lo_n=nTP_Hi_n)*(nTP_Lo_n=N(BR44))*(N(BR44)=N(BS44))))*nTP_HT*(1-nTP_OK)*nTP_Loc_n)))</f>
        <v>0</v>
      </c>
      <c r="CO44" s="22">
        <f>IF(CN44=0,0,SUMPRODUCT((nTP_CandKey=BX44)*nTP_Exact*((nTP_HT*BN44*((nTP_OK*BO44*(nTP_UTC_n-N(BQ44))+(1-nTP_OK*BO44)*(nTP_Loc_n-N(BP44)))&lt;=0)+(1-nTP_HT*BN44)*(nTP_Hi_n&lt;N(BR44)))+((1-nTP_HT*BN44)*(nTP_Lo_n=nTP_Hi_n)*(nTP_Lo_n=N(BR44))*(N(BR44)=N(BS44))))*nTP_HT*(1-nTP_OK)*(nTP_Loc_n=CN44)))</f>
        <v>0</v>
      </c>
      <c r="CP44" s="22">
        <f>IF(CO44&lt;&gt;1,0,SUMPRODUCT((nTP_CandKey=BX44)*nTP_Exact*((nTP_HT*BN44*((nTP_OK*BO44*(nTP_UTC_n-N(BQ44))+(1-nTP_OK*BO44)*(nTP_Loc_n-N(BP44)))&lt;=0)+(1-nTP_HT*BN44)*(nTP_Hi_n&lt;N(BR44)))+((1-nTP_HT*BN44)*(nTP_Lo_n=nTP_Hi_n)*(nTP_Lo_n=N(BR44))*(N(BR44)=N(BS44))))*nTP_HT*(1-nTP_OK)*(nTP_Loc_n=CN44)*nTP_Lo_n))</f>
        <v>0</v>
      </c>
      <c r="CQ44" s="22">
        <f>IF(CD44=0,0,SUMPRODUCT(MAX((nTP_CandKey=BX44)*nTP_Exact*((nTP_HT*BN44*((nTP_OK*BO44*(nTP_UTC_n-N(BQ44))+(1-nTP_OK*BO44)*(nTP_Loc_n-N(BP44)))&lt;=0)+(1-nTP_HT*BN44)*(nTP_Hi_n&lt;N(BR44)))+((1-nTP_HT*BN44)*(nTP_Lo_n=nTP_Hi_n)*(nTP_Lo_n=N(BR44))*(N(BR44)=N(BS44))))*nTP_HT*nTP_OK*nTP_Loc_n)))</f>
        <v>0</v>
      </c>
      <c r="CR44" s="22">
        <f t="shared" si="28"/>
        <v>0</v>
      </c>
      <c r="CS44" s="22">
        <f>IF(CR44=0,0,IF(CR44=1,MATCH(1,INDEX((nTP_CandKey=BX44)*nTP_Exact*((nTP_HT*BN44*((nTP_OK*BO44*(nTP_UTC_n-N(BQ44))+(1-nTP_OK*BO44)*(nTP_Loc_n-N(BP44)))&lt;=0)+(1-nTP_HT*BN44)*(nTP_Hi_n&lt;N(BR44)))+((1-nTP_HT*BN44)*(nTP_Lo_n=nTP_Hi_n)*(nTP_Lo_n=N(BR44))*(N(BR44)=N(BS44))))*(1-nTP_HT)*(nTP_Lo_n=CF44),0),0),IF(CR44=2,MATCH(1,INDEX((nTP_CandKey=BX44)*nTP_Exact*((nTP_HT*BN44*((nTP_OK*BO44*(nTP_UTC_n-N(BQ44))+(1-nTP_OK*BO44)*(nTP_Loc_n-N(BP44)))&lt;=0)+(1-nTP_HT*BN44)*(nTP_Hi_n&lt;N(BR44)))+((1-nTP_HT*BN44)*(nTP_Lo_n=nTP_Hi_n)*(nTP_Lo_n=N(BR44))*(N(BR44)=N(BS44))))*nTP_HT*nTP_OK*(nTP_UTC_n=CJ44),0),0),MATCH(1,INDEX((nTP_CandKey=BX44)*nTP_Exact*((nTP_HT*BN44*((nTP_OK*BO44*(nTP_UTC_n-N(BQ44))+(1-nTP_OK*BO44)*(nTP_Loc_n-N(BP44)))&lt;=0)+(1-nTP_HT*BN44)*(nTP_Hi_n&lt;N(BR44)))+((1-nTP_HT*BN44)*(nTP_Lo_n=nTP_Hi_n)*(nTP_Lo_n=N(BR44))*(N(BR44)=N(BS44))))*nTP_HT*(1-nTP_OK)*(nTP_Loc_n=CN44),0),0))))</f>
        <v>0</v>
      </c>
      <c r="CT44" s="22">
        <f>IF(CS44=0,0,INDEX(nTP_Lo_n,CS44))</f>
        <v>0</v>
      </c>
      <c r="CU44" s="22">
        <f>IF(CS44=0,0,SUMPRODUCT((nTP_CandKey=BX44)*(nTP_Err="")*(1-nTP_Exact)*((nTP_HT*BN44*((nTP_OK*BO44*(nTP_UTC_n-N(BQ44))+(1-nTP_OK*BO44)*(nTP_Loc_n-N(BP44)))&lt;=0)+(1-nTP_HT*BN44)*(nTP_Hi_n&lt;N(BR44)))+((1-nTP_HT*BN44)*(nTP_Lo_n=nTP_Hi_n)*(nTP_Lo_n=N(BR44))*(N(BR44)=N(BS44))))*(nTP_Hi_n&gt;=CT44)))</f>
        <v>0</v>
      </c>
      <c r="CV44" s="21" t="str">
        <f t="shared" si="29"/>
        <v/>
      </c>
      <c r="CW44" s="21" t="str">
        <f>IF(AND(BG44=1,CB44=1,CV44="",CS44&gt;0),INDEX(nTP_Record_ID,CS44)&amp;"","")</f>
        <v/>
      </c>
      <c r="CX44" s="21" t="str">
        <f>IF(OR(CV44="",BG44=0),"",IF(CV44="none","an administration record (last dose before onset)",IF(CV44="uncertain","the anchor record: "&amp;INDEX(nTP_Record_ID,MATCH(1,INDEX((nTP_CandKey=BX44)*(nTP_Err="")*(1-(nTP_HT*BN44*((nTP_OK*BO44*(nTP_UTC_n-N(BQ44))+(1-nTP_OK*BO44)*(nTP_Loc_n-N(BP44)))&lt;=0)+(1-nTP_HT*BN44)*(nTP_Hi_n&lt;N(BR44)))-(nTP_HT*BN44*((nTP_OK*BO44*(nTP_UTC_n-N(BQ44))+(1-nTP_OK*BO44)*(nTP_Loc_n-N(BP44)))&gt;0)+(1-nTP_HT*BN44)*(nTP_Lo_n&gt;N(BS44)))-((1-nTP_HT*BN44)*(nTP_Lo_n=nTP_Hi_n)*(nTP_Lo_n=N(BR44))*(N(BR44)=N(BS44)))),0),0))&amp;IF(CC44&gt;1," and "&amp;(CC44-1)&amp;" more","")&amp;" may fall before or after the end point, so the last dose cannot be identified from the recorded dates",IF(CV44="noneligible","the anchor record: no administration with an exact date is recorded at or before the end point",IF(CV44="tie","the anchor record: the order of the latest administrations cannot be told from the recorded dates and times","the anchor record: partial-date administration "&amp;INDEX(nTP_Record_ID,MATCH(1,INDEX((nTP_CandKey=BX44)*(nTP_Err="")*(1-nTP_Exact)*((nTP_HT*BN44*((nTP_OK*BO44*(nTP_UTC_n-N(BQ44))+(1-nTP_OK*BO44)*(nTP_Loc_n-N(BP44)))&lt;=0)+(1-nTP_HT*BN44)*(nTP_Hi_n&lt;N(BR44)))+((1-nTP_HT*BN44)*(nTP_Lo_n=nTP_Hi_n)*(nTP_Lo_n=N(BR44))*(N(BR44)=N(BS44))))*(nTP_Hi_n&gt;=CT44),0),0))&amp;" could be the last dose before the end point")))))</f>
        <v/>
      </c>
      <c r="CY44" s="22">
        <f>IF(OR(AW44=1,AJ44=""),0,IFERROR(MATCH(AX44&amp;"|"&amp;AJ44,nTP_Key,0),0))</f>
        <v>0</v>
      </c>
      <c r="CZ44" s="21">
        <f>IF(CY44=0,0,INDEX(nTP_Dup,CY44))</f>
        <v>0</v>
      </c>
      <c r="DA44" s="21" t="str">
        <f>IF(CY44=0,"",INDEX(nTP_Record_Type,CY44))</f>
        <v/>
      </c>
      <c r="DB44" s="21" t="str">
        <f>IF(CY44=0,"",INDEX(nTP_Precision,CY44))</f>
        <v/>
      </c>
      <c r="DC44" s="21" t="str">
        <f>IF(CY44=0,"",INDEX(nTP_Err,CY44))</f>
        <v/>
      </c>
      <c r="DD44" s="21">
        <f>IF(CY44=0,0,INDEX(nTP_HT,CY44))</f>
        <v>0</v>
      </c>
      <c r="DE44" s="21">
        <f>IF(CY44=0,0,INDEX(nTP_OK,CY44))</f>
        <v>0</v>
      </c>
      <c r="DF44" s="21" t="str">
        <f>IF(CY44=0,"",INDEX(nTP_Loc,CY44))</f>
        <v/>
      </c>
      <c r="DG44" s="21" t="str">
        <f>IF(CY44=0,"",INDEX(nTP_UTC,CY44))</f>
        <v/>
      </c>
      <c r="DH44" s="21" t="str">
        <f>IF(CY44=0,"",INDEX(nTP_Lo,CY44))</f>
        <v/>
      </c>
      <c r="DI44" s="21" t="str">
        <f>IF(CY44=0,"",INDEX(nTP_Hi,CY44))</f>
        <v/>
      </c>
      <c r="DJ44" s="21" t="str">
        <f>IF(CY44=0,"",INDEX(nTP_Original_Text,CY44))</f>
        <v/>
      </c>
      <c r="DK44" s="21" t="str">
        <f>IF(CY44=0,"",INDEX(nTP_Source,CY44))</f>
        <v/>
      </c>
      <c r="DL44" s="22">
        <f t="shared" si="30"/>
        <v>0</v>
      </c>
      <c r="DM44" s="21" t="str">
        <f t="shared" si="31"/>
        <v/>
      </c>
      <c r="DN44" s="21" t="str">
        <f t="shared" si="32"/>
        <v/>
      </c>
      <c r="DO44" s="21" t="str">
        <f t="shared" si="33"/>
        <v/>
      </c>
      <c r="DP44" s="21" t="str">
        <f t="shared" si="34"/>
        <v/>
      </c>
      <c r="DQ44" s="21" t="str">
        <f t="shared" si="35"/>
        <v/>
      </c>
      <c r="DR44" s="22">
        <f>IF(OR(DQ44="",I44=""),0,IF(ISNA(MATCH(I44,nLIST_Mode,0)),1,IF(AND(I44="C1",DQ44&lt;&gt;"C1"),1,IF(AND(I44="C2",DQ44="C4"),1,0))))</f>
        <v>0</v>
      </c>
      <c r="DS44" s="21" t="str">
        <f t="shared" si="36"/>
        <v/>
      </c>
      <c r="DT44" s="22">
        <f t="shared" si="37"/>
        <v>0</v>
      </c>
      <c r="DU44" s="21" t="str">
        <f>IF(DT44=0,"",IF(COUNTIFS(nTP_Case_Key,AX44,nTP_Record_Type,"MILESTONE:INTERVENTION",nTP_Err,"E_INVALID_DATE")&gt;0,"; E_INVALID_DATE","")&amp;IF(COUNTIFS(nTP_Case_Key,AX44,nTP_Record_Type,"MILESTONE:INTERVENTION",nTP_Err,"E_REVERSED_BOUNDS")&gt;0,"; E_REVERSED_BOUNDS","")&amp;IF(COUNTIFS(nTP_Case_Key,AX44,nTP_Record_Type,"MILESTONE:INTERVENTION",nTP_Err,"E_MISSING_INPUT")&gt;0,"; E_MISSING_INPUT","")&amp;IF(COUNTIFS(nTP_Case_Key,AX44,nTP_Record_Type,"MILESTONE:INTERVENTION",nTP_Err,"E_INVALID_UNIT")&gt;0,"; E_INVALID_UNIT",""))</f>
        <v/>
      </c>
      <c r="DV44" s="22">
        <f>IF(DT44=0,0,SUMPRODUCT((nMS_CaseKey=AX44)*(nMS_Type="INTERVENTION")*nMS_Undated))</f>
        <v>0</v>
      </c>
      <c r="DW44" s="21" t="str">
        <f t="shared" si="38"/>
        <v/>
      </c>
      <c r="DX44" s="21" t="str">
        <f t="shared" si="39"/>
        <v/>
      </c>
      <c r="DY44" s="22">
        <f t="shared" si="40"/>
        <v>1</v>
      </c>
      <c r="DZ44" s="21" t="str">
        <f t="shared" si="41"/>
        <v/>
      </c>
      <c r="EA44" s="21" t="str">
        <f t="shared" si="42"/>
        <v/>
      </c>
      <c r="EB44" s="21" t="str">
        <f t="shared" si="43"/>
        <v/>
      </c>
      <c r="EC44" s="21" t="str">
        <f t="shared" si="44"/>
        <v/>
      </c>
      <c r="ED44" s="22">
        <f t="shared" si="45"/>
        <v>0</v>
      </c>
      <c r="EE44" s="22">
        <f t="shared" si="46"/>
        <v>0</v>
      </c>
      <c r="EF44" s="21" t="str">
        <f>IF(ED44=0,"",IF(OR(NOT(ISNUMBER(L44)),NOT(ISNUMBER(M44))),"I_APPROXIMATE_NOT_COMPARED",IF(AND(N44&lt;&gt;"",ISNA(MATCH(N44,nLIST_ReportedUnit,0))),"E_INVALID_UNIT",IF(N44="","E_MISSING_INPUT",IF(L44&gt;M44,"E_REVERSED_BOUNDS",IF(OR(N44="weeks",N44="months",N44="years"),"I_APPROXIMATE_NOT_COMPARED",IF(DX44&lt;&gt;"","",IF(EE44=0,"I_APPROXIMATE_NOT_COMPARED",IF(AND(L44*EE44&lt;=IF(DS44="C4",EC44,IF(DS44="C1",DZ44,EA44)),M44*EE44&gt;=IF(DS44="C4",EB44,IF(DS44="C1",DZ44,EA44))),"OVERLAP","W_REPORTED_TIMING_CONFLICT")))))))))</f>
        <v/>
      </c>
      <c r="EG44" s="21" t="str">
        <f t="shared" si="47"/>
        <v/>
      </c>
      <c r="EH44" s="21" t="str">
        <f t="shared" si="48"/>
        <v/>
      </c>
      <c r="EI44" s="22">
        <f t="shared" si="49"/>
        <v>0</v>
      </c>
      <c r="EJ44" s="22">
        <f t="shared" si="50"/>
        <v>0</v>
      </c>
      <c r="EK44" s="22">
        <f t="shared" si="51"/>
        <v>0</v>
      </c>
      <c r="EL44" s="28" t="str">
        <f t="shared" si="52"/>
        <v/>
      </c>
      <c r="EM44" s="28" t="str">
        <f t="shared" si="53"/>
        <v/>
      </c>
      <c r="EN44" s="21" t="str">
        <f t="shared" si="54"/>
        <v/>
      </c>
      <c r="EO44" s="22">
        <f>IF(OR(DT44=0,DX44&lt;&gt;""),0,SUMPRODUCT((nTP_Case_Key=AX44)*(nTP_Record_Type="MILESTONE:INTERVENTION")*(nTP_Err="")*(nTP_HT*DD44*BN44*(nTP_OK*DE44*(nTP_UTC_n&gt;=N(DG44))+(1-nTP_OK*DE44)*(nTP_Loc_n&gt;=N(DF44)))*(nTP_OK*BO44*(nTP_UTC_n&lt;=N(BQ44))+(1-nTP_OK*BO44)*(nTP_Loc_n&lt;=N(BP44)))+(1-nTP_HT*DD44*BN44)*(nTP_Hi_n&gt;=N(DH44))*(nTP_Lo_n&lt;=N(BS44)))))</f>
        <v>0</v>
      </c>
      <c r="EP44" s="22">
        <f>IF(OR(DT44=0,DX44&lt;&gt;""),0,SUMPRODUCT((nTP_Case_Key=AX44)*(nTP_Role="treatment of the event")*((nTP_Record_Type="EXPOSURE_START")+(nTP_Record_Type="ADMINISTRATION"))*(nTP_Err="")*(nTP_HT*DD44*BN44*(nTP_OK*DE44*(nTP_UTC_n&gt;=N(DG44))+(1-nTP_OK*DE44)*(nTP_Loc_n&gt;=N(DF44)))*(nTP_OK*BO44*(nTP_UTC_n&lt;=N(BQ44))+(1-nTP_OK*BO44)*(nTP_Loc_n&lt;=N(BP44)))+(1-nTP_HT*DD44*BN44)*(nTP_Hi_n&gt;=N(DH44))*(nTP_Lo_n&lt;=N(BS44)))))</f>
        <v>0</v>
      </c>
      <c r="EQ44" s="22">
        <f>IF(EO44&lt;1,0,IFERROR(_xlfn.AGGREGATE(15,6,nTP_RowN/((nTP_Case_Key=AX44)*(nTP_Record_Type="MILESTONE:INTERVENTION")*(nTP_Err="")*(nTP_HT*DD44*BN44*(nTP_OK*DE44*(nTP_UTC_n&gt;=N(DG44))+(1-nTP_OK*DE44)*(nTP_Loc_n&gt;=N(DF44)))*(nTP_OK*BO44*(nTP_UTC_n&lt;=N(BQ44))+(1-nTP_OK*BO44)*(nTP_Loc_n&lt;=N(BP44)))+(1-nTP_HT*DD44*BN44)*(nTP_Hi_n&gt;=N(DH44))*(nTP_Lo_n&lt;=N(BS44)))),1),0))</f>
        <v>0</v>
      </c>
      <c r="ER44" s="22">
        <f>IF(EO44&lt;2,0,IFERROR(_xlfn.AGGREGATE(15,6,nTP_RowN/((nTP_Case_Key=AX44)*(nTP_Record_Type="MILESTONE:INTERVENTION")*(nTP_Err="")*(nTP_HT*DD44*BN44*(nTP_OK*DE44*(nTP_UTC_n&gt;=N(DG44))+(1-nTP_OK*DE44)*(nTP_Loc_n&gt;=N(DF44)))*(nTP_OK*BO44*(nTP_UTC_n&lt;=N(BQ44))+(1-nTP_OK*BO44)*(nTP_Loc_n&lt;=N(BP44)))+(1-nTP_HT*DD44*BN44)*(nTP_Hi_n&gt;=N(DH44))*(nTP_Lo_n&lt;=N(BS44)))),2),0))</f>
        <v>0</v>
      </c>
      <c r="ES44" s="22">
        <f>IF(EO44&lt;3,0,IFERROR(_xlfn.AGGREGATE(15,6,nTP_RowN/((nTP_Case_Key=AX44)*(nTP_Record_Type="MILESTONE:INTERVENTION")*(nTP_Err="")*(nTP_HT*DD44*BN44*(nTP_OK*DE44*(nTP_UTC_n&gt;=N(DG44))+(1-nTP_OK*DE44)*(nTP_Loc_n&gt;=N(DF44)))*(nTP_OK*BO44*(nTP_UTC_n&lt;=N(BQ44))+(1-nTP_OK*BO44)*(nTP_Loc_n&lt;=N(BP44)))+(1-nTP_HT*DD44*BN44)*(nTP_Hi_n&gt;=N(DH44))*(nTP_Lo_n&lt;=N(BS44)))),3),0))</f>
        <v>0</v>
      </c>
      <c r="ET44" s="22">
        <f>IF(EP44&lt;1,0,IFERROR(_xlfn.AGGREGATE(15,6,nTP_RowN/((nTP_Case_Key=AX44)*(nTP_Role="treatment of the event")*((nTP_Record_Type="EXPOSURE_START")+(nTP_Record_Type="ADMINISTRATION"))*(nTP_Err="")*(nTP_HT*DD44*BN44*(nTP_OK*DE44*(nTP_UTC_n&gt;=N(DG44))+(1-nTP_OK*DE44)*(nTP_Loc_n&gt;=N(DF44)))*(nTP_OK*BO44*(nTP_UTC_n&lt;=N(BQ44))+(1-nTP_OK*BO44)*(nTP_Loc_n&lt;=N(BP44)))+(1-nTP_HT*DD44*BN44)*(nTP_Hi_n&gt;=N(DH44))*(nTP_Lo_n&lt;=N(BS44)))),1),0))</f>
        <v>0</v>
      </c>
      <c r="EU44" s="22">
        <f>IF(EP44&lt;2,0,IFERROR(_xlfn.AGGREGATE(15,6,nTP_RowN/((nTP_Case_Key=AX44)*(nTP_Role="treatment of the event")*((nTP_Record_Type="EXPOSURE_START")+(nTP_Record_Type="ADMINISTRATION"))*(nTP_Err="")*(nTP_HT*DD44*BN44*(nTP_OK*DE44*(nTP_UTC_n&gt;=N(DG44))+(1-nTP_OK*DE44)*(nTP_Loc_n&gt;=N(DF44)))*(nTP_OK*BO44*(nTP_UTC_n&lt;=N(BQ44))+(1-nTP_OK*BO44)*(nTP_Loc_n&lt;=N(BP44)))+(1-nTP_HT*DD44*BN44)*(nTP_Hi_n&gt;=N(DH44))*(nTP_Lo_n&lt;=N(BS44)))),2),0))</f>
        <v>0</v>
      </c>
      <c r="EV44" s="22">
        <f>IF(EP44&lt;3,0,IFERROR(_xlfn.AGGREGATE(15,6,nTP_RowN/((nTP_Case_Key=AX44)*(nTP_Role="treatment of the event")*((nTP_Record_Type="EXPOSURE_START")+(nTP_Record_Type="ADMINISTRATION"))*(nTP_Err="")*(nTP_HT*DD44*BN44*(nTP_OK*DE44*(nTP_UTC_n&gt;=N(DG44))+(1-nTP_OK*DE44)*(nTP_Loc_n&gt;=N(DF44)))*(nTP_OK*BO44*(nTP_UTC_n&lt;=N(BQ44))+(1-nTP_OK*BO44)*(nTP_Loc_n&lt;=N(BP44)))+(1-nTP_HT*DD44*BN44)*(nTP_Hi_n&gt;=N(DH44))*(nTP_Lo_n&lt;=N(BS44)))),3),0))</f>
        <v>0</v>
      </c>
      <c r="EW44" s="22">
        <f>IF(CE44&lt;1,0,IFERROR(_xlfn.AGGREGATE(15,6,nTP_RowN/((nTP_CandKey=BX44)*(nTP_Err="")*(1-nTP_Exact)*((nTP_HT*BN44*((nTP_OK*BO44*(nTP_UTC_n-N(BQ44))+(1-nTP_OK*BO44)*(nTP_Loc_n-N(BP44)))&lt;=0)+(1-nTP_HT*BN44)*(nTP_Hi_n&lt;N(BR44)))+((1-nTP_HT*BN44)*(nTP_Lo_n=nTP_Hi_n)*(nTP_Lo_n=N(BR44))*(N(BR44)=N(BS44))))),1),0))</f>
        <v>0</v>
      </c>
      <c r="EX44" s="22">
        <f>IF(CE44&lt;2,0,IFERROR(_xlfn.AGGREGATE(15,6,nTP_RowN/((nTP_CandKey=BX44)*(nTP_Err="")*(1-nTP_Exact)*((nTP_HT*BN44*((nTP_OK*BO44*(nTP_UTC_n-N(BQ44))+(1-nTP_OK*BO44)*(nTP_Loc_n-N(BP44)))&lt;=0)+(1-nTP_HT*BN44)*(nTP_Hi_n&lt;N(BR44)))+((1-nTP_HT*BN44)*(nTP_Lo_n=nTP_Hi_n)*(nTP_Lo_n=N(BR44))*(N(BR44)=N(BS44))))),2),0))</f>
        <v>0</v>
      </c>
      <c r="EY44" s="22">
        <f>IF(CE44&lt;3,0,IFERROR(_xlfn.AGGREGATE(15,6,nTP_RowN/((nTP_CandKey=BX44)*(nTP_Err="")*(1-nTP_Exact)*((nTP_HT*BN44*((nTP_OK*BO44*(nTP_UTC_n-N(BQ44))+(1-nTP_OK*BO44)*(nTP_Loc_n-N(BP44)))&lt;=0)+(1-nTP_HT*BN44)*(nTP_Hi_n&lt;N(BR44)))+((1-nTP_HT*BN44)*(nTP_Lo_n=nTP_Hi_n)*(nTP_Lo_n=N(BR44))*(N(BR44)=N(BS44))))),3),0))</f>
        <v>0</v>
      </c>
      <c r="EZ44" s="21" t="str">
        <f>IF(EO44=0,"",MID(IF(EQ44&gt;0,"; "&amp;INDEX(nTP_Record_ID,EQ44)&amp;IF(INDEX(nTP_Label,EQ44)="",""," ("&amp;INDEX(nTP_Label,EQ44)&amp;")"),"")&amp;IF(ER44&gt;0,"; "&amp;INDEX(nTP_Record_ID,ER44)&amp;IF(INDEX(nTP_Label,ER44)="",""," ("&amp;INDEX(nTP_Label,ER44)&amp;")"),"")&amp;IF(ES44&gt;0,"; "&amp;INDEX(nTP_Record_ID,ES44)&amp;IF(INDEX(nTP_Label,ES44)="",""," ("&amp;INDEX(nTP_Label,ES44)&amp;")"),"")&amp;IF(EO44&gt;3,"; and "&amp;(EO44-3)&amp;" more",""),3,999))</f>
        <v/>
      </c>
      <c r="FA44" s="21" t="str">
        <f>IF(EO44=0,"",MID(IF(EQ44&gt;0,"; "&amp;INDEX(nTP_Record_ID,EQ44),"")&amp;IF(ER44&gt;0,"; "&amp;INDEX(nTP_Record_ID,ER44),"")&amp;IF(ES44&gt;0,"; "&amp;INDEX(nTP_Record_ID,ES44),"")&amp;IF(EO44&gt;3,"; and "&amp;(EO44-3)&amp;" more",""),3,999))</f>
        <v/>
      </c>
      <c r="FB44" s="21" t="str">
        <f>IF(EP44=0,"",MID(IF(ET44&gt;0,"; "&amp;INDEX(nTP_Record_ID,ET44)&amp;IF(INDEX(nTP_Label,ET44)="",""," ("&amp;INDEX(nTP_Label,ET44)&amp;")"),"")&amp;IF(EU44&gt;0,"; "&amp;INDEX(nTP_Record_ID,EU44)&amp;IF(INDEX(nTP_Label,EU44)="",""," ("&amp;INDEX(nTP_Label,EU44)&amp;")"),"")&amp;IF(EV44&gt;0,"; "&amp;INDEX(nTP_Record_ID,EV44)&amp;IF(INDEX(nTP_Label,EV44)="",""," ("&amp;INDEX(nTP_Label,EV44)&amp;")"),"")&amp;IF(EP44&gt;3,"; and "&amp;(EP44-3)&amp;" more",""),3,999))</f>
        <v/>
      </c>
      <c r="FC44" s="21" t="str">
        <f>IF(CE44=0,"",MID(IF(EW44&gt;0,"; "&amp;INDEX(nTP_Record_ID,EW44),"")&amp;IF(EX44&gt;0,"; "&amp;INDEX(nTP_Record_ID,EX44),"")&amp;IF(EY44&gt;0,"; "&amp;INDEX(nTP_Record_ID,EY44),"")&amp;IF(CE44&gt;3,"; and "&amp;(CE44-3)&amp;" more",""),3,999))</f>
        <v/>
      </c>
      <c r="FD44" s="22">
        <f t="shared" si="55"/>
        <v>0</v>
      </c>
      <c r="FE44" s="22">
        <f t="shared" si="56"/>
        <v>0</v>
      </c>
      <c r="FF44" s="22">
        <f t="shared" si="57"/>
        <v>0</v>
      </c>
      <c r="FG44" s="22">
        <f t="shared" si="58"/>
        <v>0</v>
      </c>
      <c r="FH44" s="22">
        <f t="shared" si="59"/>
        <v>0</v>
      </c>
      <c r="FI44" s="22">
        <f t="shared" si="60"/>
        <v>0</v>
      </c>
      <c r="FJ44" s="22">
        <f t="shared" si="61"/>
        <v>0</v>
      </c>
      <c r="FK44" s="22">
        <f t="shared" si="62"/>
        <v>0</v>
      </c>
    </row>
    <row r="45" spans="1:167" x14ac:dyDescent="0.2">
      <c r="A45" s="24" t="s">
        <v>294</v>
      </c>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row>
    <row r="46" spans="1:167" x14ac:dyDescent="0.2">
      <c r="A46" s="9" t="s">
        <v>1127</v>
      </c>
      <c r="B46" s="9" t="s">
        <v>297</v>
      </c>
      <c r="C46" s="11">
        <v>2</v>
      </c>
      <c r="D46" s="9" t="s">
        <v>894</v>
      </c>
      <c r="E46" s="16" t="s">
        <v>51</v>
      </c>
      <c r="F46" s="9"/>
      <c r="G46" s="9" t="s">
        <v>1126</v>
      </c>
      <c r="H46" s="9" t="s">
        <v>1128</v>
      </c>
      <c r="I46" s="16" t="s">
        <v>59</v>
      </c>
      <c r="J46" s="16"/>
      <c r="K46" s="9"/>
      <c r="L46" s="16"/>
      <c r="M46" s="16"/>
      <c r="N46" s="16"/>
      <c r="O46" s="9"/>
      <c r="P46" s="14"/>
      <c r="Q46" s="14"/>
      <c r="R46" s="9"/>
      <c r="S46" s="9"/>
      <c r="T46" s="21" t="str">
        <f t="shared" ref="T46:T76" si="63">IF(AW46=1,"",IF(EI46=0,EG46&amp;": no result is shown",U46&amp;IF(DS46="C1",IF(ABS(DZ46)&gt;=60," ("&amp;FIXED(DZ46/60,1,FALSE)&amp;" hours)",""),"")&amp;IF(AND(DS46="C2",EA46=0,DZ46&lt;&gt;"")," (order within the day from C1: "&amp;AA46&amp;")","")&amp;IF(AB46&lt;&gt;"","; treatment Day "&amp;AB46,"")&amp;IF(AE46&lt;&gt;"","; with constraint "&amp;SUBSTITUTE(AE46&amp;"","-","−")&amp;" to "&amp;SUBSTITUTE(AF46&amp;"","-","−")&amp;" calendar days",IF(EN46&lt;&gt;"","; constraint: "&amp;EN46,""))))</f>
        <v>15 minutes</v>
      </c>
      <c r="U46" s="21" t="str">
        <f t="shared" ref="U46:U76" si="64">IF(AW46=1,"",IF(EI46=0,"Not calculable",IF(DS46="C1",SUBSTITUTE(FIXED(DZ46,0,FALSE),"-","−")&amp;" "&amp;IF(ABS(DZ46)=1,SUBSTITUTE(Y46,"minutes","minute"),Y46),IF(DS46="C2",SUBSTITUTE(EA46&amp;"","-","−")&amp;" calendar "&amp;IF(ABS(EA46)=1,"day","days"),IF(AND(EB46&lt;0,EC46&gt;0,EB46&gt;0),"+","")&amp;SUBSTITUTE(EB46&amp;"","-","−")&amp;" to "&amp;IF(AND(EB46&lt;0,EC46&gt;0,EC46&gt;0),"+","")&amp;SUBSTITUTE(EC46&amp;"","-","−")&amp;" calendar days"))))</f>
        <v>15 minutes</v>
      </c>
      <c r="V46" s="21">
        <f t="shared" ref="V46:V76" si="65">IF(EI46=0,"",IF(DS46="C1",DZ46,IF(DS46="C2",EA46,"")))</f>
        <v>15</v>
      </c>
      <c r="W46" s="21" t="str">
        <f t="shared" ref="W46:W76" si="66">IF(AND(EI46=1,DS46="C4"),EB46,"")</f>
        <v/>
      </c>
      <c r="X46" s="21" t="str">
        <f t="shared" ref="X46:X76" si="67">IF(AND(EI46=1,DS46="C4"),EC46,"")</f>
        <v/>
      </c>
      <c r="Y46" s="21" t="str">
        <f t="shared" ref="Y46:Y76" si="68">IF(EI46=0,"",IF(DS46="C1",IF(DY46=1,"minutes (local clock)","minutes"),"calendar days"))</f>
        <v>minutes</v>
      </c>
      <c r="Z46" s="21" t="str">
        <f t="shared" ref="Z46:Z76" si="69">IF(AW46=1,"",IF(EI46=0,IF(DT46=1,"C7","C1–C6"),IF(DT46=1,"C7 ("&amp;DS46&amp;")",DS46&amp;IF(EJ46=1,"; C3","")&amp;IF(ED46=1,"; C6",""))))</f>
        <v>C1</v>
      </c>
      <c r="AA46" s="21" t="str">
        <f t="shared" ref="AA46:AA76" si="70">IF(EI46=0,"",IF(DS46="C1",IF(DZ46&gt;0,"AFTER",IF(DZ46&lt;0,"BEFORE","SIMULTANEOUS")),IF(DS46="C2",IF(EA46&gt;0,"AFTER",IF(EA46&lt;0,"BEFORE",IF(DZ46&lt;&gt;"",IF(DZ46&gt;0,"AFTER",IF(DZ46&lt;0,"BEFORE","SIMULTANEOUS")),"SAME_DATE_ORDER_UNKNOWN"))),IF(EB46&gt;0,"AFTER",IF(EC46&lt;0,"BEFORE",IF(AND(EB46=0,EC46=0),"SAME_DATE_ORDER_UNKNOWN","SEQUENCE_UNCERTAIN"))))))</f>
        <v>AFTER</v>
      </c>
      <c r="AB46" s="21" t="str">
        <f t="shared" ref="AB46:AB76" si="71">IF(AND(EJ46=1,EA46&gt;=0),EA46+1,"")</f>
        <v/>
      </c>
      <c r="AC46" s="21" t="str">
        <f t="shared" ref="AC46:AC76" si="72">IF(AW46=1,"",IF(EG46&lt;&gt;"",EG46,MID(IF(FD46=1,"; W_TZ_UNKNOWN","")&amp;IF(FE46=1,"; W_SAME_DATE_ORDER_UNKNOWN","")&amp;IF(FF46=1,"; W_SEQUENCE_UNCERTAIN","")&amp;IF(FG46=1,"; W_ADMIN_SAME_DATE_AS_ONSET","")&amp;IF(FH46=1,"; W_REPORTED_TIMING_CONFLICT","")&amp;IF(FI46=1,"; W_INTERVENTION_BEFORE_RECOVERY","")&amp;IF(FJ46=1,"; I_TREATMENT_DAY_UNDEFINED","")&amp;IF(FK46=1,"; I_APPROXIMATE_NOT_COMPARED",""),3,999)))</f>
        <v/>
      </c>
      <c r="AD46" s="21" t="str">
        <f>IF(AW46=1,"",MID(IF(ISNUMBER(SEARCH("E_INVALID_DATE",EG46))," | E_INVALID_DATE: "&amp;SUBSTITUTE(IFERROR(INDEX(nMSG_Text,MATCH("E_INVALID_DATE",nMSG_Code,0)),""),"[input]",""),"")&amp;IF(ISNUMBER(SEARCH("E_REVERSED_BOUNDS",EG46))," | E_REVERSED_BOUNDS: "&amp;SUBSTITUTE(IFERROR(INDEX(nMSG_Text,MATCH("E_REVERSED_BOUNDS",nMSG_Code,0)),""),"[input]",""),"")&amp;IF(ISNUMBER(SEARCH("E_DUPLICATE_ID",EG46))," | E_DUPLICATE_ID: "&amp;SUBSTITUTE(IFERROR(INDEX(nMSG_Text,MATCH("E_DUPLICATE_ID",nMSG_Code,0)),""),"[input]",""),"")&amp;IF(ISNUMBER(SEARCH("E_MISSING_LINK",EG46))," | E_MISSING_LINK: "&amp;SUBSTITUTE(IFERROR(INDEX(nMSG_Text,MATCH("E_MISSING_LINK",nMSG_Code,0)),""),"[input]",""),"")&amp;IF(ISNUMBER(SEARCH("E_MISSING_INPUT",EG46))," | E_MISSING_INPUT: "&amp;SUBSTITUTE(IFERROR(INDEX(nMSG_Text,MATCH("E_MISSING_INPUT",nMSG_Code,0)),""),"[input]",IF(EH46="","an input",EH46)),"")&amp;IF(ISNUMBER(SEARCH("E_INVALID_UNIT",EG46))," | E_INVALID_UNIT: "&amp;SUBSTITUTE(IFERROR(INDEX(nMSG_Text,MATCH("E_INVALID_UNIT",nMSG_Code,0)),""),"[input]",""),"")&amp;IF(FD46=1," | W_TZ_UNKNOWN: "&amp;SUBSTITUTE(IFERROR(INDEX(nMSG_Text,MATCH("W_TZ_UNKNOWN",nMSG_Code,0)),""),"[input]",""),"")&amp;IF(FE46=1," | W_SAME_DATE_ORDER_UNKNOWN: "&amp;SUBSTITUTE(IFERROR(INDEX(nMSG_Text,MATCH("W_SAME_DATE_ORDER_UNKNOWN",nMSG_Code,0)),""),"[input]",""),"")&amp;IF(FF46=1," | W_SEQUENCE_UNCERTAIN: "&amp;SUBSTITUTE(IFERROR(INDEX(nMSG_Text,MATCH("W_SEQUENCE_UNCERTAIN",nMSG_Code,0)),""),"[input]",""),"")&amp;IF(FG46=1," | W_ADMIN_SAME_DATE_AS_ONSET: "&amp;SUBSTITUTE(IFERROR(INDEX(nMSG_Text,MATCH("W_ADMIN_SAME_DATE_AS_ONSET",nMSG_Code,0)),""),"[input]",""),"")&amp;IF(FH46=1," | W_REPORTED_TIMING_CONFLICT: "&amp;SUBSTITUTE(IFERROR(INDEX(nMSG_Text,MATCH("W_REPORTED_TIMING_CONFLICT",nMSG_Code,0)),""),"[input]",""),"")&amp;IF(FI46=1," | W_INTERVENTION_BEFORE_RECOVERY: "&amp;SUBSTITUTE(IFERROR(INDEX(nMSG_Text,MATCH("W_INTERVENTION_BEFORE_RECOVERY",nMSG_Code,0)),""),"[input]",""),"")&amp;IF(FJ46=1," | I_TREATMENT_DAY_UNDEFINED: "&amp;SUBSTITUTE(IFERROR(INDEX(nMSG_Text,MATCH("I_TREATMENT_DAY_UNDEFINED",nMSG_Code,0)),""),"[input]",""),"")&amp;IF(FK46=1," | I_APPROXIMATE_NOT_COMPARED: "&amp;SUBSTITUTE(IFERROR(INDEX(nMSG_Text,MATCH("I_APPROXIMATE_NOT_COMPARED",nMSG_Code,0)),""),"[input]",""),""),4,9999))</f>
        <v/>
      </c>
      <c r="AE46" s="21" t="str">
        <f t="shared" ref="AE46:AE76" si="73">IF(OR(EL46="",EN46&lt;&gt;""),"",BR46-EM46)</f>
        <v/>
      </c>
      <c r="AF46" s="21" t="str">
        <f t="shared" ref="AF46:AF76" si="74">IF(OR(EL46="",EN46&lt;&gt;""),"",BS46-EL46)</f>
        <v/>
      </c>
      <c r="AG46" s="21" t="str">
        <f>IF(EN46="","",MID(IF(ISNUMBER(SEARCH("E_REVERSED_BOUNDS",EN46))," | E_REVERSED_BOUNDS: "&amp;SUBSTITUTE(IFERROR(INDEX(nMSG_Text,MATCH("E_REVERSED_BOUNDS",nMSG_Code,0)),""),"[input]",""),"")&amp;IF(ISNUMBER(SEARCH("E_MISSING_INPUT",EN46))," | E_MISSING_INPUT: "&amp;SUBSTITUTE(IFERROR(INDEX(nMSG_Text,MATCH("E_MISSING_INPUT",nMSG_Code,0)),""),"[input]",IF("the source of the constraint"="","an input","the source of the constraint")),""),4,999))</f>
        <v/>
      </c>
      <c r="AH46" s="21" t="str">
        <f t="shared" ref="AH46:AH76" si="75">IF(ED46=0,"",IF(EF46="OVERLAP","Overlaps the computed interval. ",IF(EF46="W_REPORTED_TIMING_CONFLICT","Conflicts with the computed interval; both kept. ",IF(EF46="I_APPROXIMATE_NOT_COMPARED","Not compared. ",IF(EF46="","Not compared (no computed interval). ",EF46&amp;": not compared. "))))&amp;"Reported: "&amp;CHAR(34)&amp;K46&amp;CHAR(34)&amp;IF(AND(ISNUMBER(L46),ISNUMBER(M46))," ["&amp;L46&amp;" to "&amp;M46&amp;" "&amp;N46&amp;"]",""))</f>
        <v/>
      </c>
      <c r="AI46" s="21" t="str">
        <f t="shared" ref="AI46:AI76" si="76">IF(AW46=1,"",IF(EI46=0,"Interval "&amp;A46,AJ46&amp;" → "&amp;AK46&amp;IF(DT46=1," (recovery)","")))</f>
        <v>EX-A/START → EV-1/ONSET</v>
      </c>
      <c r="AJ46" s="21" t="str">
        <f t="shared" ref="AJ46:AJ76" si="77">IF(BG46=1,CW46,IF(AND(E46="FIRST_ADMIN",G46=""),IF(AP46="","",AP46&amp;"/START"),G46&amp;""))</f>
        <v>EX-A/START</v>
      </c>
      <c r="AK46" s="21" t="str">
        <f t="shared" ref="AK46:AK76" si="78">IF(H46&lt;&gt;"",H46&amp;"",IF(AQ46&lt;&gt;"",AQ46&amp;"/ONSET",""))</f>
        <v>EV-1/ONSET</v>
      </c>
      <c r="AL46" s="21" t="str">
        <f>IF(CY46=0,"",INDEX(nTP_ISO,CY46))</f>
        <v>2026-01-10T09:00-05:00</v>
      </c>
      <c r="AM46" s="21" t="str">
        <f>IF(CY46=0,"",INDEX(nTP_Display,CY46))</f>
        <v>10 January 2026 09:00 (UTC-05:00)</v>
      </c>
      <c r="AN46" s="21" t="str">
        <f>IF(BI46=0,"",INDEX(nTP_ISO,BI46))</f>
        <v>2026-01-10T09:15-05:00</v>
      </c>
      <c r="AO46" s="21" t="str">
        <f>IF(BI46=0,"",INDEX(nTP_Display,BI46))</f>
        <v>10 January 2026 09:15 (UTC-05:00)</v>
      </c>
      <c r="AP46" s="21" t="str">
        <f>IF(BA46=0,"",INDEX(nLNK_Exposure_Episode_ID,BA46)&amp;"")</f>
        <v>EX-A</v>
      </c>
      <c r="AQ46" s="21" t="str">
        <f>IF(BA46=0,"",INDEX(nLNK_Event_Episode_ID,BA46)&amp;"")</f>
        <v>EV-1</v>
      </c>
      <c r="AR46" s="21" t="str">
        <f t="shared" ref="AR46:AR76" si="79">IF(EI46=0,"","Anchor ("&amp;E46&amp;") "&amp;AJ46&amp;": "&amp;AL46&amp;" ["&amp;IF(DB46="TIMESTAMP",IF(DE46=1,"timestamp with UTC offset","timestamp, offset unknown"),IF(DB46="DATE","day",IF(DB46="MONTH","month",IF(DB46="YEAR","year",IF(DB46="LAB","laboratory-defined range","range")))))&amp;"; case measurement; original: "&amp;CHAR(34)&amp;DJ46&amp;CHAR(34)&amp;IF(DK46&lt;&gt;"","; source: "&amp;DK46,"")&amp;"] | End point "&amp;AK46&amp;": "&amp;AN46&amp;" ["&amp;IF(BL46="TIMESTAMP",IF(BO46=1,"timestamp with UTC offset","timestamp, offset unknown"),IF(BL46="DATE","day",IF(BL46="MONTH","month",IF(BL46="YEAR","year",IF(BL46="LAB","laboratory-defined range","range")))))&amp;"; case measurement; original: "&amp;CHAR(34)&amp;BT46&amp;CHAR(34)&amp;IF(BU46&lt;&gt;"","; source: "&amp;BU46,"")&amp;"]")</f>
        <v>Anchor (FIRST_ADMIN)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AS46" s="21" t="str">
        <f>IF(EI46=0,"",MID(IF(DT46=1," | Recovery interval (C7) computed with "&amp;DS46&amp;".","")&amp;IF(BG46=1," | Anchor selected under C5 (CALC-SPEC 1.1): latest administration with an exact date or time at or before "&amp;IF(BH46=1,"onset","the end point")&amp;" ("&amp;AJ46&amp;"), ordered in UTC when offsets are known; later administrations are never selected.","")&amp;IF(AND(BG46=1,CE46&gt;0)," | Partial-date administrations wholly before the selected one were not candidates: "&amp;FC46&amp;".","")&amp;IF(BV46&lt;&gt;""," | "&amp;BV46,"")&amp;IF(AND(DS46="C2",EA46=0,DZ46&lt;&gt;"")," | Same calendar date; both times are known, so C1 decides the order ("&amp;AA46&amp;").","")&amp;IF(AND(DS46="C2",DD46*BN46=1,DT46=0)," | Calendar-date difference from the recorded local dates; it is never described as elapsed days.","")&amp;IF(AND(DS46="C4",DT46=0)," | Bounds are treated as independent; no single date is imputed from them.","")&amp;IF(EJ46=1," | Treatment day under the inclusive convention (C3); never written to E2B fields automatically.","")&amp;IF(AND(DS46="C4",DT46=0,EK46=0)," | No constraint applied.","")&amp;IF(AND(DS46="C4",EK46=1)," | Constraint applied to the anchor bounds: "&amp;IF(ISNUMBER(P46),"not before "&amp;DAY(P46)&amp;" "&amp;INDEX(nLIST_Months,MONTH(P46))&amp;" "&amp;YEAR(P46),"")&amp;IF(AND(ISNUMBER(P46),ISNUMBER(Q46)),", ","")&amp;IF(ISNUMBER(Q46),"not after "&amp;DAY(Q46)&amp;" "&amp;INDEX(nLIST_Months,MONTH(Q46))&amp;" "&amp;YEAR(Q46),"")&amp;". Source: "&amp;IF(R46="","not recorded",R46)&amp;IF(EN46="",". Constrained result shown beside the unconstrained one.",". Constrained result blocked ("&amp;EN46&amp;")."),"")&amp;IF(DT46=1,IF(EO46&gt;0," | Intervention recorded between cessation and recovery (ends included): "&amp;EZ46&amp;"."," | No intervention is recorded between cessation and recovery; absence of a record is not evidence that none was given."),"")&amp;IF(AND(DT46=1,DV46&gt;0)," | Intervention recorded without a date, so whether it came before recovery is unknown: "&amp;INDEX(nMS_Milestone_ID,MATCH(1,INDEX((nMS_CaseKey=AX46)*(nMS_Type="INTERVENTION")*nMS_Undated,0),0))&amp;IF(DV46&gt;1," and "&amp;(DV46-1)&amp;" more","")&amp;".","")&amp;IF(AND(DT46=1,EP46&gt;0)," | Not counted as interventions, because they are recorded as exposures rather than as intervention milestones (nothing is inferred): "&amp;FB46&amp;". If treatment was given, record it as an intervention milestone.",""),4,9999))</f>
        <v/>
      </c>
      <c r="AT46" s="21" t="str">
        <f t="shared" ref="AT46:AT76" si="80">IF(EI46=0,"","The interval describes the sequence and spacing of recorded times; it is not evidence of causation."&amp;IF(DS46="C4"," The true interval lies between the bounds; no single date is imputed.","")&amp;IF(DT46=1," A recovery interval is not, by itself, evidence of positive dechallenge.",""))</f>
        <v>The interval describes the sequence and spacing of recorded times; it is not evidence of causation.</v>
      </c>
      <c r="AU46" s="21" t="str">
        <f t="shared" ref="AU46:AU76" si="81">IF(OR(EI46=0,DT46=0,EO46=0),"",FA46)</f>
        <v/>
      </c>
      <c r="AV46" s="21" t="str">
        <f t="shared" ref="AV46:AV76" si="82">IF(AW46=1,"","CALC-SPEC 1.1")</f>
        <v>CALC-SPEC 1.1</v>
      </c>
      <c r="AW46" s="22">
        <f t="shared" ref="AW46:AW76" si="83">IF(AND(A46="",D46="",E46="",H46=""),1,0)</f>
        <v>0</v>
      </c>
      <c r="AX46" s="21" t="str">
        <f t="shared" ref="AX46:AX76" si="84">B46&amp;"|"&amp;C46</f>
        <v>EX-C01|2</v>
      </c>
      <c r="AY46" s="21" t="str">
        <f t="shared" ref="AY46:AY76" si="85">IF(A46="","",AX46&amp;"|"&amp;A46)</f>
        <v>EX-C01|2|I01</v>
      </c>
      <c r="AZ46" s="22">
        <f>IF(AY46="",0,COUNTIF(nINT_Key,AY46))</f>
        <v>1</v>
      </c>
      <c r="BA46" s="22">
        <f>IF(D46="",0,IFERROR(MATCH(AX46&amp;"|"&amp;D46,nLNK_Key,0),0))</f>
        <v>22</v>
      </c>
      <c r="BB46" s="22">
        <f>IF(BA46=0,1,INDEX(nLNK_Exp_Found,BA46))</f>
        <v>1</v>
      </c>
      <c r="BC46" s="22">
        <f>IF(BA46=0,1,INDEX(nLNK_Evt_Found,BA46))</f>
        <v>1</v>
      </c>
      <c r="BD46" s="22">
        <f>IF(AP46="",0,COUNTIF(nEXP_Key,AX46&amp;"|"&amp;AP46))</f>
        <v>1</v>
      </c>
      <c r="BE46" s="22">
        <f>IF(AQ46="",0,COUNTIF(nEVT_Key,AX46&amp;"|"&amp;AQ46))</f>
        <v>1</v>
      </c>
      <c r="BF46" s="22">
        <f>IF(ISNA(MATCH(E46,nLIST_AnchorType,0)),0,1)</f>
        <v>1</v>
      </c>
      <c r="BG46" s="22">
        <f t="shared" ref="BG46:BG76" si="86">IF(AND(BF46=1,E46="LAST_DOSE_BEFORE_ONSET",G46=""),1,0)</f>
        <v>0</v>
      </c>
      <c r="BH46" s="22">
        <f t="shared" ref="BH46:BH76" si="87">IF(RIGHT(AK46,6)="/ONSET",1,0)</f>
        <v>1</v>
      </c>
      <c r="BI46" s="22">
        <f>IF(OR(AW46=1,AK46=""),0,IFERROR(MATCH(AX46&amp;"|"&amp;AK46,nTP_Key,0),0))</f>
        <v>312</v>
      </c>
      <c r="BJ46" s="21">
        <f>IF(BI46=0,0,INDEX(nTP_Dup,BI46))</f>
        <v>1</v>
      </c>
      <c r="BK46" s="21" t="str">
        <f>IF(BI46=0,"",INDEX(nTP_Record_Type,BI46))</f>
        <v>EVENT_ONSET</v>
      </c>
      <c r="BL46" s="21" t="str">
        <f>IF(BI46=0,"",INDEX(nTP_Precision,BI46))</f>
        <v>TIMESTAMP</v>
      </c>
      <c r="BM46" s="21" t="str">
        <f>IF(BI46=0,"",INDEX(nTP_Err,BI46))</f>
        <v/>
      </c>
      <c r="BN46" s="21">
        <f>IF(BI46=0,0,INDEX(nTP_HT,BI46))</f>
        <v>1</v>
      </c>
      <c r="BO46" s="21">
        <f>IF(BI46=0,0,INDEX(nTP_OK,BI46))</f>
        <v>1</v>
      </c>
      <c r="BP46" s="21">
        <f>IF(BI46=0,"",INDEX(nTP_Loc,BI46))</f>
        <v>66286635</v>
      </c>
      <c r="BQ46" s="21">
        <f>IF(BI46=0,"",INDEX(nTP_UTC,BI46))</f>
        <v>66286935</v>
      </c>
      <c r="BR46" s="21">
        <f>IF(BI46=0,"",INDEX(nTP_Lo,BI46))</f>
        <v>46032</v>
      </c>
      <c r="BS46" s="21">
        <f>IF(BI46=0,"",INDEX(nTP_Hi,BI46))</f>
        <v>46032</v>
      </c>
      <c r="BT46" s="21" t="str">
        <f>IF(BI46=0,"",INDEX(nTP_Original_Text,BI46))</f>
        <v>09:15 pt reports itching; urticaria chest and arms; audible wheeze; BP 84/52</v>
      </c>
      <c r="BU46" s="21" t="str">
        <f>IF(BI46=0,"",INDEX(nTP_Source,BI46))</f>
        <v>Nursing observation chart</v>
      </c>
      <c r="BV46" s="21" t="str">
        <f>IF(BI46=0,"",INDEX(nTP_Lab_Note,BI46))</f>
        <v/>
      </c>
      <c r="BW46" s="22">
        <f t="shared" ref="BW46:BW76" si="88">IF(AND(BI46&gt;0,BM46=""),1,0)</f>
        <v>1</v>
      </c>
      <c r="BX46" s="21" t="str">
        <f t="shared" ref="BX46:BX76" si="89">AX46&amp;"|"&amp;AP46</f>
        <v>EX-C01|2|EX-A</v>
      </c>
      <c r="BY46" s="22">
        <f>IF(BG46=0,0,COUNTIF(nTP_CandKey,BX46))</f>
        <v>0</v>
      </c>
      <c r="BZ46" s="22">
        <f>IF(BG46=0,0,COUNTIFS(nTP_CandKey,BX46,nTP_Err,""))</f>
        <v>0</v>
      </c>
      <c r="CA46" s="21" t="str">
        <f>IF(BY46=BZ46,"",IF(COUNTIFS(nTP_CandKey,BX46,nTP_Err,"E_INVALID_DATE")&gt;0,"; E_INVALID_DATE","")&amp;IF(COUNTIFS(nTP_CandKey,BX46,nTP_Err,"E_REVERSED_BOUNDS")&gt;0,"; E_REVERSED_BOUNDS","")&amp;IF(COUNTIFS(nTP_CandKey,BX46,nTP_Err,"E_MISSING_INPUT")&gt;0,"; E_MISSING_INPUT","")&amp;IF(COUNTIFS(nTP_CandKey,BX46,nTP_Err,"E_INVALID_UNIT")&gt;0,"; E_INVALID_UNIT",""))</f>
        <v/>
      </c>
      <c r="CB46" s="22">
        <f t="shared" ref="CB46:CB76" si="90">IF(AND(BG46=1,BZ46&gt;0,BW46=1),1,0)</f>
        <v>0</v>
      </c>
      <c r="CC46" s="22">
        <f>IF(CB46=0,0,SUMPRODUCT((nTP_CandKey=BX46)*(nTP_Err="")*(1-(nTP_HT*BN46*((nTP_OK*BO46*(nTP_UTC_n-N(BQ46))+(1-nTP_OK*BO46)*(nTP_Loc_n-N(BP46)))&lt;=0)+(1-nTP_HT*BN46)*(nTP_Hi_n&lt;N(BR46)))-(nTP_HT*BN46*((nTP_OK*BO46*(nTP_UTC_n-N(BQ46))+(1-nTP_OK*BO46)*(nTP_Loc_n-N(BP46)))&gt;0)+(1-nTP_HT*BN46)*(nTP_Lo_n&gt;N(BS46)))-((1-nTP_HT*BN46)*(nTP_Lo_n=nTP_Hi_n)*(nTP_Lo_n=N(BR46))*(N(BR46)=N(BS46))))))</f>
        <v>0</v>
      </c>
      <c r="CD46" s="22">
        <f>IF(CB46=0,0,SUMPRODUCT((nTP_CandKey=BX46)*nTP_Exact*((nTP_HT*BN46*((nTP_OK*BO46*(nTP_UTC_n-N(BQ46))+(1-nTP_OK*BO46)*(nTP_Loc_n-N(BP46)))&lt;=0)+(1-nTP_HT*BN46)*(nTP_Hi_n&lt;N(BR46)))+((1-nTP_HT*BN46)*(nTP_Lo_n=nTP_Hi_n)*(nTP_Lo_n=N(BR46))*(N(BR46)=N(BS46))))))</f>
        <v>0</v>
      </c>
      <c r="CE46" s="22">
        <f>IF(CB46=0,0,SUMPRODUCT((nTP_CandKey=BX46)*(nTP_Err="")*(1-nTP_Exact)*((nTP_HT*BN46*((nTP_OK*BO46*(nTP_UTC_n-N(BQ46))+(1-nTP_OK*BO46)*(nTP_Loc_n-N(BP46)))&lt;=0)+(1-nTP_HT*BN46)*(nTP_Hi_n&lt;N(BR46)))+((1-nTP_HT*BN46)*(nTP_Lo_n=nTP_Hi_n)*(nTP_Lo_n=N(BR46))*(N(BR46)=N(BS46))))))</f>
        <v>0</v>
      </c>
      <c r="CF46" s="22">
        <f>IF(CD46=0,0,SUMPRODUCT(MAX((nTP_CandKey=BX46)*nTP_Exact*((nTP_HT*BN46*((nTP_OK*BO46*(nTP_UTC_n-N(BQ46))+(1-nTP_OK*BO46)*(nTP_Loc_n-N(BP46)))&lt;=0)+(1-nTP_HT*BN46)*(nTP_Hi_n&lt;N(BR46)))+((1-nTP_HT*BN46)*(nTP_Lo_n=nTP_Hi_n)*(nTP_Lo_n=N(BR46))*(N(BR46)=N(BS46))))*nTP_Lo_n)))</f>
        <v>0</v>
      </c>
      <c r="CG46" s="22">
        <f>IF(CD46=0,0,SUMPRODUCT((nTP_CandKey=BX46)*nTP_Exact*((nTP_HT*BN46*((nTP_OK*BO46*(nTP_UTC_n-N(BQ46))+(1-nTP_OK*BO46)*(nTP_Loc_n-N(BP46)))&lt;=0)+(1-nTP_HT*BN46)*(nTP_Hi_n&lt;N(BR46)))+((1-nTP_HT*BN46)*(nTP_Lo_n=nTP_Hi_n)*(nTP_Lo_n=N(BR46))*(N(BR46)=N(BS46))))*(nTP_Lo_n=CF46)))</f>
        <v>0</v>
      </c>
      <c r="CH46" s="22">
        <f>IF(CD46=0,0,SUMPRODUCT((nTP_CandKey=BX46)*nTP_Exact*((nTP_HT*BN46*((nTP_OK*BO46*(nTP_UTC_n-N(BQ46))+(1-nTP_OK*BO46)*(nTP_Loc_n-N(BP46)))&lt;=0)+(1-nTP_HT*BN46)*(nTP_Hi_n&lt;N(BR46)))+((1-nTP_HT*BN46)*(nTP_Lo_n=nTP_Hi_n)*(nTP_Lo_n=N(BR46))*(N(BR46)=N(BS46))))*(1-nTP_HT)*(nTP_Lo_n=CF46)))</f>
        <v>0</v>
      </c>
      <c r="CI46" s="22">
        <f>IF(CD46=0,0,SUMPRODUCT(MAX((nTP_CandKey=BX46)*nTP_Exact*((nTP_HT*BN46*((nTP_OK*BO46*(nTP_UTC_n-N(BQ46))+(1-nTP_OK*BO46)*(nTP_Loc_n-N(BP46)))&lt;=0)+(1-nTP_HT*BN46)*(nTP_Hi_n&lt;N(BR46)))+((1-nTP_HT*BN46)*(nTP_Lo_n=nTP_Hi_n)*(nTP_Lo_n=N(BR46))*(N(BR46)=N(BS46))))*(1-nTP_HT)*nTP_Lo_n)))</f>
        <v>0</v>
      </c>
      <c r="CJ46" s="22">
        <f>IF(CD46=0,0,SUMPRODUCT(MAX((nTP_CandKey=BX46)*nTP_Exact*((nTP_HT*BN46*((nTP_OK*BO46*(nTP_UTC_n-N(BQ46))+(1-nTP_OK*BO46)*(nTP_Loc_n-N(BP46)))&lt;=0)+(1-nTP_HT*BN46)*(nTP_Hi_n&lt;N(BR46)))+((1-nTP_HT*BN46)*(nTP_Lo_n=nTP_Hi_n)*(nTP_Lo_n=N(BR46))*(N(BR46)=N(BS46))))*nTP_HT*nTP_OK*nTP_UTC_n)))</f>
        <v>0</v>
      </c>
      <c r="CK46" s="22">
        <f>IF(CJ46=0,0,SUMPRODUCT((nTP_CandKey=BX46)*nTP_Exact*((nTP_HT*BN46*((nTP_OK*BO46*(nTP_UTC_n-N(BQ46))+(1-nTP_OK*BO46)*(nTP_Loc_n-N(BP46)))&lt;=0)+(1-nTP_HT*BN46)*(nTP_Hi_n&lt;N(BR46)))+((1-nTP_HT*BN46)*(nTP_Lo_n=nTP_Hi_n)*(nTP_Lo_n=N(BR46))*(N(BR46)=N(BS46))))*nTP_HT*nTP_OK*(nTP_UTC_n=CJ46)))</f>
        <v>0</v>
      </c>
      <c r="CL46" s="22">
        <f>IF(CK46&lt;&gt;1,0,SUMPRODUCT((nTP_CandKey=BX46)*nTP_Exact*((nTP_HT*BN46*((nTP_OK*BO46*(nTP_UTC_n-N(BQ46))+(1-nTP_OK*BO46)*(nTP_Loc_n-N(BP46)))&lt;=0)+(1-nTP_HT*BN46)*(nTP_Hi_n&lt;N(BR46)))+((1-nTP_HT*BN46)*(nTP_Lo_n=nTP_Hi_n)*(nTP_Lo_n=N(BR46))*(N(BR46)=N(BS46))))*nTP_HT*nTP_OK*(nTP_UTC_n=CJ46)*nTP_Loc_n))</f>
        <v>0</v>
      </c>
      <c r="CM46" s="22">
        <f>IF(CK46&lt;&gt;1,0,SUMPRODUCT((nTP_CandKey=BX46)*nTP_Exact*((nTP_HT*BN46*((nTP_OK*BO46*(nTP_UTC_n-N(BQ46))+(1-nTP_OK*BO46)*(nTP_Loc_n-N(BP46)))&lt;=0)+(1-nTP_HT*BN46)*(nTP_Hi_n&lt;N(BR46)))+((1-nTP_HT*BN46)*(nTP_Lo_n=nTP_Hi_n)*(nTP_Lo_n=N(BR46))*(N(BR46)=N(BS46))))*nTP_HT*nTP_OK*(nTP_UTC_n=CJ46)*nTP_Lo_n))</f>
        <v>0</v>
      </c>
      <c r="CN46" s="22">
        <f>IF(CD46=0,0,SUMPRODUCT(MAX((nTP_CandKey=BX46)*nTP_Exact*((nTP_HT*BN46*((nTP_OK*BO46*(nTP_UTC_n-N(BQ46))+(1-nTP_OK*BO46)*(nTP_Loc_n-N(BP46)))&lt;=0)+(1-nTP_HT*BN46)*(nTP_Hi_n&lt;N(BR46)))+((1-nTP_HT*BN46)*(nTP_Lo_n=nTP_Hi_n)*(nTP_Lo_n=N(BR46))*(N(BR46)=N(BS46))))*nTP_HT*(1-nTP_OK)*nTP_Loc_n)))</f>
        <v>0</v>
      </c>
      <c r="CO46" s="22">
        <f>IF(CN46=0,0,SUMPRODUCT((nTP_CandKey=BX46)*nTP_Exact*((nTP_HT*BN46*((nTP_OK*BO46*(nTP_UTC_n-N(BQ46))+(1-nTP_OK*BO46)*(nTP_Loc_n-N(BP46)))&lt;=0)+(1-nTP_HT*BN46)*(nTP_Hi_n&lt;N(BR46)))+((1-nTP_HT*BN46)*(nTP_Lo_n=nTP_Hi_n)*(nTP_Lo_n=N(BR46))*(N(BR46)=N(BS46))))*nTP_HT*(1-nTP_OK)*(nTP_Loc_n=CN46)))</f>
        <v>0</v>
      </c>
      <c r="CP46" s="22">
        <f>IF(CO46&lt;&gt;1,0,SUMPRODUCT((nTP_CandKey=BX46)*nTP_Exact*((nTP_HT*BN46*((nTP_OK*BO46*(nTP_UTC_n-N(BQ46))+(1-nTP_OK*BO46)*(nTP_Loc_n-N(BP46)))&lt;=0)+(1-nTP_HT*BN46)*(nTP_Hi_n&lt;N(BR46)))+((1-nTP_HT*BN46)*(nTP_Lo_n=nTP_Hi_n)*(nTP_Lo_n=N(BR46))*(N(BR46)=N(BS46))))*nTP_HT*(1-nTP_OK)*(nTP_Loc_n=CN46)*nTP_Lo_n))</f>
        <v>0</v>
      </c>
      <c r="CQ46" s="22">
        <f>IF(CD46=0,0,SUMPRODUCT(MAX((nTP_CandKey=BX46)*nTP_Exact*((nTP_HT*BN46*((nTP_OK*BO46*(nTP_UTC_n-N(BQ46))+(1-nTP_OK*BO46)*(nTP_Loc_n-N(BP46)))&lt;=0)+(1-nTP_HT*BN46)*(nTP_Hi_n&lt;N(BR46)))+((1-nTP_HT*BN46)*(nTP_Lo_n=nTP_Hi_n)*(nTP_Lo_n=N(BR46))*(N(BR46)=N(BS46))))*nTP_HT*nTP_OK*nTP_Loc_n)))</f>
        <v>0</v>
      </c>
      <c r="CR46" s="22">
        <f t="shared" ref="CR46:CR76" si="91">IF(CD46=0,0,IF(CH46&gt;0,IF(CG46=1,1,0),IF(AND(CJ46&gt;0,CK46=1,CL46&gt;CN46,CM46&gt;CI46),2,IF(AND(CN46&gt;0,CO46=1,CN46&gt;CQ46,CP46&gt;CI46),3,0))))</f>
        <v>0</v>
      </c>
      <c r="CS46" s="22">
        <f>IF(CR46=0,0,IF(CR46=1,MATCH(1,INDEX((nTP_CandKey=BX46)*nTP_Exact*((nTP_HT*BN46*((nTP_OK*BO46*(nTP_UTC_n-N(BQ46))+(1-nTP_OK*BO46)*(nTP_Loc_n-N(BP46)))&lt;=0)+(1-nTP_HT*BN46)*(nTP_Hi_n&lt;N(BR46)))+((1-nTP_HT*BN46)*(nTP_Lo_n=nTP_Hi_n)*(nTP_Lo_n=N(BR46))*(N(BR46)=N(BS46))))*(1-nTP_HT)*(nTP_Lo_n=CF46),0),0),IF(CR46=2,MATCH(1,INDEX((nTP_CandKey=BX46)*nTP_Exact*((nTP_HT*BN46*((nTP_OK*BO46*(nTP_UTC_n-N(BQ46))+(1-nTP_OK*BO46)*(nTP_Loc_n-N(BP46)))&lt;=0)+(1-nTP_HT*BN46)*(nTP_Hi_n&lt;N(BR46)))+((1-nTP_HT*BN46)*(nTP_Lo_n=nTP_Hi_n)*(nTP_Lo_n=N(BR46))*(N(BR46)=N(BS46))))*nTP_HT*nTP_OK*(nTP_UTC_n=CJ46),0),0),MATCH(1,INDEX((nTP_CandKey=BX46)*nTP_Exact*((nTP_HT*BN46*((nTP_OK*BO46*(nTP_UTC_n-N(BQ46))+(1-nTP_OK*BO46)*(nTP_Loc_n-N(BP46)))&lt;=0)+(1-nTP_HT*BN46)*(nTP_Hi_n&lt;N(BR46)))+((1-nTP_HT*BN46)*(nTP_Lo_n=nTP_Hi_n)*(nTP_Lo_n=N(BR46))*(N(BR46)=N(BS46))))*nTP_HT*(1-nTP_OK)*(nTP_Loc_n=CN46),0),0))))</f>
        <v>0</v>
      </c>
      <c r="CT46" s="22">
        <f>IF(CS46=0,0,INDEX(nTP_Lo_n,CS46))</f>
        <v>0</v>
      </c>
      <c r="CU46" s="22">
        <f>IF(CS46=0,0,SUMPRODUCT((nTP_CandKey=BX46)*(nTP_Err="")*(1-nTP_Exact)*((nTP_HT*BN46*((nTP_OK*BO46*(nTP_UTC_n-N(BQ46))+(1-nTP_OK*BO46)*(nTP_Loc_n-N(BP46)))&lt;=0)+(1-nTP_HT*BN46)*(nTP_Hi_n&lt;N(BR46)))+((1-nTP_HT*BN46)*(nTP_Lo_n=nTP_Hi_n)*(nTP_Lo_n=N(BR46))*(N(BR46)=N(BS46))))*(nTP_Hi_n&gt;=CT46)))</f>
        <v>0</v>
      </c>
      <c r="CV46" s="21" t="str">
        <f t="shared" ref="CV46:CV76" si="92">IF(BG46=0,"",IF(BZ46=0,"none",IF(CB46=0,"",IF(CC46&gt;0,"uncertain",IF(CD46=0,"noneligible",IF(CR46=0,"tie",IF(CU46&gt;0,"partial","")))))))</f>
        <v/>
      </c>
      <c r="CW46" s="21" t="str">
        <f>IF(AND(BG46=1,CB46=1,CV46="",CS46&gt;0),INDEX(nTP_Record_ID,CS46)&amp;"","")</f>
        <v/>
      </c>
      <c r="CX46" s="21" t="str">
        <f>IF(OR(CV46="",BG46=0),"",IF(CV46="none","an administration record (last dose before onset)",IF(CV46="uncertain","the anchor record: "&amp;INDEX(nTP_Record_ID,MATCH(1,INDEX((nTP_CandKey=BX46)*(nTP_Err="")*(1-(nTP_HT*BN46*((nTP_OK*BO46*(nTP_UTC_n-N(BQ46))+(1-nTP_OK*BO46)*(nTP_Loc_n-N(BP46)))&lt;=0)+(1-nTP_HT*BN46)*(nTP_Hi_n&lt;N(BR46)))-(nTP_HT*BN46*((nTP_OK*BO46*(nTP_UTC_n-N(BQ46))+(1-nTP_OK*BO46)*(nTP_Loc_n-N(BP46)))&gt;0)+(1-nTP_HT*BN46)*(nTP_Lo_n&gt;N(BS46)))-((1-nTP_HT*BN46)*(nTP_Lo_n=nTP_Hi_n)*(nTP_Lo_n=N(BR46))*(N(BR46)=N(BS46)))),0),0))&amp;IF(CC46&gt;1," and "&amp;(CC46-1)&amp;" more","")&amp;" may fall before or after the end point, so the last dose cannot be identified from the recorded dates",IF(CV46="noneligible","the anchor record: no administration with an exact date is recorded at or before the end point",IF(CV46="tie","the anchor record: the order of the latest administrations cannot be told from the recorded dates and times","the anchor record: partial-date administration "&amp;INDEX(nTP_Record_ID,MATCH(1,INDEX((nTP_CandKey=BX46)*(nTP_Err="")*(1-nTP_Exact)*((nTP_HT*BN46*((nTP_OK*BO46*(nTP_UTC_n-N(BQ46))+(1-nTP_OK*BO46)*(nTP_Loc_n-N(BP46)))&lt;=0)+(1-nTP_HT*BN46)*(nTP_Hi_n&lt;N(BR46)))+((1-nTP_HT*BN46)*(nTP_Lo_n=nTP_Hi_n)*(nTP_Lo_n=N(BR46))*(N(BR46)=N(BS46))))*(nTP_Hi_n&gt;=CT46),0),0))&amp;" could be the last dose before the end point")))))</f>
        <v/>
      </c>
      <c r="CY46" s="22">
        <f>IF(OR(AW46=1,AJ46=""),0,IFERROR(MATCH(AX46&amp;"|"&amp;AJ46,nTP_Key,0),0))</f>
        <v>32</v>
      </c>
      <c r="CZ46" s="21">
        <f>IF(CY46=0,0,INDEX(nTP_Dup,CY46))</f>
        <v>1</v>
      </c>
      <c r="DA46" s="21" t="str">
        <f>IF(CY46=0,"",INDEX(nTP_Record_Type,CY46))</f>
        <v>EXPOSURE_START</v>
      </c>
      <c r="DB46" s="21" t="str">
        <f>IF(CY46=0,"",INDEX(nTP_Precision,CY46))</f>
        <v>TIMESTAMP</v>
      </c>
      <c r="DC46" s="21" t="str">
        <f>IF(CY46=0,"",INDEX(nTP_Err,CY46))</f>
        <v/>
      </c>
      <c r="DD46" s="21">
        <f>IF(CY46=0,0,INDEX(nTP_HT,CY46))</f>
        <v>1</v>
      </c>
      <c r="DE46" s="21">
        <f>IF(CY46=0,0,INDEX(nTP_OK,CY46))</f>
        <v>1</v>
      </c>
      <c r="DF46" s="21">
        <f>IF(CY46=0,"",INDEX(nTP_Loc,CY46))</f>
        <v>66286620</v>
      </c>
      <c r="DG46" s="21">
        <f>IF(CY46=0,"",INDEX(nTP_UTC,CY46))</f>
        <v>66286920</v>
      </c>
      <c r="DH46" s="21">
        <f>IF(CY46=0,"",INDEX(nTP_Lo,CY46))</f>
        <v>46032</v>
      </c>
      <c r="DI46" s="21">
        <f>IF(CY46=0,"",INDEX(nTP_Hi,CY46))</f>
        <v>46032</v>
      </c>
      <c r="DJ46" s="21" t="str">
        <f>IF(CY46=0,"",INDEX(nTP_Original_Text,CY46))</f>
        <v>09:00 Drug A infusion commenced</v>
      </c>
      <c r="DK46" s="21" t="str">
        <f>IF(CY46=0,"",INDEX(nTP_Source,CY46))</f>
        <v>Nursing chart; medication administration record</v>
      </c>
      <c r="DL46" s="22">
        <f t="shared" ref="DL46:DL76" si="93">IF(AND(CY46&gt;0,DC46=""),1,0)</f>
        <v>1</v>
      </c>
      <c r="DM46" s="21" t="str">
        <f t="shared" ref="DM46:DM76" si="94">IF(OR(AW46=1,BF46=0),"",IF(BG46=1,IF(BA46=0,"",CA46&amp;IF(CV46="","","; E_MISSING_INPUT")),IF(CY46=0,IF(AND(BA46=0,G46="",E46="FIRST_ADMIN"),"","; E_MISSING_INPUT"),IF(CZ46&gt;1,"; E_DUPLICATE_ID","")&amp;IF(DC46&lt;&gt;"","; "&amp;DC46,""))))</f>
        <v/>
      </c>
      <c r="DN46" s="21" t="str">
        <f t="shared" ref="DN46:DN76" si="95">IF(OR(AW46=1,BF46=0),"",IF(BG46=1,IF(BA46=0,"",CX46),IF(CY46=0,IF(AJ46="",IF(E46="FIRST_ADMIN",IF(BA46=0,"","the first administration (the Start of the linked exposure episode)"),"the anchor record"),"an existing, dated anchor record ("&amp;AJ46&amp;")"),IF(ISNUMBER(SEARCH("E_MISSING_INPUT",DC46)),"the date fields required by the precision of anchor record "&amp;AJ46,""))))</f>
        <v/>
      </c>
      <c r="DO46" s="21" t="str">
        <f t="shared" ref="DO46:DO76" si="96">IF(AW46=1,"",IF(BI46=0,IF(AND(BA46=0,H46=""),"","; E_MISSING_INPUT"),IF(BJ46&gt;1,"; E_DUPLICATE_ID","")&amp;IF(BM46&lt;&gt;"","; "&amp;BM46,"")))</f>
        <v/>
      </c>
      <c r="DP46" s="21" t="str">
        <f t="shared" ref="DP46:DP76" si="97">IF(AW46=1,"",IF(BI46=0,IF(AND(BA46=0,H46=""),"",IF(AK46="","an end-point record (End_Record_ID, or a link to an event episode)","an existing, dated end-point record ("&amp;AK46&amp;")")),IF(ISNUMBER(SEARCH("E_MISSING_INPUT",BM46)),IF(BL46="LAB","the dated last normal and first abnormal tests of the laboratory-defined onset ("&amp;AK46&amp;"); no other date is used in their place","the date fields required by the precision of end-point record "&amp;AK46),"")))</f>
        <v/>
      </c>
      <c r="DQ46" s="21" t="str">
        <f t="shared" ref="DQ46:DQ76" si="98">IF(OR(DL46=0,BW46=0),"",IF(DD46*BN46=1,"C1",IF(AND(OR(DB46="TIMESTAMP",DB46="DATE"),OR(BL46="TIMESTAMP",BL46="DATE")),"C2","C4")))</f>
        <v>C1</v>
      </c>
      <c r="DR46" s="22">
        <f>IF(OR(DQ46="",I46=""),0,IF(ISNA(MATCH(I46,nLIST_Mode,0)),1,IF(AND(I46="C1",DQ46&lt;&gt;"C1"),1,IF(AND(I46="C2",DQ46="C4"),1,0))))</f>
        <v>0</v>
      </c>
      <c r="DS46" s="21" t="str">
        <f t="shared" ref="DS46:DS76" si="99">IF(OR(DQ46="",DR46=1),"",IF(I46="",DQ46,I46&amp;""))</f>
        <v>C1</v>
      </c>
      <c r="DT46" s="22">
        <f t="shared" ref="DT46:DT76" si="100">IF(AND(E46="CESSATION",BK46="MILESTONE:RECOVERY"),1,0)</f>
        <v>0</v>
      </c>
      <c r="DU46" s="21" t="str">
        <f>IF(DT46=0,"",IF(COUNTIFS(nTP_Case_Key,AX46,nTP_Record_Type,"MILESTONE:INTERVENTION",nTP_Err,"E_INVALID_DATE")&gt;0,"; E_INVALID_DATE","")&amp;IF(COUNTIFS(nTP_Case_Key,AX46,nTP_Record_Type,"MILESTONE:INTERVENTION",nTP_Err,"E_REVERSED_BOUNDS")&gt;0,"; E_REVERSED_BOUNDS","")&amp;IF(COUNTIFS(nTP_Case_Key,AX46,nTP_Record_Type,"MILESTONE:INTERVENTION",nTP_Err,"E_MISSING_INPUT")&gt;0,"; E_MISSING_INPUT","")&amp;IF(COUNTIFS(nTP_Case_Key,AX46,nTP_Record_Type,"MILESTONE:INTERVENTION",nTP_Err,"E_INVALID_UNIT")&gt;0,"; E_INVALID_UNIT",""))</f>
        <v/>
      </c>
      <c r="DV46" s="22">
        <f>IF(DT46=0,0,SUMPRODUCT((nMS_CaseKey=AX46)*(nMS_Type="INTERVENTION")*nMS_Undated))</f>
        <v>0</v>
      </c>
      <c r="DW46" s="21" t="str">
        <f t="shared" ref="DW46:DW76" si="101">IF(AW46=1,"",IF(A46="","; E_MISSING_INPUT","")&amp;IF(AZ46&gt;1,"; E_DUPLICATE_ID","")&amp;IF(BA46=0,"; E_MISSING_LINK",IF(OR(BB46=0,BC46=0),"; E_MISSING_INPUT",""))&amp;IF(OR(BD46&gt;1,BE46&gt;1),"; E_DUPLICATE_ID","")&amp;IF(BF46=0,"; E_MISSING_INPUT",IF(AND(E46="OTHER",TRIM(F46&amp;"")=""),"; E_MISSING_INPUT",""))&amp;DO46&amp;DM46&amp;DU46&amp;IF(DR46=1,"; E_MISSING_INPUT",""))</f>
        <v/>
      </c>
      <c r="DX46" s="21" t="str">
        <f t="shared" ref="DX46:DX76" si="102">IF(AW46=1,"",MID(IF(ISNUMBER(SEARCH("E_INVALID_DATE",DW46)),"; E_INVALID_DATE","")&amp;IF(ISNUMBER(SEARCH("E_REVERSED_BOUNDS",DW46)),"; E_REVERSED_BOUNDS","")&amp;IF(ISNUMBER(SEARCH("E_DUPLICATE_ID",DW46)),"; E_DUPLICATE_ID","")&amp;IF(ISNUMBER(SEARCH("E_MISSING_LINK",DW46)),"; E_MISSING_LINK","")&amp;IF(ISNUMBER(SEARCH("E_MISSING_INPUT",DW46)),"; E_MISSING_INPUT","")&amp;IF(ISNUMBER(SEARCH("E_INVALID_UNIT",DW46)),"; E_INVALID_UNIT",""),3,999))</f>
        <v/>
      </c>
      <c r="DY46" s="22">
        <f t="shared" ref="DY46:DY76" si="103">IF(DE46*BO46=1,0,1)</f>
        <v>0</v>
      </c>
      <c r="DZ46" s="21">
        <f t="shared" ref="DZ46:DZ76" si="104">IF(AND(DX46="",DL46=1,BW46=1,DD46*BN46=1),IF(DY46=0,BQ46-DG46,BP46-DF46),"")</f>
        <v>15</v>
      </c>
      <c r="EA46" s="21" t="str">
        <f t="shared" ref="EA46:EA76" si="105">IF(AND(DX46="",DS46="C2"),BR46-DH46,"")</f>
        <v/>
      </c>
      <c r="EB46" s="21" t="str">
        <f t="shared" ref="EB46:EB76" si="106">IF(AND(DX46="",DS46="C4"),BR46-DI46,"")</f>
        <v/>
      </c>
      <c r="EC46" s="21" t="str">
        <f t="shared" ref="EC46:EC76" si="107">IF(AND(DX46="",DS46="C4"),BS46-DH46,"")</f>
        <v/>
      </c>
      <c r="ED46" s="22">
        <f t="shared" ref="ED46:ED76" si="108">IF(AND(DT46=0,OR(TRIM(K46&amp;"")&lt;&gt;"",L46&lt;&gt;"")),1,0)</f>
        <v>0</v>
      </c>
      <c r="EE46" s="22">
        <f t="shared" ref="EE46:EE76" si="109">IF(DS46="C1",IF(N46="minutes",1,IF(N46="hours",60,IF(N46="days",1440,0))),IF(OR(DS46="C2",DS46="C4"),IF(N46="calendar days",1,0),0))</f>
        <v>0</v>
      </c>
      <c r="EF46" s="21" t="str">
        <f>IF(ED46=0,"",IF(OR(NOT(ISNUMBER(L46)),NOT(ISNUMBER(M46))),"I_APPROXIMATE_NOT_COMPARED",IF(AND(N46&lt;&gt;"",ISNA(MATCH(N46,nLIST_ReportedUnit,0))),"E_INVALID_UNIT",IF(N46="","E_MISSING_INPUT",IF(L46&gt;M46,"E_REVERSED_BOUNDS",IF(OR(N46="weeks",N46="months",N46="years"),"I_APPROXIMATE_NOT_COMPARED",IF(DX46&lt;&gt;"","",IF(EE46=0,"I_APPROXIMATE_NOT_COMPARED",IF(AND(L46*EE46&lt;=IF(DS46="C4",EC46,IF(DS46="C1",DZ46,EA46)),M46*EE46&gt;=IF(DS46="C4",EB46,IF(DS46="C1",DZ46,EA46))),"OVERLAP","W_REPORTED_TIMING_CONFLICT")))))))))</f>
        <v/>
      </c>
      <c r="EG46" s="21" t="str">
        <f t="shared" ref="EG46:EG76" si="110">IF(AW46=1,"",IF(DX46&lt;&gt;"",DX46,IF(LEFT(EF46,2)="E_",EF46,"")))</f>
        <v/>
      </c>
      <c r="EH46" s="21" t="str">
        <f t="shared" ref="EH46:EH76" si="111">IF(ISERROR(SEARCH("E_MISSING_INPUT",EG46)),"",MID(IF(A46="",", an Interval_ID","")&amp;IF(AND(BA46&gt;0,BB46=0),", an existing drug exposure episode for link "&amp;D46,"")&amp;IF(AND(BA46&gt;0,BC46=0),", an existing event episode for link "&amp;D46,"")&amp;IF(BF46=0,", an anchor type",IF(AND(E46="OTHER",TRIM(F46&amp;"")=""),", a description of the OTHER anchor",""))&amp;IF(DP46&lt;&gt;"",", "&amp;DP46,"")&amp;IF(DN46&lt;&gt;"",", "&amp;DN46,"")&amp;IF(ISNUMBER(SEARCH("E_MISSING_INPUT",DU46)),", a complete date for every recorded intervention of the case version","")&amp;IF(DR46=1,IF(I46="C1",", a time of day and UTC offset (or unknown) on both records: C1 needs two timestamps; leave the rule blank or choose C2 or C4",IF(I46="C2",", an exact date on both records: C2 needs two exact dates; leave the rule blank or choose C4",", a listed rule (C1, C2 or C4), or blank for the finest")),"")&amp;IF(AND(DX46="",EF46="E_MISSING_INPUT"),", the unit of the reported timing",""),3,999))</f>
        <v/>
      </c>
      <c r="EI46" s="22">
        <f t="shared" ref="EI46:EI76" si="112">IF(AND(AW46=0,EG46=""),1,0)</f>
        <v>1</v>
      </c>
      <c r="EJ46" s="22">
        <f t="shared" ref="EJ46:EJ76" si="113">IF(AND(EI46=1,DS46="C2",J46="inclusive",DT46=0),1,0)</f>
        <v>0</v>
      </c>
      <c r="EK46" s="22">
        <f t="shared" ref="EK46:EK76" si="114">IF(AND(EI46=1,DS46="C4",OR(ISNUMBER(P46),ISNUMBER(Q46))),1,0)</f>
        <v>0</v>
      </c>
      <c r="EL46" s="28" t="str">
        <f t="shared" ref="EL46:EL76" si="115">IF(EK46=0,"",IF(ISNUMBER(P46),MAX(DH46,P46),DH46))</f>
        <v/>
      </c>
      <c r="EM46" s="28" t="str">
        <f t="shared" ref="EM46:EM76" si="116">IF(EK46=0,"",IF(ISNUMBER(Q46),MIN(DI46,Q46),DI46))</f>
        <v/>
      </c>
      <c r="EN46" s="21" t="str">
        <f t="shared" ref="EN46:EN76" si="117">IF(EL46="","",MID(IF(EL46&gt;EM46,"; E_REVERSED_BOUNDS","")&amp;IF(TRIM(R46&amp;"")="","; E_MISSING_INPUT",""),3,99))</f>
        <v/>
      </c>
      <c r="EO46" s="22">
        <f>IF(OR(DT46=0,DX46&lt;&gt;""),0,SUMPRODUCT((nTP_Case_Key=AX46)*(nTP_Record_Type="MILESTONE:INTERVENTION")*(nTP_Err="")*(nTP_HT*DD46*BN46*(nTP_OK*DE46*(nTP_UTC_n&gt;=N(DG46))+(1-nTP_OK*DE46)*(nTP_Loc_n&gt;=N(DF46)))*(nTP_OK*BO46*(nTP_UTC_n&lt;=N(BQ46))+(1-nTP_OK*BO46)*(nTP_Loc_n&lt;=N(BP46)))+(1-nTP_HT*DD46*BN46)*(nTP_Hi_n&gt;=N(DH46))*(nTP_Lo_n&lt;=N(BS46)))))</f>
        <v>0</v>
      </c>
      <c r="EP46" s="22">
        <f>IF(OR(DT46=0,DX46&lt;&gt;""),0,SUMPRODUCT((nTP_Case_Key=AX46)*(nTP_Role="treatment of the event")*((nTP_Record_Type="EXPOSURE_START")+(nTP_Record_Type="ADMINISTRATION"))*(nTP_Err="")*(nTP_HT*DD46*BN46*(nTP_OK*DE46*(nTP_UTC_n&gt;=N(DG46))+(1-nTP_OK*DE46)*(nTP_Loc_n&gt;=N(DF46)))*(nTP_OK*BO46*(nTP_UTC_n&lt;=N(BQ46))+(1-nTP_OK*BO46)*(nTP_Loc_n&lt;=N(BP46)))+(1-nTP_HT*DD46*BN46)*(nTP_Hi_n&gt;=N(DH46))*(nTP_Lo_n&lt;=N(BS46)))))</f>
        <v>0</v>
      </c>
      <c r="EQ46" s="22">
        <f>IF(EO46&lt;1,0,IFERROR(_xlfn.AGGREGATE(15,6,nTP_RowN/((nTP_Case_Key=AX46)*(nTP_Record_Type="MILESTONE:INTERVENTION")*(nTP_Err="")*(nTP_HT*DD46*BN46*(nTP_OK*DE46*(nTP_UTC_n&gt;=N(DG46))+(1-nTP_OK*DE46)*(nTP_Loc_n&gt;=N(DF46)))*(nTP_OK*BO46*(nTP_UTC_n&lt;=N(BQ46))+(1-nTP_OK*BO46)*(nTP_Loc_n&lt;=N(BP46)))+(1-nTP_HT*DD46*BN46)*(nTP_Hi_n&gt;=N(DH46))*(nTP_Lo_n&lt;=N(BS46)))),1),0))</f>
        <v>0</v>
      </c>
      <c r="ER46" s="22">
        <f>IF(EO46&lt;2,0,IFERROR(_xlfn.AGGREGATE(15,6,nTP_RowN/((nTP_Case_Key=AX46)*(nTP_Record_Type="MILESTONE:INTERVENTION")*(nTP_Err="")*(nTP_HT*DD46*BN46*(nTP_OK*DE46*(nTP_UTC_n&gt;=N(DG46))+(1-nTP_OK*DE46)*(nTP_Loc_n&gt;=N(DF46)))*(nTP_OK*BO46*(nTP_UTC_n&lt;=N(BQ46))+(1-nTP_OK*BO46)*(nTP_Loc_n&lt;=N(BP46)))+(1-nTP_HT*DD46*BN46)*(nTP_Hi_n&gt;=N(DH46))*(nTP_Lo_n&lt;=N(BS46)))),2),0))</f>
        <v>0</v>
      </c>
      <c r="ES46" s="22">
        <f>IF(EO46&lt;3,0,IFERROR(_xlfn.AGGREGATE(15,6,nTP_RowN/((nTP_Case_Key=AX46)*(nTP_Record_Type="MILESTONE:INTERVENTION")*(nTP_Err="")*(nTP_HT*DD46*BN46*(nTP_OK*DE46*(nTP_UTC_n&gt;=N(DG46))+(1-nTP_OK*DE46)*(nTP_Loc_n&gt;=N(DF46)))*(nTP_OK*BO46*(nTP_UTC_n&lt;=N(BQ46))+(1-nTP_OK*BO46)*(nTP_Loc_n&lt;=N(BP46)))+(1-nTP_HT*DD46*BN46)*(nTP_Hi_n&gt;=N(DH46))*(nTP_Lo_n&lt;=N(BS46)))),3),0))</f>
        <v>0</v>
      </c>
      <c r="ET46" s="22">
        <f>IF(EP46&lt;1,0,IFERROR(_xlfn.AGGREGATE(15,6,nTP_RowN/((nTP_Case_Key=AX46)*(nTP_Role="treatment of the event")*((nTP_Record_Type="EXPOSURE_START")+(nTP_Record_Type="ADMINISTRATION"))*(nTP_Err="")*(nTP_HT*DD46*BN46*(nTP_OK*DE46*(nTP_UTC_n&gt;=N(DG46))+(1-nTP_OK*DE46)*(nTP_Loc_n&gt;=N(DF46)))*(nTP_OK*BO46*(nTP_UTC_n&lt;=N(BQ46))+(1-nTP_OK*BO46)*(nTP_Loc_n&lt;=N(BP46)))+(1-nTP_HT*DD46*BN46)*(nTP_Hi_n&gt;=N(DH46))*(nTP_Lo_n&lt;=N(BS46)))),1),0))</f>
        <v>0</v>
      </c>
      <c r="EU46" s="22">
        <f>IF(EP46&lt;2,0,IFERROR(_xlfn.AGGREGATE(15,6,nTP_RowN/((nTP_Case_Key=AX46)*(nTP_Role="treatment of the event")*((nTP_Record_Type="EXPOSURE_START")+(nTP_Record_Type="ADMINISTRATION"))*(nTP_Err="")*(nTP_HT*DD46*BN46*(nTP_OK*DE46*(nTP_UTC_n&gt;=N(DG46))+(1-nTP_OK*DE46)*(nTP_Loc_n&gt;=N(DF46)))*(nTP_OK*BO46*(nTP_UTC_n&lt;=N(BQ46))+(1-nTP_OK*BO46)*(nTP_Loc_n&lt;=N(BP46)))+(1-nTP_HT*DD46*BN46)*(nTP_Hi_n&gt;=N(DH46))*(nTP_Lo_n&lt;=N(BS46)))),2),0))</f>
        <v>0</v>
      </c>
      <c r="EV46" s="22">
        <f>IF(EP46&lt;3,0,IFERROR(_xlfn.AGGREGATE(15,6,nTP_RowN/((nTP_Case_Key=AX46)*(nTP_Role="treatment of the event")*((nTP_Record_Type="EXPOSURE_START")+(nTP_Record_Type="ADMINISTRATION"))*(nTP_Err="")*(nTP_HT*DD46*BN46*(nTP_OK*DE46*(nTP_UTC_n&gt;=N(DG46))+(1-nTP_OK*DE46)*(nTP_Loc_n&gt;=N(DF46)))*(nTP_OK*BO46*(nTP_UTC_n&lt;=N(BQ46))+(1-nTP_OK*BO46)*(nTP_Loc_n&lt;=N(BP46)))+(1-nTP_HT*DD46*BN46)*(nTP_Hi_n&gt;=N(DH46))*(nTP_Lo_n&lt;=N(BS46)))),3),0))</f>
        <v>0</v>
      </c>
      <c r="EW46" s="22">
        <f>IF(CE46&lt;1,0,IFERROR(_xlfn.AGGREGATE(15,6,nTP_RowN/((nTP_CandKey=BX46)*(nTP_Err="")*(1-nTP_Exact)*((nTP_HT*BN46*((nTP_OK*BO46*(nTP_UTC_n-N(BQ46))+(1-nTP_OK*BO46)*(nTP_Loc_n-N(BP46)))&lt;=0)+(1-nTP_HT*BN46)*(nTP_Hi_n&lt;N(BR46)))+((1-nTP_HT*BN46)*(nTP_Lo_n=nTP_Hi_n)*(nTP_Lo_n=N(BR46))*(N(BR46)=N(BS46))))),1),0))</f>
        <v>0</v>
      </c>
      <c r="EX46" s="22">
        <f>IF(CE46&lt;2,0,IFERROR(_xlfn.AGGREGATE(15,6,nTP_RowN/((nTP_CandKey=BX46)*(nTP_Err="")*(1-nTP_Exact)*((nTP_HT*BN46*((nTP_OK*BO46*(nTP_UTC_n-N(BQ46))+(1-nTP_OK*BO46)*(nTP_Loc_n-N(BP46)))&lt;=0)+(1-nTP_HT*BN46)*(nTP_Hi_n&lt;N(BR46)))+((1-nTP_HT*BN46)*(nTP_Lo_n=nTP_Hi_n)*(nTP_Lo_n=N(BR46))*(N(BR46)=N(BS46))))),2),0))</f>
        <v>0</v>
      </c>
      <c r="EY46" s="22">
        <f>IF(CE46&lt;3,0,IFERROR(_xlfn.AGGREGATE(15,6,nTP_RowN/((nTP_CandKey=BX46)*(nTP_Err="")*(1-nTP_Exact)*((nTP_HT*BN46*((nTP_OK*BO46*(nTP_UTC_n-N(BQ46))+(1-nTP_OK*BO46)*(nTP_Loc_n-N(BP46)))&lt;=0)+(1-nTP_HT*BN46)*(nTP_Hi_n&lt;N(BR46)))+((1-nTP_HT*BN46)*(nTP_Lo_n=nTP_Hi_n)*(nTP_Lo_n=N(BR46))*(N(BR46)=N(BS46))))),3),0))</f>
        <v>0</v>
      </c>
      <c r="EZ46" s="21" t="str">
        <f>IF(EO46=0,"",MID(IF(EQ46&gt;0,"; "&amp;INDEX(nTP_Record_ID,EQ46)&amp;IF(INDEX(nTP_Label,EQ46)="",""," ("&amp;INDEX(nTP_Label,EQ46)&amp;")"),"")&amp;IF(ER46&gt;0,"; "&amp;INDEX(nTP_Record_ID,ER46)&amp;IF(INDEX(nTP_Label,ER46)="",""," ("&amp;INDEX(nTP_Label,ER46)&amp;")"),"")&amp;IF(ES46&gt;0,"; "&amp;INDEX(nTP_Record_ID,ES46)&amp;IF(INDEX(nTP_Label,ES46)="",""," ("&amp;INDEX(nTP_Label,ES46)&amp;")"),"")&amp;IF(EO46&gt;3,"; and "&amp;(EO46-3)&amp;" more",""),3,999))</f>
        <v/>
      </c>
      <c r="FA46" s="21" t="str">
        <f>IF(EO46=0,"",MID(IF(EQ46&gt;0,"; "&amp;INDEX(nTP_Record_ID,EQ46),"")&amp;IF(ER46&gt;0,"; "&amp;INDEX(nTP_Record_ID,ER46),"")&amp;IF(ES46&gt;0,"; "&amp;INDEX(nTP_Record_ID,ES46),"")&amp;IF(EO46&gt;3,"; and "&amp;(EO46-3)&amp;" more",""),3,999))</f>
        <v/>
      </c>
      <c r="FB46" s="21" t="str">
        <f>IF(EP46=0,"",MID(IF(ET46&gt;0,"; "&amp;INDEX(nTP_Record_ID,ET46)&amp;IF(INDEX(nTP_Label,ET46)="",""," ("&amp;INDEX(nTP_Label,ET46)&amp;")"),"")&amp;IF(EU46&gt;0,"; "&amp;INDEX(nTP_Record_ID,EU46)&amp;IF(INDEX(nTP_Label,EU46)="",""," ("&amp;INDEX(nTP_Label,EU46)&amp;")"),"")&amp;IF(EV46&gt;0,"; "&amp;INDEX(nTP_Record_ID,EV46)&amp;IF(INDEX(nTP_Label,EV46)="",""," ("&amp;INDEX(nTP_Label,EV46)&amp;")"),"")&amp;IF(EP46&gt;3,"; and "&amp;(EP46-3)&amp;" more",""),3,999))</f>
        <v/>
      </c>
      <c r="FC46" s="21" t="str">
        <f>IF(CE46=0,"",MID(IF(EW46&gt;0,"; "&amp;INDEX(nTP_Record_ID,EW46),"")&amp;IF(EX46&gt;0,"; "&amp;INDEX(nTP_Record_ID,EX46),"")&amp;IF(EY46&gt;0,"; "&amp;INDEX(nTP_Record_ID,EY46),"")&amp;IF(CE46&gt;3,"; and "&amp;(CE46-3)&amp;" more",""),3,999))</f>
        <v/>
      </c>
      <c r="FD46" s="22">
        <f t="shared" ref="FD46:FD76" si="118">IF(AND(EI46=1,DY46=1,DZ46&lt;&gt;"",OR(DS46="C1",AND(DS46="C2",EA46=0))),1,0)</f>
        <v>0</v>
      </c>
      <c r="FE46" s="22">
        <f t="shared" ref="FE46:FE76" si="119">IF(AND(EI46=1,OR(AND(DS46="C2",EA46=0,DZ46=""),AND(DS46="C4",EB46=0,EC46=0))),1,0)</f>
        <v>0</v>
      </c>
      <c r="FF46" s="22">
        <f t="shared" ref="FF46:FF76" si="120">IF(AA46="SEQUENCE_UNCERTAIN",1,0)</f>
        <v>0</v>
      </c>
      <c r="FG46" s="22">
        <f t="shared" ref="FG46:FG76" si="121">IF(AND(EI46=1,BG46=1,DD46*BN46=0,DH46=BR46,BR46=BS46),1,0)</f>
        <v>0</v>
      </c>
      <c r="FH46" s="22">
        <f t="shared" ref="FH46:FH76" si="122">IF(AND(EI46=1,EF46="W_REPORTED_TIMING_CONFLICT"),1,0)</f>
        <v>0</v>
      </c>
      <c r="FI46" s="22">
        <f t="shared" ref="FI46:FI76" si="123">IF(AND(EI46=1,DT46=1,EO46&gt;0),1,0)</f>
        <v>0</v>
      </c>
      <c r="FJ46" s="22">
        <f t="shared" ref="FJ46:FJ76" si="124">IF(AND(EJ46=1,EA46&lt;0),1,0)</f>
        <v>0</v>
      </c>
      <c r="FK46" s="22">
        <f t="shared" ref="FK46:FK76" si="125">IF(AND(EI46=1,EF46="I_APPROXIMATE_NOT_COMPARED"),1,0)</f>
        <v>0</v>
      </c>
    </row>
    <row r="47" spans="1:167" x14ac:dyDescent="0.2">
      <c r="A47" s="9" t="s">
        <v>1129</v>
      </c>
      <c r="B47" s="9" t="s">
        <v>297</v>
      </c>
      <c r="C47" s="11">
        <v>2</v>
      </c>
      <c r="D47" s="9" t="s">
        <v>894</v>
      </c>
      <c r="E47" s="16" t="s">
        <v>51</v>
      </c>
      <c r="F47" s="9"/>
      <c r="G47" s="9" t="s">
        <v>1126</v>
      </c>
      <c r="H47" s="9" t="s">
        <v>1128</v>
      </c>
      <c r="I47" s="16" t="s">
        <v>60</v>
      </c>
      <c r="J47" s="16" t="s">
        <v>63</v>
      </c>
      <c r="K47" s="9"/>
      <c r="L47" s="16"/>
      <c r="M47" s="16"/>
      <c r="N47" s="16"/>
      <c r="O47" s="9"/>
      <c r="P47" s="14"/>
      <c r="Q47" s="14"/>
      <c r="R47" s="9"/>
      <c r="S47" s="9" t="s">
        <v>1130</v>
      </c>
      <c r="T47" s="21" t="str">
        <f t="shared" si="63"/>
        <v>0 calendar days (order within the day from C1: AFTER); treatment Day 1</v>
      </c>
      <c r="U47" s="21" t="str">
        <f t="shared" si="64"/>
        <v>0 calendar days</v>
      </c>
      <c r="V47" s="21">
        <f t="shared" si="65"/>
        <v>0</v>
      </c>
      <c r="W47" s="21" t="str">
        <f t="shared" si="66"/>
        <v/>
      </c>
      <c r="X47" s="21" t="str">
        <f t="shared" si="67"/>
        <v/>
      </c>
      <c r="Y47" s="21" t="str">
        <f t="shared" si="68"/>
        <v>calendar days</v>
      </c>
      <c r="Z47" s="21" t="str">
        <f t="shared" si="69"/>
        <v>C2; C3</v>
      </c>
      <c r="AA47" s="21" t="str">
        <f t="shared" si="70"/>
        <v>AFTER</v>
      </c>
      <c r="AB47" s="21">
        <f t="shared" si="71"/>
        <v>1</v>
      </c>
      <c r="AC47" s="21" t="str">
        <f t="shared" si="72"/>
        <v/>
      </c>
      <c r="AD47" s="21" t="str">
        <f>IF(AW47=1,"",MID(IF(ISNUMBER(SEARCH("E_INVALID_DATE",EG47))," | E_INVALID_DATE: "&amp;SUBSTITUTE(IFERROR(INDEX(nMSG_Text,MATCH("E_INVALID_DATE",nMSG_Code,0)),""),"[input]",""),"")&amp;IF(ISNUMBER(SEARCH("E_REVERSED_BOUNDS",EG47))," | E_REVERSED_BOUNDS: "&amp;SUBSTITUTE(IFERROR(INDEX(nMSG_Text,MATCH("E_REVERSED_BOUNDS",nMSG_Code,0)),""),"[input]",""),"")&amp;IF(ISNUMBER(SEARCH("E_DUPLICATE_ID",EG47))," | E_DUPLICATE_ID: "&amp;SUBSTITUTE(IFERROR(INDEX(nMSG_Text,MATCH("E_DUPLICATE_ID",nMSG_Code,0)),""),"[input]",""),"")&amp;IF(ISNUMBER(SEARCH("E_MISSING_LINK",EG47))," | E_MISSING_LINK: "&amp;SUBSTITUTE(IFERROR(INDEX(nMSG_Text,MATCH("E_MISSING_LINK",nMSG_Code,0)),""),"[input]",""),"")&amp;IF(ISNUMBER(SEARCH("E_MISSING_INPUT",EG47))," | E_MISSING_INPUT: "&amp;SUBSTITUTE(IFERROR(INDEX(nMSG_Text,MATCH("E_MISSING_INPUT",nMSG_Code,0)),""),"[input]",IF(EH47="","an input",EH47)),"")&amp;IF(ISNUMBER(SEARCH("E_INVALID_UNIT",EG47))," | E_INVALID_UNIT: "&amp;SUBSTITUTE(IFERROR(INDEX(nMSG_Text,MATCH("E_INVALID_UNIT",nMSG_Code,0)),""),"[input]",""),"")&amp;IF(FD47=1," | W_TZ_UNKNOWN: "&amp;SUBSTITUTE(IFERROR(INDEX(nMSG_Text,MATCH("W_TZ_UNKNOWN",nMSG_Code,0)),""),"[input]",""),"")&amp;IF(FE47=1," | W_SAME_DATE_ORDER_UNKNOWN: "&amp;SUBSTITUTE(IFERROR(INDEX(nMSG_Text,MATCH("W_SAME_DATE_ORDER_UNKNOWN",nMSG_Code,0)),""),"[input]",""),"")&amp;IF(FF47=1," | W_SEQUENCE_UNCERTAIN: "&amp;SUBSTITUTE(IFERROR(INDEX(nMSG_Text,MATCH("W_SEQUENCE_UNCERTAIN",nMSG_Code,0)),""),"[input]",""),"")&amp;IF(FG47=1," | W_ADMIN_SAME_DATE_AS_ONSET: "&amp;SUBSTITUTE(IFERROR(INDEX(nMSG_Text,MATCH("W_ADMIN_SAME_DATE_AS_ONSET",nMSG_Code,0)),""),"[input]",""),"")&amp;IF(FH47=1," | W_REPORTED_TIMING_CONFLICT: "&amp;SUBSTITUTE(IFERROR(INDEX(nMSG_Text,MATCH("W_REPORTED_TIMING_CONFLICT",nMSG_Code,0)),""),"[input]",""),"")&amp;IF(FI47=1," | W_INTERVENTION_BEFORE_RECOVERY: "&amp;SUBSTITUTE(IFERROR(INDEX(nMSG_Text,MATCH("W_INTERVENTION_BEFORE_RECOVERY",nMSG_Code,0)),""),"[input]",""),"")&amp;IF(FJ47=1," | I_TREATMENT_DAY_UNDEFINED: "&amp;SUBSTITUTE(IFERROR(INDEX(nMSG_Text,MATCH("I_TREATMENT_DAY_UNDEFINED",nMSG_Code,0)),""),"[input]",""),"")&amp;IF(FK47=1," | I_APPROXIMATE_NOT_COMPARED: "&amp;SUBSTITUTE(IFERROR(INDEX(nMSG_Text,MATCH("I_APPROXIMATE_NOT_COMPARED",nMSG_Code,0)),""),"[input]",""),""),4,9999))</f>
        <v/>
      </c>
      <c r="AE47" s="21" t="str">
        <f t="shared" si="73"/>
        <v/>
      </c>
      <c r="AF47" s="21" t="str">
        <f t="shared" si="74"/>
        <v/>
      </c>
      <c r="AG47" s="21" t="str">
        <f>IF(EN47="","",MID(IF(ISNUMBER(SEARCH("E_REVERSED_BOUNDS",EN47))," | E_REVERSED_BOUNDS: "&amp;SUBSTITUTE(IFERROR(INDEX(nMSG_Text,MATCH("E_REVERSED_BOUNDS",nMSG_Code,0)),""),"[input]",""),"")&amp;IF(ISNUMBER(SEARCH("E_MISSING_INPUT",EN47))," | E_MISSING_INPUT: "&amp;SUBSTITUTE(IFERROR(INDEX(nMSG_Text,MATCH("E_MISSING_INPUT",nMSG_Code,0)),""),"[input]",IF("the source of the constraint"="","an input","the source of the constraint")),""),4,999))</f>
        <v/>
      </c>
      <c r="AH47" s="21" t="str">
        <f t="shared" si="75"/>
        <v/>
      </c>
      <c r="AI47" s="21" t="str">
        <f t="shared" si="76"/>
        <v>EX-A/START → EV-1/ONSET</v>
      </c>
      <c r="AJ47" s="21" t="str">
        <f t="shared" si="77"/>
        <v>EX-A/START</v>
      </c>
      <c r="AK47" s="21" t="str">
        <f t="shared" si="78"/>
        <v>EV-1/ONSET</v>
      </c>
      <c r="AL47" s="21" t="str">
        <f>IF(CY47=0,"",INDEX(nTP_ISO,CY47))</f>
        <v>2026-01-10T09:00-05:00</v>
      </c>
      <c r="AM47" s="21" t="str">
        <f>IF(CY47=0,"",INDEX(nTP_Display,CY47))</f>
        <v>10 January 2026 09:00 (UTC-05:00)</v>
      </c>
      <c r="AN47" s="21" t="str">
        <f>IF(BI47=0,"",INDEX(nTP_ISO,BI47))</f>
        <v>2026-01-10T09:15-05:00</v>
      </c>
      <c r="AO47" s="21" t="str">
        <f>IF(BI47=0,"",INDEX(nTP_Display,BI47))</f>
        <v>10 January 2026 09:15 (UTC-05:00)</v>
      </c>
      <c r="AP47" s="21" t="str">
        <f>IF(BA47=0,"",INDEX(nLNK_Exposure_Episode_ID,BA47)&amp;"")</f>
        <v>EX-A</v>
      </c>
      <c r="AQ47" s="21" t="str">
        <f>IF(BA47=0,"",INDEX(nLNK_Event_Episode_ID,BA47)&amp;"")</f>
        <v>EV-1</v>
      </c>
      <c r="AR47" s="21" t="str">
        <f t="shared" si="79"/>
        <v>Anchor (FIRST_ADMIN)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AS47" s="21" t="str">
        <f>IF(EI47=0,"",MID(IF(DT47=1," | Recovery interval (C7) computed with "&amp;DS47&amp;".","")&amp;IF(BG47=1," | Anchor selected under C5 (CALC-SPEC 1.1): latest administration with an exact date or time at or before "&amp;IF(BH47=1,"onset","the end point")&amp;" ("&amp;AJ47&amp;"), ordered in UTC when offsets are known; later administrations are never selected.","")&amp;IF(AND(BG47=1,CE47&gt;0)," | Partial-date administrations wholly before the selected one were not candidates: "&amp;FC47&amp;".","")&amp;IF(BV47&lt;&gt;""," | "&amp;BV47,"")&amp;IF(AND(DS47="C2",EA47=0,DZ47&lt;&gt;"")," | Same calendar date; both times are known, so C1 decides the order ("&amp;AA47&amp;").","")&amp;IF(AND(DS47="C2",DD47*BN47=1,DT47=0)," | Calendar-date difference from the recorded local dates; it is never described as elapsed days.","")&amp;IF(AND(DS47="C4",DT47=0)," | Bounds are treated as independent; no single date is imputed from them.","")&amp;IF(EJ47=1," | Treatment day under the inclusive convention (C3); never written to E2B fields automatically.","")&amp;IF(AND(DS47="C4",DT47=0,EK47=0)," | No constraint applied.","")&amp;IF(AND(DS47="C4",EK47=1)," | Constraint applied to the anchor bounds: "&amp;IF(ISNUMBER(P47),"not before "&amp;DAY(P47)&amp;" "&amp;INDEX(nLIST_Months,MONTH(P47))&amp;" "&amp;YEAR(P47),"")&amp;IF(AND(ISNUMBER(P47),ISNUMBER(Q47)),", ","")&amp;IF(ISNUMBER(Q47),"not after "&amp;DAY(Q47)&amp;" "&amp;INDEX(nLIST_Months,MONTH(Q47))&amp;" "&amp;YEAR(Q47),"")&amp;". Source: "&amp;IF(R47="","not recorded",R47)&amp;IF(EN47="",". Constrained result shown beside the unconstrained one.",". Constrained result blocked ("&amp;EN47&amp;")."),"")&amp;IF(DT47=1,IF(EO47&gt;0," | Intervention recorded between cessation and recovery (ends included): "&amp;EZ47&amp;"."," | No intervention is recorded between cessation and recovery; absence of a record is not evidence that none was given."),"")&amp;IF(AND(DT47=1,DV47&gt;0)," | Intervention recorded without a date, so whether it came before recovery is unknown: "&amp;INDEX(nMS_Milestone_ID,MATCH(1,INDEX((nMS_CaseKey=AX47)*(nMS_Type="INTERVENTION")*nMS_Undated,0),0))&amp;IF(DV47&gt;1," and "&amp;(DV47-1)&amp;" more","")&amp;".","")&amp;IF(AND(DT47=1,EP47&gt;0)," | Not counted as interventions, because they are recorded as exposures rather than as intervention milestones (nothing is inferred): "&amp;FB47&amp;". If treatment was given, record it as an intervention milestone.",""),4,9999))</f>
        <v>Same calendar date; both times are known, so C1 decides the order (AFTER). | Calendar-date difference from the recorded local dates; it is never described as elapsed days. | Treatment day under the inclusive convention (C3); never written to E2B fields automatically.</v>
      </c>
      <c r="AT47" s="21" t="str">
        <f t="shared" si="80"/>
        <v>The interval describes the sequence and spacing of recorded times; it is not evidence of causation.</v>
      </c>
      <c r="AU47" s="21" t="str">
        <f t="shared" si="81"/>
        <v/>
      </c>
      <c r="AV47" s="21" t="str">
        <f t="shared" si="82"/>
        <v>CALC-SPEC 1.1</v>
      </c>
      <c r="AW47" s="22">
        <f t="shared" si="83"/>
        <v>0</v>
      </c>
      <c r="AX47" s="21" t="str">
        <f t="shared" si="84"/>
        <v>EX-C01|2</v>
      </c>
      <c r="AY47" s="21" t="str">
        <f t="shared" si="85"/>
        <v>EX-C01|2|I02</v>
      </c>
      <c r="AZ47" s="22">
        <f>IF(AY47="",0,COUNTIF(nINT_Key,AY47))</f>
        <v>1</v>
      </c>
      <c r="BA47" s="22">
        <f>IF(D47="",0,IFERROR(MATCH(AX47&amp;"|"&amp;D47,nLNK_Key,0),0))</f>
        <v>22</v>
      </c>
      <c r="BB47" s="22">
        <f>IF(BA47=0,1,INDEX(nLNK_Exp_Found,BA47))</f>
        <v>1</v>
      </c>
      <c r="BC47" s="22">
        <f>IF(BA47=0,1,INDEX(nLNK_Evt_Found,BA47))</f>
        <v>1</v>
      </c>
      <c r="BD47" s="22">
        <f>IF(AP47="",0,COUNTIF(nEXP_Key,AX47&amp;"|"&amp;AP47))</f>
        <v>1</v>
      </c>
      <c r="BE47" s="22">
        <f>IF(AQ47="",0,COUNTIF(nEVT_Key,AX47&amp;"|"&amp;AQ47))</f>
        <v>1</v>
      </c>
      <c r="BF47" s="22">
        <f>IF(ISNA(MATCH(E47,nLIST_AnchorType,0)),0,1)</f>
        <v>1</v>
      </c>
      <c r="BG47" s="22">
        <f t="shared" si="86"/>
        <v>0</v>
      </c>
      <c r="BH47" s="22">
        <f t="shared" si="87"/>
        <v>1</v>
      </c>
      <c r="BI47" s="22">
        <f>IF(OR(AW47=1,AK47=""),0,IFERROR(MATCH(AX47&amp;"|"&amp;AK47,nTP_Key,0),0))</f>
        <v>312</v>
      </c>
      <c r="BJ47" s="21">
        <f>IF(BI47=0,0,INDEX(nTP_Dup,BI47))</f>
        <v>1</v>
      </c>
      <c r="BK47" s="21" t="str">
        <f>IF(BI47=0,"",INDEX(nTP_Record_Type,BI47))</f>
        <v>EVENT_ONSET</v>
      </c>
      <c r="BL47" s="21" t="str">
        <f>IF(BI47=0,"",INDEX(nTP_Precision,BI47))</f>
        <v>TIMESTAMP</v>
      </c>
      <c r="BM47" s="21" t="str">
        <f>IF(BI47=0,"",INDEX(nTP_Err,BI47))</f>
        <v/>
      </c>
      <c r="BN47" s="21">
        <f>IF(BI47=0,0,INDEX(nTP_HT,BI47))</f>
        <v>1</v>
      </c>
      <c r="BO47" s="21">
        <f>IF(BI47=0,0,INDEX(nTP_OK,BI47))</f>
        <v>1</v>
      </c>
      <c r="BP47" s="21">
        <f>IF(BI47=0,"",INDEX(nTP_Loc,BI47))</f>
        <v>66286635</v>
      </c>
      <c r="BQ47" s="21">
        <f>IF(BI47=0,"",INDEX(nTP_UTC,BI47))</f>
        <v>66286935</v>
      </c>
      <c r="BR47" s="21">
        <f>IF(BI47=0,"",INDEX(nTP_Lo,BI47))</f>
        <v>46032</v>
      </c>
      <c r="BS47" s="21">
        <f>IF(BI47=0,"",INDEX(nTP_Hi,BI47))</f>
        <v>46032</v>
      </c>
      <c r="BT47" s="21" t="str">
        <f>IF(BI47=0,"",INDEX(nTP_Original_Text,BI47))</f>
        <v>09:15 pt reports itching; urticaria chest and arms; audible wheeze; BP 84/52</v>
      </c>
      <c r="BU47" s="21" t="str">
        <f>IF(BI47=0,"",INDEX(nTP_Source,BI47))</f>
        <v>Nursing observation chart</v>
      </c>
      <c r="BV47" s="21" t="str">
        <f>IF(BI47=0,"",INDEX(nTP_Lab_Note,BI47))</f>
        <v/>
      </c>
      <c r="BW47" s="22">
        <f t="shared" si="88"/>
        <v>1</v>
      </c>
      <c r="BX47" s="21" t="str">
        <f t="shared" si="89"/>
        <v>EX-C01|2|EX-A</v>
      </c>
      <c r="BY47" s="22">
        <f>IF(BG47=0,0,COUNTIF(nTP_CandKey,BX47))</f>
        <v>0</v>
      </c>
      <c r="BZ47" s="22">
        <f>IF(BG47=0,0,COUNTIFS(nTP_CandKey,BX47,nTP_Err,""))</f>
        <v>0</v>
      </c>
      <c r="CA47" s="21" t="str">
        <f>IF(BY47=BZ47,"",IF(COUNTIFS(nTP_CandKey,BX47,nTP_Err,"E_INVALID_DATE")&gt;0,"; E_INVALID_DATE","")&amp;IF(COUNTIFS(nTP_CandKey,BX47,nTP_Err,"E_REVERSED_BOUNDS")&gt;0,"; E_REVERSED_BOUNDS","")&amp;IF(COUNTIFS(nTP_CandKey,BX47,nTP_Err,"E_MISSING_INPUT")&gt;0,"; E_MISSING_INPUT","")&amp;IF(COUNTIFS(nTP_CandKey,BX47,nTP_Err,"E_INVALID_UNIT")&gt;0,"; E_INVALID_UNIT",""))</f>
        <v/>
      </c>
      <c r="CB47" s="22">
        <f t="shared" si="90"/>
        <v>0</v>
      </c>
      <c r="CC47" s="22">
        <f>IF(CB47=0,0,SUMPRODUCT((nTP_CandKey=BX47)*(nTP_Err="")*(1-(nTP_HT*BN47*((nTP_OK*BO47*(nTP_UTC_n-N(BQ47))+(1-nTP_OK*BO47)*(nTP_Loc_n-N(BP47)))&lt;=0)+(1-nTP_HT*BN47)*(nTP_Hi_n&lt;N(BR47)))-(nTP_HT*BN47*((nTP_OK*BO47*(nTP_UTC_n-N(BQ47))+(1-nTP_OK*BO47)*(nTP_Loc_n-N(BP47)))&gt;0)+(1-nTP_HT*BN47)*(nTP_Lo_n&gt;N(BS47)))-((1-nTP_HT*BN47)*(nTP_Lo_n=nTP_Hi_n)*(nTP_Lo_n=N(BR47))*(N(BR47)=N(BS47))))))</f>
        <v>0</v>
      </c>
      <c r="CD47" s="22">
        <f>IF(CB47=0,0,SUMPRODUCT((nTP_CandKey=BX47)*nTP_Exact*((nTP_HT*BN47*((nTP_OK*BO47*(nTP_UTC_n-N(BQ47))+(1-nTP_OK*BO47)*(nTP_Loc_n-N(BP47)))&lt;=0)+(1-nTP_HT*BN47)*(nTP_Hi_n&lt;N(BR47)))+((1-nTP_HT*BN47)*(nTP_Lo_n=nTP_Hi_n)*(nTP_Lo_n=N(BR47))*(N(BR47)=N(BS47))))))</f>
        <v>0</v>
      </c>
      <c r="CE47" s="22">
        <f>IF(CB47=0,0,SUMPRODUCT((nTP_CandKey=BX47)*(nTP_Err="")*(1-nTP_Exact)*((nTP_HT*BN47*((nTP_OK*BO47*(nTP_UTC_n-N(BQ47))+(1-nTP_OK*BO47)*(nTP_Loc_n-N(BP47)))&lt;=0)+(1-nTP_HT*BN47)*(nTP_Hi_n&lt;N(BR47)))+((1-nTP_HT*BN47)*(nTP_Lo_n=nTP_Hi_n)*(nTP_Lo_n=N(BR47))*(N(BR47)=N(BS47))))))</f>
        <v>0</v>
      </c>
      <c r="CF47" s="22">
        <f>IF(CD47=0,0,SUMPRODUCT(MAX((nTP_CandKey=BX47)*nTP_Exact*((nTP_HT*BN47*((nTP_OK*BO47*(nTP_UTC_n-N(BQ47))+(1-nTP_OK*BO47)*(nTP_Loc_n-N(BP47)))&lt;=0)+(1-nTP_HT*BN47)*(nTP_Hi_n&lt;N(BR47)))+((1-nTP_HT*BN47)*(nTP_Lo_n=nTP_Hi_n)*(nTP_Lo_n=N(BR47))*(N(BR47)=N(BS47))))*nTP_Lo_n)))</f>
        <v>0</v>
      </c>
      <c r="CG47" s="22">
        <f>IF(CD47=0,0,SUMPRODUCT((nTP_CandKey=BX47)*nTP_Exact*((nTP_HT*BN47*((nTP_OK*BO47*(nTP_UTC_n-N(BQ47))+(1-nTP_OK*BO47)*(nTP_Loc_n-N(BP47)))&lt;=0)+(1-nTP_HT*BN47)*(nTP_Hi_n&lt;N(BR47)))+((1-nTP_HT*BN47)*(nTP_Lo_n=nTP_Hi_n)*(nTP_Lo_n=N(BR47))*(N(BR47)=N(BS47))))*(nTP_Lo_n=CF47)))</f>
        <v>0</v>
      </c>
      <c r="CH47" s="22">
        <f>IF(CD47=0,0,SUMPRODUCT((nTP_CandKey=BX47)*nTP_Exact*((nTP_HT*BN47*((nTP_OK*BO47*(nTP_UTC_n-N(BQ47))+(1-nTP_OK*BO47)*(nTP_Loc_n-N(BP47)))&lt;=0)+(1-nTP_HT*BN47)*(nTP_Hi_n&lt;N(BR47)))+((1-nTP_HT*BN47)*(nTP_Lo_n=nTP_Hi_n)*(nTP_Lo_n=N(BR47))*(N(BR47)=N(BS47))))*(1-nTP_HT)*(nTP_Lo_n=CF47)))</f>
        <v>0</v>
      </c>
      <c r="CI47" s="22">
        <f>IF(CD47=0,0,SUMPRODUCT(MAX((nTP_CandKey=BX47)*nTP_Exact*((nTP_HT*BN47*((nTP_OK*BO47*(nTP_UTC_n-N(BQ47))+(1-nTP_OK*BO47)*(nTP_Loc_n-N(BP47)))&lt;=0)+(1-nTP_HT*BN47)*(nTP_Hi_n&lt;N(BR47)))+((1-nTP_HT*BN47)*(nTP_Lo_n=nTP_Hi_n)*(nTP_Lo_n=N(BR47))*(N(BR47)=N(BS47))))*(1-nTP_HT)*nTP_Lo_n)))</f>
        <v>0</v>
      </c>
      <c r="CJ47" s="22">
        <f>IF(CD47=0,0,SUMPRODUCT(MAX((nTP_CandKey=BX47)*nTP_Exact*((nTP_HT*BN47*((nTP_OK*BO47*(nTP_UTC_n-N(BQ47))+(1-nTP_OK*BO47)*(nTP_Loc_n-N(BP47)))&lt;=0)+(1-nTP_HT*BN47)*(nTP_Hi_n&lt;N(BR47)))+((1-nTP_HT*BN47)*(nTP_Lo_n=nTP_Hi_n)*(nTP_Lo_n=N(BR47))*(N(BR47)=N(BS47))))*nTP_HT*nTP_OK*nTP_UTC_n)))</f>
        <v>0</v>
      </c>
      <c r="CK47" s="22">
        <f>IF(CJ47=0,0,SUMPRODUCT((nTP_CandKey=BX47)*nTP_Exact*((nTP_HT*BN47*((nTP_OK*BO47*(nTP_UTC_n-N(BQ47))+(1-nTP_OK*BO47)*(nTP_Loc_n-N(BP47)))&lt;=0)+(1-nTP_HT*BN47)*(nTP_Hi_n&lt;N(BR47)))+((1-nTP_HT*BN47)*(nTP_Lo_n=nTP_Hi_n)*(nTP_Lo_n=N(BR47))*(N(BR47)=N(BS47))))*nTP_HT*nTP_OK*(nTP_UTC_n=CJ47)))</f>
        <v>0</v>
      </c>
      <c r="CL47" s="22">
        <f>IF(CK47&lt;&gt;1,0,SUMPRODUCT((nTP_CandKey=BX47)*nTP_Exact*((nTP_HT*BN47*((nTP_OK*BO47*(nTP_UTC_n-N(BQ47))+(1-nTP_OK*BO47)*(nTP_Loc_n-N(BP47)))&lt;=0)+(1-nTP_HT*BN47)*(nTP_Hi_n&lt;N(BR47)))+((1-nTP_HT*BN47)*(nTP_Lo_n=nTP_Hi_n)*(nTP_Lo_n=N(BR47))*(N(BR47)=N(BS47))))*nTP_HT*nTP_OK*(nTP_UTC_n=CJ47)*nTP_Loc_n))</f>
        <v>0</v>
      </c>
      <c r="CM47" s="22">
        <f>IF(CK47&lt;&gt;1,0,SUMPRODUCT((nTP_CandKey=BX47)*nTP_Exact*((nTP_HT*BN47*((nTP_OK*BO47*(nTP_UTC_n-N(BQ47))+(1-nTP_OK*BO47)*(nTP_Loc_n-N(BP47)))&lt;=0)+(1-nTP_HT*BN47)*(nTP_Hi_n&lt;N(BR47)))+((1-nTP_HT*BN47)*(nTP_Lo_n=nTP_Hi_n)*(nTP_Lo_n=N(BR47))*(N(BR47)=N(BS47))))*nTP_HT*nTP_OK*(nTP_UTC_n=CJ47)*nTP_Lo_n))</f>
        <v>0</v>
      </c>
      <c r="CN47" s="22">
        <f>IF(CD47=0,0,SUMPRODUCT(MAX((nTP_CandKey=BX47)*nTP_Exact*((nTP_HT*BN47*((nTP_OK*BO47*(nTP_UTC_n-N(BQ47))+(1-nTP_OK*BO47)*(nTP_Loc_n-N(BP47)))&lt;=0)+(1-nTP_HT*BN47)*(nTP_Hi_n&lt;N(BR47)))+((1-nTP_HT*BN47)*(nTP_Lo_n=nTP_Hi_n)*(nTP_Lo_n=N(BR47))*(N(BR47)=N(BS47))))*nTP_HT*(1-nTP_OK)*nTP_Loc_n)))</f>
        <v>0</v>
      </c>
      <c r="CO47" s="22">
        <f>IF(CN47=0,0,SUMPRODUCT((nTP_CandKey=BX47)*nTP_Exact*((nTP_HT*BN47*((nTP_OK*BO47*(nTP_UTC_n-N(BQ47))+(1-nTP_OK*BO47)*(nTP_Loc_n-N(BP47)))&lt;=0)+(1-nTP_HT*BN47)*(nTP_Hi_n&lt;N(BR47)))+((1-nTP_HT*BN47)*(nTP_Lo_n=nTP_Hi_n)*(nTP_Lo_n=N(BR47))*(N(BR47)=N(BS47))))*nTP_HT*(1-nTP_OK)*(nTP_Loc_n=CN47)))</f>
        <v>0</v>
      </c>
      <c r="CP47" s="22">
        <f>IF(CO47&lt;&gt;1,0,SUMPRODUCT((nTP_CandKey=BX47)*nTP_Exact*((nTP_HT*BN47*((nTP_OK*BO47*(nTP_UTC_n-N(BQ47))+(1-nTP_OK*BO47)*(nTP_Loc_n-N(BP47)))&lt;=0)+(1-nTP_HT*BN47)*(nTP_Hi_n&lt;N(BR47)))+((1-nTP_HT*BN47)*(nTP_Lo_n=nTP_Hi_n)*(nTP_Lo_n=N(BR47))*(N(BR47)=N(BS47))))*nTP_HT*(1-nTP_OK)*(nTP_Loc_n=CN47)*nTP_Lo_n))</f>
        <v>0</v>
      </c>
      <c r="CQ47" s="22">
        <f>IF(CD47=0,0,SUMPRODUCT(MAX((nTP_CandKey=BX47)*nTP_Exact*((nTP_HT*BN47*((nTP_OK*BO47*(nTP_UTC_n-N(BQ47))+(1-nTP_OK*BO47)*(nTP_Loc_n-N(BP47)))&lt;=0)+(1-nTP_HT*BN47)*(nTP_Hi_n&lt;N(BR47)))+((1-nTP_HT*BN47)*(nTP_Lo_n=nTP_Hi_n)*(nTP_Lo_n=N(BR47))*(N(BR47)=N(BS47))))*nTP_HT*nTP_OK*nTP_Loc_n)))</f>
        <v>0</v>
      </c>
      <c r="CR47" s="22">
        <f t="shared" si="91"/>
        <v>0</v>
      </c>
      <c r="CS47" s="22">
        <f>IF(CR47=0,0,IF(CR47=1,MATCH(1,INDEX((nTP_CandKey=BX47)*nTP_Exact*((nTP_HT*BN47*((nTP_OK*BO47*(nTP_UTC_n-N(BQ47))+(1-nTP_OK*BO47)*(nTP_Loc_n-N(BP47)))&lt;=0)+(1-nTP_HT*BN47)*(nTP_Hi_n&lt;N(BR47)))+((1-nTP_HT*BN47)*(nTP_Lo_n=nTP_Hi_n)*(nTP_Lo_n=N(BR47))*(N(BR47)=N(BS47))))*(1-nTP_HT)*(nTP_Lo_n=CF47),0),0),IF(CR47=2,MATCH(1,INDEX((nTP_CandKey=BX47)*nTP_Exact*((nTP_HT*BN47*((nTP_OK*BO47*(nTP_UTC_n-N(BQ47))+(1-nTP_OK*BO47)*(nTP_Loc_n-N(BP47)))&lt;=0)+(1-nTP_HT*BN47)*(nTP_Hi_n&lt;N(BR47)))+((1-nTP_HT*BN47)*(nTP_Lo_n=nTP_Hi_n)*(nTP_Lo_n=N(BR47))*(N(BR47)=N(BS47))))*nTP_HT*nTP_OK*(nTP_UTC_n=CJ47),0),0),MATCH(1,INDEX((nTP_CandKey=BX47)*nTP_Exact*((nTP_HT*BN47*((nTP_OK*BO47*(nTP_UTC_n-N(BQ47))+(1-nTP_OK*BO47)*(nTP_Loc_n-N(BP47)))&lt;=0)+(1-nTP_HT*BN47)*(nTP_Hi_n&lt;N(BR47)))+((1-nTP_HT*BN47)*(nTP_Lo_n=nTP_Hi_n)*(nTP_Lo_n=N(BR47))*(N(BR47)=N(BS47))))*nTP_HT*(1-nTP_OK)*(nTP_Loc_n=CN47),0),0))))</f>
        <v>0</v>
      </c>
      <c r="CT47" s="22">
        <f>IF(CS47=0,0,INDEX(nTP_Lo_n,CS47))</f>
        <v>0</v>
      </c>
      <c r="CU47" s="22">
        <f>IF(CS47=0,0,SUMPRODUCT((nTP_CandKey=BX47)*(nTP_Err="")*(1-nTP_Exact)*((nTP_HT*BN47*((nTP_OK*BO47*(nTP_UTC_n-N(BQ47))+(1-nTP_OK*BO47)*(nTP_Loc_n-N(BP47)))&lt;=0)+(1-nTP_HT*BN47)*(nTP_Hi_n&lt;N(BR47)))+((1-nTP_HT*BN47)*(nTP_Lo_n=nTP_Hi_n)*(nTP_Lo_n=N(BR47))*(N(BR47)=N(BS47))))*(nTP_Hi_n&gt;=CT47)))</f>
        <v>0</v>
      </c>
      <c r="CV47" s="21" t="str">
        <f t="shared" si="92"/>
        <v/>
      </c>
      <c r="CW47" s="21" t="str">
        <f>IF(AND(BG47=1,CB47=1,CV47="",CS47&gt;0),INDEX(nTP_Record_ID,CS47)&amp;"","")</f>
        <v/>
      </c>
      <c r="CX47" s="21" t="str">
        <f>IF(OR(CV47="",BG47=0),"",IF(CV47="none","an administration record (last dose before onset)",IF(CV47="uncertain","the anchor record: "&amp;INDEX(nTP_Record_ID,MATCH(1,INDEX((nTP_CandKey=BX47)*(nTP_Err="")*(1-(nTP_HT*BN47*((nTP_OK*BO47*(nTP_UTC_n-N(BQ47))+(1-nTP_OK*BO47)*(nTP_Loc_n-N(BP47)))&lt;=0)+(1-nTP_HT*BN47)*(nTP_Hi_n&lt;N(BR47)))-(nTP_HT*BN47*((nTP_OK*BO47*(nTP_UTC_n-N(BQ47))+(1-nTP_OK*BO47)*(nTP_Loc_n-N(BP47)))&gt;0)+(1-nTP_HT*BN47)*(nTP_Lo_n&gt;N(BS47)))-((1-nTP_HT*BN47)*(nTP_Lo_n=nTP_Hi_n)*(nTP_Lo_n=N(BR47))*(N(BR47)=N(BS47)))),0),0))&amp;IF(CC47&gt;1," and "&amp;(CC47-1)&amp;" more","")&amp;" may fall before or after the end point, so the last dose cannot be identified from the recorded dates",IF(CV47="noneligible","the anchor record: no administration with an exact date is recorded at or before the end point",IF(CV47="tie","the anchor record: the order of the latest administrations cannot be told from the recorded dates and times","the anchor record: partial-date administration "&amp;INDEX(nTP_Record_ID,MATCH(1,INDEX((nTP_CandKey=BX47)*(nTP_Err="")*(1-nTP_Exact)*((nTP_HT*BN47*((nTP_OK*BO47*(nTP_UTC_n-N(BQ47))+(1-nTP_OK*BO47)*(nTP_Loc_n-N(BP47)))&lt;=0)+(1-nTP_HT*BN47)*(nTP_Hi_n&lt;N(BR47)))+((1-nTP_HT*BN47)*(nTP_Lo_n=nTP_Hi_n)*(nTP_Lo_n=N(BR47))*(N(BR47)=N(BS47))))*(nTP_Hi_n&gt;=CT47),0),0))&amp;" could be the last dose before the end point")))))</f>
        <v/>
      </c>
      <c r="CY47" s="22">
        <f>IF(OR(AW47=1,AJ47=""),0,IFERROR(MATCH(AX47&amp;"|"&amp;AJ47,nTP_Key,0),0))</f>
        <v>32</v>
      </c>
      <c r="CZ47" s="21">
        <f>IF(CY47=0,0,INDEX(nTP_Dup,CY47))</f>
        <v>1</v>
      </c>
      <c r="DA47" s="21" t="str">
        <f>IF(CY47=0,"",INDEX(nTP_Record_Type,CY47))</f>
        <v>EXPOSURE_START</v>
      </c>
      <c r="DB47" s="21" t="str">
        <f>IF(CY47=0,"",INDEX(nTP_Precision,CY47))</f>
        <v>TIMESTAMP</v>
      </c>
      <c r="DC47" s="21" t="str">
        <f>IF(CY47=0,"",INDEX(nTP_Err,CY47))</f>
        <v/>
      </c>
      <c r="DD47" s="21">
        <f>IF(CY47=0,0,INDEX(nTP_HT,CY47))</f>
        <v>1</v>
      </c>
      <c r="DE47" s="21">
        <f>IF(CY47=0,0,INDEX(nTP_OK,CY47))</f>
        <v>1</v>
      </c>
      <c r="DF47" s="21">
        <f>IF(CY47=0,"",INDEX(nTP_Loc,CY47))</f>
        <v>66286620</v>
      </c>
      <c r="DG47" s="21">
        <f>IF(CY47=0,"",INDEX(nTP_UTC,CY47))</f>
        <v>66286920</v>
      </c>
      <c r="DH47" s="21">
        <f>IF(CY47=0,"",INDEX(nTP_Lo,CY47))</f>
        <v>46032</v>
      </c>
      <c r="DI47" s="21">
        <f>IF(CY47=0,"",INDEX(nTP_Hi,CY47))</f>
        <v>46032</v>
      </c>
      <c r="DJ47" s="21" t="str">
        <f>IF(CY47=0,"",INDEX(nTP_Original_Text,CY47))</f>
        <v>09:00 Drug A infusion commenced</v>
      </c>
      <c r="DK47" s="21" t="str">
        <f>IF(CY47=0,"",INDEX(nTP_Source,CY47))</f>
        <v>Nursing chart; medication administration record</v>
      </c>
      <c r="DL47" s="22">
        <f t="shared" si="93"/>
        <v>1</v>
      </c>
      <c r="DM47" s="21" t="str">
        <f t="shared" si="94"/>
        <v/>
      </c>
      <c r="DN47" s="21" t="str">
        <f t="shared" si="95"/>
        <v/>
      </c>
      <c r="DO47" s="21" t="str">
        <f t="shared" si="96"/>
        <v/>
      </c>
      <c r="DP47" s="21" t="str">
        <f t="shared" si="97"/>
        <v/>
      </c>
      <c r="DQ47" s="21" t="str">
        <f t="shared" si="98"/>
        <v>C1</v>
      </c>
      <c r="DR47" s="22">
        <f>IF(OR(DQ47="",I47=""),0,IF(ISNA(MATCH(I47,nLIST_Mode,0)),1,IF(AND(I47="C1",DQ47&lt;&gt;"C1"),1,IF(AND(I47="C2",DQ47="C4"),1,0))))</f>
        <v>0</v>
      </c>
      <c r="DS47" s="21" t="str">
        <f t="shared" si="99"/>
        <v>C2</v>
      </c>
      <c r="DT47" s="22">
        <f t="shared" si="100"/>
        <v>0</v>
      </c>
      <c r="DU47" s="21" t="str">
        <f>IF(DT47=0,"",IF(COUNTIFS(nTP_Case_Key,AX47,nTP_Record_Type,"MILESTONE:INTERVENTION",nTP_Err,"E_INVALID_DATE")&gt;0,"; E_INVALID_DATE","")&amp;IF(COUNTIFS(nTP_Case_Key,AX47,nTP_Record_Type,"MILESTONE:INTERVENTION",nTP_Err,"E_REVERSED_BOUNDS")&gt;0,"; E_REVERSED_BOUNDS","")&amp;IF(COUNTIFS(nTP_Case_Key,AX47,nTP_Record_Type,"MILESTONE:INTERVENTION",nTP_Err,"E_MISSING_INPUT")&gt;0,"; E_MISSING_INPUT","")&amp;IF(COUNTIFS(nTP_Case_Key,AX47,nTP_Record_Type,"MILESTONE:INTERVENTION",nTP_Err,"E_INVALID_UNIT")&gt;0,"; E_INVALID_UNIT",""))</f>
        <v/>
      </c>
      <c r="DV47" s="22">
        <f>IF(DT47=0,0,SUMPRODUCT((nMS_CaseKey=AX47)*(nMS_Type="INTERVENTION")*nMS_Undated))</f>
        <v>0</v>
      </c>
      <c r="DW47" s="21" t="str">
        <f t="shared" si="101"/>
        <v/>
      </c>
      <c r="DX47" s="21" t="str">
        <f t="shared" si="102"/>
        <v/>
      </c>
      <c r="DY47" s="22">
        <f t="shared" si="103"/>
        <v>0</v>
      </c>
      <c r="DZ47" s="21">
        <f t="shared" si="104"/>
        <v>15</v>
      </c>
      <c r="EA47" s="21">
        <f t="shared" si="105"/>
        <v>0</v>
      </c>
      <c r="EB47" s="21" t="str">
        <f t="shared" si="106"/>
        <v/>
      </c>
      <c r="EC47" s="21" t="str">
        <f t="shared" si="107"/>
        <v/>
      </c>
      <c r="ED47" s="22">
        <f t="shared" si="108"/>
        <v>0</v>
      </c>
      <c r="EE47" s="22">
        <f t="shared" si="109"/>
        <v>0</v>
      </c>
      <c r="EF47" s="21" t="str">
        <f>IF(ED47=0,"",IF(OR(NOT(ISNUMBER(L47)),NOT(ISNUMBER(M47))),"I_APPROXIMATE_NOT_COMPARED",IF(AND(N47&lt;&gt;"",ISNA(MATCH(N47,nLIST_ReportedUnit,0))),"E_INVALID_UNIT",IF(N47="","E_MISSING_INPUT",IF(L47&gt;M47,"E_REVERSED_BOUNDS",IF(OR(N47="weeks",N47="months",N47="years"),"I_APPROXIMATE_NOT_COMPARED",IF(DX47&lt;&gt;"","",IF(EE47=0,"I_APPROXIMATE_NOT_COMPARED",IF(AND(L47*EE47&lt;=IF(DS47="C4",EC47,IF(DS47="C1",DZ47,EA47)),M47*EE47&gt;=IF(DS47="C4",EB47,IF(DS47="C1",DZ47,EA47))),"OVERLAP","W_REPORTED_TIMING_CONFLICT")))))))))</f>
        <v/>
      </c>
      <c r="EG47" s="21" t="str">
        <f t="shared" si="110"/>
        <v/>
      </c>
      <c r="EH47" s="21" t="str">
        <f t="shared" si="111"/>
        <v/>
      </c>
      <c r="EI47" s="22">
        <f t="shared" si="112"/>
        <v>1</v>
      </c>
      <c r="EJ47" s="22">
        <f t="shared" si="113"/>
        <v>1</v>
      </c>
      <c r="EK47" s="22">
        <f t="shared" si="114"/>
        <v>0</v>
      </c>
      <c r="EL47" s="28" t="str">
        <f t="shared" si="115"/>
        <v/>
      </c>
      <c r="EM47" s="28" t="str">
        <f t="shared" si="116"/>
        <v/>
      </c>
      <c r="EN47" s="21" t="str">
        <f t="shared" si="117"/>
        <v/>
      </c>
      <c r="EO47" s="22">
        <f>IF(OR(DT47=0,DX47&lt;&gt;""),0,SUMPRODUCT((nTP_Case_Key=AX47)*(nTP_Record_Type="MILESTONE:INTERVENTION")*(nTP_Err="")*(nTP_HT*DD47*BN47*(nTP_OK*DE47*(nTP_UTC_n&gt;=N(DG47))+(1-nTP_OK*DE47)*(nTP_Loc_n&gt;=N(DF47)))*(nTP_OK*BO47*(nTP_UTC_n&lt;=N(BQ47))+(1-nTP_OK*BO47)*(nTP_Loc_n&lt;=N(BP47)))+(1-nTP_HT*DD47*BN47)*(nTP_Hi_n&gt;=N(DH47))*(nTP_Lo_n&lt;=N(BS47)))))</f>
        <v>0</v>
      </c>
      <c r="EP47" s="22">
        <f>IF(OR(DT47=0,DX47&lt;&gt;""),0,SUMPRODUCT((nTP_Case_Key=AX47)*(nTP_Role="treatment of the event")*((nTP_Record_Type="EXPOSURE_START")+(nTP_Record_Type="ADMINISTRATION"))*(nTP_Err="")*(nTP_HT*DD47*BN47*(nTP_OK*DE47*(nTP_UTC_n&gt;=N(DG47))+(1-nTP_OK*DE47)*(nTP_Loc_n&gt;=N(DF47)))*(nTP_OK*BO47*(nTP_UTC_n&lt;=N(BQ47))+(1-nTP_OK*BO47)*(nTP_Loc_n&lt;=N(BP47)))+(1-nTP_HT*DD47*BN47)*(nTP_Hi_n&gt;=N(DH47))*(nTP_Lo_n&lt;=N(BS47)))))</f>
        <v>0</v>
      </c>
      <c r="EQ47" s="22">
        <f>IF(EO47&lt;1,0,IFERROR(_xlfn.AGGREGATE(15,6,nTP_RowN/((nTP_Case_Key=AX47)*(nTP_Record_Type="MILESTONE:INTERVENTION")*(nTP_Err="")*(nTP_HT*DD47*BN47*(nTP_OK*DE47*(nTP_UTC_n&gt;=N(DG47))+(1-nTP_OK*DE47)*(nTP_Loc_n&gt;=N(DF47)))*(nTP_OK*BO47*(nTP_UTC_n&lt;=N(BQ47))+(1-nTP_OK*BO47)*(nTP_Loc_n&lt;=N(BP47)))+(1-nTP_HT*DD47*BN47)*(nTP_Hi_n&gt;=N(DH47))*(nTP_Lo_n&lt;=N(BS47)))),1),0))</f>
        <v>0</v>
      </c>
      <c r="ER47" s="22">
        <f>IF(EO47&lt;2,0,IFERROR(_xlfn.AGGREGATE(15,6,nTP_RowN/((nTP_Case_Key=AX47)*(nTP_Record_Type="MILESTONE:INTERVENTION")*(nTP_Err="")*(nTP_HT*DD47*BN47*(nTP_OK*DE47*(nTP_UTC_n&gt;=N(DG47))+(1-nTP_OK*DE47)*(nTP_Loc_n&gt;=N(DF47)))*(nTP_OK*BO47*(nTP_UTC_n&lt;=N(BQ47))+(1-nTP_OK*BO47)*(nTP_Loc_n&lt;=N(BP47)))+(1-nTP_HT*DD47*BN47)*(nTP_Hi_n&gt;=N(DH47))*(nTP_Lo_n&lt;=N(BS47)))),2),0))</f>
        <v>0</v>
      </c>
      <c r="ES47" s="22">
        <f>IF(EO47&lt;3,0,IFERROR(_xlfn.AGGREGATE(15,6,nTP_RowN/((nTP_Case_Key=AX47)*(nTP_Record_Type="MILESTONE:INTERVENTION")*(nTP_Err="")*(nTP_HT*DD47*BN47*(nTP_OK*DE47*(nTP_UTC_n&gt;=N(DG47))+(1-nTP_OK*DE47)*(nTP_Loc_n&gt;=N(DF47)))*(nTP_OK*BO47*(nTP_UTC_n&lt;=N(BQ47))+(1-nTP_OK*BO47)*(nTP_Loc_n&lt;=N(BP47)))+(1-nTP_HT*DD47*BN47)*(nTP_Hi_n&gt;=N(DH47))*(nTP_Lo_n&lt;=N(BS47)))),3),0))</f>
        <v>0</v>
      </c>
      <c r="ET47" s="22">
        <f>IF(EP47&lt;1,0,IFERROR(_xlfn.AGGREGATE(15,6,nTP_RowN/((nTP_Case_Key=AX47)*(nTP_Role="treatment of the event")*((nTP_Record_Type="EXPOSURE_START")+(nTP_Record_Type="ADMINISTRATION"))*(nTP_Err="")*(nTP_HT*DD47*BN47*(nTP_OK*DE47*(nTP_UTC_n&gt;=N(DG47))+(1-nTP_OK*DE47)*(nTP_Loc_n&gt;=N(DF47)))*(nTP_OK*BO47*(nTP_UTC_n&lt;=N(BQ47))+(1-nTP_OK*BO47)*(nTP_Loc_n&lt;=N(BP47)))+(1-nTP_HT*DD47*BN47)*(nTP_Hi_n&gt;=N(DH47))*(nTP_Lo_n&lt;=N(BS47)))),1),0))</f>
        <v>0</v>
      </c>
      <c r="EU47" s="22">
        <f>IF(EP47&lt;2,0,IFERROR(_xlfn.AGGREGATE(15,6,nTP_RowN/((nTP_Case_Key=AX47)*(nTP_Role="treatment of the event")*((nTP_Record_Type="EXPOSURE_START")+(nTP_Record_Type="ADMINISTRATION"))*(nTP_Err="")*(nTP_HT*DD47*BN47*(nTP_OK*DE47*(nTP_UTC_n&gt;=N(DG47))+(1-nTP_OK*DE47)*(nTP_Loc_n&gt;=N(DF47)))*(nTP_OK*BO47*(nTP_UTC_n&lt;=N(BQ47))+(1-nTP_OK*BO47)*(nTP_Loc_n&lt;=N(BP47)))+(1-nTP_HT*DD47*BN47)*(nTP_Hi_n&gt;=N(DH47))*(nTP_Lo_n&lt;=N(BS47)))),2),0))</f>
        <v>0</v>
      </c>
      <c r="EV47" s="22">
        <f>IF(EP47&lt;3,0,IFERROR(_xlfn.AGGREGATE(15,6,nTP_RowN/((nTP_Case_Key=AX47)*(nTP_Role="treatment of the event")*((nTP_Record_Type="EXPOSURE_START")+(nTP_Record_Type="ADMINISTRATION"))*(nTP_Err="")*(nTP_HT*DD47*BN47*(nTP_OK*DE47*(nTP_UTC_n&gt;=N(DG47))+(1-nTP_OK*DE47)*(nTP_Loc_n&gt;=N(DF47)))*(nTP_OK*BO47*(nTP_UTC_n&lt;=N(BQ47))+(1-nTP_OK*BO47)*(nTP_Loc_n&lt;=N(BP47)))+(1-nTP_HT*DD47*BN47)*(nTP_Hi_n&gt;=N(DH47))*(nTP_Lo_n&lt;=N(BS47)))),3),0))</f>
        <v>0</v>
      </c>
      <c r="EW47" s="22">
        <f>IF(CE47&lt;1,0,IFERROR(_xlfn.AGGREGATE(15,6,nTP_RowN/((nTP_CandKey=BX47)*(nTP_Err="")*(1-nTP_Exact)*((nTP_HT*BN47*((nTP_OK*BO47*(nTP_UTC_n-N(BQ47))+(1-nTP_OK*BO47)*(nTP_Loc_n-N(BP47)))&lt;=0)+(1-nTP_HT*BN47)*(nTP_Hi_n&lt;N(BR47)))+((1-nTP_HT*BN47)*(nTP_Lo_n=nTP_Hi_n)*(nTP_Lo_n=N(BR47))*(N(BR47)=N(BS47))))),1),0))</f>
        <v>0</v>
      </c>
      <c r="EX47" s="22">
        <f>IF(CE47&lt;2,0,IFERROR(_xlfn.AGGREGATE(15,6,nTP_RowN/((nTP_CandKey=BX47)*(nTP_Err="")*(1-nTP_Exact)*((nTP_HT*BN47*((nTP_OK*BO47*(nTP_UTC_n-N(BQ47))+(1-nTP_OK*BO47)*(nTP_Loc_n-N(BP47)))&lt;=0)+(1-nTP_HT*BN47)*(nTP_Hi_n&lt;N(BR47)))+((1-nTP_HT*BN47)*(nTP_Lo_n=nTP_Hi_n)*(nTP_Lo_n=N(BR47))*(N(BR47)=N(BS47))))),2),0))</f>
        <v>0</v>
      </c>
      <c r="EY47" s="22">
        <f>IF(CE47&lt;3,0,IFERROR(_xlfn.AGGREGATE(15,6,nTP_RowN/((nTP_CandKey=BX47)*(nTP_Err="")*(1-nTP_Exact)*((nTP_HT*BN47*((nTP_OK*BO47*(nTP_UTC_n-N(BQ47))+(1-nTP_OK*BO47)*(nTP_Loc_n-N(BP47)))&lt;=0)+(1-nTP_HT*BN47)*(nTP_Hi_n&lt;N(BR47)))+((1-nTP_HT*BN47)*(nTP_Lo_n=nTP_Hi_n)*(nTP_Lo_n=N(BR47))*(N(BR47)=N(BS47))))),3),0))</f>
        <v>0</v>
      </c>
      <c r="EZ47" s="21" t="str">
        <f>IF(EO47=0,"",MID(IF(EQ47&gt;0,"; "&amp;INDEX(nTP_Record_ID,EQ47)&amp;IF(INDEX(nTP_Label,EQ47)="",""," ("&amp;INDEX(nTP_Label,EQ47)&amp;")"),"")&amp;IF(ER47&gt;0,"; "&amp;INDEX(nTP_Record_ID,ER47)&amp;IF(INDEX(nTP_Label,ER47)="",""," ("&amp;INDEX(nTP_Label,ER47)&amp;")"),"")&amp;IF(ES47&gt;0,"; "&amp;INDEX(nTP_Record_ID,ES47)&amp;IF(INDEX(nTP_Label,ES47)="",""," ("&amp;INDEX(nTP_Label,ES47)&amp;")"),"")&amp;IF(EO47&gt;3,"; and "&amp;(EO47-3)&amp;" more",""),3,999))</f>
        <v/>
      </c>
      <c r="FA47" s="21" t="str">
        <f>IF(EO47=0,"",MID(IF(EQ47&gt;0,"; "&amp;INDEX(nTP_Record_ID,EQ47),"")&amp;IF(ER47&gt;0,"; "&amp;INDEX(nTP_Record_ID,ER47),"")&amp;IF(ES47&gt;0,"; "&amp;INDEX(nTP_Record_ID,ES47),"")&amp;IF(EO47&gt;3,"; and "&amp;(EO47-3)&amp;" more",""),3,999))</f>
        <v/>
      </c>
      <c r="FB47" s="21" t="str">
        <f>IF(EP47=0,"",MID(IF(ET47&gt;0,"; "&amp;INDEX(nTP_Record_ID,ET47)&amp;IF(INDEX(nTP_Label,ET47)="",""," ("&amp;INDEX(nTP_Label,ET47)&amp;")"),"")&amp;IF(EU47&gt;0,"; "&amp;INDEX(nTP_Record_ID,EU47)&amp;IF(INDEX(nTP_Label,EU47)="",""," ("&amp;INDEX(nTP_Label,EU47)&amp;")"),"")&amp;IF(EV47&gt;0,"; "&amp;INDEX(nTP_Record_ID,EV47)&amp;IF(INDEX(nTP_Label,EV47)="",""," ("&amp;INDEX(nTP_Label,EV47)&amp;")"),"")&amp;IF(EP47&gt;3,"; and "&amp;(EP47-3)&amp;" more",""),3,999))</f>
        <v/>
      </c>
      <c r="FC47" s="21" t="str">
        <f>IF(CE47=0,"",MID(IF(EW47&gt;0,"; "&amp;INDEX(nTP_Record_ID,EW47),"")&amp;IF(EX47&gt;0,"; "&amp;INDEX(nTP_Record_ID,EX47),"")&amp;IF(EY47&gt;0,"; "&amp;INDEX(nTP_Record_ID,EY47),"")&amp;IF(CE47&gt;3,"; and "&amp;(CE47-3)&amp;" more",""),3,999))</f>
        <v/>
      </c>
      <c r="FD47" s="22">
        <f t="shared" si="118"/>
        <v>0</v>
      </c>
      <c r="FE47" s="22">
        <f t="shared" si="119"/>
        <v>0</v>
      </c>
      <c r="FF47" s="22">
        <f t="shared" si="120"/>
        <v>0</v>
      </c>
      <c r="FG47" s="22">
        <f t="shared" si="121"/>
        <v>0</v>
      </c>
      <c r="FH47" s="22">
        <f t="shared" si="122"/>
        <v>0</v>
      </c>
      <c r="FI47" s="22">
        <f t="shared" si="123"/>
        <v>0</v>
      </c>
      <c r="FJ47" s="22">
        <f t="shared" si="124"/>
        <v>0</v>
      </c>
      <c r="FK47" s="22">
        <f t="shared" si="125"/>
        <v>0</v>
      </c>
    </row>
    <row r="48" spans="1:167" x14ac:dyDescent="0.2">
      <c r="A48" s="9" t="s">
        <v>1131</v>
      </c>
      <c r="B48" s="9" t="s">
        <v>297</v>
      </c>
      <c r="C48" s="11">
        <v>2</v>
      </c>
      <c r="D48" s="9" t="s">
        <v>894</v>
      </c>
      <c r="E48" s="16" t="s">
        <v>52</v>
      </c>
      <c r="F48" s="9"/>
      <c r="G48" s="9"/>
      <c r="H48" s="9" t="s">
        <v>1128</v>
      </c>
      <c r="I48" s="16" t="s">
        <v>59</v>
      </c>
      <c r="J48" s="16"/>
      <c r="K48" s="9"/>
      <c r="L48" s="16"/>
      <c r="M48" s="16"/>
      <c r="N48" s="16"/>
      <c r="O48" s="9"/>
      <c r="P48" s="14"/>
      <c r="Q48" s="14"/>
      <c r="R48" s="9"/>
      <c r="S48" s="9" t="s">
        <v>1132</v>
      </c>
      <c r="T48" s="21" t="str">
        <f t="shared" si="63"/>
        <v>15 minutes</v>
      </c>
      <c r="U48" s="21" t="str">
        <f t="shared" si="64"/>
        <v>15 minutes</v>
      </c>
      <c r="V48" s="21">
        <f t="shared" si="65"/>
        <v>15</v>
      </c>
      <c r="W48" s="21" t="str">
        <f t="shared" si="66"/>
        <v/>
      </c>
      <c r="X48" s="21" t="str">
        <f t="shared" si="67"/>
        <v/>
      </c>
      <c r="Y48" s="21" t="str">
        <f t="shared" si="68"/>
        <v>minutes</v>
      </c>
      <c r="Z48" s="21" t="str">
        <f t="shared" si="69"/>
        <v>C1</v>
      </c>
      <c r="AA48" s="21" t="str">
        <f t="shared" si="70"/>
        <v>AFTER</v>
      </c>
      <c r="AB48" s="21" t="str">
        <f t="shared" si="71"/>
        <v/>
      </c>
      <c r="AC48" s="21" t="str">
        <f t="shared" si="72"/>
        <v/>
      </c>
      <c r="AD48" s="21" t="str">
        <f>IF(AW48=1,"",MID(IF(ISNUMBER(SEARCH("E_INVALID_DATE",EG48))," | E_INVALID_DATE: "&amp;SUBSTITUTE(IFERROR(INDEX(nMSG_Text,MATCH("E_INVALID_DATE",nMSG_Code,0)),""),"[input]",""),"")&amp;IF(ISNUMBER(SEARCH("E_REVERSED_BOUNDS",EG48))," | E_REVERSED_BOUNDS: "&amp;SUBSTITUTE(IFERROR(INDEX(nMSG_Text,MATCH("E_REVERSED_BOUNDS",nMSG_Code,0)),""),"[input]",""),"")&amp;IF(ISNUMBER(SEARCH("E_DUPLICATE_ID",EG48))," | E_DUPLICATE_ID: "&amp;SUBSTITUTE(IFERROR(INDEX(nMSG_Text,MATCH("E_DUPLICATE_ID",nMSG_Code,0)),""),"[input]",""),"")&amp;IF(ISNUMBER(SEARCH("E_MISSING_LINK",EG48))," | E_MISSING_LINK: "&amp;SUBSTITUTE(IFERROR(INDEX(nMSG_Text,MATCH("E_MISSING_LINK",nMSG_Code,0)),""),"[input]",""),"")&amp;IF(ISNUMBER(SEARCH("E_MISSING_INPUT",EG48))," | E_MISSING_INPUT: "&amp;SUBSTITUTE(IFERROR(INDEX(nMSG_Text,MATCH("E_MISSING_INPUT",nMSG_Code,0)),""),"[input]",IF(EH48="","an input",EH48)),"")&amp;IF(ISNUMBER(SEARCH("E_INVALID_UNIT",EG48))," | E_INVALID_UNIT: "&amp;SUBSTITUTE(IFERROR(INDEX(nMSG_Text,MATCH("E_INVALID_UNIT",nMSG_Code,0)),""),"[input]",""),"")&amp;IF(FD48=1," | W_TZ_UNKNOWN: "&amp;SUBSTITUTE(IFERROR(INDEX(nMSG_Text,MATCH("W_TZ_UNKNOWN",nMSG_Code,0)),""),"[input]",""),"")&amp;IF(FE48=1," | W_SAME_DATE_ORDER_UNKNOWN: "&amp;SUBSTITUTE(IFERROR(INDEX(nMSG_Text,MATCH("W_SAME_DATE_ORDER_UNKNOWN",nMSG_Code,0)),""),"[input]",""),"")&amp;IF(FF48=1," | W_SEQUENCE_UNCERTAIN: "&amp;SUBSTITUTE(IFERROR(INDEX(nMSG_Text,MATCH("W_SEQUENCE_UNCERTAIN",nMSG_Code,0)),""),"[input]",""),"")&amp;IF(FG48=1," | W_ADMIN_SAME_DATE_AS_ONSET: "&amp;SUBSTITUTE(IFERROR(INDEX(nMSG_Text,MATCH("W_ADMIN_SAME_DATE_AS_ONSET",nMSG_Code,0)),""),"[input]",""),"")&amp;IF(FH48=1," | W_REPORTED_TIMING_CONFLICT: "&amp;SUBSTITUTE(IFERROR(INDEX(nMSG_Text,MATCH("W_REPORTED_TIMING_CONFLICT",nMSG_Code,0)),""),"[input]",""),"")&amp;IF(FI48=1," | W_INTERVENTION_BEFORE_RECOVERY: "&amp;SUBSTITUTE(IFERROR(INDEX(nMSG_Text,MATCH("W_INTERVENTION_BEFORE_RECOVERY",nMSG_Code,0)),""),"[input]",""),"")&amp;IF(FJ48=1," | I_TREATMENT_DAY_UNDEFINED: "&amp;SUBSTITUTE(IFERROR(INDEX(nMSG_Text,MATCH("I_TREATMENT_DAY_UNDEFINED",nMSG_Code,0)),""),"[input]",""),"")&amp;IF(FK48=1," | I_APPROXIMATE_NOT_COMPARED: "&amp;SUBSTITUTE(IFERROR(INDEX(nMSG_Text,MATCH("I_APPROXIMATE_NOT_COMPARED",nMSG_Code,0)),""),"[input]",""),""),4,9999))</f>
        <v/>
      </c>
      <c r="AE48" s="21" t="str">
        <f t="shared" si="73"/>
        <v/>
      </c>
      <c r="AF48" s="21" t="str">
        <f t="shared" si="74"/>
        <v/>
      </c>
      <c r="AG48" s="21" t="str">
        <f>IF(EN48="","",MID(IF(ISNUMBER(SEARCH("E_REVERSED_BOUNDS",EN48))," | E_REVERSED_BOUNDS: "&amp;SUBSTITUTE(IFERROR(INDEX(nMSG_Text,MATCH("E_REVERSED_BOUNDS",nMSG_Code,0)),""),"[input]",""),"")&amp;IF(ISNUMBER(SEARCH("E_MISSING_INPUT",EN48))," | E_MISSING_INPUT: "&amp;SUBSTITUTE(IFERROR(INDEX(nMSG_Text,MATCH("E_MISSING_INPUT",nMSG_Code,0)),""),"[input]",IF("the source of the constraint"="","an input","the source of the constraint")),""),4,999))</f>
        <v/>
      </c>
      <c r="AH48" s="21" t="str">
        <f t="shared" si="75"/>
        <v/>
      </c>
      <c r="AI48" s="21" t="str">
        <f t="shared" si="76"/>
        <v>EX-A/START → EV-1/ONSET</v>
      </c>
      <c r="AJ48" s="21" t="str">
        <f t="shared" si="77"/>
        <v>EX-A/START</v>
      </c>
      <c r="AK48" s="21" t="str">
        <f t="shared" si="78"/>
        <v>EV-1/ONSET</v>
      </c>
      <c r="AL48" s="21" t="str">
        <f>IF(CY48=0,"",INDEX(nTP_ISO,CY48))</f>
        <v>2026-01-10T09:00-05:00</v>
      </c>
      <c r="AM48" s="21" t="str">
        <f>IF(CY48=0,"",INDEX(nTP_Display,CY48))</f>
        <v>10 January 2026 09:00 (UTC-05:00)</v>
      </c>
      <c r="AN48" s="21" t="str">
        <f>IF(BI48=0,"",INDEX(nTP_ISO,BI48))</f>
        <v>2026-01-10T09:15-05:00</v>
      </c>
      <c r="AO48" s="21" t="str">
        <f>IF(BI48=0,"",INDEX(nTP_Display,BI48))</f>
        <v>10 January 2026 09:15 (UTC-05:00)</v>
      </c>
      <c r="AP48" s="21" t="str">
        <f>IF(BA48=0,"",INDEX(nLNK_Exposure_Episode_ID,BA48)&amp;"")</f>
        <v>EX-A</v>
      </c>
      <c r="AQ48" s="21" t="str">
        <f>IF(BA48=0,"",INDEX(nLNK_Event_Episode_ID,BA48)&amp;"")</f>
        <v>EV-1</v>
      </c>
      <c r="AR48" s="21" t="str">
        <f t="shared" si="79"/>
        <v>Anchor (LAST_DOSE_BEFORE_ONSET)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AS48" s="21" t="str">
        <f>IF(EI48=0,"",MID(IF(DT48=1," | Recovery interval (C7) computed with "&amp;DS48&amp;".","")&amp;IF(BG48=1," | Anchor selected under C5 (CALC-SPEC 1.1): latest administration with an exact date or time at or before "&amp;IF(BH48=1,"onset","the end point")&amp;" ("&amp;AJ48&amp;"), ordered in UTC when offsets are known; later administrations are never selected.","")&amp;IF(AND(BG48=1,CE48&gt;0)," | Partial-date administrations wholly before the selected one were not candidates: "&amp;FC48&amp;".","")&amp;IF(BV48&lt;&gt;""," | "&amp;BV48,"")&amp;IF(AND(DS48="C2",EA48=0,DZ48&lt;&gt;"")," | Same calendar date; both times are known, so C1 decides the order ("&amp;AA48&amp;").","")&amp;IF(AND(DS48="C2",DD48*BN48=1,DT48=0)," | Calendar-date difference from the recorded local dates; it is never described as elapsed days.","")&amp;IF(AND(DS48="C4",DT48=0)," | Bounds are treated as independent; no single date is imputed from them.","")&amp;IF(EJ48=1," | Treatment day under the inclusive convention (C3); never written to E2B fields automatically.","")&amp;IF(AND(DS48="C4",DT48=0,EK48=0)," | No constraint applied.","")&amp;IF(AND(DS48="C4",EK48=1)," | Constraint applied to the anchor bounds: "&amp;IF(ISNUMBER(P48),"not before "&amp;DAY(P48)&amp;" "&amp;INDEX(nLIST_Months,MONTH(P48))&amp;" "&amp;YEAR(P48),"")&amp;IF(AND(ISNUMBER(P48),ISNUMBER(Q48)),", ","")&amp;IF(ISNUMBER(Q48),"not after "&amp;DAY(Q48)&amp;" "&amp;INDEX(nLIST_Months,MONTH(Q48))&amp;" "&amp;YEAR(Q48),"")&amp;". Source: "&amp;IF(R48="","not recorded",R48)&amp;IF(EN48="",". Constrained result shown beside the unconstrained one.",". Constrained result blocked ("&amp;EN48&amp;")."),"")&amp;IF(DT48=1,IF(EO48&gt;0," | Intervention recorded between cessation and recovery (ends included): "&amp;EZ48&amp;"."," | No intervention is recorded between cessation and recovery; absence of a record is not evidence that none was given."),"")&amp;IF(AND(DT48=1,DV48&gt;0)," | Intervention recorded without a date, so whether it came before recovery is unknown: "&amp;INDEX(nMS_Milestone_ID,MATCH(1,INDEX((nMS_CaseKey=AX48)*(nMS_Type="INTERVENTION")*nMS_Undated,0),0))&amp;IF(DV48&gt;1," and "&amp;(DV48-1)&amp;" more","")&amp;".","")&amp;IF(AND(DT48=1,EP48&gt;0)," | Not counted as interventions, because they are recorded as exposures rather than as intervention milestones (nothing is inferred): "&amp;FB48&amp;". If treatment was given, record it as an intervention milestone.",""),4,9999))</f>
        <v>Anchor selected under C5 (CALC-SPEC 1.1): latest administration with an exact date or time at or before onset (EX-A/START), ordered in UTC when offsets are known; later administrations are never selected.</v>
      </c>
      <c r="AT48" s="21" t="str">
        <f t="shared" si="80"/>
        <v>The interval describes the sequence and spacing of recorded times; it is not evidence of causation.</v>
      </c>
      <c r="AU48" s="21" t="str">
        <f t="shared" si="81"/>
        <v/>
      </c>
      <c r="AV48" s="21" t="str">
        <f t="shared" si="82"/>
        <v>CALC-SPEC 1.1</v>
      </c>
      <c r="AW48" s="22">
        <f t="shared" si="83"/>
        <v>0</v>
      </c>
      <c r="AX48" s="21" t="str">
        <f t="shared" si="84"/>
        <v>EX-C01|2</v>
      </c>
      <c r="AY48" s="21" t="str">
        <f t="shared" si="85"/>
        <v>EX-C01|2|I03</v>
      </c>
      <c r="AZ48" s="22">
        <f>IF(AY48="",0,COUNTIF(nINT_Key,AY48))</f>
        <v>1</v>
      </c>
      <c r="BA48" s="22">
        <f>IF(D48="",0,IFERROR(MATCH(AX48&amp;"|"&amp;D48,nLNK_Key,0),0))</f>
        <v>22</v>
      </c>
      <c r="BB48" s="22">
        <f>IF(BA48=0,1,INDEX(nLNK_Exp_Found,BA48))</f>
        <v>1</v>
      </c>
      <c r="BC48" s="22">
        <f>IF(BA48=0,1,INDEX(nLNK_Evt_Found,BA48))</f>
        <v>1</v>
      </c>
      <c r="BD48" s="22">
        <f>IF(AP48="",0,COUNTIF(nEXP_Key,AX48&amp;"|"&amp;AP48))</f>
        <v>1</v>
      </c>
      <c r="BE48" s="22">
        <f>IF(AQ48="",0,COUNTIF(nEVT_Key,AX48&amp;"|"&amp;AQ48))</f>
        <v>1</v>
      </c>
      <c r="BF48" s="22">
        <f>IF(ISNA(MATCH(E48,nLIST_AnchorType,0)),0,1)</f>
        <v>1</v>
      </c>
      <c r="BG48" s="22">
        <f t="shared" si="86"/>
        <v>1</v>
      </c>
      <c r="BH48" s="22">
        <f t="shared" si="87"/>
        <v>1</v>
      </c>
      <c r="BI48" s="22">
        <f>IF(OR(AW48=1,AK48=""),0,IFERROR(MATCH(AX48&amp;"|"&amp;AK48,nTP_Key,0),0))</f>
        <v>312</v>
      </c>
      <c r="BJ48" s="21">
        <f>IF(BI48=0,0,INDEX(nTP_Dup,BI48))</f>
        <v>1</v>
      </c>
      <c r="BK48" s="21" t="str">
        <f>IF(BI48=0,"",INDEX(nTP_Record_Type,BI48))</f>
        <v>EVENT_ONSET</v>
      </c>
      <c r="BL48" s="21" t="str">
        <f>IF(BI48=0,"",INDEX(nTP_Precision,BI48))</f>
        <v>TIMESTAMP</v>
      </c>
      <c r="BM48" s="21" t="str">
        <f>IF(BI48=0,"",INDEX(nTP_Err,BI48))</f>
        <v/>
      </c>
      <c r="BN48" s="21">
        <f>IF(BI48=0,0,INDEX(nTP_HT,BI48))</f>
        <v>1</v>
      </c>
      <c r="BO48" s="21">
        <f>IF(BI48=0,0,INDEX(nTP_OK,BI48))</f>
        <v>1</v>
      </c>
      <c r="BP48" s="21">
        <f>IF(BI48=0,"",INDEX(nTP_Loc,BI48))</f>
        <v>66286635</v>
      </c>
      <c r="BQ48" s="21">
        <f>IF(BI48=0,"",INDEX(nTP_UTC,BI48))</f>
        <v>66286935</v>
      </c>
      <c r="BR48" s="21">
        <f>IF(BI48=0,"",INDEX(nTP_Lo,BI48))</f>
        <v>46032</v>
      </c>
      <c r="BS48" s="21">
        <f>IF(BI48=0,"",INDEX(nTP_Hi,BI48))</f>
        <v>46032</v>
      </c>
      <c r="BT48" s="21" t="str">
        <f>IF(BI48=0,"",INDEX(nTP_Original_Text,BI48))</f>
        <v>09:15 pt reports itching; urticaria chest and arms; audible wheeze; BP 84/52</v>
      </c>
      <c r="BU48" s="21" t="str">
        <f>IF(BI48=0,"",INDEX(nTP_Source,BI48))</f>
        <v>Nursing observation chart</v>
      </c>
      <c r="BV48" s="21" t="str">
        <f>IF(BI48=0,"",INDEX(nTP_Lab_Note,BI48))</f>
        <v/>
      </c>
      <c r="BW48" s="22">
        <f t="shared" si="88"/>
        <v>1</v>
      </c>
      <c r="BX48" s="21" t="str">
        <f t="shared" si="89"/>
        <v>EX-C01|2|EX-A</v>
      </c>
      <c r="BY48" s="22">
        <f>IF(BG48=0,0,COUNTIF(nTP_CandKey,BX48))</f>
        <v>1</v>
      </c>
      <c r="BZ48" s="22">
        <f>IF(BG48=0,0,COUNTIFS(nTP_CandKey,BX48,nTP_Err,""))</f>
        <v>1</v>
      </c>
      <c r="CA48" s="21" t="str">
        <f>IF(BY48=BZ48,"",IF(COUNTIFS(nTP_CandKey,BX48,nTP_Err,"E_INVALID_DATE")&gt;0,"; E_INVALID_DATE","")&amp;IF(COUNTIFS(nTP_CandKey,BX48,nTP_Err,"E_REVERSED_BOUNDS")&gt;0,"; E_REVERSED_BOUNDS","")&amp;IF(COUNTIFS(nTP_CandKey,BX48,nTP_Err,"E_MISSING_INPUT")&gt;0,"; E_MISSING_INPUT","")&amp;IF(COUNTIFS(nTP_CandKey,BX48,nTP_Err,"E_INVALID_UNIT")&gt;0,"; E_INVALID_UNIT",""))</f>
        <v/>
      </c>
      <c r="CB48" s="22">
        <f t="shared" si="90"/>
        <v>1</v>
      </c>
      <c r="CC48" s="22">
        <f>IF(CB48=0,0,SUMPRODUCT((nTP_CandKey=BX48)*(nTP_Err="")*(1-(nTP_HT*BN48*((nTP_OK*BO48*(nTP_UTC_n-N(BQ48))+(1-nTP_OK*BO48)*(nTP_Loc_n-N(BP48)))&lt;=0)+(1-nTP_HT*BN48)*(nTP_Hi_n&lt;N(BR48)))-(nTP_HT*BN48*((nTP_OK*BO48*(nTP_UTC_n-N(BQ48))+(1-nTP_OK*BO48)*(nTP_Loc_n-N(BP48)))&gt;0)+(1-nTP_HT*BN48)*(nTP_Lo_n&gt;N(BS48)))-((1-nTP_HT*BN48)*(nTP_Lo_n=nTP_Hi_n)*(nTP_Lo_n=N(BR48))*(N(BR48)=N(BS48))))))</f>
        <v>0</v>
      </c>
      <c r="CD48" s="22">
        <f>IF(CB48=0,0,SUMPRODUCT((nTP_CandKey=BX48)*nTP_Exact*((nTP_HT*BN48*((nTP_OK*BO48*(nTP_UTC_n-N(BQ48))+(1-nTP_OK*BO48)*(nTP_Loc_n-N(BP48)))&lt;=0)+(1-nTP_HT*BN48)*(nTP_Hi_n&lt;N(BR48)))+((1-nTP_HT*BN48)*(nTP_Lo_n=nTP_Hi_n)*(nTP_Lo_n=N(BR48))*(N(BR48)=N(BS48))))))</f>
        <v>1</v>
      </c>
      <c r="CE48" s="22">
        <f>IF(CB48=0,0,SUMPRODUCT((nTP_CandKey=BX48)*(nTP_Err="")*(1-nTP_Exact)*((nTP_HT*BN48*((nTP_OK*BO48*(nTP_UTC_n-N(BQ48))+(1-nTP_OK*BO48)*(nTP_Loc_n-N(BP48)))&lt;=0)+(1-nTP_HT*BN48)*(nTP_Hi_n&lt;N(BR48)))+((1-nTP_HT*BN48)*(nTP_Lo_n=nTP_Hi_n)*(nTP_Lo_n=N(BR48))*(N(BR48)=N(BS48))))))</f>
        <v>0</v>
      </c>
      <c r="CF48" s="22">
        <f>IF(CD48=0,0,SUMPRODUCT(MAX((nTP_CandKey=BX48)*nTP_Exact*((nTP_HT*BN48*((nTP_OK*BO48*(nTP_UTC_n-N(BQ48))+(1-nTP_OK*BO48)*(nTP_Loc_n-N(BP48)))&lt;=0)+(1-nTP_HT*BN48)*(nTP_Hi_n&lt;N(BR48)))+((1-nTP_HT*BN48)*(nTP_Lo_n=nTP_Hi_n)*(nTP_Lo_n=N(BR48))*(N(BR48)=N(BS48))))*nTP_Lo_n)))</f>
        <v>46032</v>
      </c>
      <c r="CG48" s="22">
        <f>IF(CD48=0,0,SUMPRODUCT((nTP_CandKey=BX48)*nTP_Exact*((nTP_HT*BN48*((nTP_OK*BO48*(nTP_UTC_n-N(BQ48))+(1-nTP_OK*BO48)*(nTP_Loc_n-N(BP48)))&lt;=0)+(1-nTP_HT*BN48)*(nTP_Hi_n&lt;N(BR48)))+((1-nTP_HT*BN48)*(nTP_Lo_n=nTP_Hi_n)*(nTP_Lo_n=N(BR48))*(N(BR48)=N(BS48))))*(nTP_Lo_n=CF48)))</f>
        <v>1</v>
      </c>
      <c r="CH48" s="22">
        <f>IF(CD48=0,0,SUMPRODUCT((nTP_CandKey=BX48)*nTP_Exact*((nTP_HT*BN48*((nTP_OK*BO48*(nTP_UTC_n-N(BQ48))+(1-nTP_OK*BO48)*(nTP_Loc_n-N(BP48)))&lt;=0)+(1-nTP_HT*BN48)*(nTP_Hi_n&lt;N(BR48)))+((1-nTP_HT*BN48)*(nTP_Lo_n=nTP_Hi_n)*(nTP_Lo_n=N(BR48))*(N(BR48)=N(BS48))))*(1-nTP_HT)*(nTP_Lo_n=CF48)))</f>
        <v>0</v>
      </c>
      <c r="CI48" s="22">
        <f>IF(CD48=0,0,SUMPRODUCT(MAX((nTP_CandKey=BX48)*nTP_Exact*((nTP_HT*BN48*((nTP_OK*BO48*(nTP_UTC_n-N(BQ48))+(1-nTP_OK*BO48)*(nTP_Loc_n-N(BP48)))&lt;=0)+(1-nTP_HT*BN48)*(nTP_Hi_n&lt;N(BR48)))+((1-nTP_HT*BN48)*(nTP_Lo_n=nTP_Hi_n)*(nTP_Lo_n=N(BR48))*(N(BR48)=N(BS48))))*(1-nTP_HT)*nTP_Lo_n)))</f>
        <v>0</v>
      </c>
      <c r="CJ48" s="22">
        <f>IF(CD48=0,0,SUMPRODUCT(MAX((nTP_CandKey=BX48)*nTP_Exact*((nTP_HT*BN48*((nTP_OK*BO48*(nTP_UTC_n-N(BQ48))+(1-nTP_OK*BO48)*(nTP_Loc_n-N(BP48)))&lt;=0)+(1-nTP_HT*BN48)*(nTP_Hi_n&lt;N(BR48)))+((1-nTP_HT*BN48)*(nTP_Lo_n=nTP_Hi_n)*(nTP_Lo_n=N(BR48))*(N(BR48)=N(BS48))))*nTP_HT*nTP_OK*nTP_UTC_n)))</f>
        <v>66286920</v>
      </c>
      <c r="CK48" s="22">
        <f>IF(CJ48=0,0,SUMPRODUCT((nTP_CandKey=BX48)*nTP_Exact*((nTP_HT*BN48*((nTP_OK*BO48*(nTP_UTC_n-N(BQ48))+(1-nTP_OK*BO48)*(nTP_Loc_n-N(BP48)))&lt;=0)+(1-nTP_HT*BN48)*(nTP_Hi_n&lt;N(BR48)))+((1-nTP_HT*BN48)*(nTP_Lo_n=nTP_Hi_n)*(nTP_Lo_n=N(BR48))*(N(BR48)=N(BS48))))*nTP_HT*nTP_OK*(nTP_UTC_n=CJ48)))</f>
        <v>1</v>
      </c>
      <c r="CL48" s="22">
        <f>IF(CK48&lt;&gt;1,0,SUMPRODUCT((nTP_CandKey=BX48)*nTP_Exact*((nTP_HT*BN48*((nTP_OK*BO48*(nTP_UTC_n-N(BQ48))+(1-nTP_OK*BO48)*(nTP_Loc_n-N(BP48)))&lt;=0)+(1-nTP_HT*BN48)*(nTP_Hi_n&lt;N(BR48)))+((1-nTP_HT*BN48)*(nTP_Lo_n=nTP_Hi_n)*(nTP_Lo_n=N(BR48))*(N(BR48)=N(BS48))))*nTP_HT*nTP_OK*(nTP_UTC_n=CJ48)*nTP_Loc_n))</f>
        <v>66286620</v>
      </c>
      <c r="CM48" s="22">
        <f>IF(CK48&lt;&gt;1,0,SUMPRODUCT((nTP_CandKey=BX48)*nTP_Exact*((nTP_HT*BN48*((nTP_OK*BO48*(nTP_UTC_n-N(BQ48))+(1-nTP_OK*BO48)*(nTP_Loc_n-N(BP48)))&lt;=0)+(1-nTP_HT*BN48)*(nTP_Hi_n&lt;N(BR48)))+((1-nTP_HT*BN48)*(nTP_Lo_n=nTP_Hi_n)*(nTP_Lo_n=N(BR48))*(N(BR48)=N(BS48))))*nTP_HT*nTP_OK*(nTP_UTC_n=CJ48)*nTP_Lo_n))</f>
        <v>46032</v>
      </c>
      <c r="CN48" s="22">
        <f>IF(CD48=0,0,SUMPRODUCT(MAX((nTP_CandKey=BX48)*nTP_Exact*((nTP_HT*BN48*((nTP_OK*BO48*(nTP_UTC_n-N(BQ48))+(1-nTP_OK*BO48)*(nTP_Loc_n-N(BP48)))&lt;=0)+(1-nTP_HT*BN48)*(nTP_Hi_n&lt;N(BR48)))+((1-nTP_HT*BN48)*(nTP_Lo_n=nTP_Hi_n)*(nTP_Lo_n=N(BR48))*(N(BR48)=N(BS48))))*nTP_HT*(1-nTP_OK)*nTP_Loc_n)))</f>
        <v>0</v>
      </c>
      <c r="CO48" s="22">
        <f>IF(CN48=0,0,SUMPRODUCT((nTP_CandKey=BX48)*nTP_Exact*((nTP_HT*BN48*((nTP_OK*BO48*(nTP_UTC_n-N(BQ48))+(1-nTP_OK*BO48)*(nTP_Loc_n-N(BP48)))&lt;=0)+(1-nTP_HT*BN48)*(nTP_Hi_n&lt;N(BR48)))+((1-nTP_HT*BN48)*(nTP_Lo_n=nTP_Hi_n)*(nTP_Lo_n=N(BR48))*(N(BR48)=N(BS48))))*nTP_HT*(1-nTP_OK)*(nTP_Loc_n=CN48)))</f>
        <v>0</v>
      </c>
      <c r="CP48" s="22">
        <f>IF(CO48&lt;&gt;1,0,SUMPRODUCT((nTP_CandKey=BX48)*nTP_Exact*((nTP_HT*BN48*((nTP_OK*BO48*(nTP_UTC_n-N(BQ48))+(1-nTP_OK*BO48)*(nTP_Loc_n-N(BP48)))&lt;=0)+(1-nTP_HT*BN48)*(nTP_Hi_n&lt;N(BR48)))+((1-nTP_HT*BN48)*(nTP_Lo_n=nTP_Hi_n)*(nTP_Lo_n=N(BR48))*(N(BR48)=N(BS48))))*nTP_HT*(1-nTP_OK)*(nTP_Loc_n=CN48)*nTP_Lo_n))</f>
        <v>0</v>
      </c>
      <c r="CQ48" s="22">
        <f>IF(CD48=0,0,SUMPRODUCT(MAX((nTP_CandKey=BX48)*nTP_Exact*((nTP_HT*BN48*((nTP_OK*BO48*(nTP_UTC_n-N(BQ48))+(1-nTP_OK*BO48)*(nTP_Loc_n-N(BP48)))&lt;=0)+(1-nTP_HT*BN48)*(nTP_Hi_n&lt;N(BR48)))+((1-nTP_HT*BN48)*(nTP_Lo_n=nTP_Hi_n)*(nTP_Lo_n=N(BR48))*(N(BR48)=N(BS48))))*nTP_HT*nTP_OK*nTP_Loc_n)))</f>
        <v>66286620</v>
      </c>
      <c r="CR48" s="22">
        <f t="shared" si="91"/>
        <v>2</v>
      </c>
      <c r="CS48" s="22">
        <f>IF(CR48=0,0,IF(CR48=1,MATCH(1,INDEX((nTP_CandKey=BX48)*nTP_Exact*((nTP_HT*BN48*((nTP_OK*BO48*(nTP_UTC_n-N(BQ48))+(1-nTP_OK*BO48)*(nTP_Loc_n-N(BP48)))&lt;=0)+(1-nTP_HT*BN48)*(nTP_Hi_n&lt;N(BR48)))+((1-nTP_HT*BN48)*(nTP_Lo_n=nTP_Hi_n)*(nTP_Lo_n=N(BR48))*(N(BR48)=N(BS48))))*(1-nTP_HT)*(nTP_Lo_n=CF48),0),0),IF(CR48=2,MATCH(1,INDEX((nTP_CandKey=BX48)*nTP_Exact*((nTP_HT*BN48*((nTP_OK*BO48*(nTP_UTC_n-N(BQ48))+(1-nTP_OK*BO48)*(nTP_Loc_n-N(BP48)))&lt;=0)+(1-nTP_HT*BN48)*(nTP_Hi_n&lt;N(BR48)))+((1-nTP_HT*BN48)*(nTP_Lo_n=nTP_Hi_n)*(nTP_Lo_n=N(BR48))*(N(BR48)=N(BS48))))*nTP_HT*nTP_OK*(nTP_UTC_n=CJ48),0),0),MATCH(1,INDEX((nTP_CandKey=BX48)*nTP_Exact*((nTP_HT*BN48*((nTP_OK*BO48*(nTP_UTC_n-N(BQ48))+(1-nTP_OK*BO48)*(nTP_Loc_n-N(BP48)))&lt;=0)+(1-nTP_HT*BN48)*(nTP_Hi_n&lt;N(BR48)))+((1-nTP_HT*BN48)*(nTP_Lo_n=nTP_Hi_n)*(nTP_Lo_n=N(BR48))*(N(BR48)=N(BS48))))*nTP_HT*(1-nTP_OK)*(nTP_Loc_n=CN48),0),0))))</f>
        <v>32</v>
      </c>
      <c r="CT48" s="22">
        <f>IF(CS48=0,0,INDEX(nTP_Lo_n,CS48))</f>
        <v>46032</v>
      </c>
      <c r="CU48" s="22">
        <f>IF(CS48=0,0,SUMPRODUCT((nTP_CandKey=BX48)*(nTP_Err="")*(1-nTP_Exact)*((nTP_HT*BN48*((nTP_OK*BO48*(nTP_UTC_n-N(BQ48))+(1-nTP_OK*BO48)*(nTP_Loc_n-N(BP48)))&lt;=0)+(1-nTP_HT*BN48)*(nTP_Hi_n&lt;N(BR48)))+((1-nTP_HT*BN48)*(nTP_Lo_n=nTP_Hi_n)*(nTP_Lo_n=N(BR48))*(N(BR48)=N(BS48))))*(nTP_Hi_n&gt;=CT48)))</f>
        <v>0</v>
      </c>
      <c r="CV48" s="21" t="str">
        <f t="shared" si="92"/>
        <v/>
      </c>
      <c r="CW48" s="21" t="str">
        <f>IF(AND(BG48=1,CB48=1,CV48="",CS48&gt;0),INDEX(nTP_Record_ID,CS48)&amp;"","")</f>
        <v>EX-A/START</v>
      </c>
      <c r="CX48" s="21" t="str">
        <f>IF(OR(CV48="",BG48=0),"",IF(CV48="none","an administration record (last dose before onset)",IF(CV48="uncertain","the anchor record: "&amp;INDEX(nTP_Record_ID,MATCH(1,INDEX((nTP_CandKey=BX48)*(nTP_Err="")*(1-(nTP_HT*BN48*((nTP_OK*BO48*(nTP_UTC_n-N(BQ48))+(1-nTP_OK*BO48)*(nTP_Loc_n-N(BP48)))&lt;=0)+(1-nTP_HT*BN48)*(nTP_Hi_n&lt;N(BR48)))-(nTP_HT*BN48*((nTP_OK*BO48*(nTP_UTC_n-N(BQ48))+(1-nTP_OK*BO48)*(nTP_Loc_n-N(BP48)))&gt;0)+(1-nTP_HT*BN48)*(nTP_Lo_n&gt;N(BS48)))-((1-nTP_HT*BN48)*(nTP_Lo_n=nTP_Hi_n)*(nTP_Lo_n=N(BR48))*(N(BR48)=N(BS48)))),0),0))&amp;IF(CC48&gt;1," and "&amp;(CC48-1)&amp;" more","")&amp;" may fall before or after the end point, so the last dose cannot be identified from the recorded dates",IF(CV48="noneligible","the anchor record: no administration with an exact date is recorded at or before the end point",IF(CV48="tie","the anchor record: the order of the latest administrations cannot be told from the recorded dates and times","the anchor record: partial-date administration "&amp;INDEX(nTP_Record_ID,MATCH(1,INDEX((nTP_CandKey=BX48)*(nTP_Err="")*(1-nTP_Exact)*((nTP_HT*BN48*((nTP_OK*BO48*(nTP_UTC_n-N(BQ48))+(1-nTP_OK*BO48)*(nTP_Loc_n-N(BP48)))&lt;=0)+(1-nTP_HT*BN48)*(nTP_Hi_n&lt;N(BR48)))+((1-nTP_HT*BN48)*(nTP_Lo_n=nTP_Hi_n)*(nTP_Lo_n=N(BR48))*(N(BR48)=N(BS48))))*(nTP_Hi_n&gt;=CT48),0),0))&amp;" could be the last dose before the end point")))))</f>
        <v/>
      </c>
      <c r="CY48" s="22">
        <f>IF(OR(AW48=1,AJ48=""),0,IFERROR(MATCH(AX48&amp;"|"&amp;AJ48,nTP_Key,0),0))</f>
        <v>32</v>
      </c>
      <c r="CZ48" s="21">
        <f>IF(CY48=0,0,INDEX(nTP_Dup,CY48))</f>
        <v>1</v>
      </c>
      <c r="DA48" s="21" t="str">
        <f>IF(CY48=0,"",INDEX(nTP_Record_Type,CY48))</f>
        <v>EXPOSURE_START</v>
      </c>
      <c r="DB48" s="21" t="str">
        <f>IF(CY48=0,"",INDEX(nTP_Precision,CY48))</f>
        <v>TIMESTAMP</v>
      </c>
      <c r="DC48" s="21" t="str">
        <f>IF(CY48=0,"",INDEX(nTP_Err,CY48))</f>
        <v/>
      </c>
      <c r="DD48" s="21">
        <f>IF(CY48=0,0,INDEX(nTP_HT,CY48))</f>
        <v>1</v>
      </c>
      <c r="DE48" s="21">
        <f>IF(CY48=0,0,INDEX(nTP_OK,CY48))</f>
        <v>1</v>
      </c>
      <c r="DF48" s="21">
        <f>IF(CY48=0,"",INDEX(nTP_Loc,CY48))</f>
        <v>66286620</v>
      </c>
      <c r="DG48" s="21">
        <f>IF(CY48=0,"",INDEX(nTP_UTC,CY48))</f>
        <v>66286920</v>
      </c>
      <c r="DH48" s="21">
        <f>IF(CY48=0,"",INDEX(nTP_Lo,CY48))</f>
        <v>46032</v>
      </c>
      <c r="DI48" s="21">
        <f>IF(CY48=0,"",INDEX(nTP_Hi,CY48))</f>
        <v>46032</v>
      </c>
      <c r="DJ48" s="21" t="str">
        <f>IF(CY48=0,"",INDEX(nTP_Original_Text,CY48))</f>
        <v>09:00 Drug A infusion commenced</v>
      </c>
      <c r="DK48" s="21" t="str">
        <f>IF(CY48=0,"",INDEX(nTP_Source,CY48))</f>
        <v>Nursing chart; medication administration record</v>
      </c>
      <c r="DL48" s="22">
        <f t="shared" si="93"/>
        <v>1</v>
      </c>
      <c r="DM48" s="21" t="str">
        <f t="shared" si="94"/>
        <v/>
      </c>
      <c r="DN48" s="21" t="str">
        <f t="shared" si="95"/>
        <v/>
      </c>
      <c r="DO48" s="21" t="str">
        <f t="shared" si="96"/>
        <v/>
      </c>
      <c r="DP48" s="21" t="str">
        <f t="shared" si="97"/>
        <v/>
      </c>
      <c r="DQ48" s="21" t="str">
        <f t="shared" si="98"/>
        <v>C1</v>
      </c>
      <c r="DR48" s="22">
        <f>IF(OR(DQ48="",I48=""),0,IF(ISNA(MATCH(I48,nLIST_Mode,0)),1,IF(AND(I48="C1",DQ48&lt;&gt;"C1"),1,IF(AND(I48="C2",DQ48="C4"),1,0))))</f>
        <v>0</v>
      </c>
      <c r="DS48" s="21" t="str">
        <f t="shared" si="99"/>
        <v>C1</v>
      </c>
      <c r="DT48" s="22">
        <f t="shared" si="100"/>
        <v>0</v>
      </c>
      <c r="DU48" s="21" t="str">
        <f>IF(DT48=0,"",IF(COUNTIFS(nTP_Case_Key,AX48,nTP_Record_Type,"MILESTONE:INTERVENTION",nTP_Err,"E_INVALID_DATE")&gt;0,"; E_INVALID_DATE","")&amp;IF(COUNTIFS(nTP_Case_Key,AX48,nTP_Record_Type,"MILESTONE:INTERVENTION",nTP_Err,"E_REVERSED_BOUNDS")&gt;0,"; E_REVERSED_BOUNDS","")&amp;IF(COUNTIFS(nTP_Case_Key,AX48,nTP_Record_Type,"MILESTONE:INTERVENTION",nTP_Err,"E_MISSING_INPUT")&gt;0,"; E_MISSING_INPUT","")&amp;IF(COUNTIFS(nTP_Case_Key,AX48,nTP_Record_Type,"MILESTONE:INTERVENTION",nTP_Err,"E_INVALID_UNIT")&gt;0,"; E_INVALID_UNIT",""))</f>
        <v/>
      </c>
      <c r="DV48" s="22">
        <f>IF(DT48=0,0,SUMPRODUCT((nMS_CaseKey=AX48)*(nMS_Type="INTERVENTION")*nMS_Undated))</f>
        <v>0</v>
      </c>
      <c r="DW48" s="21" t="str">
        <f t="shared" si="101"/>
        <v/>
      </c>
      <c r="DX48" s="21" t="str">
        <f t="shared" si="102"/>
        <v/>
      </c>
      <c r="DY48" s="22">
        <f t="shared" si="103"/>
        <v>0</v>
      </c>
      <c r="DZ48" s="21">
        <f t="shared" si="104"/>
        <v>15</v>
      </c>
      <c r="EA48" s="21" t="str">
        <f t="shared" si="105"/>
        <v/>
      </c>
      <c r="EB48" s="21" t="str">
        <f t="shared" si="106"/>
        <v/>
      </c>
      <c r="EC48" s="21" t="str">
        <f t="shared" si="107"/>
        <v/>
      </c>
      <c r="ED48" s="22">
        <f t="shared" si="108"/>
        <v>0</v>
      </c>
      <c r="EE48" s="22">
        <f t="shared" si="109"/>
        <v>0</v>
      </c>
      <c r="EF48" s="21" t="str">
        <f>IF(ED48=0,"",IF(OR(NOT(ISNUMBER(L48)),NOT(ISNUMBER(M48))),"I_APPROXIMATE_NOT_COMPARED",IF(AND(N48&lt;&gt;"",ISNA(MATCH(N48,nLIST_ReportedUnit,0))),"E_INVALID_UNIT",IF(N48="","E_MISSING_INPUT",IF(L48&gt;M48,"E_REVERSED_BOUNDS",IF(OR(N48="weeks",N48="months",N48="years"),"I_APPROXIMATE_NOT_COMPARED",IF(DX48&lt;&gt;"","",IF(EE48=0,"I_APPROXIMATE_NOT_COMPARED",IF(AND(L48*EE48&lt;=IF(DS48="C4",EC48,IF(DS48="C1",DZ48,EA48)),M48*EE48&gt;=IF(DS48="C4",EB48,IF(DS48="C1",DZ48,EA48))),"OVERLAP","W_REPORTED_TIMING_CONFLICT")))))))))</f>
        <v/>
      </c>
      <c r="EG48" s="21" t="str">
        <f t="shared" si="110"/>
        <v/>
      </c>
      <c r="EH48" s="21" t="str">
        <f t="shared" si="111"/>
        <v/>
      </c>
      <c r="EI48" s="22">
        <f t="shared" si="112"/>
        <v>1</v>
      </c>
      <c r="EJ48" s="22">
        <f t="shared" si="113"/>
        <v>0</v>
      </c>
      <c r="EK48" s="22">
        <f t="shared" si="114"/>
        <v>0</v>
      </c>
      <c r="EL48" s="28" t="str">
        <f t="shared" si="115"/>
        <v/>
      </c>
      <c r="EM48" s="28" t="str">
        <f t="shared" si="116"/>
        <v/>
      </c>
      <c r="EN48" s="21" t="str">
        <f t="shared" si="117"/>
        <v/>
      </c>
      <c r="EO48" s="22">
        <f>IF(OR(DT48=0,DX48&lt;&gt;""),0,SUMPRODUCT((nTP_Case_Key=AX48)*(nTP_Record_Type="MILESTONE:INTERVENTION")*(nTP_Err="")*(nTP_HT*DD48*BN48*(nTP_OK*DE48*(nTP_UTC_n&gt;=N(DG48))+(1-nTP_OK*DE48)*(nTP_Loc_n&gt;=N(DF48)))*(nTP_OK*BO48*(nTP_UTC_n&lt;=N(BQ48))+(1-nTP_OK*BO48)*(nTP_Loc_n&lt;=N(BP48)))+(1-nTP_HT*DD48*BN48)*(nTP_Hi_n&gt;=N(DH48))*(nTP_Lo_n&lt;=N(BS48)))))</f>
        <v>0</v>
      </c>
      <c r="EP48" s="22">
        <f>IF(OR(DT48=0,DX48&lt;&gt;""),0,SUMPRODUCT((nTP_Case_Key=AX48)*(nTP_Role="treatment of the event")*((nTP_Record_Type="EXPOSURE_START")+(nTP_Record_Type="ADMINISTRATION"))*(nTP_Err="")*(nTP_HT*DD48*BN48*(nTP_OK*DE48*(nTP_UTC_n&gt;=N(DG48))+(1-nTP_OK*DE48)*(nTP_Loc_n&gt;=N(DF48)))*(nTP_OK*BO48*(nTP_UTC_n&lt;=N(BQ48))+(1-nTP_OK*BO48)*(nTP_Loc_n&lt;=N(BP48)))+(1-nTP_HT*DD48*BN48)*(nTP_Hi_n&gt;=N(DH48))*(nTP_Lo_n&lt;=N(BS48)))))</f>
        <v>0</v>
      </c>
      <c r="EQ48" s="22">
        <f>IF(EO48&lt;1,0,IFERROR(_xlfn.AGGREGATE(15,6,nTP_RowN/((nTP_Case_Key=AX48)*(nTP_Record_Type="MILESTONE:INTERVENTION")*(nTP_Err="")*(nTP_HT*DD48*BN48*(nTP_OK*DE48*(nTP_UTC_n&gt;=N(DG48))+(1-nTP_OK*DE48)*(nTP_Loc_n&gt;=N(DF48)))*(nTP_OK*BO48*(nTP_UTC_n&lt;=N(BQ48))+(1-nTP_OK*BO48)*(nTP_Loc_n&lt;=N(BP48)))+(1-nTP_HT*DD48*BN48)*(nTP_Hi_n&gt;=N(DH48))*(nTP_Lo_n&lt;=N(BS48)))),1),0))</f>
        <v>0</v>
      </c>
      <c r="ER48" s="22">
        <f>IF(EO48&lt;2,0,IFERROR(_xlfn.AGGREGATE(15,6,nTP_RowN/((nTP_Case_Key=AX48)*(nTP_Record_Type="MILESTONE:INTERVENTION")*(nTP_Err="")*(nTP_HT*DD48*BN48*(nTP_OK*DE48*(nTP_UTC_n&gt;=N(DG48))+(1-nTP_OK*DE48)*(nTP_Loc_n&gt;=N(DF48)))*(nTP_OK*BO48*(nTP_UTC_n&lt;=N(BQ48))+(1-nTP_OK*BO48)*(nTP_Loc_n&lt;=N(BP48)))+(1-nTP_HT*DD48*BN48)*(nTP_Hi_n&gt;=N(DH48))*(nTP_Lo_n&lt;=N(BS48)))),2),0))</f>
        <v>0</v>
      </c>
      <c r="ES48" s="22">
        <f>IF(EO48&lt;3,0,IFERROR(_xlfn.AGGREGATE(15,6,nTP_RowN/((nTP_Case_Key=AX48)*(nTP_Record_Type="MILESTONE:INTERVENTION")*(nTP_Err="")*(nTP_HT*DD48*BN48*(nTP_OK*DE48*(nTP_UTC_n&gt;=N(DG48))+(1-nTP_OK*DE48)*(nTP_Loc_n&gt;=N(DF48)))*(nTP_OK*BO48*(nTP_UTC_n&lt;=N(BQ48))+(1-nTP_OK*BO48)*(nTP_Loc_n&lt;=N(BP48)))+(1-nTP_HT*DD48*BN48)*(nTP_Hi_n&gt;=N(DH48))*(nTP_Lo_n&lt;=N(BS48)))),3),0))</f>
        <v>0</v>
      </c>
      <c r="ET48" s="22">
        <f>IF(EP48&lt;1,0,IFERROR(_xlfn.AGGREGATE(15,6,nTP_RowN/((nTP_Case_Key=AX48)*(nTP_Role="treatment of the event")*((nTP_Record_Type="EXPOSURE_START")+(nTP_Record_Type="ADMINISTRATION"))*(nTP_Err="")*(nTP_HT*DD48*BN48*(nTP_OK*DE48*(nTP_UTC_n&gt;=N(DG48))+(1-nTP_OK*DE48)*(nTP_Loc_n&gt;=N(DF48)))*(nTP_OK*BO48*(nTP_UTC_n&lt;=N(BQ48))+(1-nTP_OK*BO48)*(nTP_Loc_n&lt;=N(BP48)))+(1-nTP_HT*DD48*BN48)*(nTP_Hi_n&gt;=N(DH48))*(nTP_Lo_n&lt;=N(BS48)))),1),0))</f>
        <v>0</v>
      </c>
      <c r="EU48" s="22">
        <f>IF(EP48&lt;2,0,IFERROR(_xlfn.AGGREGATE(15,6,nTP_RowN/((nTP_Case_Key=AX48)*(nTP_Role="treatment of the event")*((nTP_Record_Type="EXPOSURE_START")+(nTP_Record_Type="ADMINISTRATION"))*(nTP_Err="")*(nTP_HT*DD48*BN48*(nTP_OK*DE48*(nTP_UTC_n&gt;=N(DG48))+(1-nTP_OK*DE48)*(nTP_Loc_n&gt;=N(DF48)))*(nTP_OK*BO48*(nTP_UTC_n&lt;=N(BQ48))+(1-nTP_OK*BO48)*(nTP_Loc_n&lt;=N(BP48)))+(1-nTP_HT*DD48*BN48)*(nTP_Hi_n&gt;=N(DH48))*(nTP_Lo_n&lt;=N(BS48)))),2),0))</f>
        <v>0</v>
      </c>
      <c r="EV48" s="22">
        <f>IF(EP48&lt;3,0,IFERROR(_xlfn.AGGREGATE(15,6,nTP_RowN/((nTP_Case_Key=AX48)*(nTP_Role="treatment of the event")*((nTP_Record_Type="EXPOSURE_START")+(nTP_Record_Type="ADMINISTRATION"))*(nTP_Err="")*(nTP_HT*DD48*BN48*(nTP_OK*DE48*(nTP_UTC_n&gt;=N(DG48))+(1-nTP_OK*DE48)*(nTP_Loc_n&gt;=N(DF48)))*(nTP_OK*BO48*(nTP_UTC_n&lt;=N(BQ48))+(1-nTP_OK*BO48)*(nTP_Loc_n&lt;=N(BP48)))+(1-nTP_HT*DD48*BN48)*(nTP_Hi_n&gt;=N(DH48))*(nTP_Lo_n&lt;=N(BS48)))),3),0))</f>
        <v>0</v>
      </c>
      <c r="EW48" s="22">
        <f>IF(CE48&lt;1,0,IFERROR(_xlfn.AGGREGATE(15,6,nTP_RowN/((nTP_CandKey=BX48)*(nTP_Err="")*(1-nTP_Exact)*((nTP_HT*BN48*((nTP_OK*BO48*(nTP_UTC_n-N(BQ48))+(1-nTP_OK*BO48)*(nTP_Loc_n-N(BP48)))&lt;=0)+(1-nTP_HT*BN48)*(nTP_Hi_n&lt;N(BR48)))+((1-nTP_HT*BN48)*(nTP_Lo_n=nTP_Hi_n)*(nTP_Lo_n=N(BR48))*(N(BR48)=N(BS48))))),1),0))</f>
        <v>0</v>
      </c>
      <c r="EX48" s="22">
        <f>IF(CE48&lt;2,0,IFERROR(_xlfn.AGGREGATE(15,6,nTP_RowN/((nTP_CandKey=BX48)*(nTP_Err="")*(1-nTP_Exact)*((nTP_HT*BN48*((nTP_OK*BO48*(nTP_UTC_n-N(BQ48))+(1-nTP_OK*BO48)*(nTP_Loc_n-N(BP48)))&lt;=0)+(1-nTP_HT*BN48)*(nTP_Hi_n&lt;N(BR48)))+((1-nTP_HT*BN48)*(nTP_Lo_n=nTP_Hi_n)*(nTP_Lo_n=N(BR48))*(N(BR48)=N(BS48))))),2),0))</f>
        <v>0</v>
      </c>
      <c r="EY48" s="22">
        <f>IF(CE48&lt;3,0,IFERROR(_xlfn.AGGREGATE(15,6,nTP_RowN/((nTP_CandKey=BX48)*(nTP_Err="")*(1-nTP_Exact)*((nTP_HT*BN48*((nTP_OK*BO48*(nTP_UTC_n-N(BQ48))+(1-nTP_OK*BO48)*(nTP_Loc_n-N(BP48)))&lt;=0)+(1-nTP_HT*BN48)*(nTP_Hi_n&lt;N(BR48)))+((1-nTP_HT*BN48)*(nTP_Lo_n=nTP_Hi_n)*(nTP_Lo_n=N(BR48))*(N(BR48)=N(BS48))))),3),0))</f>
        <v>0</v>
      </c>
      <c r="EZ48" s="21" t="str">
        <f>IF(EO48=0,"",MID(IF(EQ48&gt;0,"; "&amp;INDEX(nTP_Record_ID,EQ48)&amp;IF(INDEX(nTP_Label,EQ48)="",""," ("&amp;INDEX(nTP_Label,EQ48)&amp;")"),"")&amp;IF(ER48&gt;0,"; "&amp;INDEX(nTP_Record_ID,ER48)&amp;IF(INDEX(nTP_Label,ER48)="",""," ("&amp;INDEX(nTP_Label,ER48)&amp;")"),"")&amp;IF(ES48&gt;0,"; "&amp;INDEX(nTP_Record_ID,ES48)&amp;IF(INDEX(nTP_Label,ES48)="",""," ("&amp;INDEX(nTP_Label,ES48)&amp;")"),"")&amp;IF(EO48&gt;3,"; and "&amp;(EO48-3)&amp;" more",""),3,999))</f>
        <v/>
      </c>
      <c r="FA48" s="21" t="str">
        <f>IF(EO48=0,"",MID(IF(EQ48&gt;0,"; "&amp;INDEX(nTP_Record_ID,EQ48),"")&amp;IF(ER48&gt;0,"; "&amp;INDEX(nTP_Record_ID,ER48),"")&amp;IF(ES48&gt;0,"; "&amp;INDEX(nTP_Record_ID,ES48),"")&amp;IF(EO48&gt;3,"; and "&amp;(EO48-3)&amp;" more",""),3,999))</f>
        <v/>
      </c>
      <c r="FB48" s="21" t="str">
        <f>IF(EP48=0,"",MID(IF(ET48&gt;0,"; "&amp;INDEX(nTP_Record_ID,ET48)&amp;IF(INDEX(nTP_Label,ET48)="",""," ("&amp;INDEX(nTP_Label,ET48)&amp;")"),"")&amp;IF(EU48&gt;0,"; "&amp;INDEX(nTP_Record_ID,EU48)&amp;IF(INDEX(nTP_Label,EU48)="",""," ("&amp;INDEX(nTP_Label,EU48)&amp;")"),"")&amp;IF(EV48&gt;0,"; "&amp;INDEX(nTP_Record_ID,EV48)&amp;IF(INDEX(nTP_Label,EV48)="",""," ("&amp;INDEX(nTP_Label,EV48)&amp;")"),"")&amp;IF(EP48&gt;3,"; and "&amp;(EP48-3)&amp;" more",""),3,999))</f>
        <v/>
      </c>
      <c r="FC48" s="21" t="str">
        <f>IF(CE48=0,"",MID(IF(EW48&gt;0,"; "&amp;INDEX(nTP_Record_ID,EW48),"")&amp;IF(EX48&gt;0,"; "&amp;INDEX(nTP_Record_ID,EX48),"")&amp;IF(EY48&gt;0,"; "&amp;INDEX(nTP_Record_ID,EY48),"")&amp;IF(CE48&gt;3,"; and "&amp;(CE48-3)&amp;" more",""),3,999))</f>
        <v/>
      </c>
      <c r="FD48" s="22">
        <f t="shared" si="118"/>
        <v>0</v>
      </c>
      <c r="FE48" s="22">
        <f t="shared" si="119"/>
        <v>0</v>
      </c>
      <c r="FF48" s="22">
        <f t="shared" si="120"/>
        <v>0</v>
      </c>
      <c r="FG48" s="22">
        <f t="shared" si="121"/>
        <v>0</v>
      </c>
      <c r="FH48" s="22">
        <f t="shared" si="122"/>
        <v>0</v>
      </c>
      <c r="FI48" s="22">
        <f t="shared" si="123"/>
        <v>0</v>
      </c>
      <c r="FJ48" s="22">
        <f t="shared" si="124"/>
        <v>0</v>
      </c>
      <c r="FK48" s="22">
        <f t="shared" si="125"/>
        <v>0</v>
      </c>
    </row>
    <row r="49" spans="1:167" x14ac:dyDescent="0.2">
      <c r="A49" s="9" t="s">
        <v>1134</v>
      </c>
      <c r="B49" s="9" t="s">
        <v>297</v>
      </c>
      <c r="C49" s="11">
        <v>2</v>
      </c>
      <c r="D49" s="9" t="s">
        <v>896</v>
      </c>
      <c r="E49" s="16" t="s">
        <v>55</v>
      </c>
      <c r="F49" s="9" t="s">
        <v>1135</v>
      </c>
      <c r="G49" s="9" t="s">
        <v>1133</v>
      </c>
      <c r="H49" s="9" t="s">
        <v>1128</v>
      </c>
      <c r="I49" s="16" t="s">
        <v>59</v>
      </c>
      <c r="J49" s="16"/>
      <c r="K49" s="9"/>
      <c r="L49" s="16"/>
      <c r="M49" s="16"/>
      <c r="N49" s="16"/>
      <c r="O49" s="9"/>
      <c r="P49" s="14"/>
      <c r="Q49" s="14"/>
      <c r="R49" s="9"/>
      <c r="S49" s="9"/>
      <c r="T49" s="21" t="str">
        <f t="shared" si="63"/>
        <v>55 minutes</v>
      </c>
      <c r="U49" s="21" t="str">
        <f t="shared" si="64"/>
        <v>55 minutes</v>
      </c>
      <c r="V49" s="21">
        <f t="shared" si="65"/>
        <v>55</v>
      </c>
      <c r="W49" s="21" t="str">
        <f t="shared" si="66"/>
        <v/>
      </c>
      <c r="X49" s="21" t="str">
        <f t="shared" si="67"/>
        <v/>
      </c>
      <c r="Y49" s="21" t="str">
        <f t="shared" si="68"/>
        <v>minutes</v>
      </c>
      <c r="Z49" s="21" t="str">
        <f t="shared" si="69"/>
        <v>C1</v>
      </c>
      <c r="AA49" s="21" t="str">
        <f t="shared" si="70"/>
        <v>AFTER</v>
      </c>
      <c r="AB49" s="21" t="str">
        <f t="shared" si="71"/>
        <v/>
      </c>
      <c r="AC49" s="21" t="str">
        <f t="shared" si="72"/>
        <v/>
      </c>
      <c r="AD49" s="21" t="str">
        <f>IF(AW49=1,"",MID(IF(ISNUMBER(SEARCH("E_INVALID_DATE",EG49))," | E_INVALID_DATE: "&amp;SUBSTITUTE(IFERROR(INDEX(nMSG_Text,MATCH("E_INVALID_DATE",nMSG_Code,0)),""),"[input]",""),"")&amp;IF(ISNUMBER(SEARCH("E_REVERSED_BOUNDS",EG49))," | E_REVERSED_BOUNDS: "&amp;SUBSTITUTE(IFERROR(INDEX(nMSG_Text,MATCH("E_REVERSED_BOUNDS",nMSG_Code,0)),""),"[input]",""),"")&amp;IF(ISNUMBER(SEARCH("E_DUPLICATE_ID",EG49))," | E_DUPLICATE_ID: "&amp;SUBSTITUTE(IFERROR(INDEX(nMSG_Text,MATCH("E_DUPLICATE_ID",nMSG_Code,0)),""),"[input]",""),"")&amp;IF(ISNUMBER(SEARCH("E_MISSING_LINK",EG49))," | E_MISSING_LINK: "&amp;SUBSTITUTE(IFERROR(INDEX(nMSG_Text,MATCH("E_MISSING_LINK",nMSG_Code,0)),""),"[input]",""),"")&amp;IF(ISNUMBER(SEARCH("E_MISSING_INPUT",EG49))," | E_MISSING_INPUT: "&amp;SUBSTITUTE(IFERROR(INDEX(nMSG_Text,MATCH("E_MISSING_INPUT",nMSG_Code,0)),""),"[input]",IF(EH49="","an input",EH49)),"")&amp;IF(ISNUMBER(SEARCH("E_INVALID_UNIT",EG49))," | E_INVALID_UNIT: "&amp;SUBSTITUTE(IFERROR(INDEX(nMSG_Text,MATCH("E_INVALID_UNIT",nMSG_Code,0)),""),"[input]",""),"")&amp;IF(FD49=1," | W_TZ_UNKNOWN: "&amp;SUBSTITUTE(IFERROR(INDEX(nMSG_Text,MATCH("W_TZ_UNKNOWN",nMSG_Code,0)),""),"[input]",""),"")&amp;IF(FE49=1," | W_SAME_DATE_ORDER_UNKNOWN: "&amp;SUBSTITUTE(IFERROR(INDEX(nMSG_Text,MATCH("W_SAME_DATE_ORDER_UNKNOWN",nMSG_Code,0)),""),"[input]",""),"")&amp;IF(FF49=1," | W_SEQUENCE_UNCERTAIN: "&amp;SUBSTITUTE(IFERROR(INDEX(nMSG_Text,MATCH("W_SEQUENCE_UNCERTAIN",nMSG_Code,0)),""),"[input]",""),"")&amp;IF(FG49=1," | W_ADMIN_SAME_DATE_AS_ONSET: "&amp;SUBSTITUTE(IFERROR(INDEX(nMSG_Text,MATCH("W_ADMIN_SAME_DATE_AS_ONSET",nMSG_Code,0)),""),"[input]",""),"")&amp;IF(FH49=1," | W_REPORTED_TIMING_CONFLICT: "&amp;SUBSTITUTE(IFERROR(INDEX(nMSG_Text,MATCH("W_REPORTED_TIMING_CONFLICT",nMSG_Code,0)),""),"[input]",""),"")&amp;IF(FI49=1," | W_INTERVENTION_BEFORE_RECOVERY: "&amp;SUBSTITUTE(IFERROR(INDEX(nMSG_Text,MATCH("W_INTERVENTION_BEFORE_RECOVERY",nMSG_Code,0)),""),"[input]",""),"")&amp;IF(FJ49=1," | I_TREATMENT_DAY_UNDEFINED: "&amp;SUBSTITUTE(IFERROR(INDEX(nMSG_Text,MATCH("I_TREATMENT_DAY_UNDEFINED",nMSG_Code,0)),""),"[input]",""),"")&amp;IF(FK49=1," | I_APPROXIMATE_NOT_COMPARED: "&amp;SUBSTITUTE(IFERROR(INDEX(nMSG_Text,MATCH("I_APPROXIMATE_NOT_COMPARED",nMSG_Code,0)),""),"[input]",""),""),4,9999))</f>
        <v/>
      </c>
      <c r="AE49" s="21" t="str">
        <f t="shared" si="73"/>
        <v/>
      </c>
      <c r="AF49" s="21" t="str">
        <f t="shared" si="74"/>
        <v/>
      </c>
      <c r="AG49" s="21" t="str">
        <f>IF(EN49="","",MID(IF(ISNUMBER(SEARCH("E_REVERSED_BOUNDS",EN49))," | E_REVERSED_BOUNDS: "&amp;SUBSTITUTE(IFERROR(INDEX(nMSG_Text,MATCH("E_REVERSED_BOUNDS",nMSG_Code,0)),""),"[input]",""),"")&amp;IF(ISNUMBER(SEARCH("E_MISSING_INPUT",EN49))," | E_MISSING_INPUT: "&amp;SUBSTITUTE(IFERROR(INDEX(nMSG_Text,MATCH("E_MISSING_INPUT",nMSG_Code,0)),""),"[input]",IF("the source of the constraint"="","an input","the source of the constraint")),""),4,999))</f>
        <v/>
      </c>
      <c r="AH49" s="21" t="str">
        <f t="shared" si="75"/>
        <v/>
      </c>
      <c r="AI49" s="21" t="str">
        <f t="shared" si="76"/>
        <v>EX-B/START → EV-1/ONSET</v>
      </c>
      <c r="AJ49" s="21" t="str">
        <f t="shared" si="77"/>
        <v>EX-B/START</v>
      </c>
      <c r="AK49" s="21" t="str">
        <f t="shared" si="78"/>
        <v>EV-1/ONSET</v>
      </c>
      <c r="AL49" s="21" t="str">
        <f>IF(CY49=0,"",INDEX(nTP_ISO,CY49))</f>
        <v>2026-01-10T08:20-05:00</v>
      </c>
      <c r="AM49" s="21" t="str">
        <f>IF(CY49=0,"",INDEX(nTP_Display,CY49))</f>
        <v>10 January 2026 08:20 (UTC-05:00)</v>
      </c>
      <c r="AN49" s="21" t="str">
        <f>IF(BI49=0,"",INDEX(nTP_ISO,BI49))</f>
        <v>2026-01-10T09:15-05:00</v>
      </c>
      <c r="AO49" s="21" t="str">
        <f>IF(BI49=0,"",INDEX(nTP_Display,BI49))</f>
        <v>10 January 2026 09:15 (UTC-05:00)</v>
      </c>
      <c r="AP49" s="21" t="str">
        <f>IF(BA49=0,"",INDEX(nLNK_Exposure_Episode_ID,BA49)&amp;"")</f>
        <v>EX-B</v>
      </c>
      <c r="AQ49" s="21" t="str">
        <f>IF(BA49=0,"",INDEX(nLNK_Event_Episode_ID,BA49)&amp;"")</f>
        <v>EV-1</v>
      </c>
      <c r="AR49" s="21" t="str">
        <f t="shared" si="79"/>
        <v>Anchor (CONCOMITANT_CHANGE) EX-B/START: 2026-01-10T08:20-05:00 [timestamp with UTC offset; case measurement; original: "Drug B IV given earlier this morning via same cannula"; source: Follow-up, version 2] | End point EV-1/ONSET: 2026-01-10T09:15-05:00 [timestamp with UTC offset; case measurement; original: "09:15 pt reports itching; urticaria chest and arms; audible wheeze; BP 84/52"; source: Nursing observation chart]</v>
      </c>
      <c r="AS49" s="21" t="str">
        <f>IF(EI49=0,"",MID(IF(DT49=1," | Recovery interval (C7) computed with "&amp;DS49&amp;".","")&amp;IF(BG49=1," | Anchor selected under C5 (CALC-SPEC 1.1): latest administration with an exact date or time at or before "&amp;IF(BH49=1,"onset","the end point")&amp;" ("&amp;AJ49&amp;"), ordered in UTC when offsets are known; later administrations are never selected.","")&amp;IF(AND(BG49=1,CE49&gt;0)," | Partial-date administrations wholly before the selected one were not candidates: "&amp;FC49&amp;".","")&amp;IF(BV49&lt;&gt;""," | "&amp;BV49,"")&amp;IF(AND(DS49="C2",EA49=0,DZ49&lt;&gt;"")," | Same calendar date; both times are known, so C1 decides the order ("&amp;AA49&amp;").","")&amp;IF(AND(DS49="C2",DD49*BN49=1,DT49=0)," | Calendar-date difference from the recorded local dates; it is never described as elapsed days.","")&amp;IF(AND(DS49="C4",DT49=0)," | Bounds are treated as independent; no single date is imputed from them.","")&amp;IF(EJ49=1," | Treatment day under the inclusive convention (C3); never written to E2B fields automatically.","")&amp;IF(AND(DS49="C4",DT49=0,EK49=0)," | No constraint applied.","")&amp;IF(AND(DS49="C4",EK49=1)," | Constraint applied to the anchor bounds: "&amp;IF(ISNUMBER(P49),"not before "&amp;DAY(P49)&amp;" "&amp;INDEX(nLIST_Months,MONTH(P49))&amp;" "&amp;YEAR(P49),"")&amp;IF(AND(ISNUMBER(P49),ISNUMBER(Q49)),", ","")&amp;IF(ISNUMBER(Q49),"not after "&amp;DAY(Q49)&amp;" "&amp;INDEX(nLIST_Months,MONTH(Q49))&amp;" "&amp;YEAR(Q49),"")&amp;". Source: "&amp;IF(R49="","not recorded",R49)&amp;IF(EN49="",". Constrained result shown beside the unconstrained one.",". Constrained result blocked ("&amp;EN49&amp;")."),"")&amp;IF(DT49=1,IF(EO49&gt;0," | Intervention recorded between cessation and recovery (ends included): "&amp;EZ49&amp;"."," | No intervention is recorded between cessation and recovery; absence of a record is not evidence that none was given."),"")&amp;IF(AND(DT49=1,DV49&gt;0)," | Intervention recorded without a date, so whether it came before recovery is unknown: "&amp;INDEX(nMS_Milestone_ID,MATCH(1,INDEX((nMS_CaseKey=AX49)*(nMS_Type="INTERVENTION")*nMS_Undated,0),0))&amp;IF(DV49&gt;1," and "&amp;(DV49-1)&amp;" more","")&amp;".","")&amp;IF(AND(DT49=1,EP49&gt;0)," | Not counted as interventions, because they are recorded as exposures rather than as intervention milestones (nothing is inferred): "&amp;FB49&amp;". If treatment was given, record it as an intervention milestone.",""),4,9999))</f>
        <v/>
      </c>
      <c r="AT49" s="21" t="str">
        <f t="shared" si="80"/>
        <v>The interval describes the sequence and spacing of recorded times; it is not evidence of causation.</v>
      </c>
      <c r="AU49" s="21" t="str">
        <f t="shared" si="81"/>
        <v/>
      </c>
      <c r="AV49" s="21" t="str">
        <f t="shared" si="82"/>
        <v>CALC-SPEC 1.1</v>
      </c>
      <c r="AW49" s="22">
        <f t="shared" si="83"/>
        <v>0</v>
      </c>
      <c r="AX49" s="21" t="str">
        <f t="shared" si="84"/>
        <v>EX-C01|2</v>
      </c>
      <c r="AY49" s="21" t="str">
        <f t="shared" si="85"/>
        <v>EX-C01|2|I04</v>
      </c>
      <c r="AZ49" s="22">
        <f>IF(AY49="",0,COUNTIF(nINT_Key,AY49))</f>
        <v>1</v>
      </c>
      <c r="BA49" s="22">
        <f>IF(D49="",0,IFERROR(MATCH(AX49&amp;"|"&amp;D49,nLNK_Key,0),0))</f>
        <v>23</v>
      </c>
      <c r="BB49" s="22">
        <f>IF(BA49=0,1,INDEX(nLNK_Exp_Found,BA49))</f>
        <v>1</v>
      </c>
      <c r="BC49" s="22">
        <f>IF(BA49=0,1,INDEX(nLNK_Evt_Found,BA49))</f>
        <v>1</v>
      </c>
      <c r="BD49" s="22">
        <f>IF(AP49="",0,COUNTIF(nEXP_Key,AX49&amp;"|"&amp;AP49))</f>
        <v>1</v>
      </c>
      <c r="BE49" s="22">
        <f>IF(AQ49="",0,COUNTIF(nEVT_Key,AX49&amp;"|"&amp;AQ49))</f>
        <v>1</v>
      </c>
      <c r="BF49" s="22">
        <f>IF(ISNA(MATCH(E49,nLIST_AnchorType,0)),0,1)</f>
        <v>1</v>
      </c>
      <c r="BG49" s="22">
        <f t="shared" si="86"/>
        <v>0</v>
      </c>
      <c r="BH49" s="22">
        <f t="shared" si="87"/>
        <v>1</v>
      </c>
      <c r="BI49" s="22">
        <f>IF(OR(AW49=1,AK49=""),0,IFERROR(MATCH(AX49&amp;"|"&amp;AK49,nTP_Key,0),0))</f>
        <v>312</v>
      </c>
      <c r="BJ49" s="21">
        <f>IF(BI49=0,0,INDEX(nTP_Dup,BI49))</f>
        <v>1</v>
      </c>
      <c r="BK49" s="21" t="str">
        <f>IF(BI49=0,"",INDEX(nTP_Record_Type,BI49))</f>
        <v>EVENT_ONSET</v>
      </c>
      <c r="BL49" s="21" t="str">
        <f>IF(BI49=0,"",INDEX(nTP_Precision,BI49))</f>
        <v>TIMESTAMP</v>
      </c>
      <c r="BM49" s="21" t="str">
        <f>IF(BI49=0,"",INDEX(nTP_Err,BI49))</f>
        <v/>
      </c>
      <c r="BN49" s="21">
        <f>IF(BI49=0,0,INDEX(nTP_HT,BI49))</f>
        <v>1</v>
      </c>
      <c r="BO49" s="21">
        <f>IF(BI49=0,0,INDEX(nTP_OK,BI49))</f>
        <v>1</v>
      </c>
      <c r="BP49" s="21">
        <f>IF(BI49=0,"",INDEX(nTP_Loc,BI49))</f>
        <v>66286635</v>
      </c>
      <c r="BQ49" s="21">
        <f>IF(BI49=0,"",INDEX(nTP_UTC,BI49))</f>
        <v>66286935</v>
      </c>
      <c r="BR49" s="21">
        <f>IF(BI49=0,"",INDEX(nTP_Lo,BI49))</f>
        <v>46032</v>
      </c>
      <c r="BS49" s="21">
        <f>IF(BI49=0,"",INDEX(nTP_Hi,BI49))</f>
        <v>46032</v>
      </c>
      <c r="BT49" s="21" t="str">
        <f>IF(BI49=0,"",INDEX(nTP_Original_Text,BI49))</f>
        <v>09:15 pt reports itching; urticaria chest and arms; audible wheeze; BP 84/52</v>
      </c>
      <c r="BU49" s="21" t="str">
        <f>IF(BI49=0,"",INDEX(nTP_Source,BI49))</f>
        <v>Nursing observation chart</v>
      </c>
      <c r="BV49" s="21" t="str">
        <f>IF(BI49=0,"",INDEX(nTP_Lab_Note,BI49))</f>
        <v/>
      </c>
      <c r="BW49" s="22">
        <f t="shared" si="88"/>
        <v>1</v>
      </c>
      <c r="BX49" s="21" t="str">
        <f t="shared" si="89"/>
        <v>EX-C01|2|EX-B</v>
      </c>
      <c r="BY49" s="22">
        <f>IF(BG49=0,0,COUNTIF(nTP_CandKey,BX49))</f>
        <v>0</v>
      </c>
      <c r="BZ49" s="22">
        <f>IF(BG49=0,0,COUNTIFS(nTP_CandKey,BX49,nTP_Err,""))</f>
        <v>0</v>
      </c>
      <c r="CA49" s="21" t="str">
        <f>IF(BY49=BZ49,"",IF(COUNTIFS(nTP_CandKey,BX49,nTP_Err,"E_INVALID_DATE")&gt;0,"; E_INVALID_DATE","")&amp;IF(COUNTIFS(nTP_CandKey,BX49,nTP_Err,"E_REVERSED_BOUNDS")&gt;0,"; E_REVERSED_BOUNDS","")&amp;IF(COUNTIFS(nTP_CandKey,BX49,nTP_Err,"E_MISSING_INPUT")&gt;0,"; E_MISSING_INPUT","")&amp;IF(COUNTIFS(nTP_CandKey,BX49,nTP_Err,"E_INVALID_UNIT")&gt;0,"; E_INVALID_UNIT",""))</f>
        <v/>
      </c>
      <c r="CB49" s="22">
        <f t="shared" si="90"/>
        <v>0</v>
      </c>
      <c r="CC49" s="22">
        <f>IF(CB49=0,0,SUMPRODUCT((nTP_CandKey=BX49)*(nTP_Err="")*(1-(nTP_HT*BN49*((nTP_OK*BO49*(nTP_UTC_n-N(BQ49))+(1-nTP_OK*BO49)*(nTP_Loc_n-N(BP49)))&lt;=0)+(1-nTP_HT*BN49)*(nTP_Hi_n&lt;N(BR49)))-(nTP_HT*BN49*((nTP_OK*BO49*(nTP_UTC_n-N(BQ49))+(1-nTP_OK*BO49)*(nTP_Loc_n-N(BP49)))&gt;0)+(1-nTP_HT*BN49)*(nTP_Lo_n&gt;N(BS49)))-((1-nTP_HT*BN49)*(nTP_Lo_n=nTP_Hi_n)*(nTP_Lo_n=N(BR49))*(N(BR49)=N(BS49))))))</f>
        <v>0</v>
      </c>
      <c r="CD49" s="22">
        <f>IF(CB49=0,0,SUMPRODUCT((nTP_CandKey=BX49)*nTP_Exact*((nTP_HT*BN49*((nTP_OK*BO49*(nTP_UTC_n-N(BQ49))+(1-nTP_OK*BO49)*(nTP_Loc_n-N(BP49)))&lt;=0)+(1-nTP_HT*BN49)*(nTP_Hi_n&lt;N(BR49)))+((1-nTP_HT*BN49)*(nTP_Lo_n=nTP_Hi_n)*(nTP_Lo_n=N(BR49))*(N(BR49)=N(BS49))))))</f>
        <v>0</v>
      </c>
      <c r="CE49" s="22">
        <f>IF(CB49=0,0,SUMPRODUCT((nTP_CandKey=BX49)*(nTP_Err="")*(1-nTP_Exact)*((nTP_HT*BN49*((nTP_OK*BO49*(nTP_UTC_n-N(BQ49))+(1-nTP_OK*BO49)*(nTP_Loc_n-N(BP49)))&lt;=0)+(1-nTP_HT*BN49)*(nTP_Hi_n&lt;N(BR49)))+((1-nTP_HT*BN49)*(nTP_Lo_n=nTP_Hi_n)*(nTP_Lo_n=N(BR49))*(N(BR49)=N(BS49))))))</f>
        <v>0</v>
      </c>
      <c r="CF49" s="22">
        <f>IF(CD49=0,0,SUMPRODUCT(MAX((nTP_CandKey=BX49)*nTP_Exact*((nTP_HT*BN49*((nTP_OK*BO49*(nTP_UTC_n-N(BQ49))+(1-nTP_OK*BO49)*(nTP_Loc_n-N(BP49)))&lt;=0)+(1-nTP_HT*BN49)*(nTP_Hi_n&lt;N(BR49)))+((1-nTP_HT*BN49)*(nTP_Lo_n=nTP_Hi_n)*(nTP_Lo_n=N(BR49))*(N(BR49)=N(BS49))))*nTP_Lo_n)))</f>
        <v>0</v>
      </c>
      <c r="CG49" s="22">
        <f>IF(CD49=0,0,SUMPRODUCT((nTP_CandKey=BX49)*nTP_Exact*((nTP_HT*BN49*((nTP_OK*BO49*(nTP_UTC_n-N(BQ49))+(1-nTP_OK*BO49)*(nTP_Loc_n-N(BP49)))&lt;=0)+(1-nTP_HT*BN49)*(nTP_Hi_n&lt;N(BR49)))+((1-nTP_HT*BN49)*(nTP_Lo_n=nTP_Hi_n)*(nTP_Lo_n=N(BR49))*(N(BR49)=N(BS49))))*(nTP_Lo_n=CF49)))</f>
        <v>0</v>
      </c>
      <c r="CH49" s="22">
        <f>IF(CD49=0,0,SUMPRODUCT((nTP_CandKey=BX49)*nTP_Exact*((nTP_HT*BN49*((nTP_OK*BO49*(nTP_UTC_n-N(BQ49))+(1-nTP_OK*BO49)*(nTP_Loc_n-N(BP49)))&lt;=0)+(1-nTP_HT*BN49)*(nTP_Hi_n&lt;N(BR49)))+((1-nTP_HT*BN49)*(nTP_Lo_n=nTP_Hi_n)*(nTP_Lo_n=N(BR49))*(N(BR49)=N(BS49))))*(1-nTP_HT)*(nTP_Lo_n=CF49)))</f>
        <v>0</v>
      </c>
      <c r="CI49" s="22">
        <f>IF(CD49=0,0,SUMPRODUCT(MAX((nTP_CandKey=BX49)*nTP_Exact*((nTP_HT*BN49*((nTP_OK*BO49*(nTP_UTC_n-N(BQ49))+(1-nTP_OK*BO49)*(nTP_Loc_n-N(BP49)))&lt;=0)+(1-nTP_HT*BN49)*(nTP_Hi_n&lt;N(BR49)))+((1-nTP_HT*BN49)*(nTP_Lo_n=nTP_Hi_n)*(nTP_Lo_n=N(BR49))*(N(BR49)=N(BS49))))*(1-nTP_HT)*nTP_Lo_n)))</f>
        <v>0</v>
      </c>
      <c r="CJ49" s="22">
        <f>IF(CD49=0,0,SUMPRODUCT(MAX((nTP_CandKey=BX49)*nTP_Exact*((nTP_HT*BN49*((nTP_OK*BO49*(nTP_UTC_n-N(BQ49))+(1-nTP_OK*BO49)*(nTP_Loc_n-N(BP49)))&lt;=0)+(1-nTP_HT*BN49)*(nTP_Hi_n&lt;N(BR49)))+((1-nTP_HT*BN49)*(nTP_Lo_n=nTP_Hi_n)*(nTP_Lo_n=N(BR49))*(N(BR49)=N(BS49))))*nTP_HT*nTP_OK*nTP_UTC_n)))</f>
        <v>0</v>
      </c>
      <c r="CK49" s="22">
        <f>IF(CJ49=0,0,SUMPRODUCT((nTP_CandKey=BX49)*nTP_Exact*((nTP_HT*BN49*((nTP_OK*BO49*(nTP_UTC_n-N(BQ49))+(1-nTP_OK*BO49)*(nTP_Loc_n-N(BP49)))&lt;=0)+(1-nTP_HT*BN49)*(nTP_Hi_n&lt;N(BR49)))+((1-nTP_HT*BN49)*(nTP_Lo_n=nTP_Hi_n)*(nTP_Lo_n=N(BR49))*(N(BR49)=N(BS49))))*nTP_HT*nTP_OK*(nTP_UTC_n=CJ49)))</f>
        <v>0</v>
      </c>
      <c r="CL49" s="22">
        <f>IF(CK49&lt;&gt;1,0,SUMPRODUCT((nTP_CandKey=BX49)*nTP_Exact*((nTP_HT*BN49*((nTP_OK*BO49*(nTP_UTC_n-N(BQ49))+(1-nTP_OK*BO49)*(nTP_Loc_n-N(BP49)))&lt;=0)+(1-nTP_HT*BN49)*(nTP_Hi_n&lt;N(BR49)))+((1-nTP_HT*BN49)*(nTP_Lo_n=nTP_Hi_n)*(nTP_Lo_n=N(BR49))*(N(BR49)=N(BS49))))*nTP_HT*nTP_OK*(nTP_UTC_n=CJ49)*nTP_Loc_n))</f>
        <v>0</v>
      </c>
      <c r="CM49" s="22">
        <f>IF(CK49&lt;&gt;1,0,SUMPRODUCT((nTP_CandKey=BX49)*nTP_Exact*((nTP_HT*BN49*((nTP_OK*BO49*(nTP_UTC_n-N(BQ49))+(1-nTP_OK*BO49)*(nTP_Loc_n-N(BP49)))&lt;=0)+(1-nTP_HT*BN49)*(nTP_Hi_n&lt;N(BR49)))+((1-nTP_HT*BN49)*(nTP_Lo_n=nTP_Hi_n)*(nTP_Lo_n=N(BR49))*(N(BR49)=N(BS49))))*nTP_HT*nTP_OK*(nTP_UTC_n=CJ49)*nTP_Lo_n))</f>
        <v>0</v>
      </c>
      <c r="CN49" s="22">
        <f>IF(CD49=0,0,SUMPRODUCT(MAX((nTP_CandKey=BX49)*nTP_Exact*((nTP_HT*BN49*((nTP_OK*BO49*(nTP_UTC_n-N(BQ49))+(1-nTP_OK*BO49)*(nTP_Loc_n-N(BP49)))&lt;=0)+(1-nTP_HT*BN49)*(nTP_Hi_n&lt;N(BR49)))+((1-nTP_HT*BN49)*(nTP_Lo_n=nTP_Hi_n)*(nTP_Lo_n=N(BR49))*(N(BR49)=N(BS49))))*nTP_HT*(1-nTP_OK)*nTP_Loc_n)))</f>
        <v>0</v>
      </c>
      <c r="CO49" s="22">
        <f>IF(CN49=0,0,SUMPRODUCT((nTP_CandKey=BX49)*nTP_Exact*((nTP_HT*BN49*((nTP_OK*BO49*(nTP_UTC_n-N(BQ49))+(1-nTP_OK*BO49)*(nTP_Loc_n-N(BP49)))&lt;=0)+(1-nTP_HT*BN49)*(nTP_Hi_n&lt;N(BR49)))+((1-nTP_HT*BN49)*(nTP_Lo_n=nTP_Hi_n)*(nTP_Lo_n=N(BR49))*(N(BR49)=N(BS49))))*nTP_HT*(1-nTP_OK)*(nTP_Loc_n=CN49)))</f>
        <v>0</v>
      </c>
      <c r="CP49" s="22">
        <f>IF(CO49&lt;&gt;1,0,SUMPRODUCT((nTP_CandKey=BX49)*nTP_Exact*((nTP_HT*BN49*((nTP_OK*BO49*(nTP_UTC_n-N(BQ49))+(1-nTP_OK*BO49)*(nTP_Loc_n-N(BP49)))&lt;=0)+(1-nTP_HT*BN49)*(nTP_Hi_n&lt;N(BR49)))+((1-nTP_HT*BN49)*(nTP_Lo_n=nTP_Hi_n)*(nTP_Lo_n=N(BR49))*(N(BR49)=N(BS49))))*nTP_HT*(1-nTP_OK)*(nTP_Loc_n=CN49)*nTP_Lo_n))</f>
        <v>0</v>
      </c>
      <c r="CQ49" s="22">
        <f>IF(CD49=0,0,SUMPRODUCT(MAX((nTP_CandKey=BX49)*nTP_Exact*((nTP_HT*BN49*((nTP_OK*BO49*(nTP_UTC_n-N(BQ49))+(1-nTP_OK*BO49)*(nTP_Loc_n-N(BP49)))&lt;=0)+(1-nTP_HT*BN49)*(nTP_Hi_n&lt;N(BR49)))+((1-nTP_HT*BN49)*(nTP_Lo_n=nTP_Hi_n)*(nTP_Lo_n=N(BR49))*(N(BR49)=N(BS49))))*nTP_HT*nTP_OK*nTP_Loc_n)))</f>
        <v>0</v>
      </c>
      <c r="CR49" s="22">
        <f t="shared" si="91"/>
        <v>0</v>
      </c>
      <c r="CS49" s="22">
        <f>IF(CR49=0,0,IF(CR49=1,MATCH(1,INDEX((nTP_CandKey=BX49)*nTP_Exact*((nTP_HT*BN49*((nTP_OK*BO49*(nTP_UTC_n-N(BQ49))+(1-nTP_OK*BO49)*(nTP_Loc_n-N(BP49)))&lt;=0)+(1-nTP_HT*BN49)*(nTP_Hi_n&lt;N(BR49)))+((1-nTP_HT*BN49)*(nTP_Lo_n=nTP_Hi_n)*(nTP_Lo_n=N(BR49))*(N(BR49)=N(BS49))))*(1-nTP_HT)*(nTP_Lo_n=CF49),0),0),IF(CR49=2,MATCH(1,INDEX((nTP_CandKey=BX49)*nTP_Exact*((nTP_HT*BN49*((nTP_OK*BO49*(nTP_UTC_n-N(BQ49))+(1-nTP_OK*BO49)*(nTP_Loc_n-N(BP49)))&lt;=0)+(1-nTP_HT*BN49)*(nTP_Hi_n&lt;N(BR49)))+((1-nTP_HT*BN49)*(nTP_Lo_n=nTP_Hi_n)*(nTP_Lo_n=N(BR49))*(N(BR49)=N(BS49))))*nTP_HT*nTP_OK*(nTP_UTC_n=CJ49),0),0),MATCH(1,INDEX((nTP_CandKey=BX49)*nTP_Exact*((nTP_HT*BN49*((nTP_OK*BO49*(nTP_UTC_n-N(BQ49))+(1-nTP_OK*BO49)*(nTP_Loc_n-N(BP49)))&lt;=0)+(1-nTP_HT*BN49)*(nTP_Hi_n&lt;N(BR49)))+((1-nTP_HT*BN49)*(nTP_Lo_n=nTP_Hi_n)*(nTP_Lo_n=N(BR49))*(N(BR49)=N(BS49))))*nTP_HT*(1-nTP_OK)*(nTP_Loc_n=CN49),0),0))))</f>
        <v>0</v>
      </c>
      <c r="CT49" s="22">
        <f>IF(CS49=0,0,INDEX(nTP_Lo_n,CS49))</f>
        <v>0</v>
      </c>
      <c r="CU49" s="22">
        <f>IF(CS49=0,0,SUMPRODUCT((nTP_CandKey=BX49)*(nTP_Err="")*(1-nTP_Exact)*((nTP_HT*BN49*((nTP_OK*BO49*(nTP_UTC_n-N(BQ49))+(1-nTP_OK*BO49)*(nTP_Loc_n-N(BP49)))&lt;=0)+(1-nTP_HT*BN49)*(nTP_Hi_n&lt;N(BR49)))+((1-nTP_HT*BN49)*(nTP_Lo_n=nTP_Hi_n)*(nTP_Lo_n=N(BR49))*(N(BR49)=N(BS49))))*(nTP_Hi_n&gt;=CT49)))</f>
        <v>0</v>
      </c>
      <c r="CV49" s="21" t="str">
        <f t="shared" si="92"/>
        <v/>
      </c>
      <c r="CW49" s="21" t="str">
        <f>IF(AND(BG49=1,CB49=1,CV49="",CS49&gt;0),INDEX(nTP_Record_ID,CS49)&amp;"","")</f>
        <v/>
      </c>
      <c r="CX49" s="21" t="str">
        <f>IF(OR(CV49="",BG49=0),"",IF(CV49="none","an administration record (last dose before onset)",IF(CV49="uncertain","the anchor record: "&amp;INDEX(nTP_Record_ID,MATCH(1,INDEX((nTP_CandKey=BX49)*(nTP_Err="")*(1-(nTP_HT*BN49*((nTP_OK*BO49*(nTP_UTC_n-N(BQ49))+(1-nTP_OK*BO49)*(nTP_Loc_n-N(BP49)))&lt;=0)+(1-nTP_HT*BN49)*(nTP_Hi_n&lt;N(BR49)))-(nTP_HT*BN49*((nTP_OK*BO49*(nTP_UTC_n-N(BQ49))+(1-nTP_OK*BO49)*(nTP_Loc_n-N(BP49)))&gt;0)+(1-nTP_HT*BN49)*(nTP_Lo_n&gt;N(BS49)))-((1-nTP_HT*BN49)*(nTP_Lo_n=nTP_Hi_n)*(nTP_Lo_n=N(BR49))*(N(BR49)=N(BS49)))),0),0))&amp;IF(CC49&gt;1," and "&amp;(CC49-1)&amp;" more","")&amp;" may fall before or after the end point, so the last dose cannot be identified from the recorded dates",IF(CV49="noneligible","the anchor record: no administration with an exact date is recorded at or before the end point",IF(CV49="tie","the anchor record: the order of the latest administrations cannot be told from the recorded dates and times","the anchor record: partial-date administration "&amp;INDEX(nTP_Record_ID,MATCH(1,INDEX((nTP_CandKey=BX49)*(nTP_Err="")*(1-nTP_Exact)*((nTP_HT*BN49*((nTP_OK*BO49*(nTP_UTC_n-N(BQ49))+(1-nTP_OK*BO49)*(nTP_Loc_n-N(BP49)))&lt;=0)+(1-nTP_HT*BN49)*(nTP_Hi_n&lt;N(BR49)))+((1-nTP_HT*BN49)*(nTP_Lo_n=nTP_Hi_n)*(nTP_Lo_n=N(BR49))*(N(BR49)=N(BS49))))*(nTP_Hi_n&gt;=CT49),0),0))&amp;" could be the last dose before the end point")))))</f>
        <v/>
      </c>
      <c r="CY49" s="22">
        <f>IF(OR(AW49=1,AJ49=""),0,IFERROR(MATCH(AX49&amp;"|"&amp;AJ49,nTP_Key,0),0))</f>
        <v>33</v>
      </c>
      <c r="CZ49" s="21">
        <f>IF(CY49=0,0,INDEX(nTP_Dup,CY49))</f>
        <v>1</v>
      </c>
      <c r="DA49" s="21" t="str">
        <f>IF(CY49=0,"",INDEX(nTP_Record_Type,CY49))</f>
        <v>EXPOSURE_START</v>
      </c>
      <c r="DB49" s="21" t="str">
        <f>IF(CY49=0,"",INDEX(nTP_Precision,CY49))</f>
        <v>TIMESTAMP</v>
      </c>
      <c r="DC49" s="21" t="str">
        <f>IF(CY49=0,"",INDEX(nTP_Err,CY49))</f>
        <v/>
      </c>
      <c r="DD49" s="21">
        <f>IF(CY49=0,0,INDEX(nTP_HT,CY49))</f>
        <v>1</v>
      </c>
      <c r="DE49" s="21">
        <f>IF(CY49=0,0,INDEX(nTP_OK,CY49))</f>
        <v>1</v>
      </c>
      <c r="DF49" s="21">
        <f>IF(CY49=0,"",INDEX(nTP_Loc,CY49))</f>
        <v>66286580</v>
      </c>
      <c r="DG49" s="21">
        <f>IF(CY49=0,"",INDEX(nTP_UTC,CY49))</f>
        <v>66286880</v>
      </c>
      <c r="DH49" s="21">
        <f>IF(CY49=0,"",INDEX(nTP_Lo,CY49))</f>
        <v>46032</v>
      </c>
      <c r="DI49" s="21">
        <f>IF(CY49=0,"",INDEX(nTP_Hi,CY49))</f>
        <v>46032</v>
      </c>
      <c r="DJ49" s="21" t="str">
        <f>IF(CY49=0,"",INDEX(nTP_Original_Text,CY49))</f>
        <v>Drug B IV given earlier this morning via same cannula</v>
      </c>
      <c r="DK49" s="21" t="str">
        <f>IF(CY49=0,"",INDEX(nTP_Source,CY49))</f>
        <v>Follow-up, version 2</v>
      </c>
      <c r="DL49" s="22">
        <f t="shared" si="93"/>
        <v>1</v>
      </c>
      <c r="DM49" s="21" t="str">
        <f t="shared" si="94"/>
        <v/>
      </c>
      <c r="DN49" s="21" t="str">
        <f t="shared" si="95"/>
        <v/>
      </c>
      <c r="DO49" s="21" t="str">
        <f t="shared" si="96"/>
        <v/>
      </c>
      <c r="DP49" s="21" t="str">
        <f t="shared" si="97"/>
        <v/>
      </c>
      <c r="DQ49" s="21" t="str">
        <f t="shared" si="98"/>
        <v>C1</v>
      </c>
      <c r="DR49" s="22">
        <f>IF(OR(DQ49="",I49=""),0,IF(ISNA(MATCH(I49,nLIST_Mode,0)),1,IF(AND(I49="C1",DQ49&lt;&gt;"C1"),1,IF(AND(I49="C2",DQ49="C4"),1,0))))</f>
        <v>0</v>
      </c>
      <c r="DS49" s="21" t="str">
        <f t="shared" si="99"/>
        <v>C1</v>
      </c>
      <c r="DT49" s="22">
        <f t="shared" si="100"/>
        <v>0</v>
      </c>
      <c r="DU49" s="21" t="str">
        <f>IF(DT49=0,"",IF(COUNTIFS(nTP_Case_Key,AX49,nTP_Record_Type,"MILESTONE:INTERVENTION",nTP_Err,"E_INVALID_DATE")&gt;0,"; E_INVALID_DATE","")&amp;IF(COUNTIFS(nTP_Case_Key,AX49,nTP_Record_Type,"MILESTONE:INTERVENTION",nTP_Err,"E_REVERSED_BOUNDS")&gt;0,"; E_REVERSED_BOUNDS","")&amp;IF(COUNTIFS(nTP_Case_Key,AX49,nTP_Record_Type,"MILESTONE:INTERVENTION",nTP_Err,"E_MISSING_INPUT")&gt;0,"; E_MISSING_INPUT","")&amp;IF(COUNTIFS(nTP_Case_Key,AX49,nTP_Record_Type,"MILESTONE:INTERVENTION",nTP_Err,"E_INVALID_UNIT")&gt;0,"; E_INVALID_UNIT",""))</f>
        <v/>
      </c>
      <c r="DV49" s="22">
        <f>IF(DT49=0,0,SUMPRODUCT((nMS_CaseKey=AX49)*(nMS_Type="INTERVENTION")*nMS_Undated))</f>
        <v>0</v>
      </c>
      <c r="DW49" s="21" t="str">
        <f t="shared" si="101"/>
        <v/>
      </c>
      <c r="DX49" s="21" t="str">
        <f t="shared" si="102"/>
        <v/>
      </c>
      <c r="DY49" s="22">
        <f t="shared" si="103"/>
        <v>0</v>
      </c>
      <c r="DZ49" s="21">
        <f t="shared" si="104"/>
        <v>55</v>
      </c>
      <c r="EA49" s="21" t="str">
        <f t="shared" si="105"/>
        <v/>
      </c>
      <c r="EB49" s="21" t="str">
        <f t="shared" si="106"/>
        <v/>
      </c>
      <c r="EC49" s="21" t="str">
        <f t="shared" si="107"/>
        <v/>
      </c>
      <c r="ED49" s="22">
        <f t="shared" si="108"/>
        <v>0</v>
      </c>
      <c r="EE49" s="22">
        <f t="shared" si="109"/>
        <v>0</v>
      </c>
      <c r="EF49" s="21" t="str">
        <f>IF(ED49=0,"",IF(OR(NOT(ISNUMBER(L49)),NOT(ISNUMBER(M49))),"I_APPROXIMATE_NOT_COMPARED",IF(AND(N49&lt;&gt;"",ISNA(MATCH(N49,nLIST_ReportedUnit,0))),"E_INVALID_UNIT",IF(N49="","E_MISSING_INPUT",IF(L49&gt;M49,"E_REVERSED_BOUNDS",IF(OR(N49="weeks",N49="months",N49="years"),"I_APPROXIMATE_NOT_COMPARED",IF(DX49&lt;&gt;"","",IF(EE49=0,"I_APPROXIMATE_NOT_COMPARED",IF(AND(L49*EE49&lt;=IF(DS49="C4",EC49,IF(DS49="C1",DZ49,EA49)),M49*EE49&gt;=IF(DS49="C4",EB49,IF(DS49="C1",DZ49,EA49))),"OVERLAP","W_REPORTED_TIMING_CONFLICT")))))))))</f>
        <v/>
      </c>
      <c r="EG49" s="21" t="str">
        <f t="shared" si="110"/>
        <v/>
      </c>
      <c r="EH49" s="21" t="str">
        <f t="shared" si="111"/>
        <v/>
      </c>
      <c r="EI49" s="22">
        <f t="shared" si="112"/>
        <v>1</v>
      </c>
      <c r="EJ49" s="22">
        <f t="shared" si="113"/>
        <v>0</v>
      </c>
      <c r="EK49" s="22">
        <f t="shared" si="114"/>
        <v>0</v>
      </c>
      <c r="EL49" s="28" t="str">
        <f t="shared" si="115"/>
        <v/>
      </c>
      <c r="EM49" s="28" t="str">
        <f t="shared" si="116"/>
        <v/>
      </c>
      <c r="EN49" s="21" t="str">
        <f t="shared" si="117"/>
        <v/>
      </c>
      <c r="EO49" s="22">
        <f>IF(OR(DT49=0,DX49&lt;&gt;""),0,SUMPRODUCT((nTP_Case_Key=AX49)*(nTP_Record_Type="MILESTONE:INTERVENTION")*(nTP_Err="")*(nTP_HT*DD49*BN49*(nTP_OK*DE49*(nTP_UTC_n&gt;=N(DG49))+(1-nTP_OK*DE49)*(nTP_Loc_n&gt;=N(DF49)))*(nTP_OK*BO49*(nTP_UTC_n&lt;=N(BQ49))+(1-nTP_OK*BO49)*(nTP_Loc_n&lt;=N(BP49)))+(1-nTP_HT*DD49*BN49)*(nTP_Hi_n&gt;=N(DH49))*(nTP_Lo_n&lt;=N(BS49)))))</f>
        <v>0</v>
      </c>
      <c r="EP49" s="22">
        <f>IF(OR(DT49=0,DX49&lt;&gt;""),0,SUMPRODUCT((nTP_Case_Key=AX49)*(nTP_Role="treatment of the event")*((nTP_Record_Type="EXPOSURE_START")+(nTP_Record_Type="ADMINISTRATION"))*(nTP_Err="")*(nTP_HT*DD49*BN49*(nTP_OK*DE49*(nTP_UTC_n&gt;=N(DG49))+(1-nTP_OK*DE49)*(nTP_Loc_n&gt;=N(DF49)))*(nTP_OK*BO49*(nTP_UTC_n&lt;=N(BQ49))+(1-nTP_OK*BO49)*(nTP_Loc_n&lt;=N(BP49)))+(1-nTP_HT*DD49*BN49)*(nTP_Hi_n&gt;=N(DH49))*(nTP_Lo_n&lt;=N(BS49)))))</f>
        <v>0</v>
      </c>
      <c r="EQ49" s="22">
        <f>IF(EO49&lt;1,0,IFERROR(_xlfn.AGGREGATE(15,6,nTP_RowN/((nTP_Case_Key=AX49)*(nTP_Record_Type="MILESTONE:INTERVENTION")*(nTP_Err="")*(nTP_HT*DD49*BN49*(nTP_OK*DE49*(nTP_UTC_n&gt;=N(DG49))+(1-nTP_OK*DE49)*(nTP_Loc_n&gt;=N(DF49)))*(nTP_OK*BO49*(nTP_UTC_n&lt;=N(BQ49))+(1-nTP_OK*BO49)*(nTP_Loc_n&lt;=N(BP49)))+(1-nTP_HT*DD49*BN49)*(nTP_Hi_n&gt;=N(DH49))*(nTP_Lo_n&lt;=N(BS49)))),1),0))</f>
        <v>0</v>
      </c>
      <c r="ER49" s="22">
        <f>IF(EO49&lt;2,0,IFERROR(_xlfn.AGGREGATE(15,6,nTP_RowN/((nTP_Case_Key=AX49)*(nTP_Record_Type="MILESTONE:INTERVENTION")*(nTP_Err="")*(nTP_HT*DD49*BN49*(nTP_OK*DE49*(nTP_UTC_n&gt;=N(DG49))+(1-nTP_OK*DE49)*(nTP_Loc_n&gt;=N(DF49)))*(nTP_OK*BO49*(nTP_UTC_n&lt;=N(BQ49))+(1-nTP_OK*BO49)*(nTP_Loc_n&lt;=N(BP49)))+(1-nTP_HT*DD49*BN49)*(nTP_Hi_n&gt;=N(DH49))*(nTP_Lo_n&lt;=N(BS49)))),2),0))</f>
        <v>0</v>
      </c>
      <c r="ES49" s="22">
        <f>IF(EO49&lt;3,0,IFERROR(_xlfn.AGGREGATE(15,6,nTP_RowN/((nTP_Case_Key=AX49)*(nTP_Record_Type="MILESTONE:INTERVENTION")*(nTP_Err="")*(nTP_HT*DD49*BN49*(nTP_OK*DE49*(nTP_UTC_n&gt;=N(DG49))+(1-nTP_OK*DE49)*(nTP_Loc_n&gt;=N(DF49)))*(nTP_OK*BO49*(nTP_UTC_n&lt;=N(BQ49))+(1-nTP_OK*BO49)*(nTP_Loc_n&lt;=N(BP49)))+(1-nTP_HT*DD49*BN49)*(nTP_Hi_n&gt;=N(DH49))*(nTP_Lo_n&lt;=N(BS49)))),3),0))</f>
        <v>0</v>
      </c>
      <c r="ET49" s="22">
        <f>IF(EP49&lt;1,0,IFERROR(_xlfn.AGGREGATE(15,6,nTP_RowN/((nTP_Case_Key=AX49)*(nTP_Role="treatment of the event")*((nTP_Record_Type="EXPOSURE_START")+(nTP_Record_Type="ADMINISTRATION"))*(nTP_Err="")*(nTP_HT*DD49*BN49*(nTP_OK*DE49*(nTP_UTC_n&gt;=N(DG49))+(1-nTP_OK*DE49)*(nTP_Loc_n&gt;=N(DF49)))*(nTP_OK*BO49*(nTP_UTC_n&lt;=N(BQ49))+(1-nTP_OK*BO49)*(nTP_Loc_n&lt;=N(BP49)))+(1-nTP_HT*DD49*BN49)*(nTP_Hi_n&gt;=N(DH49))*(nTP_Lo_n&lt;=N(BS49)))),1),0))</f>
        <v>0</v>
      </c>
      <c r="EU49" s="22">
        <f>IF(EP49&lt;2,0,IFERROR(_xlfn.AGGREGATE(15,6,nTP_RowN/((nTP_Case_Key=AX49)*(nTP_Role="treatment of the event")*((nTP_Record_Type="EXPOSURE_START")+(nTP_Record_Type="ADMINISTRATION"))*(nTP_Err="")*(nTP_HT*DD49*BN49*(nTP_OK*DE49*(nTP_UTC_n&gt;=N(DG49))+(1-nTP_OK*DE49)*(nTP_Loc_n&gt;=N(DF49)))*(nTP_OK*BO49*(nTP_UTC_n&lt;=N(BQ49))+(1-nTP_OK*BO49)*(nTP_Loc_n&lt;=N(BP49)))+(1-nTP_HT*DD49*BN49)*(nTP_Hi_n&gt;=N(DH49))*(nTP_Lo_n&lt;=N(BS49)))),2),0))</f>
        <v>0</v>
      </c>
      <c r="EV49" s="22">
        <f>IF(EP49&lt;3,0,IFERROR(_xlfn.AGGREGATE(15,6,nTP_RowN/((nTP_Case_Key=AX49)*(nTP_Role="treatment of the event")*((nTP_Record_Type="EXPOSURE_START")+(nTP_Record_Type="ADMINISTRATION"))*(nTP_Err="")*(nTP_HT*DD49*BN49*(nTP_OK*DE49*(nTP_UTC_n&gt;=N(DG49))+(1-nTP_OK*DE49)*(nTP_Loc_n&gt;=N(DF49)))*(nTP_OK*BO49*(nTP_UTC_n&lt;=N(BQ49))+(1-nTP_OK*BO49)*(nTP_Loc_n&lt;=N(BP49)))+(1-nTP_HT*DD49*BN49)*(nTP_Hi_n&gt;=N(DH49))*(nTP_Lo_n&lt;=N(BS49)))),3),0))</f>
        <v>0</v>
      </c>
      <c r="EW49" s="22">
        <f>IF(CE49&lt;1,0,IFERROR(_xlfn.AGGREGATE(15,6,nTP_RowN/((nTP_CandKey=BX49)*(nTP_Err="")*(1-nTP_Exact)*((nTP_HT*BN49*((nTP_OK*BO49*(nTP_UTC_n-N(BQ49))+(1-nTP_OK*BO49)*(nTP_Loc_n-N(BP49)))&lt;=0)+(1-nTP_HT*BN49)*(nTP_Hi_n&lt;N(BR49)))+((1-nTP_HT*BN49)*(nTP_Lo_n=nTP_Hi_n)*(nTP_Lo_n=N(BR49))*(N(BR49)=N(BS49))))),1),0))</f>
        <v>0</v>
      </c>
      <c r="EX49" s="22">
        <f>IF(CE49&lt;2,0,IFERROR(_xlfn.AGGREGATE(15,6,nTP_RowN/((nTP_CandKey=BX49)*(nTP_Err="")*(1-nTP_Exact)*((nTP_HT*BN49*((nTP_OK*BO49*(nTP_UTC_n-N(BQ49))+(1-nTP_OK*BO49)*(nTP_Loc_n-N(BP49)))&lt;=0)+(1-nTP_HT*BN49)*(nTP_Hi_n&lt;N(BR49)))+((1-nTP_HT*BN49)*(nTP_Lo_n=nTP_Hi_n)*(nTP_Lo_n=N(BR49))*(N(BR49)=N(BS49))))),2),0))</f>
        <v>0</v>
      </c>
      <c r="EY49" s="22">
        <f>IF(CE49&lt;3,0,IFERROR(_xlfn.AGGREGATE(15,6,nTP_RowN/((nTP_CandKey=BX49)*(nTP_Err="")*(1-nTP_Exact)*((nTP_HT*BN49*((nTP_OK*BO49*(nTP_UTC_n-N(BQ49))+(1-nTP_OK*BO49)*(nTP_Loc_n-N(BP49)))&lt;=0)+(1-nTP_HT*BN49)*(nTP_Hi_n&lt;N(BR49)))+((1-nTP_HT*BN49)*(nTP_Lo_n=nTP_Hi_n)*(nTP_Lo_n=N(BR49))*(N(BR49)=N(BS49))))),3),0))</f>
        <v>0</v>
      </c>
      <c r="EZ49" s="21" t="str">
        <f>IF(EO49=0,"",MID(IF(EQ49&gt;0,"; "&amp;INDEX(nTP_Record_ID,EQ49)&amp;IF(INDEX(nTP_Label,EQ49)="",""," ("&amp;INDEX(nTP_Label,EQ49)&amp;")"),"")&amp;IF(ER49&gt;0,"; "&amp;INDEX(nTP_Record_ID,ER49)&amp;IF(INDEX(nTP_Label,ER49)="",""," ("&amp;INDEX(nTP_Label,ER49)&amp;")"),"")&amp;IF(ES49&gt;0,"; "&amp;INDEX(nTP_Record_ID,ES49)&amp;IF(INDEX(nTP_Label,ES49)="",""," ("&amp;INDEX(nTP_Label,ES49)&amp;")"),"")&amp;IF(EO49&gt;3,"; and "&amp;(EO49-3)&amp;" more",""),3,999))</f>
        <v/>
      </c>
      <c r="FA49" s="21" t="str">
        <f>IF(EO49=0,"",MID(IF(EQ49&gt;0,"; "&amp;INDEX(nTP_Record_ID,EQ49),"")&amp;IF(ER49&gt;0,"; "&amp;INDEX(nTP_Record_ID,ER49),"")&amp;IF(ES49&gt;0,"; "&amp;INDEX(nTP_Record_ID,ES49),"")&amp;IF(EO49&gt;3,"; and "&amp;(EO49-3)&amp;" more",""),3,999))</f>
        <v/>
      </c>
      <c r="FB49" s="21" t="str">
        <f>IF(EP49=0,"",MID(IF(ET49&gt;0,"; "&amp;INDEX(nTP_Record_ID,ET49)&amp;IF(INDEX(nTP_Label,ET49)="",""," ("&amp;INDEX(nTP_Label,ET49)&amp;")"),"")&amp;IF(EU49&gt;0,"; "&amp;INDEX(nTP_Record_ID,EU49)&amp;IF(INDEX(nTP_Label,EU49)="",""," ("&amp;INDEX(nTP_Label,EU49)&amp;")"),"")&amp;IF(EV49&gt;0,"; "&amp;INDEX(nTP_Record_ID,EV49)&amp;IF(INDEX(nTP_Label,EV49)="",""," ("&amp;INDEX(nTP_Label,EV49)&amp;")"),"")&amp;IF(EP49&gt;3,"; and "&amp;(EP49-3)&amp;" more",""),3,999))</f>
        <v/>
      </c>
      <c r="FC49" s="21" t="str">
        <f>IF(CE49=0,"",MID(IF(EW49&gt;0,"; "&amp;INDEX(nTP_Record_ID,EW49),"")&amp;IF(EX49&gt;0,"; "&amp;INDEX(nTP_Record_ID,EX49),"")&amp;IF(EY49&gt;0,"; "&amp;INDEX(nTP_Record_ID,EY49),"")&amp;IF(CE49&gt;3,"; and "&amp;(CE49-3)&amp;" more",""),3,999))</f>
        <v/>
      </c>
      <c r="FD49" s="22">
        <f t="shared" si="118"/>
        <v>0</v>
      </c>
      <c r="FE49" s="22">
        <f t="shared" si="119"/>
        <v>0</v>
      </c>
      <c r="FF49" s="22">
        <f t="shared" si="120"/>
        <v>0</v>
      </c>
      <c r="FG49" s="22">
        <f t="shared" si="121"/>
        <v>0</v>
      </c>
      <c r="FH49" s="22">
        <f t="shared" si="122"/>
        <v>0</v>
      </c>
      <c r="FI49" s="22">
        <f t="shared" si="123"/>
        <v>0</v>
      </c>
      <c r="FJ49" s="22">
        <f t="shared" si="124"/>
        <v>0</v>
      </c>
      <c r="FK49" s="22">
        <f t="shared" si="125"/>
        <v>0</v>
      </c>
    </row>
    <row r="50" spans="1:167" x14ac:dyDescent="0.2">
      <c r="A50" s="9" t="s">
        <v>1137</v>
      </c>
      <c r="B50" s="9" t="s">
        <v>297</v>
      </c>
      <c r="C50" s="11">
        <v>2</v>
      </c>
      <c r="D50" s="9" t="s">
        <v>896</v>
      </c>
      <c r="E50" s="16" t="s">
        <v>57</v>
      </c>
      <c r="F50" s="9" t="s">
        <v>1138</v>
      </c>
      <c r="G50" s="9" t="s">
        <v>1136</v>
      </c>
      <c r="H50" s="9" t="s">
        <v>1128</v>
      </c>
      <c r="I50" s="16" t="s">
        <v>59</v>
      </c>
      <c r="J50" s="16"/>
      <c r="K50" s="9"/>
      <c r="L50" s="16"/>
      <c r="M50" s="16"/>
      <c r="N50" s="16"/>
      <c r="O50" s="9"/>
      <c r="P50" s="14"/>
      <c r="Q50" s="14"/>
      <c r="R50" s="9"/>
      <c r="S50" s="9"/>
      <c r="T50" s="21" t="str">
        <f t="shared" si="63"/>
        <v>25 minutes</v>
      </c>
      <c r="U50" s="21" t="str">
        <f t="shared" si="64"/>
        <v>25 minutes</v>
      </c>
      <c r="V50" s="21">
        <f t="shared" si="65"/>
        <v>25</v>
      </c>
      <c r="W50" s="21" t="str">
        <f t="shared" si="66"/>
        <v/>
      </c>
      <c r="X50" s="21" t="str">
        <f t="shared" si="67"/>
        <v/>
      </c>
      <c r="Y50" s="21" t="str">
        <f t="shared" si="68"/>
        <v>minutes</v>
      </c>
      <c r="Z50" s="21" t="str">
        <f t="shared" si="69"/>
        <v>C1</v>
      </c>
      <c r="AA50" s="21" t="str">
        <f t="shared" si="70"/>
        <v>AFTER</v>
      </c>
      <c r="AB50" s="21" t="str">
        <f t="shared" si="71"/>
        <v/>
      </c>
      <c r="AC50" s="21" t="str">
        <f t="shared" si="72"/>
        <v/>
      </c>
      <c r="AD50" s="21" t="str">
        <f>IF(AW50=1,"",MID(IF(ISNUMBER(SEARCH("E_INVALID_DATE",EG50))," | E_INVALID_DATE: "&amp;SUBSTITUTE(IFERROR(INDEX(nMSG_Text,MATCH("E_INVALID_DATE",nMSG_Code,0)),""),"[input]",""),"")&amp;IF(ISNUMBER(SEARCH("E_REVERSED_BOUNDS",EG50))," | E_REVERSED_BOUNDS: "&amp;SUBSTITUTE(IFERROR(INDEX(nMSG_Text,MATCH("E_REVERSED_BOUNDS",nMSG_Code,0)),""),"[input]",""),"")&amp;IF(ISNUMBER(SEARCH("E_DUPLICATE_ID",EG50))," | E_DUPLICATE_ID: "&amp;SUBSTITUTE(IFERROR(INDEX(nMSG_Text,MATCH("E_DUPLICATE_ID",nMSG_Code,0)),""),"[input]",""),"")&amp;IF(ISNUMBER(SEARCH("E_MISSING_LINK",EG50))," | E_MISSING_LINK: "&amp;SUBSTITUTE(IFERROR(INDEX(nMSG_Text,MATCH("E_MISSING_LINK",nMSG_Code,0)),""),"[input]",""),"")&amp;IF(ISNUMBER(SEARCH("E_MISSING_INPUT",EG50))," | E_MISSING_INPUT: "&amp;SUBSTITUTE(IFERROR(INDEX(nMSG_Text,MATCH("E_MISSING_INPUT",nMSG_Code,0)),""),"[input]",IF(EH50="","an input",EH50)),"")&amp;IF(ISNUMBER(SEARCH("E_INVALID_UNIT",EG50))," | E_INVALID_UNIT: "&amp;SUBSTITUTE(IFERROR(INDEX(nMSG_Text,MATCH("E_INVALID_UNIT",nMSG_Code,0)),""),"[input]",""),"")&amp;IF(FD50=1," | W_TZ_UNKNOWN: "&amp;SUBSTITUTE(IFERROR(INDEX(nMSG_Text,MATCH("W_TZ_UNKNOWN",nMSG_Code,0)),""),"[input]",""),"")&amp;IF(FE50=1," | W_SAME_DATE_ORDER_UNKNOWN: "&amp;SUBSTITUTE(IFERROR(INDEX(nMSG_Text,MATCH("W_SAME_DATE_ORDER_UNKNOWN",nMSG_Code,0)),""),"[input]",""),"")&amp;IF(FF50=1," | W_SEQUENCE_UNCERTAIN: "&amp;SUBSTITUTE(IFERROR(INDEX(nMSG_Text,MATCH("W_SEQUENCE_UNCERTAIN",nMSG_Code,0)),""),"[input]",""),"")&amp;IF(FG50=1," | W_ADMIN_SAME_DATE_AS_ONSET: "&amp;SUBSTITUTE(IFERROR(INDEX(nMSG_Text,MATCH("W_ADMIN_SAME_DATE_AS_ONSET",nMSG_Code,0)),""),"[input]",""),"")&amp;IF(FH50=1," | W_REPORTED_TIMING_CONFLICT: "&amp;SUBSTITUTE(IFERROR(INDEX(nMSG_Text,MATCH("W_REPORTED_TIMING_CONFLICT",nMSG_Code,0)),""),"[input]",""),"")&amp;IF(FI50=1," | W_INTERVENTION_BEFORE_RECOVERY: "&amp;SUBSTITUTE(IFERROR(INDEX(nMSG_Text,MATCH("W_INTERVENTION_BEFORE_RECOVERY",nMSG_Code,0)),""),"[input]",""),"")&amp;IF(FJ50=1," | I_TREATMENT_DAY_UNDEFINED: "&amp;SUBSTITUTE(IFERROR(INDEX(nMSG_Text,MATCH("I_TREATMENT_DAY_UNDEFINED",nMSG_Code,0)),""),"[input]",""),"")&amp;IF(FK50=1," | I_APPROXIMATE_NOT_COMPARED: "&amp;SUBSTITUTE(IFERROR(INDEX(nMSG_Text,MATCH("I_APPROXIMATE_NOT_COMPARED",nMSG_Code,0)),""),"[input]",""),""),4,9999))</f>
        <v/>
      </c>
      <c r="AE50" s="21" t="str">
        <f t="shared" si="73"/>
        <v/>
      </c>
      <c r="AF50" s="21" t="str">
        <f t="shared" si="74"/>
        <v/>
      </c>
      <c r="AG50" s="21" t="str">
        <f>IF(EN50="","",MID(IF(ISNUMBER(SEARCH("E_REVERSED_BOUNDS",EN50))," | E_REVERSED_BOUNDS: "&amp;SUBSTITUTE(IFERROR(INDEX(nMSG_Text,MATCH("E_REVERSED_BOUNDS",nMSG_Code,0)),""),"[input]",""),"")&amp;IF(ISNUMBER(SEARCH("E_MISSING_INPUT",EN50))," | E_MISSING_INPUT: "&amp;SUBSTITUTE(IFERROR(INDEX(nMSG_Text,MATCH("E_MISSING_INPUT",nMSG_Code,0)),""),"[input]",IF("the source of the constraint"="","an input","the source of the constraint")),""),4,999))</f>
        <v/>
      </c>
      <c r="AH50" s="21" t="str">
        <f t="shared" si="75"/>
        <v/>
      </c>
      <c r="AI50" s="21" t="str">
        <f t="shared" si="76"/>
        <v>EX-B/STOP → EV-1/ONSET</v>
      </c>
      <c r="AJ50" s="21" t="str">
        <f t="shared" si="77"/>
        <v>EX-B/STOP</v>
      </c>
      <c r="AK50" s="21" t="str">
        <f t="shared" si="78"/>
        <v>EV-1/ONSET</v>
      </c>
      <c r="AL50" s="21" t="str">
        <f>IF(CY50=0,"",INDEX(nTP_ISO,CY50))</f>
        <v>2026-01-10T08:50-05:00</v>
      </c>
      <c r="AM50" s="21" t="str">
        <f>IF(CY50=0,"",INDEX(nTP_Display,CY50))</f>
        <v>10 January 2026 08:50 (UTC-05:00)</v>
      </c>
      <c r="AN50" s="21" t="str">
        <f>IF(BI50=0,"",INDEX(nTP_ISO,BI50))</f>
        <v>2026-01-10T09:15-05:00</v>
      </c>
      <c r="AO50" s="21" t="str">
        <f>IF(BI50=0,"",INDEX(nTP_Display,BI50))</f>
        <v>10 January 2026 09:15 (UTC-05:00)</v>
      </c>
      <c r="AP50" s="21" t="str">
        <f>IF(BA50=0,"",INDEX(nLNK_Exposure_Episode_ID,BA50)&amp;"")</f>
        <v>EX-B</v>
      </c>
      <c r="AQ50" s="21" t="str">
        <f>IF(BA50=0,"",INDEX(nLNK_Event_Episode_ID,BA50)&amp;"")</f>
        <v>EV-1</v>
      </c>
      <c r="AR50" s="21" t="str">
        <f t="shared" si="79"/>
        <v>Anchor (OTHER) EX-B/STOP: 2026-01-10T08:50-05:00 [timestamp with UTC offset; case measurement; original: "Drug B infusion ended 08:50"; source: Follow-up, version 2] | End point EV-1/ONSET: 2026-01-10T09:15-05:00 [timestamp with UTC offset; case measurement; original: "09:15 pt reports itching; urticaria chest and arms; audible wheeze; BP 84/52"; source: Nursing observation chart]</v>
      </c>
      <c r="AS50" s="21" t="str">
        <f>IF(EI50=0,"",MID(IF(DT50=1," | Recovery interval (C7) computed with "&amp;DS50&amp;".","")&amp;IF(BG50=1," | Anchor selected under C5 (CALC-SPEC 1.1): latest administration with an exact date or time at or before "&amp;IF(BH50=1,"onset","the end point")&amp;" ("&amp;AJ50&amp;"), ordered in UTC when offsets are known; later administrations are never selected.","")&amp;IF(AND(BG50=1,CE50&gt;0)," | Partial-date administrations wholly before the selected one were not candidates: "&amp;FC50&amp;".","")&amp;IF(BV50&lt;&gt;""," | "&amp;BV50,"")&amp;IF(AND(DS50="C2",EA50=0,DZ50&lt;&gt;"")," | Same calendar date; both times are known, so C1 decides the order ("&amp;AA50&amp;").","")&amp;IF(AND(DS50="C2",DD50*BN50=1,DT50=0)," | Calendar-date difference from the recorded local dates; it is never described as elapsed days.","")&amp;IF(AND(DS50="C4",DT50=0)," | Bounds are treated as independent; no single date is imputed from them.","")&amp;IF(EJ50=1," | Treatment day under the inclusive convention (C3); never written to E2B fields automatically.","")&amp;IF(AND(DS50="C4",DT50=0,EK50=0)," | No constraint applied.","")&amp;IF(AND(DS50="C4",EK50=1)," | Constraint applied to the anchor bounds: "&amp;IF(ISNUMBER(P50),"not before "&amp;DAY(P50)&amp;" "&amp;INDEX(nLIST_Months,MONTH(P50))&amp;" "&amp;YEAR(P50),"")&amp;IF(AND(ISNUMBER(P50),ISNUMBER(Q50)),", ","")&amp;IF(ISNUMBER(Q50),"not after "&amp;DAY(Q50)&amp;" "&amp;INDEX(nLIST_Months,MONTH(Q50))&amp;" "&amp;YEAR(Q50),"")&amp;". Source: "&amp;IF(R50="","not recorded",R50)&amp;IF(EN50="",". Constrained result shown beside the unconstrained one.",". Constrained result blocked ("&amp;EN50&amp;")."),"")&amp;IF(DT50=1,IF(EO50&gt;0," | Intervention recorded between cessation and recovery (ends included): "&amp;EZ50&amp;"."," | No intervention is recorded between cessation and recovery; absence of a record is not evidence that none was given."),"")&amp;IF(AND(DT50=1,DV50&gt;0)," | Intervention recorded without a date, so whether it came before recovery is unknown: "&amp;INDEX(nMS_Milestone_ID,MATCH(1,INDEX((nMS_CaseKey=AX50)*(nMS_Type="INTERVENTION")*nMS_Undated,0),0))&amp;IF(DV50&gt;1," and "&amp;(DV50-1)&amp;" more","")&amp;".","")&amp;IF(AND(DT50=1,EP50&gt;0)," | Not counted as interventions, because they are recorded as exposures rather than as intervention milestones (nothing is inferred): "&amp;FB50&amp;". If treatment was given, record it as an intervention milestone.",""),4,9999))</f>
        <v/>
      </c>
      <c r="AT50" s="21" t="str">
        <f t="shared" si="80"/>
        <v>The interval describes the sequence and spacing of recorded times; it is not evidence of causation.</v>
      </c>
      <c r="AU50" s="21" t="str">
        <f t="shared" si="81"/>
        <v/>
      </c>
      <c r="AV50" s="21" t="str">
        <f t="shared" si="82"/>
        <v>CALC-SPEC 1.1</v>
      </c>
      <c r="AW50" s="22">
        <f t="shared" si="83"/>
        <v>0</v>
      </c>
      <c r="AX50" s="21" t="str">
        <f t="shared" si="84"/>
        <v>EX-C01|2</v>
      </c>
      <c r="AY50" s="21" t="str">
        <f t="shared" si="85"/>
        <v>EX-C01|2|I05</v>
      </c>
      <c r="AZ50" s="22">
        <f>IF(AY50="",0,COUNTIF(nINT_Key,AY50))</f>
        <v>1</v>
      </c>
      <c r="BA50" s="22">
        <f>IF(D50="",0,IFERROR(MATCH(AX50&amp;"|"&amp;D50,nLNK_Key,0),0))</f>
        <v>23</v>
      </c>
      <c r="BB50" s="22">
        <f>IF(BA50=0,1,INDEX(nLNK_Exp_Found,BA50))</f>
        <v>1</v>
      </c>
      <c r="BC50" s="22">
        <f>IF(BA50=0,1,INDEX(nLNK_Evt_Found,BA50))</f>
        <v>1</v>
      </c>
      <c r="BD50" s="22">
        <f>IF(AP50="",0,COUNTIF(nEXP_Key,AX50&amp;"|"&amp;AP50))</f>
        <v>1</v>
      </c>
      <c r="BE50" s="22">
        <f>IF(AQ50="",0,COUNTIF(nEVT_Key,AX50&amp;"|"&amp;AQ50))</f>
        <v>1</v>
      </c>
      <c r="BF50" s="22">
        <f>IF(ISNA(MATCH(E50,nLIST_AnchorType,0)),0,1)</f>
        <v>1</v>
      </c>
      <c r="BG50" s="22">
        <f t="shared" si="86"/>
        <v>0</v>
      </c>
      <c r="BH50" s="22">
        <f t="shared" si="87"/>
        <v>1</v>
      </c>
      <c r="BI50" s="22">
        <f>IF(OR(AW50=1,AK50=""),0,IFERROR(MATCH(AX50&amp;"|"&amp;AK50,nTP_Key,0),0))</f>
        <v>312</v>
      </c>
      <c r="BJ50" s="21">
        <f>IF(BI50=0,0,INDEX(nTP_Dup,BI50))</f>
        <v>1</v>
      </c>
      <c r="BK50" s="21" t="str">
        <f>IF(BI50=0,"",INDEX(nTP_Record_Type,BI50))</f>
        <v>EVENT_ONSET</v>
      </c>
      <c r="BL50" s="21" t="str">
        <f>IF(BI50=0,"",INDEX(nTP_Precision,BI50))</f>
        <v>TIMESTAMP</v>
      </c>
      <c r="BM50" s="21" t="str">
        <f>IF(BI50=0,"",INDEX(nTP_Err,BI50))</f>
        <v/>
      </c>
      <c r="BN50" s="21">
        <f>IF(BI50=0,0,INDEX(nTP_HT,BI50))</f>
        <v>1</v>
      </c>
      <c r="BO50" s="21">
        <f>IF(BI50=0,0,INDEX(nTP_OK,BI50))</f>
        <v>1</v>
      </c>
      <c r="BP50" s="21">
        <f>IF(BI50=0,"",INDEX(nTP_Loc,BI50))</f>
        <v>66286635</v>
      </c>
      <c r="BQ50" s="21">
        <f>IF(BI50=0,"",INDEX(nTP_UTC,BI50))</f>
        <v>66286935</v>
      </c>
      <c r="BR50" s="21">
        <f>IF(BI50=0,"",INDEX(nTP_Lo,BI50))</f>
        <v>46032</v>
      </c>
      <c r="BS50" s="21">
        <f>IF(BI50=0,"",INDEX(nTP_Hi,BI50))</f>
        <v>46032</v>
      </c>
      <c r="BT50" s="21" t="str">
        <f>IF(BI50=0,"",INDEX(nTP_Original_Text,BI50))</f>
        <v>09:15 pt reports itching; urticaria chest and arms; audible wheeze; BP 84/52</v>
      </c>
      <c r="BU50" s="21" t="str">
        <f>IF(BI50=0,"",INDEX(nTP_Source,BI50))</f>
        <v>Nursing observation chart</v>
      </c>
      <c r="BV50" s="21" t="str">
        <f>IF(BI50=0,"",INDEX(nTP_Lab_Note,BI50))</f>
        <v/>
      </c>
      <c r="BW50" s="22">
        <f t="shared" si="88"/>
        <v>1</v>
      </c>
      <c r="BX50" s="21" t="str">
        <f t="shared" si="89"/>
        <v>EX-C01|2|EX-B</v>
      </c>
      <c r="BY50" s="22">
        <f>IF(BG50=0,0,COUNTIF(nTP_CandKey,BX50))</f>
        <v>0</v>
      </c>
      <c r="BZ50" s="22">
        <f>IF(BG50=0,0,COUNTIFS(nTP_CandKey,BX50,nTP_Err,""))</f>
        <v>0</v>
      </c>
      <c r="CA50" s="21" t="str">
        <f>IF(BY50=BZ50,"",IF(COUNTIFS(nTP_CandKey,BX50,nTP_Err,"E_INVALID_DATE")&gt;0,"; E_INVALID_DATE","")&amp;IF(COUNTIFS(nTP_CandKey,BX50,nTP_Err,"E_REVERSED_BOUNDS")&gt;0,"; E_REVERSED_BOUNDS","")&amp;IF(COUNTIFS(nTP_CandKey,BX50,nTP_Err,"E_MISSING_INPUT")&gt;0,"; E_MISSING_INPUT","")&amp;IF(COUNTIFS(nTP_CandKey,BX50,nTP_Err,"E_INVALID_UNIT")&gt;0,"; E_INVALID_UNIT",""))</f>
        <v/>
      </c>
      <c r="CB50" s="22">
        <f t="shared" si="90"/>
        <v>0</v>
      </c>
      <c r="CC50" s="22">
        <f>IF(CB50=0,0,SUMPRODUCT((nTP_CandKey=BX50)*(nTP_Err="")*(1-(nTP_HT*BN50*((nTP_OK*BO50*(nTP_UTC_n-N(BQ50))+(1-nTP_OK*BO50)*(nTP_Loc_n-N(BP50)))&lt;=0)+(1-nTP_HT*BN50)*(nTP_Hi_n&lt;N(BR50)))-(nTP_HT*BN50*((nTP_OK*BO50*(nTP_UTC_n-N(BQ50))+(1-nTP_OK*BO50)*(nTP_Loc_n-N(BP50)))&gt;0)+(1-nTP_HT*BN50)*(nTP_Lo_n&gt;N(BS50)))-((1-nTP_HT*BN50)*(nTP_Lo_n=nTP_Hi_n)*(nTP_Lo_n=N(BR50))*(N(BR50)=N(BS50))))))</f>
        <v>0</v>
      </c>
      <c r="CD50" s="22">
        <f>IF(CB50=0,0,SUMPRODUCT((nTP_CandKey=BX50)*nTP_Exact*((nTP_HT*BN50*((nTP_OK*BO50*(nTP_UTC_n-N(BQ50))+(1-nTP_OK*BO50)*(nTP_Loc_n-N(BP50)))&lt;=0)+(1-nTP_HT*BN50)*(nTP_Hi_n&lt;N(BR50)))+((1-nTP_HT*BN50)*(nTP_Lo_n=nTP_Hi_n)*(nTP_Lo_n=N(BR50))*(N(BR50)=N(BS50))))))</f>
        <v>0</v>
      </c>
      <c r="CE50" s="22">
        <f>IF(CB50=0,0,SUMPRODUCT((nTP_CandKey=BX50)*(nTP_Err="")*(1-nTP_Exact)*((nTP_HT*BN50*((nTP_OK*BO50*(nTP_UTC_n-N(BQ50))+(1-nTP_OK*BO50)*(nTP_Loc_n-N(BP50)))&lt;=0)+(1-nTP_HT*BN50)*(nTP_Hi_n&lt;N(BR50)))+((1-nTP_HT*BN50)*(nTP_Lo_n=nTP_Hi_n)*(nTP_Lo_n=N(BR50))*(N(BR50)=N(BS50))))))</f>
        <v>0</v>
      </c>
      <c r="CF50" s="22">
        <f>IF(CD50=0,0,SUMPRODUCT(MAX((nTP_CandKey=BX50)*nTP_Exact*((nTP_HT*BN50*((nTP_OK*BO50*(nTP_UTC_n-N(BQ50))+(1-nTP_OK*BO50)*(nTP_Loc_n-N(BP50)))&lt;=0)+(1-nTP_HT*BN50)*(nTP_Hi_n&lt;N(BR50)))+((1-nTP_HT*BN50)*(nTP_Lo_n=nTP_Hi_n)*(nTP_Lo_n=N(BR50))*(N(BR50)=N(BS50))))*nTP_Lo_n)))</f>
        <v>0</v>
      </c>
      <c r="CG50" s="22">
        <f>IF(CD50=0,0,SUMPRODUCT((nTP_CandKey=BX50)*nTP_Exact*((nTP_HT*BN50*((nTP_OK*BO50*(nTP_UTC_n-N(BQ50))+(1-nTP_OK*BO50)*(nTP_Loc_n-N(BP50)))&lt;=0)+(1-nTP_HT*BN50)*(nTP_Hi_n&lt;N(BR50)))+((1-nTP_HT*BN50)*(nTP_Lo_n=nTP_Hi_n)*(nTP_Lo_n=N(BR50))*(N(BR50)=N(BS50))))*(nTP_Lo_n=CF50)))</f>
        <v>0</v>
      </c>
      <c r="CH50" s="22">
        <f>IF(CD50=0,0,SUMPRODUCT((nTP_CandKey=BX50)*nTP_Exact*((nTP_HT*BN50*((nTP_OK*BO50*(nTP_UTC_n-N(BQ50))+(1-nTP_OK*BO50)*(nTP_Loc_n-N(BP50)))&lt;=0)+(1-nTP_HT*BN50)*(nTP_Hi_n&lt;N(BR50)))+((1-nTP_HT*BN50)*(nTP_Lo_n=nTP_Hi_n)*(nTP_Lo_n=N(BR50))*(N(BR50)=N(BS50))))*(1-nTP_HT)*(nTP_Lo_n=CF50)))</f>
        <v>0</v>
      </c>
      <c r="CI50" s="22">
        <f>IF(CD50=0,0,SUMPRODUCT(MAX((nTP_CandKey=BX50)*nTP_Exact*((nTP_HT*BN50*((nTP_OK*BO50*(nTP_UTC_n-N(BQ50))+(1-nTP_OK*BO50)*(nTP_Loc_n-N(BP50)))&lt;=0)+(1-nTP_HT*BN50)*(nTP_Hi_n&lt;N(BR50)))+((1-nTP_HT*BN50)*(nTP_Lo_n=nTP_Hi_n)*(nTP_Lo_n=N(BR50))*(N(BR50)=N(BS50))))*(1-nTP_HT)*nTP_Lo_n)))</f>
        <v>0</v>
      </c>
      <c r="CJ50" s="22">
        <f>IF(CD50=0,0,SUMPRODUCT(MAX((nTP_CandKey=BX50)*nTP_Exact*((nTP_HT*BN50*((nTP_OK*BO50*(nTP_UTC_n-N(BQ50))+(1-nTP_OK*BO50)*(nTP_Loc_n-N(BP50)))&lt;=0)+(1-nTP_HT*BN50)*(nTP_Hi_n&lt;N(BR50)))+((1-nTP_HT*BN50)*(nTP_Lo_n=nTP_Hi_n)*(nTP_Lo_n=N(BR50))*(N(BR50)=N(BS50))))*nTP_HT*nTP_OK*nTP_UTC_n)))</f>
        <v>0</v>
      </c>
      <c r="CK50" s="22">
        <f>IF(CJ50=0,0,SUMPRODUCT((nTP_CandKey=BX50)*nTP_Exact*((nTP_HT*BN50*((nTP_OK*BO50*(nTP_UTC_n-N(BQ50))+(1-nTP_OK*BO50)*(nTP_Loc_n-N(BP50)))&lt;=0)+(1-nTP_HT*BN50)*(nTP_Hi_n&lt;N(BR50)))+((1-nTP_HT*BN50)*(nTP_Lo_n=nTP_Hi_n)*(nTP_Lo_n=N(BR50))*(N(BR50)=N(BS50))))*nTP_HT*nTP_OK*(nTP_UTC_n=CJ50)))</f>
        <v>0</v>
      </c>
      <c r="CL50" s="22">
        <f>IF(CK50&lt;&gt;1,0,SUMPRODUCT((nTP_CandKey=BX50)*nTP_Exact*((nTP_HT*BN50*((nTP_OK*BO50*(nTP_UTC_n-N(BQ50))+(1-nTP_OK*BO50)*(nTP_Loc_n-N(BP50)))&lt;=0)+(1-nTP_HT*BN50)*(nTP_Hi_n&lt;N(BR50)))+((1-nTP_HT*BN50)*(nTP_Lo_n=nTP_Hi_n)*(nTP_Lo_n=N(BR50))*(N(BR50)=N(BS50))))*nTP_HT*nTP_OK*(nTP_UTC_n=CJ50)*nTP_Loc_n))</f>
        <v>0</v>
      </c>
      <c r="CM50" s="22">
        <f>IF(CK50&lt;&gt;1,0,SUMPRODUCT((nTP_CandKey=BX50)*nTP_Exact*((nTP_HT*BN50*((nTP_OK*BO50*(nTP_UTC_n-N(BQ50))+(1-nTP_OK*BO50)*(nTP_Loc_n-N(BP50)))&lt;=0)+(1-nTP_HT*BN50)*(nTP_Hi_n&lt;N(BR50)))+((1-nTP_HT*BN50)*(nTP_Lo_n=nTP_Hi_n)*(nTP_Lo_n=N(BR50))*(N(BR50)=N(BS50))))*nTP_HT*nTP_OK*(nTP_UTC_n=CJ50)*nTP_Lo_n))</f>
        <v>0</v>
      </c>
      <c r="CN50" s="22">
        <f>IF(CD50=0,0,SUMPRODUCT(MAX((nTP_CandKey=BX50)*nTP_Exact*((nTP_HT*BN50*((nTP_OK*BO50*(nTP_UTC_n-N(BQ50))+(1-nTP_OK*BO50)*(nTP_Loc_n-N(BP50)))&lt;=0)+(1-nTP_HT*BN50)*(nTP_Hi_n&lt;N(BR50)))+((1-nTP_HT*BN50)*(nTP_Lo_n=nTP_Hi_n)*(nTP_Lo_n=N(BR50))*(N(BR50)=N(BS50))))*nTP_HT*(1-nTP_OK)*nTP_Loc_n)))</f>
        <v>0</v>
      </c>
      <c r="CO50" s="22">
        <f>IF(CN50=0,0,SUMPRODUCT((nTP_CandKey=BX50)*nTP_Exact*((nTP_HT*BN50*((nTP_OK*BO50*(nTP_UTC_n-N(BQ50))+(1-nTP_OK*BO50)*(nTP_Loc_n-N(BP50)))&lt;=0)+(1-nTP_HT*BN50)*(nTP_Hi_n&lt;N(BR50)))+((1-nTP_HT*BN50)*(nTP_Lo_n=nTP_Hi_n)*(nTP_Lo_n=N(BR50))*(N(BR50)=N(BS50))))*nTP_HT*(1-nTP_OK)*(nTP_Loc_n=CN50)))</f>
        <v>0</v>
      </c>
      <c r="CP50" s="22">
        <f>IF(CO50&lt;&gt;1,0,SUMPRODUCT((nTP_CandKey=BX50)*nTP_Exact*((nTP_HT*BN50*((nTP_OK*BO50*(nTP_UTC_n-N(BQ50))+(1-nTP_OK*BO50)*(nTP_Loc_n-N(BP50)))&lt;=0)+(1-nTP_HT*BN50)*(nTP_Hi_n&lt;N(BR50)))+((1-nTP_HT*BN50)*(nTP_Lo_n=nTP_Hi_n)*(nTP_Lo_n=N(BR50))*(N(BR50)=N(BS50))))*nTP_HT*(1-nTP_OK)*(nTP_Loc_n=CN50)*nTP_Lo_n))</f>
        <v>0</v>
      </c>
      <c r="CQ50" s="22">
        <f>IF(CD50=0,0,SUMPRODUCT(MAX((nTP_CandKey=BX50)*nTP_Exact*((nTP_HT*BN50*((nTP_OK*BO50*(nTP_UTC_n-N(BQ50))+(1-nTP_OK*BO50)*(nTP_Loc_n-N(BP50)))&lt;=0)+(1-nTP_HT*BN50)*(nTP_Hi_n&lt;N(BR50)))+((1-nTP_HT*BN50)*(nTP_Lo_n=nTP_Hi_n)*(nTP_Lo_n=N(BR50))*(N(BR50)=N(BS50))))*nTP_HT*nTP_OK*nTP_Loc_n)))</f>
        <v>0</v>
      </c>
      <c r="CR50" s="22">
        <f t="shared" si="91"/>
        <v>0</v>
      </c>
      <c r="CS50" s="22">
        <f>IF(CR50=0,0,IF(CR50=1,MATCH(1,INDEX((nTP_CandKey=BX50)*nTP_Exact*((nTP_HT*BN50*((nTP_OK*BO50*(nTP_UTC_n-N(BQ50))+(1-nTP_OK*BO50)*(nTP_Loc_n-N(BP50)))&lt;=0)+(1-nTP_HT*BN50)*(nTP_Hi_n&lt;N(BR50)))+((1-nTP_HT*BN50)*(nTP_Lo_n=nTP_Hi_n)*(nTP_Lo_n=N(BR50))*(N(BR50)=N(BS50))))*(1-nTP_HT)*(nTP_Lo_n=CF50),0),0),IF(CR50=2,MATCH(1,INDEX((nTP_CandKey=BX50)*nTP_Exact*((nTP_HT*BN50*((nTP_OK*BO50*(nTP_UTC_n-N(BQ50))+(1-nTP_OK*BO50)*(nTP_Loc_n-N(BP50)))&lt;=0)+(1-nTP_HT*BN50)*(nTP_Hi_n&lt;N(BR50)))+((1-nTP_HT*BN50)*(nTP_Lo_n=nTP_Hi_n)*(nTP_Lo_n=N(BR50))*(N(BR50)=N(BS50))))*nTP_HT*nTP_OK*(nTP_UTC_n=CJ50),0),0),MATCH(1,INDEX((nTP_CandKey=BX50)*nTP_Exact*((nTP_HT*BN50*((nTP_OK*BO50*(nTP_UTC_n-N(BQ50))+(1-nTP_OK*BO50)*(nTP_Loc_n-N(BP50)))&lt;=0)+(1-nTP_HT*BN50)*(nTP_Hi_n&lt;N(BR50)))+((1-nTP_HT*BN50)*(nTP_Lo_n=nTP_Hi_n)*(nTP_Lo_n=N(BR50))*(N(BR50)=N(BS50))))*nTP_HT*(1-nTP_OK)*(nTP_Loc_n=CN50),0),0))))</f>
        <v>0</v>
      </c>
      <c r="CT50" s="22">
        <f>IF(CS50=0,0,INDEX(nTP_Lo_n,CS50))</f>
        <v>0</v>
      </c>
      <c r="CU50" s="22">
        <f>IF(CS50=0,0,SUMPRODUCT((nTP_CandKey=BX50)*(nTP_Err="")*(1-nTP_Exact)*((nTP_HT*BN50*((nTP_OK*BO50*(nTP_UTC_n-N(BQ50))+(1-nTP_OK*BO50)*(nTP_Loc_n-N(BP50)))&lt;=0)+(1-nTP_HT*BN50)*(nTP_Hi_n&lt;N(BR50)))+((1-nTP_HT*BN50)*(nTP_Lo_n=nTP_Hi_n)*(nTP_Lo_n=N(BR50))*(N(BR50)=N(BS50))))*(nTP_Hi_n&gt;=CT50)))</f>
        <v>0</v>
      </c>
      <c r="CV50" s="21" t="str">
        <f t="shared" si="92"/>
        <v/>
      </c>
      <c r="CW50" s="21" t="str">
        <f>IF(AND(BG50=1,CB50=1,CV50="",CS50&gt;0),INDEX(nTP_Record_ID,CS50)&amp;"","")</f>
        <v/>
      </c>
      <c r="CX50" s="21" t="str">
        <f>IF(OR(CV50="",BG50=0),"",IF(CV50="none","an administration record (last dose before onset)",IF(CV50="uncertain","the anchor record: "&amp;INDEX(nTP_Record_ID,MATCH(1,INDEX((nTP_CandKey=BX50)*(nTP_Err="")*(1-(nTP_HT*BN50*((nTP_OK*BO50*(nTP_UTC_n-N(BQ50))+(1-nTP_OK*BO50)*(nTP_Loc_n-N(BP50)))&lt;=0)+(1-nTP_HT*BN50)*(nTP_Hi_n&lt;N(BR50)))-(nTP_HT*BN50*((nTP_OK*BO50*(nTP_UTC_n-N(BQ50))+(1-nTP_OK*BO50)*(nTP_Loc_n-N(BP50)))&gt;0)+(1-nTP_HT*BN50)*(nTP_Lo_n&gt;N(BS50)))-((1-nTP_HT*BN50)*(nTP_Lo_n=nTP_Hi_n)*(nTP_Lo_n=N(BR50))*(N(BR50)=N(BS50)))),0),0))&amp;IF(CC50&gt;1," and "&amp;(CC50-1)&amp;" more","")&amp;" may fall before or after the end point, so the last dose cannot be identified from the recorded dates",IF(CV50="noneligible","the anchor record: no administration with an exact date is recorded at or before the end point",IF(CV50="tie","the anchor record: the order of the latest administrations cannot be told from the recorded dates and times","the anchor record: partial-date administration "&amp;INDEX(nTP_Record_ID,MATCH(1,INDEX((nTP_CandKey=BX50)*(nTP_Err="")*(1-nTP_Exact)*((nTP_HT*BN50*((nTP_OK*BO50*(nTP_UTC_n-N(BQ50))+(1-nTP_OK*BO50)*(nTP_Loc_n-N(BP50)))&lt;=0)+(1-nTP_HT*BN50)*(nTP_Hi_n&lt;N(BR50)))+((1-nTP_HT*BN50)*(nTP_Lo_n=nTP_Hi_n)*(nTP_Lo_n=N(BR50))*(N(BR50)=N(BS50))))*(nTP_Hi_n&gt;=CT50),0),0))&amp;" could be the last dose before the end point")))))</f>
        <v/>
      </c>
      <c r="CY50" s="22">
        <f>IF(OR(AW50=1,AJ50=""),0,IFERROR(MATCH(AX50&amp;"|"&amp;AJ50,nTP_Key,0),0))</f>
        <v>105</v>
      </c>
      <c r="CZ50" s="21">
        <f>IF(CY50=0,0,INDEX(nTP_Dup,CY50))</f>
        <v>1</v>
      </c>
      <c r="DA50" s="21" t="str">
        <f>IF(CY50=0,"",INDEX(nTP_Record_Type,CY50))</f>
        <v>EXPOSURE_STOP</v>
      </c>
      <c r="DB50" s="21" t="str">
        <f>IF(CY50=0,"",INDEX(nTP_Precision,CY50))</f>
        <v>TIMESTAMP</v>
      </c>
      <c r="DC50" s="21" t="str">
        <f>IF(CY50=0,"",INDEX(nTP_Err,CY50))</f>
        <v/>
      </c>
      <c r="DD50" s="21">
        <f>IF(CY50=0,0,INDEX(nTP_HT,CY50))</f>
        <v>1</v>
      </c>
      <c r="DE50" s="21">
        <f>IF(CY50=0,0,INDEX(nTP_OK,CY50))</f>
        <v>1</v>
      </c>
      <c r="DF50" s="21">
        <f>IF(CY50=0,"",INDEX(nTP_Loc,CY50))</f>
        <v>66286610</v>
      </c>
      <c r="DG50" s="21">
        <f>IF(CY50=0,"",INDEX(nTP_UTC,CY50))</f>
        <v>66286910</v>
      </c>
      <c r="DH50" s="21">
        <f>IF(CY50=0,"",INDEX(nTP_Lo,CY50))</f>
        <v>46032</v>
      </c>
      <c r="DI50" s="21">
        <f>IF(CY50=0,"",INDEX(nTP_Hi,CY50))</f>
        <v>46032</v>
      </c>
      <c r="DJ50" s="21" t="str">
        <f>IF(CY50=0,"",INDEX(nTP_Original_Text,CY50))</f>
        <v>Drug B infusion ended 08:50</v>
      </c>
      <c r="DK50" s="21" t="str">
        <f>IF(CY50=0,"",INDEX(nTP_Source,CY50))</f>
        <v>Follow-up, version 2</v>
      </c>
      <c r="DL50" s="22">
        <f t="shared" si="93"/>
        <v>1</v>
      </c>
      <c r="DM50" s="21" t="str">
        <f t="shared" si="94"/>
        <v/>
      </c>
      <c r="DN50" s="21" t="str">
        <f t="shared" si="95"/>
        <v/>
      </c>
      <c r="DO50" s="21" t="str">
        <f t="shared" si="96"/>
        <v/>
      </c>
      <c r="DP50" s="21" t="str">
        <f t="shared" si="97"/>
        <v/>
      </c>
      <c r="DQ50" s="21" t="str">
        <f t="shared" si="98"/>
        <v>C1</v>
      </c>
      <c r="DR50" s="22">
        <f>IF(OR(DQ50="",I50=""),0,IF(ISNA(MATCH(I50,nLIST_Mode,0)),1,IF(AND(I50="C1",DQ50&lt;&gt;"C1"),1,IF(AND(I50="C2",DQ50="C4"),1,0))))</f>
        <v>0</v>
      </c>
      <c r="DS50" s="21" t="str">
        <f t="shared" si="99"/>
        <v>C1</v>
      </c>
      <c r="DT50" s="22">
        <f t="shared" si="100"/>
        <v>0</v>
      </c>
      <c r="DU50" s="21" t="str">
        <f>IF(DT50=0,"",IF(COUNTIFS(nTP_Case_Key,AX50,nTP_Record_Type,"MILESTONE:INTERVENTION",nTP_Err,"E_INVALID_DATE")&gt;0,"; E_INVALID_DATE","")&amp;IF(COUNTIFS(nTP_Case_Key,AX50,nTP_Record_Type,"MILESTONE:INTERVENTION",nTP_Err,"E_REVERSED_BOUNDS")&gt;0,"; E_REVERSED_BOUNDS","")&amp;IF(COUNTIFS(nTP_Case_Key,AX50,nTP_Record_Type,"MILESTONE:INTERVENTION",nTP_Err,"E_MISSING_INPUT")&gt;0,"; E_MISSING_INPUT","")&amp;IF(COUNTIFS(nTP_Case_Key,AX50,nTP_Record_Type,"MILESTONE:INTERVENTION",nTP_Err,"E_INVALID_UNIT")&gt;0,"; E_INVALID_UNIT",""))</f>
        <v/>
      </c>
      <c r="DV50" s="22">
        <f>IF(DT50=0,0,SUMPRODUCT((nMS_CaseKey=AX50)*(nMS_Type="INTERVENTION")*nMS_Undated))</f>
        <v>0</v>
      </c>
      <c r="DW50" s="21" t="str">
        <f t="shared" si="101"/>
        <v/>
      </c>
      <c r="DX50" s="21" t="str">
        <f t="shared" si="102"/>
        <v/>
      </c>
      <c r="DY50" s="22">
        <f t="shared" si="103"/>
        <v>0</v>
      </c>
      <c r="DZ50" s="21">
        <f t="shared" si="104"/>
        <v>25</v>
      </c>
      <c r="EA50" s="21" t="str">
        <f t="shared" si="105"/>
        <v/>
      </c>
      <c r="EB50" s="21" t="str">
        <f t="shared" si="106"/>
        <v/>
      </c>
      <c r="EC50" s="21" t="str">
        <f t="shared" si="107"/>
        <v/>
      </c>
      <c r="ED50" s="22">
        <f t="shared" si="108"/>
        <v>0</v>
      </c>
      <c r="EE50" s="22">
        <f t="shared" si="109"/>
        <v>0</v>
      </c>
      <c r="EF50" s="21" t="str">
        <f>IF(ED50=0,"",IF(OR(NOT(ISNUMBER(L50)),NOT(ISNUMBER(M50))),"I_APPROXIMATE_NOT_COMPARED",IF(AND(N50&lt;&gt;"",ISNA(MATCH(N50,nLIST_ReportedUnit,0))),"E_INVALID_UNIT",IF(N50="","E_MISSING_INPUT",IF(L50&gt;M50,"E_REVERSED_BOUNDS",IF(OR(N50="weeks",N50="months",N50="years"),"I_APPROXIMATE_NOT_COMPARED",IF(DX50&lt;&gt;"","",IF(EE50=0,"I_APPROXIMATE_NOT_COMPARED",IF(AND(L50*EE50&lt;=IF(DS50="C4",EC50,IF(DS50="C1",DZ50,EA50)),M50*EE50&gt;=IF(DS50="C4",EB50,IF(DS50="C1",DZ50,EA50))),"OVERLAP","W_REPORTED_TIMING_CONFLICT")))))))))</f>
        <v/>
      </c>
      <c r="EG50" s="21" t="str">
        <f t="shared" si="110"/>
        <v/>
      </c>
      <c r="EH50" s="21" t="str">
        <f t="shared" si="111"/>
        <v/>
      </c>
      <c r="EI50" s="22">
        <f t="shared" si="112"/>
        <v>1</v>
      </c>
      <c r="EJ50" s="22">
        <f t="shared" si="113"/>
        <v>0</v>
      </c>
      <c r="EK50" s="22">
        <f t="shared" si="114"/>
        <v>0</v>
      </c>
      <c r="EL50" s="28" t="str">
        <f t="shared" si="115"/>
        <v/>
      </c>
      <c r="EM50" s="28" t="str">
        <f t="shared" si="116"/>
        <v/>
      </c>
      <c r="EN50" s="21" t="str">
        <f t="shared" si="117"/>
        <v/>
      </c>
      <c r="EO50" s="22">
        <f>IF(OR(DT50=0,DX50&lt;&gt;""),0,SUMPRODUCT((nTP_Case_Key=AX50)*(nTP_Record_Type="MILESTONE:INTERVENTION")*(nTP_Err="")*(nTP_HT*DD50*BN50*(nTP_OK*DE50*(nTP_UTC_n&gt;=N(DG50))+(1-nTP_OK*DE50)*(nTP_Loc_n&gt;=N(DF50)))*(nTP_OK*BO50*(nTP_UTC_n&lt;=N(BQ50))+(1-nTP_OK*BO50)*(nTP_Loc_n&lt;=N(BP50)))+(1-nTP_HT*DD50*BN50)*(nTP_Hi_n&gt;=N(DH50))*(nTP_Lo_n&lt;=N(BS50)))))</f>
        <v>0</v>
      </c>
      <c r="EP50" s="22">
        <f>IF(OR(DT50=0,DX50&lt;&gt;""),0,SUMPRODUCT((nTP_Case_Key=AX50)*(nTP_Role="treatment of the event")*((nTP_Record_Type="EXPOSURE_START")+(nTP_Record_Type="ADMINISTRATION"))*(nTP_Err="")*(nTP_HT*DD50*BN50*(nTP_OK*DE50*(nTP_UTC_n&gt;=N(DG50))+(1-nTP_OK*DE50)*(nTP_Loc_n&gt;=N(DF50)))*(nTP_OK*BO50*(nTP_UTC_n&lt;=N(BQ50))+(1-nTP_OK*BO50)*(nTP_Loc_n&lt;=N(BP50)))+(1-nTP_HT*DD50*BN50)*(nTP_Hi_n&gt;=N(DH50))*(nTP_Lo_n&lt;=N(BS50)))))</f>
        <v>0</v>
      </c>
      <c r="EQ50" s="22">
        <f>IF(EO50&lt;1,0,IFERROR(_xlfn.AGGREGATE(15,6,nTP_RowN/((nTP_Case_Key=AX50)*(nTP_Record_Type="MILESTONE:INTERVENTION")*(nTP_Err="")*(nTP_HT*DD50*BN50*(nTP_OK*DE50*(nTP_UTC_n&gt;=N(DG50))+(1-nTP_OK*DE50)*(nTP_Loc_n&gt;=N(DF50)))*(nTP_OK*BO50*(nTP_UTC_n&lt;=N(BQ50))+(1-nTP_OK*BO50)*(nTP_Loc_n&lt;=N(BP50)))+(1-nTP_HT*DD50*BN50)*(nTP_Hi_n&gt;=N(DH50))*(nTP_Lo_n&lt;=N(BS50)))),1),0))</f>
        <v>0</v>
      </c>
      <c r="ER50" s="22">
        <f>IF(EO50&lt;2,0,IFERROR(_xlfn.AGGREGATE(15,6,nTP_RowN/((nTP_Case_Key=AX50)*(nTP_Record_Type="MILESTONE:INTERVENTION")*(nTP_Err="")*(nTP_HT*DD50*BN50*(nTP_OK*DE50*(nTP_UTC_n&gt;=N(DG50))+(1-nTP_OK*DE50)*(nTP_Loc_n&gt;=N(DF50)))*(nTP_OK*BO50*(nTP_UTC_n&lt;=N(BQ50))+(1-nTP_OK*BO50)*(nTP_Loc_n&lt;=N(BP50)))+(1-nTP_HT*DD50*BN50)*(nTP_Hi_n&gt;=N(DH50))*(nTP_Lo_n&lt;=N(BS50)))),2),0))</f>
        <v>0</v>
      </c>
      <c r="ES50" s="22">
        <f>IF(EO50&lt;3,0,IFERROR(_xlfn.AGGREGATE(15,6,nTP_RowN/((nTP_Case_Key=AX50)*(nTP_Record_Type="MILESTONE:INTERVENTION")*(nTP_Err="")*(nTP_HT*DD50*BN50*(nTP_OK*DE50*(nTP_UTC_n&gt;=N(DG50))+(1-nTP_OK*DE50)*(nTP_Loc_n&gt;=N(DF50)))*(nTP_OK*BO50*(nTP_UTC_n&lt;=N(BQ50))+(1-nTP_OK*BO50)*(nTP_Loc_n&lt;=N(BP50)))+(1-nTP_HT*DD50*BN50)*(nTP_Hi_n&gt;=N(DH50))*(nTP_Lo_n&lt;=N(BS50)))),3),0))</f>
        <v>0</v>
      </c>
      <c r="ET50" s="22">
        <f>IF(EP50&lt;1,0,IFERROR(_xlfn.AGGREGATE(15,6,nTP_RowN/((nTP_Case_Key=AX50)*(nTP_Role="treatment of the event")*((nTP_Record_Type="EXPOSURE_START")+(nTP_Record_Type="ADMINISTRATION"))*(nTP_Err="")*(nTP_HT*DD50*BN50*(nTP_OK*DE50*(nTP_UTC_n&gt;=N(DG50))+(1-nTP_OK*DE50)*(nTP_Loc_n&gt;=N(DF50)))*(nTP_OK*BO50*(nTP_UTC_n&lt;=N(BQ50))+(1-nTP_OK*BO50)*(nTP_Loc_n&lt;=N(BP50)))+(1-nTP_HT*DD50*BN50)*(nTP_Hi_n&gt;=N(DH50))*(nTP_Lo_n&lt;=N(BS50)))),1),0))</f>
        <v>0</v>
      </c>
      <c r="EU50" s="22">
        <f>IF(EP50&lt;2,0,IFERROR(_xlfn.AGGREGATE(15,6,nTP_RowN/((nTP_Case_Key=AX50)*(nTP_Role="treatment of the event")*((nTP_Record_Type="EXPOSURE_START")+(nTP_Record_Type="ADMINISTRATION"))*(nTP_Err="")*(nTP_HT*DD50*BN50*(nTP_OK*DE50*(nTP_UTC_n&gt;=N(DG50))+(1-nTP_OK*DE50)*(nTP_Loc_n&gt;=N(DF50)))*(nTP_OK*BO50*(nTP_UTC_n&lt;=N(BQ50))+(1-nTP_OK*BO50)*(nTP_Loc_n&lt;=N(BP50)))+(1-nTP_HT*DD50*BN50)*(nTP_Hi_n&gt;=N(DH50))*(nTP_Lo_n&lt;=N(BS50)))),2),0))</f>
        <v>0</v>
      </c>
      <c r="EV50" s="22">
        <f>IF(EP50&lt;3,0,IFERROR(_xlfn.AGGREGATE(15,6,nTP_RowN/((nTP_Case_Key=AX50)*(nTP_Role="treatment of the event")*((nTP_Record_Type="EXPOSURE_START")+(nTP_Record_Type="ADMINISTRATION"))*(nTP_Err="")*(nTP_HT*DD50*BN50*(nTP_OK*DE50*(nTP_UTC_n&gt;=N(DG50))+(1-nTP_OK*DE50)*(nTP_Loc_n&gt;=N(DF50)))*(nTP_OK*BO50*(nTP_UTC_n&lt;=N(BQ50))+(1-nTP_OK*BO50)*(nTP_Loc_n&lt;=N(BP50)))+(1-nTP_HT*DD50*BN50)*(nTP_Hi_n&gt;=N(DH50))*(nTP_Lo_n&lt;=N(BS50)))),3),0))</f>
        <v>0</v>
      </c>
      <c r="EW50" s="22">
        <f>IF(CE50&lt;1,0,IFERROR(_xlfn.AGGREGATE(15,6,nTP_RowN/((nTP_CandKey=BX50)*(nTP_Err="")*(1-nTP_Exact)*((nTP_HT*BN50*((nTP_OK*BO50*(nTP_UTC_n-N(BQ50))+(1-nTP_OK*BO50)*(nTP_Loc_n-N(BP50)))&lt;=0)+(1-nTP_HT*BN50)*(nTP_Hi_n&lt;N(BR50)))+((1-nTP_HT*BN50)*(nTP_Lo_n=nTP_Hi_n)*(nTP_Lo_n=N(BR50))*(N(BR50)=N(BS50))))),1),0))</f>
        <v>0</v>
      </c>
      <c r="EX50" s="22">
        <f>IF(CE50&lt;2,0,IFERROR(_xlfn.AGGREGATE(15,6,nTP_RowN/((nTP_CandKey=BX50)*(nTP_Err="")*(1-nTP_Exact)*((nTP_HT*BN50*((nTP_OK*BO50*(nTP_UTC_n-N(BQ50))+(1-nTP_OK*BO50)*(nTP_Loc_n-N(BP50)))&lt;=0)+(1-nTP_HT*BN50)*(nTP_Hi_n&lt;N(BR50)))+((1-nTP_HT*BN50)*(nTP_Lo_n=nTP_Hi_n)*(nTP_Lo_n=N(BR50))*(N(BR50)=N(BS50))))),2),0))</f>
        <v>0</v>
      </c>
      <c r="EY50" s="22">
        <f>IF(CE50&lt;3,0,IFERROR(_xlfn.AGGREGATE(15,6,nTP_RowN/((nTP_CandKey=BX50)*(nTP_Err="")*(1-nTP_Exact)*((nTP_HT*BN50*((nTP_OK*BO50*(nTP_UTC_n-N(BQ50))+(1-nTP_OK*BO50)*(nTP_Loc_n-N(BP50)))&lt;=0)+(1-nTP_HT*BN50)*(nTP_Hi_n&lt;N(BR50)))+((1-nTP_HT*BN50)*(nTP_Lo_n=nTP_Hi_n)*(nTP_Lo_n=N(BR50))*(N(BR50)=N(BS50))))),3),0))</f>
        <v>0</v>
      </c>
      <c r="EZ50" s="21" t="str">
        <f>IF(EO50=0,"",MID(IF(EQ50&gt;0,"; "&amp;INDEX(nTP_Record_ID,EQ50)&amp;IF(INDEX(nTP_Label,EQ50)="",""," ("&amp;INDEX(nTP_Label,EQ50)&amp;")"),"")&amp;IF(ER50&gt;0,"; "&amp;INDEX(nTP_Record_ID,ER50)&amp;IF(INDEX(nTP_Label,ER50)="",""," ("&amp;INDEX(nTP_Label,ER50)&amp;")"),"")&amp;IF(ES50&gt;0,"; "&amp;INDEX(nTP_Record_ID,ES50)&amp;IF(INDEX(nTP_Label,ES50)="",""," ("&amp;INDEX(nTP_Label,ES50)&amp;")"),"")&amp;IF(EO50&gt;3,"; and "&amp;(EO50-3)&amp;" more",""),3,999))</f>
        <v/>
      </c>
      <c r="FA50" s="21" t="str">
        <f>IF(EO50=0,"",MID(IF(EQ50&gt;0,"; "&amp;INDEX(nTP_Record_ID,EQ50),"")&amp;IF(ER50&gt;0,"; "&amp;INDEX(nTP_Record_ID,ER50),"")&amp;IF(ES50&gt;0,"; "&amp;INDEX(nTP_Record_ID,ES50),"")&amp;IF(EO50&gt;3,"; and "&amp;(EO50-3)&amp;" more",""),3,999))</f>
        <v/>
      </c>
      <c r="FB50" s="21" t="str">
        <f>IF(EP50=0,"",MID(IF(ET50&gt;0,"; "&amp;INDEX(nTP_Record_ID,ET50)&amp;IF(INDEX(nTP_Label,ET50)="",""," ("&amp;INDEX(nTP_Label,ET50)&amp;")"),"")&amp;IF(EU50&gt;0,"; "&amp;INDEX(nTP_Record_ID,EU50)&amp;IF(INDEX(nTP_Label,EU50)="",""," ("&amp;INDEX(nTP_Label,EU50)&amp;")"),"")&amp;IF(EV50&gt;0,"; "&amp;INDEX(nTP_Record_ID,EV50)&amp;IF(INDEX(nTP_Label,EV50)="",""," ("&amp;INDEX(nTP_Label,EV50)&amp;")"),"")&amp;IF(EP50&gt;3,"; and "&amp;(EP50-3)&amp;" more",""),3,999))</f>
        <v/>
      </c>
      <c r="FC50" s="21" t="str">
        <f>IF(CE50=0,"",MID(IF(EW50&gt;0,"; "&amp;INDEX(nTP_Record_ID,EW50),"")&amp;IF(EX50&gt;0,"; "&amp;INDEX(nTP_Record_ID,EX50),"")&amp;IF(EY50&gt;0,"; "&amp;INDEX(nTP_Record_ID,EY50),"")&amp;IF(CE50&gt;3,"; and "&amp;(CE50-3)&amp;" more",""),3,999))</f>
        <v/>
      </c>
      <c r="FD50" s="22">
        <f t="shared" si="118"/>
        <v>0</v>
      </c>
      <c r="FE50" s="22">
        <f t="shared" si="119"/>
        <v>0</v>
      </c>
      <c r="FF50" s="22">
        <f t="shared" si="120"/>
        <v>0</v>
      </c>
      <c r="FG50" s="22">
        <f t="shared" si="121"/>
        <v>0</v>
      </c>
      <c r="FH50" s="22">
        <f t="shared" si="122"/>
        <v>0</v>
      </c>
      <c r="FI50" s="22">
        <f t="shared" si="123"/>
        <v>0</v>
      </c>
      <c r="FJ50" s="22">
        <f t="shared" si="124"/>
        <v>0</v>
      </c>
      <c r="FK50" s="22">
        <f t="shared" si="125"/>
        <v>0</v>
      </c>
    </row>
    <row r="51" spans="1:167" x14ac:dyDescent="0.2">
      <c r="A51" s="9" t="s">
        <v>1140</v>
      </c>
      <c r="B51" s="9" t="s">
        <v>297</v>
      </c>
      <c r="C51" s="11">
        <v>2</v>
      </c>
      <c r="D51" s="9" t="s">
        <v>898</v>
      </c>
      <c r="E51" s="16" t="s">
        <v>57</v>
      </c>
      <c r="F51" s="9" t="s">
        <v>1141</v>
      </c>
      <c r="G51" s="9" t="s">
        <v>1139</v>
      </c>
      <c r="H51" s="9" t="s">
        <v>1128</v>
      </c>
      <c r="I51" s="16" t="s">
        <v>59</v>
      </c>
      <c r="J51" s="16"/>
      <c r="K51" s="9"/>
      <c r="L51" s="16"/>
      <c r="M51" s="16"/>
      <c r="N51" s="16"/>
      <c r="O51" s="9"/>
      <c r="P51" s="14"/>
      <c r="Q51" s="14"/>
      <c r="R51" s="9"/>
      <c r="S51" s="9"/>
      <c r="T51" s="21" t="str">
        <f t="shared" si="63"/>
        <v>60 minutes (1.0 hours)</v>
      </c>
      <c r="U51" s="21" t="str">
        <f t="shared" si="64"/>
        <v>60 minutes</v>
      </c>
      <c r="V51" s="21">
        <f t="shared" si="65"/>
        <v>60</v>
      </c>
      <c r="W51" s="21" t="str">
        <f t="shared" si="66"/>
        <v/>
      </c>
      <c r="X51" s="21" t="str">
        <f t="shared" si="67"/>
        <v/>
      </c>
      <c r="Y51" s="21" t="str">
        <f t="shared" si="68"/>
        <v>minutes</v>
      </c>
      <c r="Z51" s="21" t="str">
        <f t="shared" si="69"/>
        <v>C1</v>
      </c>
      <c r="AA51" s="21" t="str">
        <f t="shared" si="70"/>
        <v>AFTER</v>
      </c>
      <c r="AB51" s="21" t="str">
        <f t="shared" si="71"/>
        <v/>
      </c>
      <c r="AC51" s="21" t="str">
        <f t="shared" si="72"/>
        <v/>
      </c>
      <c r="AD51" s="21" t="str">
        <f>IF(AW51=1,"",MID(IF(ISNUMBER(SEARCH("E_INVALID_DATE",EG51))," | E_INVALID_DATE: "&amp;SUBSTITUTE(IFERROR(INDEX(nMSG_Text,MATCH("E_INVALID_DATE",nMSG_Code,0)),""),"[input]",""),"")&amp;IF(ISNUMBER(SEARCH("E_REVERSED_BOUNDS",EG51))," | E_REVERSED_BOUNDS: "&amp;SUBSTITUTE(IFERROR(INDEX(nMSG_Text,MATCH("E_REVERSED_BOUNDS",nMSG_Code,0)),""),"[input]",""),"")&amp;IF(ISNUMBER(SEARCH("E_DUPLICATE_ID",EG51))," | E_DUPLICATE_ID: "&amp;SUBSTITUTE(IFERROR(INDEX(nMSG_Text,MATCH("E_DUPLICATE_ID",nMSG_Code,0)),""),"[input]",""),"")&amp;IF(ISNUMBER(SEARCH("E_MISSING_LINK",EG51))," | E_MISSING_LINK: "&amp;SUBSTITUTE(IFERROR(INDEX(nMSG_Text,MATCH("E_MISSING_LINK",nMSG_Code,0)),""),"[input]",""),"")&amp;IF(ISNUMBER(SEARCH("E_MISSING_INPUT",EG51))," | E_MISSING_INPUT: "&amp;SUBSTITUTE(IFERROR(INDEX(nMSG_Text,MATCH("E_MISSING_INPUT",nMSG_Code,0)),""),"[input]",IF(EH51="","an input",EH51)),"")&amp;IF(ISNUMBER(SEARCH("E_INVALID_UNIT",EG51))," | E_INVALID_UNIT: "&amp;SUBSTITUTE(IFERROR(INDEX(nMSG_Text,MATCH("E_INVALID_UNIT",nMSG_Code,0)),""),"[input]",""),"")&amp;IF(FD51=1," | W_TZ_UNKNOWN: "&amp;SUBSTITUTE(IFERROR(INDEX(nMSG_Text,MATCH("W_TZ_UNKNOWN",nMSG_Code,0)),""),"[input]",""),"")&amp;IF(FE51=1," | W_SAME_DATE_ORDER_UNKNOWN: "&amp;SUBSTITUTE(IFERROR(INDEX(nMSG_Text,MATCH("W_SAME_DATE_ORDER_UNKNOWN",nMSG_Code,0)),""),"[input]",""),"")&amp;IF(FF51=1," | W_SEQUENCE_UNCERTAIN: "&amp;SUBSTITUTE(IFERROR(INDEX(nMSG_Text,MATCH("W_SEQUENCE_UNCERTAIN",nMSG_Code,0)),""),"[input]",""),"")&amp;IF(FG51=1," | W_ADMIN_SAME_DATE_AS_ONSET: "&amp;SUBSTITUTE(IFERROR(INDEX(nMSG_Text,MATCH("W_ADMIN_SAME_DATE_AS_ONSET",nMSG_Code,0)),""),"[input]",""),"")&amp;IF(FH51=1," | W_REPORTED_TIMING_CONFLICT: "&amp;SUBSTITUTE(IFERROR(INDEX(nMSG_Text,MATCH("W_REPORTED_TIMING_CONFLICT",nMSG_Code,0)),""),"[input]",""),"")&amp;IF(FI51=1," | W_INTERVENTION_BEFORE_RECOVERY: "&amp;SUBSTITUTE(IFERROR(INDEX(nMSG_Text,MATCH("W_INTERVENTION_BEFORE_RECOVERY",nMSG_Code,0)),""),"[input]",""),"")&amp;IF(FJ51=1," | I_TREATMENT_DAY_UNDEFINED: "&amp;SUBSTITUTE(IFERROR(INDEX(nMSG_Text,MATCH("I_TREATMENT_DAY_UNDEFINED",nMSG_Code,0)),""),"[input]",""),"")&amp;IF(FK51=1," | I_APPROXIMATE_NOT_COMPARED: "&amp;SUBSTITUTE(IFERROR(INDEX(nMSG_Text,MATCH("I_APPROXIMATE_NOT_COMPARED",nMSG_Code,0)),""),"[input]",""),""),4,9999))</f>
        <v/>
      </c>
      <c r="AE51" s="21" t="str">
        <f t="shared" si="73"/>
        <v/>
      </c>
      <c r="AF51" s="21" t="str">
        <f t="shared" si="74"/>
        <v/>
      </c>
      <c r="AG51" s="21" t="str">
        <f>IF(EN51="","",MID(IF(ISNUMBER(SEARCH("E_REVERSED_BOUNDS",EN51))," | E_REVERSED_BOUNDS: "&amp;SUBSTITUTE(IFERROR(INDEX(nMSG_Text,MATCH("E_REVERSED_BOUNDS",nMSG_Code,0)),""),"[input]",""),"")&amp;IF(ISNUMBER(SEARCH("E_MISSING_INPUT",EN51))," | E_MISSING_INPUT: "&amp;SUBSTITUTE(IFERROR(INDEX(nMSG_Text,MATCH("E_MISSING_INPUT",nMSG_Code,0)),""),"[input]",IF("the source of the constraint"="","an input","the source of the constraint")),""),4,999))</f>
        <v/>
      </c>
      <c r="AH51" s="21" t="str">
        <f t="shared" si="75"/>
        <v/>
      </c>
      <c r="AI51" s="21" t="str">
        <f t="shared" si="76"/>
        <v>EX-AS/START → EV-1/ONSET</v>
      </c>
      <c r="AJ51" s="21" t="str">
        <f t="shared" si="77"/>
        <v>EX-AS/START</v>
      </c>
      <c r="AK51" s="21" t="str">
        <f t="shared" si="78"/>
        <v>EV-1/ONSET</v>
      </c>
      <c r="AL51" s="21" t="str">
        <f>IF(CY51=0,"",INDEX(nTP_ISO,CY51))</f>
        <v>2026-01-10T08:15-05:00</v>
      </c>
      <c r="AM51" s="21" t="str">
        <f>IF(CY51=0,"",INDEX(nTP_Display,CY51))</f>
        <v>10 January 2026 08:15 (UTC-05:00)</v>
      </c>
      <c r="AN51" s="21" t="str">
        <f>IF(BI51=0,"",INDEX(nTP_ISO,BI51))</f>
        <v>2026-01-10T09:15-05:00</v>
      </c>
      <c r="AO51" s="21" t="str">
        <f>IF(BI51=0,"",INDEX(nTP_Display,BI51))</f>
        <v>10 January 2026 09:15 (UTC-05:00)</v>
      </c>
      <c r="AP51" s="21" t="str">
        <f>IF(BA51=0,"",INDEX(nLNK_Exposure_Episode_ID,BA51)&amp;"")</f>
        <v>EX-AS</v>
      </c>
      <c r="AQ51" s="21" t="str">
        <f>IF(BA51=0,"",INDEX(nLNK_Event_Episode_ID,BA51)&amp;"")</f>
        <v>EV-1</v>
      </c>
      <c r="AR51" s="21" t="str">
        <f t="shared" si="79"/>
        <v>Anchor (OTHER) EX-AS/START: 2026-01-10T08:15-05:00 [timestamp with UTC offset; case measurement; original: "Antiseptic applied at cannulation"; source: Follow-up, version 2] | End point EV-1/ONSET: 2026-01-10T09:15-05:00 [timestamp with UTC offset; case measurement; original: "09:15 pt reports itching; urticaria chest and arms; audible wheeze; BP 84/52"; source: Nursing observation chart]</v>
      </c>
      <c r="AS51" s="21" t="str">
        <f>IF(EI51=0,"",MID(IF(DT51=1," | Recovery interval (C7) computed with "&amp;DS51&amp;".","")&amp;IF(BG51=1," | Anchor selected under C5 (CALC-SPEC 1.1): latest administration with an exact date or time at or before "&amp;IF(BH51=1,"onset","the end point")&amp;" ("&amp;AJ51&amp;"), ordered in UTC when offsets are known; later administrations are never selected.","")&amp;IF(AND(BG51=1,CE51&gt;0)," | Partial-date administrations wholly before the selected one were not candidates: "&amp;FC51&amp;".","")&amp;IF(BV51&lt;&gt;""," | "&amp;BV51,"")&amp;IF(AND(DS51="C2",EA51=0,DZ51&lt;&gt;"")," | Same calendar date; both times are known, so C1 decides the order ("&amp;AA51&amp;").","")&amp;IF(AND(DS51="C2",DD51*BN51=1,DT51=0)," | Calendar-date difference from the recorded local dates; it is never described as elapsed days.","")&amp;IF(AND(DS51="C4",DT51=0)," | Bounds are treated as independent; no single date is imputed from them.","")&amp;IF(EJ51=1," | Treatment day under the inclusive convention (C3); never written to E2B fields automatically.","")&amp;IF(AND(DS51="C4",DT51=0,EK51=0)," | No constraint applied.","")&amp;IF(AND(DS51="C4",EK51=1)," | Constraint applied to the anchor bounds: "&amp;IF(ISNUMBER(P51),"not before "&amp;DAY(P51)&amp;" "&amp;INDEX(nLIST_Months,MONTH(P51))&amp;" "&amp;YEAR(P51),"")&amp;IF(AND(ISNUMBER(P51),ISNUMBER(Q51)),", ","")&amp;IF(ISNUMBER(Q51),"not after "&amp;DAY(Q51)&amp;" "&amp;INDEX(nLIST_Months,MONTH(Q51))&amp;" "&amp;YEAR(Q51),"")&amp;". Source: "&amp;IF(R51="","not recorded",R51)&amp;IF(EN51="",". Constrained result shown beside the unconstrained one.",". Constrained result blocked ("&amp;EN51&amp;")."),"")&amp;IF(DT51=1,IF(EO51&gt;0," | Intervention recorded between cessation and recovery (ends included): "&amp;EZ51&amp;"."," | No intervention is recorded between cessation and recovery; absence of a record is not evidence that none was given."),"")&amp;IF(AND(DT51=1,DV51&gt;0)," | Intervention recorded without a date, so whether it came before recovery is unknown: "&amp;INDEX(nMS_Milestone_ID,MATCH(1,INDEX((nMS_CaseKey=AX51)*(nMS_Type="INTERVENTION")*nMS_Undated,0),0))&amp;IF(DV51&gt;1," and "&amp;(DV51-1)&amp;" more","")&amp;".","")&amp;IF(AND(DT51=1,EP51&gt;0)," | Not counted as interventions, because they are recorded as exposures rather than as intervention milestones (nothing is inferred): "&amp;FB51&amp;". If treatment was given, record it as an intervention milestone.",""),4,9999))</f>
        <v/>
      </c>
      <c r="AT51" s="21" t="str">
        <f t="shared" si="80"/>
        <v>The interval describes the sequence and spacing of recorded times; it is not evidence of causation.</v>
      </c>
      <c r="AU51" s="21" t="str">
        <f t="shared" si="81"/>
        <v/>
      </c>
      <c r="AV51" s="21" t="str">
        <f t="shared" si="82"/>
        <v>CALC-SPEC 1.1</v>
      </c>
      <c r="AW51" s="22">
        <f t="shared" si="83"/>
        <v>0</v>
      </c>
      <c r="AX51" s="21" t="str">
        <f t="shared" si="84"/>
        <v>EX-C01|2</v>
      </c>
      <c r="AY51" s="21" t="str">
        <f t="shared" si="85"/>
        <v>EX-C01|2|I06</v>
      </c>
      <c r="AZ51" s="22">
        <f>IF(AY51="",0,COUNTIF(nINT_Key,AY51))</f>
        <v>1</v>
      </c>
      <c r="BA51" s="22">
        <f>IF(D51="",0,IFERROR(MATCH(AX51&amp;"|"&amp;D51,nLNK_Key,0),0))</f>
        <v>24</v>
      </c>
      <c r="BB51" s="22">
        <f>IF(BA51=0,1,INDEX(nLNK_Exp_Found,BA51))</f>
        <v>1</v>
      </c>
      <c r="BC51" s="22">
        <f>IF(BA51=0,1,INDEX(nLNK_Evt_Found,BA51))</f>
        <v>1</v>
      </c>
      <c r="BD51" s="22">
        <f>IF(AP51="",0,COUNTIF(nEXP_Key,AX51&amp;"|"&amp;AP51))</f>
        <v>1</v>
      </c>
      <c r="BE51" s="22">
        <f>IF(AQ51="",0,COUNTIF(nEVT_Key,AX51&amp;"|"&amp;AQ51))</f>
        <v>1</v>
      </c>
      <c r="BF51" s="22">
        <f>IF(ISNA(MATCH(E51,nLIST_AnchorType,0)),0,1)</f>
        <v>1</v>
      </c>
      <c r="BG51" s="22">
        <f t="shared" si="86"/>
        <v>0</v>
      </c>
      <c r="BH51" s="22">
        <f t="shared" si="87"/>
        <v>1</v>
      </c>
      <c r="BI51" s="22">
        <f>IF(OR(AW51=1,AK51=""),0,IFERROR(MATCH(AX51&amp;"|"&amp;AK51,nTP_Key,0),0))</f>
        <v>312</v>
      </c>
      <c r="BJ51" s="21">
        <f>IF(BI51=0,0,INDEX(nTP_Dup,BI51))</f>
        <v>1</v>
      </c>
      <c r="BK51" s="21" t="str">
        <f>IF(BI51=0,"",INDEX(nTP_Record_Type,BI51))</f>
        <v>EVENT_ONSET</v>
      </c>
      <c r="BL51" s="21" t="str">
        <f>IF(BI51=0,"",INDEX(nTP_Precision,BI51))</f>
        <v>TIMESTAMP</v>
      </c>
      <c r="BM51" s="21" t="str">
        <f>IF(BI51=0,"",INDEX(nTP_Err,BI51))</f>
        <v/>
      </c>
      <c r="BN51" s="21">
        <f>IF(BI51=0,0,INDEX(nTP_HT,BI51))</f>
        <v>1</v>
      </c>
      <c r="BO51" s="21">
        <f>IF(BI51=0,0,INDEX(nTP_OK,BI51))</f>
        <v>1</v>
      </c>
      <c r="BP51" s="21">
        <f>IF(BI51=0,"",INDEX(nTP_Loc,BI51))</f>
        <v>66286635</v>
      </c>
      <c r="BQ51" s="21">
        <f>IF(BI51=0,"",INDEX(nTP_UTC,BI51))</f>
        <v>66286935</v>
      </c>
      <c r="BR51" s="21">
        <f>IF(BI51=0,"",INDEX(nTP_Lo,BI51))</f>
        <v>46032</v>
      </c>
      <c r="BS51" s="21">
        <f>IF(BI51=0,"",INDEX(nTP_Hi,BI51))</f>
        <v>46032</v>
      </c>
      <c r="BT51" s="21" t="str">
        <f>IF(BI51=0,"",INDEX(nTP_Original_Text,BI51))</f>
        <v>09:15 pt reports itching; urticaria chest and arms; audible wheeze; BP 84/52</v>
      </c>
      <c r="BU51" s="21" t="str">
        <f>IF(BI51=0,"",INDEX(nTP_Source,BI51))</f>
        <v>Nursing observation chart</v>
      </c>
      <c r="BV51" s="21" t="str">
        <f>IF(BI51=0,"",INDEX(nTP_Lab_Note,BI51))</f>
        <v/>
      </c>
      <c r="BW51" s="22">
        <f t="shared" si="88"/>
        <v>1</v>
      </c>
      <c r="BX51" s="21" t="str">
        <f t="shared" si="89"/>
        <v>EX-C01|2|EX-AS</v>
      </c>
      <c r="BY51" s="22">
        <f>IF(BG51=0,0,COUNTIF(nTP_CandKey,BX51))</f>
        <v>0</v>
      </c>
      <c r="BZ51" s="22">
        <f>IF(BG51=0,0,COUNTIFS(nTP_CandKey,BX51,nTP_Err,""))</f>
        <v>0</v>
      </c>
      <c r="CA51" s="21" t="str">
        <f>IF(BY51=BZ51,"",IF(COUNTIFS(nTP_CandKey,BX51,nTP_Err,"E_INVALID_DATE")&gt;0,"; E_INVALID_DATE","")&amp;IF(COUNTIFS(nTP_CandKey,BX51,nTP_Err,"E_REVERSED_BOUNDS")&gt;0,"; E_REVERSED_BOUNDS","")&amp;IF(COUNTIFS(nTP_CandKey,BX51,nTP_Err,"E_MISSING_INPUT")&gt;0,"; E_MISSING_INPUT","")&amp;IF(COUNTIFS(nTP_CandKey,BX51,nTP_Err,"E_INVALID_UNIT")&gt;0,"; E_INVALID_UNIT",""))</f>
        <v/>
      </c>
      <c r="CB51" s="22">
        <f t="shared" si="90"/>
        <v>0</v>
      </c>
      <c r="CC51" s="22">
        <f>IF(CB51=0,0,SUMPRODUCT((nTP_CandKey=BX51)*(nTP_Err="")*(1-(nTP_HT*BN51*((nTP_OK*BO51*(nTP_UTC_n-N(BQ51))+(1-nTP_OK*BO51)*(nTP_Loc_n-N(BP51)))&lt;=0)+(1-nTP_HT*BN51)*(nTP_Hi_n&lt;N(BR51)))-(nTP_HT*BN51*((nTP_OK*BO51*(nTP_UTC_n-N(BQ51))+(1-nTP_OK*BO51)*(nTP_Loc_n-N(BP51)))&gt;0)+(1-nTP_HT*BN51)*(nTP_Lo_n&gt;N(BS51)))-((1-nTP_HT*BN51)*(nTP_Lo_n=nTP_Hi_n)*(nTP_Lo_n=N(BR51))*(N(BR51)=N(BS51))))))</f>
        <v>0</v>
      </c>
      <c r="CD51" s="22">
        <f>IF(CB51=0,0,SUMPRODUCT((nTP_CandKey=BX51)*nTP_Exact*((nTP_HT*BN51*((nTP_OK*BO51*(nTP_UTC_n-N(BQ51))+(1-nTP_OK*BO51)*(nTP_Loc_n-N(BP51)))&lt;=0)+(1-nTP_HT*BN51)*(nTP_Hi_n&lt;N(BR51)))+((1-nTP_HT*BN51)*(nTP_Lo_n=nTP_Hi_n)*(nTP_Lo_n=N(BR51))*(N(BR51)=N(BS51))))))</f>
        <v>0</v>
      </c>
      <c r="CE51" s="22">
        <f>IF(CB51=0,0,SUMPRODUCT((nTP_CandKey=BX51)*(nTP_Err="")*(1-nTP_Exact)*((nTP_HT*BN51*((nTP_OK*BO51*(nTP_UTC_n-N(BQ51))+(1-nTP_OK*BO51)*(nTP_Loc_n-N(BP51)))&lt;=0)+(1-nTP_HT*BN51)*(nTP_Hi_n&lt;N(BR51)))+((1-nTP_HT*BN51)*(nTP_Lo_n=nTP_Hi_n)*(nTP_Lo_n=N(BR51))*(N(BR51)=N(BS51))))))</f>
        <v>0</v>
      </c>
      <c r="CF51" s="22">
        <f>IF(CD51=0,0,SUMPRODUCT(MAX((nTP_CandKey=BX51)*nTP_Exact*((nTP_HT*BN51*((nTP_OK*BO51*(nTP_UTC_n-N(BQ51))+(1-nTP_OK*BO51)*(nTP_Loc_n-N(BP51)))&lt;=0)+(1-nTP_HT*BN51)*(nTP_Hi_n&lt;N(BR51)))+((1-nTP_HT*BN51)*(nTP_Lo_n=nTP_Hi_n)*(nTP_Lo_n=N(BR51))*(N(BR51)=N(BS51))))*nTP_Lo_n)))</f>
        <v>0</v>
      </c>
      <c r="CG51" s="22">
        <f>IF(CD51=0,0,SUMPRODUCT((nTP_CandKey=BX51)*nTP_Exact*((nTP_HT*BN51*((nTP_OK*BO51*(nTP_UTC_n-N(BQ51))+(1-nTP_OK*BO51)*(nTP_Loc_n-N(BP51)))&lt;=0)+(1-nTP_HT*BN51)*(nTP_Hi_n&lt;N(BR51)))+((1-nTP_HT*BN51)*(nTP_Lo_n=nTP_Hi_n)*(nTP_Lo_n=N(BR51))*(N(BR51)=N(BS51))))*(nTP_Lo_n=CF51)))</f>
        <v>0</v>
      </c>
      <c r="CH51" s="22">
        <f>IF(CD51=0,0,SUMPRODUCT((nTP_CandKey=BX51)*nTP_Exact*((nTP_HT*BN51*((nTP_OK*BO51*(nTP_UTC_n-N(BQ51))+(1-nTP_OK*BO51)*(nTP_Loc_n-N(BP51)))&lt;=0)+(1-nTP_HT*BN51)*(nTP_Hi_n&lt;N(BR51)))+((1-nTP_HT*BN51)*(nTP_Lo_n=nTP_Hi_n)*(nTP_Lo_n=N(BR51))*(N(BR51)=N(BS51))))*(1-nTP_HT)*(nTP_Lo_n=CF51)))</f>
        <v>0</v>
      </c>
      <c r="CI51" s="22">
        <f>IF(CD51=0,0,SUMPRODUCT(MAX((nTP_CandKey=BX51)*nTP_Exact*((nTP_HT*BN51*((nTP_OK*BO51*(nTP_UTC_n-N(BQ51))+(1-nTP_OK*BO51)*(nTP_Loc_n-N(BP51)))&lt;=0)+(1-nTP_HT*BN51)*(nTP_Hi_n&lt;N(BR51)))+((1-nTP_HT*BN51)*(nTP_Lo_n=nTP_Hi_n)*(nTP_Lo_n=N(BR51))*(N(BR51)=N(BS51))))*(1-nTP_HT)*nTP_Lo_n)))</f>
        <v>0</v>
      </c>
      <c r="CJ51" s="22">
        <f>IF(CD51=0,0,SUMPRODUCT(MAX((nTP_CandKey=BX51)*nTP_Exact*((nTP_HT*BN51*((nTP_OK*BO51*(nTP_UTC_n-N(BQ51))+(1-nTP_OK*BO51)*(nTP_Loc_n-N(BP51)))&lt;=0)+(1-nTP_HT*BN51)*(nTP_Hi_n&lt;N(BR51)))+((1-nTP_HT*BN51)*(nTP_Lo_n=nTP_Hi_n)*(nTP_Lo_n=N(BR51))*(N(BR51)=N(BS51))))*nTP_HT*nTP_OK*nTP_UTC_n)))</f>
        <v>0</v>
      </c>
      <c r="CK51" s="22">
        <f>IF(CJ51=0,0,SUMPRODUCT((nTP_CandKey=BX51)*nTP_Exact*((nTP_HT*BN51*((nTP_OK*BO51*(nTP_UTC_n-N(BQ51))+(1-nTP_OK*BO51)*(nTP_Loc_n-N(BP51)))&lt;=0)+(1-nTP_HT*BN51)*(nTP_Hi_n&lt;N(BR51)))+((1-nTP_HT*BN51)*(nTP_Lo_n=nTP_Hi_n)*(nTP_Lo_n=N(BR51))*(N(BR51)=N(BS51))))*nTP_HT*nTP_OK*(nTP_UTC_n=CJ51)))</f>
        <v>0</v>
      </c>
      <c r="CL51" s="22">
        <f>IF(CK51&lt;&gt;1,0,SUMPRODUCT((nTP_CandKey=BX51)*nTP_Exact*((nTP_HT*BN51*((nTP_OK*BO51*(nTP_UTC_n-N(BQ51))+(1-nTP_OK*BO51)*(nTP_Loc_n-N(BP51)))&lt;=0)+(1-nTP_HT*BN51)*(nTP_Hi_n&lt;N(BR51)))+((1-nTP_HT*BN51)*(nTP_Lo_n=nTP_Hi_n)*(nTP_Lo_n=N(BR51))*(N(BR51)=N(BS51))))*nTP_HT*nTP_OK*(nTP_UTC_n=CJ51)*nTP_Loc_n))</f>
        <v>0</v>
      </c>
      <c r="CM51" s="22">
        <f>IF(CK51&lt;&gt;1,0,SUMPRODUCT((nTP_CandKey=BX51)*nTP_Exact*((nTP_HT*BN51*((nTP_OK*BO51*(nTP_UTC_n-N(BQ51))+(1-nTP_OK*BO51)*(nTP_Loc_n-N(BP51)))&lt;=0)+(1-nTP_HT*BN51)*(nTP_Hi_n&lt;N(BR51)))+((1-nTP_HT*BN51)*(nTP_Lo_n=nTP_Hi_n)*(nTP_Lo_n=N(BR51))*(N(BR51)=N(BS51))))*nTP_HT*nTP_OK*(nTP_UTC_n=CJ51)*nTP_Lo_n))</f>
        <v>0</v>
      </c>
      <c r="CN51" s="22">
        <f>IF(CD51=0,0,SUMPRODUCT(MAX((nTP_CandKey=BX51)*nTP_Exact*((nTP_HT*BN51*((nTP_OK*BO51*(nTP_UTC_n-N(BQ51))+(1-nTP_OK*BO51)*(nTP_Loc_n-N(BP51)))&lt;=0)+(1-nTP_HT*BN51)*(nTP_Hi_n&lt;N(BR51)))+((1-nTP_HT*BN51)*(nTP_Lo_n=nTP_Hi_n)*(nTP_Lo_n=N(BR51))*(N(BR51)=N(BS51))))*nTP_HT*(1-nTP_OK)*nTP_Loc_n)))</f>
        <v>0</v>
      </c>
      <c r="CO51" s="22">
        <f>IF(CN51=0,0,SUMPRODUCT((nTP_CandKey=BX51)*nTP_Exact*((nTP_HT*BN51*((nTP_OK*BO51*(nTP_UTC_n-N(BQ51))+(1-nTP_OK*BO51)*(nTP_Loc_n-N(BP51)))&lt;=0)+(1-nTP_HT*BN51)*(nTP_Hi_n&lt;N(BR51)))+((1-nTP_HT*BN51)*(nTP_Lo_n=nTP_Hi_n)*(nTP_Lo_n=N(BR51))*(N(BR51)=N(BS51))))*nTP_HT*(1-nTP_OK)*(nTP_Loc_n=CN51)))</f>
        <v>0</v>
      </c>
      <c r="CP51" s="22">
        <f>IF(CO51&lt;&gt;1,0,SUMPRODUCT((nTP_CandKey=BX51)*nTP_Exact*((nTP_HT*BN51*((nTP_OK*BO51*(nTP_UTC_n-N(BQ51))+(1-nTP_OK*BO51)*(nTP_Loc_n-N(BP51)))&lt;=0)+(1-nTP_HT*BN51)*(nTP_Hi_n&lt;N(BR51)))+((1-nTP_HT*BN51)*(nTP_Lo_n=nTP_Hi_n)*(nTP_Lo_n=N(BR51))*(N(BR51)=N(BS51))))*nTP_HT*(1-nTP_OK)*(nTP_Loc_n=CN51)*nTP_Lo_n))</f>
        <v>0</v>
      </c>
      <c r="CQ51" s="22">
        <f>IF(CD51=0,0,SUMPRODUCT(MAX((nTP_CandKey=BX51)*nTP_Exact*((nTP_HT*BN51*((nTP_OK*BO51*(nTP_UTC_n-N(BQ51))+(1-nTP_OK*BO51)*(nTP_Loc_n-N(BP51)))&lt;=0)+(1-nTP_HT*BN51)*(nTP_Hi_n&lt;N(BR51)))+((1-nTP_HT*BN51)*(nTP_Lo_n=nTP_Hi_n)*(nTP_Lo_n=N(BR51))*(N(BR51)=N(BS51))))*nTP_HT*nTP_OK*nTP_Loc_n)))</f>
        <v>0</v>
      </c>
      <c r="CR51" s="22">
        <f t="shared" si="91"/>
        <v>0</v>
      </c>
      <c r="CS51" s="22">
        <f>IF(CR51=0,0,IF(CR51=1,MATCH(1,INDEX((nTP_CandKey=BX51)*nTP_Exact*((nTP_HT*BN51*((nTP_OK*BO51*(nTP_UTC_n-N(BQ51))+(1-nTP_OK*BO51)*(nTP_Loc_n-N(BP51)))&lt;=0)+(1-nTP_HT*BN51)*(nTP_Hi_n&lt;N(BR51)))+((1-nTP_HT*BN51)*(nTP_Lo_n=nTP_Hi_n)*(nTP_Lo_n=N(BR51))*(N(BR51)=N(BS51))))*(1-nTP_HT)*(nTP_Lo_n=CF51),0),0),IF(CR51=2,MATCH(1,INDEX((nTP_CandKey=BX51)*nTP_Exact*((nTP_HT*BN51*((nTP_OK*BO51*(nTP_UTC_n-N(BQ51))+(1-nTP_OK*BO51)*(nTP_Loc_n-N(BP51)))&lt;=0)+(1-nTP_HT*BN51)*(nTP_Hi_n&lt;N(BR51)))+((1-nTP_HT*BN51)*(nTP_Lo_n=nTP_Hi_n)*(nTP_Lo_n=N(BR51))*(N(BR51)=N(BS51))))*nTP_HT*nTP_OK*(nTP_UTC_n=CJ51),0),0),MATCH(1,INDEX((nTP_CandKey=BX51)*nTP_Exact*((nTP_HT*BN51*((nTP_OK*BO51*(nTP_UTC_n-N(BQ51))+(1-nTP_OK*BO51)*(nTP_Loc_n-N(BP51)))&lt;=0)+(1-nTP_HT*BN51)*(nTP_Hi_n&lt;N(BR51)))+((1-nTP_HT*BN51)*(nTP_Lo_n=nTP_Hi_n)*(nTP_Lo_n=N(BR51))*(N(BR51)=N(BS51))))*nTP_HT*(1-nTP_OK)*(nTP_Loc_n=CN51),0),0))))</f>
        <v>0</v>
      </c>
      <c r="CT51" s="22">
        <f>IF(CS51=0,0,INDEX(nTP_Lo_n,CS51))</f>
        <v>0</v>
      </c>
      <c r="CU51" s="22">
        <f>IF(CS51=0,0,SUMPRODUCT((nTP_CandKey=BX51)*(nTP_Err="")*(1-nTP_Exact)*((nTP_HT*BN51*((nTP_OK*BO51*(nTP_UTC_n-N(BQ51))+(1-nTP_OK*BO51)*(nTP_Loc_n-N(BP51)))&lt;=0)+(1-nTP_HT*BN51)*(nTP_Hi_n&lt;N(BR51)))+((1-nTP_HT*BN51)*(nTP_Lo_n=nTP_Hi_n)*(nTP_Lo_n=N(BR51))*(N(BR51)=N(BS51))))*(nTP_Hi_n&gt;=CT51)))</f>
        <v>0</v>
      </c>
      <c r="CV51" s="21" t="str">
        <f t="shared" si="92"/>
        <v/>
      </c>
      <c r="CW51" s="21" t="str">
        <f>IF(AND(BG51=1,CB51=1,CV51="",CS51&gt;0),INDEX(nTP_Record_ID,CS51)&amp;"","")</f>
        <v/>
      </c>
      <c r="CX51" s="21" t="str">
        <f>IF(OR(CV51="",BG51=0),"",IF(CV51="none","an administration record (last dose before onset)",IF(CV51="uncertain","the anchor record: "&amp;INDEX(nTP_Record_ID,MATCH(1,INDEX((nTP_CandKey=BX51)*(nTP_Err="")*(1-(nTP_HT*BN51*((nTP_OK*BO51*(nTP_UTC_n-N(BQ51))+(1-nTP_OK*BO51)*(nTP_Loc_n-N(BP51)))&lt;=0)+(1-nTP_HT*BN51)*(nTP_Hi_n&lt;N(BR51)))-(nTP_HT*BN51*((nTP_OK*BO51*(nTP_UTC_n-N(BQ51))+(1-nTP_OK*BO51)*(nTP_Loc_n-N(BP51)))&gt;0)+(1-nTP_HT*BN51)*(nTP_Lo_n&gt;N(BS51)))-((1-nTP_HT*BN51)*(nTP_Lo_n=nTP_Hi_n)*(nTP_Lo_n=N(BR51))*(N(BR51)=N(BS51)))),0),0))&amp;IF(CC51&gt;1," and "&amp;(CC51-1)&amp;" more","")&amp;" may fall before or after the end point, so the last dose cannot be identified from the recorded dates",IF(CV51="noneligible","the anchor record: no administration with an exact date is recorded at or before the end point",IF(CV51="tie","the anchor record: the order of the latest administrations cannot be told from the recorded dates and times","the anchor record: partial-date administration "&amp;INDEX(nTP_Record_ID,MATCH(1,INDEX((nTP_CandKey=BX51)*(nTP_Err="")*(1-nTP_Exact)*((nTP_HT*BN51*((nTP_OK*BO51*(nTP_UTC_n-N(BQ51))+(1-nTP_OK*BO51)*(nTP_Loc_n-N(BP51)))&lt;=0)+(1-nTP_HT*BN51)*(nTP_Hi_n&lt;N(BR51)))+((1-nTP_HT*BN51)*(nTP_Lo_n=nTP_Hi_n)*(nTP_Lo_n=N(BR51))*(N(BR51)=N(BS51))))*(nTP_Hi_n&gt;=CT51),0),0))&amp;" could be the last dose before the end point")))))</f>
        <v/>
      </c>
      <c r="CY51" s="22">
        <f>IF(OR(AW51=1,AJ51=""),0,IFERROR(MATCH(AX51&amp;"|"&amp;AJ51,nTP_Key,0),0))</f>
        <v>34</v>
      </c>
      <c r="CZ51" s="21">
        <f>IF(CY51=0,0,INDEX(nTP_Dup,CY51))</f>
        <v>1</v>
      </c>
      <c r="DA51" s="21" t="str">
        <f>IF(CY51=0,"",INDEX(nTP_Record_Type,CY51))</f>
        <v>EXPOSURE_START</v>
      </c>
      <c r="DB51" s="21" t="str">
        <f>IF(CY51=0,"",INDEX(nTP_Precision,CY51))</f>
        <v>TIMESTAMP</v>
      </c>
      <c r="DC51" s="21" t="str">
        <f>IF(CY51=0,"",INDEX(nTP_Err,CY51))</f>
        <v/>
      </c>
      <c r="DD51" s="21">
        <f>IF(CY51=0,0,INDEX(nTP_HT,CY51))</f>
        <v>1</v>
      </c>
      <c r="DE51" s="21">
        <f>IF(CY51=0,0,INDEX(nTP_OK,CY51))</f>
        <v>1</v>
      </c>
      <c r="DF51" s="21">
        <f>IF(CY51=0,"",INDEX(nTP_Loc,CY51))</f>
        <v>66286575</v>
      </c>
      <c r="DG51" s="21">
        <f>IF(CY51=0,"",INDEX(nTP_UTC,CY51))</f>
        <v>66286875</v>
      </c>
      <c r="DH51" s="21">
        <f>IF(CY51=0,"",INDEX(nTP_Lo,CY51))</f>
        <v>46032</v>
      </c>
      <c r="DI51" s="21">
        <f>IF(CY51=0,"",INDEX(nTP_Hi,CY51))</f>
        <v>46032</v>
      </c>
      <c r="DJ51" s="21" t="str">
        <f>IF(CY51=0,"",INDEX(nTP_Original_Text,CY51))</f>
        <v>Antiseptic applied at cannulation</v>
      </c>
      <c r="DK51" s="21" t="str">
        <f>IF(CY51=0,"",INDEX(nTP_Source,CY51))</f>
        <v>Follow-up, version 2</v>
      </c>
      <c r="DL51" s="22">
        <f t="shared" si="93"/>
        <v>1</v>
      </c>
      <c r="DM51" s="21" t="str">
        <f t="shared" si="94"/>
        <v/>
      </c>
      <c r="DN51" s="21" t="str">
        <f t="shared" si="95"/>
        <v/>
      </c>
      <c r="DO51" s="21" t="str">
        <f t="shared" si="96"/>
        <v/>
      </c>
      <c r="DP51" s="21" t="str">
        <f t="shared" si="97"/>
        <v/>
      </c>
      <c r="DQ51" s="21" t="str">
        <f t="shared" si="98"/>
        <v>C1</v>
      </c>
      <c r="DR51" s="22">
        <f>IF(OR(DQ51="",I51=""),0,IF(ISNA(MATCH(I51,nLIST_Mode,0)),1,IF(AND(I51="C1",DQ51&lt;&gt;"C1"),1,IF(AND(I51="C2",DQ51="C4"),1,0))))</f>
        <v>0</v>
      </c>
      <c r="DS51" s="21" t="str">
        <f t="shared" si="99"/>
        <v>C1</v>
      </c>
      <c r="DT51" s="22">
        <f t="shared" si="100"/>
        <v>0</v>
      </c>
      <c r="DU51" s="21" t="str">
        <f>IF(DT51=0,"",IF(COUNTIFS(nTP_Case_Key,AX51,nTP_Record_Type,"MILESTONE:INTERVENTION",nTP_Err,"E_INVALID_DATE")&gt;0,"; E_INVALID_DATE","")&amp;IF(COUNTIFS(nTP_Case_Key,AX51,nTP_Record_Type,"MILESTONE:INTERVENTION",nTP_Err,"E_REVERSED_BOUNDS")&gt;0,"; E_REVERSED_BOUNDS","")&amp;IF(COUNTIFS(nTP_Case_Key,AX51,nTP_Record_Type,"MILESTONE:INTERVENTION",nTP_Err,"E_MISSING_INPUT")&gt;0,"; E_MISSING_INPUT","")&amp;IF(COUNTIFS(nTP_Case_Key,AX51,nTP_Record_Type,"MILESTONE:INTERVENTION",nTP_Err,"E_INVALID_UNIT")&gt;0,"; E_INVALID_UNIT",""))</f>
        <v/>
      </c>
      <c r="DV51" s="22">
        <f>IF(DT51=0,0,SUMPRODUCT((nMS_CaseKey=AX51)*(nMS_Type="INTERVENTION")*nMS_Undated))</f>
        <v>0</v>
      </c>
      <c r="DW51" s="21" t="str">
        <f t="shared" si="101"/>
        <v/>
      </c>
      <c r="DX51" s="21" t="str">
        <f t="shared" si="102"/>
        <v/>
      </c>
      <c r="DY51" s="22">
        <f t="shared" si="103"/>
        <v>0</v>
      </c>
      <c r="DZ51" s="21">
        <f t="shared" si="104"/>
        <v>60</v>
      </c>
      <c r="EA51" s="21" t="str">
        <f t="shared" si="105"/>
        <v/>
      </c>
      <c r="EB51" s="21" t="str">
        <f t="shared" si="106"/>
        <v/>
      </c>
      <c r="EC51" s="21" t="str">
        <f t="shared" si="107"/>
        <v/>
      </c>
      <c r="ED51" s="22">
        <f t="shared" si="108"/>
        <v>0</v>
      </c>
      <c r="EE51" s="22">
        <f t="shared" si="109"/>
        <v>0</v>
      </c>
      <c r="EF51" s="21" t="str">
        <f>IF(ED51=0,"",IF(OR(NOT(ISNUMBER(L51)),NOT(ISNUMBER(M51))),"I_APPROXIMATE_NOT_COMPARED",IF(AND(N51&lt;&gt;"",ISNA(MATCH(N51,nLIST_ReportedUnit,0))),"E_INVALID_UNIT",IF(N51="","E_MISSING_INPUT",IF(L51&gt;M51,"E_REVERSED_BOUNDS",IF(OR(N51="weeks",N51="months",N51="years"),"I_APPROXIMATE_NOT_COMPARED",IF(DX51&lt;&gt;"","",IF(EE51=0,"I_APPROXIMATE_NOT_COMPARED",IF(AND(L51*EE51&lt;=IF(DS51="C4",EC51,IF(DS51="C1",DZ51,EA51)),M51*EE51&gt;=IF(DS51="C4",EB51,IF(DS51="C1",DZ51,EA51))),"OVERLAP","W_REPORTED_TIMING_CONFLICT")))))))))</f>
        <v/>
      </c>
      <c r="EG51" s="21" t="str">
        <f t="shared" si="110"/>
        <v/>
      </c>
      <c r="EH51" s="21" t="str">
        <f t="shared" si="111"/>
        <v/>
      </c>
      <c r="EI51" s="22">
        <f t="shared" si="112"/>
        <v>1</v>
      </c>
      <c r="EJ51" s="22">
        <f t="shared" si="113"/>
        <v>0</v>
      </c>
      <c r="EK51" s="22">
        <f t="shared" si="114"/>
        <v>0</v>
      </c>
      <c r="EL51" s="28" t="str">
        <f t="shared" si="115"/>
        <v/>
      </c>
      <c r="EM51" s="28" t="str">
        <f t="shared" si="116"/>
        <v/>
      </c>
      <c r="EN51" s="21" t="str">
        <f t="shared" si="117"/>
        <v/>
      </c>
      <c r="EO51" s="22">
        <f>IF(OR(DT51=0,DX51&lt;&gt;""),0,SUMPRODUCT((nTP_Case_Key=AX51)*(nTP_Record_Type="MILESTONE:INTERVENTION")*(nTP_Err="")*(nTP_HT*DD51*BN51*(nTP_OK*DE51*(nTP_UTC_n&gt;=N(DG51))+(1-nTP_OK*DE51)*(nTP_Loc_n&gt;=N(DF51)))*(nTP_OK*BO51*(nTP_UTC_n&lt;=N(BQ51))+(1-nTP_OK*BO51)*(nTP_Loc_n&lt;=N(BP51)))+(1-nTP_HT*DD51*BN51)*(nTP_Hi_n&gt;=N(DH51))*(nTP_Lo_n&lt;=N(BS51)))))</f>
        <v>0</v>
      </c>
      <c r="EP51" s="22">
        <f>IF(OR(DT51=0,DX51&lt;&gt;""),0,SUMPRODUCT((nTP_Case_Key=AX51)*(nTP_Role="treatment of the event")*((nTP_Record_Type="EXPOSURE_START")+(nTP_Record_Type="ADMINISTRATION"))*(nTP_Err="")*(nTP_HT*DD51*BN51*(nTP_OK*DE51*(nTP_UTC_n&gt;=N(DG51))+(1-nTP_OK*DE51)*(nTP_Loc_n&gt;=N(DF51)))*(nTP_OK*BO51*(nTP_UTC_n&lt;=N(BQ51))+(1-nTP_OK*BO51)*(nTP_Loc_n&lt;=N(BP51)))+(1-nTP_HT*DD51*BN51)*(nTP_Hi_n&gt;=N(DH51))*(nTP_Lo_n&lt;=N(BS51)))))</f>
        <v>0</v>
      </c>
      <c r="EQ51" s="22">
        <f>IF(EO51&lt;1,0,IFERROR(_xlfn.AGGREGATE(15,6,nTP_RowN/((nTP_Case_Key=AX51)*(nTP_Record_Type="MILESTONE:INTERVENTION")*(nTP_Err="")*(nTP_HT*DD51*BN51*(nTP_OK*DE51*(nTP_UTC_n&gt;=N(DG51))+(1-nTP_OK*DE51)*(nTP_Loc_n&gt;=N(DF51)))*(nTP_OK*BO51*(nTP_UTC_n&lt;=N(BQ51))+(1-nTP_OK*BO51)*(nTP_Loc_n&lt;=N(BP51)))+(1-nTP_HT*DD51*BN51)*(nTP_Hi_n&gt;=N(DH51))*(nTP_Lo_n&lt;=N(BS51)))),1),0))</f>
        <v>0</v>
      </c>
      <c r="ER51" s="22">
        <f>IF(EO51&lt;2,0,IFERROR(_xlfn.AGGREGATE(15,6,nTP_RowN/((nTP_Case_Key=AX51)*(nTP_Record_Type="MILESTONE:INTERVENTION")*(nTP_Err="")*(nTP_HT*DD51*BN51*(nTP_OK*DE51*(nTP_UTC_n&gt;=N(DG51))+(1-nTP_OK*DE51)*(nTP_Loc_n&gt;=N(DF51)))*(nTP_OK*BO51*(nTP_UTC_n&lt;=N(BQ51))+(1-nTP_OK*BO51)*(nTP_Loc_n&lt;=N(BP51)))+(1-nTP_HT*DD51*BN51)*(nTP_Hi_n&gt;=N(DH51))*(nTP_Lo_n&lt;=N(BS51)))),2),0))</f>
        <v>0</v>
      </c>
      <c r="ES51" s="22">
        <f>IF(EO51&lt;3,0,IFERROR(_xlfn.AGGREGATE(15,6,nTP_RowN/((nTP_Case_Key=AX51)*(nTP_Record_Type="MILESTONE:INTERVENTION")*(nTP_Err="")*(nTP_HT*DD51*BN51*(nTP_OK*DE51*(nTP_UTC_n&gt;=N(DG51))+(1-nTP_OK*DE51)*(nTP_Loc_n&gt;=N(DF51)))*(nTP_OK*BO51*(nTP_UTC_n&lt;=N(BQ51))+(1-nTP_OK*BO51)*(nTP_Loc_n&lt;=N(BP51)))+(1-nTP_HT*DD51*BN51)*(nTP_Hi_n&gt;=N(DH51))*(nTP_Lo_n&lt;=N(BS51)))),3),0))</f>
        <v>0</v>
      </c>
      <c r="ET51" s="22">
        <f>IF(EP51&lt;1,0,IFERROR(_xlfn.AGGREGATE(15,6,nTP_RowN/((nTP_Case_Key=AX51)*(nTP_Role="treatment of the event")*((nTP_Record_Type="EXPOSURE_START")+(nTP_Record_Type="ADMINISTRATION"))*(nTP_Err="")*(nTP_HT*DD51*BN51*(nTP_OK*DE51*(nTP_UTC_n&gt;=N(DG51))+(1-nTP_OK*DE51)*(nTP_Loc_n&gt;=N(DF51)))*(nTP_OK*BO51*(nTP_UTC_n&lt;=N(BQ51))+(1-nTP_OK*BO51)*(nTP_Loc_n&lt;=N(BP51)))+(1-nTP_HT*DD51*BN51)*(nTP_Hi_n&gt;=N(DH51))*(nTP_Lo_n&lt;=N(BS51)))),1),0))</f>
        <v>0</v>
      </c>
      <c r="EU51" s="22">
        <f>IF(EP51&lt;2,0,IFERROR(_xlfn.AGGREGATE(15,6,nTP_RowN/((nTP_Case_Key=AX51)*(nTP_Role="treatment of the event")*((nTP_Record_Type="EXPOSURE_START")+(nTP_Record_Type="ADMINISTRATION"))*(nTP_Err="")*(nTP_HT*DD51*BN51*(nTP_OK*DE51*(nTP_UTC_n&gt;=N(DG51))+(1-nTP_OK*DE51)*(nTP_Loc_n&gt;=N(DF51)))*(nTP_OK*BO51*(nTP_UTC_n&lt;=N(BQ51))+(1-nTP_OK*BO51)*(nTP_Loc_n&lt;=N(BP51)))+(1-nTP_HT*DD51*BN51)*(nTP_Hi_n&gt;=N(DH51))*(nTP_Lo_n&lt;=N(BS51)))),2),0))</f>
        <v>0</v>
      </c>
      <c r="EV51" s="22">
        <f>IF(EP51&lt;3,0,IFERROR(_xlfn.AGGREGATE(15,6,nTP_RowN/((nTP_Case_Key=AX51)*(nTP_Role="treatment of the event")*((nTP_Record_Type="EXPOSURE_START")+(nTP_Record_Type="ADMINISTRATION"))*(nTP_Err="")*(nTP_HT*DD51*BN51*(nTP_OK*DE51*(nTP_UTC_n&gt;=N(DG51))+(1-nTP_OK*DE51)*(nTP_Loc_n&gt;=N(DF51)))*(nTP_OK*BO51*(nTP_UTC_n&lt;=N(BQ51))+(1-nTP_OK*BO51)*(nTP_Loc_n&lt;=N(BP51)))+(1-nTP_HT*DD51*BN51)*(nTP_Hi_n&gt;=N(DH51))*(nTP_Lo_n&lt;=N(BS51)))),3),0))</f>
        <v>0</v>
      </c>
      <c r="EW51" s="22">
        <f>IF(CE51&lt;1,0,IFERROR(_xlfn.AGGREGATE(15,6,nTP_RowN/((nTP_CandKey=BX51)*(nTP_Err="")*(1-nTP_Exact)*((nTP_HT*BN51*((nTP_OK*BO51*(nTP_UTC_n-N(BQ51))+(1-nTP_OK*BO51)*(nTP_Loc_n-N(BP51)))&lt;=0)+(1-nTP_HT*BN51)*(nTP_Hi_n&lt;N(BR51)))+((1-nTP_HT*BN51)*(nTP_Lo_n=nTP_Hi_n)*(nTP_Lo_n=N(BR51))*(N(BR51)=N(BS51))))),1),0))</f>
        <v>0</v>
      </c>
      <c r="EX51" s="22">
        <f>IF(CE51&lt;2,0,IFERROR(_xlfn.AGGREGATE(15,6,nTP_RowN/((nTP_CandKey=BX51)*(nTP_Err="")*(1-nTP_Exact)*((nTP_HT*BN51*((nTP_OK*BO51*(nTP_UTC_n-N(BQ51))+(1-nTP_OK*BO51)*(nTP_Loc_n-N(BP51)))&lt;=0)+(1-nTP_HT*BN51)*(nTP_Hi_n&lt;N(BR51)))+((1-nTP_HT*BN51)*(nTP_Lo_n=nTP_Hi_n)*(nTP_Lo_n=N(BR51))*(N(BR51)=N(BS51))))),2),0))</f>
        <v>0</v>
      </c>
      <c r="EY51" s="22">
        <f>IF(CE51&lt;3,0,IFERROR(_xlfn.AGGREGATE(15,6,nTP_RowN/((nTP_CandKey=BX51)*(nTP_Err="")*(1-nTP_Exact)*((nTP_HT*BN51*((nTP_OK*BO51*(nTP_UTC_n-N(BQ51))+(1-nTP_OK*BO51)*(nTP_Loc_n-N(BP51)))&lt;=0)+(1-nTP_HT*BN51)*(nTP_Hi_n&lt;N(BR51)))+((1-nTP_HT*BN51)*(nTP_Lo_n=nTP_Hi_n)*(nTP_Lo_n=N(BR51))*(N(BR51)=N(BS51))))),3),0))</f>
        <v>0</v>
      </c>
      <c r="EZ51" s="21" t="str">
        <f>IF(EO51=0,"",MID(IF(EQ51&gt;0,"; "&amp;INDEX(nTP_Record_ID,EQ51)&amp;IF(INDEX(nTP_Label,EQ51)="",""," ("&amp;INDEX(nTP_Label,EQ51)&amp;")"),"")&amp;IF(ER51&gt;0,"; "&amp;INDEX(nTP_Record_ID,ER51)&amp;IF(INDEX(nTP_Label,ER51)="",""," ("&amp;INDEX(nTP_Label,ER51)&amp;")"),"")&amp;IF(ES51&gt;0,"; "&amp;INDEX(nTP_Record_ID,ES51)&amp;IF(INDEX(nTP_Label,ES51)="",""," ("&amp;INDEX(nTP_Label,ES51)&amp;")"),"")&amp;IF(EO51&gt;3,"; and "&amp;(EO51-3)&amp;" more",""),3,999))</f>
        <v/>
      </c>
      <c r="FA51" s="21" t="str">
        <f>IF(EO51=0,"",MID(IF(EQ51&gt;0,"; "&amp;INDEX(nTP_Record_ID,EQ51),"")&amp;IF(ER51&gt;0,"; "&amp;INDEX(nTP_Record_ID,ER51),"")&amp;IF(ES51&gt;0,"; "&amp;INDEX(nTP_Record_ID,ES51),"")&amp;IF(EO51&gt;3,"; and "&amp;(EO51-3)&amp;" more",""),3,999))</f>
        <v/>
      </c>
      <c r="FB51" s="21" t="str">
        <f>IF(EP51=0,"",MID(IF(ET51&gt;0,"; "&amp;INDEX(nTP_Record_ID,ET51)&amp;IF(INDEX(nTP_Label,ET51)="",""," ("&amp;INDEX(nTP_Label,ET51)&amp;")"),"")&amp;IF(EU51&gt;0,"; "&amp;INDEX(nTP_Record_ID,EU51)&amp;IF(INDEX(nTP_Label,EU51)="",""," ("&amp;INDEX(nTP_Label,EU51)&amp;")"),"")&amp;IF(EV51&gt;0,"; "&amp;INDEX(nTP_Record_ID,EV51)&amp;IF(INDEX(nTP_Label,EV51)="",""," ("&amp;INDEX(nTP_Label,EV51)&amp;")"),"")&amp;IF(EP51&gt;3,"; and "&amp;(EP51-3)&amp;" more",""),3,999))</f>
        <v/>
      </c>
      <c r="FC51" s="21" t="str">
        <f>IF(CE51=0,"",MID(IF(EW51&gt;0,"; "&amp;INDEX(nTP_Record_ID,EW51),"")&amp;IF(EX51&gt;0,"; "&amp;INDEX(nTP_Record_ID,EX51),"")&amp;IF(EY51&gt;0,"; "&amp;INDEX(nTP_Record_ID,EY51),"")&amp;IF(CE51&gt;3,"; and "&amp;(CE51-3)&amp;" more",""),3,999))</f>
        <v/>
      </c>
      <c r="FD51" s="22">
        <f t="shared" si="118"/>
        <v>0</v>
      </c>
      <c r="FE51" s="22">
        <f t="shared" si="119"/>
        <v>0</v>
      </c>
      <c r="FF51" s="22">
        <f t="shared" si="120"/>
        <v>0</v>
      </c>
      <c r="FG51" s="22">
        <f t="shared" si="121"/>
        <v>0</v>
      </c>
      <c r="FH51" s="22">
        <f t="shared" si="122"/>
        <v>0</v>
      </c>
      <c r="FI51" s="22">
        <f t="shared" si="123"/>
        <v>0</v>
      </c>
      <c r="FJ51" s="22">
        <f t="shared" si="124"/>
        <v>0</v>
      </c>
      <c r="FK51" s="22">
        <f t="shared" si="125"/>
        <v>0</v>
      </c>
    </row>
    <row r="52" spans="1:167" x14ac:dyDescent="0.2">
      <c r="A52" s="9" t="s">
        <v>1142</v>
      </c>
      <c r="B52" s="9" t="s">
        <v>297</v>
      </c>
      <c r="C52" s="11">
        <v>2</v>
      </c>
      <c r="D52" s="9" t="s">
        <v>894</v>
      </c>
      <c r="E52" s="16" t="s">
        <v>57</v>
      </c>
      <c r="F52" s="9" t="s">
        <v>1143</v>
      </c>
      <c r="G52" s="9" t="s">
        <v>798</v>
      </c>
      <c r="H52" s="9" t="s">
        <v>1128</v>
      </c>
      <c r="I52" s="16" t="s">
        <v>59</v>
      </c>
      <c r="J52" s="16"/>
      <c r="K52" s="9"/>
      <c r="L52" s="16"/>
      <c r="M52" s="16"/>
      <c r="N52" s="16"/>
      <c r="O52" s="9"/>
      <c r="P52" s="14"/>
      <c r="Q52" s="14"/>
      <c r="R52" s="9"/>
      <c r="S52" s="9"/>
      <c r="T52" s="21" t="str">
        <f t="shared" si="63"/>
        <v>25 minutes</v>
      </c>
      <c r="U52" s="21" t="str">
        <f t="shared" si="64"/>
        <v>25 minutes</v>
      </c>
      <c r="V52" s="21">
        <f t="shared" si="65"/>
        <v>25</v>
      </c>
      <c r="W52" s="21" t="str">
        <f t="shared" si="66"/>
        <v/>
      </c>
      <c r="X52" s="21" t="str">
        <f t="shared" si="67"/>
        <v/>
      </c>
      <c r="Y52" s="21" t="str">
        <f t="shared" si="68"/>
        <v>minutes</v>
      </c>
      <c r="Z52" s="21" t="str">
        <f t="shared" si="69"/>
        <v>C1</v>
      </c>
      <c r="AA52" s="21" t="str">
        <f t="shared" si="70"/>
        <v>AFTER</v>
      </c>
      <c r="AB52" s="21" t="str">
        <f t="shared" si="71"/>
        <v/>
      </c>
      <c r="AC52" s="21" t="str">
        <f t="shared" si="72"/>
        <v/>
      </c>
      <c r="AD52" s="21" t="str">
        <f>IF(AW52=1,"",MID(IF(ISNUMBER(SEARCH("E_INVALID_DATE",EG52))," | E_INVALID_DATE: "&amp;SUBSTITUTE(IFERROR(INDEX(nMSG_Text,MATCH("E_INVALID_DATE",nMSG_Code,0)),""),"[input]",""),"")&amp;IF(ISNUMBER(SEARCH("E_REVERSED_BOUNDS",EG52))," | E_REVERSED_BOUNDS: "&amp;SUBSTITUTE(IFERROR(INDEX(nMSG_Text,MATCH("E_REVERSED_BOUNDS",nMSG_Code,0)),""),"[input]",""),"")&amp;IF(ISNUMBER(SEARCH("E_DUPLICATE_ID",EG52))," | E_DUPLICATE_ID: "&amp;SUBSTITUTE(IFERROR(INDEX(nMSG_Text,MATCH("E_DUPLICATE_ID",nMSG_Code,0)),""),"[input]",""),"")&amp;IF(ISNUMBER(SEARCH("E_MISSING_LINK",EG52))," | E_MISSING_LINK: "&amp;SUBSTITUTE(IFERROR(INDEX(nMSG_Text,MATCH("E_MISSING_LINK",nMSG_Code,0)),""),"[input]",""),"")&amp;IF(ISNUMBER(SEARCH("E_MISSING_INPUT",EG52))," | E_MISSING_INPUT: "&amp;SUBSTITUTE(IFERROR(INDEX(nMSG_Text,MATCH("E_MISSING_INPUT",nMSG_Code,0)),""),"[input]",IF(EH52="","an input",EH52)),"")&amp;IF(ISNUMBER(SEARCH("E_INVALID_UNIT",EG52))," | E_INVALID_UNIT: "&amp;SUBSTITUTE(IFERROR(INDEX(nMSG_Text,MATCH("E_INVALID_UNIT",nMSG_Code,0)),""),"[input]",""),"")&amp;IF(FD52=1," | W_TZ_UNKNOWN: "&amp;SUBSTITUTE(IFERROR(INDEX(nMSG_Text,MATCH("W_TZ_UNKNOWN",nMSG_Code,0)),""),"[input]",""),"")&amp;IF(FE52=1," | W_SAME_DATE_ORDER_UNKNOWN: "&amp;SUBSTITUTE(IFERROR(INDEX(nMSG_Text,MATCH("W_SAME_DATE_ORDER_UNKNOWN",nMSG_Code,0)),""),"[input]",""),"")&amp;IF(FF52=1," | W_SEQUENCE_UNCERTAIN: "&amp;SUBSTITUTE(IFERROR(INDEX(nMSG_Text,MATCH("W_SEQUENCE_UNCERTAIN",nMSG_Code,0)),""),"[input]",""),"")&amp;IF(FG52=1," | W_ADMIN_SAME_DATE_AS_ONSET: "&amp;SUBSTITUTE(IFERROR(INDEX(nMSG_Text,MATCH("W_ADMIN_SAME_DATE_AS_ONSET",nMSG_Code,0)),""),"[input]",""),"")&amp;IF(FH52=1," | W_REPORTED_TIMING_CONFLICT: "&amp;SUBSTITUTE(IFERROR(INDEX(nMSG_Text,MATCH("W_REPORTED_TIMING_CONFLICT",nMSG_Code,0)),""),"[input]",""),"")&amp;IF(FI52=1," | W_INTERVENTION_BEFORE_RECOVERY: "&amp;SUBSTITUTE(IFERROR(INDEX(nMSG_Text,MATCH("W_INTERVENTION_BEFORE_RECOVERY",nMSG_Code,0)),""),"[input]",""),"")&amp;IF(FJ52=1," | I_TREATMENT_DAY_UNDEFINED: "&amp;SUBSTITUTE(IFERROR(INDEX(nMSG_Text,MATCH("I_TREATMENT_DAY_UNDEFINED",nMSG_Code,0)),""),"[input]",""),"")&amp;IF(FK52=1," | I_APPROXIMATE_NOT_COMPARED: "&amp;SUBSTITUTE(IFERROR(INDEX(nMSG_Text,MATCH("I_APPROXIMATE_NOT_COMPARED",nMSG_Code,0)),""),"[input]",""),""),4,9999))</f>
        <v/>
      </c>
      <c r="AE52" s="21" t="str">
        <f t="shared" si="73"/>
        <v/>
      </c>
      <c r="AF52" s="21" t="str">
        <f t="shared" si="74"/>
        <v/>
      </c>
      <c r="AG52" s="21" t="str">
        <f>IF(EN52="","",MID(IF(ISNUMBER(SEARCH("E_REVERSED_BOUNDS",EN52))," | E_REVERSED_BOUNDS: "&amp;SUBSTITUTE(IFERROR(INDEX(nMSG_Text,MATCH("E_REVERSED_BOUNDS",nMSG_Code,0)),""),"[input]",""),"")&amp;IF(ISNUMBER(SEARCH("E_MISSING_INPUT",EN52))," | E_MISSING_INPUT: "&amp;SUBSTITUTE(IFERROR(INDEX(nMSG_Text,MATCH("E_MISSING_INPUT",nMSG_Code,0)),""),"[input]",IF("the source of the constraint"="","an input","the source of the constraint")),""),4,999))</f>
        <v/>
      </c>
      <c r="AH52" s="21" t="str">
        <f t="shared" si="75"/>
        <v/>
      </c>
      <c r="AI52" s="21" t="str">
        <f t="shared" si="76"/>
        <v>M-BASE → EV-1/ONSET</v>
      </c>
      <c r="AJ52" s="21" t="str">
        <f t="shared" si="77"/>
        <v>M-BASE</v>
      </c>
      <c r="AK52" s="21" t="str">
        <f t="shared" si="78"/>
        <v>EV-1/ONSET</v>
      </c>
      <c r="AL52" s="21" t="str">
        <f>IF(CY52=0,"",INDEX(nTP_ISO,CY52))</f>
        <v>2026-01-10T08:50-05:00</v>
      </c>
      <c r="AM52" s="21" t="str">
        <f>IF(CY52=0,"",INDEX(nTP_Display,CY52))</f>
        <v>10 January 2026 08:50 (UTC-05:00)</v>
      </c>
      <c r="AN52" s="21" t="str">
        <f>IF(BI52=0,"",INDEX(nTP_ISO,BI52))</f>
        <v>2026-01-10T09:15-05:00</v>
      </c>
      <c r="AO52" s="21" t="str">
        <f>IF(BI52=0,"",INDEX(nTP_Display,BI52))</f>
        <v>10 January 2026 09:15 (UTC-05:00)</v>
      </c>
      <c r="AP52" s="21" t="str">
        <f>IF(BA52=0,"",INDEX(nLNK_Exposure_Episode_ID,BA52)&amp;"")</f>
        <v>EX-A</v>
      </c>
      <c r="AQ52" s="21" t="str">
        <f>IF(BA52=0,"",INDEX(nLNK_Event_Episode_ID,BA52)&amp;"")</f>
        <v>EV-1</v>
      </c>
      <c r="AR52" s="21" t="str">
        <f t="shared" si="79"/>
        <v>Anchor (OTHER) M-BASE: 2026-01-10T08:50-05:00 [timestamp with UTC offset; case measurement; original: "08:50 pre-infusion obs"; source: Nursing chart] | End point EV-1/ONSET: 2026-01-10T09:15-05:00 [timestamp with UTC offset; case measurement; original: "09:15 pt reports itching; urticaria chest and arms; audible wheeze; BP 84/52"; source: Nursing observation chart]</v>
      </c>
      <c r="AS52" s="21" t="str">
        <f>IF(EI52=0,"",MID(IF(DT52=1," | Recovery interval (C7) computed with "&amp;DS52&amp;".","")&amp;IF(BG52=1," | Anchor selected under C5 (CALC-SPEC 1.1): latest administration with an exact date or time at or before "&amp;IF(BH52=1,"onset","the end point")&amp;" ("&amp;AJ52&amp;"), ordered in UTC when offsets are known; later administrations are never selected.","")&amp;IF(AND(BG52=1,CE52&gt;0)," | Partial-date administrations wholly before the selected one were not candidates: "&amp;FC52&amp;".","")&amp;IF(BV52&lt;&gt;""," | "&amp;BV52,"")&amp;IF(AND(DS52="C2",EA52=0,DZ52&lt;&gt;"")," | Same calendar date; both times are known, so C1 decides the order ("&amp;AA52&amp;").","")&amp;IF(AND(DS52="C2",DD52*BN52=1,DT52=0)," | Calendar-date difference from the recorded local dates; it is never described as elapsed days.","")&amp;IF(AND(DS52="C4",DT52=0)," | Bounds are treated as independent; no single date is imputed from them.","")&amp;IF(EJ52=1," | Treatment day under the inclusive convention (C3); never written to E2B fields automatically.","")&amp;IF(AND(DS52="C4",DT52=0,EK52=0)," | No constraint applied.","")&amp;IF(AND(DS52="C4",EK52=1)," | Constraint applied to the anchor bounds: "&amp;IF(ISNUMBER(P52),"not before "&amp;DAY(P52)&amp;" "&amp;INDEX(nLIST_Months,MONTH(P52))&amp;" "&amp;YEAR(P52),"")&amp;IF(AND(ISNUMBER(P52),ISNUMBER(Q52)),", ","")&amp;IF(ISNUMBER(Q52),"not after "&amp;DAY(Q52)&amp;" "&amp;INDEX(nLIST_Months,MONTH(Q52))&amp;" "&amp;YEAR(Q52),"")&amp;". Source: "&amp;IF(R52="","not recorded",R52)&amp;IF(EN52="",". Constrained result shown beside the unconstrained one.",". Constrained result blocked ("&amp;EN52&amp;")."),"")&amp;IF(DT52=1,IF(EO52&gt;0," | Intervention recorded between cessation and recovery (ends included): "&amp;EZ52&amp;"."," | No intervention is recorded between cessation and recovery; absence of a record is not evidence that none was given."),"")&amp;IF(AND(DT52=1,DV52&gt;0)," | Intervention recorded without a date, so whether it came before recovery is unknown: "&amp;INDEX(nMS_Milestone_ID,MATCH(1,INDEX((nMS_CaseKey=AX52)*(nMS_Type="INTERVENTION")*nMS_Undated,0),0))&amp;IF(DV52&gt;1," and "&amp;(DV52-1)&amp;" more","")&amp;".","")&amp;IF(AND(DT52=1,EP52&gt;0)," | Not counted as interventions, because they are recorded as exposures rather than as intervention milestones (nothing is inferred): "&amp;FB52&amp;". If treatment was given, record it as an intervention milestone.",""),4,9999))</f>
        <v/>
      </c>
      <c r="AT52" s="21" t="str">
        <f t="shared" si="80"/>
        <v>The interval describes the sequence and spacing of recorded times; it is not evidence of causation.</v>
      </c>
      <c r="AU52" s="21" t="str">
        <f t="shared" si="81"/>
        <v/>
      </c>
      <c r="AV52" s="21" t="str">
        <f t="shared" si="82"/>
        <v>CALC-SPEC 1.1</v>
      </c>
      <c r="AW52" s="22">
        <f t="shared" si="83"/>
        <v>0</v>
      </c>
      <c r="AX52" s="21" t="str">
        <f t="shared" si="84"/>
        <v>EX-C01|2</v>
      </c>
      <c r="AY52" s="21" t="str">
        <f t="shared" si="85"/>
        <v>EX-C01|2|I07</v>
      </c>
      <c r="AZ52" s="22">
        <f>IF(AY52="",0,COUNTIF(nINT_Key,AY52))</f>
        <v>1</v>
      </c>
      <c r="BA52" s="22">
        <f>IF(D52="",0,IFERROR(MATCH(AX52&amp;"|"&amp;D52,nLNK_Key,0),0))</f>
        <v>22</v>
      </c>
      <c r="BB52" s="22">
        <f>IF(BA52=0,1,INDEX(nLNK_Exp_Found,BA52))</f>
        <v>1</v>
      </c>
      <c r="BC52" s="22">
        <f>IF(BA52=0,1,INDEX(nLNK_Evt_Found,BA52))</f>
        <v>1</v>
      </c>
      <c r="BD52" s="22">
        <f>IF(AP52="",0,COUNTIF(nEXP_Key,AX52&amp;"|"&amp;AP52))</f>
        <v>1</v>
      </c>
      <c r="BE52" s="22">
        <f>IF(AQ52="",0,COUNTIF(nEVT_Key,AX52&amp;"|"&amp;AQ52))</f>
        <v>1</v>
      </c>
      <c r="BF52" s="22">
        <f>IF(ISNA(MATCH(E52,nLIST_AnchorType,0)),0,1)</f>
        <v>1</v>
      </c>
      <c r="BG52" s="22">
        <f t="shared" si="86"/>
        <v>0</v>
      </c>
      <c r="BH52" s="22">
        <f t="shared" si="87"/>
        <v>1</v>
      </c>
      <c r="BI52" s="22">
        <f>IF(OR(AW52=1,AK52=""),0,IFERROR(MATCH(AX52&amp;"|"&amp;AK52,nTP_Key,0),0))</f>
        <v>312</v>
      </c>
      <c r="BJ52" s="21">
        <f>IF(BI52=0,0,INDEX(nTP_Dup,BI52))</f>
        <v>1</v>
      </c>
      <c r="BK52" s="21" t="str">
        <f>IF(BI52=0,"",INDEX(nTP_Record_Type,BI52))</f>
        <v>EVENT_ONSET</v>
      </c>
      <c r="BL52" s="21" t="str">
        <f>IF(BI52=0,"",INDEX(nTP_Precision,BI52))</f>
        <v>TIMESTAMP</v>
      </c>
      <c r="BM52" s="21" t="str">
        <f>IF(BI52=0,"",INDEX(nTP_Err,BI52))</f>
        <v/>
      </c>
      <c r="BN52" s="21">
        <f>IF(BI52=0,0,INDEX(nTP_HT,BI52))</f>
        <v>1</v>
      </c>
      <c r="BO52" s="21">
        <f>IF(BI52=0,0,INDEX(nTP_OK,BI52))</f>
        <v>1</v>
      </c>
      <c r="BP52" s="21">
        <f>IF(BI52=0,"",INDEX(nTP_Loc,BI52))</f>
        <v>66286635</v>
      </c>
      <c r="BQ52" s="21">
        <f>IF(BI52=0,"",INDEX(nTP_UTC,BI52))</f>
        <v>66286935</v>
      </c>
      <c r="BR52" s="21">
        <f>IF(BI52=0,"",INDEX(nTP_Lo,BI52))</f>
        <v>46032</v>
      </c>
      <c r="BS52" s="21">
        <f>IF(BI52=0,"",INDEX(nTP_Hi,BI52))</f>
        <v>46032</v>
      </c>
      <c r="BT52" s="21" t="str">
        <f>IF(BI52=0,"",INDEX(nTP_Original_Text,BI52))</f>
        <v>09:15 pt reports itching; urticaria chest and arms; audible wheeze; BP 84/52</v>
      </c>
      <c r="BU52" s="21" t="str">
        <f>IF(BI52=0,"",INDEX(nTP_Source,BI52))</f>
        <v>Nursing observation chart</v>
      </c>
      <c r="BV52" s="21" t="str">
        <f>IF(BI52=0,"",INDEX(nTP_Lab_Note,BI52))</f>
        <v/>
      </c>
      <c r="BW52" s="22">
        <f t="shared" si="88"/>
        <v>1</v>
      </c>
      <c r="BX52" s="21" t="str">
        <f t="shared" si="89"/>
        <v>EX-C01|2|EX-A</v>
      </c>
      <c r="BY52" s="22">
        <f>IF(BG52=0,0,COUNTIF(nTP_CandKey,BX52))</f>
        <v>0</v>
      </c>
      <c r="BZ52" s="22">
        <f>IF(BG52=0,0,COUNTIFS(nTP_CandKey,BX52,nTP_Err,""))</f>
        <v>0</v>
      </c>
      <c r="CA52" s="21" t="str">
        <f>IF(BY52=BZ52,"",IF(COUNTIFS(nTP_CandKey,BX52,nTP_Err,"E_INVALID_DATE")&gt;0,"; E_INVALID_DATE","")&amp;IF(COUNTIFS(nTP_CandKey,BX52,nTP_Err,"E_REVERSED_BOUNDS")&gt;0,"; E_REVERSED_BOUNDS","")&amp;IF(COUNTIFS(nTP_CandKey,BX52,nTP_Err,"E_MISSING_INPUT")&gt;0,"; E_MISSING_INPUT","")&amp;IF(COUNTIFS(nTP_CandKey,BX52,nTP_Err,"E_INVALID_UNIT")&gt;0,"; E_INVALID_UNIT",""))</f>
        <v/>
      </c>
      <c r="CB52" s="22">
        <f t="shared" si="90"/>
        <v>0</v>
      </c>
      <c r="CC52" s="22">
        <f>IF(CB52=0,0,SUMPRODUCT((nTP_CandKey=BX52)*(nTP_Err="")*(1-(nTP_HT*BN52*((nTP_OK*BO52*(nTP_UTC_n-N(BQ52))+(1-nTP_OK*BO52)*(nTP_Loc_n-N(BP52)))&lt;=0)+(1-nTP_HT*BN52)*(nTP_Hi_n&lt;N(BR52)))-(nTP_HT*BN52*((nTP_OK*BO52*(nTP_UTC_n-N(BQ52))+(1-nTP_OK*BO52)*(nTP_Loc_n-N(BP52)))&gt;0)+(1-nTP_HT*BN52)*(nTP_Lo_n&gt;N(BS52)))-((1-nTP_HT*BN52)*(nTP_Lo_n=nTP_Hi_n)*(nTP_Lo_n=N(BR52))*(N(BR52)=N(BS52))))))</f>
        <v>0</v>
      </c>
      <c r="CD52" s="22">
        <f>IF(CB52=0,0,SUMPRODUCT((nTP_CandKey=BX52)*nTP_Exact*((nTP_HT*BN52*((nTP_OK*BO52*(nTP_UTC_n-N(BQ52))+(1-nTP_OK*BO52)*(nTP_Loc_n-N(BP52)))&lt;=0)+(1-nTP_HT*BN52)*(nTP_Hi_n&lt;N(BR52)))+((1-nTP_HT*BN52)*(nTP_Lo_n=nTP_Hi_n)*(nTP_Lo_n=N(BR52))*(N(BR52)=N(BS52))))))</f>
        <v>0</v>
      </c>
      <c r="CE52" s="22">
        <f>IF(CB52=0,0,SUMPRODUCT((nTP_CandKey=BX52)*(nTP_Err="")*(1-nTP_Exact)*((nTP_HT*BN52*((nTP_OK*BO52*(nTP_UTC_n-N(BQ52))+(1-nTP_OK*BO52)*(nTP_Loc_n-N(BP52)))&lt;=0)+(1-nTP_HT*BN52)*(nTP_Hi_n&lt;N(BR52)))+((1-nTP_HT*BN52)*(nTP_Lo_n=nTP_Hi_n)*(nTP_Lo_n=N(BR52))*(N(BR52)=N(BS52))))))</f>
        <v>0</v>
      </c>
      <c r="CF52" s="22">
        <f>IF(CD52=0,0,SUMPRODUCT(MAX((nTP_CandKey=BX52)*nTP_Exact*((nTP_HT*BN52*((nTP_OK*BO52*(nTP_UTC_n-N(BQ52))+(1-nTP_OK*BO52)*(nTP_Loc_n-N(BP52)))&lt;=0)+(1-nTP_HT*BN52)*(nTP_Hi_n&lt;N(BR52)))+((1-nTP_HT*BN52)*(nTP_Lo_n=nTP_Hi_n)*(nTP_Lo_n=N(BR52))*(N(BR52)=N(BS52))))*nTP_Lo_n)))</f>
        <v>0</v>
      </c>
      <c r="CG52" s="22">
        <f>IF(CD52=0,0,SUMPRODUCT((nTP_CandKey=BX52)*nTP_Exact*((nTP_HT*BN52*((nTP_OK*BO52*(nTP_UTC_n-N(BQ52))+(1-nTP_OK*BO52)*(nTP_Loc_n-N(BP52)))&lt;=0)+(1-nTP_HT*BN52)*(nTP_Hi_n&lt;N(BR52)))+((1-nTP_HT*BN52)*(nTP_Lo_n=nTP_Hi_n)*(nTP_Lo_n=N(BR52))*(N(BR52)=N(BS52))))*(nTP_Lo_n=CF52)))</f>
        <v>0</v>
      </c>
      <c r="CH52" s="22">
        <f>IF(CD52=0,0,SUMPRODUCT((nTP_CandKey=BX52)*nTP_Exact*((nTP_HT*BN52*((nTP_OK*BO52*(nTP_UTC_n-N(BQ52))+(1-nTP_OK*BO52)*(nTP_Loc_n-N(BP52)))&lt;=0)+(1-nTP_HT*BN52)*(nTP_Hi_n&lt;N(BR52)))+((1-nTP_HT*BN52)*(nTP_Lo_n=nTP_Hi_n)*(nTP_Lo_n=N(BR52))*(N(BR52)=N(BS52))))*(1-nTP_HT)*(nTP_Lo_n=CF52)))</f>
        <v>0</v>
      </c>
      <c r="CI52" s="22">
        <f>IF(CD52=0,0,SUMPRODUCT(MAX((nTP_CandKey=BX52)*nTP_Exact*((nTP_HT*BN52*((nTP_OK*BO52*(nTP_UTC_n-N(BQ52))+(1-nTP_OK*BO52)*(nTP_Loc_n-N(BP52)))&lt;=0)+(1-nTP_HT*BN52)*(nTP_Hi_n&lt;N(BR52)))+((1-nTP_HT*BN52)*(nTP_Lo_n=nTP_Hi_n)*(nTP_Lo_n=N(BR52))*(N(BR52)=N(BS52))))*(1-nTP_HT)*nTP_Lo_n)))</f>
        <v>0</v>
      </c>
      <c r="CJ52" s="22">
        <f>IF(CD52=0,0,SUMPRODUCT(MAX((nTP_CandKey=BX52)*nTP_Exact*((nTP_HT*BN52*((nTP_OK*BO52*(nTP_UTC_n-N(BQ52))+(1-nTP_OK*BO52)*(nTP_Loc_n-N(BP52)))&lt;=0)+(1-nTP_HT*BN52)*(nTP_Hi_n&lt;N(BR52)))+((1-nTP_HT*BN52)*(nTP_Lo_n=nTP_Hi_n)*(nTP_Lo_n=N(BR52))*(N(BR52)=N(BS52))))*nTP_HT*nTP_OK*nTP_UTC_n)))</f>
        <v>0</v>
      </c>
      <c r="CK52" s="22">
        <f>IF(CJ52=0,0,SUMPRODUCT((nTP_CandKey=BX52)*nTP_Exact*((nTP_HT*BN52*((nTP_OK*BO52*(nTP_UTC_n-N(BQ52))+(1-nTP_OK*BO52)*(nTP_Loc_n-N(BP52)))&lt;=0)+(1-nTP_HT*BN52)*(nTP_Hi_n&lt;N(BR52)))+((1-nTP_HT*BN52)*(nTP_Lo_n=nTP_Hi_n)*(nTP_Lo_n=N(BR52))*(N(BR52)=N(BS52))))*nTP_HT*nTP_OK*(nTP_UTC_n=CJ52)))</f>
        <v>0</v>
      </c>
      <c r="CL52" s="22">
        <f>IF(CK52&lt;&gt;1,0,SUMPRODUCT((nTP_CandKey=BX52)*nTP_Exact*((nTP_HT*BN52*((nTP_OK*BO52*(nTP_UTC_n-N(BQ52))+(1-nTP_OK*BO52)*(nTP_Loc_n-N(BP52)))&lt;=0)+(1-nTP_HT*BN52)*(nTP_Hi_n&lt;N(BR52)))+((1-nTP_HT*BN52)*(nTP_Lo_n=nTP_Hi_n)*(nTP_Lo_n=N(BR52))*(N(BR52)=N(BS52))))*nTP_HT*nTP_OK*(nTP_UTC_n=CJ52)*nTP_Loc_n))</f>
        <v>0</v>
      </c>
      <c r="CM52" s="22">
        <f>IF(CK52&lt;&gt;1,0,SUMPRODUCT((nTP_CandKey=BX52)*nTP_Exact*((nTP_HT*BN52*((nTP_OK*BO52*(nTP_UTC_n-N(BQ52))+(1-nTP_OK*BO52)*(nTP_Loc_n-N(BP52)))&lt;=0)+(1-nTP_HT*BN52)*(nTP_Hi_n&lt;N(BR52)))+((1-nTP_HT*BN52)*(nTP_Lo_n=nTP_Hi_n)*(nTP_Lo_n=N(BR52))*(N(BR52)=N(BS52))))*nTP_HT*nTP_OK*(nTP_UTC_n=CJ52)*nTP_Lo_n))</f>
        <v>0</v>
      </c>
      <c r="CN52" s="22">
        <f>IF(CD52=0,0,SUMPRODUCT(MAX((nTP_CandKey=BX52)*nTP_Exact*((nTP_HT*BN52*((nTP_OK*BO52*(nTP_UTC_n-N(BQ52))+(1-nTP_OK*BO52)*(nTP_Loc_n-N(BP52)))&lt;=0)+(1-nTP_HT*BN52)*(nTP_Hi_n&lt;N(BR52)))+((1-nTP_HT*BN52)*(nTP_Lo_n=nTP_Hi_n)*(nTP_Lo_n=N(BR52))*(N(BR52)=N(BS52))))*nTP_HT*(1-nTP_OK)*nTP_Loc_n)))</f>
        <v>0</v>
      </c>
      <c r="CO52" s="22">
        <f>IF(CN52=0,0,SUMPRODUCT((nTP_CandKey=BX52)*nTP_Exact*((nTP_HT*BN52*((nTP_OK*BO52*(nTP_UTC_n-N(BQ52))+(1-nTP_OK*BO52)*(nTP_Loc_n-N(BP52)))&lt;=0)+(1-nTP_HT*BN52)*(nTP_Hi_n&lt;N(BR52)))+((1-nTP_HT*BN52)*(nTP_Lo_n=nTP_Hi_n)*(nTP_Lo_n=N(BR52))*(N(BR52)=N(BS52))))*nTP_HT*(1-nTP_OK)*(nTP_Loc_n=CN52)))</f>
        <v>0</v>
      </c>
      <c r="CP52" s="22">
        <f>IF(CO52&lt;&gt;1,0,SUMPRODUCT((nTP_CandKey=BX52)*nTP_Exact*((nTP_HT*BN52*((nTP_OK*BO52*(nTP_UTC_n-N(BQ52))+(1-nTP_OK*BO52)*(nTP_Loc_n-N(BP52)))&lt;=0)+(1-nTP_HT*BN52)*(nTP_Hi_n&lt;N(BR52)))+((1-nTP_HT*BN52)*(nTP_Lo_n=nTP_Hi_n)*(nTP_Lo_n=N(BR52))*(N(BR52)=N(BS52))))*nTP_HT*(1-nTP_OK)*(nTP_Loc_n=CN52)*nTP_Lo_n))</f>
        <v>0</v>
      </c>
      <c r="CQ52" s="22">
        <f>IF(CD52=0,0,SUMPRODUCT(MAX((nTP_CandKey=BX52)*nTP_Exact*((nTP_HT*BN52*((nTP_OK*BO52*(nTP_UTC_n-N(BQ52))+(1-nTP_OK*BO52)*(nTP_Loc_n-N(BP52)))&lt;=0)+(1-nTP_HT*BN52)*(nTP_Hi_n&lt;N(BR52)))+((1-nTP_HT*BN52)*(nTP_Lo_n=nTP_Hi_n)*(nTP_Lo_n=N(BR52))*(N(BR52)=N(BS52))))*nTP_HT*nTP_OK*nTP_Loc_n)))</f>
        <v>0</v>
      </c>
      <c r="CR52" s="22">
        <f t="shared" si="91"/>
        <v>0</v>
      </c>
      <c r="CS52" s="22">
        <f>IF(CR52=0,0,IF(CR52=1,MATCH(1,INDEX((nTP_CandKey=BX52)*nTP_Exact*((nTP_HT*BN52*((nTP_OK*BO52*(nTP_UTC_n-N(BQ52))+(1-nTP_OK*BO52)*(nTP_Loc_n-N(BP52)))&lt;=0)+(1-nTP_HT*BN52)*(nTP_Hi_n&lt;N(BR52)))+((1-nTP_HT*BN52)*(nTP_Lo_n=nTP_Hi_n)*(nTP_Lo_n=N(BR52))*(N(BR52)=N(BS52))))*(1-nTP_HT)*(nTP_Lo_n=CF52),0),0),IF(CR52=2,MATCH(1,INDEX((nTP_CandKey=BX52)*nTP_Exact*((nTP_HT*BN52*((nTP_OK*BO52*(nTP_UTC_n-N(BQ52))+(1-nTP_OK*BO52)*(nTP_Loc_n-N(BP52)))&lt;=0)+(1-nTP_HT*BN52)*(nTP_Hi_n&lt;N(BR52)))+((1-nTP_HT*BN52)*(nTP_Lo_n=nTP_Hi_n)*(nTP_Lo_n=N(BR52))*(N(BR52)=N(BS52))))*nTP_HT*nTP_OK*(nTP_UTC_n=CJ52),0),0),MATCH(1,INDEX((nTP_CandKey=BX52)*nTP_Exact*((nTP_HT*BN52*((nTP_OK*BO52*(nTP_UTC_n-N(BQ52))+(1-nTP_OK*BO52)*(nTP_Loc_n-N(BP52)))&lt;=0)+(1-nTP_HT*BN52)*(nTP_Hi_n&lt;N(BR52)))+((1-nTP_HT*BN52)*(nTP_Lo_n=nTP_Hi_n)*(nTP_Lo_n=N(BR52))*(N(BR52)=N(BS52))))*nTP_HT*(1-nTP_OK)*(nTP_Loc_n=CN52),0),0))))</f>
        <v>0</v>
      </c>
      <c r="CT52" s="22">
        <f>IF(CS52=0,0,INDEX(nTP_Lo_n,CS52))</f>
        <v>0</v>
      </c>
      <c r="CU52" s="22">
        <f>IF(CS52=0,0,SUMPRODUCT((nTP_CandKey=BX52)*(nTP_Err="")*(1-nTP_Exact)*((nTP_HT*BN52*((nTP_OK*BO52*(nTP_UTC_n-N(BQ52))+(1-nTP_OK*BO52)*(nTP_Loc_n-N(BP52)))&lt;=0)+(1-nTP_HT*BN52)*(nTP_Hi_n&lt;N(BR52)))+((1-nTP_HT*BN52)*(nTP_Lo_n=nTP_Hi_n)*(nTP_Lo_n=N(BR52))*(N(BR52)=N(BS52))))*(nTP_Hi_n&gt;=CT52)))</f>
        <v>0</v>
      </c>
      <c r="CV52" s="21" t="str">
        <f t="shared" si="92"/>
        <v/>
      </c>
      <c r="CW52" s="21" t="str">
        <f>IF(AND(BG52=1,CB52=1,CV52="",CS52&gt;0),INDEX(nTP_Record_ID,CS52)&amp;"","")</f>
        <v/>
      </c>
      <c r="CX52" s="21" t="str">
        <f>IF(OR(CV52="",BG52=0),"",IF(CV52="none","an administration record (last dose before onset)",IF(CV52="uncertain","the anchor record: "&amp;INDEX(nTP_Record_ID,MATCH(1,INDEX((nTP_CandKey=BX52)*(nTP_Err="")*(1-(nTP_HT*BN52*((nTP_OK*BO52*(nTP_UTC_n-N(BQ52))+(1-nTP_OK*BO52)*(nTP_Loc_n-N(BP52)))&lt;=0)+(1-nTP_HT*BN52)*(nTP_Hi_n&lt;N(BR52)))-(nTP_HT*BN52*((nTP_OK*BO52*(nTP_UTC_n-N(BQ52))+(1-nTP_OK*BO52)*(nTP_Loc_n-N(BP52)))&gt;0)+(1-nTP_HT*BN52)*(nTP_Lo_n&gt;N(BS52)))-((1-nTP_HT*BN52)*(nTP_Lo_n=nTP_Hi_n)*(nTP_Lo_n=N(BR52))*(N(BR52)=N(BS52)))),0),0))&amp;IF(CC52&gt;1," and "&amp;(CC52-1)&amp;" more","")&amp;" may fall before or after the end point, so the last dose cannot be identified from the recorded dates",IF(CV52="noneligible","the anchor record: no administration with an exact date is recorded at or before the end point",IF(CV52="tie","the anchor record: the order of the latest administrations cannot be told from the recorded dates and times","the anchor record: partial-date administration "&amp;INDEX(nTP_Record_ID,MATCH(1,INDEX((nTP_CandKey=BX52)*(nTP_Err="")*(1-nTP_Exact)*((nTP_HT*BN52*((nTP_OK*BO52*(nTP_UTC_n-N(BQ52))+(1-nTP_OK*BO52)*(nTP_Loc_n-N(BP52)))&lt;=0)+(1-nTP_HT*BN52)*(nTP_Hi_n&lt;N(BR52)))+((1-nTP_HT*BN52)*(nTP_Lo_n=nTP_Hi_n)*(nTP_Lo_n=N(BR52))*(N(BR52)=N(BS52))))*(nTP_Hi_n&gt;=CT52),0),0))&amp;" could be the last dose before the end point")))))</f>
        <v/>
      </c>
      <c r="CY52" s="22">
        <f>IF(OR(AW52=1,AJ52=""),0,IFERROR(MATCH(AX52&amp;"|"&amp;AJ52,nTP_Key,0),0))</f>
        <v>425</v>
      </c>
      <c r="CZ52" s="21">
        <f>IF(CY52=0,0,INDEX(nTP_Dup,CY52))</f>
        <v>1</v>
      </c>
      <c r="DA52" s="21" t="str">
        <f>IF(CY52=0,"",INDEX(nTP_Record_Type,CY52))</f>
        <v>MILESTONE:BASELINE</v>
      </c>
      <c r="DB52" s="21" t="str">
        <f>IF(CY52=0,"",INDEX(nTP_Precision,CY52))</f>
        <v>TIMESTAMP</v>
      </c>
      <c r="DC52" s="21" t="str">
        <f>IF(CY52=0,"",INDEX(nTP_Err,CY52))</f>
        <v/>
      </c>
      <c r="DD52" s="21">
        <f>IF(CY52=0,0,INDEX(nTP_HT,CY52))</f>
        <v>1</v>
      </c>
      <c r="DE52" s="21">
        <f>IF(CY52=0,0,INDEX(nTP_OK,CY52))</f>
        <v>1</v>
      </c>
      <c r="DF52" s="21">
        <f>IF(CY52=0,"",INDEX(nTP_Loc,CY52))</f>
        <v>66286610</v>
      </c>
      <c r="DG52" s="21">
        <f>IF(CY52=0,"",INDEX(nTP_UTC,CY52))</f>
        <v>66286910</v>
      </c>
      <c r="DH52" s="21">
        <f>IF(CY52=0,"",INDEX(nTP_Lo,CY52))</f>
        <v>46032</v>
      </c>
      <c r="DI52" s="21">
        <f>IF(CY52=0,"",INDEX(nTP_Hi,CY52))</f>
        <v>46032</v>
      </c>
      <c r="DJ52" s="21" t="str">
        <f>IF(CY52=0,"",INDEX(nTP_Original_Text,CY52))</f>
        <v>08:50 pre-infusion obs</v>
      </c>
      <c r="DK52" s="21" t="str">
        <f>IF(CY52=0,"",INDEX(nTP_Source,CY52))</f>
        <v>Nursing chart</v>
      </c>
      <c r="DL52" s="22">
        <f t="shared" si="93"/>
        <v>1</v>
      </c>
      <c r="DM52" s="21" t="str">
        <f t="shared" si="94"/>
        <v/>
      </c>
      <c r="DN52" s="21" t="str">
        <f t="shared" si="95"/>
        <v/>
      </c>
      <c r="DO52" s="21" t="str">
        <f t="shared" si="96"/>
        <v/>
      </c>
      <c r="DP52" s="21" t="str">
        <f t="shared" si="97"/>
        <v/>
      </c>
      <c r="DQ52" s="21" t="str">
        <f t="shared" si="98"/>
        <v>C1</v>
      </c>
      <c r="DR52" s="22">
        <f>IF(OR(DQ52="",I52=""),0,IF(ISNA(MATCH(I52,nLIST_Mode,0)),1,IF(AND(I52="C1",DQ52&lt;&gt;"C1"),1,IF(AND(I52="C2",DQ52="C4"),1,0))))</f>
        <v>0</v>
      </c>
      <c r="DS52" s="21" t="str">
        <f t="shared" si="99"/>
        <v>C1</v>
      </c>
      <c r="DT52" s="22">
        <f t="shared" si="100"/>
        <v>0</v>
      </c>
      <c r="DU52" s="21" t="str">
        <f>IF(DT52=0,"",IF(COUNTIFS(nTP_Case_Key,AX52,nTP_Record_Type,"MILESTONE:INTERVENTION",nTP_Err,"E_INVALID_DATE")&gt;0,"; E_INVALID_DATE","")&amp;IF(COUNTIFS(nTP_Case_Key,AX52,nTP_Record_Type,"MILESTONE:INTERVENTION",nTP_Err,"E_REVERSED_BOUNDS")&gt;0,"; E_REVERSED_BOUNDS","")&amp;IF(COUNTIFS(nTP_Case_Key,AX52,nTP_Record_Type,"MILESTONE:INTERVENTION",nTP_Err,"E_MISSING_INPUT")&gt;0,"; E_MISSING_INPUT","")&amp;IF(COUNTIFS(nTP_Case_Key,AX52,nTP_Record_Type,"MILESTONE:INTERVENTION",nTP_Err,"E_INVALID_UNIT")&gt;0,"; E_INVALID_UNIT",""))</f>
        <v/>
      </c>
      <c r="DV52" s="22">
        <f>IF(DT52=0,0,SUMPRODUCT((nMS_CaseKey=AX52)*(nMS_Type="INTERVENTION")*nMS_Undated))</f>
        <v>0</v>
      </c>
      <c r="DW52" s="21" t="str">
        <f t="shared" si="101"/>
        <v/>
      </c>
      <c r="DX52" s="21" t="str">
        <f t="shared" si="102"/>
        <v/>
      </c>
      <c r="DY52" s="22">
        <f t="shared" si="103"/>
        <v>0</v>
      </c>
      <c r="DZ52" s="21">
        <f t="shared" si="104"/>
        <v>25</v>
      </c>
      <c r="EA52" s="21" t="str">
        <f t="shared" si="105"/>
        <v/>
      </c>
      <c r="EB52" s="21" t="str">
        <f t="shared" si="106"/>
        <v/>
      </c>
      <c r="EC52" s="21" t="str">
        <f t="shared" si="107"/>
        <v/>
      </c>
      <c r="ED52" s="22">
        <f t="shared" si="108"/>
        <v>0</v>
      </c>
      <c r="EE52" s="22">
        <f t="shared" si="109"/>
        <v>0</v>
      </c>
      <c r="EF52" s="21" t="str">
        <f>IF(ED52=0,"",IF(OR(NOT(ISNUMBER(L52)),NOT(ISNUMBER(M52))),"I_APPROXIMATE_NOT_COMPARED",IF(AND(N52&lt;&gt;"",ISNA(MATCH(N52,nLIST_ReportedUnit,0))),"E_INVALID_UNIT",IF(N52="","E_MISSING_INPUT",IF(L52&gt;M52,"E_REVERSED_BOUNDS",IF(OR(N52="weeks",N52="months",N52="years"),"I_APPROXIMATE_NOT_COMPARED",IF(DX52&lt;&gt;"","",IF(EE52=0,"I_APPROXIMATE_NOT_COMPARED",IF(AND(L52*EE52&lt;=IF(DS52="C4",EC52,IF(DS52="C1",DZ52,EA52)),M52*EE52&gt;=IF(DS52="C4",EB52,IF(DS52="C1",DZ52,EA52))),"OVERLAP","W_REPORTED_TIMING_CONFLICT")))))))))</f>
        <v/>
      </c>
      <c r="EG52" s="21" t="str">
        <f t="shared" si="110"/>
        <v/>
      </c>
      <c r="EH52" s="21" t="str">
        <f t="shared" si="111"/>
        <v/>
      </c>
      <c r="EI52" s="22">
        <f t="shared" si="112"/>
        <v>1</v>
      </c>
      <c r="EJ52" s="22">
        <f t="shared" si="113"/>
        <v>0</v>
      </c>
      <c r="EK52" s="22">
        <f t="shared" si="114"/>
        <v>0</v>
      </c>
      <c r="EL52" s="28" t="str">
        <f t="shared" si="115"/>
        <v/>
      </c>
      <c r="EM52" s="28" t="str">
        <f t="shared" si="116"/>
        <v/>
      </c>
      <c r="EN52" s="21" t="str">
        <f t="shared" si="117"/>
        <v/>
      </c>
      <c r="EO52" s="22">
        <f>IF(OR(DT52=0,DX52&lt;&gt;""),0,SUMPRODUCT((nTP_Case_Key=AX52)*(nTP_Record_Type="MILESTONE:INTERVENTION")*(nTP_Err="")*(nTP_HT*DD52*BN52*(nTP_OK*DE52*(nTP_UTC_n&gt;=N(DG52))+(1-nTP_OK*DE52)*(nTP_Loc_n&gt;=N(DF52)))*(nTP_OK*BO52*(nTP_UTC_n&lt;=N(BQ52))+(1-nTP_OK*BO52)*(nTP_Loc_n&lt;=N(BP52)))+(1-nTP_HT*DD52*BN52)*(nTP_Hi_n&gt;=N(DH52))*(nTP_Lo_n&lt;=N(BS52)))))</f>
        <v>0</v>
      </c>
      <c r="EP52" s="22">
        <f>IF(OR(DT52=0,DX52&lt;&gt;""),0,SUMPRODUCT((nTP_Case_Key=AX52)*(nTP_Role="treatment of the event")*((nTP_Record_Type="EXPOSURE_START")+(nTP_Record_Type="ADMINISTRATION"))*(nTP_Err="")*(nTP_HT*DD52*BN52*(nTP_OK*DE52*(nTP_UTC_n&gt;=N(DG52))+(1-nTP_OK*DE52)*(nTP_Loc_n&gt;=N(DF52)))*(nTP_OK*BO52*(nTP_UTC_n&lt;=N(BQ52))+(1-nTP_OK*BO52)*(nTP_Loc_n&lt;=N(BP52)))+(1-nTP_HT*DD52*BN52)*(nTP_Hi_n&gt;=N(DH52))*(nTP_Lo_n&lt;=N(BS52)))))</f>
        <v>0</v>
      </c>
      <c r="EQ52" s="22">
        <f>IF(EO52&lt;1,0,IFERROR(_xlfn.AGGREGATE(15,6,nTP_RowN/((nTP_Case_Key=AX52)*(nTP_Record_Type="MILESTONE:INTERVENTION")*(nTP_Err="")*(nTP_HT*DD52*BN52*(nTP_OK*DE52*(nTP_UTC_n&gt;=N(DG52))+(1-nTP_OK*DE52)*(nTP_Loc_n&gt;=N(DF52)))*(nTP_OK*BO52*(nTP_UTC_n&lt;=N(BQ52))+(1-nTP_OK*BO52)*(nTP_Loc_n&lt;=N(BP52)))+(1-nTP_HT*DD52*BN52)*(nTP_Hi_n&gt;=N(DH52))*(nTP_Lo_n&lt;=N(BS52)))),1),0))</f>
        <v>0</v>
      </c>
      <c r="ER52" s="22">
        <f>IF(EO52&lt;2,0,IFERROR(_xlfn.AGGREGATE(15,6,nTP_RowN/((nTP_Case_Key=AX52)*(nTP_Record_Type="MILESTONE:INTERVENTION")*(nTP_Err="")*(nTP_HT*DD52*BN52*(nTP_OK*DE52*(nTP_UTC_n&gt;=N(DG52))+(1-nTP_OK*DE52)*(nTP_Loc_n&gt;=N(DF52)))*(nTP_OK*BO52*(nTP_UTC_n&lt;=N(BQ52))+(1-nTP_OK*BO52)*(nTP_Loc_n&lt;=N(BP52)))+(1-nTP_HT*DD52*BN52)*(nTP_Hi_n&gt;=N(DH52))*(nTP_Lo_n&lt;=N(BS52)))),2),0))</f>
        <v>0</v>
      </c>
      <c r="ES52" s="22">
        <f>IF(EO52&lt;3,0,IFERROR(_xlfn.AGGREGATE(15,6,nTP_RowN/((nTP_Case_Key=AX52)*(nTP_Record_Type="MILESTONE:INTERVENTION")*(nTP_Err="")*(nTP_HT*DD52*BN52*(nTP_OK*DE52*(nTP_UTC_n&gt;=N(DG52))+(1-nTP_OK*DE52)*(nTP_Loc_n&gt;=N(DF52)))*(nTP_OK*BO52*(nTP_UTC_n&lt;=N(BQ52))+(1-nTP_OK*BO52)*(nTP_Loc_n&lt;=N(BP52)))+(1-nTP_HT*DD52*BN52)*(nTP_Hi_n&gt;=N(DH52))*(nTP_Lo_n&lt;=N(BS52)))),3),0))</f>
        <v>0</v>
      </c>
      <c r="ET52" s="22">
        <f>IF(EP52&lt;1,0,IFERROR(_xlfn.AGGREGATE(15,6,nTP_RowN/((nTP_Case_Key=AX52)*(nTP_Role="treatment of the event")*((nTP_Record_Type="EXPOSURE_START")+(nTP_Record_Type="ADMINISTRATION"))*(nTP_Err="")*(nTP_HT*DD52*BN52*(nTP_OK*DE52*(nTP_UTC_n&gt;=N(DG52))+(1-nTP_OK*DE52)*(nTP_Loc_n&gt;=N(DF52)))*(nTP_OK*BO52*(nTP_UTC_n&lt;=N(BQ52))+(1-nTP_OK*BO52)*(nTP_Loc_n&lt;=N(BP52)))+(1-nTP_HT*DD52*BN52)*(nTP_Hi_n&gt;=N(DH52))*(nTP_Lo_n&lt;=N(BS52)))),1),0))</f>
        <v>0</v>
      </c>
      <c r="EU52" s="22">
        <f>IF(EP52&lt;2,0,IFERROR(_xlfn.AGGREGATE(15,6,nTP_RowN/((nTP_Case_Key=AX52)*(nTP_Role="treatment of the event")*((nTP_Record_Type="EXPOSURE_START")+(nTP_Record_Type="ADMINISTRATION"))*(nTP_Err="")*(nTP_HT*DD52*BN52*(nTP_OK*DE52*(nTP_UTC_n&gt;=N(DG52))+(1-nTP_OK*DE52)*(nTP_Loc_n&gt;=N(DF52)))*(nTP_OK*BO52*(nTP_UTC_n&lt;=N(BQ52))+(1-nTP_OK*BO52)*(nTP_Loc_n&lt;=N(BP52)))+(1-nTP_HT*DD52*BN52)*(nTP_Hi_n&gt;=N(DH52))*(nTP_Lo_n&lt;=N(BS52)))),2),0))</f>
        <v>0</v>
      </c>
      <c r="EV52" s="22">
        <f>IF(EP52&lt;3,0,IFERROR(_xlfn.AGGREGATE(15,6,nTP_RowN/((nTP_Case_Key=AX52)*(nTP_Role="treatment of the event")*((nTP_Record_Type="EXPOSURE_START")+(nTP_Record_Type="ADMINISTRATION"))*(nTP_Err="")*(nTP_HT*DD52*BN52*(nTP_OK*DE52*(nTP_UTC_n&gt;=N(DG52))+(1-nTP_OK*DE52)*(nTP_Loc_n&gt;=N(DF52)))*(nTP_OK*BO52*(nTP_UTC_n&lt;=N(BQ52))+(1-nTP_OK*BO52)*(nTP_Loc_n&lt;=N(BP52)))+(1-nTP_HT*DD52*BN52)*(nTP_Hi_n&gt;=N(DH52))*(nTP_Lo_n&lt;=N(BS52)))),3),0))</f>
        <v>0</v>
      </c>
      <c r="EW52" s="22">
        <f>IF(CE52&lt;1,0,IFERROR(_xlfn.AGGREGATE(15,6,nTP_RowN/((nTP_CandKey=BX52)*(nTP_Err="")*(1-nTP_Exact)*((nTP_HT*BN52*((nTP_OK*BO52*(nTP_UTC_n-N(BQ52))+(1-nTP_OK*BO52)*(nTP_Loc_n-N(BP52)))&lt;=0)+(1-nTP_HT*BN52)*(nTP_Hi_n&lt;N(BR52)))+((1-nTP_HT*BN52)*(nTP_Lo_n=nTP_Hi_n)*(nTP_Lo_n=N(BR52))*(N(BR52)=N(BS52))))),1),0))</f>
        <v>0</v>
      </c>
      <c r="EX52" s="22">
        <f>IF(CE52&lt;2,0,IFERROR(_xlfn.AGGREGATE(15,6,nTP_RowN/((nTP_CandKey=BX52)*(nTP_Err="")*(1-nTP_Exact)*((nTP_HT*BN52*((nTP_OK*BO52*(nTP_UTC_n-N(BQ52))+(1-nTP_OK*BO52)*(nTP_Loc_n-N(BP52)))&lt;=0)+(1-nTP_HT*BN52)*(nTP_Hi_n&lt;N(BR52)))+((1-nTP_HT*BN52)*(nTP_Lo_n=nTP_Hi_n)*(nTP_Lo_n=N(BR52))*(N(BR52)=N(BS52))))),2),0))</f>
        <v>0</v>
      </c>
      <c r="EY52" s="22">
        <f>IF(CE52&lt;3,0,IFERROR(_xlfn.AGGREGATE(15,6,nTP_RowN/((nTP_CandKey=BX52)*(nTP_Err="")*(1-nTP_Exact)*((nTP_HT*BN52*((nTP_OK*BO52*(nTP_UTC_n-N(BQ52))+(1-nTP_OK*BO52)*(nTP_Loc_n-N(BP52)))&lt;=0)+(1-nTP_HT*BN52)*(nTP_Hi_n&lt;N(BR52)))+((1-nTP_HT*BN52)*(nTP_Lo_n=nTP_Hi_n)*(nTP_Lo_n=N(BR52))*(N(BR52)=N(BS52))))),3),0))</f>
        <v>0</v>
      </c>
      <c r="EZ52" s="21" t="str">
        <f>IF(EO52=0,"",MID(IF(EQ52&gt;0,"; "&amp;INDEX(nTP_Record_ID,EQ52)&amp;IF(INDEX(nTP_Label,EQ52)="",""," ("&amp;INDEX(nTP_Label,EQ52)&amp;")"),"")&amp;IF(ER52&gt;0,"; "&amp;INDEX(nTP_Record_ID,ER52)&amp;IF(INDEX(nTP_Label,ER52)="",""," ("&amp;INDEX(nTP_Label,ER52)&amp;")"),"")&amp;IF(ES52&gt;0,"; "&amp;INDEX(nTP_Record_ID,ES52)&amp;IF(INDEX(nTP_Label,ES52)="",""," ("&amp;INDEX(nTP_Label,ES52)&amp;")"),"")&amp;IF(EO52&gt;3,"; and "&amp;(EO52-3)&amp;" more",""),3,999))</f>
        <v/>
      </c>
      <c r="FA52" s="21" t="str">
        <f>IF(EO52=0,"",MID(IF(EQ52&gt;0,"; "&amp;INDEX(nTP_Record_ID,EQ52),"")&amp;IF(ER52&gt;0,"; "&amp;INDEX(nTP_Record_ID,ER52),"")&amp;IF(ES52&gt;0,"; "&amp;INDEX(nTP_Record_ID,ES52),"")&amp;IF(EO52&gt;3,"; and "&amp;(EO52-3)&amp;" more",""),3,999))</f>
        <v/>
      </c>
      <c r="FB52" s="21" t="str">
        <f>IF(EP52=0,"",MID(IF(ET52&gt;0,"; "&amp;INDEX(nTP_Record_ID,ET52)&amp;IF(INDEX(nTP_Label,ET52)="",""," ("&amp;INDEX(nTP_Label,ET52)&amp;")"),"")&amp;IF(EU52&gt;0,"; "&amp;INDEX(nTP_Record_ID,EU52)&amp;IF(INDEX(nTP_Label,EU52)="",""," ("&amp;INDEX(nTP_Label,EU52)&amp;")"),"")&amp;IF(EV52&gt;0,"; "&amp;INDEX(nTP_Record_ID,EV52)&amp;IF(INDEX(nTP_Label,EV52)="",""," ("&amp;INDEX(nTP_Label,EV52)&amp;")"),"")&amp;IF(EP52&gt;3,"; and "&amp;(EP52-3)&amp;" more",""),3,999))</f>
        <v/>
      </c>
      <c r="FC52" s="21" t="str">
        <f>IF(CE52=0,"",MID(IF(EW52&gt;0,"; "&amp;INDEX(nTP_Record_ID,EW52),"")&amp;IF(EX52&gt;0,"; "&amp;INDEX(nTP_Record_ID,EX52),"")&amp;IF(EY52&gt;0,"; "&amp;INDEX(nTP_Record_ID,EY52),"")&amp;IF(CE52&gt;3,"; and "&amp;(CE52-3)&amp;" more",""),3,999))</f>
        <v/>
      </c>
      <c r="FD52" s="22">
        <f t="shared" si="118"/>
        <v>0</v>
      </c>
      <c r="FE52" s="22">
        <f t="shared" si="119"/>
        <v>0</v>
      </c>
      <c r="FF52" s="22">
        <f t="shared" si="120"/>
        <v>0</v>
      </c>
      <c r="FG52" s="22">
        <f t="shared" si="121"/>
        <v>0</v>
      </c>
      <c r="FH52" s="22">
        <f t="shared" si="122"/>
        <v>0</v>
      </c>
      <c r="FI52" s="22">
        <f t="shared" si="123"/>
        <v>0</v>
      </c>
      <c r="FJ52" s="22">
        <f t="shared" si="124"/>
        <v>0</v>
      </c>
      <c r="FK52" s="22">
        <f t="shared" si="125"/>
        <v>0</v>
      </c>
    </row>
    <row r="53" spans="1:167" x14ac:dyDescent="0.2">
      <c r="A53" s="9" t="s">
        <v>1145</v>
      </c>
      <c r="B53" s="9" t="s">
        <v>297</v>
      </c>
      <c r="C53" s="11">
        <v>2</v>
      </c>
      <c r="D53" s="9" t="s">
        <v>894</v>
      </c>
      <c r="E53" s="16" t="s">
        <v>56</v>
      </c>
      <c r="F53" s="9"/>
      <c r="G53" s="9" t="s">
        <v>1144</v>
      </c>
      <c r="H53" s="9" t="s">
        <v>1128</v>
      </c>
      <c r="I53" s="16" t="s">
        <v>59</v>
      </c>
      <c r="J53" s="16"/>
      <c r="K53" s="9"/>
      <c r="L53" s="16"/>
      <c r="M53" s="16"/>
      <c r="N53" s="16"/>
      <c r="O53" s="9"/>
      <c r="P53" s="14"/>
      <c r="Q53" s="14"/>
      <c r="R53" s="9"/>
      <c r="S53" s="9" t="s">
        <v>1146</v>
      </c>
      <c r="T53" s="21" t="str">
        <f t="shared" si="63"/>
        <v>−1 minute</v>
      </c>
      <c r="U53" s="21" t="str">
        <f t="shared" si="64"/>
        <v>−1 minute</v>
      </c>
      <c r="V53" s="21">
        <f t="shared" si="65"/>
        <v>-1</v>
      </c>
      <c r="W53" s="21" t="str">
        <f t="shared" si="66"/>
        <v/>
      </c>
      <c r="X53" s="21" t="str">
        <f t="shared" si="67"/>
        <v/>
      </c>
      <c r="Y53" s="21" t="str">
        <f t="shared" si="68"/>
        <v>minutes</v>
      </c>
      <c r="Z53" s="21" t="str">
        <f t="shared" si="69"/>
        <v>C1</v>
      </c>
      <c r="AA53" s="21" t="str">
        <f t="shared" si="70"/>
        <v>BEFORE</v>
      </c>
      <c r="AB53" s="21" t="str">
        <f t="shared" si="71"/>
        <v/>
      </c>
      <c r="AC53" s="21" t="str">
        <f t="shared" si="72"/>
        <v/>
      </c>
      <c r="AD53" s="21" t="str">
        <f>IF(AW53=1,"",MID(IF(ISNUMBER(SEARCH("E_INVALID_DATE",EG53))," | E_INVALID_DATE: "&amp;SUBSTITUTE(IFERROR(INDEX(nMSG_Text,MATCH("E_INVALID_DATE",nMSG_Code,0)),""),"[input]",""),"")&amp;IF(ISNUMBER(SEARCH("E_REVERSED_BOUNDS",EG53))," | E_REVERSED_BOUNDS: "&amp;SUBSTITUTE(IFERROR(INDEX(nMSG_Text,MATCH("E_REVERSED_BOUNDS",nMSG_Code,0)),""),"[input]",""),"")&amp;IF(ISNUMBER(SEARCH("E_DUPLICATE_ID",EG53))," | E_DUPLICATE_ID: "&amp;SUBSTITUTE(IFERROR(INDEX(nMSG_Text,MATCH("E_DUPLICATE_ID",nMSG_Code,0)),""),"[input]",""),"")&amp;IF(ISNUMBER(SEARCH("E_MISSING_LINK",EG53))," | E_MISSING_LINK: "&amp;SUBSTITUTE(IFERROR(INDEX(nMSG_Text,MATCH("E_MISSING_LINK",nMSG_Code,0)),""),"[input]",""),"")&amp;IF(ISNUMBER(SEARCH("E_MISSING_INPUT",EG53))," | E_MISSING_INPUT: "&amp;SUBSTITUTE(IFERROR(INDEX(nMSG_Text,MATCH("E_MISSING_INPUT",nMSG_Code,0)),""),"[input]",IF(EH53="","an input",EH53)),"")&amp;IF(ISNUMBER(SEARCH("E_INVALID_UNIT",EG53))," | E_INVALID_UNIT: "&amp;SUBSTITUTE(IFERROR(INDEX(nMSG_Text,MATCH("E_INVALID_UNIT",nMSG_Code,0)),""),"[input]",""),"")&amp;IF(FD53=1," | W_TZ_UNKNOWN: "&amp;SUBSTITUTE(IFERROR(INDEX(nMSG_Text,MATCH("W_TZ_UNKNOWN",nMSG_Code,0)),""),"[input]",""),"")&amp;IF(FE53=1," | W_SAME_DATE_ORDER_UNKNOWN: "&amp;SUBSTITUTE(IFERROR(INDEX(nMSG_Text,MATCH("W_SAME_DATE_ORDER_UNKNOWN",nMSG_Code,0)),""),"[input]",""),"")&amp;IF(FF53=1," | W_SEQUENCE_UNCERTAIN: "&amp;SUBSTITUTE(IFERROR(INDEX(nMSG_Text,MATCH("W_SEQUENCE_UNCERTAIN",nMSG_Code,0)),""),"[input]",""),"")&amp;IF(FG53=1," | W_ADMIN_SAME_DATE_AS_ONSET: "&amp;SUBSTITUTE(IFERROR(INDEX(nMSG_Text,MATCH("W_ADMIN_SAME_DATE_AS_ONSET",nMSG_Code,0)),""),"[input]",""),"")&amp;IF(FH53=1," | W_REPORTED_TIMING_CONFLICT: "&amp;SUBSTITUTE(IFERROR(INDEX(nMSG_Text,MATCH("W_REPORTED_TIMING_CONFLICT",nMSG_Code,0)),""),"[input]",""),"")&amp;IF(FI53=1," | W_INTERVENTION_BEFORE_RECOVERY: "&amp;SUBSTITUTE(IFERROR(INDEX(nMSG_Text,MATCH("W_INTERVENTION_BEFORE_RECOVERY",nMSG_Code,0)),""),"[input]",""),"")&amp;IF(FJ53=1," | I_TREATMENT_DAY_UNDEFINED: "&amp;SUBSTITUTE(IFERROR(INDEX(nMSG_Text,MATCH("I_TREATMENT_DAY_UNDEFINED",nMSG_Code,0)),""),"[input]",""),"")&amp;IF(FK53=1," | I_APPROXIMATE_NOT_COMPARED: "&amp;SUBSTITUTE(IFERROR(INDEX(nMSG_Text,MATCH("I_APPROXIMATE_NOT_COMPARED",nMSG_Code,0)),""),"[input]",""),""),4,9999))</f>
        <v/>
      </c>
      <c r="AE53" s="21" t="str">
        <f t="shared" si="73"/>
        <v/>
      </c>
      <c r="AF53" s="21" t="str">
        <f t="shared" si="74"/>
        <v/>
      </c>
      <c r="AG53" s="21" t="str">
        <f>IF(EN53="","",MID(IF(ISNUMBER(SEARCH("E_REVERSED_BOUNDS",EN53))," | E_REVERSED_BOUNDS: "&amp;SUBSTITUTE(IFERROR(INDEX(nMSG_Text,MATCH("E_REVERSED_BOUNDS",nMSG_Code,0)),""),"[input]",""),"")&amp;IF(ISNUMBER(SEARCH("E_MISSING_INPUT",EN53))," | E_MISSING_INPUT: "&amp;SUBSTITUTE(IFERROR(INDEX(nMSG_Text,MATCH("E_MISSING_INPUT",nMSG_Code,0)),""),"[input]",IF("the source of the constraint"="","an input","the source of the constraint")),""),4,999))</f>
        <v/>
      </c>
      <c r="AH53" s="21" t="str">
        <f t="shared" si="75"/>
        <v/>
      </c>
      <c r="AI53" s="21" t="str">
        <f t="shared" si="76"/>
        <v>EX-A/STOP → EV-1/ONSET</v>
      </c>
      <c r="AJ53" s="21" t="str">
        <f t="shared" si="77"/>
        <v>EX-A/STOP</v>
      </c>
      <c r="AK53" s="21" t="str">
        <f t="shared" si="78"/>
        <v>EV-1/ONSET</v>
      </c>
      <c r="AL53" s="21" t="str">
        <f>IF(CY53=0,"",INDEX(nTP_ISO,CY53))</f>
        <v>2026-01-10T09:16-05:00</v>
      </c>
      <c r="AM53" s="21" t="str">
        <f>IF(CY53=0,"",INDEX(nTP_Display,CY53))</f>
        <v>10 January 2026 09:16 (UTC-05:00)</v>
      </c>
      <c r="AN53" s="21" t="str">
        <f>IF(BI53=0,"",INDEX(nTP_ISO,BI53))</f>
        <v>2026-01-10T09:15-05:00</v>
      </c>
      <c r="AO53" s="21" t="str">
        <f>IF(BI53=0,"",INDEX(nTP_Display,BI53))</f>
        <v>10 January 2026 09:15 (UTC-05:00)</v>
      </c>
      <c r="AP53" s="21" t="str">
        <f>IF(BA53=0,"",INDEX(nLNK_Exposure_Episode_ID,BA53)&amp;"")</f>
        <v>EX-A</v>
      </c>
      <c r="AQ53" s="21" t="str">
        <f>IF(BA53=0,"",INDEX(nLNK_Event_Episode_ID,BA53)&amp;"")</f>
        <v>EV-1</v>
      </c>
      <c r="AR53" s="21" t="str">
        <f t="shared" si="79"/>
        <v>Anchor (CESSATION) EX-A/STOP: 2026-01-10T09:16-05:00 [timestamp with UTC offset; case measurement; original: "09:16 infusion stopped, doctor called"; source: Nursing chart] | End point EV-1/ONSET: 2026-01-10T09:15-05:00 [timestamp with UTC offset; case measurement; original: "09:15 pt reports itching; urticaria chest and arms; audible wheeze; BP 84/52"; source: Nursing observation chart]</v>
      </c>
      <c r="AS53" s="21" t="str">
        <f>IF(EI53=0,"",MID(IF(DT53=1," | Recovery interval (C7) computed with "&amp;DS53&amp;".","")&amp;IF(BG53=1," | Anchor selected under C5 (CALC-SPEC 1.1): latest administration with an exact date or time at or before "&amp;IF(BH53=1,"onset","the end point")&amp;" ("&amp;AJ53&amp;"), ordered in UTC when offsets are known; later administrations are never selected.","")&amp;IF(AND(BG53=1,CE53&gt;0)," | Partial-date administrations wholly before the selected one were not candidates: "&amp;FC53&amp;".","")&amp;IF(BV53&lt;&gt;""," | "&amp;BV53,"")&amp;IF(AND(DS53="C2",EA53=0,DZ53&lt;&gt;"")," | Same calendar date; both times are known, so C1 decides the order ("&amp;AA53&amp;").","")&amp;IF(AND(DS53="C2",DD53*BN53=1,DT53=0)," | Calendar-date difference from the recorded local dates; it is never described as elapsed days.","")&amp;IF(AND(DS53="C4",DT53=0)," | Bounds are treated as independent; no single date is imputed from them.","")&amp;IF(EJ53=1," | Treatment day under the inclusive convention (C3); never written to E2B fields automatically.","")&amp;IF(AND(DS53="C4",DT53=0,EK53=0)," | No constraint applied.","")&amp;IF(AND(DS53="C4",EK53=1)," | Constraint applied to the anchor bounds: "&amp;IF(ISNUMBER(P53),"not before "&amp;DAY(P53)&amp;" "&amp;INDEX(nLIST_Months,MONTH(P53))&amp;" "&amp;YEAR(P53),"")&amp;IF(AND(ISNUMBER(P53),ISNUMBER(Q53)),", ","")&amp;IF(ISNUMBER(Q53),"not after "&amp;DAY(Q53)&amp;" "&amp;INDEX(nLIST_Months,MONTH(Q53))&amp;" "&amp;YEAR(Q53),"")&amp;". Source: "&amp;IF(R53="","not recorded",R53)&amp;IF(EN53="",". Constrained result shown beside the unconstrained one.",". Constrained result blocked ("&amp;EN53&amp;")."),"")&amp;IF(DT53=1,IF(EO53&gt;0," | Intervention recorded between cessation and recovery (ends included): "&amp;EZ53&amp;"."," | No intervention is recorded between cessation and recovery; absence of a record is not evidence that none was given."),"")&amp;IF(AND(DT53=1,DV53&gt;0)," | Intervention recorded without a date, so whether it came before recovery is unknown: "&amp;INDEX(nMS_Milestone_ID,MATCH(1,INDEX((nMS_CaseKey=AX53)*(nMS_Type="INTERVENTION")*nMS_Undated,0),0))&amp;IF(DV53&gt;1," and "&amp;(DV53-1)&amp;" more","")&amp;".","")&amp;IF(AND(DT53=1,EP53&gt;0)," | Not counted as interventions, because they are recorded as exposures rather than as intervention milestones (nothing is inferred): "&amp;FB53&amp;". If treatment was given, record it as an intervention milestone.",""),4,9999))</f>
        <v/>
      </c>
      <c r="AT53" s="21" t="str">
        <f t="shared" si="80"/>
        <v>The interval describes the sequence and spacing of recorded times; it is not evidence of causation.</v>
      </c>
      <c r="AU53" s="21" t="str">
        <f t="shared" si="81"/>
        <v/>
      </c>
      <c r="AV53" s="21" t="str">
        <f t="shared" si="82"/>
        <v>CALC-SPEC 1.1</v>
      </c>
      <c r="AW53" s="22">
        <f t="shared" si="83"/>
        <v>0</v>
      </c>
      <c r="AX53" s="21" t="str">
        <f t="shared" si="84"/>
        <v>EX-C01|2</v>
      </c>
      <c r="AY53" s="21" t="str">
        <f t="shared" si="85"/>
        <v>EX-C01|2|I08</v>
      </c>
      <c r="AZ53" s="22">
        <f>IF(AY53="",0,COUNTIF(nINT_Key,AY53))</f>
        <v>1</v>
      </c>
      <c r="BA53" s="22">
        <f>IF(D53="",0,IFERROR(MATCH(AX53&amp;"|"&amp;D53,nLNK_Key,0),0))</f>
        <v>22</v>
      </c>
      <c r="BB53" s="22">
        <f>IF(BA53=0,1,INDEX(nLNK_Exp_Found,BA53))</f>
        <v>1</v>
      </c>
      <c r="BC53" s="22">
        <f>IF(BA53=0,1,INDEX(nLNK_Evt_Found,BA53))</f>
        <v>1</v>
      </c>
      <c r="BD53" s="22">
        <f>IF(AP53="",0,COUNTIF(nEXP_Key,AX53&amp;"|"&amp;AP53))</f>
        <v>1</v>
      </c>
      <c r="BE53" s="22">
        <f>IF(AQ53="",0,COUNTIF(nEVT_Key,AX53&amp;"|"&amp;AQ53))</f>
        <v>1</v>
      </c>
      <c r="BF53" s="22">
        <f>IF(ISNA(MATCH(E53,nLIST_AnchorType,0)),0,1)</f>
        <v>1</v>
      </c>
      <c r="BG53" s="22">
        <f t="shared" si="86"/>
        <v>0</v>
      </c>
      <c r="BH53" s="22">
        <f t="shared" si="87"/>
        <v>1</v>
      </c>
      <c r="BI53" s="22">
        <f>IF(OR(AW53=1,AK53=""),0,IFERROR(MATCH(AX53&amp;"|"&amp;AK53,nTP_Key,0),0))</f>
        <v>312</v>
      </c>
      <c r="BJ53" s="21">
        <f>IF(BI53=0,0,INDEX(nTP_Dup,BI53))</f>
        <v>1</v>
      </c>
      <c r="BK53" s="21" t="str">
        <f>IF(BI53=0,"",INDEX(nTP_Record_Type,BI53))</f>
        <v>EVENT_ONSET</v>
      </c>
      <c r="BL53" s="21" t="str">
        <f>IF(BI53=0,"",INDEX(nTP_Precision,BI53))</f>
        <v>TIMESTAMP</v>
      </c>
      <c r="BM53" s="21" t="str">
        <f>IF(BI53=0,"",INDEX(nTP_Err,BI53))</f>
        <v/>
      </c>
      <c r="BN53" s="21">
        <f>IF(BI53=0,0,INDEX(nTP_HT,BI53))</f>
        <v>1</v>
      </c>
      <c r="BO53" s="21">
        <f>IF(BI53=0,0,INDEX(nTP_OK,BI53))</f>
        <v>1</v>
      </c>
      <c r="BP53" s="21">
        <f>IF(BI53=0,"",INDEX(nTP_Loc,BI53))</f>
        <v>66286635</v>
      </c>
      <c r="BQ53" s="21">
        <f>IF(BI53=0,"",INDEX(nTP_UTC,BI53))</f>
        <v>66286935</v>
      </c>
      <c r="BR53" s="21">
        <f>IF(BI53=0,"",INDEX(nTP_Lo,BI53))</f>
        <v>46032</v>
      </c>
      <c r="BS53" s="21">
        <f>IF(BI53=0,"",INDEX(nTP_Hi,BI53))</f>
        <v>46032</v>
      </c>
      <c r="BT53" s="21" t="str">
        <f>IF(BI53=0,"",INDEX(nTP_Original_Text,BI53))</f>
        <v>09:15 pt reports itching; urticaria chest and arms; audible wheeze; BP 84/52</v>
      </c>
      <c r="BU53" s="21" t="str">
        <f>IF(BI53=0,"",INDEX(nTP_Source,BI53))</f>
        <v>Nursing observation chart</v>
      </c>
      <c r="BV53" s="21" t="str">
        <f>IF(BI53=0,"",INDEX(nTP_Lab_Note,BI53))</f>
        <v/>
      </c>
      <c r="BW53" s="22">
        <f t="shared" si="88"/>
        <v>1</v>
      </c>
      <c r="BX53" s="21" t="str">
        <f t="shared" si="89"/>
        <v>EX-C01|2|EX-A</v>
      </c>
      <c r="BY53" s="22">
        <f>IF(BG53=0,0,COUNTIF(nTP_CandKey,BX53))</f>
        <v>0</v>
      </c>
      <c r="BZ53" s="22">
        <f>IF(BG53=0,0,COUNTIFS(nTP_CandKey,BX53,nTP_Err,""))</f>
        <v>0</v>
      </c>
      <c r="CA53" s="21" t="str">
        <f>IF(BY53=BZ53,"",IF(COUNTIFS(nTP_CandKey,BX53,nTP_Err,"E_INVALID_DATE")&gt;0,"; E_INVALID_DATE","")&amp;IF(COUNTIFS(nTP_CandKey,BX53,nTP_Err,"E_REVERSED_BOUNDS")&gt;0,"; E_REVERSED_BOUNDS","")&amp;IF(COUNTIFS(nTP_CandKey,BX53,nTP_Err,"E_MISSING_INPUT")&gt;0,"; E_MISSING_INPUT","")&amp;IF(COUNTIFS(nTP_CandKey,BX53,nTP_Err,"E_INVALID_UNIT")&gt;0,"; E_INVALID_UNIT",""))</f>
        <v/>
      </c>
      <c r="CB53" s="22">
        <f t="shared" si="90"/>
        <v>0</v>
      </c>
      <c r="CC53" s="22">
        <f>IF(CB53=0,0,SUMPRODUCT((nTP_CandKey=BX53)*(nTP_Err="")*(1-(nTP_HT*BN53*((nTP_OK*BO53*(nTP_UTC_n-N(BQ53))+(1-nTP_OK*BO53)*(nTP_Loc_n-N(BP53)))&lt;=0)+(1-nTP_HT*BN53)*(nTP_Hi_n&lt;N(BR53)))-(nTP_HT*BN53*((nTP_OK*BO53*(nTP_UTC_n-N(BQ53))+(1-nTP_OK*BO53)*(nTP_Loc_n-N(BP53)))&gt;0)+(1-nTP_HT*BN53)*(nTP_Lo_n&gt;N(BS53)))-((1-nTP_HT*BN53)*(nTP_Lo_n=nTP_Hi_n)*(nTP_Lo_n=N(BR53))*(N(BR53)=N(BS53))))))</f>
        <v>0</v>
      </c>
      <c r="CD53" s="22">
        <f>IF(CB53=0,0,SUMPRODUCT((nTP_CandKey=BX53)*nTP_Exact*((nTP_HT*BN53*((nTP_OK*BO53*(nTP_UTC_n-N(BQ53))+(1-nTP_OK*BO53)*(nTP_Loc_n-N(BP53)))&lt;=0)+(1-nTP_HT*BN53)*(nTP_Hi_n&lt;N(BR53)))+((1-nTP_HT*BN53)*(nTP_Lo_n=nTP_Hi_n)*(nTP_Lo_n=N(BR53))*(N(BR53)=N(BS53))))))</f>
        <v>0</v>
      </c>
      <c r="CE53" s="22">
        <f>IF(CB53=0,0,SUMPRODUCT((nTP_CandKey=BX53)*(nTP_Err="")*(1-nTP_Exact)*((nTP_HT*BN53*((nTP_OK*BO53*(nTP_UTC_n-N(BQ53))+(1-nTP_OK*BO53)*(nTP_Loc_n-N(BP53)))&lt;=0)+(1-nTP_HT*BN53)*(nTP_Hi_n&lt;N(BR53)))+((1-nTP_HT*BN53)*(nTP_Lo_n=nTP_Hi_n)*(nTP_Lo_n=N(BR53))*(N(BR53)=N(BS53))))))</f>
        <v>0</v>
      </c>
      <c r="CF53" s="22">
        <f>IF(CD53=0,0,SUMPRODUCT(MAX((nTP_CandKey=BX53)*nTP_Exact*((nTP_HT*BN53*((nTP_OK*BO53*(nTP_UTC_n-N(BQ53))+(1-nTP_OK*BO53)*(nTP_Loc_n-N(BP53)))&lt;=0)+(1-nTP_HT*BN53)*(nTP_Hi_n&lt;N(BR53)))+((1-nTP_HT*BN53)*(nTP_Lo_n=nTP_Hi_n)*(nTP_Lo_n=N(BR53))*(N(BR53)=N(BS53))))*nTP_Lo_n)))</f>
        <v>0</v>
      </c>
      <c r="CG53" s="22">
        <f>IF(CD53=0,0,SUMPRODUCT((nTP_CandKey=BX53)*nTP_Exact*((nTP_HT*BN53*((nTP_OK*BO53*(nTP_UTC_n-N(BQ53))+(1-nTP_OK*BO53)*(nTP_Loc_n-N(BP53)))&lt;=0)+(1-nTP_HT*BN53)*(nTP_Hi_n&lt;N(BR53)))+((1-nTP_HT*BN53)*(nTP_Lo_n=nTP_Hi_n)*(nTP_Lo_n=N(BR53))*(N(BR53)=N(BS53))))*(nTP_Lo_n=CF53)))</f>
        <v>0</v>
      </c>
      <c r="CH53" s="22">
        <f>IF(CD53=0,0,SUMPRODUCT((nTP_CandKey=BX53)*nTP_Exact*((nTP_HT*BN53*((nTP_OK*BO53*(nTP_UTC_n-N(BQ53))+(1-nTP_OK*BO53)*(nTP_Loc_n-N(BP53)))&lt;=0)+(1-nTP_HT*BN53)*(nTP_Hi_n&lt;N(BR53)))+((1-nTP_HT*BN53)*(nTP_Lo_n=nTP_Hi_n)*(nTP_Lo_n=N(BR53))*(N(BR53)=N(BS53))))*(1-nTP_HT)*(nTP_Lo_n=CF53)))</f>
        <v>0</v>
      </c>
      <c r="CI53" s="22">
        <f>IF(CD53=0,0,SUMPRODUCT(MAX((nTP_CandKey=BX53)*nTP_Exact*((nTP_HT*BN53*((nTP_OK*BO53*(nTP_UTC_n-N(BQ53))+(1-nTP_OK*BO53)*(nTP_Loc_n-N(BP53)))&lt;=0)+(1-nTP_HT*BN53)*(nTP_Hi_n&lt;N(BR53)))+((1-nTP_HT*BN53)*(nTP_Lo_n=nTP_Hi_n)*(nTP_Lo_n=N(BR53))*(N(BR53)=N(BS53))))*(1-nTP_HT)*nTP_Lo_n)))</f>
        <v>0</v>
      </c>
      <c r="CJ53" s="22">
        <f>IF(CD53=0,0,SUMPRODUCT(MAX((nTP_CandKey=BX53)*nTP_Exact*((nTP_HT*BN53*((nTP_OK*BO53*(nTP_UTC_n-N(BQ53))+(1-nTP_OK*BO53)*(nTP_Loc_n-N(BP53)))&lt;=0)+(1-nTP_HT*BN53)*(nTP_Hi_n&lt;N(BR53)))+((1-nTP_HT*BN53)*(nTP_Lo_n=nTP_Hi_n)*(nTP_Lo_n=N(BR53))*(N(BR53)=N(BS53))))*nTP_HT*nTP_OK*nTP_UTC_n)))</f>
        <v>0</v>
      </c>
      <c r="CK53" s="22">
        <f>IF(CJ53=0,0,SUMPRODUCT((nTP_CandKey=BX53)*nTP_Exact*((nTP_HT*BN53*((nTP_OK*BO53*(nTP_UTC_n-N(BQ53))+(1-nTP_OK*BO53)*(nTP_Loc_n-N(BP53)))&lt;=0)+(1-nTP_HT*BN53)*(nTP_Hi_n&lt;N(BR53)))+((1-nTP_HT*BN53)*(nTP_Lo_n=nTP_Hi_n)*(nTP_Lo_n=N(BR53))*(N(BR53)=N(BS53))))*nTP_HT*nTP_OK*(nTP_UTC_n=CJ53)))</f>
        <v>0</v>
      </c>
      <c r="CL53" s="22">
        <f>IF(CK53&lt;&gt;1,0,SUMPRODUCT((nTP_CandKey=BX53)*nTP_Exact*((nTP_HT*BN53*((nTP_OK*BO53*(nTP_UTC_n-N(BQ53))+(1-nTP_OK*BO53)*(nTP_Loc_n-N(BP53)))&lt;=0)+(1-nTP_HT*BN53)*(nTP_Hi_n&lt;N(BR53)))+((1-nTP_HT*BN53)*(nTP_Lo_n=nTP_Hi_n)*(nTP_Lo_n=N(BR53))*(N(BR53)=N(BS53))))*nTP_HT*nTP_OK*(nTP_UTC_n=CJ53)*nTP_Loc_n))</f>
        <v>0</v>
      </c>
      <c r="CM53" s="22">
        <f>IF(CK53&lt;&gt;1,0,SUMPRODUCT((nTP_CandKey=BX53)*nTP_Exact*((nTP_HT*BN53*((nTP_OK*BO53*(nTP_UTC_n-N(BQ53))+(1-nTP_OK*BO53)*(nTP_Loc_n-N(BP53)))&lt;=0)+(1-nTP_HT*BN53)*(nTP_Hi_n&lt;N(BR53)))+((1-nTP_HT*BN53)*(nTP_Lo_n=nTP_Hi_n)*(nTP_Lo_n=N(BR53))*(N(BR53)=N(BS53))))*nTP_HT*nTP_OK*(nTP_UTC_n=CJ53)*nTP_Lo_n))</f>
        <v>0</v>
      </c>
      <c r="CN53" s="22">
        <f>IF(CD53=0,0,SUMPRODUCT(MAX((nTP_CandKey=BX53)*nTP_Exact*((nTP_HT*BN53*((nTP_OK*BO53*(nTP_UTC_n-N(BQ53))+(1-nTP_OK*BO53)*(nTP_Loc_n-N(BP53)))&lt;=0)+(1-nTP_HT*BN53)*(nTP_Hi_n&lt;N(BR53)))+((1-nTP_HT*BN53)*(nTP_Lo_n=nTP_Hi_n)*(nTP_Lo_n=N(BR53))*(N(BR53)=N(BS53))))*nTP_HT*(1-nTP_OK)*nTP_Loc_n)))</f>
        <v>0</v>
      </c>
      <c r="CO53" s="22">
        <f>IF(CN53=0,0,SUMPRODUCT((nTP_CandKey=BX53)*nTP_Exact*((nTP_HT*BN53*((nTP_OK*BO53*(nTP_UTC_n-N(BQ53))+(1-nTP_OK*BO53)*(nTP_Loc_n-N(BP53)))&lt;=0)+(1-nTP_HT*BN53)*(nTP_Hi_n&lt;N(BR53)))+((1-nTP_HT*BN53)*(nTP_Lo_n=nTP_Hi_n)*(nTP_Lo_n=N(BR53))*(N(BR53)=N(BS53))))*nTP_HT*(1-nTP_OK)*(nTP_Loc_n=CN53)))</f>
        <v>0</v>
      </c>
      <c r="CP53" s="22">
        <f>IF(CO53&lt;&gt;1,0,SUMPRODUCT((nTP_CandKey=BX53)*nTP_Exact*((nTP_HT*BN53*((nTP_OK*BO53*(nTP_UTC_n-N(BQ53))+(1-nTP_OK*BO53)*(nTP_Loc_n-N(BP53)))&lt;=0)+(1-nTP_HT*BN53)*(nTP_Hi_n&lt;N(BR53)))+((1-nTP_HT*BN53)*(nTP_Lo_n=nTP_Hi_n)*(nTP_Lo_n=N(BR53))*(N(BR53)=N(BS53))))*nTP_HT*(1-nTP_OK)*(nTP_Loc_n=CN53)*nTP_Lo_n))</f>
        <v>0</v>
      </c>
      <c r="CQ53" s="22">
        <f>IF(CD53=0,0,SUMPRODUCT(MAX((nTP_CandKey=BX53)*nTP_Exact*((nTP_HT*BN53*((nTP_OK*BO53*(nTP_UTC_n-N(BQ53))+(1-nTP_OK*BO53)*(nTP_Loc_n-N(BP53)))&lt;=0)+(1-nTP_HT*BN53)*(nTP_Hi_n&lt;N(BR53)))+((1-nTP_HT*BN53)*(nTP_Lo_n=nTP_Hi_n)*(nTP_Lo_n=N(BR53))*(N(BR53)=N(BS53))))*nTP_HT*nTP_OK*nTP_Loc_n)))</f>
        <v>0</v>
      </c>
      <c r="CR53" s="22">
        <f t="shared" si="91"/>
        <v>0</v>
      </c>
      <c r="CS53" s="22">
        <f>IF(CR53=0,0,IF(CR53=1,MATCH(1,INDEX((nTP_CandKey=BX53)*nTP_Exact*((nTP_HT*BN53*((nTP_OK*BO53*(nTP_UTC_n-N(BQ53))+(1-nTP_OK*BO53)*(nTP_Loc_n-N(BP53)))&lt;=0)+(1-nTP_HT*BN53)*(nTP_Hi_n&lt;N(BR53)))+((1-nTP_HT*BN53)*(nTP_Lo_n=nTP_Hi_n)*(nTP_Lo_n=N(BR53))*(N(BR53)=N(BS53))))*(1-nTP_HT)*(nTP_Lo_n=CF53),0),0),IF(CR53=2,MATCH(1,INDEX((nTP_CandKey=BX53)*nTP_Exact*((nTP_HT*BN53*((nTP_OK*BO53*(nTP_UTC_n-N(BQ53))+(1-nTP_OK*BO53)*(nTP_Loc_n-N(BP53)))&lt;=0)+(1-nTP_HT*BN53)*(nTP_Hi_n&lt;N(BR53)))+((1-nTP_HT*BN53)*(nTP_Lo_n=nTP_Hi_n)*(nTP_Lo_n=N(BR53))*(N(BR53)=N(BS53))))*nTP_HT*nTP_OK*(nTP_UTC_n=CJ53),0),0),MATCH(1,INDEX((nTP_CandKey=BX53)*nTP_Exact*((nTP_HT*BN53*((nTP_OK*BO53*(nTP_UTC_n-N(BQ53))+(1-nTP_OK*BO53)*(nTP_Loc_n-N(BP53)))&lt;=0)+(1-nTP_HT*BN53)*(nTP_Hi_n&lt;N(BR53)))+((1-nTP_HT*BN53)*(nTP_Lo_n=nTP_Hi_n)*(nTP_Lo_n=N(BR53))*(N(BR53)=N(BS53))))*nTP_HT*(1-nTP_OK)*(nTP_Loc_n=CN53),0),0))))</f>
        <v>0</v>
      </c>
      <c r="CT53" s="22">
        <f>IF(CS53=0,0,INDEX(nTP_Lo_n,CS53))</f>
        <v>0</v>
      </c>
      <c r="CU53" s="22">
        <f>IF(CS53=0,0,SUMPRODUCT((nTP_CandKey=BX53)*(nTP_Err="")*(1-nTP_Exact)*((nTP_HT*BN53*((nTP_OK*BO53*(nTP_UTC_n-N(BQ53))+(1-nTP_OK*BO53)*(nTP_Loc_n-N(BP53)))&lt;=0)+(1-nTP_HT*BN53)*(nTP_Hi_n&lt;N(BR53)))+((1-nTP_HT*BN53)*(nTP_Lo_n=nTP_Hi_n)*(nTP_Lo_n=N(BR53))*(N(BR53)=N(BS53))))*(nTP_Hi_n&gt;=CT53)))</f>
        <v>0</v>
      </c>
      <c r="CV53" s="21" t="str">
        <f t="shared" si="92"/>
        <v/>
      </c>
      <c r="CW53" s="21" t="str">
        <f>IF(AND(BG53=1,CB53=1,CV53="",CS53&gt;0),INDEX(nTP_Record_ID,CS53)&amp;"","")</f>
        <v/>
      </c>
      <c r="CX53" s="21" t="str">
        <f>IF(OR(CV53="",BG53=0),"",IF(CV53="none","an administration record (last dose before onset)",IF(CV53="uncertain","the anchor record: "&amp;INDEX(nTP_Record_ID,MATCH(1,INDEX((nTP_CandKey=BX53)*(nTP_Err="")*(1-(nTP_HT*BN53*((nTP_OK*BO53*(nTP_UTC_n-N(BQ53))+(1-nTP_OK*BO53)*(nTP_Loc_n-N(BP53)))&lt;=0)+(1-nTP_HT*BN53)*(nTP_Hi_n&lt;N(BR53)))-(nTP_HT*BN53*((nTP_OK*BO53*(nTP_UTC_n-N(BQ53))+(1-nTP_OK*BO53)*(nTP_Loc_n-N(BP53)))&gt;0)+(1-nTP_HT*BN53)*(nTP_Lo_n&gt;N(BS53)))-((1-nTP_HT*BN53)*(nTP_Lo_n=nTP_Hi_n)*(nTP_Lo_n=N(BR53))*(N(BR53)=N(BS53)))),0),0))&amp;IF(CC53&gt;1," and "&amp;(CC53-1)&amp;" more","")&amp;" may fall before or after the end point, so the last dose cannot be identified from the recorded dates",IF(CV53="noneligible","the anchor record: no administration with an exact date is recorded at or before the end point",IF(CV53="tie","the anchor record: the order of the latest administrations cannot be told from the recorded dates and times","the anchor record: partial-date administration "&amp;INDEX(nTP_Record_ID,MATCH(1,INDEX((nTP_CandKey=BX53)*(nTP_Err="")*(1-nTP_Exact)*((nTP_HT*BN53*((nTP_OK*BO53*(nTP_UTC_n-N(BQ53))+(1-nTP_OK*BO53)*(nTP_Loc_n-N(BP53)))&lt;=0)+(1-nTP_HT*BN53)*(nTP_Hi_n&lt;N(BR53)))+((1-nTP_HT*BN53)*(nTP_Lo_n=nTP_Hi_n)*(nTP_Lo_n=N(BR53))*(N(BR53)=N(BS53))))*(nTP_Hi_n&gt;=CT53),0),0))&amp;" could be the last dose before the end point")))))</f>
        <v/>
      </c>
      <c r="CY53" s="22">
        <f>IF(OR(AW53=1,AJ53=""),0,IFERROR(MATCH(AX53&amp;"|"&amp;AJ53,nTP_Key,0),0))</f>
        <v>104</v>
      </c>
      <c r="CZ53" s="21">
        <f>IF(CY53=0,0,INDEX(nTP_Dup,CY53))</f>
        <v>1</v>
      </c>
      <c r="DA53" s="21" t="str">
        <f>IF(CY53=0,"",INDEX(nTP_Record_Type,CY53))</f>
        <v>EXPOSURE_STOP</v>
      </c>
      <c r="DB53" s="21" t="str">
        <f>IF(CY53=0,"",INDEX(nTP_Precision,CY53))</f>
        <v>TIMESTAMP</v>
      </c>
      <c r="DC53" s="21" t="str">
        <f>IF(CY53=0,"",INDEX(nTP_Err,CY53))</f>
        <v/>
      </c>
      <c r="DD53" s="21">
        <f>IF(CY53=0,0,INDEX(nTP_HT,CY53))</f>
        <v>1</v>
      </c>
      <c r="DE53" s="21">
        <f>IF(CY53=0,0,INDEX(nTP_OK,CY53))</f>
        <v>1</v>
      </c>
      <c r="DF53" s="21">
        <f>IF(CY53=0,"",INDEX(nTP_Loc,CY53))</f>
        <v>66286636</v>
      </c>
      <c r="DG53" s="21">
        <f>IF(CY53=0,"",INDEX(nTP_UTC,CY53))</f>
        <v>66286936</v>
      </c>
      <c r="DH53" s="21">
        <f>IF(CY53=0,"",INDEX(nTP_Lo,CY53))</f>
        <v>46032</v>
      </c>
      <c r="DI53" s="21">
        <f>IF(CY53=0,"",INDEX(nTP_Hi,CY53))</f>
        <v>46032</v>
      </c>
      <c r="DJ53" s="21" t="str">
        <f>IF(CY53=0,"",INDEX(nTP_Original_Text,CY53))</f>
        <v>09:16 infusion stopped, doctor called</v>
      </c>
      <c r="DK53" s="21" t="str">
        <f>IF(CY53=0,"",INDEX(nTP_Source,CY53))</f>
        <v>Nursing chart</v>
      </c>
      <c r="DL53" s="22">
        <f t="shared" si="93"/>
        <v>1</v>
      </c>
      <c r="DM53" s="21" t="str">
        <f t="shared" si="94"/>
        <v/>
      </c>
      <c r="DN53" s="21" t="str">
        <f t="shared" si="95"/>
        <v/>
      </c>
      <c r="DO53" s="21" t="str">
        <f t="shared" si="96"/>
        <v/>
      </c>
      <c r="DP53" s="21" t="str">
        <f t="shared" si="97"/>
        <v/>
      </c>
      <c r="DQ53" s="21" t="str">
        <f t="shared" si="98"/>
        <v>C1</v>
      </c>
      <c r="DR53" s="22">
        <f>IF(OR(DQ53="",I53=""),0,IF(ISNA(MATCH(I53,nLIST_Mode,0)),1,IF(AND(I53="C1",DQ53&lt;&gt;"C1"),1,IF(AND(I53="C2",DQ53="C4"),1,0))))</f>
        <v>0</v>
      </c>
      <c r="DS53" s="21" t="str">
        <f t="shared" si="99"/>
        <v>C1</v>
      </c>
      <c r="DT53" s="22">
        <f t="shared" si="100"/>
        <v>0</v>
      </c>
      <c r="DU53" s="21" t="str">
        <f>IF(DT53=0,"",IF(COUNTIFS(nTP_Case_Key,AX53,nTP_Record_Type,"MILESTONE:INTERVENTION",nTP_Err,"E_INVALID_DATE")&gt;0,"; E_INVALID_DATE","")&amp;IF(COUNTIFS(nTP_Case_Key,AX53,nTP_Record_Type,"MILESTONE:INTERVENTION",nTP_Err,"E_REVERSED_BOUNDS")&gt;0,"; E_REVERSED_BOUNDS","")&amp;IF(COUNTIFS(nTP_Case_Key,AX53,nTP_Record_Type,"MILESTONE:INTERVENTION",nTP_Err,"E_MISSING_INPUT")&gt;0,"; E_MISSING_INPUT","")&amp;IF(COUNTIFS(nTP_Case_Key,AX53,nTP_Record_Type,"MILESTONE:INTERVENTION",nTP_Err,"E_INVALID_UNIT")&gt;0,"; E_INVALID_UNIT",""))</f>
        <v/>
      </c>
      <c r="DV53" s="22">
        <f>IF(DT53=0,0,SUMPRODUCT((nMS_CaseKey=AX53)*(nMS_Type="INTERVENTION")*nMS_Undated))</f>
        <v>0</v>
      </c>
      <c r="DW53" s="21" t="str">
        <f t="shared" si="101"/>
        <v/>
      </c>
      <c r="DX53" s="21" t="str">
        <f t="shared" si="102"/>
        <v/>
      </c>
      <c r="DY53" s="22">
        <f t="shared" si="103"/>
        <v>0</v>
      </c>
      <c r="DZ53" s="21">
        <f t="shared" si="104"/>
        <v>-1</v>
      </c>
      <c r="EA53" s="21" t="str">
        <f t="shared" si="105"/>
        <v/>
      </c>
      <c r="EB53" s="21" t="str">
        <f t="shared" si="106"/>
        <v/>
      </c>
      <c r="EC53" s="21" t="str">
        <f t="shared" si="107"/>
        <v/>
      </c>
      <c r="ED53" s="22">
        <f t="shared" si="108"/>
        <v>0</v>
      </c>
      <c r="EE53" s="22">
        <f t="shared" si="109"/>
        <v>0</v>
      </c>
      <c r="EF53" s="21" t="str">
        <f>IF(ED53=0,"",IF(OR(NOT(ISNUMBER(L53)),NOT(ISNUMBER(M53))),"I_APPROXIMATE_NOT_COMPARED",IF(AND(N53&lt;&gt;"",ISNA(MATCH(N53,nLIST_ReportedUnit,0))),"E_INVALID_UNIT",IF(N53="","E_MISSING_INPUT",IF(L53&gt;M53,"E_REVERSED_BOUNDS",IF(OR(N53="weeks",N53="months",N53="years"),"I_APPROXIMATE_NOT_COMPARED",IF(DX53&lt;&gt;"","",IF(EE53=0,"I_APPROXIMATE_NOT_COMPARED",IF(AND(L53*EE53&lt;=IF(DS53="C4",EC53,IF(DS53="C1",DZ53,EA53)),M53*EE53&gt;=IF(DS53="C4",EB53,IF(DS53="C1",DZ53,EA53))),"OVERLAP","W_REPORTED_TIMING_CONFLICT")))))))))</f>
        <v/>
      </c>
      <c r="EG53" s="21" t="str">
        <f t="shared" si="110"/>
        <v/>
      </c>
      <c r="EH53" s="21" t="str">
        <f t="shared" si="111"/>
        <v/>
      </c>
      <c r="EI53" s="22">
        <f t="shared" si="112"/>
        <v>1</v>
      </c>
      <c r="EJ53" s="22">
        <f t="shared" si="113"/>
        <v>0</v>
      </c>
      <c r="EK53" s="22">
        <f t="shared" si="114"/>
        <v>0</v>
      </c>
      <c r="EL53" s="28" t="str">
        <f t="shared" si="115"/>
        <v/>
      </c>
      <c r="EM53" s="28" t="str">
        <f t="shared" si="116"/>
        <v/>
      </c>
      <c r="EN53" s="21" t="str">
        <f t="shared" si="117"/>
        <v/>
      </c>
      <c r="EO53" s="22">
        <f>IF(OR(DT53=0,DX53&lt;&gt;""),0,SUMPRODUCT((nTP_Case_Key=AX53)*(nTP_Record_Type="MILESTONE:INTERVENTION")*(nTP_Err="")*(nTP_HT*DD53*BN53*(nTP_OK*DE53*(nTP_UTC_n&gt;=N(DG53))+(1-nTP_OK*DE53)*(nTP_Loc_n&gt;=N(DF53)))*(nTP_OK*BO53*(nTP_UTC_n&lt;=N(BQ53))+(1-nTP_OK*BO53)*(nTP_Loc_n&lt;=N(BP53)))+(1-nTP_HT*DD53*BN53)*(nTP_Hi_n&gt;=N(DH53))*(nTP_Lo_n&lt;=N(BS53)))))</f>
        <v>0</v>
      </c>
      <c r="EP53" s="22">
        <f>IF(OR(DT53=0,DX53&lt;&gt;""),0,SUMPRODUCT((nTP_Case_Key=AX53)*(nTP_Role="treatment of the event")*((nTP_Record_Type="EXPOSURE_START")+(nTP_Record_Type="ADMINISTRATION"))*(nTP_Err="")*(nTP_HT*DD53*BN53*(nTP_OK*DE53*(nTP_UTC_n&gt;=N(DG53))+(1-nTP_OK*DE53)*(nTP_Loc_n&gt;=N(DF53)))*(nTP_OK*BO53*(nTP_UTC_n&lt;=N(BQ53))+(1-nTP_OK*BO53)*(nTP_Loc_n&lt;=N(BP53)))+(1-nTP_HT*DD53*BN53)*(nTP_Hi_n&gt;=N(DH53))*(nTP_Lo_n&lt;=N(BS53)))))</f>
        <v>0</v>
      </c>
      <c r="EQ53" s="22">
        <f>IF(EO53&lt;1,0,IFERROR(_xlfn.AGGREGATE(15,6,nTP_RowN/((nTP_Case_Key=AX53)*(nTP_Record_Type="MILESTONE:INTERVENTION")*(nTP_Err="")*(nTP_HT*DD53*BN53*(nTP_OK*DE53*(nTP_UTC_n&gt;=N(DG53))+(1-nTP_OK*DE53)*(nTP_Loc_n&gt;=N(DF53)))*(nTP_OK*BO53*(nTP_UTC_n&lt;=N(BQ53))+(1-nTP_OK*BO53)*(nTP_Loc_n&lt;=N(BP53)))+(1-nTP_HT*DD53*BN53)*(nTP_Hi_n&gt;=N(DH53))*(nTP_Lo_n&lt;=N(BS53)))),1),0))</f>
        <v>0</v>
      </c>
      <c r="ER53" s="22">
        <f>IF(EO53&lt;2,0,IFERROR(_xlfn.AGGREGATE(15,6,nTP_RowN/((nTP_Case_Key=AX53)*(nTP_Record_Type="MILESTONE:INTERVENTION")*(nTP_Err="")*(nTP_HT*DD53*BN53*(nTP_OK*DE53*(nTP_UTC_n&gt;=N(DG53))+(1-nTP_OK*DE53)*(nTP_Loc_n&gt;=N(DF53)))*(nTP_OK*BO53*(nTP_UTC_n&lt;=N(BQ53))+(1-nTP_OK*BO53)*(nTP_Loc_n&lt;=N(BP53)))+(1-nTP_HT*DD53*BN53)*(nTP_Hi_n&gt;=N(DH53))*(nTP_Lo_n&lt;=N(BS53)))),2),0))</f>
        <v>0</v>
      </c>
      <c r="ES53" s="22">
        <f>IF(EO53&lt;3,0,IFERROR(_xlfn.AGGREGATE(15,6,nTP_RowN/((nTP_Case_Key=AX53)*(nTP_Record_Type="MILESTONE:INTERVENTION")*(nTP_Err="")*(nTP_HT*DD53*BN53*(nTP_OK*DE53*(nTP_UTC_n&gt;=N(DG53))+(1-nTP_OK*DE53)*(nTP_Loc_n&gt;=N(DF53)))*(nTP_OK*BO53*(nTP_UTC_n&lt;=N(BQ53))+(1-nTP_OK*BO53)*(nTP_Loc_n&lt;=N(BP53)))+(1-nTP_HT*DD53*BN53)*(nTP_Hi_n&gt;=N(DH53))*(nTP_Lo_n&lt;=N(BS53)))),3),0))</f>
        <v>0</v>
      </c>
      <c r="ET53" s="22">
        <f>IF(EP53&lt;1,0,IFERROR(_xlfn.AGGREGATE(15,6,nTP_RowN/((nTP_Case_Key=AX53)*(nTP_Role="treatment of the event")*((nTP_Record_Type="EXPOSURE_START")+(nTP_Record_Type="ADMINISTRATION"))*(nTP_Err="")*(nTP_HT*DD53*BN53*(nTP_OK*DE53*(nTP_UTC_n&gt;=N(DG53))+(1-nTP_OK*DE53)*(nTP_Loc_n&gt;=N(DF53)))*(nTP_OK*BO53*(nTP_UTC_n&lt;=N(BQ53))+(1-nTP_OK*BO53)*(nTP_Loc_n&lt;=N(BP53)))+(1-nTP_HT*DD53*BN53)*(nTP_Hi_n&gt;=N(DH53))*(nTP_Lo_n&lt;=N(BS53)))),1),0))</f>
        <v>0</v>
      </c>
      <c r="EU53" s="22">
        <f>IF(EP53&lt;2,0,IFERROR(_xlfn.AGGREGATE(15,6,nTP_RowN/((nTP_Case_Key=AX53)*(nTP_Role="treatment of the event")*((nTP_Record_Type="EXPOSURE_START")+(nTP_Record_Type="ADMINISTRATION"))*(nTP_Err="")*(nTP_HT*DD53*BN53*(nTP_OK*DE53*(nTP_UTC_n&gt;=N(DG53))+(1-nTP_OK*DE53)*(nTP_Loc_n&gt;=N(DF53)))*(nTP_OK*BO53*(nTP_UTC_n&lt;=N(BQ53))+(1-nTP_OK*BO53)*(nTP_Loc_n&lt;=N(BP53)))+(1-nTP_HT*DD53*BN53)*(nTP_Hi_n&gt;=N(DH53))*(nTP_Lo_n&lt;=N(BS53)))),2),0))</f>
        <v>0</v>
      </c>
      <c r="EV53" s="22">
        <f>IF(EP53&lt;3,0,IFERROR(_xlfn.AGGREGATE(15,6,nTP_RowN/((nTP_Case_Key=AX53)*(nTP_Role="treatment of the event")*((nTP_Record_Type="EXPOSURE_START")+(nTP_Record_Type="ADMINISTRATION"))*(nTP_Err="")*(nTP_HT*DD53*BN53*(nTP_OK*DE53*(nTP_UTC_n&gt;=N(DG53))+(1-nTP_OK*DE53)*(nTP_Loc_n&gt;=N(DF53)))*(nTP_OK*BO53*(nTP_UTC_n&lt;=N(BQ53))+(1-nTP_OK*BO53)*(nTP_Loc_n&lt;=N(BP53)))+(1-nTP_HT*DD53*BN53)*(nTP_Hi_n&gt;=N(DH53))*(nTP_Lo_n&lt;=N(BS53)))),3),0))</f>
        <v>0</v>
      </c>
      <c r="EW53" s="22">
        <f>IF(CE53&lt;1,0,IFERROR(_xlfn.AGGREGATE(15,6,nTP_RowN/((nTP_CandKey=BX53)*(nTP_Err="")*(1-nTP_Exact)*((nTP_HT*BN53*((nTP_OK*BO53*(nTP_UTC_n-N(BQ53))+(1-nTP_OK*BO53)*(nTP_Loc_n-N(BP53)))&lt;=0)+(1-nTP_HT*BN53)*(nTP_Hi_n&lt;N(BR53)))+((1-nTP_HT*BN53)*(nTP_Lo_n=nTP_Hi_n)*(nTP_Lo_n=N(BR53))*(N(BR53)=N(BS53))))),1),0))</f>
        <v>0</v>
      </c>
      <c r="EX53" s="22">
        <f>IF(CE53&lt;2,0,IFERROR(_xlfn.AGGREGATE(15,6,nTP_RowN/((nTP_CandKey=BX53)*(nTP_Err="")*(1-nTP_Exact)*((nTP_HT*BN53*((nTP_OK*BO53*(nTP_UTC_n-N(BQ53))+(1-nTP_OK*BO53)*(nTP_Loc_n-N(BP53)))&lt;=0)+(1-nTP_HT*BN53)*(nTP_Hi_n&lt;N(BR53)))+((1-nTP_HT*BN53)*(nTP_Lo_n=nTP_Hi_n)*(nTP_Lo_n=N(BR53))*(N(BR53)=N(BS53))))),2),0))</f>
        <v>0</v>
      </c>
      <c r="EY53" s="22">
        <f>IF(CE53&lt;3,0,IFERROR(_xlfn.AGGREGATE(15,6,nTP_RowN/((nTP_CandKey=BX53)*(nTP_Err="")*(1-nTP_Exact)*((nTP_HT*BN53*((nTP_OK*BO53*(nTP_UTC_n-N(BQ53))+(1-nTP_OK*BO53)*(nTP_Loc_n-N(BP53)))&lt;=0)+(1-nTP_HT*BN53)*(nTP_Hi_n&lt;N(BR53)))+((1-nTP_HT*BN53)*(nTP_Lo_n=nTP_Hi_n)*(nTP_Lo_n=N(BR53))*(N(BR53)=N(BS53))))),3),0))</f>
        <v>0</v>
      </c>
      <c r="EZ53" s="21" t="str">
        <f>IF(EO53=0,"",MID(IF(EQ53&gt;0,"; "&amp;INDEX(nTP_Record_ID,EQ53)&amp;IF(INDEX(nTP_Label,EQ53)="",""," ("&amp;INDEX(nTP_Label,EQ53)&amp;")"),"")&amp;IF(ER53&gt;0,"; "&amp;INDEX(nTP_Record_ID,ER53)&amp;IF(INDEX(nTP_Label,ER53)="",""," ("&amp;INDEX(nTP_Label,ER53)&amp;")"),"")&amp;IF(ES53&gt;0,"; "&amp;INDEX(nTP_Record_ID,ES53)&amp;IF(INDEX(nTP_Label,ES53)="",""," ("&amp;INDEX(nTP_Label,ES53)&amp;")"),"")&amp;IF(EO53&gt;3,"; and "&amp;(EO53-3)&amp;" more",""),3,999))</f>
        <v/>
      </c>
      <c r="FA53" s="21" t="str">
        <f>IF(EO53=0,"",MID(IF(EQ53&gt;0,"; "&amp;INDEX(nTP_Record_ID,EQ53),"")&amp;IF(ER53&gt;0,"; "&amp;INDEX(nTP_Record_ID,ER53),"")&amp;IF(ES53&gt;0,"; "&amp;INDEX(nTP_Record_ID,ES53),"")&amp;IF(EO53&gt;3,"; and "&amp;(EO53-3)&amp;" more",""),3,999))</f>
        <v/>
      </c>
      <c r="FB53" s="21" t="str">
        <f>IF(EP53=0,"",MID(IF(ET53&gt;0,"; "&amp;INDEX(nTP_Record_ID,ET53)&amp;IF(INDEX(nTP_Label,ET53)="",""," ("&amp;INDEX(nTP_Label,ET53)&amp;")"),"")&amp;IF(EU53&gt;0,"; "&amp;INDEX(nTP_Record_ID,EU53)&amp;IF(INDEX(nTP_Label,EU53)="",""," ("&amp;INDEX(nTP_Label,EU53)&amp;")"),"")&amp;IF(EV53&gt;0,"; "&amp;INDEX(nTP_Record_ID,EV53)&amp;IF(INDEX(nTP_Label,EV53)="",""," ("&amp;INDEX(nTP_Label,EV53)&amp;")"),"")&amp;IF(EP53&gt;3,"; and "&amp;(EP53-3)&amp;" more",""),3,999))</f>
        <v/>
      </c>
      <c r="FC53" s="21" t="str">
        <f>IF(CE53=0,"",MID(IF(EW53&gt;0,"; "&amp;INDEX(nTP_Record_ID,EW53),"")&amp;IF(EX53&gt;0,"; "&amp;INDEX(nTP_Record_ID,EX53),"")&amp;IF(EY53&gt;0,"; "&amp;INDEX(nTP_Record_ID,EY53),"")&amp;IF(CE53&gt;3,"; and "&amp;(CE53-3)&amp;" more",""),3,999))</f>
        <v/>
      </c>
      <c r="FD53" s="22">
        <f t="shared" si="118"/>
        <v>0</v>
      </c>
      <c r="FE53" s="22">
        <f t="shared" si="119"/>
        <v>0</v>
      </c>
      <c r="FF53" s="22">
        <f t="shared" si="120"/>
        <v>0</v>
      </c>
      <c r="FG53" s="22">
        <f t="shared" si="121"/>
        <v>0</v>
      </c>
      <c r="FH53" s="22">
        <f t="shared" si="122"/>
        <v>0</v>
      </c>
      <c r="FI53" s="22">
        <f t="shared" si="123"/>
        <v>0</v>
      </c>
      <c r="FJ53" s="22">
        <f t="shared" si="124"/>
        <v>0</v>
      </c>
      <c r="FK53" s="22">
        <f t="shared" si="125"/>
        <v>0</v>
      </c>
    </row>
    <row r="54" spans="1:167" x14ac:dyDescent="0.2">
      <c r="A54" s="9" t="s">
        <v>1147</v>
      </c>
      <c r="B54" s="9" t="s">
        <v>297</v>
      </c>
      <c r="C54" s="11">
        <v>2</v>
      </c>
      <c r="D54" s="9" t="s">
        <v>894</v>
      </c>
      <c r="E54" s="16" t="s">
        <v>57</v>
      </c>
      <c r="F54" s="9" t="s">
        <v>1148</v>
      </c>
      <c r="G54" s="9" t="s">
        <v>801</v>
      </c>
      <c r="H54" s="9" t="s">
        <v>1128</v>
      </c>
      <c r="I54" s="16" t="s">
        <v>59</v>
      </c>
      <c r="J54" s="16"/>
      <c r="K54" s="9"/>
      <c r="L54" s="16"/>
      <c r="M54" s="16"/>
      <c r="N54" s="16"/>
      <c r="O54" s="9"/>
      <c r="P54" s="14"/>
      <c r="Q54" s="14"/>
      <c r="R54" s="9"/>
      <c r="S54" s="9"/>
      <c r="T54" s="21" t="str">
        <f t="shared" si="63"/>
        <v>−3 minutes</v>
      </c>
      <c r="U54" s="21" t="str">
        <f t="shared" si="64"/>
        <v>−3 minutes</v>
      </c>
      <c r="V54" s="21">
        <f t="shared" si="65"/>
        <v>-3</v>
      </c>
      <c r="W54" s="21" t="str">
        <f t="shared" si="66"/>
        <v/>
      </c>
      <c r="X54" s="21" t="str">
        <f t="shared" si="67"/>
        <v/>
      </c>
      <c r="Y54" s="21" t="str">
        <f t="shared" si="68"/>
        <v>minutes</v>
      </c>
      <c r="Z54" s="21" t="str">
        <f t="shared" si="69"/>
        <v>C1</v>
      </c>
      <c r="AA54" s="21" t="str">
        <f t="shared" si="70"/>
        <v>BEFORE</v>
      </c>
      <c r="AB54" s="21" t="str">
        <f t="shared" si="71"/>
        <v/>
      </c>
      <c r="AC54" s="21" t="str">
        <f t="shared" si="72"/>
        <v/>
      </c>
      <c r="AD54" s="21" t="str">
        <f>IF(AW54=1,"",MID(IF(ISNUMBER(SEARCH("E_INVALID_DATE",EG54))," | E_INVALID_DATE: "&amp;SUBSTITUTE(IFERROR(INDEX(nMSG_Text,MATCH("E_INVALID_DATE",nMSG_Code,0)),""),"[input]",""),"")&amp;IF(ISNUMBER(SEARCH("E_REVERSED_BOUNDS",EG54))," | E_REVERSED_BOUNDS: "&amp;SUBSTITUTE(IFERROR(INDEX(nMSG_Text,MATCH("E_REVERSED_BOUNDS",nMSG_Code,0)),""),"[input]",""),"")&amp;IF(ISNUMBER(SEARCH("E_DUPLICATE_ID",EG54))," | E_DUPLICATE_ID: "&amp;SUBSTITUTE(IFERROR(INDEX(nMSG_Text,MATCH("E_DUPLICATE_ID",nMSG_Code,0)),""),"[input]",""),"")&amp;IF(ISNUMBER(SEARCH("E_MISSING_LINK",EG54))," | E_MISSING_LINK: "&amp;SUBSTITUTE(IFERROR(INDEX(nMSG_Text,MATCH("E_MISSING_LINK",nMSG_Code,0)),""),"[input]",""),"")&amp;IF(ISNUMBER(SEARCH("E_MISSING_INPUT",EG54))," | E_MISSING_INPUT: "&amp;SUBSTITUTE(IFERROR(INDEX(nMSG_Text,MATCH("E_MISSING_INPUT",nMSG_Code,0)),""),"[input]",IF(EH54="","an input",EH54)),"")&amp;IF(ISNUMBER(SEARCH("E_INVALID_UNIT",EG54))," | E_INVALID_UNIT: "&amp;SUBSTITUTE(IFERROR(INDEX(nMSG_Text,MATCH("E_INVALID_UNIT",nMSG_Code,0)),""),"[input]",""),"")&amp;IF(FD54=1," | W_TZ_UNKNOWN: "&amp;SUBSTITUTE(IFERROR(INDEX(nMSG_Text,MATCH("W_TZ_UNKNOWN",nMSG_Code,0)),""),"[input]",""),"")&amp;IF(FE54=1," | W_SAME_DATE_ORDER_UNKNOWN: "&amp;SUBSTITUTE(IFERROR(INDEX(nMSG_Text,MATCH("W_SAME_DATE_ORDER_UNKNOWN",nMSG_Code,0)),""),"[input]",""),"")&amp;IF(FF54=1," | W_SEQUENCE_UNCERTAIN: "&amp;SUBSTITUTE(IFERROR(INDEX(nMSG_Text,MATCH("W_SEQUENCE_UNCERTAIN",nMSG_Code,0)),""),"[input]",""),"")&amp;IF(FG54=1," | W_ADMIN_SAME_DATE_AS_ONSET: "&amp;SUBSTITUTE(IFERROR(INDEX(nMSG_Text,MATCH("W_ADMIN_SAME_DATE_AS_ONSET",nMSG_Code,0)),""),"[input]",""),"")&amp;IF(FH54=1," | W_REPORTED_TIMING_CONFLICT: "&amp;SUBSTITUTE(IFERROR(INDEX(nMSG_Text,MATCH("W_REPORTED_TIMING_CONFLICT",nMSG_Code,0)),""),"[input]",""),"")&amp;IF(FI54=1," | W_INTERVENTION_BEFORE_RECOVERY: "&amp;SUBSTITUTE(IFERROR(INDEX(nMSG_Text,MATCH("W_INTERVENTION_BEFORE_RECOVERY",nMSG_Code,0)),""),"[input]",""),"")&amp;IF(FJ54=1," | I_TREATMENT_DAY_UNDEFINED: "&amp;SUBSTITUTE(IFERROR(INDEX(nMSG_Text,MATCH("I_TREATMENT_DAY_UNDEFINED",nMSG_Code,0)),""),"[input]",""),"")&amp;IF(FK54=1," | I_APPROXIMATE_NOT_COMPARED: "&amp;SUBSTITUTE(IFERROR(INDEX(nMSG_Text,MATCH("I_APPROXIMATE_NOT_COMPARED",nMSG_Code,0)),""),"[input]",""),""),4,9999))</f>
        <v/>
      </c>
      <c r="AE54" s="21" t="str">
        <f t="shared" si="73"/>
        <v/>
      </c>
      <c r="AF54" s="21" t="str">
        <f t="shared" si="74"/>
        <v/>
      </c>
      <c r="AG54" s="21" t="str">
        <f>IF(EN54="","",MID(IF(ISNUMBER(SEARCH("E_REVERSED_BOUNDS",EN54))," | E_REVERSED_BOUNDS: "&amp;SUBSTITUTE(IFERROR(INDEX(nMSG_Text,MATCH("E_REVERSED_BOUNDS",nMSG_Code,0)),""),"[input]",""),"")&amp;IF(ISNUMBER(SEARCH("E_MISSING_INPUT",EN54))," | E_MISSING_INPUT: "&amp;SUBSTITUTE(IFERROR(INDEX(nMSG_Text,MATCH("E_MISSING_INPUT",nMSG_Code,0)),""),"[input]",IF("the source of the constraint"="","an input","the source of the constraint")),""),4,999))</f>
        <v/>
      </c>
      <c r="AH54" s="21" t="str">
        <f t="shared" si="75"/>
        <v/>
      </c>
      <c r="AI54" s="21" t="str">
        <f t="shared" si="76"/>
        <v>M-EMERG → EV-1/ONSET</v>
      </c>
      <c r="AJ54" s="21" t="str">
        <f t="shared" si="77"/>
        <v>M-EMERG</v>
      </c>
      <c r="AK54" s="21" t="str">
        <f t="shared" si="78"/>
        <v>EV-1/ONSET</v>
      </c>
      <c r="AL54" s="21" t="str">
        <f>IF(CY54=0,"",INDEX(nTP_ISO,CY54))</f>
        <v>2026-01-10T09:18-05:00</v>
      </c>
      <c r="AM54" s="21" t="str">
        <f>IF(CY54=0,"",INDEX(nTP_Display,CY54))</f>
        <v>10 January 2026 09:18 (UTC-05:00)</v>
      </c>
      <c r="AN54" s="21" t="str">
        <f>IF(BI54=0,"",INDEX(nTP_ISO,BI54))</f>
        <v>2026-01-10T09:15-05:00</v>
      </c>
      <c r="AO54" s="21" t="str">
        <f>IF(BI54=0,"",INDEX(nTP_Display,BI54))</f>
        <v>10 January 2026 09:15 (UTC-05:00)</v>
      </c>
      <c r="AP54" s="21" t="str">
        <f>IF(BA54=0,"",INDEX(nLNK_Exposure_Episode_ID,BA54)&amp;"")</f>
        <v>EX-A</v>
      </c>
      <c r="AQ54" s="21" t="str">
        <f>IF(BA54=0,"",INDEX(nLNK_Event_Episode_ID,BA54)&amp;"")</f>
        <v>EV-1</v>
      </c>
      <c r="AR54" s="21" t="str">
        <f t="shared" si="79"/>
        <v>Anchor (OTHER) M-EMERG: 2026-01-10T09:18-05:00 [timestamp with UTC offset; case measurement; original: "Emergency medicines administered from 09:18"; source: Medication administration record] | End point EV-1/ONSET: 2026-01-10T09:15-05:00 [timestamp with UTC offset; case measurement; original: "09:15 pt reports itching; urticaria chest and arms; audible wheeze; BP 84/52"; source: Nursing observation chart]</v>
      </c>
      <c r="AS54" s="21" t="str">
        <f>IF(EI54=0,"",MID(IF(DT54=1," | Recovery interval (C7) computed with "&amp;DS54&amp;".","")&amp;IF(BG54=1," | Anchor selected under C5 (CALC-SPEC 1.1): latest administration with an exact date or time at or before "&amp;IF(BH54=1,"onset","the end point")&amp;" ("&amp;AJ54&amp;"), ordered in UTC when offsets are known; later administrations are never selected.","")&amp;IF(AND(BG54=1,CE54&gt;0)," | Partial-date administrations wholly before the selected one were not candidates: "&amp;FC54&amp;".","")&amp;IF(BV54&lt;&gt;""," | "&amp;BV54,"")&amp;IF(AND(DS54="C2",EA54=0,DZ54&lt;&gt;"")," | Same calendar date; both times are known, so C1 decides the order ("&amp;AA54&amp;").","")&amp;IF(AND(DS54="C2",DD54*BN54=1,DT54=0)," | Calendar-date difference from the recorded local dates; it is never described as elapsed days.","")&amp;IF(AND(DS54="C4",DT54=0)," | Bounds are treated as independent; no single date is imputed from them.","")&amp;IF(EJ54=1," | Treatment day under the inclusive convention (C3); never written to E2B fields automatically.","")&amp;IF(AND(DS54="C4",DT54=0,EK54=0)," | No constraint applied.","")&amp;IF(AND(DS54="C4",EK54=1)," | Constraint applied to the anchor bounds: "&amp;IF(ISNUMBER(P54),"not before "&amp;DAY(P54)&amp;" "&amp;INDEX(nLIST_Months,MONTH(P54))&amp;" "&amp;YEAR(P54),"")&amp;IF(AND(ISNUMBER(P54),ISNUMBER(Q54)),", ","")&amp;IF(ISNUMBER(Q54),"not after "&amp;DAY(Q54)&amp;" "&amp;INDEX(nLIST_Months,MONTH(Q54))&amp;" "&amp;YEAR(Q54),"")&amp;". Source: "&amp;IF(R54="","not recorded",R54)&amp;IF(EN54="",". Constrained result shown beside the unconstrained one.",". Constrained result blocked ("&amp;EN54&amp;")."),"")&amp;IF(DT54=1,IF(EO54&gt;0," | Intervention recorded between cessation and recovery (ends included): "&amp;EZ54&amp;"."," | No intervention is recorded between cessation and recovery; absence of a record is not evidence that none was given."),"")&amp;IF(AND(DT54=1,DV54&gt;0)," | Intervention recorded without a date, so whether it came before recovery is unknown: "&amp;INDEX(nMS_Milestone_ID,MATCH(1,INDEX((nMS_CaseKey=AX54)*(nMS_Type="INTERVENTION")*nMS_Undated,0),0))&amp;IF(DV54&gt;1," and "&amp;(DV54-1)&amp;" more","")&amp;".","")&amp;IF(AND(DT54=1,EP54&gt;0)," | Not counted as interventions, because they are recorded as exposures rather than as intervention milestones (nothing is inferred): "&amp;FB54&amp;". If treatment was given, record it as an intervention milestone.",""),4,9999))</f>
        <v/>
      </c>
      <c r="AT54" s="21" t="str">
        <f t="shared" si="80"/>
        <v>The interval describes the sequence and spacing of recorded times; it is not evidence of causation.</v>
      </c>
      <c r="AU54" s="21" t="str">
        <f t="shared" si="81"/>
        <v/>
      </c>
      <c r="AV54" s="21" t="str">
        <f t="shared" si="82"/>
        <v>CALC-SPEC 1.1</v>
      </c>
      <c r="AW54" s="22">
        <f t="shared" si="83"/>
        <v>0</v>
      </c>
      <c r="AX54" s="21" t="str">
        <f t="shared" si="84"/>
        <v>EX-C01|2</v>
      </c>
      <c r="AY54" s="21" t="str">
        <f t="shared" si="85"/>
        <v>EX-C01|2|I09</v>
      </c>
      <c r="AZ54" s="22">
        <f>IF(AY54="",0,COUNTIF(nINT_Key,AY54))</f>
        <v>1</v>
      </c>
      <c r="BA54" s="22">
        <f>IF(D54="",0,IFERROR(MATCH(AX54&amp;"|"&amp;D54,nLNK_Key,0),0))</f>
        <v>22</v>
      </c>
      <c r="BB54" s="22">
        <f>IF(BA54=0,1,INDEX(nLNK_Exp_Found,BA54))</f>
        <v>1</v>
      </c>
      <c r="BC54" s="22">
        <f>IF(BA54=0,1,INDEX(nLNK_Evt_Found,BA54))</f>
        <v>1</v>
      </c>
      <c r="BD54" s="22">
        <f>IF(AP54="",0,COUNTIF(nEXP_Key,AX54&amp;"|"&amp;AP54))</f>
        <v>1</v>
      </c>
      <c r="BE54" s="22">
        <f>IF(AQ54="",0,COUNTIF(nEVT_Key,AX54&amp;"|"&amp;AQ54))</f>
        <v>1</v>
      </c>
      <c r="BF54" s="22">
        <f>IF(ISNA(MATCH(E54,nLIST_AnchorType,0)),0,1)</f>
        <v>1</v>
      </c>
      <c r="BG54" s="22">
        <f t="shared" si="86"/>
        <v>0</v>
      </c>
      <c r="BH54" s="22">
        <f t="shared" si="87"/>
        <v>1</v>
      </c>
      <c r="BI54" s="22">
        <f>IF(OR(AW54=1,AK54=""),0,IFERROR(MATCH(AX54&amp;"|"&amp;AK54,nTP_Key,0),0))</f>
        <v>312</v>
      </c>
      <c r="BJ54" s="21">
        <f>IF(BI54=0,0,INDEX(nTP_Dup,BI54))</f>
        <v>1</v>
      </c>
      <c r="BK54" s="21" t="str">
        <f>IF(BI54=0,"",INDEX(nTP_Record_Type,BI54))</f>
        <v>EVENT_ONSET</v>
      </c>
      <c r="BL54" s="21" t="str">
        <f>IF(BI54=0,"",INDEX(nTP_Precision,BI54))</f>
        <v>TIMESTAMP</v>
      </c>
      <c r="BM54" s="21" t="str">
        <f>IF(BI54=0,"",INDEX(nTP_Err,BI54))</f>
        <v/>
      </c>
      <c r="BN54" s="21">
        <f>IF(BI54=0,0,INDEX(nTP_HT,BI54))</f>
        <v>1</v>
      </c>
      <c r="BO54" s="21">
        <f>IF(BI54=0,0,INDEX(nTP_OK,BI54))</f>
        <v>1</v>
      </c>
      <c r="BP54" s="21">
        <f>IF(BI54=0,"",INDEX(nTP_Loc,BI54))</f>
        <v>66286635</v>
      </c>
      <c r="BQ54" s="21">
        <f>IF(BI54=0,"",INDEX(nTP_UTC,BI54))</f>
        <v>66286935</v>
      </c>
      <c r="BR54" s="21">
        <f>IF(BI54=0,"",INDEX(nTP_Lo,BI54))</f>
        <v>46032</v>
      </c>
      <c r="BS54" s="21">
        <f>IF(BI54=0,"",INDEX(nTP_Hi,BI54))</f>
        <v>46032</v>
      </c>
      <c r="BT54" s="21" t="str">
        <f>IF(BI54=0,"",INDEX(nTP_Original_Text,BI54))</f>
        <v>09:15 pt reports itching; urticaria chest and arms; audible wheeze; BP 84/52</v>
      </c>
      <c r="BU54" s="21" t="str">
        <f>IF(BI54=0,"",INDEX(nTP_Source,BI54))</f>
        <v>Nursing observation chart</v>
      </c>
      <c r="BV54" s="21" t="str">
        <f>IF(BI54=0,"",INDEX(nTP_Lab_Note,BI54))</f>
        <v/>
      </c>
      <c r="BW54" s="22">
        <f t="shared" si="88"/>
        <v>1</v>
      </c>
      <c r="BX54" s="21" t="str">
        <f t="shared" si="89"/>
        <v>EX-C01|2|EX-A</v>
      </c>
      <c r="BY54" s="22">
        <f>IF(BG54=0,0,COUNTIF(nTP_CandKey,BX54))</f>
        <v>0</v>
      </c>
      <c r="BZ54" s="22">
        <f>IF(BG54=0,0,COUNTIFS(nTP_CandKey,BX54,nTP_Err,""))</f>
        <v>0</v>
      </c>
      <c r="CA54" s="21" t="str">
        <f>IF(BY54=BZ54,"",IF(COUNTIFS(nTP_CandKey,BX54,nTP_Err,"E_INVALID_DATE")&gt;0,"; E_INVALID_DATE","")&amp;IF(COUNTIFS(nTP_CandKey,BX54,nTP_Err,"E_REVERSED_BOUNDS")&gt;0,"; E_REVERSED_BOUNDS","")&amp;IF(COUNTIFS(nTP_CandKey,BX54,nTP_Err,"E_MISSING_INPUT")&gt;0,"; E_MISSING_INPUT","")&amp;IF(COUNTIFS(nTP_CandKey,BX54,nTP_Err,"E_INVALID_UNIT")&gt;0,"; E_INVALID_UNIT",""))</f>
        <v/>
      </c>
      <c r="CB54" s="22">
        <f t="shared" si="90"/>
        <v>0</v>
      </c>
      <c r="CC54" s="22">
        <f>IF(CB54=0,0,SUMPRODUCT((nTP_CandKey=BX54)*(nTP_Err="")*(1-(nTP_HT*BN54*((nTP_OK*BO54*(nTP_UTC_n-N(BQ54))+(1-nTP_OK*BO54)*(nTP_Loc_n-N(BP54)))&lt;=0)+(1-nTP_HT*BN54)*(nTP_Hi_n&lt;N(BR54)))-(nTP_HT*BN54*((nTP_OK*BO54*(nTP_UTC_n-N(BQ54))+(1-nTP_OK*BO54)*(nTP_Loc_n-N(BP54)))&gt;0)+(1-nTP_HT*BN54)*(nTP_Lo_n&gt;N(BS54)))-((1-nTP_HT*BN54)*(nTP_Lo_n=nTP_Hi_n)*(nTP_Lo_n=N(BR54))*(N(BR54)=N(BS54))))))</f>
        <v>0</v>
      </c>
      <c r="CD54" s="22">
        <f>IF(CB54=0,0,SUMPRODUCT((nTP_CandKey=BX54)*nTP_Exact*((nTP_HT*BN54*((nTP_OK*BO54*(nTP_UTC_n-N(BQ54))+(1-nTP_OK*BO54)*(nTP_Loc_n-N(BP54)))&lt;=0)+(1-nTP_HT*BN54)*(nTP_Hi_n&lt;N(BR54)))+((1-nTP_HT*BN54)*(nTP_Lo_n=nTP_Hi_n)*(nTP_Lo_n=N(BR54))*(N(BR54)=N(BS54))))))</f>
        <v>0</v>
      </c>
      <c r="CE54" s="22">
        <f>IF(CB54=0,0,SUMPRODUCT((nTP_CandKey=BX54)*(nTP_Err="")*(1-nTP_Exact)*((nTP_HT*BN54*((nTP_OK*BO54*(nTP_UTC_n-N(BQ54))+(1-nTP_OK*BO54)*(nTP_Loc_n-N(BP54)))&lt;=0)+(1-nTP_HT*BN54)*(nTP_Hi_n&lt;N(BR54)))+((1-nTP_HT*BN54)*(nTP_Lo_n=nTP_Hi_n)*(nTP_Lo_n=N(BR54))*(N(BR54)=N(BS54))))))</f>
        <v>0</v>
      </c>
      <c r="CF54" s="22">
        <f>IF(CD54=0,0,SUMPRODUCT(MAX((nTP_CandKey=BX54)*nTP_Exact*((nTP_HT*BN54*((nTP_OK*BO54*(nTP_UTC_n-N(BQ54))+(1-nTP_OK*BO54)*(nTP_Loc_n-N(BP54)))&lt;=0)+(1-nTP_HT*BN54)*(nTP_Hi_n&lt;N(BR54)))+((1-nTP_HT*BN54)*(nTP_Lo_n=nTP_Hi_n)*(nTP_Lo_n=N(BR54))*(N(BR54)=N(BS54))))*nTP_Lo_n)))</f>
        <v>0</v>
      </c>
      <c r="CG54" s="22">
        <f>IF(CD54=0,0,SUMPRODUCT((nTP_CandKey=BX54)*nTP_Exact*((nTP_HT*BN54*((nTP_OK*BO54*(nTP_UTC_n-N(BQ54))+(1-nTP_OK*BO54)*(nTP_Loc_n-N(BP54)))&lt;=0)+(1-nTP_HT*BN54)*(nTP_Hi_n&lt;N(BR54)))+((1-nTP_HT*BN54)*(nTP_Lo_n=nTP_Hi_n)*(nTP_Lo_n=N(BR54))*(N(BR54)=N(BS54))))*(nTP_Lo_n=CF54)))</f>
        <v>0</v>
      </c>
      <c r="CH54" s="22">
        <f>IF(CD54=0,0,SUMPRODUCT((nTP_CandKey=BX54)*nTP_Exact*((nTP_HT*BN54*((nTP_OK*BO54*(nTP_UTC_n-N(BQ54))+(1-nTP_OK*BO54)*(nTP_Loc_n-N(BP54)))&lt;=0)+(1-nTP_HT*BN54)*(nTP_Hi_n&lt;N(BR54)))+((1-nTP_HT*BN54)*(nTP_Lo_n=nTP_Hi_n)*(nTP_Lo_n=N(BR54))*(N(BR54)=N(BS54))))*(1-nTP_HT)*(nTP_Lo_n=CF54)))</f>
        <v>0</v>
      </c>
      <c r="CI54" s="22">
        <f>IF(CD54=0,0,SUMPRODUCT(MAX((nTP_CandKey=BX54)*nTP_Exact*((nTP_HT*BN54*((nTP_OK*BO54*(nTP_UTC_n-N(BQ54))+(1-nTP_OK*BO54)*(nTP_Loc_n-N(BP54)))&lt;=0)+(1-nTP_HT*BN54)*(nTP_Hi_n&lt;N(BR54)))+((1-nTP_HT*BN54)*(nTP_Lo_n=nTP_Hi_n)*(nTP_Lo_n=N(BR54))*(N(BR54)=N(BS54))))*(1-nTP_HT)*nTP_Lo_n)))</f>
        <v>0</v>
      </c>
      <c r="CJ54" s="22">
        <f>IF(CD54=0,0,SUMPRODUCT(MAX((nTP_CandKey=BX54)*nTP_Exact*((nTP_HT*BN54*((nTP_OK*BO54*(nTP_UTC_n-N(BQ54))+(1-nTP_OK*BO54)*(nTP_Loc_n-N(BP54)))&lt;=0)+(1-nTP_HT*BN54)*(nTP_Hi_n&lt;N(BR54)))+((1-nTP_HT*BN54)*(nTP_Lo_n=nTP_Hi_n)*(nTP_Lo_n=N(BR54))*(N(BR54)=N(BS54))))*nTP_HT*nTP_OK*nTP_UTC_n)))</f>
        <v>0</v>
      </c>
      <c r="CK54" s="22">
        <f>IF(CJ54=0,0,SUMPRODUCT((nTP_CandKey=BX54)*nTP_Exact*((nTP_HT*BN54*((nTP_OK*BO54*(nTP_UTC_n-N(BQ54))+(1-nTP_OK*BO54)*(nTP_Loc_n-N(BP54)))&lt;=0)+(1-nTP_HT*BN54)*(nTP_Hi_n&lt;N(BR54)))+((1-nTP_HT*BN54)*(nTP_Lo_n=nTP_Hi_n)*(nTP_Lo_n=N(BR54))*(N(BR54)=N(BS54))))*nTP_HT*nTP_OK*(nTP_UTC_n=CJ54)))</f>
        <v>0</v>
      </c>
      <c r="CL54" s="22">
        <f>IF(CK54&lt;&gt;1,0,SUMPRODUCT((nTP_CandKey=BX54)*nTP_Exact*((nTP_HT*BN54*((nTP_OK*BO54*(nTP_UTC_n-N(BQ54))+(1-nTP_OK*BO54)*(nTP_Loc_n-N(BP54)))&lt;=0)+(1-nTP_HT*BN54)*(nTP_Hi_n&lt;N(BR54)))+((1-nTP_HT*BN54)*(nTP_Lo_n=nTP_Hi_n)*(nTP_Lo_n=N(BR54))*(N(BR54)=N(BS54))))*nTP_HT*nTP_OK*(nTP_UTC_n=CJ54)*nTP_Loc_n))</f>
        <v>0</v>
      </c>
      <c r="CM54" s="22">
        <f>IF(CK54&lt;&gt;1,0,SUMPRODUCT((nTP_CandKey=BX54)*nTP_Exact*((nTP_HT*BN54*((nTP_OK*BO54*(nTP_UTC_n-N(BQ54))+(1-nTP_OK*BO54)*(nTP_Loc_n-N(BP54)))&lt;=0)+(1-nTP_HT*BN54)*(nTP_Hi_n&lt;N(BR54)))+((1-nTP_HT*BN54)*(nTP_Lo_n=nTP_Hi_n)*(nTP_Lo_n=N(BR54))*(N(BR54)=N(BS54))))*nTP_HT*nTP_OK*(nTP_UTC_n=CJ54)*nTP_Lo_n))</f>
        <v>0</v>
      </c>
      <c r="CN54" s="22">
        <f>IF(CD54=0,0,SUMPRODUCT(MAX((nTP_CandKey=BX54)*nTP_Exact*((nTP_HT*BN54*((nTP_OK*BO54*(nTP_UTC_n-N(BQ54))+(1-nTP_OK*BO54)*(nTP_Loc_n-N(BP54)))&lt;=0)+(1-nTP_HT*BN54)*(nTP_Hi_n&lt;N(BR54)))+((1-nTP_HT*BN54)*(nTP_Lo_n=nTP_Hi_n)*(nTP_Lo_n=N(BR54))*(N(BR54)=N(BS54))))*nTP_HT*(1-nTP_OK)*nTP_Loc_n)))</f>
        <v>0</v>
      </c>
      <c r="CO54" s="22">
        <f>IF(CN54=0,0,SUMPRODUCT((nTP_CandKey=BX54)*nTP_Exact*((nTP_HT*BN54*((nTP_OK*BO54*(nTP_UTC_n-N(BQ54))+(1-nTP_OK*BO54)*(nTP_Loc_n-N(BP54)))&lt;=0)+(1-nTP_HT*BN54)*(nTP_Hi_n&lt;N(BR54)))+((1-nTP_HT*BN54)*(nTP_Lo_n=nTP_Hi_n)*(nTP_Lo_n=N(BR54))*(N(BR54)=N(BS54))))*nTP_HT*(1-nTP_OK)*(nTP_Loc_n=CN54)))</f>
        <v>0</v>
      </c>
      <c r="CP54" s="22">
        <f>IF(CO54&lt;&gt;1,0,SUMPRODUCT((nTP_CandKey=BX54)*nTP_Exact*((nTP_HT*BN54*((nTP_OK*BO54*(nTP_UTC_n-N(BQ54))+(1-nTP_OK*BO54)*(nTP_Loc_n-N(BP54)))&lt;=0)+(1-nTP_HT*BN54)*(nTP_Hi_n&lt;N(BR54)))+((1-nTP_HT*BN54)*(nTP_Lo_n=nTP_Hi_n)*(nTP_Lo_n=N(BR54))*(N(BR54)=N(BS54))))*nTP_HT*(1-nTP_OK)*(nTP_Loc_n=CN54)*nTP_Lo_n))</f>
        <v>0</v>
      </c>
      <c r="CQ54" s="22">
        <f>IF(CD54=0,0,SUMPRODUCT(MAX((nTP_CandKey=BX54)*nTP_Exact*((nTP_HT*BN54*((nTP_OK*BO54*(nTP_UTC_n-N(BQ54))+(1-nTP_OK*BO54)*(nTP_Loc_n-N(BP54)))&lt;=0)+(1-nTP_HT*BN54)*(nTP_Hi_n&lt;N(BR54)))+((1-nTP_HT*BN54)*(nTP_Lo_n=nTP_Hi_n)*(nTP_Lo_n=N(BR54))*(N(BR54)=N(BS54))))*nTP_HT*nTP_OK*nTP_Loc_n)))</f>
        <v>0</v>
      </c>
      <c r="CR54" s="22">
        <f t="shared" si="91"/>
        <v>0</v>
      </c>
      <c r="CS54" s="22">
        <f>IF(CR54=0,0,IF(CR54=1,MATCH(1,INDEX((nTP_CandKey=BX54)*nTP_Exact*((nTP_HT*BN54*((nTP_OK*BO54*(nTP_UTC_n-N(BQ54))+(1-nTP_OK*BO54)*(nTP_Loc_n-N(BP54)))&lt;=0)+(1-nTP_HT*BN54)*(nTP_Hi_n&lt;N(BR54)))+((1-nTP_HT*BN54)*(nTP_Lo_n=nTP_Hi_n)*(nTP_Lo_n=N(BR54))*(N(BR54)=N(BS54))))*(1-nTP_HT)*(nTP_Lo_n=CF54),0),0),IF(CR54=2,MATCH(1,INDEX((nTP_CandKey=BX54)*nTP_Exact*((nTP_HT*BN54*((nTP_OK*BO54*(nTP_UTC_n-N(BQ54))+(1-nTP_OK*BO54)*(nTP_Loc_n-N(BP54)))&lt;=0)+(1-nTP_HT*BN54)*(nTP_Hi_n&lt;N(BR54)))+((1-nTP_HT*BN54)*(nTP_Lo_n=nTP_Hi_n)*(nTP_Lo_n=N(BR54))*(N(BR54)=N(BS54))))*nTP_HT*nTP_OK*(nTP_UTC_n=CJ54),0),0),MATCH(1,INDEX((nTP_CandKey=BX54)*nTP_Exact*((nTP_HT*BN54*((nTP_OK*BO54*(nTP_UTC_n-N(BQ54))+(1-nTP_OK*BO54)*(nTP_Loc_n-N(BP54)))&lt;=0)+(1-nTP_HT*BN54)*(nTP_Hi_n&lt;N(BR54)))+((1-nTP_HT*BN54)*(nTP_Lo_n=nTP_Hi_n)*(nTP_Lo_n=N(BR54))*(N(BR54)=N(BS54))))*nTP_HT*(1-nTP_OK)*(nTP_Loc_n=CN54),0),0))))</f>
        <v>0</v>
      </c>
      <c r="CT54" s="22">
        <f>IF(CS54=0,0,INDEX(nTP_Lo_n,CS54))</f>
        <v>0</v>
      </c>
      <c r="CU54" s="22">
        <f>IF(CS54=0,0,SUMPRODUCT((nTP_CandKey=BX54)*(nTP_Err="")*(1-nTP_Exact)*((nTP_HT*BN54*((nTP_OK*BO54*(nTP_UTC_n-N(BQ54))+(1-nTP_OK*BO54)*(nTP_Loc_n-N(BP54)))&lt;=0)+(1-nTP_HT*BN54)*(nTP_Hi_n&lt;N(BR54)))+((1-nTP_HT*BN54)*(nTP_Lo_n=nTP_Hi_n)*(nTP_Lo_n=N(BR54))*(N(BR54)=N(BS54))))*(nTP_Hi_n&gt;=CT54)))</f>
        <v>0</v>
      </c>
      <c r="CV54" s="21" t="str">
        <f t="shared" si="92"/>
        <v/>
      </c>
      <c r="CW54" s="21" t="str">
        <f>IF(AND(BG54=1,CB54=1,CV54="",CS54&gt;0),INDEX(nTP_Record_ID,CS54)&amp;"","")</f>
        <v/>
      </c>
      <c r="CX54" s="21" t="str">
        <f>IF(OR(CV54="",BG54=0),"",IF(CV54="none","an administration record (last dose before onset)",IF(CV54="uncertain","the anchor record: "&amp;INDEX(nTP_Record_ID,MATCH(1,INDEX((nTP_CandKey=BX54)*(nTP_Err="")*(1-(nTP_HT*BN54*((nTP_OK*BO54*(nTP_UTC_n-N(BQ54))+(1-nTP_OK*BO54)*(nTP_Loc_n-N(BP54)))&lt;=0)+(1-nTP_HT*BN54)*(nTP_Hi_n&lt;N(BR54)))-(nTP_HT*BN54*((nTP_OK*BO54*(nTP_UTC_n-N(BQ54))+(1-nTP_OK*BO54)*(nTP_Loc_n-N(BP54)))&gt;0)+(1-nTP_HT*BN54)*(nTP_Lo_n&gt;N(BS54)))-((1-nTP_HT*BN54)*(nTP_Lo_n=nTP_Hi_n)*(nTP_Lo_n=N(BR54))*(N(BR54)=N(BS54)))),0),0))&amp;IF(CC54&gt;1," and "&amp;(CC54-1)&amp;" more","")&amp;" may fall before or after the end point, so the last dose cannot be identified from the recorded dates",IF(CV54="noneligible","the anchor record: no administration with an exact date is recorded at or before the end point",IF(CV54="tie","the anchor record: the order of the latest administrations cannot be told from the recorded dates and times","the anchor record: partial-date administration "&amp;INDEX(nTP_Record_ID,MATCH(1,INDEX((nTP_CandKey=BX54)*(nTP_Err="")*(1-nTP_Exact)*((nTP_HT*BN54*((nTP_OK*BO54*(nTP_UTC_n-N(BQ54))+(1-nTP_OK*BO54)*(nTP_Loc_n-N(BP54)))&lt;=0)+(1-nTP_HT*BN54)*(nTP_Hi_n&lt;N(BR54)))+((1-nTP_HT*BN54)*(nTP_Lo_n=nTP_Hi_n)*(nTP_Lo_n=N(BR54))*(N(BR54)=N(BS54))))*(nTP_Hi_n&gt;=CT54),0),0))&amp;" could be the last dose before the end point")))))</f>
        <v/>
      </c>
      <c r="CY54" s="22">
        <f>IF(OR(AW54=1,AJ54=""),0,IFERROR(MATCH(AX54&amp;"|"&amp;AJ54,nTP_Key,0),0))</f>
        <v>426</v>
      </c>
      <c r="CZ54" s="21">
        <f>IF(CY54=0,0,INDEX(nTP_Dup,CY54))</f>
        <v>1</v>
      </c>
      <c r="DA54" s="21" t="str">
        <f>IF(CY54=0,"",INDEX(nTP_Record_Type,CY54))</f>
        <v>MILESTONE:INTERVENTION</v>
      </c>
      <c r="DB54" s="21" t="str">
        <f>IF(CY54=0,"",INDEX(nTP_Precision,CY54))</f>
        <v>TIMESTAMP</v>
      </c>
      <c r="DC54" s="21" t="str">
        <f>IF(CY54=0,"",INDEX(nTP_Err,CY54))</f>
        <v/>
      </c>
      <c r="DD54" s="21">
        <f>IF(CY54=0,0,INDEX(nTP_HT,CY54))</f>
        <v>1</v>
      </c>
      <c r="DE54" s="21">
        <f>IF(CY54=0,0,INDEX(nTP_OK,CY54))</f>
        <v>1</v>
      </c>
      <c r="DF54" s="21">
        <f>IF(CY54=0,"",INDEX(nTP_Loc,CY54))</f>
        <v>66286638</v>
      </c>
      <c r="DG54" s="21">
        <f>IF(CY54=0,"",INDEX(nTP_UTC,CY54))</f>
        <v>66286938</v>
      </c>
      <c r="DH54" s="21">
        <f>IF(CY54=0,"",INDEX(nTP_Lo,CY54))</f>
        <v>46032</v>
      </c>
      <c r="DI54" s="21">
        <f>IF(CY54=0,"",INDEX(nTP_Hi,CY54))</f>
        <v>46032</v>
      </c>
      <c r="DJ54" s="21" t="str">
        <f>IF(CY54=0,"",INDEX(nTP_Original_Text,CY54))</f>
        <v>Emergency medicines administered from 09:18</v>
      </c>
      <c r="DK54" s="21" t="str">
        <f>IF(CY54=0,"",INDEX(nTP_Source,CY54))</f>
        <v>Medication administration record</v>
      </c>
      <c r="DL54" s="22">
        <f t="shared" si="93"/>
        <v>1</v>
      </c>
      <c r="DM54" s="21" t="str">
        <f t="shared" si="94"/>
        <v/>
      </c>
      <c r="DN54" s="21" t="str">
        <f t="shared" si="95"/>
        <v/>
      </c>
      <c r="DO54" s="21" t="str">
        <f t="shared" si="96"/>
        <v/>
      </c>
      <c r="DP54" s="21" t="str">
        <f t="shared" si="97"/>
        <v/>
      </c>
      <c r="DQ54" s="21" t="str">
        <f t="shared" si="98"/>
        <v>C1</v>
      </c>
      <c r="DR54" s="22">
        <f>IF(OR(DQ54="",I54=""),0,IF(ISNA(MATCH(I54,nLIST_Mode,0)),1,IF(AND(I54="C1",DQ54&lt;&gt;"C1"),1,IF(AND(I54="C2",DQ54="C4"),1,0))))</f>
        <v>0</v>
      </c>
      <c r="DS54" s="21" t="str">
        <f t="shared" si="99"/>
        <v>C1</v>
      </c>
      <c r="DT54" s="22">
        <f t="shared" si="100"/>
        <v>0</v>
      </c>
      <c r="DU54" s="21" t="str">
        <f>IF(DT54=0,"",IF(COUNTIFS(nTP_Case_Key,AX54,nTP_Record_Type,"MILESTONE:INTERVENTION",nTP_Err,"E_INVALID_DATE")&gt;0,"; E_INVALID_DATE","")&amp;IF(COUNTIFS(nTP_Case_Key,AX54,nTP_Record_Type,"MILESTONE:INTERVENTION",nTP_Err,"E_REVERSED_BOUNDS")&gt;0,"; E_REVERSED_BOUNDS","")&amp;IF(COUNTIFS(nTP_Case_Key,AX54,nTP_Record_Type,"MILESTONE:INTERVENTION",nTP_Err,"E_MISSING_INPUT")&gt;0,"; E_MISSING_INPUT","")&amp;IF(COUNTIFS(nTP_Case_Key,AX54,nTP_Record_Type,"MILESTONE:INTERVENTION",nTP_Err,"E_INVALID_UNIT")&gt;0,"; E_INVALID_UNIT",""))</f>
        <v/>
      </c>
      <c r="DV54" s="22">
        <f>IF(DT54=0,0,SUMPRODUCT((nMS_CaseKey=AX54)*(nMS_Type="INTERVENTION")*nMS_Undated))</f>
        <v>0</v>
      </c>
      <c r="DW54" s="21" t="str">
        <f t="shared" si="101"/>
        <v/>
      </c>
      <c r="DX54" s="21" t="str">
        <f t="shared" si="102"/>
        <v/>
      </c>
      <c r="DY54" s="22">
        <f t="shared" si="103"/>
        <v>0</v>
      </c>
      <c r="DZ54" s="21">
        <f t="shared" si="104"/>
        <v>-3</v>
      </c>
      <c r="EA54" s="21" t="str">
        <f t="shared" si="105"/>
        <v/>
      </c>
      <c r="EB54" s="21" t="str">
        <f t="shared" si="106"/>
        <v/>
      </c>
      <c r="EC54" s="21" t="str">
        <f t="shared" si="107"/>
        <v/>
      </c>
      <c r="ED54" s="22">
        <f t="shared" si="108"/>
        <v>0</v>
      </c>
      <c r="EE54" s="22">
        <f t="shared" si="109"/>
        <v>0</v>
      </c>
      <c r="EF54" s="21" t="str">
        <f>IF(ED54=0,"",IF(OR(NOT(ISNUMBER(L54)),NOT(ISNUMBER(M54))),"I_APPROXIMATE_NOT_COMPARED",IF(AND(N54&lt;&gt;"",ISNA(MATCH(N54,nLIST_ReportedUnit,0))),"E_INVALID_UNIT",IF(N54="","E_MISSING_INPUT",IF(L54&gt;M54,"E_REVERSED_BOUNDS",IF(OR(N54="weeks",N54="months",N54="years"),"I_APPROXIMATE_NOT_COMPARED",IF(DX54&lt;&gt;"","",IF(EE54=0,"I_APPROXIMATE_NOT_COMPARED",IF(AND(L54*EE54&lt;=IF(DS54="C4",EC54,IF(DS54="C1",DZ54,EA54)),M54*EE54&gt;=IF(DS54="C4",EB54,IF(DS54="C1",DZ54,EA54))),"OVERLAP","W_REPORTED_TIMING_CONFLICT")))))))))</f>
        <v/>
      </c>
      <c r="EG54" s="21" t="str">
        <f t="shared" si="110"/>
        <v/>
      </c>
      <c r="EH54" s="21" t="str">
        <f t="shared" si="111"/>
        <v/>
      </c>
      <c r="EI54" s="22">
        <f t="shared" si="112"/>
        <v>1</v>
      </c>
      <c r="EJ54" s="22">
        <f t="shared" si="113"/>
        <v>0</v>
      </c>
      <c r="EK54" s="22">
        <f t="shared" si="114"/>
        <v>0</v>
      </c>
      <c r="EL54" s="28" t="str">
        <f t="shared" si="115"/>
        <v/>
      </c>
      <c r="EM54" s="28" t="str">
        <f t="shared" si="116"/>
        <v/>
      </c>
      <c r="EN54" s="21" t="str">
        <f t="shared" si="117"/>
        <v/>
      </c>
      <c r="EO54" s="22">
        <f>IF(OR(DT54=0,DX54&lt;&gt;""),0,SUMPRODUCT((nTP_Case_Key=AX54)*(nTP_Record_Type="MILESTONE:INTERVENTION")*(nTP_Err="")*(nTP_HT*DD54*BN54*(nTP_OK*DE54*(nTP_UTC_n&gt;=N(DG54))+(1-nTP_OK*DE54)*(nTP_Loc_n&gt;=N(DF54)))*(nTP_OK*BO54*(nTP_UTC_n&lt;=N(BQ54))+(1-nTP_OK*BO54)*(nTP_Loc_n&lt;=N(BP54)))+(1-nTP_HT*DD54*BN54)*(nTP_Hi_n&gt;=N(DH54))*(nTP_Lo_n&lt;=N(BS54)))))</f>
        <v>0</v>
      </c>
      <c r="EP54" s="22">
        <f>IF(OR(DT54=0,DX54&lt;&gt;""),0,SUMPRODUCT((nTP_Case_Key=AX54)*(nTP_Role="treatment of the event")*((nTP_Record_Type="EXPOSURE_START")+(nTP_Record_Type="ADMINISTRATION"))*(nTP_Err="")*(nTP_HT*DD54*BN54*(nTP_OK*DE54*(nTP_UTC_n&gt;=N(DG54))+(1-nTP_OK*DE54)*(nTP_Loc_n&gt;=N(DF54)))*(nTP_OK*BO54*(nTP_UTC_n&lt;=N(BQ54))+(1-nTP_OK*BO54)*(nTP_Loc_n&lt;=N(BP54)))+(1-nTP_HT*DD54*BN54)*(nTP_Hi_n&gt;=N(DH54))*(nTP_Lo_n&lt;=N(BS54)))))</f>
        <v>0</v>
      </c>
      <c r="EQ54" s="22">
        <f>IF(EO54&lt;1,0,IFERROR(_xlfn.AGGREGATE(15,6,nTP_RowN/((nTP_Case_Key=AX54)*(nTP_Record_Type="MILESTONE:INTERVENTION")*(nTP_Err="")*(nTP_HT*DD54*BN54*(nTP_OK*DE54*(nTP_UTC_n&gt;=N(DG54))+(1-nTP_OK*DE54)*(nTP_Loc_n&gt;=N(DF54)))*(nTP_OK*BO54*(nTP_UTC_n&lt;=N(BQ54))+(1-nTP_OK*BO54)*(nTP_Loc_n&lt;=N(BP54)))+(1-nTP_HT*DD54*BN54)*(nTP_Hi_n&gt;=N(DH54))*(nTP_Lo_n&lt;=N(BS54)))),1),0))</f>
        <v>0</v>
      </c>
      <c r="ER54" s="22">
        <f>IF(EO54&lt;2,0,IFERROR(_xlfn.AGGREGATE(15,6,nTP_RowN/((nTP_Case_Key=AX54)*(nTP_Record_Type="MILESTONE:INTERVENTION")*(nTP_Err="")*(nTP_HT*DD54*BN54*(nTP_OK*DE54*(nTP_UTC_n&gt;=N(DG54))+(1-nTP_OK*DE54)*(nTP_Loc_n&gt;=N(DF54)))*(nTP_OK*BO54*(nTP_UTC_n&lt;=N(BQ54))+(1-nTP_OK*BO54)*(nTP_Loc_n&lt;=N(BP54)))+(1-nTP_HT*DD54*BN54)*(nTP_Hi_n&gt;=N(DH54))*(nTP_Lo_n&lt;=N(BS54)))),2),0))</f>
        <v>0</v>
      </c>
      <c r="ES54" s="22">
        <f>IF(EO54&lt;3,0,IFERROR(_xlfn.AGGREGATE(15,6,nTP_RowN/((nTP_Case_Key=AX54)*(nTP_Record_Type="MILESTONE:INTERVENTION")*(nTP_Err="")*(nTP_HT*DD54*BN54*(nTP_OK*DE54*(nTP_UTC_n&gt;=N(DG54))+(1-nTP_OK*DE54)*(nTP_Loc_n&gt;=N(DF54)))*(nTP_OK*BO54*(nTP_UTC_n&lt;=N(BQ54))+(1-nTP_OK*BO54)*(nTP_Loc_n&lt;=N(BP54)))+(1-nTP_HT*DD54*BN54)*(nTP_Hi_n&gt;=N(DH54))*(nTP_Lo_n&lt;=N(BS54)))),3),0))</f>
        <v>0</v>
      </c>
      <c r="ET54" s="22">
        <f>IF(EP54&lt;1,0,IFERROR(_xlfn.AGGREGATE(15,6,nTP_RowN/((nTP_Case_Key=AX54)*(nTP_Role="treatment of the event")*((nTP_Record_Type="EXPOSURE_START")+(nTP_Record_Type="ADMINISTRATION"))*(nTP_Err="")*(nTP_HT*DD54*BN54*(nTP_OK*DE54*(nTP_UTC_n&gt;=N(DG54))+(1-nTP_OK*DE54)*(nTP_Loc_n&gt;=N(DF54)))*(nTP_OK*BO54*(nTP_UTC_n&lt;=N(BQ54))+(1-nTP_OK*BO54)*(nTP_Loc_n&lt;=N(BP54)))+(1-nTP_HT*DD54*BN54)*(nTP_Hi_n&gt;=N(DH54))*(nTP_Lo_n&lt;=N(BS54)))),1),0))</f>
        <v>0</v>
      </c>
      <c r="EU54" s="22">
        <f>IF(EP54&lt;2,0,IFERROR(_xlfn.AGGREGATE(15,6,nTP_RowN/((nTP_Case_Key=AX54)*(nTP_Role="treatment of the event")*((nTP_Record_Type="EXPOSURE_START")+(nTP_Record_Type="ADMINISTRATION"))*(nTP_Err="")*(nTP_HT*DD54*BN54*(nTP_OK*DE54*(nTP_UTC_n&gt;=N(DG54))+(1-nTP_OK*DE54)*(nTP_Loc_n&gt;=N(DF54)))*(nTP_OK*BO54*(nTP_UTC_n&lt;=N(BQ54))+(1-nTP_OK*BO54)*(nTP_Loc_n&lt;=N(BP54)))+(1-nTP_HT*DD54*BN54)*(nTP_Hi_n&gt;=N(DH54))*(nTP_Lo_n&lt;=N(BS54)))),2),0))</f>
        <v>0</v>
      </c>
      <c r="EV54" s="22">
        <f>IF(EP54&lt;3,0,IFERROR(_xlfn.AGGREGATE(15,6,nTP_RowN/((nTP_Case_Key=AX54)*(nTP_Role="treatment of the event")*((nTP_Record_Type="EXPOSURE_START")+(nTP_Record_Type="ADMINISTRATION"))*(nTP_Err="")*(nTP_HT*DD54*BN54*(nTP_OK*DE54*(nTP_UTC_n&gt;=N(DG54))+(1-nTP_OK*DE54)*(nTP_Loc_n&gt;=N(DF54)))*(nTP_OK*BO54*(nTP_UTC_n&lt;=N(BQ54))+(1-nTP_OK*BO54)*(nTP_Loc_n&lt;=N(BP54)))+(1-nTP_HT*DD54*BN54)*(nTP_Hi_n&gt;=N(DH54))*(nTP_Lo_n&lt;=N(BS54)))),3),0))</f>
        <v>0</v>
      </c>
      <c r="EW54" s="22">
        <f>IF(CE54&lt;1,0,IFERROR(_xlfn.AGGREGATE(15,6,nTP_RowN/((nTP_CandKey=BX54)*(nTP_Err="")*(1-nTP_Exact)*((nTP_HT*BN54*((nTP_OK*BO54*(nTP_UTC_n-N(BQ54))+(1-nTP_OK*BO54)*(nTP_Loc_n-N(BP54)))&lt;=0)+(1-nTP_HT*BN54)*(nTP_Hi_n&lt;N(BR54)))+((1-nTP_HT*BN54)*(nTP_Lo_n=nTP_Hi_n)*(nTP_Lo_n=N(BR54))*(N(BR54)=N(BS54))))),1),0))</f>
        <v>0</v>
      </c>
      <c r="EX54" s="22">
        <f>IF(CE54&lt;2,0,IFERROR(_xlfn.AGGREGATE(15,6,nTP_RowN/((nTP_CandKey=BX54)*(nTP_Err="")*(1-nTP_Exact)*((nTP_HT*BN54*((nTP_OK*BO54*(nTP_UTC_n-N(BQ54))+(1-nTP_OK*BO54)*(nTP_Loc_n-N(BP54)))&lt;=0)+(1-nTP_HT*BN54)*(nTP_Hi_n&lt;N(BR54)))+((1-nTP_HT*BN54)*(nTP_Lo_n=nTP_Hi_n)*(nTP_Lo_n=N(BR54))*(N(BR54)=N(BS54))))),2),0))</f>
        <v>0</v>
      </c>
      <c r="EY54" s="22">
        <f>IF(CE54&lt;3,0,IFERROR(_xlfn.AGGREGATE(15,6,nTP_RowN/((nTP_CandKey=BX54)*(nTP_Err="")*(1-nTP_Exact)*((nTP_HT*BN54*((nTP_OK*BO54*(nTP_UTC_n-N(BQ54))+(1-nTP_OK*BO54)*(nTP_Loc_n-N(BP54)))&lt;=0)+(1-nTP_HT*BN54)*(nTP_Hi_n&lt;N(BR54)))+((1-nTP_HT*BN54)*(nTP_Lo_n=nTP_Hi_n)*(nTP_Lo_n=N(BR54))*(N(BR54)=N(BS54))))),3),0))</f>
        <v>0</v>
      </c>
      <c r="EZ54" s="21" t="str">
        <f>IF(EO54=0,"",MID(IF(EQ54&gt;0,"; "&amp;INDEX(nTP_Record_ID,EQ54)&amp;IF(INDEX(nTP_Label,EQ54)="",""," ("&amp;INDEX(nTP_Label,EQ54)&amp;")"),"")&amp;IF(ER54&gt;0,"; "&amp;INDEX(nTP_Record_ID,ER54)&amp;IF(INDEX(nTP_Label,ER54)="",""," ("&amp;INDEX(nTP_Label,ER54)&amp;")"),"")&amp;IF(ES54&gt;0,"; "&amp;INDEX(nTP_Record_ID,ES54)&amp;IF(INDEX(nTP_Label,ES54)="",""," ("&amp;INDEX(nTP_Label,ES54)&amp;")"),"")&amp;IF(EO54&gt;3,"; and "&amp;(EO54-3)&amp;" more",""),3,999))</f>
        <v/>
      </c>
      <c r="FA54" s="21" t="str">
        <f>IF(EO54=0,"",MID(IF(EQ54&gt;0,"; "&amp;INDEX(nTP_Record_ID,EQ54),"")&amp;IF(ER54&gt;0,"; "&amp;INDEX(nTP_Record_ID,ER54),"")&amp;IF(ES54&gt;0,"; "&amp;INDEX(nTP_Record_ID,ES54),"")&amp;IF(EO54&gt;3,"; and "&amp;(EO54-3)&amp;" more",""),3,999))</f>
        <v/>
      </c>
      <c r="FB54" s="21" t="str">
        <f>IF(EP54=0,"",MID(IF(ET54&gt;0,"; "&amp;INDEX(nTP_Record_ID,ET54)&amp;IF(INDEX(nTP_Label,ET54)="",""," ("&amp;INDEX(nTP_Label,ET54)&amp;")"),"")&amp;IF(EU54&gt;0,"; "&amp;INDEX(nTP_Record_ID,EU54)&amp;IF(INDEX(nTP_Label,EU54)="",""," ("&amp;INDEX(nTP_Label,EU54)&amp;")"),"")&amp;IF(EV54&gt;0,"; "&amp;INDEX(nTP_Record_ID,EV54)&amp;IF(INDEX(nTP_Label,EV54)="",""," ("&amp;INDEX(nTP_Label,EV54)&amp;")"),"")&amp;IF(EP54&gt;3,"; and "&amp;(EP54-3)&amp;" more",""),3,999))</f>
        <v/>
      </c>
      <c r="FC54" s="21" t="str">
        <f>IF(CE54=0,"",MID(IF(EW54&gt;0,"; "&amp;INDEX(nTP_Record_ID,EW54),"")&amp;IF(EX54&gt;0,"; "&amp;INDEX(nTP_Record_ID,EX54),"")&amp;IF(EY54&gt;0,"; "&amp;INDEX(nTP_Record_ID,EY54),"")&amp;IF(CE54&gt;3,"; and "&amp;(CE54-3)&amp;" more",""),3,999))</f>
        <v/>
      </c>
      <c r="FD54" s="22">
        <f t="shared" si="118"/>
        <v>0</v>
      </c>
      <c r="FE54" s="22">
        <f t="shared" si="119"/>
        <v>0</v>
      </c>
      <c r="FF54" s="22">
        <f t="shared" si="120"/>
        <v>0</v>
      </c>
      <c r="FG54" s="22">
        <f t="shared" si="121"/>
        <v>0</v>
      </c>
      <c r="FH54" s="22">
        <f t="shared" si="122"/>
        <v>0</v>
      </c>
      <c r="FI54" s="22">
        <f t="shared" si="123"/>
        <v>0</v>
      </c>
      <c r="FJ54" s="22">
        <f t="shared" si="124"/>
        <v>0</v>
      </c>
      <c r="FK54" s="22">
        <f t="shared" si="125"/>
        <v>0</v>
      </c>
    </row>
    <row r="55" spans="1:167" x14ac:dyDescent="0.2">
      <c r="A55" s="9" t="s">
        <v>1149</v>
      </c>
      <c r="B55" s="9" t="s">
        <v>297</v>
      </c>
      <c r="C55" s="11">
        <v>2</v>
      </c>
      <c r="D55" s="9" t="s">
        <v>894</v>
      </c>
      <c r="E55" s="16" t="s">
        <v>56</v>
      </c>
      <c r="F55" s="9"/>
      <c r="G55" s="9" t="s">
        <v>1144</v>
      </c>
      <c r="H55" s="9" t="s">
        <v>804</v>
      </c>
      <c r="I55" s="16" t="s">
        <v>59</v>
      </c>
      <c r="J55" s="16"/>
      <c r="K55" s="9"/>
      <c r="L55" s="16"/>
      <c r="M55" s="16"/>
      <c r="N55" s="16"/>
      <c r="O55" s="9"/>
      <c r="P55" s="14"/>
      <c r="Q55" s="14"/>
      <c r="R55" s="9"/>
      <c r="S55" s="9" t="s">
        <v>1150</v>
      </c>
      <c r="T55" s="21" t="str">
        <f t="shared" si="63"/>
        <v>19 minutes</v>
      </c>
      <c r="U55" s="21" t="str">
        <f t="shared" si="64"/>
        <v>19 minutes</v>
      </c>
      <c r="V55" s="21">
        <f t="shared" si="65"/>
        <v>19</v>
      </c>
      <c r="W55" s="21" t="str">
        <f t="shared" si="66"/>
        <v/>
      </c>
      <c r="X55" s="21" t="str">
        <f t="shared" si="67"/>
        <v/>
      </c>
      <c r="Y55" s="21" t="str">
        <f t="shared" si="68"/>
        <v>minutes</v>
      </c>
      <c r="Z55" s="21" t="str">
        <f t="shared" si="69"/>
        <v>C7 (C1)</v>
      </c>
      <c r="AA55" s="21" t="str">
        <f t="shared" si="70"/>
        <v>AFTER</v>
      </c>
      <c r="AB55" s="21" t="str">
        <f t="shared" si="71"/>
        <v/>
      </c>
      <c r="AC55" s="21" t="str">
        <f t="shared" si="72"/>
        <v>W_INTERVENTION_BEFORE_RECOVERY</v>
      </c>
      <c r="AD55" s="21" t="str">
        <f>IF(AW55=1,"",MID(IF(ISNUMBER(SEARCH("E_INVALID_DATE",EG55))," | E_INVALID_DATE: "&amp;SUBSTITUTE(IFERROR(INDEX(nMSG_Text,MATCH("E_INVALID_DATE",nMSG_Code,0)),""),"[input]",""),"")&amp;IF(ISNUMBER(SEARCH("E_REVERSED_BOUNDS",EG55))," | E_REVERSED_BOUNDS: "&amp;SUBSTITUTE(IFERROR(INDEX(nMSG_Text,MATCH("E_REVERSED_BOUNDS",nMSG_Code,0)),""),"[input]",""),"")&amp;IF(ISNUMBER(SEARCH("E_DUPLICATE_ID",EG55))," | E_DUPLICATE_ID: "&amp;SUBSTITUTE(IFERROR(INDEX(nMSG_Text,MATCH("E_DUPLICATE_ID",nMSG_Code,0)),""),"[input]",""),"")&amp;IF(ISNUMBER(SEARCH("E_MISSING_LINK",EG55))," | E_MISSING_LINK: "&amp;SUBSTITUTE(IFERROR(INDEX(nMSG_Text,MATCH("E_MISSING_LINK",nMSG_Code,0)),""),"[input]",""),"")&amp;IF(ISNUMBER(SEARCH("E_MISSING_INPUT",EG55))," | E_MISSING_INPUT: "&amp;SUBSTITUTE(IFERROR(INDEX(nMSG_Text,MATCH("E_MISSING_INPUT",nMSG_Code,0)),""),"[input]",IF(EH55="","an input",EH55)),"")&amp;IF(ISNUMBER(SEARCH("E_INVALID_UNIT",EG55))," | E_INVALID_UNIT: "&amp;SUBSTITUTE(IFERROR(INDEX(nMSG_Text,MATCH("E_INVALID_UNIT",nMSG_Code,0)),""),"[input]",""),"")&amp;IF(FD55=1," | W_TZ_UNKNOWN: "&amp;SUBSTITUTE(IFERROR(INDEX(nMSG_Text,MATCH("W_TZ_UNKNOWN",nMSG_Code,0)),""),"[input]",""),"")&amp;IF(FE55=1," | W_SAME_DATE_ORDER_UNKNOWN: "&amp;SUBSTITUTE(IFERROR(INDEX(nMSG_Text,MATCH("W_SAME_DATE_ORDER_UNKNOWN",nMSG_Code,0)),""),"[input]",""),"")&amp;IF(FF55=1," | W_SEQUENCE_UNCERTAIN: "&amp;SUBSTITUTE(IFERROR(INDEX(nMSG_Text,MATCH("W_SEQUENCE_UNCERTAIN",nMSG_Code,0)),""),"[input]",""),"")&amp;IF(FG55=1," | W_ADMIN_SAME_DATE_AS_ONSET: "&amp;SUBSTITUTE(IFERROR(INDEX(nMSG_Text,MATCH("W_ADMIN_SAME_DATE_AS_ONSET",nMSG_Code,0)),""),"[input]",""),"")&amp;IF(FH55=1," | W_REPORTED_TIMING_CONFLICT: "&amp;SUBSTITUTE(IFERROR(INDEX(nMSG_Text,MATCH("W_REPORTED_TIMING_CONFLICT",nMSG_Code,0)),""),"[input]",""),"")&amp;IF(FI55=1," | W_INTERVENTION_BEFORE_RECOVERY: "&amp;SUBSTITUTE(IFERROR(INDEX(nMSG_Text,MATCH("W_INTERVENTION_BEFORE_RECOVERY",nMSG_Code,0)),""),"[input]",""),"")&amp;IF(FJ55=1," | I_TREATMENT_DAY_UNDEFINED: "&amp;SUBSTITUTE(IFERROR(INDEX(nMSG_Text,MATCH("I_TREATMENT_DAY_UNDEFINED",nMSG_Code,0)),""),"[input]",""),"")&amp;IF(FK55=1," | I_APPROXIMATE_NOT_COMPARED: "&amp;SUBSTITUTE(IFERROR(INDEX(nMSG_Text,MATCH("I_APPROXIMATE_NOT_COMPARED",nMSG_Code,0)),""),"[input]",""),""),4,9999))</f>
        <v>W_INTERVENTION_BEFORE_RECOVERY: Treatment was given before recovery, so recovery cannot be attributed to withdrawal alone.</v>
      </c>
      <c r="AE55" s="21" t="str">
        <f t="shared" si="73"/>
        <v/>
      </c>
      <c r="AF55" s="21" t="str">
        <f t="shared" si="74"/>
        <v/>
      </c>
      <c r="AG55" s="21" t="str">
        <f>IF(EN55="","",MID(IF(ISNUMBER(SEARCH("E_REVERSED_BOUNDS",EN55))," | E_REVERSED_BOUNDS: "&amp;SUBSTITUTE(IFERROR(INDEX(nMSG_Text,MATCH("E_REVERSED_BOUNDS",nMSG_Code,0)),""),"[input]",""),"")&amp;IF(ISNUMBER(SEARCH("E_MISSING_INPUT",EN55))," | E_MISSING_INPUT: "&amp;SUBSTITUTE(IFERROR(INDEX(nMSG_Text,MATCH("E_MISSING_INPUT",nMSG_Code,0)),""),"[input]",IF("the source of the constraint"="","an input","the source of the constraint")),""),4,999))</f>
        <v/>
      </c>
      <c r="AH55" s="21" t="str">
        <f t="shared" si="75"/>
        <v/>
      </c>
      <c r="AI55" s="21" t="str">
        <f t="shared" si="76"/>
        <v>EX-A/STOP → M-IMPROVE (recovery)</v>
      </c>
      <c r="AJ55" s="21" t="str">
        <f t="shared" si="77"/>
        <v>EX-A/STOP</v>
      </c>
      <c r="AK55" s="21" t="str">
        <f t="shared" si="78"/>
        <v>M-IMPROVE</v>
      </c>
      <c r="AL55" s="21" t="str">
        <f>IF(CY55=0,"",INDEX(nTP_ISO,CY55))</f>
        <v>2026-01-10T09:16-05:00</v>
      </c>
      <c r="AM55" s="21" t="str">
        <f>IF(CY55=0,"",INDEX(nTP_Display,CY55))</f>
        <v>10 January 2026 09:16 (UTC-05:00)</v>
      </c>
      <c r="AN55" s="21" t="str">
        <f>IF(BI55=0,"",INDEX(nTP_ISO,BI55))</f>
        <v>2026-01-10T09:35-05:00</v>
      </c>
      <c r="AO55" s="21" t="str">
        <f>IF(BI55=0,"",INDEX(nTP_Display,BI55))</f>
        <v>10 January 2026 09:35 (UTC-05:00)</v>
      </c>
      <c r="AP55" s="21" t="str">
        <f>IF(BA55=0,"",INDEX(nLNK_Exposure_Episode_ID,BA55)&amp;"")</f>
        <v>EX-A</v>
      </c>
      <c r="AQ55" s="21" t="str">
        <f>IF(BA55=0,"",INDEX(nLNK_Event_Episode_ID,BA55)&amp;"")</f>
        <v>EV-1</v>
      </c>
      <c r="AR55" s="21" t="str">
        <f t="shared" si="79"/>
        <v>Anchor (CESSATION) EX-A/STOP: 2026-01-10T09:16-05:00 [timestamp with UTC offset; case measurement; original: "09:16 infusion stopped, doctor called"; source: Nursing chart] | End point M-IMPROVE: 2026-01-10T09:35-05:00 [timestamp with UTC offset; case measurement; original: "09:35 wheeze settling, BP 108/70"; source: Nursing chart]</v>
      </c>
      <c r="AS55" s="21" t="str">
        <f>IF(EI55=0,"",MID(IF(DT55=1," | Recovery interval (C7) computed with "&amp;DS55&amp;".","")&amp;IF(BG55=1," | Anchor selected under C5 (CALC-SPEC 1.1): latest administration with an exact date or time at or before "&amp;IF(BH55=1,"onset","the end point")&amp;" ("&amp;AJ55&amp;"), ordered in UTC when offsets are known; later administrations are never selected.","")&amp;IF(AND(BG55=1,CE55&gt;0)," | Partial-date administrations wholly before the selected one were not candidates: "&amp;FC55&amp;".","")&amp;IF(BV55&lt;&gt;""," | "&amp;BV55,"")&amp;IF(AND(DS55="C2",EA55=0,DZ55&lt;&gt;"")," | Same calendar date; both times are known, so C1 decides the order ("&amp;AA55&amp;").","")&amp;IF(AND(DS55="C2",DD55*BN55=1,DT55=0)," | Calendar-date difference from the recorded local dates; it is never described as elapsed days.","")&amp;IF(AND(DS55="C4",DT55=0)," | Bounds are treated as independent; no single date is imputed from them.","")&amp;IF(EJ55=1," | Treatment day under the inclusive convention (C3); never written to E2B fields automatically.","")&amp;IF(AND(DS55="C4",DT55=0,EK55=0)," | No constraint applied.","")&amp;IF(AND(DS55="C4",EK55=1)," | Constraint applied to the anchor bounds: "&amp;IF(ISNUMBER(P55),"not before "&amp;DAY(P55)&amp;" "&amp;INDEX(nLIST_Months,MONTH(P55))&amp;" "&amp;YEAR(P55),"")&amp;IF(AND(ISNUMBER(P55),ISNUMBER(Q55)),", ","")&amp;IF(ISNUMBER(Q55),"not after "&amp;DAY(Q55)&amp;" "&amp;INDEX(nLIST_Months,MONTH(Q55))&amp;" "&amp;YEAR(Q55),"")&amp;". Source: "&amp;IF(R55="","not recorded",R55)&amp;IF(EN55="",". Constrained result shown beside the unconstrained one.",". Constrained result blocked ("&amp;EN55&amp;")."),"")&amp;IF(DT55=1,IF(EO55&gt;0," | Intervention recorded between cessation and recovery (ends included): "&amp;EZ55&amp;"."," | No intervention is recorded between cessation and recovery; absence of a record is not evidence that none was given."),"")&amp;IF(AND(DT55=1,DV55&gt;0)," | Intervention recorded without a date, so whether it came before recovery is unknown: "&amp;INDEX(nMS_Milestone_ID,MATCH(1,INDEX((nMS_CaseKey=AX55)*(nMS_Type="INTERVENTION")*nMS_Undated,0),0))&amp;IF(DV55&gt;1," and "&amp;(DV55-1)&amp;" more","")&amp;".","")&amp;IF(AND(DT55=1,EP55&gt;0)," | Not counted as interventions, because they are recorded as exposures rather than as intervention milestones (nothing is inferred): "&amp;FB55&amp;". If treatment was given, record it as an intervention milestone.",""),4,9999))</f>
        <v>Recovery interval (C7) computed with C1. | Intervention recorded between cessation and recovery (ends included): M-EMERG (Emergency medicines administered (agents not given here)).</v>
      </c>
      <c r="AT55" s="21" t="str">
        <f t="shared" si="80"/>
        <v>The interval describes the sequence and spacing of recorded times; it is not evidence of causation. A recovery interval is not, by itself, evidence of positive dechallenge.</v>
      </c>
      <c r="AU55" s="21" t="str">
        <f t="shared" si="81"/>
        <v>M-EMERG</v>
      </c>
      <c r="AV55" s="21" t="str">
        <f t="shared" si="82"/>
        <v>CALC-SPEC 1.1</v>
      </c>
      <c r="AW55" s="22">
        <f t="shared" si="83"/>
        <v>0</v>
      </c>
      <c r="AX55" s="21" t="str">
        <f t="shared" si="84"/>
        <v>EX-C01|2</v>
      </c>
      <c r="AY55" s="21" t="str">
        <f t="shared" si="85"/>
        <v>EX-C01|2|I10</v>
      </c>
      <c r="AZ55" s="22">
        <f>IF(AY55="",0,COUNTIF(nINT_Key,AY55))</f>
        <v>1</v>
      </c>
      <c r="BA55" s="22">
        <f>IF(D55="",0,IFERROR(MATCH(AX55&amp;"|"&amp;D55,nLNK_Key,0),0))</f>
        <v>22</v>
      </c>
      <c r="BB55" s="22">
        <f>IF(BA55=0,1,INDEX(nLNK_Exp_Found,BA55))</f>
        <v>1</v>
      </c>
      <c r="BC55" s="22">
        <f>IF(BA55=0,1,INDEX(nLNK_Evt_Found,BA55))</f>
        <v>1</v>
      </c>
      <c r="BD55" s="22">
        <f>IF(AP55="",0,COUNTIF(nEXP_Key,AX55&amp;"|"&amp;AP55))</f>
        <v>1</v>
      </c>
      <c r="BE55" s="22">
        <f>IF(AQ55="",0,COUNTIF(nEVT_Key,AX55&amp;"|"&amp;AQ55))</f>
        <v>1</v>
      </c>
      <c r="BF55" s="22">
        <f>IF(ISNA(MATCH(E55,nLIST_AnchorType,0)),0,1)</f>
        <v>1</v>
      </c>
      <c r="BG55" s="22">
        <f t="shared" si="86"/>
        <v>0</v>
      </c>
      <c r="BH55" s="22">
        <f t="shared" si="87"/>
        <v>0</v>
      </c>
      <c r="BI55" s="22">
        <f>IF(OR(AW55=1,AK55=""),0,IFERROR(MATCH(AX55&amp;"|"&amp;AK55,nTP_Key,0),0))</f>
        <v>427</v>
      </c>
      <c r="BJ55" s="21">
        <f>IF(BI55=0,0,INDEX(nTP_Dup,BI55))</f>
        <v>1</v>
      </c>
      <c r="BK55" s="21" t="str">
        <f>IF(BI55=0,"",INDEX(nTP_Record_Type,BI55))</f>
        <v>MILESTONE:RECOVERY</v>
      </c>
      <c r="BL55" s="21" t="str">
        <f>IF(BI55=0,"",INDEX(nTP_Precision,BI55))</f>
        <v>TIMESTAMP</v>
      </c>
      <c r="BM55" s="21" t="str">
        <f>IF(BI55=0,"",INDEX(nTP_Err,BI55))</f>
        <v/>
      </c>
      <c r="BN55" s="21">
        <f>IF(BI55=0,0,INDEX(nTP_HT,BI55))</f>
        <v>1</v>
      </c>
      <c r="BO55" s="21">
        <f>IF(BI55=0,0,INDEX(nTP_OK,BI55))</f>
        <v>1</v>
      </c>
      <c r="BP55" s="21">
        <f>IF(BI55=0,"",INDEX(nTP_Loc,BI55))</f>
        <v>66286655</v>
      </c>
      <c r="BQ55" s="21">
        <f>IF(BI55=0,"",INDEX(nTP_UTC,BI55))</f>
        <v>66286955</v>
      </c>
      <c r="BR55" s="21">
        <f>IF(BI55=0,"",INDEX(nTP_Lo,BI55))</f>
        <v>46032</v>
      </c>
      <c r="BS55" s="21">
        <f>IF(BI55=0,"",INDEX(nTP_Hi,BI55))</f>
        <v>46032</v>
      </c>
      <c r="BT55" s="21" t="str">
        <f>IF(BI55=0,"",INDEX(nTP_Original_Text,BI55))</f>
        <v>09:35 wheeze settling, BP 108/70</v>
      </c>
      <c r="BU55" s="21" t="str">
        <f>IF(BI55=0,"",INDEX(nTP_Source,BI55))</f>
        <v>Nursing chart</v>
      </c>
      <c r="BV55" s="21" t="str">
        <f>IF(BI55=0,"",INDEX(nTP_Lab_Note,BI55))</f>
        <v/>
      </c>
      <c r="BW55" s="22">
        <f t="shared" si="88"/>
        <v>1</v>
      </c>
      <c r="BX55" s="21" t="str">
        <f t="shared" si="89"/>
        <v>EX-C01|2|EX-A</v>
      </c>
      <c r="BY55" s="22">
        <f>IF(BG55=0,0,COUNTIF(nTP_CandKey,BX55))</f>
        <v>0</v>
      </c>
      <c r="BZ55" s="22">
        <f>IF(BG55=0,0,COUNTIFS(nTP_CandKey,BX55,nTP_Err,""))</f>
        <v>0</v>
      </c>
      <c r="CA55" s="21" t="str">
        <f>IF(BY55=BZ55,"",IF(COUNTIFS(nTP_CandKey,BX55,nTP_Err,"E_INVALID_DATE")&gt;0,"; E_INVALID_DATE","")&amp;IF(COUNTIFS(nTP_CandKey,BX55,nTP_Err,"E_REVERSED_BOUNDS")&gt;0,"; E_REVERSED_BOUNDS","")&amp;IF(COUNTIFS(nTP_CandKey,BX55,nTP_Err,"E_MISSING_INPUT")&gt;0,"; E_MISSING_INPUT","")&amp;IF(COUNTIFS(nTP_CandKey,BX55,nTP_Err,"E_INVALID_UNIT")&gt;0,"; E_INVALID_UNIT",""))</f>
        <v/>
      </c>
      <c r="CB55" s="22">
        <f t="shared" si="90"/>
        <v>0</v>
      </c>
      <c r="CC55" s="22">
        <f>IF(CB55=0,0,SUMPRODUCT((nTP_CandKey=BX55)*(nTP_Err="")*(1-(nTP_HT*BN55*((nTP_OK*BO55*(nTP_UTC_n-N(BQ55))+(1-nTP_OK*BO55)*(nTP_Loc_n-N(BP55)))&lt;=0)+(1-nTP_HT*BN55)*(nTP_Hi_n&lt;N(BR55)))-(nTP_HT*BN55*((nTP_OK*BO55*(nTP_UTC_n-N(BQ55))+(1-nTP_OK*BO55)*(nTP_Loc_n-N(BP55)))&gt;0)+(1-nTP_HT*BN55)*(nTP_Lo_n&gt;N(BS55)))-((1-nTP_HT*BN55)*(nTP_Lo_n=nTP_Hi_n)*(nTP_Lo_n=N(BR55))*(N(BR55)=N(BS55))))))</f>
        <v>0</v>
      </c>
      <c r="CD55" s="22">
        <f>IF(CB55=0,0,SUMPRODUCT((nTP_CandKey=BX55)*nTP_Exact*((nTP_HT*BN55*((nTP_OK*BO55*(nTP_UTC_n-N(BQ55))+(1-nTP_OK*BO55)*(nTP_Loc_n-N(BP55)))&lt;=0)+(1-nTP_HT*BN55)*(nTP_Hi_n&lt;N(BR55)))+((1-nTP_HT*BN55)*(nTP_Lo_n=nTP_Hi_n)*(nTP_Lo_n=N(BR55))*(N(BR55)=N(BS55))))))</f>
        <v>0</v>
      </c>
      <c r="CE55" s="22">
        <f>IF(CB55=0,0,SUMPRODUCT((nTP_CandKey=BX55)*(nTP_Err="")*(1-nTP_Exact)*((nTP_HT*BN55*((nTP_OK*BO55*(nTP_UTC_n-N(BQ55))+(1-nTP_OK*BO55)*(nTP_Loc_n-N(BP55)))&lt;=0)+(1-nTP_HT*BN55)*(nTP_Hi_n&lt;N(BR55)))+((1-nTP_HT*BN55)*(nTP_Lo_n=nTP_Hi_n)*(nTP_Lo_n=N(BR55))*(N(BR55)=N(BS55))))))</f>
        <v>0</v>
      </c>
      <c r="CF55" s="22">
        <f>IF(CD55=0,0,SUMPRODUCT(MAX((nTP_CandKey=BX55)*nTP_Exact*((nTP_HT*BN55*((nTP_OK*BO55*(nTP_UTC_n-N(BQ55))+(1-nTP_OK*BO55)*(nTP_Loc_n-N(BP55)))&lt;=0)+(1-nTP_HT*BN55)*(nTP_Hi_n&lt;N(BR55)))+((1-nTP_HT*BN55)*(nTP_Lo_n=nTP_Hi_n)*(nTP_Lo_n=N(BR55))*(N(BR55)=N(BS55))))*nTP_Lo_n)))</f>
        <v>0</v>
      </c>
      <c r="CG55" s="22">
        <f>IF(CD55=0,0,SUMPRODUCT((nTP_CandKey=BX55)*nTP_Exact*((nTP_HT*BN55*((nTP_OK*BO55*(nTP_UTC_n-N(BQ55))+(1-nTP_OK*BO55)*(nTP_Loc_n-N(BP55)))&lt;=0)+(1-nTP_HT*BN55)*(nTP_Hi_n&lt;N(BR55)))+((1-nTP_HT*BN55)*(nTP_Lo_n=nTP_Hi_n)*(nTP_Lo_n=N(BR55))*(N(BR55)=N(BS55))))*(nTP_Lo_n=CF55)))</f>
        <v>0</v>
      </c>
      <c r="CH55" s="22">
        <f>IF(CD55=0,0,SUMPRODUCT((nTP_CandKey=BX55)*nTP_Exact*((nTP_HT*BN55*((nTP_OK*BO55*(nTP_UTC_n-N(BQ55))+(1-nTP_OK*BO55)*(nTP_Loc_n-N(BP55)))&lt;=0)+(1-nTP_HT*BN55)*(nTP_Hi_n&lt;N(BR55)))+((1-nTP_HT*BN55)*(nTP_Lo_n=nTP_Hi_n)*(nTP_Lo_n=N(BR55))*(N(BR55)=N(BS55))))*(1-nTP_HT)*(nTP_Lo_n=CF55)))</f>
        <v>0</v>
      </c>
      <c r="CI55" s="22">
        <f>IF(CD55=0,0,SUMPRODUCT(MAX((nTP_CandKey=BX55)*nTP_Exact*((nTP_HT*BN55*((nTP_OK*BO55*(nTP_UTC_n-N(BQ55))+(1-nTP_OK*BO55)*(nTP_Loc_n-N(BP55)))&lt;=0)+(1-nTP_HT*BN55)*(nTP_Hi_n&lt;N(BR55)))+((1-nTP_HT*BN55)*(nTP_Lo_n=nTP_Hi_n)*(nTP_Lo_n=N(BR55))*(N(BR55)=N(BS55))))*(1-nTP_HT)*nTP_Lo_n)))</f>
        <v>0</v>
      </c>
      <c r="CJ55" s="22">
        <f>IF(CD55=0,0,SUMPRODUCT(MAX((nTP_CandKey=BX55)*nTP_Exact*((nTP_HT*BN55*((nTP_OK*BO55*(nTP_UTC_n-N(BQ55))+(1-nTP_OK*BO55)*(nTP_Loc_n-N(BP55)))&lt;=0)+(1-nTP_HT*BN55)*(nTP_Hi_n&lt;N(BR55)))+((1-nTP_HT*BN55)*(nTP_Lo_n=nTP_Hi_n)*(nTP_Lo_n=N(BR55))*(N(BR55)=N(BS55))))*nTP_HT*nTP_OK*nTP_UTC_n)))</f>
        <v>0</v>
      </c>
      <c r="CK55" s="22">
        <f>IF(CJ55=0,0,SUMPRODUCT((nTP_CandKey=BX55)*nTP_Exact*((nTP_HT*BN55*((nTP_OK*BO55*(nTP_UTC_n-N(BQ55))+(1-nTP_OK*BO55)*(nTP_Loc_n-N(BP55)))&lt;=0)+(1-nTP_HT*BN55)*(nTP_Hi_n&lt;N(BR55)))+((1-nTP_HT*BN55)*(nTP_Lo_n=nTP_Hi_n)*(nTP_Lo_n=N(BR55))*(N(BR55)=N(BS55))))*nTP_HT*nTP_OK*(nTP_UTC_n=CJ55)))</f>
        <v>0</v>
      </c>
      <c r="CL55" s="22">
        <f>IF(CK55&lt;&gt;1,0,SUMPRODUCT((nTP_CandKey=BX55)*nTP_Exact*((nTP_HT*BN55*((nTP_OK*BO55*(nTP_UTC_n-N(BQ55))+(1-nTP_OK*BO55)*(nTP_Loc_n-N(BP55)))&lt;=0)+(1-nTP_HT*BN55)*(nTP_Hi_n&lt;N(BR55)))+((1-nTP_HT*BN55)*(nTP_Lo_n=nTP_Hi_n)*(nTP_Lo_n=N(BR55))*(N(BR55)=N(BS55))))*nTP_HT*nTP_OK*(nTP_UTC_n=CJ55)*nTP_Loc_n))</f>
        <v>0</v>
      </c>
      <c r="CM55" s="22">
        <f>IF(CK55&lt;&gt;1,0,SUMPRODUCT((nTP_CandKey=BX55)*nTP_Exact*((nTP_HT*BN55*((nTP_OK*BO55*(nTP_UTC_n-N(BQ55))+(1-nTP_OK*BO55)*(nTP_Loc_n-N(BP55)))&lt;=0)+(1-nTP_HT*BN55)*(nTP_Hi_n&lt;N(BR55)))+((1-nTP_HT*BN55)*(nTP_Lo_n=nTP_Hi_n)*(nTP_Lo_n=N(BR55))*(N(BR55)=N(BS55))))*nTP_HT*nTP_OK*(nTP_UTC_n=CJ55)*nTP_Lo_n))</f>
        <v>0</v>
      </c>
      <c r="CN55" s="22">
        <f>IF(CD55=0,0,SUMPRODUCT(MAX((nTP_CandKey=BX55)*nTP_Exact*((nTP_HT*BN55*((nTP_OK*BO55*(nTP_UTC_n-N(BQ55))+(1-nTP_OK*BO55)*(nTP_Loc_n-N(BP55)))&lt;=0)+(1-nTP_HT*BN55)*(nTP_Hi_n&lt;N(BR55)))+((1-nTP_HT*BN55)*(nTP_Lo_n=nTP_Hi_n)*(nTP_Lo_n=N(BR55))*(N(BR55)=N(BS55))))*nTP_HT*(1-nTP_OK)*nTP_Loc_n)))</f>
        <v>0</v>
      </c>
      <c r="CO55" s="22">
        <f>IF(CN55=0,0,SUMPRODUCT((nTP_CandKey=BX55)*nTP_Exact*((nTP_HT*BN55*((nTP_OK*BO55*(nTP_UTC_n-N(BQ55))+(1-nTP_OK*BO55)*(nTP_Loc_n-N(BP55)))&lt;=0)+(1-nTP_HT*BN55)*(nTP_Hi_n&lt;N(BR55)))+((1-nTP_HT*BN55)*(nTP_Lo_n=nTP_Hi_n)*(nTP_Lo_n=N(BR55))*(N(BR55)=N(BS55))))*nTP_HT*(1-nTP_OK)*(nTP_Loc_n=CN55)))</f>
        <v>0</v>
      </c>
      <c r="CP55" s="22">
        <f>IF(CO55&lt;&gt;1,0,SUMPRODUCT((nTP_CandKey=BX55)*nTP_Exact*((nTP_HT*BN55*((nTP_OK*BO55*(nTP_UTC_n-N(BQ55))+(1-nTP_OK*BO55)*(nTP_Loc_n-N(BP55)))&lt;=0)+(1-nTP_HT*BN55)*(nTP_Hi_n&lt;N(BR55)))+((1-nTP_HT*BN55)*(nTP_Lo_n=nTP_Hi_n)*(nTP_Lo_n=N(BR55))*(N(BR55)=N(BS55))))*nTP_HT*(1-nTP_OK)*(nTP_Loc_n=CN55)*nTP_Lo_n))</f>
        <v>0</v>
      </c>
      <c r="CQ55" s="22">
        <f>IF(CD55=0,0,SUMPRODUCT(MAX((nTP_CandKey=BX55)*nTP_Exact*((nTP_HT*BN55*((nTP_OK*BO55*(nTP_UTC_n-N(BQ55))+(1-nTP_OK*BO55)*(nTP_Loc_n-N(BP55)))&lt;=0)+(1-nTP_HT*BN55)*(nTP_Hi_n&lt;N(BR55)))+((1-nTP_HT*BN55)*(nTP_Lo_n=nTP_Hi_n)*(nTP_Lo_n=N(BR55))*(N(BR55)=N(BS55))))*nTP_HT*nTP_OK*nTP_Loc_n)))</f>
        <v>0</v>
      </c>
      <c r="CR55" s="22">
        <f t="shared" si="91"/>
        <v>0</v>
      </c>
      <c r="CS55" s="22">
        <f>IF(CR55=0,0,IF(CR55=1,MATCH(1,INDEX((nTP_CandKey=BX55)*nTP_Exact*((nTP_HT*BN55*((nTP_OK*BO55*(nTP_UTC_n-N(BQ55))+(1-nTP_OK*BO55)*(nTP_Loc_n-N(BP55)))&lt;=0)+(1-nTP_HT*BN55)*(nTP_Hi_n&lt;N(BR55)))+((1-nTP_HT*BN55)*(nTP_Lo_n=nTP_Hi_n)*(nTP_Lo_n=N(BR55))*(N(BR55)=N(BS55))))*(1-nTP_HT)*(nTP_Lo_n=CF55),0),0),IF(CR55=2,MATCH(1,INDEX((nTP_CandKey=BX55)*nTP_Exact*((nTP_HT*BN55*((nTP_OK*BO55*(nTP_UTC_n-N(BQ55))+(1-nTP_OK*BO55)*(nTP_Loc_n-N(BP55)))&lt;=0)+(1-nTP_HT*BN55)*(nTP_Hi_n&lt;N(BR55)))+((1-nTP_HT*BN55)*(nTP_Lo_n=nTP_Hi_n)*(nTP_Lo_n=N(BR55))*(N(BR55)=N(BS55))))*nTP_HT*nTP_OK*(nTP_UTC_n=CJ55),0),0),MATCH(1,INDEX((nTP_CandKey=BX55)*nTP_Exact*((nTP_HT*BN55*((nTP_OK*BO55*(nTP_UTC_n-N(BQ55))+(1-nTP_OK*BO55)*(nTP_Loc_n-N(BP55)))&lt;=0)+(1-nTP_HT*BN55)*(nTP_Hi_n&lt;N(BR55)))+((1-nTP_HT*BN55)*(nTP_Lo_n=nTP_Hi_n)*(nTP_Lo_n=N(BR55))*(N(BR55)=N(BS55))))*nTP_HT*(1-nTP_OK)*(nTP_Loc_n=CN55),0),0))))</f>
        <v>0</v>
      </c>
      <c r="CT55" s="22">
        <f>IF(CS55=0,0,INDEX(nTP_Lo_n,CS55))</f>
        <v>0</v>
      </c>
      <c r="CU55" s="22">
        <f>IF(CS55=0,0,SUMPRODUCT((nTP_CandKey=BX55)*(nTP_Err="")*(1-nTP_Exact)*((nTP_HT*BN55*((nTP_OK*BO55*(nTP_UTC_n-N(BQ55))+(1-nTP_OK*BO55)*(nTP_Loc_n-N(BP55)))&lt;=0)+(1-nTP_HT*BN55)*(nTP_Hi_n&lt;N(BR55)))+((1-nTP_HT*BN55)*(nTP_Lo_n=nTP_Hi_n)*(nTP_Lo_n=N(BR55))*(N(BR55)=N(BS55))))*(nTP_Hi_n&gt;=CT55)))</f>
        <v>0</v>
      </c>
      <c r="CV55" s="21" t="str">
        <f t="shared" si="92"/>
        <v/>
      </c>
      <c r="CW55" s="21" t="str">
        <f>IF(AND(BG55=1,CB55=1,CV55="",CS55&gt;0),INDEX(nTP_Record_ID,CS55)&amp;"","")</f>
        <v/>
      </c>
      <c r="CX55" s="21" t="str">
        <f>IF(OR(CV55="",BG55=0),"",IF(CV55="none","an administration record (last dose before onset)",IF(CV55="uncertain","the anchor record: "&amp;INDEX(nTP_Record_ID,MATCH(1,INDEX((nTP_CandKey=BX55)*(nTP_Err="")*(1-(nTP_HT*BN55*((nTP_OK*BO55*(nTP_UTC_n-N(BQ55))+(1-nTP_OK*BO55)*(nTP_Loc_n-N(BP55)))&lt;=0)+(1-nTP_HT*BN55)*(nTP_Hi_n&lt;N(BR55)))-(nTP_HT*BN55*((nTP_OK*BO55*(nTP_UTC_n-N(BQ55))+(1-nTP_OK*BO55)*(nTP_Loc_n-N(BP55)))&gt;0)+(1-nTP_HT*BN55)*(nTP_Lo_n&gt;N(BS55)))-((1-nTP_HT*BN55)*(nTP_Lo_n=nTP_Hi_n)*(nTP_Lo_n=N(BR55))*(N(BR55)=N(BS55)))),0),0))&amp;IF(CC55&gt;1," and "&amp;(CC55-1)&amp;" more","")&amp;" may fall before or after the end point, so the last dose cannot be identified from the recorded dates",IF(CV55="noneligible","the anchor record: no administration with an exact date is recorded at or before the end point",IF(CV55="tie","the anchor record: the order of the latest administrations cannot be told from the recorded dates and times","the anchor record: partial-date administration "&amp;INDEX(nTP_Record_ID,MATCH(1,INDEX((nTP_CandKey=BX55)*(nTP_Err="")*(1-nTP_Exact)*((nTP_HT*BN55*((nTP_OK*BO55*(nTP_UTC_n-N(BQ55))+(1-nTP_OK*BO55)*(nTP_Loc_n-N(BP55)))&lt;=0)+(1-nTP_HT*BN55)*(nTP_Hi_n&lt;N(BR55)))+((1-nTP_HT*BN55)*(nTP_Lo_n=nTP_Hi_n)*(nTP_Lo_n=N(BR55))*(N(BR55)=N(BS55))))*(nTP_Hi_n&gt;=CT55),0),0))&amp;" could be the last dose before the end point")))))</f>
        <v/>
      </c>
      <c r="CY55" s="22">
        <f>IF(OR(AW55=1,AJ55=""),0,IFERROR(MATCH(AX55&amp;"|"&amp;AJ55,nTP_Key,0),0))</f>
        <v>104</v>
      </c>
      <c r="CZ55" s="21">
        <f>IF(CY55=0,0,INDEX(nTP_Dup,CY55))</f>
        <v>1</v>
      </c>
      <c r="DA55" s="21" t="str">
        <f>IF(CY55=0,"",INDEX(nTP_Record_Type,CY55))</f>
        <v>EXPOSURE_STOP</v>
      </c>
      <c r="DB55" s="21" t="str">
        <f>IF(CY55=0,"",INDEX(nTP_Precision,CY55))</f>
        <v>TIMESTAMP</v>
      </c>
      <c r="DC55" s="21" t="str">
        <f>IF(CY55=0,"",INDEX(nTP_Err,CY55))</f>
        <v/>
      </c>
      <c r="DD55" s="21">
        <f>IF(CY55=0,0,INDEX(nTP_HT,CY55))</f>
        <v>1</v>
      </c>
      <c r="DE55" s="21">
        <f>IF(CY55=0,0,INDEX(nTP_OK,CY55))</f>
        <v>1</v>
      </c>
      <c r="DF55" s="21">
        <f>IF(CY55=0,"",INDEX(nTP_Loc,CY55))</f>
        <v>66286636</v>
      </c>
      <c r="DG55" s="21">
        <f>IF(CY55=0,"",INDEX(nTP_UTC,CY55))</f>
        <v>66286936</v>
      </c>
      <c r="DH55" s="21">
        <f>IF(CY55=0,"",INDEX(nTP_Lo,CY55))</f>
        <v>46032</v>
      </c>
      <c r="DI55" s="21">
        <f>IF(CY55=0,"",INDEX(nTP_Hi,CY55))</f>
        <v>46032</v>
      </c>
      <c r="DJ55" s="21" t="str">
        <f>IF(CY55=0,"",INDEX(nTP_Original_Text,CY55))</f>
        <v>09:16 infusion stopped, doctor called</v>
      </c>
      <c r="DK55" s="21" t="str">
        <f>IF(CY55=0,"",INDEX(nTP_Source,CY55))</f>
        <v>Nursing chart</v>
      </c>
      <c r="DL55" s="22">
        <f t="shared" si="93"/>
        <v>1</v>
      </c>
      <c r="DM55" s="21" t="str">
        <f t="shared" si="94"/>
        <v/>
      </c>
      <c r="DN55" s="21" t="str">
        <f t="shared" si="95"/>
        <v/>
      </c>
      <c r="DO55" s="21" t="str">
        <f t="shared" si="96"/>
        <v/>
      </c>
      <c r="DP55" s="21" t="str">
        <f t="shared" si="97"/>
        <v/>
      </c>
      <c r="DQ55" s="21" t="str">
        <f t="shared" si="98"/>
        <v>C1</v>
      </c>
      <c r="DR55" s="22">
        <f>IF(OR(DQ55="",I55=""),0,IF(ISNA(MATCH(I55,nLIST_Mode,0)),1,IF(AND(I55="C1",DQ55&lt;&gt;"C1"),1,IF(AND(I55="C2",DQ55="C4"),1,0))))</f>
        <v>0</v>
      </c>
      <c r="DS55" s="21" t="str">
        <f t="shared" si="99"/>
        <v>C1</v>
      </c>
      <c r="DT55" s="22">
        <f t="shared" si="100"/>
        <v>1</v>
      </c>
      <c r="DU55" s="21" t="str">
        <f>IF(DT55=0,"",IF(COUNTIFS(nTP_Case_Key,AX55,nTP_Record_Type,"MILESTONE:INTERVENTION",nTP_Err,"E_INVALID_DATE")&gt;0,"; E_INVALID_DATE","")&amp;IF(COUNTIFS(nTP_Case_Key,AX55,nTP_Record_Type,"MILESTONE:INTERVENTION",nTP_Err,"E_REVERSED_BOUNDS")&gt;0,"; E_REVERSED_BOUNDS","")&amp;IF(COUNTIFS(nTP_Case_Key,AX55,nTP_Record_Type,"MILESTONE:INTERVENTION",nTP_Err,"E_MISSING_INPUT")&gt;0,"; E_MISSING_INPUT","")&amp;IF(COUNTIFS(nTP_Case_Key,AX55,nTP_Record_Type,"MILESTONE:INTERVENTION",nTP_Err,"E_INVALID_UNIT")&gt;0,"; E_INVALID_UNIT",""))</f>
        <v/>
      </c>
      <c r="DV55" s="22">
        <f>IF(DT55=0,0,SUMPRODUCT((nMS_CaseKey=AX55)*(nMS_Type="INTERVENTION")*nMS_Undated))</f>
        <v>0</v>
      </c>
      <c r="DW55" s="21" t="str">
        <f t="shared" si="101"/>
        <v/>
      </c>
      <c r="DX55" s="21" t="str">
        <f t="shared" si="102"/>
        <v/>
      </c>
      <c r="DY55" s="22">
        <f t="shared" si="103"/>
        <v>0</v>
      </c>
      <c r="DZ55" s="21">
        <f t="shared" si="104"/>
        <v>19</v>
      </c>
      <c r="EA55" s="21" t="str">
        <f t="shared" si="105"/>
        <v/>
      </c>
      <c r="EB55" s="21" t="str">
        <f t="shared" si="106"/>
        <v/>
      </c>
      <c r="EC55" s="21" t="str">
        <f t="shared" si="107"/>
        <v/>
      </c>
      <c r="ED55" s="22">
        <f t="shared" si="108"/>
        <v>0</v>
      </c>
      <c r="EE55" s="22">
        <f t="shared" si="109"/>
        <v>0</v>
      </c>
      <c r="EF55" s="21" t="str">
        <f>IF(ED55=0,"",IF(OR(NOT(ISNUMBER(L55)),NOT(ISNUMBER(M55))),"I_APPROXIMATE_NOT_COMPARED",IF(AND(N55&lt;&gt;"",ISNA(MATCH(N55,nLIST_ReportedUnit,0))),"E_INVALID_UNIT",IF(N55="","E_MISSING_INPUT",IF(L55&gt;M55,"E_REVERSED_BOUNDS",IF(OR(N55="weeks",N55="months",N55="years"),"I_APPROXIMATE_NOT_COMPARED",IF(DX55&lt;&gt;"","",IF(EE55=0,"I_APPROXIMATE_NOT_COMPARED",IF(AND(L55*EE55&lt;=IF(DS55="C4",EC55,IF(DS55="C1",DZ55,EA55)),M55*EE55&gt;=IF(DS55="C4",EB55,IF(DS55="C1",DZ55,EA55))),"OVERLAP","W_REPORTED_TIMING_CONFLICT")))))))))</f>
        <v/>
      </c>
      <c r="EG55" s="21" t="str">
        <f t="shared" si="110"/>
        <v/>
      </c>
      <c r="EH55" s="21" t="str">
        <f t="shared" si="111"/>
        <v/>
      </c>
      <c r="EI55" s="22">
        <f t="shared" si="112"/>
        <v>1</v>
      </c>
      <c r="EJ55" s="22">
        <f t="shared" si="113"/>
        <v>0</v>
      </c>
      <c r="EK55" s="22">
        <f t="shared" si="114"/>
        <v>0</v>
      </c>
      <c r="EL55" s="28" t="str">
        <f t="shared" si="115"/>
        <v/>
      </c>
      <c r="EM55" s="28" t="str">
        <f t="shared" si="116"/>
        <v/>
      </c>
      <c r="EN55" s="21" t="str">
        <f t="shared" si="117"/>
        <v/>
      </c>
      <c r="EO55" s="22">
        <f>IF(OR(DT55=0,DX55&lt;&gt;""),0,SUMPRODUCT((nTP_Case_Key=AX55)*(nTP_Record_Type="MILESTONE:INTERVENTION")*(nTP_Err="")*(nTP_HT*DD55*BN55*(nTP_OK*DE55*(nTP_UTC_n&gt;=N(DG55))+(1-nTP_OK*DE55)*(nTP_Loc_n&gt;=N(DF55)))*(nTP_OK*BO55*(nTP_UTC_n&lt;=N(BQ55))+(1-nTP_OK*BO55)*(nTP_Loc_n&lt;=N(BP55)))+(1-nTP_HT*DD55*BN55)*(nTP_Hi_n&gt;=N(DH55))*(nTP_Lo_n&lt;=N(BS55)))))</f>
        <v>1</v>
      </c>
      <c r="EP55" s="22">
        <f>IF(OR(DT55=0,DX55&lt;&gt;""),0,SUMPRODUCT((nTP_Case_Key=AX55)*(nTP_Role="treatment of the event")*((nTP_Record_Type="EXPOSURE_START")+(nTP_Record_Type="ADMINISTRATION"))*(nTP_Err="")*(nTP_HT*DD55*BN55*(nTP_OK*DE55*(nTP_UTC_n&gt;=N(DG55))+(1-nTP_OK*DE55)*(nTP_Loc_n&gt;=N(DF55)))*(nTP_OK*BO55*(nTP_UTC_n&lt;=N(BQ55))+(1-nTP_OK*BO55)*(nTP_Loc_n&lt;=N(BP55)))+(1-nTP_HT*DD55*BN55)*(nTP_Hi_n&gt;=N(DH55))*(nTP_Lo_n&lt;=N(BS55)))))</f>
        <v>0</v>
      </c>
      <c r="EQ55" s="22">
        <f>IF(EO55&lt;1,0,IFERROR(_xlfn.AGGREGATE(15,6,nTP_RowN/((nTP_Case_Key=AX55)*(nTP_Record_Type="MILESTONE:INTERVENTION")*(nTP_Err="")*(nTP_HT*DD55*BN55*(nTP_OK*DE55*(nTP_UTC_n&gt;=N(DG55))+(1-nTP_OK*DE55)*(nTP_Loc_n&gt;=N(DF55)))*(nTP_OK*BO55*(nTP_UTC_n&lt;=N(BQ55))+(1-nTP_OK*BO55)*(nTP_Loc_n&lt;=N(BP55)))+(1-nTP_HT*DD55*BN55)*(nTP_Hi_n&gt;=N(DH55))*(nTP_Lo_n&lt;=N(BS55)))),1),0))</f>
        <v>426</v>
      </c>
      <c r="ER55" s="22">
        <f>IF(EO55&lt;2,0,IFERROR(_xlfn.AGGREGATE(15,6,nTP_RowN/((nTP_Case_Key=AX55)*(nTP_Record_Type="MILESTONE:INTERVENTION")*(nTP_Err="")*(nTP_HT*DD55*BN55*(nTP_OK*DE55*(nTP_UTC_n&gt;=N(DG55))+(1-nTP_OK*DE55)*(nTP_Loc_n&gt;=N(DF55)))*(nTP_OK*BO55*(nTP_UTC_n&lt;=N(BQ55))+(1-nTP_OK*BO55)*(nTP_Loc_n&lt;=N(BP55)))+(1-nTP_HT*DD55*BN55)*(nTP_Hi_n&gt;=N(DH55))*(nTP_Lo_n&lt;=N(BS55)))),2),0))</f>
        <v>0</v>
      </c>
      <c r="ES55" s="22">
        <f>IF(EO55&lt;3,0,IFERROR(_xlfn.AGGREGATE(15,6,nTP_RowN/((nTP_Case_Key=AX55)*(nTP_Record_Type="MILESTONE:INTERVENTION")*(nTP_Err="")*(nTP_HT*DD55*BN55*(nTP_OK*DE55*(nTP_UTC_n&gt;=N(DG55))+(1-nTP_OK*DE55)*(nTP_Loc_n&gt;=N(DF55)))*(nTP_OK*BO55*(nTP_UTC_n&lt;=N(BQ55))+(1-nTP_OK*BO55)*(nTP_Loc_n&lt;=N(BP55)))+(1-nTP_HT*DD55*BN55)*(nTP_Hi_n&gt;=N(DH55))*(nTP_Lo_n&lt;=N(BS55)))),3),0))</f>
        <v>0</v>
      </c>
      <c r="ET55" s="22">
        <f>IF(EP55&lt;1,0,IFERROR(_xlfn.AGGREGATE(15,6,nTP_RowN/((nTP_Case_Key=AX55)*(nTP_Role="treatment of the event")*((nTP_Record_Type="EXPOSURE_START")+(nTP_Record_Type="ADMINISTRATION"))*(nTP_Err="")*(nTP_HT*DD55*BN55*(nTP_OK*DE55*(nTP_UTC_n&gt;=N(DG55))+(1-nTP_OK*DE55)*(nTP_Loc_n&gt;=N(DF55)))*(nTP_OK*BO55*(nTP_UTC_n&lt;=N(BQ55))+(1-nTP_OK*BO55)*(nTP_Loc_n&lt;=N(BP55)))+(1-nTP_HT*DD55*BN55)*(nTP_Hi_n&gt;=N(DH55))*(nTP_Lo_n&lt;=N(BS55)))),1),0))</f>
        <v>0</v>
      </c>
      <c r="EU55" s="22">
        <f>IF(EP55&lt;2,0,IFERROR(_xlfn.AGGREGATE(15,6,nTP_RowN/((nTP_Case_Key=AX55)*(nTP_Role="treatment of the event")*((nTP_Record_Type="EXPOSURE_START")+(nTP_Record_Type="ADMINISTRATION"))*(nTP_Err="")*(nTP_HT*DD55*BN55*(nTP_OK*DE55*(nTP_UTC_n&gt;=N(DG55))+(1-nTP_OK*DE55)*(nTP_Loc_n&gt;=N(DF55)))*(nTP_OK*BO55*(nTP_UTC_n&lt;=N(BQ55))+(1-nTP_OK*BO55)*(nTP_Loc_n&lt;=N(BP55)))+(1-nTP_HT*DD55*BN55)*(nTP_Hi_n&gt;=N(DH55))*(nTP_Lo_n&lt;=N(BS55)))),2),0))</f>
        <v>0</v>
      </c>
      <c r="EV55" s="22">
        <f>IF(EP55&lt;3,0,IFERROR(_xlfn.AGGREGATE(15,6,nTP_RowN/((nTP_Case_Key=AX55)*(nTP_Role="treatment of the event")*((nTP_Record_Type="EXPOSURE_START")+(nTP_Record_Type="ADMINISTRATION"))*(nTP_Err="")*(nTP_HT*DD55*BN55*(nTP_OK*DE55*(nTP_UTC_n&gt;=N(DG55))+(1-nTP_OK*DE55)*(nTP_Loc_n&gt;=N(DF55)))*(nTP_OK*BO55*(nTP_UTC_n&lt;=N(BQ55))+(1-nTP_OK*BO55)*(nTP_Loc_n&lt;=N(BP55)))+(1-nTP_HT*DD55*BN55)*(nTP_Hi_n&gt;=N(DH55))*(nTP_Lo_n&lt;=N(BS55)))),3),0))</f>
        <v>0</v>
      </c>
      <c r="EW55" s="22">
        <f>IF(CE55&lt;1,0,IFERROR(_xlfn.AGGREGATE(15,6,nTP_RowN/((nTP_CandKey=BX55)*(nTP_Err="")*(1-nTP_Exact)*((nTP_HT*BN55*((nTP_OK*BO55*(nTP_UTC_n-N(BQ55))+(1-nTP_OK*BO55)*(nTP_Loc_n-N(BP55)))&lt;=0)+(1-nTP_HT*BN55)*(nTP_Hi_n&lt;N(BR55)))+((1-nTP_HT*BN55)*(nTP_Lo_n=nTP_Hi_n)*(nTP_Lo_n=N(BR55))*(N(BR55)=N(BS55))))),1),0))</f>
        <v>0</v>
      </c>
      <c r="EX55" s="22">
        <f>IF(CE55&lt;2,0,IFERROR(_xlfn.AGGREGATE(15,6,nTP_RowN/((nTP_CandKey=BX55)*(nTP_Err="")*(1-nTP_Exact)*((nTP_HT*BN55*((nTP_OK*BO55*(nTP_UTC_n-N(BQ55))+(1-nTP_OK*BO55)*(nTP_Loc_n-N(BP55)))&lt;=0)+(1-nTP_HT*BN55)*(nTP_Hi_n&lt;N(BR55)))+((1-nTP_HT*BN55)*(nTP_Lo_n=nTP_Hi_n)*(nTP_Lo_n=N(BR55))*(N(BR55)=N(BS55))))),2),0))</f>
        <v>0</v>
      </c>
      <c r="EY55" s="22">
        <f>IF(CE55&lt;3,0,IFERROR(_xlfn.AGGREGATE(15,6,nTP_RowN/((nTP_CandKey=BX55)*(nTP_Err="")*(1-nTP_Exact)*((nTP_HT*BN55*((nTP_OK*BO55*(nTP_UTC_n-N(BQ55))+(1-nTP_OK*BO55)*(nTP_Loc_n-N(BP55)))&lt;=0)+(1-nTP_HT*BN55)*(nTP_Hi_n&lt;N(BR55)))+((1-nTP_HT*BN55)*(nTP_Lo_n=nTP_Hi_n)*(nTP_Lo_n=N(BR55))*(N(BR55)=N(BS55))))),3),0))</f>
        <v>0</v>
      </c>
      <c r="EZ55" s="21" t="str">
        <f>IF(EO55=0,"",MID(IF(EQ55&gt;0,"; "&amp;INDEX(nTP_Record_ID,EQ55)&amp;IF(INDEX(nTP_Label,EQ55)="",""," ("&amp;INDEX(nTP_Label,EQ55)&amp;")"),"")&amp;IF(ER55&gt;0,"; "&amp;INDEX(nTP_Record_ID,ER55)&amp;IF(INDEX(nTP_Label,ER55)="",""," ("&amp;INDEX(nTP_Label,ER55)&amp;")"),"")&amp;IF(ES55&gt;0,"; "&amp;INDEX(nTP_Record_ID,ES55)&amp;IF(INDEX(nTP_Label,ES55)="",""," ("&amp;INDEX(nTP_Label,ES55)&amp;")"),"")&amp;IF(EO55&gt;3,"; and "&amp;(EO55-3)&amp;" more",""),3,999))</f>
        <v>M-EMERG (Emergency medicines administered (agents not given here))</v>
      </c>
      <c r="FA55" s="21" t="str">
        <f>IF(EO55=0,"",MID(IF(EQ55&gt;0,"; "&amp;INDEX(nTP_Record_ID,EQ55),"")&amp;IF(ER55&gt;0,"; "&amp;INDEX(nTP_Record_ID,ER55),"")&amp;IF(ES55&gt;0,"; "&amp;INDEX(nTP_Record_ID,ES55),"")&amp;IF(EO55&gt;3,"; and "&amp;(EO55-3)&amp;" more",""),3,999))</f>
        <v>M-EMERG</v>
      </c>
      <c r="FB55" s="21" t="str">
        <f>IF(EP55=0,"",MID(IF(ET55&gt;0,"; "&amp;INDEX(nTP_Record_ID,ET55)&amp;IF(INDEX(nTP_Label,ET55)="",""," ("&amp;INDEX(nTP_Label,ET55)&amp;")"),"")&amp;IF(EU55&gt;0,"; "&amp;INDEX(nTP_Record_ID,EU55)&amp;IF(INDEX(nTP_Label,EU55)="",""," ("&amp;INDEX(nTP_Label,EU55)&amp;")"),"")&amp;IF(EV55&gt;0,"; "&amp;INDEX(nTP_Record_ID,EV55)&amp;IF(INDEX(nTP_Label,EV55)="",""," ("&amp;INDEX(nTP_Label,EV55)&amp;")"),"")&amp;IF(EP55&gt;3,"; and "&amp;(EP55-3)&amp;" more",""),3,999))</f>
        <v/>
      </c>
      <c r="FC55" s="21" t="str">
        <f>IF(CE55=0,"",MID(IF(EW55&gt;0,"; "&amp;INDEX(nTP_Record_ID,EW55),"")&amp;IF(EX55&gt;0,"; "&amp;INDEX(nTP_Record_ID,EX55),"")&amp;IF(EY55&gt;0,"; "&amp;INDEX(nTP_Record_ID,EY55),"")&amp;IF(CE55&gt;3,"; and "&amp;(CE55-3)&amp;" more",""),3,999))</f>
        <v/>
      </c>
      <c r="FD55" s="22">
        <f t="shared" si="118"/>
        <v>0</v>
      </c>
      <c r="FE55" s="22">
        <f t="shared" si="119"/>
        <v>0</v>
      </c>
      <c r="FF55" s="22">
        <f t="shared" si="120"/>
        <v>0</v>
      </c>
      <c r="FG55" s="22">
        <f t="shared" si="121"/>
        <v>0</v>
      </c>
      <c r="FH55" s="22">
        <f t="shared" si="122"/>
        <v>0</v>
      </c>
      <c r="FI55" s="22">
        <f t="shared" si="123"/>
        <v>1</v>
      </c>
      <c r="FJ55" s="22">
        <f t="shared" si="124"/>
        <v>0</v>
      </c>
      <c r="FK55" s="22">
        <f t="shared" si="125"/>
        <v>0</v>
      </c>
    </row>
    <row r="56" spans="1:167" x14ac:dyDescent="0.2">
      <c r="A56" s="9" t="s">
        <v>1151</v>
      </c>
      <c r="B56" s="9" t="s">
        <v>297</v>
      </c>
      <c r="C56" s="11">
        <v>2</v>
      </c>
      <c r="D56" s="9" t="s">
        <v>894</v>
      </c>
      <c r="E56" s="16" t="s">
        <v>57</v>
      </c>
      <c r="F56" s="9" t="s">
        <v>1148</v>
      </c>
      <c r="G56" s="9" t="s">
        <v>801</v>
      </c>
      <c r="H56" s="9" t="s">
        <v>804</v>
      </c>
      <c r="I56" s="16" t="s">
        <v>59</v>
      </c>
      <c r="J56" s="16"/>
      <c r="K56" s="9"/>
      <c r="L56" s="16"/>
      <c r="M56" s="16"/>
      <c r="N56" s="16"/>
      <c r="O56" s="9"/>
      <c r="P56" s="14"/>
      <c r="Q56" s="14"/>
      <c r="R56" s="9"/>
      <c r="S56" s="9"/>
      <c r="T56" s="21" t="str">
        <f t="shared" si="63"/>
        <v>17 minutes</v>
      </c>
      <c r="U56" s="21" t="str">
        <f t="shared" si="64"/>
        <v>17 minutes</v>
      </c>
      <c r="V56" s="21">
        <f t="shared" si="65"/>
        <v>17</v>
      </c>
      <c r="W56" s="21" t="str">
        <f t="shared" si="66"/>
        <v/>
      </c>
      <c r="X56" s="21" t="str">
        <f t="shared" si="67"/>
        <v/>
      </c>
      <c r="Y56" s="21" t="str">
        <f t="shared" si="68"/>
        <v>minutes</v>
      </c>
      <c r="Z56" s="21" t="str">
        <f t="shared" si="69"/>
        <v>C1</v>
      </c>
      <c r="AA56" s="21" t="str">
        <f t="shared" si="70"/>
        <v>AFTER</v>
      </c>
      <c r="AB56" s="21" t="str">
        <f t="shared" si="71"/>
        <v/>
      </c>
      <c r="AC56" s="21" t="str">
        <f t="shared" si="72"/>
        <v/>
      </c>
      <c r="AD56" s="21" t="str">
        <f>IF(AW56=1,"",MID(IF(ISNUMBER(SEARCH("E_INVALID_DATE",EG56))," | E_INVALID_DATE: "&amp;SUBSTITUTE(IFERROR(INDEX(nMSG_Text,MATCH("E_INVALID_DATE",nMSG_Code,0)),""),"[input]",""),"")&amp;IF(ISNUMBER(SEARCH("E_REVERSED_BOUNDS",EG56))," | E_REVERSED_BOUNDS: "&amp;SUBSTITUTE(IFERROR(INDEX(nMSG_Text,MATCH("E_REVERSED_BOUNDS",nMSG_Code,0)),""),"[input]",""),"")&amp;IF(ISNUMBER(SEARCH("E_DUPLICATE_ID",EG56))," | E_DUPLICATE_ID: "&amp;SUBSTITUTE(IFERROR(INDEX(nMSG_Text,MATCH("E_DUPLICATE_ID",nMSG_Code,0)),""),"[input]",""),"")&amp;IF(ISNUMBER(SEARCH("E_MISSING_LINK",EG56))," | E_MISSING_LINK: "&amp;SUBSTITUTE(IFERROR(INDEX(nMSG_Text,MATCH("E_MISSING_LINK",nMSG_Code,0)),""),"[input]",""),"")&amp;IF(ISNUMBER(SEARCH("E_MISSING_INPUT",EG56))," | E_MISSING_INPUT: "&amp;SUBSTITUTE(IFERROR(INDEX(nMSG_Text,MATCH("E_MISSING_INPUT",nMSG_Code,0)),""),"[input]",IF(EH56="","an input",EH56)),"")&amp;IF(ISNUMBER(SEARCH("E_INVALID_UNIT",EG56))," | E_INVALID_UNIT: "&amp;SUBSTITUTE(IFERROR(INDEX(nMSG_Text,MATCH("E_INVALID_UNIT",nMSG_Code,0)),""),"[input]",""),"")&amp;IF(FD56=1," | W_TZ_UNKNOWN: "&amp;SUBSTITUTE(IFERROR(INDEX(nMSG_Text,MATCH("W_TZ_UNKNOWN",nMSG_Code,0)),""),"[input]",""),"")&amp;IF(FE56=1," | W_SAME_DATE_ORDER_UNKNOWN: "&amp;SUBSTITUTE(IFERROR(INDEX(nMSG_Text,MATCH("W_SAME_DATE_ORDER_UNKNOWN",nMSG_Code,0)),""),"[input]",""),"")&amp;IF(FF56=1," | W_SEQUENCE_UNCERTAIN: "&amp;SUBSTITUTE(IFERROR(INDEX(nMSG_Text,MATCH("W_SEQUENCE_UNCERTAIN",nMSG_Code,0)),""),"[input]",""),"")&amp;IF(FG56=1," | W_ADMIN_SAME_DATE_AS_ONSET: "&amp;SUBSTITUTE(IFERROR(INDEX(nMSG_Text,MATCH("W_ADMIN_SAME_DATE_AS_ONSET",nMSG_Code,0)),""),"[input]",""),"")&amp;IF(FH56=1," | W_REPORTED_TIMING_CONFLICT: "&amp;SUBSTITUTE(IFERROR(INDEX(nMSG_Text,MATCH("W_REPORTED_TIMING_CONFLICT",nMSG_Code,0)),""),"[input]",""),"")&amp;IF(FI56=1," | W_INTERVENTION_BEFORE_RECOVERY: "&amp;SUBSTITUTE(IFERROR(INDEX(nMSG_Text,MATCH("W_INTERVENTION_BEFORE_RECOVERY",nMSG_Code,0)),""),"[input]",""),"")&amp;IF(FJ56=1," | I_TREATMENT_DAY_UNDEFINED: "&amp;SUBSTITUTE(IFERROR(INDEX(nMSG_Text,MATCH("I_TREATMENT_DAY_UNDEFINED",nMSG_Code,0)),""),"[input]",""),"")&amp;IF(FK56=1," | I_APPROXIMATE_NOT_COMPARED: "&amp;SUBSTITUTE(IFERROR(INDEX(nMSG_Text,MATCH("I_APPROXIMATE_NOT_COMPARED",nMSG_Code,0)),""),"[input]",""),""),4,9999))</f>
        <v/>
      </c>
      <c r="AE56" s="21" t="str">
        <f t="shared" si="73"/>
        <v/>
      </c>
      <c r="AF56" s="21" t="str">
        <f t="shared" si="74"/>
        <v/>
      </c>
      <c r="AG56" s="21" t="str">
        <f>IF(EN56="","",MID(IF(ISNUMBER(SEARCH("E_REVERSED_BOUNDS",EN56))," | E_REVERSED_BOUNDS: "&amp;SUBSTITUTE(IFERROR(INDEX(nMSG_Text,MATCH("E_REVERSED_BOUNDS",nMSG_Code,0)),""),"[input]",""),"")&amp;IF(ISNUMBER(SEARCH("E_MISSING_INPUT",EN56))," | E_MISSING_INPUT: "&amp;SUBSTITUTE(IFERROR(INDEX(nMSG_Text,MATCH("E_MISSING_INPUT",nMSG_Code,0)),""),"[input]",IF("the source of the constraint"="","an input","the source of the constraint")),""),4,999))</f>
        <v/>
      </c>
      <c r="AH56" s="21" t="str">
        <f t="shared" si="75"/>
        <v/>
      </c>
      <c r="AI56" s="21" t="str">
        <f t="shared" si="76"/>
        <v>M-EMERG → M-IMPROVE</v>
      </c>
      <c r="AJ56" s="21" t="str">
        <f t="shared" si="77"/>
        <v>M-EMERG</v>
      </c>
      <c r="AK56" s="21" t="str">
        <f t="shared" si="78"/>
        <v>M-IMPROVE</v>
      </c>
      <c r="AL56" s="21" t="str">
        <f>IF(CY56=0,"",INDEX(nTP_ISO,CY56))</f>
        <v>2026-01-10T09:18-05:00</v>
      </c>
      <c r="AM56" s="21" t="str">
        <f>IF(CY56=0,"",INDEX(nTP_Display,CY56))</f>
        <v>10 January 2026 09:18 (UTC-05:00)</v>
      </c>
      <c r="AN56" s="21" t="str">
        <f>IF(BI56=0,"",INDEX(nTP_ISO,BI56))</f>
        <v>2026-01-10T09:35-05:00</v>
      </c>
      <c r="AO56" s="21" t="str">
        <f>IF(BI56=0,"",INDEX(nTP_Display,BI56))</f>
        <v>10 January 2026 09:35 (UTC-05:00)</v>
      </c>
      <c r="AP56" s="21" t="str">
        <f>IF(BA56=0,"",INDEX(nLNK_Exposure_Episode_ID,BA56)&amp;"")</f>
        <v>EX-A</v>
      </c>
      <c r="AQ56" s="21" t="str">
        <f>IF(BA56=0,"",INDEX(nLNK_Event_Episode_ID,BA56)&amp;"")</f>
        <v>EV-1</v>
      </c>
      <c r="AR56" s="21" t="str">
        <f t="shared" si="79"/>
        <v>Anchor (OTHER) M-EMERG: 2026-01-10T09:18-05:00 [timestamp with UTC offset; case measurement; original: "Emergency medicines administered from 09:18"; source: Medication administration record] | End point M-IMPROVE: 2026-01-10T09:35-05:00 [timestamp with UTC offset; case measurement; original: "09:35 wheeze settling, BP 108/70"; source: Nursing chart]</v>
      </c>
      <c r="AS56" s="21" t="str">
        <f>IF(EI56=0,"",MID(IF(DT56=1," | Recovery interval (C7) computed with "&amp;DS56&amp;".","")&amp;IF(BG56=1," | Anchor selected under C5 (CALC-SPEC 1.1): latest administration with an exact date or time at or before "&amp;IF(BH56=1,"onset","the end point")&amp;" ("&amp;AJ56&amp;"), ordered in UTC when offsets are known; later administrations are never selected.","")&amp;IF(AND(BG56=1,CE56&gt;0)," | Partial-date administrations wholly before the selected one were not candidates: "&amp;FC56&amp;".","")&amp;IF(BV56&lt;&gt;""," | "&amp;BV56,"")&amp;IF(AND(DS56="C2",EA56=0,DZ56&lt;&gt;"")," | Same calendar date; both times are known, so C1 decides the order ("&amp;AA56&amp;").","")&amp;IF(AND(DS56="C2",DD56*BN56=1,DT56=0)," | Calendar-date difference from the recorded local dates; it is never described as elapsed days.","")&amp;IF(AND(DS56="C4",DT56=0)," | Bounds are treated as independent; no single date is imputed from them.","")&amp;IF(EJ56=1," | Treatment day under the inclusive convention (C3); never written to E2B fields automatically.","")&amp;IF(AND(DS56="C4",DT56=0,EK56=0)," | No constraint applied.","")&amp;IF(AND(DS56="C4",EK56=1)," | Constraint applied to the anchor bounds: "&amp;IF(ISNUMBER(P56),"not before "&amp;DAY(P56)&amp;" "&amp;INDEX(nLIST_Months,MONTH(P56))&amp;" "&amp;YEAR(P56),"")&amp;IF(AND(ISNUMBER(P56),ISNUMBER(Q56)),", ","")&amp;IF(ISNUMBER(Q56),"not after "&amp;DAY(Q56)&amp;" "&amp;INDEX(nLIST_Months,MONTH(Q56))&amp;" "&amp;YEAR(Q56),"")&amp;". Source: "&amp;IF(R56="","not recorded",R56)&amp;IF(EN56="",". Constrained result shown beside the unconstrained one.",". Constrained result blocked ("&amp;EN56&amp;")."),"")&amp;IF(DT56=1,IF(EO56&gt;0," | Intervention recorded between cessation and recovery (ends included): "&amp;EZ56&amp;"."," | No intervention is recorded between cessation and recovery; absence of a record is not evidence that none was given."),"")&amp;IF(AND(DT56=1,DV56&gt;0)," | Intervention recorded without a date, so whether it came before recovery is unknown: "&amp;INDEX(nMS_Milestone_ID,MATCH(1,INDEX((nMS_CaseKey=AX56)*(nMS_Type="INTERVENTION")*nMS_Undated,0),0))&amp;IF(DV56&gt;1," and "&amp;(DV56-1)&amp;" more","")&amp;".","")&amp;IF(AND(DT56=1,EP56&gt;0)," | Not counted as interventions, because they are recorded as exposures rather than as intervention milestones (nothing is inferred): "&amp;FB56&amp;". If treatment was given, record it as an intervention milestone.",""),4,9999))</f>
        <v/>
      </c>
      <c r="AT56" s="21" t="str">
        <f t="shared" si="80"/>
        <v>The interval describes the sequence and spacing of recorded times; it is not evidence of causation.</v>
      </c>
      <c r="AU56" s="21" t="str">
        <f t="shared" si="81"/>
        <v/>
      </c>
      <c r="AV56" s="21" t="str">
        <f t="shared" si="82"/>
        <v>CALC-SPEC 1.1</v>
      </c>
      <c r="AW56" s="22">
        <f t="shared" si="83"/>
        <v>0</v>
      </c>
      <c r="AX56" s="21" t="str">
        <f t="shared" si="84"/>
        <v>EX-C01|2</v>
      </c>
      <c r="AY56" s="21" t="str">
        <f t="shared" si="85"/>
        <v>EX-C01|2|I11</v>
      </c>
      <c r="AZ56" s="22">
        <f>IF(AY56="",0,COUNTIF(nINT_Key,AY56))</f>
        <v>1</v>
      </c>
      <c r="BA56" s="22">
        <f>IF(D56="",0,IFERROR(MATCH(AX56&amp;"|"&amp;D56,nLNK_Key,0),0))</f>
        <v>22</v>
      </c>
      <c r="BB56" s="22">
        <f>IF(BA56=0,1,INDEX(nLNK_Exp_Found,BA56))</f>
        <v>1</v>
      </c>
      <c r="BC56" s="22">
        <f>IF(BA56=0,1,INDEX(nLNK_Evt_Found,BA56))</f>
        <v>1</v>
      </c>
      <c r="BD56" s="22">
        <f>IF(AP56="",0,COUNTIF(nEXP_Key,AX56&amp;"|"&amp;AP56))</f>
        <v>1</v>
      </c>
      <c r="BE56" s="22">
        <f>IF(AQ56="",0,COUNTIF(nEVT_Key,AX56&amp;"|"&amp;AQ56))</f>
        <v>1</v>
      </c>
      <c r="BF56" s="22">
        <f>IF(ISNA(MATCH(E56,nLIST_AnchorType,0)),0,1)</f>
        <v>1</v>
      </c>
      <c r="BG56" s="22">
        <f t="shared" si="86"/>
        <v>0</v>
      </c>
      <c r="BH56" s="22">
        <f t="shared" si="87"/>
        <v>0</v>
      </c>
      <c r="BI56" s="22">
        <f>IF(OR(AW56=1,AK56=""),0,IFERROR(MATCH(AX56&amp;"|"&amp;AK56,nTP_Key,0),0))</f>
        <v>427</v>
      </c>
      <c r="BJ56" s="21">
        <f>IF(BI56=0,0,INDEX(nTP_Dup,BI56))</f>
        <v>1</v>
      </c>
      <c r="BK56" s="21" t="str">
        <f>IF(BI56=0,"",INDEX(nTP_Record_Type,BI56))</f>
        <v>MILESTONE:RECOVERY</v>
      </c>
      <c r="BL56" s="21" t="str">
        <f>IF(BI56=0,"",INDEX(nTP_Precision,BI56))</f>
        <v>TIMESTAMP</v>
      </c>
      <c r="BM56" s="21" t="str">
        <f>IF(BI56=0,"",INDEX(nTP_Err,BI56))</f>
        <v/>
      </c>
      <c r="BN56" s="21">
        <f>IF(BI56=0,0,INDEX(nTP_HT,BI56))</f>
        <v>1</v>
      </c>
      <c r="BO56" s="21">
        <f>IF(BI56=0,0,INDEX(nTP_OK,BI56))</f>
        <v>1</v>
      </c>
      <c r="BP56" s="21">
        <f>IF(BI56=0,"",INDEX(nTP_Loc,BI56))</f>
        <v>66286655</v>
      </c>
      <c r="BQ56" s="21">
        <f>IF(BI56=0,"",INDEX(nTP_UTC,BI56))</f>
        <v>66286955</v>
      </c>
      <c r="BR56" s="21">
        <f>IF(BI56=0,"",INDEX(nTP_Lo,BI56))</f>
        <v>46032</v>
      </c>
      <c r="BS56" s="21">
        <f>IF(BI56=0,"",INDEX(nTP_Hi,BI56))</f>
        <v>46032</v>
      </c>
      <c r="BT56" s="21" t="str">
        <f>IF(BI56=0,"",INDEX(nTP_Original_Text,BI56))</f>
        <v>09:35 wheeze settling, BP 108/70</v>
      </c>
      <c r="BU56" s="21" t="str">
        <f>IF(BI56=0,"",INDEX(nTP_Source,BI56))</f>
        <v>Nursing chart</v>
      </c>
      <c r="BV56" s="21" t="str">
        <f>IF(BI56=0,"",INDEX(nTP_Lab_Note,BI56))</f>
        <v/>
      </c>
      <c r="BW56" s="22">
        <f t="shared" si="88"/>
        <v>1</v>
      </c>
      <c r="BX56" s="21" t="str">
        <f t="shared" si="89"/>
        <v>EX-C01|2|EX-A</v>
      </c>
      <c r="BY56" s="22">
        <f>IF(BG56=0,0,COUNTIF(nTP_CandKey,BX56))</f>
        <v>0</v>
      </c>
      <c r="BZ56" s="22">
        <f>IF(BG56=0,0,COUNTIFS(nTP_CandKey,BX56,nTP_Err,""))</f>
        <v>0</v>
      </c>
      <c r="CA56" s="21" t="str">
        <f>IF(BY56=BZ56,"",IF(COUNTIFS(nTP_CandKey,BX56,nTP_Err,"E_INVALID_DATE")&gt;0,"; E_INVALID_DATE","")&amp;IF(COUNTIFS(nTP_CandKey,BX56,nTP_Err,"E_REVERSED_BOUNDS")&gt;0,"; E_REVERSED_BOUNDS","")&amp;IF(COUNTIFS(nTP_CandKey,BX56,nTP_Err,"E_MISSING_INPUT")&gt;0,"; E_MISSING_INPUT","")&amp;IF(COUNTIFS(nTP_CandKey,BX56,nTP_Err,"E_INVALID_UNIT")&gt;0,"; E_INVALID_UNIT",""))</f>
        <v/>
      </c>
      <c r="CB56" s="22">
        <f t="shared" si="90"/>
        <v>0</v>
      </c>
      <c r="CC56" s="22">
        <f>IF(CB56=0,0,SUMPRODUCT((nTP_CandKey=BX56)*(nTP_Err="")*(1-(nTP_HT*BN56*((nTP_OK*BO56*(nTP_UTC_n-N(BQ56))+(1-nTP_OK*BO56)*(nTP_Loc_n-N(BP56)))&lt;=0)+(1-nTP_HT*BN56)*(nTP_Hi_n&lt;N(BR56)))-(nTP_HT*BN56*((nTP_OK*BO56*(nTP_UTC_n-N(BQ56))+(1-nTP_OK*BO56)*(nTP_Loc_n-N(BP56)))&gt;0)+(1-nTP_HT*BN56)*(nTP_Lo_n&gt;N(BS56)))-((1-nTP_HT*BN56)*(nTP_Lo_n=nTP_Hi_n)*(nTP_Lo_n=N(BR56))*(N(BR56)=N(BS56))))))</f>
        <v>0</v>
      </c>
      <c r="CD56" s="22">
        <f>IF(CB56=0,0,SUMPRODUCT((nTP_CandKey=BX56)*nTP_Exact*((nTP_HT*BN56*((nTP_OK*BO56*(nTP_UTC_n-N(BQ56))+(1-nTP_OK*BO56)*(nTP_Loc_n-N(BP56)))&lt;=0)+(1-nTP_HT*BN56)*(nTP_Hi_n&lt;N(BR56)))+((1-nTP_HT*BN56)*(nTP_Lo_n=nTP_Hi_n)*(nTP_Lo_n=N(BR56))*(N(BR56)=N(BS56))))))</f>
        <v>0</v>
      </c>
      <c r="CE56" s="22">
        <f>IF(CB56=0,0,SUMPRODUCT((nTP_CandKey=BX56)*(nTP_Err="")*(1-nTP_Exact)*((nTP_HT*BN56*((nTP_OK*BO56*(nTP_UTC_n-N(BQ56))+(1-nTP_OK*BO56)*(nTP_Loc_n-N(BP56)))&lt;=0)+(1-nTP_HT*BN56)*(nTP_Hi_n&lt;N(BR56)))+((1-nTP_HT*BN56)*(nTP_Lo_n=nTP_Hi_n)*(nTP_Lo_n=N(BR56))*(N(BR56)=N(BS56))))))</f>
        <v>0</v>
      </c>
      <c r="CF56" s="22">
        <f>IF(CD56=0,0,SUMPRODUCT(MAX((nTP_CandKey=BX56)*nTP_Exact*((nTP_HT*BN56*((nTP_OK*BO56*(nTP_UTC_n-N(BQ56))+(1-nTP_OK*BO56)*(nTP_Loc_n-N(BP56)))&lt;=0)+(1-nTP_HT*BN56)*(nTP_Hi_n&lt;N(BR56)))+((1-nTP_HT*BN56)*(nTP_Lo_n=nTP_Hi_n)*(nTP_Lo_n=N(BR56))*(N(BR56)=N(BS56))))*nTP_Lo_n)))</f>
        <v>0</v>
      </c>
      <c r="CG56" s="22">
        <f>IF(CD56=0,0,SUMPRODUCT((nTP_CandKey=BX56)*nTP_Exact*((nTP_HT*BN56*((nTP_OK*BO56*(nTP_UTC_n-N(BQ56))+(1-nTP_OK*BO56)*(nTP_Loc_n-N(BP56)))&lt;=0)+(1-nTP_HT*BN56)*(nTP_Hi_n&lt;N(BR56)))+((1-nTP_HT*BN56)*(nTP_Lo_n=nTP_Hi_n)*(nTP_Lo_n=N(BR56))*(N(BR56)=N(BS56))))*(nTP_Lo_n=CF56)))</f>
        <v>0</v>
      </c>
      <c r="CH56" s="22">
        <f>IF(CD56=0,0,SUMPRODUCT((nTP_CandKey=BX56)*nTP_Exact*((nTP_HT*BN56*((nTP_OK*BO56*(nTP_UTC_n-N(BQ56))+(1-nTP_OK*BO56)*(nTP_Loc_n-N(BP56)))&lt;=0)+(1-nTP_HT*BN56)*(nTP_Hi_n&lt;N(BR56)))+((1-nTP_HT*BN56)*(nTP_Lo_n=nTP_Hi_n)*(nTP_Lo_n=N(BR56))*(N(BR56)=N(BS56))))*(1-nTP_HT)*(nTP_Lo_n=CF56)))</f>
        <v>0</v>
      </c>
      <c r="CI56" s="22">
        <f>IF(CD56=0,0,SUMPRODUCT(MAX((nTP_CandKey=BX56)*nTP_Exact*((nTP_HT*BN56*((nTP_OK*BO56*(nTP_UTC_n-N(BQ56))+(1-nTP_OK*BO56)*(nTP_Loc_n-N(BP56)))&lt;=0)+(1-nTP_HT*BN56)*(nTP_Hi_n&lt;N(BR56)))+((1-nTP_HT*BN56)*(nTP_Lo_n=nTP_Hi_n)*(nTP_Lo_n=N(BR56))*(N(BR56)=N(BS56))))*(1-nTP_HT)*nTP_Lo_n)))</f>
        <v>0</v>
      </c>
      <c r="CJ56" s="22">
        <f>IF(CD56=0,0,SUMPRODUCT(MAX((nTP_CandKey=BX56)*nTP_Exact*((nTP_HT*BN56*((nTP_OK*BO56*(nTP_UTC_n-N(BQ56))+(1-nTP_OK*BO56)*(nTP_Loc_n-N(BP56)))&lt;=0)+(1-nTP_HT*BN56)*(nTP_Hi_n&lt;N(BR56)))+((1-nTP_HT*BN56)*(nTP_Lo_n=nTP_Hi_n)*(nTP_Lo_n=N(BR56))*(N(BR56)=N(BS56))))*nTP_HT*nTP_OK*nTP_UTC_n)))</f>
        <v>0</v>
      </c>
      <c r="CK56" s="22">
        <f>IF(CJ56=0,0,SUMPRODUCT((nTP_CandKey=BX56)*nTP_Exact*((nTP_HT*BN56*((nTP_OK*BO56*(nTP_UTC_n-N(BQ56))+(1-nTP_OK*BO56)*(nTP_Loc_n-N(BP56)))&lt;=0)+(1-nTP_HT*BN56)*(nTP_Hi_n&lt;N(BR56)))+((1-nTP_HT*BN56)*(nTP_Lo_n=nTP_Hi_n)*(nTP_Lo_n=N(BR56))*(N(BR56)=N(BS56))))*nTP_HT*nTP_OK*(nTP_UTC_n=CJ56)))</f>
        <v>0</v>
      </c>
      <c r="CL56" s="22">
        <f>IF(CK56&lt;&gt;1,0,SUMPRODUCT((nTP_CandKey=BX56)*nTP_Exact*((nTP_HT*BN56*((nTP_OK*BO56*(nTP_UTC_n-N(BQ56))+(1-nTP_OK*BO56)*(nTP_Loc_n-N(BP56)))&lt;=0)+(1-nTP_HT*BN56)*(nTP_Hi_n&lt;N(BR56)))+((1-nTP_HT*BN56)*(nTP_Lo_n=nTP_Hi_n)*(nTP_Lo_n=N(BR56))*(N(BR56)=N(BS56))))*nTP_HT*nTP_OK*(nTP_UTC_n=CJ56)*nTP_Loc_n))</f>
        <v>0</v>
      </c>
      <c r="CM56" s="22">
        <f>IF(CK56&lt;&gt;1,0,SUMPRODUCT((nTP_CandKey=BX56)*nTP_Exact*((nTP_HT*BN56*((nTP_OK*BO56*(nTP_UTC_n-N(BQ56))+(1-nTP_OK*BO56)*(nTP_Loc_n-N(BP56)))&lt;=0)+(1-nTP_HT*BN56)*(nTP_Hi_n&lt;N(BR56)))+((1-nTP_HT*BN56)*(nTP_Lo_n=nTP_Hi_n)*(nTP_Lo_n=N(BR56))*(N(BR56)=N(BS56))))*nTP_HT*nTP_OK*(nTP_UTC_n=CJ56)*nTP_Lo_n))</f>
        <v>0</v>
      </c>
      <c r="CN56" s="22">
        <f>IF(CD56=0,0,SUMPRODUCT(MAX((nTP_CandKey=BX56)*nTP_Exact*((nTP_HT*BN56*((nTP_OK*BO56*(nTP_UTC_n-N(BQ56))+(1-nTP_OK*BO56)*(nTP_Loc_n-N(BP56)))&lt;=0)+(1-nTP_HT*BN56)*(nTP_Hi_n&lt;N(BR56)))+((1-nTP_HT*BN56)*(nTP_Lo_n=nTP_Hi_n)*(nTP_Lo_n=N(BR56))*(N(BR56)=N(BS56))))*nTP_HT*(1-nTP_OK)*nTP_Loc_n)))</f>
        <v>0</v>
      </c>
      <c r="CO56" s="22">
        <f>IF(CN56=0,0,SUMPRODUCT((nTP_CandKey=BX56)*nTP_Exact*((nTP_HT*BN56*((nTP_OK*BO56*(nTP_UTC_n-N(BQ56))+(1-nTP_OK*BO56)*(nTP_Loc_n-N(BP56)))&lt;=0)+(1-nTP_HT*BN56)*(nTP_Hi_n&lt;N(BR56)))+((1-nTP_HT*BN56)*(nTP_Lo_n=nTP_Hi_n)*(nTP_Lo_n=N(BR56))*(N(BR56)=N(BS56))))*nTP_HT*(1-nTP_OK)*(nTP_Loc_n=CN56)))</f>
        <v>0</v>
      </c>
      <c r="CP56" s="22">
        <f>IF(CO56&lt;&gt;1,0,SUMPRODUCT((nTP_CandKey=BX56)*nTP_Exact*((nTP_HT*BN56*((nTP_OK*BO56*(nTP_UTC_n-N(BQ56))+(1-nTP_OK*BO56)*(nTP_Loc_n-N(BP56)))&lt;=0)+(1-nTP_HT*BN56)*(nTP_Hi_n&lt;N(BR56)))+((1-nTP_HT*BN56)*(nTP_Lo_n=nTP_Hi_n)*(nTP_Lo_n=N(BR56))*(N(BR56)=N(BS56))))*nTP_HT*(1-nTP_OK)*(nTP_Loc_n=CN56)*nTP_Lo_n))</f>
        <v>0</v>
      </c>
      <c r="CQ56" s="22">
        <f>IF(CD56=0,0,SUMPRODUCT(MAX((nTP_CandKey=BX56)*nTP_Exact*((nTP_HT*BN56*((nTP_OK*BO56*(nTP_UTC_n-N(BQ56))+(1-nTP_OK*BO56)*(nTP_Loc_n-N(BP56)))&lt;=0)+(1-nTP_HT*BN56)*(nTP_Hi_n&lt;N(BR56)))+((1-nTP_HT*BN56)*(nTP_Lo_n=nTP_Hi_n)*(nTP_Lo_n=N(BR56))*(N(BR56)=N(BS56))))*nTP_HT*nTP_OK*nTP_Loc_n)))</f>
        <v>0</v>
      </c>
      <c r="CR56" s="22">
        <f t="shared" si="91"/>
        <v>0</v>
      </c>
      <c r="CS56" s="22">
        <f>IF(CR56=0,0,IF(CR56=1,MATCH(1,INDEX((nTP_CandKey=BX56)*nTP_Exact*((nTP_HT*BN56*((nTP_OK*BO56*(nTP_UTC_n-N(BQ56))+(1-nTP_OK*BO56)*(nTP_Loc_n-N(BP56)))&lt;=0)+(1-nTP_HT*BN56)*(nTP_Hi_n&lt;N(BR56)))+((1-nTP_HT*BN56)*(nTP_Lo_n=nTP_Hi_n)*(nTP_Lo_n=N(BR56))*(N(BR56)=N(BS56))))*(1-nTP_HT)*(nTP_Lo_n=CF56),0),0),IF(CR56=2,MATCH(1,INDEX((nTP_CandKey=BX56)*nTP_Exact*((nTP_HT*BN56*((nTP_OK*BO56*(nTP_UTC_n-N(BQ56))+(1-nTP_OK*BO56)*(nTP_Loc_n-N(BP56)))&lt;=0)+(1-nTP_HT*BN56)*(nTP_Hi_n&lt;N(BR56)))+((1-nTP_HT*BN56)*(nTP_Lo_n=nTP_Hi_n)*(nTP_Lo_n=N(BR56))*(N(BR56)=N(BS56))))*nTP_HT*nTP_OK*(nTP_UTC_n=CJ56),0),0),MATCH(1,INDEX((nTP_CandKey=BX56)*nTP_Exact*((nTP_HT*BN56*((nTP_OK*BO56*(nTP_UTC_n-N(BQ56))+(1-nTP_OK*BO56)*(nTP_Loc_n-N(BP56)))&lt;=0)+(1-nTP_HT*BN56)*(nTP_Hi_n&lt;N(BR56)))+((1-nTP_HT*BN56)*(nTP_Lo_n=nTP_Hi_n)*(nTP_Lo_n=N(BR56))*(N(BR56)=N(BS56))))*nTP_HT*(1-nTP_OK)*(nTP_Loc_n=CN56),0),0))))</f>
        <v>0</v>
      </c>
      <c r="CT56" s="22">
        <f>IF(CS56=0,0,INDEX(nTP_Lo_n,CS56))</f>
        <v>0</v>
      </c>
      <c r="CU56" s="22">
        <f>IF(CS56=0,0,SUMPRODUCT((nTP_CandKey=BX56)*(nTP_Err="")*(1-nTP_Exact)*((nTP_HT*BN56*((nTP_OK*BO56*(nTP_UTC_n-N(BQ56))+(1-nTP_OK*BO56)*(nTP_Loc_n-N(BP56)))&lt;=0)+(1-nTP_HT*BN56)*(nTP_Hi_n&lt;N(BR56)))+((1-nTP_HT*BN56)*(nTP_Lo_n=nTP_Hi_n)*(nTP_Lo_n=N(BR56))*(N(BR56)=N(BS56))))*(nTP_Hi_n&gt;=CT56)))</f>
        <v>0</v>
      </c>
      <c r="CV56" s="21" t="str">
        <f t="shared" si="92"/>
        <v/>
      </c>
      <c r="CW56" s="21" t="str">
        <f>IF(AND(BG56=1,CB56=1,CV56="",CS56&gt;0),INDEX(nTP_Record_ID,CS56)&amp;"","")</f>
        <v/>
      </c>
      <c r="CX56" s="21" t="str">
        <f>IF(OR(CV56="",BG56=0),"",IF(CV56="none","an administration record (last dose before onset)",IF(CV56="uncertain","the anchor record: "&amp;INDEX(nTP_Record_ID,MATCH(1,INDEX((nTP_CandKey=BX56)*(nTP_Err="")*(1-(nTP_HT*BN56*((nTP_OK*BO56*(nTP_UTC_n-N(BQ56))+(1-nTP_OK*BO56)*(nTP_Loc_n-N(BP56)))&lt;=0)+(1-nTP_HT*BN56)*(nTP_Hi_n&lt;N(BR56)))-(nTP_HT*BN56*((nTP_OK*BO56*(nTP_UTC_n-N(BQ56))+(1-nTP_OK*BO56)*(nTP_Loc_n-N(BP56)))&gt;0)+(1-nTP_HT*BN56)*(nTP_Lo_n&gt;N(BS56)))-((1-nTP_HT*BN56)*(nTP_Lo_n=nTP_Hi_n)*(nTP_Lo_n=N(BR56))*(N(BR56)=N(BS56)))),0),0))&amp;IF(CC56&gt;1," and "&amp;(CC56-1)&amp;" more","")&amp;" may fall before or after the end point, so the last dose cannot be identified from the recorded dates",IF(CV56="noneligible","the anchor record: no administration with an exact date is recorded at or before the end point",IF(CV56="tie","the anchor record: the order of the latest administrations cannot be told from the recorded dates and times","the anchor record: partial-date administration "&amp;INDEX(nTP_Record_ID,MATCH(1,INDEX((nTP_CandKey=BX56)*(nTP_Err="")*(1-nTP_Exact)*((nTP_HT*BN56*((nTP_OK*BO56*(nTP_UTC_n-N(BQ56))+(1-nTP_OK*BO56)*(nTP_Loc_n-N(BP56)))&lt;=0)+(1-nTP_HT*BN56)*(nTP_Hi_n&lt;N(BR56)))+((1-nTP_HT*BN56)*(nTP_Lo_n=nTP_Hi_n)*(nTP_Lo_n=N(BR56))*(N(BR56)=N(BS56))))*(nTP_Hi_n&gt;=CT56),0),0))&amp;" could be the last dose before the end point")))))</f>
        <v/>
      </c>
      <c r="CY56" s="22">
        <f>IF(OR(AW56=1,AJ56=""),0,IFERROR(MATCH(AX56&amp;"|"&amp;AJ56,nTP_Key,0),0))</f>
        <v>426</v>
      </c>
      <c r="CZ56" s="21">
        <f>IF(CY56=0,0,INDEX(nTP_Dup,CY56))</f>
        <v>1</v>
      </c>
      <c r="DA56" s="21" t="str">
        <f>IF(CY56=0,"",INDEX(nTP_Record_Type,CY56))</f>
        <v>MILESTONE:INTERVENTION</v>
      </c>
      <c r="DB56" s="21" t="str">
        <f>IF(CY56=0,"",INDEX(nTP_Precision,CY56))</f>
        <v>TIMESTAMP</v>
      </c>
      <c r="DC56" s="21" t="str">
        <f>IF(CY56=0,"",INDEX(nTP_Err,CY56))</f>
        <v/>
      </c>
      <c r="DD56" s="21">
        <f>IF(CY56=0,0,INDEX(nTP_HT,CY56))</f>
        <v>1</v>
      </c>
      <c r="DE56" s="21">
        <f>IF(CY56=0,0,INDEX(nTP_OK,CY56))</f>
        <v>1</v>
      </c>
      <c r="DF56" s="21">
        <f>IF(CY56=0,"",INDEX(nTP_Loc,CY56))</f>
        <v>66286638</v>
      </c>
      <c r="DG56" s="21">
        <f>IF(CY56=0,"",INDEX(nTP_UTC,CY56))</f>
        <v>66286938</v>
      </c>
      <c r="DH56" s="21">
        <f>IF(CY56=0,"",INDEX(nTP_Lo,CY56))</f>
        <v>46032</v>
      </c>
      <c r="DI56" s="21">
        <f>IF(CY56=0,"",INDEX(nTP_Hi,CY56))</f>
        <v>46032</v>
      </c>
      <c r="DJ56" s="21" t="str">
        <f>IF(CY56=0,"",INDEX(nTP_Original_Text,CY56))</f>
        <v>Emergency medicines administered from 09:18</v>
      </c>
      <c r="DK56" s="21" t="str">
        <f>IF(CY56=0,"",INDEX(nTP_Source,CY56))</f>
        <v>Medication administration record</v>
      </c>
      <c r="DL56" s="22">
        <f t="shared" si="93"/>
        <v>1</v>
      </c>
      <c r="DM56" s="21" t="str">
        <f t="shared" si="94"/>
        <v/>
      </c>
      <c r="DN56" s="21" t="str">
        <f t="shared" si="95"/>
        <v/>
      </c>
      <c r="DO56" s="21" t="str">
        <f t="shared" si="96"/>
        <v/>
      </c>
      <c r="DP56" s="21" t="str">
        <f t="shared" si="97"/>
        <v/>
      </c>
      <c r="DQ56" s="21" t="str">
        <f t="shared" si="98"/>
        <v>C1</v>
      </c>
      <c r="DR56" s="22">
        <f>IF(OR(DQ56="",I56=""),0,IF(ISNA(MATCH(I56,nLIST_Mode,0)),1,IF(AND(I56="C1",DQ56&lt;&gt;"C1"),1,IF(AND(I56="C2",DQ56="C4"),1,0))))</f>
        <v>0</v>
      </c>
      <c r="DS56" s="21" t="str">
        <f t="shared" si="99"/>
        <v>C1</v>
      </c>
      <c r="DT56" s="22">
        <f t="shared" si="100"/>
        <v>0</v>
      </c>
      <c r="DU56" s="21" t="str">
        <f>IF(DT56=0,"",IF(COUNTIFS(nTP_Case_Key,AX56,nTP_Record_Type,"MILESTONE:INTERVENTION",nTP_Err,"E_INVALID_DATE")&gt;0,"; E_INVALID_DATE","")&amp;IF(COUNTIFS(nTP_Case_Key,AX56,nTP_Record_Type,"MILESTONE:INTERVENTION",nTP_Err,"E_REVERSED_BOUNDS")&gt;0,"; E_REVERSED_BOUNDS","")&amp;IF(COUNTIFS(nTP_Case_Key,AX56,nTP_Record_Type,"MILESTONE:INTERVENTION",nTP_Err,"E_MISSING_INPUT")&gt;0,"; E_MISSING_INPUT","")&amp;IF(COUNTIFS(nTP_Case_Key,AX56,nTP_Record_Type,"MILESTONE:INTERVENTION",nTP_Err,"E_INVALID_UNIT")&gt;0,"; E_INVALID_UNIT",""))</f>
        <v/>
      </c>
      <c r="DV56" s="22">
        <f>IF(DT56=0,0,SUMPRODUCT((nMS_CaseKey=AX56)*(nMS_Type="INTERVENTION")*nMS_Undated))</f>
        <v>0</v>
      </c>
      <c r="DW56" s="21" t="str">
        <f t="shared" si="101"/>
        <v/>
      </c>
      <c r="DX56" s="21" t="str">
        <f t="shared" si="102"/>
        <v/>
      </c>
      <c r="DY56" s="22">
        <f t="shared" si="103"/>
        <v>0</v>
      </c>
      <c r="DZ56" s="21">
        <f t="shared" si="104"/>
        <v>17</v>
      </c>
      <c r="EA56" s="21" t="str">
        <f t="shared" si="105"/>
        <v/>
      </c>
      <c r="EB56" s="21" t="str">
        <f t="shared" si="106"/>
        <v/>
      </c>
      <c r="EC56" s="21" t="str">
        <f t="shared" si="107"/>
        <v/>
      </c>
      <c r="ED56" s="22">
        <f t="shared" si="108"/>
        <v>0</v>
      </c>
      <c r="EE56" s="22">
        <f t="shared" si="109"/>
        <v>0</v>
      </c>
      <c r="EF56" s="21" t="str">
        <f>IF(ED56=0,"",IF(OR(NOT(ISNUMBER(L56)),NOT(ISNUMBER(M56))),"I_APPROXIMATE_NOT_COMPARED",IF(AND(N56&lt;&gt;"",ISNA(MATCH(N56,nLIST_ReportedUnit,0))),"E_INVALID_UNIT",IF(N56="","E_MISSING_INPUT",IF(L56&gt;M56,"E_REVERSED_BOUNDS",IF(OR(N56="weeks",N56="months",N56="years"),"I_APPROXIMATE_NOT_COMPARED",IF(DX56&lt;&gt;"","",IF(EE56=0,"I_APPROXIMATE_NOT_COMPARED",IF(AND(L56*EE56&lt;=IF(DS56="C4",EC56,IF(DS56="C1",DZ56,EA56)),M56*EE56&gt;=IF(DS56="C4",EB56,IF(DS56="C1",DZ56,EA56))),"OVERLAP","W_REPORTED_TIMING_CONFLICT")))))))))</f>
        <v/>
      </c>
      <c r="EG56" s="21" t="str">
        <f t="shared" si="110"/>
        <v/>
      </c>
      <c r="EH56" s="21" t="str">
        <f t="shared" si="111"/>
        <v/>
      </c>
      <c r="EI56" s="22">
        <f t="shared" si="112"/>
        <v>1</v>
      </c>
      <c r="EJ56" s="22">
        <f t="shared" si="113"/>
        <v>0</v>
      </c>
      <c r="EK56" s="22">
        <f t="shared" si="114"/>
        <v>0</v>
      </c>
      <c r="EL56" s="28" t="str">
        <f t="shared" si="115"/>
        <v/>
      </c>
      <c r="EM56" s="28" t="str">
        <f t="shared" si="116"/>
        <v/>
      </c>
      <c r="EN56" s="21" t="str">
        <f t="shared" si="117"/>
        <v/>
      </c>
      <c r="EO56" s="22">
        <f>IF(OR(DT56=0,DX56&lt;&gt;""),0,SUMPRODUCT((nTP_Case_Key=AX56)*(nTP_Record_Type="MILESTONE:INTERVENTION")*(nTP_Err="")*(nTP_HT*DD56*BN56*(nTP_OK*DE56*(nTP_UTC_n&gt;=N(DG56))+(1-nTP_OK*DE56)*(nTP_Loc_n&gt;=N(DF56)))*(nTP_OK*BO56*(nTP_UTC_n&lt;=N(BQ56))+(1-nTP_OK*BO56)*(nTP_Loc_n&lt;=N(BP56)))+(1-nTP_HT*DD56*BN56)*(nTP_Hi_n&gt;=N(DH56))*(nTP_Lo_n&lt;=N(BS56)))))</f>
        <v>0</v>
      </c>
      <c r="EP56" s="22">
        <f>IF(OR(DT56=0,DX56&lt;&gt;""),0,SUMPRODUCT((nTP_Case_Key=AX56)*(nTP_Role="treatment of the event")*((nTP_Record_Type="EXPOSURE_START")+(nTP_Record_Type="ADMINISTRATION"))*(nTP_Err="")*(nTP_HT*DD56*BN56*(nTP_OK*DE56*(nTP_UTC_n&gt;=N(DG56))+(1-nTP_OK*DE56)*(nTP_Loc_n&gt;=N(DF56)))*(nTP_OK*BO56*(nTP_UTC_n&lt;=N(BQ56))+(1-nTP_OK*BO56)*(nTP_Loc_n&lt;=N(BP56)))+(1-nTP_HT*DD56*BN56)*(nTP_Hi_n&gt;=N(DH56))*(nTP_Lo_n&lt;=N(BS56)))))</f>
        <v>0</v>
      </c>
      <c r="EQ56" s="22">
        <f>IF(EO56&lt;1,0,IFERROR(_xlfn.AGGREGATE(15,6,nTP_RowN/((nTP_Case_Key=AX56)*(nTP_Record_Type="MILESTONE:INTERVENTION")*(nTP_Err="")*(nTP_HT*DD56*BN56*(nTP_OK*DE56*(nTP_UTC_n&gt;=N(DG56))+(1-nTP_OK*DE56)*(nTP_Loc_n&gt;=N(DF56)))*(nTP_OK*BO56*(nTP_UTC_n&lt;=N(BQ56))+(1-nTP_OK*BO56)*(nTP_Loc_n&lt;=N(BP56)))+(1-nTP_HT*DD56*BN56)*(nTP_Hi_n&gt;=N(DH56))*(nTP_Lo_n&lt;=N(BS56)))),1),0))</f>
        <v>0</v>
      </c>
      <c r="ER56" s="22">
        <f>IF(EO56&lt;2,0,IFERROR(_xlfn.AGGREGATE(15,6,nTP_RowN/((nTP_Case_Key=AX56)*(nTP_Record_Type="MILESTONE:INTERVENTION")*(nTP_Err="")*(nTP_HT*DD56*BN56*(nTP_OK*DE56*(nTP_UTC_n&gt;=N(DG56))+(1-nTP_OK*DE56)*(nTP_Loc_n&gt;=N(DF56)))*(nTP_OK*BO56*(nTP_UTC_n&lt;=N(BQ56))+(1-nTP_OK*BO56)*(nTP_Loc_n&lt;=N(BP56)))+(1-nTP_HT*DD56*BN56)*(nTP_Hi_n&gt;=N(DH56))*(nTP_Lo_n&lt;=N(BS56)))),2),0))</f>
        <v>0</v>
      </c>
      <c r="ES56" s="22">
        <f>IF(EO56&lt;3,0,IFERROR(_xlfn.AGGREGATE(15,6,nTP_RowN/((nTP_Case_Key=AX56)*(nTP_Record_Type="MILESTONE:INTERVENTION")*(nTP_Err="")*(nTP_HT*DD56*BN56*(nTP_OK*DE56*(nTP_UTC_n&gt;=N(DG56))+(1-nTP_OK*DE56)*(nTP_Loc_n&gt;=N(DF56)))*(nTP_OK*BO56*(nTP_UTC_n&lt;=N(BQ56))+(1-nTP_OK*BO56)*(nTP_Loc_n&lt;=N(BP56)))+(1-nTP_HT*DD56*BN56)*(nTP_Hi_n&gt;=N(DH56))*(nTP_Lo_n&lt;=N(BS56)))),3),0))</f>
        <v>0</v>
      </c>
      <c r="ET56" s="22">
        <f>IF(EP56&lt;1,0,IFERROR(_xlfn.AGGREGATE(15,6,nTP_RowN/((nTP_Case_Key=AX56)*(nTP_Role="treatment of the event")*((nTP_Record_Type="EXPOSURE_START")+(nTP_Record_Type="ADMINISTRATION"))*(nTP_Err="")*(nTP_HT*DD56*BN56*(nTP_OK*DE56*(nTP_UTC_n&gt;=N(DG56))+(1-nTP_OK*DE56)*(nTP_Loc_n&gt;=N(DF56)))*(nTP_OK*BO56*(nTP_UTC_n&lt;=N(BQ56))+(1-nTP_OK*BO56)*(nTP_Loc_n&lt;=N(BP56)))+(1-nTP_HT*DD56*BN56)*(nTP_Hi_n&gt;=N(DH56))*(nTP_Lo_n&lt;=N(BS56)))),1),0))</f>
        <v>0</v>
      </c>
      <c r="EU56" s="22">
        <f>IF(EP56&lt;2,0,IFERROR(_xlfn.AGGREGATE(15,6,nTP_RowN/((nTP_Case_Key=AX56)*(nTP_Role="treatment of the event")*((nTP_Record_Type="EXPOSURE_START")+(nTP_Record_Type="ADMINISTRATION"))*(nTP_Err="")*(nTP_HT*DD56*BN56*(nTP_OK*DE56*(nTP_UTC_n&gt;=N(DG56))+(1-nTP_OK*DE56)*(nTP_Loc_n&gt;=N(DF56)))*(nTP_OK*BO56*(nTP_UTC_n&lt;=N(BQ56))+(1-nTP_OK*BO56)*(nTP_Loc_n&lt;=N(BP56)))+(1-nTP_HT*DD56*BN56)*(nTP_Hi_n&gt;=N(DH56))*(nTP_Lo_n&lt;=N(BS56)))),2),0))</f>
        <v>0</v>
      </c>
      <c r="EV56" s="22">
        <f>IF(EP56&lt;3,0,IFERROR(_xlfn.AGGREGATE(15,6,nTP_RowN/((nTP_Case_Key=AX56)*(nTP_Role="treatment of the event")*((nTP_Record_Type="EXPOSURE_START")+(nTP_Record_Type="ADMINISTRATION"))*(nTP_Err="")*(nTP_HT*DD56*BN56*(nTP_OK*DE56*(nTP_UTC_n&gt;=N(DG56))+(1-nTP_OK*DE56)*(nTP_Loc_n&gt;=N(DF56)))*(nTP_OK*BO56*(nTP_UTC_n&lt;=N(BQ56))+(1-nTP_OK*BO56)*(nTP_Loc_n&lt;=N(BP56)))+(1-nTP_HT*DD56*BN56)*(nTP_Hi_n&gt;=N(DH56))*(nTP_Lo_n&lt;=N(BS56)))),3),0))</f>
        <v>0</v>
      </c>
      <c r="EW56" s="22">
        <f>IF(CE56&lt;1,0,IFERROR(_xlfn.AGGREGATE(15,6,nTP_RowN/((nTP_CandKey=BX56)*(nTP_Err="")*(1-nTP_Exact)*((nTP_HT*BN56*((nTP_OK*BO56*(nTP_UTC_n-N(BQ56))+(1-nTP_OK*BO56)*(nTP_Loc_n-N(BP56)))&lt;=0)+(1-nTP_HT*BN56)*(nTP_Hi_n&lt;N(BR56)))+((1-nTP_HT*BN56)*(nTP_Lo_n=nTP_Hi_n)*(nTP_Lo_n=N(BR56))*(N(BR56)=N(BS56))))),1),0))</f>
        <v>0</v>
      </c>
      <c r="EX56" s="22">
        <f>IF(CE56&lt;2,0,IFERROR(_xlfn.AGGREGATE(15,6,nTP_RowN/((nTP_CandKey=BX56)*(nTP_Err="")*(1-nTP_Exact)*((nTP_HT*BN56*((nTP_OK*BO56*(nTP_UTC_n-N(BQ56))+(1-nTP_OK*BO56)*(nTP_Loc_n-N(BP56)))&lt;=0)+(1-nTP_HT*BN56)*(nTP_Hi_n&lt;N(BR56)))+((1-nTP_HT*BN56)*(nTP_Lo_n=nTP_Hi_n)*(nTP_Lo_n=N(BR56))*(N(BR56)=N(BS56))))),2),0))</f>
        <v>0</v>
      </c>
      <c r="EY56" s="22">
        <f>IF(CE56&lt;3,0,IFERROR(_xlfn.AGGREGATE(15,6,nTP_RowN/((nTP_CandKey=BX56)*(nTP_Err="")*(1-nTP_Exact)*((nTP_HT*BN56*((nTP_OK*BO56*(nTP_UTC_n-N(BQ56))+(1-nTP_OK*BO56)*(nTP_Loc_n-N(BP56)))&lt;=0)+(1-nTP_HT*BN56)*(nTP_Hi_n&lt;N(BR56)))+((1-nTP_HT*BN56)*(nTP_Lo_n=nTP_Hi_n)*(nTP_Lo_n=N(BR56))*(N(BR56)=N(BS56))))),3),0))</f>
        <v>0</v>
      </c>
      <c r="EZ56" s="21" t="str">
        <f>IF(EO56=0,"",MID(IF(EQ56&gt;0,"; "&amp;INDEX(nTP_Record_ID,EQ56)&amp;IF(INDEX(nTP_Label,EQ56)="",""," ("&amp;INDEX(nTP_Label,EQ56)&amp;")"),"")&amp;IF(ER56&gt;0,"; "&amp;INDEX(nTP_Record_ID,ER56)&amp;IF(INDEX(nTP_Label,ER56)="",""," ("&amp;INDEX(nTP_Label,ER56)&amp;")"),"")&amp;IF(ES56&gt;0,"; "&amp;INDEX(nTP_Record_ID,ES56)&amp;IF(INDEX(nTP_Label,ES56)="",""," ("&amp;INDEX(nTP_Label,ES56)&amp;")"),"")&amp;IF(EO56&gt;3,"; and "&amp;(EO56-3)&amp;" more",""),3,999))</f>
        <v/>
      </c>
      <c r="FA56" s="21" t="str">
        <f>IF(EO56=0,"",MID(IF(EQ56&gt;0,"; "&amp;INDEX(nTP_Record_ID,EQ56),"")&amp;IF(ER56&gt;0,"; "&amp;INDEX(nTP_Record_ID,ER56),"")&amp;IF(ES56&gt;0,"; "&amp;INDEX(nTP_Record_ID,ES56),"")&amp;IF(EO56&gt;3,"; and "&amp;(EO56-3)&amp;" more",""),3,999))</f>
        <v/>
      </c>
      <c r="FB56" s="21" t="str">
        <f>IF(EP56=0,"",MID(IF(ET56&gt;0,"; "&amp;INDEX(nTP_Record_ID,ET56)&amp;IF(INDEX(nTP_Label,ET56)="",""," ("&amp;INDEX(nTP_Label,ET56)&amp;")"),"")&amp;IF(EU56&gt;0,"; "&amp;INDEX(nTP_Record_ID,EU56)&amp;IF(INDEX(nTP_Label,EU56)="",""," ("&amp;INDEX(nTP_Label,EU56)&amp;")"),"")&amp;IF(EV56&gt;0,"; "&amp;INDEX(nTP_Record_ID,EV56)&amp;IF(INDEX(nTP_Label,EV56)="",""," ("&amp;INDEX(nTP_Label,EV56)&amp;")"),"")&amp;IF(EP56&gt;3,"; and "&amp;(EP56-3)&amp;" more",""),3,999))</f>
        <v/>
      </c>
      <c r="FC56" s="21" t="str">
        <f>IF(CE56=0,"",MID(IF(EW56&gt;0,"; "&amp;INDEX(nTP_Record_ID,EW56),"")&amp;IF(EX56&gt;0,"; "&amp;INDEX(nTP_Record_ID,EX56),"")&amp;IF(EY56&gt;0,"; "&amp;INDEX(nTP_Record_ID,EY56),"")&amp;IF(CE56&gt;3,"; and "&amp;(CE56-3)&amp;" more",""),3,999))</f>
        <v/>
      </c>
      <c r="FD56" s="22">
        <f t="shared" si="118"/>
        <v>0</v>
      </c>
      <c r="FE56" s="22">
        <f t="shared" si="119"/>
        <v>0</v>
      </c>
      <c r="FF56" s="22">
        <f t="shared" si="120"/>
        <v>0</v>
      </c>
      <c r="FG56" s="22">
        <f t="shared" si="121"/>
        <v>0</v>
      </c>
      <c r="FH56" s="22">
        <f t="shared" si="122"/>
        <v>0</v>
      </c>
      <c r="FI56" s="22">
        <f t="shared" si="123"/>
        <v>0</v>
      </c>
      <c r="FJ56" s="22">
        <f t="shared" si="124"/>
        <v>0</v>
      </c>
      <c r="FK56" s="22">
        <f t="shared" si="125"/>
        <v>0</v>
      </c>
    </row>
    <row r="57" spans="1:167" x14ac:dyDescent="0.2">
      <c r="A57" s="9" t="s">
        <v>1152</v>
      </c>
      <c r="B57" s="9" t="s">
        <v>297</v>
      </c>
      <c r="C57" s="11">
        <v>2</v>
      </c>
      <c r="D57" s="9" t="s">
        <v>894</v>
      </c>
      <c r="E57" s="16" t="s">
        <v>57</v>
      </c>
      <c r="F57" s="9" t="s">
        <v>1153</v>
      </c>
      <c r="G57" s="9" t="s">
        <v>1128</v>
      </c>
      <c r="H57" s="9" t="s">
        <v>804</v>
      </c>
      <c r="I57" s="16" t="s">
        <v>59</v>
      </c>
      <c r="J57" s="16"/>
      <c r="K57" s="9"/>
      <c r="L57" s="16"/>
      <c r="M57" s="16"/>
      <c r="N57" s="16"/>
      <c r="O57" s="9"/>
      <c r="P57" s="14"/>
      <c r="Q57" s="14"/>
      <c r="R57" s="9"/>
      <c r="S57" s="9"/>
      <c r="T57" s="21" t="str">
        <f t="shared" si="63"/>
        <v>20 minutes</v>
      </c>
      <c r="U57" s="21" t="str">
        <f t="shared" si="64"/>
        <v>20 minutes</v>
      </c>
      <c r="V57" s="21">
        <f t="shared" si="65"/>
        <v>20</v>
      </c>
      <c r="W57" s="21" t="str">
        <f t="shared" si="66"/>
        <v/>
      </c>
      <c r="X57" s="21" t="str">
        <f t="shared" si="67"/>
        <v/>
      </c>
      <c r="Y57" s="21" t="str">
        <f t="shared" si="68"/>
        <v>minutes</v>
      </c>
      <c r="Z57" s="21" t="str">
        <f t="shared" si="69"/>
        <v>C1</v>
      </c>
      <c r="AA57" s="21" t="str">
        <f t="shared" si="70"/>
        <v>AFTER</v>
      </c>
      <c r="AB57" s="21" t="str">
        <f t="shared" si="71"/>
        <v/>
      </c>
      <c r="AC57" s="21" t="str">
        <f t="shared" si="72"/>
        <v/>
      </c>
      <c r="AD57" s="21" t="str">
        <f>IF(AW57=1,"",MID(IF(ISNUMBER(SEARCH("E_INVALID_DATE",EG57))," | E_INVALID_DATE: "&amp;SUBSTITUTE(IFERROR(INDEX(nMSG_Text,MATCH("E_INVALID_DATE",nMSG_Code,0)),""),"[input]",""),"")&amp;IF(ISNUMBER(SEARCH("E_REVERSED_BOUNDS",EG57))," | E_REVERSED_BOUNDS: "&amp;SUBSTITUTE(IFERROR(INDEX(nMSG_Text,MATCH("E_REVERSED_BOUNDS",nMSG_Code,0)),""),"[input]",""),"")&amp;IF(ISNUMBER(SEARCH("E_DUPLICATE_ID",EG57))," | E_DUPLICATE_ID: "&amp;SUBSTITUTE(IFERROR(INDEX(nMSG_Text,MATCH("E_DUPLICATE_ID",nMSG_Code,0)),""),"[input]",""),"")&amp;IF(ISNUMBER(SEARCH("E_MISSING_LINK",EG57))," | E_MISSING_LINK: "&amp;SUBSTITUTE(IFERROR(INDEX(nMSG_Text,MATCH("E_MISSING_LINK",nMSG_Code,0)),""),"[input]",""),"")&amp;IF(ISNUMBER(SEARCH("E_MISSING_INPUT",EG57))," | E_MISSING_INPUT: "&amp;SUBSTITUTE(IFERROR(INDEX(nMSG_Text,MATCH("E_MISSING_INPUT",nMSG_Code,0)),""),"[input]",IF(EH57="","an input",EH57)),"")&amp;IF(ISNUMBER(SEARCH("E_INVALID_UNIT",EG57))," | E_INVALID_UNIT: "&amp;SUBSTITUTE(IFERROR(INDEX(nMSG_Text,MATCH("E_INVALID_UNIT",nMSG_Code,0)),""),"[input]",""),"")&amp;IF(FD57=1," | W_TZ_UNKNOWN: "&amp;SUBSTITUTE(IFERROR(INDEX(nMSG_Text,MATCH("W_TZ_UNKNOWN",nMSG_Code,0)),""),"[input]",""),"")&amp;IF(FE57=1," | W_SAME_DATE_ORDER_UNKNOWN: "&amp;SUBSTITUTE(IFERROR(INDEX(nMSG_Text,MATCH("W_SAME_DATE_ORDER_UNKNOWN",nMSG_Code,0)),""),"[input]",""),"")&amp;IF(FF57=1," | W_SEQUENCE_UNCERTAIN: "&amp;SUBSTITUTE(IFERROR(INDEX(nMSG_Text,MATCH("W_SEQUENCE_UNCERTAIN",nMSG_Code,0)),""),"[input]",""),"")&amp;IF(FG57=1," | W_ADMIN_SAME_DATE_AS_ONSET: "&amp;SUBSTITUTE(IFERROR(INDEX(nMSG_Text,MATCH("W_ADMIN_SAME_DATE_AS_ONSET",nMSG_Code,0)),""),"[input]",""),"")&amp;IF(FH57=1," | W_REPORTED_TIMING_CONFLICT: "&amp;SUBSTITUTE(IFERROR(INDEX(nMSG_Text,MATCH("W_REPORTED_TIMING_CONFLICT",nMSG_Code,0)),""),"[input]",""),"")&amp;IF(FI57=1," | W_INTERVENTION_BEFORE_RECOVERY: "&amp;SUBSTITUTE(IFERROR(INDEX(nMSG_Text,MATCH("W_INTERVENTION_BEFORE_RECOVERY",nMSG_Code,0)),""),"[input]",""),"")&amp;IF(FJ57=1," | I_TREATMENT_DAY_UNDEFINED: "&amp;SUBSTITUTE(IFERROR(INDEX(nMSG_Text,MATCH("I_TREATMENT_DAY_UNDEFINED",nMSG_Code,0)),""),"[input]",""),"")&amp;IF(FK57=1," | I_APPROXIMATE_NOT_COMPARED: "&amp;SUBSTITUTE(IFERROR(INDEX(nMSG_Text,MATCH("I_APPROXIMATE_NOT_COMPARED",nMSG_Code,0)),""),"[input]",""),""),4,9999))</f>
        <v/>
      </c>
      <c r="AE57" s="21" t="str">
        <f t="shared" si="73"/>
        <v/>
      </c>
      <c r="AF57" s="21" t="str">
        <f t="shared" si="74"/>
        <v/>
      </c>
      <c r="AG57" s="21" t="str">
        <f>IF(EN57="","",MID(IF(ISNUMBER(SEARCH("E_REVERSED_BOUNDS",EN57))," | E_REVERSED_BOUNDS: "&amp;SUBSTITUTE(IFERROR(INDEX(nMSG_Text,MATCH("E_REVERSED_BOUNDS",nMSG_Code,0)),""),"[input]",""),"")&amp;IF(ISNUMBER(SEARCH("E_MISSING_INPUT",EN57))," | E_MISSING_INPUT: "&amp;SUBSTITUTE(IFERROR(INDEX(nMSG_Text,MATCH("E_MISSING_INPUT",nMSG_Code,0)),""),"[input]",IF("the source of the constraint"="","an input","the source of the constraint")),""),4,999))</f>
        <v/>
      </c>
      <c r="AH57" s="21" t="str">
        <f t="shared" si="75"/>
        <v/>
      </c>
      <c r="AI57" s="21" t="str">
        <f t="shared" si="76"/>
        <v>EV-1/ONSET → M-IMPROVE</v>
      </c>
      <c r="AJ57" s="21" t="str">
        <f t="shared" si="77"/>
        <v>EV-1/ONSET</v>
      </c>
      <c r="AK57" s="21" t="str">
        <f t="shared" si="78"/>
        <v>M-IMPROVE</v>
      </c>
      <c r="AL57" s="21" t="str">
        <f>IF(CY57=0,"",INDEX(nTP_ISO,CY57))</f>
        <v>2026-01-10T09:15-05:00</v>
      </c>
      <c r="AM57" s="21" t="str">
        <f>IF(CY57=0,"",INDEX(nTP_Display,CY57))</f>
        <v>10 January 2026 09:15 (UTC-05:00)</v>
      </c>
      <c r="AN57" s="21" t="str">
        <f>IF(BI57=0,"",INDEX(nTP_ISO,BI57))</f>
        <v>2026-01-10T09:35-05:00</v>
      </c>
      <c r="AO57" s="21" t="str">
        <f>IF(BI57=0,"",INDEX(nTP_Display,BI57))</f>
        <v>10 January 2026 09:35 (UTC-05:00)</v>
      </c>
      <c r="AP57" s="21" t="str">
        <f>IF(BA57=0,"",INDEX(nLNK_Exposure_Episode_ID,BA57)&amp;"")</f>
        <v>EX-A</v>
      </c>
      <c r="AQ57" s="21" t="str">
        <f>IF(BA57=0,"",INDEX(nLNK_Event_Episode_ID,BA57)&amp;"")</f>
        <v>EV-1</v>
      </c>
      <c r="AR57" s="21" t="str">
        <f t="shared" si="79"/>
        <v>Anchor (OTHER) EV-1/ONSET: 2026-01-10T09:15-05:00 [timestamp with UTC offset; case measurement; original: "09:15 pt reports itching; urticaria chest and arms; audible wheeze; BP 84/52"; source: Nursing observation chart] | End point M-IMPROVE: 2026-01-10T09:35-05:00 [timestamp with UTC offset; case measurement; original: "09:35 wheeze settling, BP 108/70"; source: Nursing chart]</v>
      </c>
      <c r="AS57" s="21" t="str">
        <f>IF(EI57=0,"",MID(IF(DT57=1," | Recovery interval (C7) computed with "&amp;DS57&amp;".","")&amp;IF(BG57=1," | Anchor selected under C5 (CALC-SPEC 1.1): latest administration with an exact date or time at or before "&amp;IF(BH57=1,"onset","the end point")&amp;" ("&amp;AJ57&amp;"), ordered in UTC when offsets are known; later administrations are never selected.","")&amp;IF(AND(BG57=1,CE57&gt;0)," | Partial-date administrations wholly before the selected one were not candidates: "&amp;FC57&amp;".","")&amp;IF(BV57&lt;&gt;""," | "&amp;BV57,"")&amp;IF(AND(DS57="C2",EA57=0,DZ57&lt;&gt;"")," | Same calendar date; both times are known, so C1 decides the order ("&amp;AA57&amp;").","")&amp;IF(AND(DS57="C2",DD57*BN57=1,DT57=0)," | Calendar-date difference from the recorded local dates; it is never described as elapsed days.","")&amp;IF(AND(DS57="C4",DT57=0)," | Bounds are treated as independent; no single date is imputed from them.","")&amp;IF(EJ57=1," | Treatment day under the inclusive convention (C3); never written to E2B fields automatically.","")&amp;IF(AND(DS57="C4",DT57=0,EK57=0)," | No constraint applied.","")&amp;IF(AND(DS57="C4",EK57=1)," | Constraint applied to the anchor bounds: "&amp;IF(ISNUMBER(P57),"not before "&amp;DAY(P57)&amp;" "&amp;INDEX(nLIST_Months,MONTH(P57))&amp;" "&amp;YEAR(P57),"")&amp;IF(AND(ISNUMBER(P57),ISNUMBER(Q57)),", ","")&amp;IF(ISNUMBER(Q57),"not after "&amp;DAY(Q57)&amp;" "&amp;INDEX(nLIST_Months,MONTH(Q57))&amp;" "&amp;YEAR(Q57),"")&amp;". Source: "&amp;IF(R57="","not recorded",R57)&amp;IF(EN57="",". Constrained result shown beside the unconstrained one.",". Constrained result blocked ("&amp;EN57&amp;")."),"")&amp;IF(DT57=1,IF(EO57&gt;0," | Intervention recorded between cessation and recovery (ends included): "&amp;EZ57&amp;"."," | No intervention is recorded between cessation and recovery; absence of a record is not evidence that none was given."),"")&amp;IF(AND(DT57=1,DV57&gt;0)," | Intervention recorded without a date, so whether it came before recovery is unknown: "&amp;INDEX(nMS_Milestone_ID,MATCH(1,INDEX((nMS_CaseKey=AX57)*(nMS_Type="INTERVENTION")*nMS_Undated,0),0))&amp;IF(DV57&gt;1," and "&amp;(DV57-1)&amp;" more","")&amp;".","")&amp;IF(AND(DT57=1,EP57&gt;0)," | Not counted as interventions, because they are recorded as exposures rather than as intervention milestones (nothing is inferred): "&amp;FB57&amp;". If treatment was given, record it as an intervention milestone.",""),4,9999))</f>
        <v/>
      </c>
      <c r="AT57" s="21" t="str">
        <f t="shared" si="80"/>
        <v>The interval describes the sequence and spacing of recorded times; it is not evidence of causation.</v>
      </c>
      <c r="AU57" s="21" t="str">
        <f t="shared" si="81"/>
        <v/>
      </c>
      <c r="AV57" s="21" t="str">
        <f t="shared" si="82"/>
        <v>CALC-SPEC 1.1</v>
      </c>
      <c r="AW57" s="22">
        <f t="shared" si="83"/>
        <v>0</v>
      </c>
      <c r="AX57" s="21" t="str">
        <f t="shared" si="84"/>
        <v>EX-C01|2</v>
      </c>
      <c r="AY57" s="21" t="str">
        <f t="shared" si="85"/>
        <v>EX-C01|2|I12</v>
      </c>
      <c r="AZ57" s="22">
        <f>IF(AY57="",0,COUNTIF(nINT_Key,AY57))</f>
        <v>1</v>
      </c>
      <c r="BA57" s="22">
        <f>IF(D57="",0,IFERROR(MATCH(AX57&amp;"|"&amp;D57,nLNK_Key,0),0))</f>
        <v>22</v>
      </c>
      <c r="BB57" s="22">
        <f>IF(BA57=0,1,INDEX(nLNK_Exp_Found,BA57))</f>
        <v>1</v>
      </c>
      <c r="BC57" s="22">
        <f>IF(BA57=0,1,INDEX(nLNK_Evt_Found,BA57))</f>
        <v>1</v>
      </c>
      <c r="BD57" s="22">
        <f>IF(AP57="",0,COUNTIF(nEXP_Key,AX57&amp;"|"&amp;AP57))</f>
        <v>1</v>
      </c>
      <c r="BE57" s="22">
        <f>IF(AQ57="",0,COUNTIF(nEVT_Key,AX57&amp;"|"&amp;AQ57))</f>
        <v>1</v>
      </c>
      <c r="BF57" s="22">
        <f>IF(ISNA(MATCH(E57,nLIST_AnchorType,0)),0,1)</f>
        <v>1</v>
      </c>
      <c r="BG57" s="22">
        <f t="shared" si="86"/>
        <v>0</v>
      </c>
      <c r="BH57" s="22">
        <f t="shared" si="87"/>
        <v>0</v>
      </c>
      <c r="BI57" s="22">
        <f>IF(OR(AW57=1,AK57=""),0,IFERROR(MATCH(AX57&amp;"|"&amp;AK57,nTP_Key,0),0))</f>
        <v>427</v>
      </c>
      <c r="BJ57" s="21">
        <f>IF(BI57=0,0,INDEX(nTP_Dup,BI57))</f>
        <v>1</v>
      </c>
      <c r="BK57" s="21" t="str">
        <f>IF(BI57=0,"",INDEX(nTP_Record_Type,BI57))</f>
        <v>MILESTONE:RECOVERY</v>
      </c>
      <c r="BL57" s="21" t="str">
        <f>IF(BI57=0,"",INDEX(nTP_Precision,BI57))</f>
        <v>TIMESTAMP</v>
      </c>
      <c r="BM57" s="21" t="str">
        <f>IF(BI57=0,"",INDEX(nTP_Err,BI57))</f>
        <v/>
      </c>
      <c r="BN57" s="21">
        <f>IF(BI57=0,0,INDEX(nTP_HT,BI57))</f>
        <v>1</v>
      </c>
      <c r="BO57" s="21">
        <f>IF(BI57=0,0,INDEX(nTP_OK,BI57))</f>
        <v>1</v>
      </c>
      <c r="BP57" s="21">
        <f>IF(BI57=0,"",INDEX(nTP_Loc,BI57))</f>
        <v>66286655</v>
      </c>
      <c r="BQ57" s="21">
        <f>IF(BI57=0,"",INDEX(nTP_UTC,BI57))</f>
        <v>66286955</v>
      </c>
      <c r="BR57" s="21">
        <f>IF(BI57=0,"",INDEX(nTP_Lo,BI57))</f>
        <v>46032</v>
      </c>
      <c r="BS57" s="21">
        <f>IF(BI57=0,"",INDEX(nTP_Hi,BI57))</f>
        <v>46032</v>
      </c>
      <c r="BT57" s="21" t="str">
        <f>IF(BI57=0,"",INDEX(nTP_Original_Text,BI57))</f>
        <v>09:35 wheeze settling, BP 108/70</v>
      </c>
      <c r="BU57" s="21" t="str">
        <f>IF(BI57=0,"",INDEX(nTP_Source,BI57))</f>
        <v>Nursing chart</v>
      </c>
      <c r="BV57" s="21" t="str">
        <f>IF(BI57=0,"",INDEX(nTP_Lab_Note,BI57))</f>
        <v/>
      </c>
      <c r="BW57" s="22">
        <f t="shared" si="88"/>
        <v>1</v>
      </c>
      <c r="BX57" s="21" t="str">
        <f t="shared" si="89"/>
        <v>EX-C01|2|EX-A</v>
      </c>
      <c r="BY57" s="22">
        <f>IF(BG57=0,0,COUNTIF(nTP_CandKey,BX57))</f>
        <v>0</v>
      </c>
      <c r="BZ57" s="22">
        <f>IF(BG57=0,0,COUNTIFS(nTP_CandKey,BX57,nTP_Err,""))</f>
        <v>0</v>
      </c>
      <c r="CA57" s="21" t="str">
        <f>IF(BY57=BZ57,"",IF(COUNTIFS(nTP_CandKey,BX57,nTP_Err,"E_INVALID_DATE")&gt;0,"; E_INVALID_DATE","")&amp;IF(COUNTIFS(nTP_CandKey,BX57,nTP_Err,"E_REVERSED_BOUNDS")&gt;0,"; E_REVERSED_BOUNDS","")&amp;IF(COUNTIFS(nTP_CandKey,BX57,nTP_Err,"E_MISSING_INPUT")&gt;0,"; E_MISSING_INPUT","")&amp;IF(COUNTIFS(nTP_CandKey,BX57,nTP_Err,"E_INVALID_UNIT")&gt;0,"; E_INVALID_UNIT",""))</f>
        <v/>
      </c>
      <c r="CB57" s="22">
        <f t="shared" si="90"/>
        <v>0</v>
      </c>
      <c r="CC57" s="22">
        <f>IF(CB57=0,0,SUMPRODUCT((nTP_CandKey=BX57)*(nTP_Err="")*(1-(nTP_HT*BN57*((nTP_OK*BO57*(nTP_UTC_n-N(BQ57))+(1-nTP_OK*BO57)*(nTP_Loc_n-N(BP57)))&lt;=0)+(1-nTP_HT*BN57)*(nTP_Hi_n&lt;N(BR57)))-(nTP_HT*BN57*((nTP_OK*BO57*(nTP_UTC_n-N(BQ57))+(1-nTP_OK*BO57)*(nTP_Loc_n-N(BP57)))&gt;0)+(1-nTP_HT*BN57)*(nTP_Lo_n&gt;N(BS57)))-((1-nTP_HT*BN57)*(nTP_Lo_n=nTP_Hi_n)*(nTP_Lo_n=N(BR57))*(N(BR57)=N(BS57))))))</f>
        <v>0</v>
      </c>
      <c r="CD57" s="22">
        <f>IF(CB57=0,0,SUMPRODUCT((nTP_CandKey=BX57)*nTP_Exact*((nTP_HT*BN57*((nTP_OK*BO57*(nTP_UTC_n-N(BQ57))+(1-nTP_OK*BO57)*(nTP_Loc_n-N(BP57)))&lt;=0)+(1-nTP_HT*BN57)*(nTP_Hi_n&lt;N(BR57)))+((1-nTP_HT*BN57)*(nTP_Lo_n=nTP_Hi_n)*(nTP_Lo_n=N(BR57))*(N(BR57)=N(BS57))))))</f>
        <v>0</v>
      </c>
      <c r="CE57" s="22">
        <f>IF(CB57=0,0,SUMPRODUCT((nTP_CandKey=BX57)*(nTP_Err="")*(1-nTP_Exact)*((nTP_HT*BN57*((nTP_OK*BO57*(nTP_UTC_n-N(BQ57))+(1-nTP_OK*BO57)*(nTP_Loc_n-N(BP57)))&lt;=0)+(1-nTP_HT*BN57)*(nTP_Hi_n&lt;N(BR57)))+((1-nTP_HT*BN57)*(nTP_Lo_n=nTP_Hi_n)*(nTP_Lo_n=N(BR57))*(N(BR57)=N(BS57))))))</f>
        <v>0</v>
      </c>
      <c r="CF57" s="22">
        <f>IF(CD57=0,0,SUMPRODUCT(MAX((nTP_CandKey=BX57)*nTP_Exact*((nTP_HT*BN57*((nTP_OK*BO57*(nTP_UTC_n-N(BQ57))+(1-nTP_OK*BO57)*(nTP_Loc_n-N(BP57)))&lt;=0)+(1-nTP_HT*BN57)*(nTP_Hi_n&lt;N(BR57)))+((1-nTP_HT*BN57)*(nTP_Lo_n=nTP_Hi_n)*(nTP_Lo_n=N(BR57))*(N(BR57)=N(BS57))))*nTP_Lo_n)))</f>
        <v>0</v>
      </c>
      <c r="CG57" s="22">
        <f>IF(CD57=0,0,SUMPRODUCT((nTP_CandKey=BX57)*nTP_Exact*((nTP_HT*BN57*((nTP_OK*BO57*(nTP_UTC_n-N(BQ57))+(1-nTP_OK*BO57)*(nTP_Loc_n-N(BP57)))&lt;=0)+(1-nTP_HT*BN57)*(nTP_Hi_n&lt;N(BR57)))+((1-nTP_HT*BN57)*(nTP_Lo_n=nTP_Hi_n)*(nTP_Lo_n=N(BR57))*(N(BR57)=N(BS57))))*(nTP_Lo_n=CF57)))</f>
        <v>0</v>
      </c>
      <c r="CH57" s="22">
        <f>IF(CD57=0,0,SUMPRODUCT((nTP_CandKey=BX57)*nTP_Exact*((nTP_HT*BN57*((nTP_OK*BO57*(nTP_UTC_n-N(BQ57))+(1-nTP_OK*BO57)*(nTP_Loc_n-N(BP57)))&lt;=0)+(1-nTP_HT*BN57)*(nTP_Hi_n&lt;N(BR57)))+((1-nTP_HT*BN57)*(nTP_Lo_n=nTP_Hi_n)*(nTP_Lo_n=N(BR57))*(N(BR57)=N(BS57))))*(1-nTP_HT)*(nTP_Lo_n=CF57)))</f>
        <v>0</v>
      </c>
      <c r="CI57" s="22">
        <f>IF(CD57=0,0,SUMPRODUCT(MAX((nTP_CandKey=BX57)*nTP_Exact*((nTP_HT*BN57*((nTP_OK*BO57*(nTP_UTC_n-N(BQ57))+(1-nTP_OK*BO57)*(nTP_Loc_n-N(BP57)))&lt;=0)+(1-nTP_HT*BN57)*(nTP_Hi_n&lt;N(BR57)))+((1-nTP_HT*BN57)*(nTP_Lo_n=nTP_Hi_n)*(nTP_Lo_n=N(BR57))*(N(BR57)=N(BS57))))*(1-nTP_HT)*nTP_Lo_n)))</f>
        <v>0</v>
      </c>
      <c r="CJ57" s="22">
        <f>IF(CD57=0,0,SUMPRODUCT(MAX((nTP_CandKey=BX57)*nTP_Exact*((nTP_HT*BN57*((nTP_OK*BO57*(nTP_UTC_n-N(BQ57))+(1-nTP_OK*BO57)*(nTP_Loc_n-N(BP57)))&lt;=0)+(1-nTP_HT*BN57)*(nTP_Hi_n&lt;N(BR57)))+((1-nTP_HT*BN57)*(nTP_Lo_n=nTP_Hi_n)*(nTP_Lo_n=N(BR57))*(N(BR57)=N(BS57))))*nTP_HT*nTP_OK*nTP_UTC_n)))</f>
        <v>0</v>
      </c>
      <c r="CK57" s="22">
        <f>IF(CJ57=0,0,SUMPRODUCT((nTP_CandKey=BX57)*nTP_Exact*((nTP_HT*BN57*((nTP_OK*BO57*(nTP_UTC_n-N(BQ57))+(1-nTP_OK*BO57)*(nTP_Loc_n-N(BP57)))&lt;=0)+(1-nTP_HT*BN57)*(nTP_Hi_n&lt;N(BR57)))+((1-nTP_HT*BN57)*(nTP_Lo_n=nTP_Hi_n)*(nTP_Lo_n=N(BR57))*(N(BR57)=N(BS57))))*nTP_HT*nTP_OK*(nTP_UTC_n=CJ57)))</f>
        <v>0</v>
      </c>
      <c r="CL57" s="22">
        <f>IF(CK57&lt;&gt;1,0,SUMPRODUCT((nTP_CandKey=BX57)*nTP_Exact*((nTP_HT*BN57*((nTP_OK*BO57*(nTP_UTC_n-N(BQ57))+(1-nTP_OK*BO57)*(nTP_Loc_n-N(BP57)))&lt;=0)+(1-nTP_HT*BN57)*(nTP_Hi_n&lt;N(BR57)))+((1-nTP_HT*BN57)*(nTP_Lo_n=nTP_Hi_n)*(nTP_Lo_n=N(BR57))*(N(BR57)=N(BS57))))*nTP_HT*nTP_OK*(nTP_UTC_n=CJ57)*nTP_Loc_n))</f>
        <v>0</v>
      </c>
      <c r="CM57" s="22">
        <f>IF(CK57&lt;&gt;1,0,SUMPRODUCT((nTP_CandKey=BX57)*nTP_Exact*((nTP_HT*BN57*((nTP_OK*BO57*(nTP_UTC_n-N(BQ57))+(1-nTP_OK*BO57)*(nTP_Loc_n-N(BP57)))&lt;=0)+(1-nTP_HT*BN57)*(nTP_Hi_n&lt;N(BR57)))+((1-nTP_HT*BN57)*(nTP_Lo_n=nTP_Hi_n)*(nTP_Lo_n=N(BR57))*(N(BR57)=N(BS57))))*nTP_HT*nTP_OK*(nTP_UTC_n=CJ57)*nTP_Lo_n))</f>
        <v>0</v>
      </c>
      <c r="CN57" s="22">
        <f>IF(CD57=0,0,SUMPRODUCT(MAX((nTP_CandKey=BX57)*nTP_Exact*((nTP_HT*BN57*((nTP_OK*BO57*(nTP_UTC_n-N(BQ57))+(1-nTP_OK*BO57)*(nTP_Loc_n-N(BP57)))&lt;=0)+(1-nTP_HT*BN57)*(nTP_Hi_n&lt;N(BR57)))+((1-nTP_HT*BN57)*(nTP_Lo_n=nTP_Hi_n)*(nTP_Lo_n=N(BR57))*(N(BR57)=N(BS57))))*nTP_HT*(1-nTP_OK)*nTP_Loc_n)))</f>
        <v>0</v>
      </c>
      <c r="CO57" s="22">
        <f>IF(CN57=0,0,SUMPRODUCT((nTP_CandKey=BX57)*nTP_Exact*((nTP_HT*BN57*((nTP_OK*BO57*(nTP_UTC_n-N(BQ57))+(1-nTP_OK*BO57)*(nTP_Loc_n-N(BP57)))&lt;=0)+(1-nTP_HT*BN57)*(nTP_Hi_n&lt;N(BR57)))+((1-nTP_HT*BN57)*(nTP_Lo_n=nTP_Hi_n)*(nTP_Lo_n=N(BR57))*(N(BR57)=N(BS57))))*nTP_HT*(1-nTP_OK)*(nTP_Loc_n=CN57)))</f>
        <v>0</v>
      </c>
      <c r="CP57" s="22">
        <f>IF(CO57&lt;&gt;1,0,SUMPRODUCT((nTP_CandKey=BX57)*nTP_Exact*((nTP_HT*BN57*((nTP_OK*BO57*(nTP_UTC_n-N(BQ57))+(1-nTP_OK*BO57)*(nTP_Loc_n-N(BP57)))&lt;=0)+(1-nTP_HT*BN57)*(nTP_Hi_n&lt;N(BR57)))+((1-nTP_HT*BN57)*(nTP_Lo_n=nTP_Hi_n)*(nTP_Lo_n=N(BR57))*(N(BR57)=N(BS57))))*nTP_HT*(1-nTP_OK)*(nTP_Loc_n=CN57)*nTP_Lo_n))</f>
        <v>0</v>
      </c>
      <c r="CQ57" s="22">
        <f>IF(CD57=0,0,SUMPRODUCT(MAX((nTP_CandKey=BX57)*nTP_Exact*((nTP_HT*BN57*((nTP_OK*BO57*(nTP_UTC_n-N(BQ57))+(1-nTP_OK*BO57)*(nTP_Loc_n-N(BP57)))&lt;=0)+(1-nTP_HT*BN57)*(nTP_Hi_n&lt;N(BR57)))+((1-nTP_HT*BN57)*(nTP_Lo_n=nTP_Hi_n)*(nTP_Lo_n=N(BR57))*(N(BR57)=N(BS57))))*nTP_HT*nTP_OK*nTP_Loc_n)))</f>
        <v>0</v>
      </c>
      <c r="CR57" s="22">
        <f t="shared" si="91"/>
        <v>0</v>
      </c>
      <c r="CS57" s="22">
        <f>IF(CR57=0,0,IF(CR57=1,MATCH(1,INDEX((nTP_CandKey=BX57)*nTP_Exact*((nTP_HT*BN57*((nTP_OK*BO57*(nTP_UTC_n-N(BQ57))+(1-nTP_OK*BO57)*(nTP_Loc_n-N(BP57)))&lt;=0)+(1-nTP_HT*BN57)*(nTP_Hi_n&lt;N(BR57)))+((1-nTP_HT*BN57)*(nTP_Lo_n=nTP_Hi_n)*(nTP_Lo_n=N(BR57))*(N(BR57)=N(BS57))))*(1-nTP_HT)*(nTP_Lo_n=CF57),0),0),IF(CR57=2,MATCH(1,INDEX((nTP_CandKey=BX57)*nTP_Exact*((nTP_HT*BN57*((nTP_OK*BO57*(nTP_UTC_n-N(BQ57))+(1-nTP_OK*BO57)*(nTP_Loc_n-N(BP57)))&lt;=0)+(1-nTP_HT*BN57)*(nTP_Hi_n&lt;N(BR57)))+((1-nTP_HT*BN57)*(nTP_Lo_n=nTP_Hi_n)*(nTP_Lo_n=N(BR57))*(N(BR57)=N(BS57))))*nTP_HT*nTP_OK*(nTP_UTC_n=CJ57),0),0),MATCH(1,INDEX((nTP_CandKey=BX57)*nTP_Exact*((nTP_HT*BN57*((nTP_OK*BO57*(nTP_UTC_n-N(BQ57))+(1-nTP_OK*BO57)*(nTP_Loc_n-N(BP57)))&lt;=0)+(1-nTP_HT*BN57)*(nTP_Hi_n&lt;N(BR57)))+((1-nTP_HT*BN57)*(nTP_Lo_n=nTP_Hi_n)*(nTP_Lo_n=N(BR57))*(N(BR57)=N(BS57))))*nTP_HT*(1-nTP_OK)*(nTP_Loc_n=CN57),0),0))))</f>
        <v>0</v>
      </c>
      <c r="CT57" s="22">
        <f>IF(CS57=0,0,INDEX(nTP_Lo_n,CS57))</f>
        <v>0</v>
      </c>
      <c r="CU57" s="22">
        <f>IF(CS57=0,0,SUMPRODUCT((nTP_CandKey=BX57)*(nTP_Err="")*(1-nTP_Exact)*((nTP_HT*BN57*((nTP_OK*BO57*(nTP_UTC_n-N(BQ57))+(1-nTP_OK*BO57)*(nTP_Loc_n-N(BP57)))&lt;=0)+(1-nTP_HT*BN57)*(nTP_Hi_n&lt;N(BR57)))+((1-nTP_HT*BN57)*(nTP_Lo_n=nTP_Hi_n)*(nTP_Lo_n=N(BR57))*(N(BR57)=N(BS57))))*(nTP_Hi_n&gt;=CT57)))</f>
        <v>0</v>
      </c>
      <c r="CV57" s="21" t="str">
        <f t="shared" si="92"/>
        <v/>
      </c>
      <c r="CW57" s="21" t="str">
        <f>IF(AND(BG57=1,CB57=1,CV57="",CS57&gt;0),INDEX(nTP_Record_ID,CS57)&amp;"","")</f>
        <v/>
      </c>
      <c r="CX57" s="21" t="str">
        <f>IF(OR(CV57="",BG57=0),"",IF(CV57="none","an administration record (last dose before onset)",IF(CV57="uncertain","the anchor record: "&amp;INDEX(nTP_Record_ID,MATCH(1,INDEX((nTP_CandKey=BX57)*(nTP_Err="")*(1-(nTP_HT*BN57*((nTP_OK*BO57*(nTP_UTC_n-N(BQ57))+(1-nTP_OK*BO57)*(nTP_Loc_n-N(BP57)))&lt;=0)+(1-nTP_HT*BN57)*(nTP_Hi_n&lt;N(BR57)))-(nTP_HT*BN57*((nTP_OK*BO57*(nTP_UTC_n-N(BQ57))+(1-nTP_OK*BO57)*(nTP_Loc_n-N(BP57)))&gt;0)+(1-nTP_HT*BN57)*(nTP_Lo_n&gt;N(BS57)))-((1-nTP_HT*BN57)*(nTP_Lo_n=nTP_Hi_n)*(nTP_Lo_n=N(BR57))*(N(BR57)=N(BS57)))),0),0))&amp;IF(CC57&gt;1," and "&amp;(CC57-1)&amp;" more","")&amp;" may fall before or after the end point, so the last dose cannot be identified from the recorded dates",IF(CV57="noneligible","the anchor record: no administration with an exact date is recorded at or before the end point",IF(CV57="tie","the anchor record: the order of the latest administrations cannot be told from the recorded dates and times","the anchor record: partial-date administration "&amp;INDEX(nTP_Record_ID,MATCH(1,INDEX((nTP_CandKey=BX57)*(nTP_Err="")*(1-nTP_Exact)*((nTP_HT*BN57*((nTP_OK*BO57*(nTP_UTC_n-N(BQ57))+(1-nTP_OK*BO57)*(nTP_Loc_n-N(BP57)))&lt;=0)+(1-nTP_HT*BN57)*(nTP_Hi_n&lt;N(BR57)))+((1-nTP_HT*BN57)*(nTP_Lo_n=nTP_Hi_n)*(nTP_Lo_n=N(BR57))*(N(BR57)=N(BS57))))*(nTP_Hi_n&gt;=CT57),0),0))&amp;" could be the last dose before the end point")))))</f>
        <v/>
      </c>
      <c r="CY57" s="22">
        <f>IF(OR(AW57=1,AJ57=""),0,IFERROR(MATCH(AX57&amp;"|"&amp;AJ57,nTP_Key,0),0))</f>
        <v>312</v>
      </c>
      <c r="CZ57" s="21">
        <f>IF(CY57=0,0,INDEX(nTP_Dup,CY57))</f>
        <v>1</v>
      </c>
      <c r="DA57" s="21" t="str">
        <f>IF(CY57=0,"",INDEX(nTP_Record_Type,CY57))</f>
        <v>EVENT_ONSET</v>
      </c>
      <c r="DB57" s="21" t="str">
        <f>IF(CY57=0,"",INDEX(nTP_Precision,CY57))</f>
        <v>TIMESTAMP</v>
      </c>
      <c r="DC57" s="21" t="str">
        <f>IF(CY57=0,"",INDEX(nTP_Err,CY57))</f>
        <v/>
      </c>
      <c r="DD57" s="21">
        <f>IF(CY57=0,0,INDEX(nTP_HT,CY57))</f>
        <v>1</v>
      </c>
      <c r="DE57" s="21">
        <f>IF(CY57=0,0,INDEX(nTP_OK,CY57))</f>
        <v>1</v>
      </c>
      <c r="DF57" s="21">
        <f>IF(CY57=0,"",INDEX(nTP_Loc,CY57))</f>
        <v>66286635</v>
      </c>
      <c r="DG57" s="21">
        <f>IF(CY57=0,"",INDEX(nTP_UTC,CY57))</f>
        <v>66286935</v>
      </c>
      <c r="DH57" s="21">
        <f>IF(CY57=0,"",INDEX(nTP_Lo,CY57))</f>
        <v>46032</v>
      </c>
      <c r="DI57" s="21">
        <f>IF(CY57=0,"",INDEX(nTP_Hi,CY57))</f>
        <v>46032</v>
      </c>
      <c r="DJ57" s="21" t="str">
        <f>IF(CY57=0,"",INDEX(nTP_Original_Text,CY57))</f>
        <v>09:15 pt reports itching; urticaria chest and arms; audible wheeze; BP 84/52</v>
      </c>
      <c r="DK57" s="21" t="str">
        <f>IF(CY57=0,"",INDEX(nTP_Source,CY57))</f>
        <v>Nursing observation chart</v>
      </c>
      <c r="DL57" s="22">
        <f t="shared" si="93"/>
        <v>1</v>
      </c>
      <c r="DM57" s="21" t="str">
        <f t="shared" si="94"/>
        <v/>
      </c>
      <c r="DN57" s="21" t="str">
        <f t="shared" si="95"/>
        <v/>
      </c>
      <c r="DO57" s="21" t="str">
        <f t="shared" si="96"/>
        <v/>
      </c>
      <c r="DP57" s="21" t="str">
        <f t="shared" si="97"/>
        <v/>
      </c>
      <c r="DQ57" s="21" t="str">
        <f t="shared" si="98"/>
        <v>C1</v>
      </c>
      <c r="DR57" s="22">
        <f>IF(OR(DQ57="",I57=""),0,IF(ISNA(MATCH(I57,nLIST_Mode,0)),1,IF(AND(I57="C1",DQ57&lt;&gt;"C1"),1,IF(AND(I57="C2",DQ57="C4"),1,0))))</f>
        <v>0</v>
      </c>
      <c r="DS57" s="21" t="str">
        <f t="shared" si="99"/>
        <v>C1</v>
      </c>
      <c r="DT57" s="22">
        <f t="shared" si="100"/>
        <v>0</v>
      </c>
      <c r="DU57" s="21" t="str">
        <f>IF(DT57=0,"",IF(COUNTIFS(nTP_Case_Key,AX57,nTP_Record_Type,"MILESTONE:INTERVENTION",nTP_Err,"E_INVALID_DATE")&gt;0,"; E_INVALID_DATE","")&amp;IF(COUNTIFS(nTP_Case_Key,AX57,nTP_Record_Type,"MILESTONE:INTERVENTION",nTP_Err,"E_REVERSED_BOUNDS")&gt;0,"; E_REVERSED_BOUNDS","")&amp;IF(COUNTIFS(nTP_Case_Key,AX57,nTP_Record_Type,"MILESTONE:INTERVENTION",nTP_Err,"E_MISSING_INPUT")&gt;0,"; E_MISSING_INPUT","")&amp;IF(COUNTIFS(nTP_Case_Key,AX57,nTP_Record_Type,"MILESTONE:INTERVENTION",nTP_Err,"E_INVALID_UNIT")&gt;0,"; E_INVALID_UNIT",""))</f>
        <v/>
      </c>
      <c r="DV57" s="22">
        <f>IF(DT57=0,0,SUMPRODUCT((nMS_CaseKey=AX57)*(nMS_Type="INTERVENTION")*nMS_Undated))</f>
        <v>0</v>
      </c>
      <c r="DW57" s="21" t="str">
        <f t="shared" si="101"/>
        <v/>
      </c>
      <c r="DX57" s="21" t="str">
        <f t="shared" si="102"/>
        <v/>
      </c>
      <c r="DY57" s="22">
        <f t="shared" si="103"/>
        <v>0</v>
      </c>
      <c r="DZ57" s="21">
        <f t="shared" si="104"/>
        <v>20</v>
      </c>
      <c r="EA57" s="21" t="str">
        <f t="shared" si="105"/>
        <v/>
      </c>
      <c r="EB57" s="21" t="str">
        <f t="shared" si="106"/>
        <v/>
      </c>
      <c r="EC57" s="21" t="str">
        <f t="shared" si="107"/>
        <v/>
      </c>
      <c r="ED57" s="22">
        <f t="shared" si="108"/>
        <v>0</v>
      </c>
      <c r="EE57" s="22">
        <f t="shared" si="109"/>
        <v>0</v>
      </c>
      <c r="EF57" s="21" t="str">
        <f>IF(ED57=0,"",IF(OR(NOT(ISNUMBER(L57)),NOT(ISNUMBER(M57))),"I_APPROXIMATE_NOT_COMPARED",IF(AND(N57&lt;&gt;"",ISNA(MATCH(N57,nLIST_ReportedUnit,0))),"E_INVALID_UNIT",IF(N57="","E_MISSING_INPUT",IF(L57&gt;M57,"E_REVERSED_BOUNDS",IF(OR(N57="weeks",N57="months",N57="years"),"I_APPROXIMATE_NOT_COMPARED",IF(DX57&lt;&gt;"","",IF(EE57=0,"I_APPROXIMATE_NOT_COMPARED",IF(AND(L57*EE57&lt;=IF(DS57="C4",EC57,IF(DS57="C1",DZ57,EA57)),M57*EE57&gt;=IF(DS57="C4",EB57,IF(DS57="C1",DZ57,EA57))),"OVERLAP","W_REPORTED_TIMING_CONFLICT")))))))))</f>
        <v/>
      </c>
      <c r="EG57" s="21" t="str">
        <f t="shared" si="110"/>
        <v/>
      </c>
      <c r="EH57" s="21" t="str">
        <f t="shared" si="111"/>
        <v/>
      </c>
      <c r="EI57" s="22">
        <f t="shared" si="112"/>
        <v>1</v>
      </c>
      <c r="EJ57" s="22">
        <f t="shared" si="113"/>
        <v>0</v>
      </c>
      <c r="EK57" s="22">
        <f t="shared" si="114"/>
        <v>0</v>
      </c>
      <c r="EL57" s="28" t="str">
        <f t="shared" si="115"/>
        <v/>
      </c>
      <c r="EM57" s="28" t="str">
        <f t="shared" si="116"/>
        <v/>
      </c>
      <c r="EN57" s="21" t="str">
        <f t="shared" si="117"/>
        <v/>
      </c>
      <c r="EO57" s="22">
        <f>IF(OR(DT57=0,DX57&lt;&gt;""),0,SUMPRODUCT((nTP_Case_Key=AX57)*(nTP_Record_Type="MILESTONE:INTERVENTION")*(nTP_Err="")*(nTP_HT*DD57*BN57*(nTP_OK*DE57*(nTP_UTC_n&gt;=N(DG57))+(1-nTP_OK*DE57)*(nTP_Loc_n&gt;=N(DF57)))*(nTP_OK*BO57*(nTP_UTC_n&lt;=N(BQ57))+(1-nTP_OK*BO57)*(nTP_Loc_n&lt;=N(BP57)))+(1-nTP_HT*DD57*BN57)*(nTP_Hi_n&gt;=N(DH57))*(nTP_Lo_n&lt;=N(BS57)))))</f>
        <v>0</v>
      </c>
      <c r="EP57" s="22">
        <f>IF(OR(DT57=0,DX57&lt;&gt;""),0,SUMPRODUCT((nTP_Case_Key=AX57)*(nTP_Role="treatment of the event")*((nTP_Record_Type="EXPOSURE_START")+(nTP_Record_Type="ADMINISTRATION"))*(nTP_Err="")*(nTP_HT*DD57*BN57*(nTP_OK*DE57*(nTP_UTC_n&gt;=N(DG57))+(1-nTP_OK*DE57)*(nTP_Loc_n&gt;=N(DF57)))*(nTP_OK*BO57*(nTP_UTC_n&lt;=N(BQ57))+(1-nTP_OK*BO57)*(nTP_Loc_n&lt;=N(BP57)))+(1-nTP_HT*DD57*BN57)*(nTP_Hi_n&gt;=N(DH57))*(nTP_Lo_n&lt;=N(BS57)))))</f>
        <v>0</v>
      </c>
      <c r="EQ57" s="22">
        <f>IF(EO57&lt;1,0,IFERROR(_xlfn.AGGREGATE(15,6,nTP_RowN/((nTP_Case_Key=AX57)*(nTP_Record_Type="MILESTONE:INTERVENTION")*(nTP_Err="")*(nTP_HT*DD57*BN57*(nTP_OK*DE57*(nTP_UTC_n&gt;=N(DG57))+(1-nTP_OK*DE57)*(nTP_Loc_n&gt;=N(DF57)))*(nTP_OK*BO57*(nTP_UTC_n&lt;=N(BQ57))+(1-nTP_OK*BO57)*(nTP_Loc_n&lt;=N(BP57)))+(1-nTP_HT*DD57*BN57)*(nTP_Hi_n&gt;=N(DH57))*(nTP_Lo_n&lt;=N(BS57)))),1),0))</f>
        <v>0</v>
      </c>
      <c r="ER57" s="22">
        <f>IF(EO57&lt;2,0,IFERROR(_xlfn.AGGREGATE(15,6,nTP_RowN/((nTP_Case_Key=AX57)*(nTP_Record_Type="MILESTONE:INTERVENTION")*(nTP_Err="")*(nTP_HT*DD57*BN57*(nTP_OK*DE57*(nTP_UTC_n&gt;=N(DG57))+(1-nTP_OK*DE57)*(nTP_Loc_n&gt;=N(DF57)))*(nTP_OK*BO57*(nTP_UTC_n&lt;=N(BQ57))+(1-nTP_OK*BO57)*(nTP_Loc_n&lt;=N(BP57)))+(1-nTP_HT*DD57*BN57)*(nTP_Hi_n&gt;=N(DH57))*(nTP_Lo_n&lt;=N(BS57)))),2),0))</f>
        <v>0</v>
      </c>
      <c r="ES57" s="22">
        <f>IF(EO57&lt;3,0,IFERROR(_xlfn.AGGREGATE(15,6,nTP_RowN/((nTP_Case_Key=AX57)*(nTP_Record_Type="MILESTONE:INTERVENTION")*(nTP_Err="")*(nTP_HT*DD57*BN57*(nTP_OK*DE57*(nTP_UTC_n&gt;=N(DG57))+(1-nTP_OK*DE57)*(nTP_Loc_n&gt;=N(DF57)))*(nTP_OK*BO57*(nTP_UTC_n&lt;=N(BQ57))+(1-nTP_OK*BO57)*(nTP_Loc_n&lt;=N(BP57)))+(1-nTP_HT*DD57*BN57)*(nTP_Hi_n&gt;=N(DH57))*(nTP_Lo_n&lt;=N(BS57)))),3),0))</f>
        <v>0</v>
      </c>
      <c r="ET57" s="22">
        <f>IF(EP57&lt;1,0,IFERROR(_xlfn.AGGREGATE(15,6,nTP_RowN/((nTP_Case_Key=AX57)*(nTP_Role="treatment of the event")*((nTP_Record_Type="EXPOSURE_START")+(nTP_Record_Type="ADMINISTRATION"))*(nTP_Err="")*(nTP_HT*DD57*BN57*(nTP_OK*DE57*(nTP_UTC_n&gt;=N(DG57))+(1-nTP_OK*DE57)*(nTP_Loc_n&gt;=N(DF57)))*(nTP_OK*BO57*(nTP_UTC_n&lt;=N(BQ57))+(1-nTP_OK*BO57)*(nTP_Loc_n&lt;=N(BP57)))+(1-nTP_HT*DD57*BN57)*(nTP_Hi_n&gt;=N(DH57))*(nTP_Lo_n&lt;=N(BS57)))),1),0))</f>
        <v>0</v>
      </c>
      <c r="EU57" s="22">
        <f>IF(EP57&lt;2,0,IFERROR(_xlfn.AGGREGATE(15,6,nTP_RowN/((nTP_Case_Key=AX57)*(nTP_Role="treatment of the event")*((nTP_Record_Type="EXPOSURE_START")+(nTP_Record_Type="ADMINISTRATION"))*(nTP_Err="")*(nTP_HT*DD57*BN57*(nTP_OK*DE57*(nTP_UTC_n&gt;=N(DG57))+(1-nTP_OK*DE57)*(nTP_Loc_n&gt;=N(DF57)))*(nTP_OK*BO57*(nTP_UTC_n&lt;=N(BQ57))+(1-nTP_OK*BO57)*(nTP_Loc_n&lt;=N(BP57)))+(1-nTP_HT*DD57*BN57)*(nTP_Hi_n&gt;=N(DH57))*(nTP_Lo_n&lt;=N(BS57)))),2),0))</f>
        <v>0</v>
      </c>
      <c r="EV57" s="22">
        <f>IF(EP57&lt;3,0,IFERROR(_xlfn.AGGREGATE(15,6,nTP_RowN/((nTP_Case_Key=AX57)*(nTP_Role="treatment of the event")*((nTP_Record_Type="EXPOSURE_START")+(nTP_Record_Type="ADMINISTRATION"))*(nTP_Err="")*(nTP_HT*DD57*BN57*(nTP_OK*DE57*(nTP_UTC_n&gt;=N(DG57))+(1-nTP_OK*DE57)*(nTP_Loc_n&gt;=N(DF57)))*(nTP_OK*BO57*(nTP_UTC_n&lt;=N(BQ57))+(1-nTP_OK*BO57)*(nTP_Loc_n&lt;=N(BP57)))+(1-nTP_HT*DD57*BN57)*(nTP_Hi_n&gt;=N(DH57))*(nTP_Lo_n&lt;=N(BS57)))),3),0))</f>
        <v>0</v>
      </c>
      <c r="EW57" s="22">
        <f>IF(CE57&lt;1,0,IFERROR(_xlfn.AGGREGATE(15,6,nTP_RowN/((nTP_CandKey=BX57)*(nTP_Err="")*(1-nTP_Exact)*((nTP_HT*BN57*((nTP_OK*BO57*(nTP_UTC_n-N(BQ57))+(1-nTP_OK*BO57)*(nTP_Loc_n-N(BP57)))&lt;=0)+(1-nTP_HT*BN57)*(nTP_Hi_n&lt;N(BR57)))+((1-nTP_HT*BN57)*(nTP_Lo_n=nTP_Hi_n)*(nTP_Lo_n=N(BR57))*(N(BR57)=N(BS57))))),1),0))</f>
        <v>0</v>
      </c>
      <c r="EX57" s="22">
        <f>IF(CE57&lt;2,0,IFERROR(_xlfn.AGGREGATE(15,6,nTP_RowN/((nTP_CandKey=BX57)*(nTP_Err="")*(1-nTP_Exact)*((nTP_HT*BN57*((nTP_OK*BO57*(nTP_UTC_n-N(BQ57))+(1-nTP_OK*BO57)*(nTP_Loc_n-N(BP57)))&lt;=0)+(1-nTP_HT*BN57)*(nTP_Hi_n&lt;N(BR57)))+((1-nTP_HT*BN57)*(nTP_Lo_n=nTP_Hi_n)*(nTP_Lo_n=N(BR57))*(N(BR57)=N(BS57))))),2),0))</f>
        <v>0</v>
      </c>
      <c r="EY57" s="22">
        <f>IF(CE57&lt;3,0,IFERROR(_xlfn.AGGREGATE(15,6,nTP_RowN/((nTP_CandKey=BX57)*(nTP_Err="")*(1-nTP_Exact)*((nTP_HT*BN57*((nTP_OK*BO57*(nTP_UTC_n-N(BQ57))+(1-nTP_OK*BO57)*(nTP_Loc_n-N(BP57)))&lt;=0)+(1-nTP_HT*BN57)*(nTP_Hi_n&lt;N(BR57)))+((1-nTP_HT*BN57)*(nTP_Lo_n=nTP_Hi_n)*(nTP_Lo_n=N(BR57))*(N(BR57)=N(BS57))))),3),0))</f>
        <v>0</v>
      </c>
      <c r="EZ57" s="21" t="str">
        <f>IF(EO57=0,"",MID(IF(EQ57&gt;0,"; "&amp;INDEX(nTP_Record_ID,EQ57)&amp;IF(INDEX(nTP_Label,EQ57)="",""," ("&amp;INDEX(nTP_Label,EQ57)&amp;")"),"")&amp;IF(ER57&gt;0,"; "&amp;INDEX(nTP_Record_ID,ER57)&amp;IF(INDEX(nTP_Label,ER57)="",""," ("&amp;INDEX(nTP_Label,ER57)&amp;")"),"")&amp;IF(ES57&gt;0,"; "&amp;INDEX(nTP_Record_ID,ES57)&amp;IF(INDEX(nTP_Label,ES57)="",""," ("&amp;INDEX(nTP_Label,ES57)&amp;")"),"")&amp;IF(EO57&gt;3,"; and "&amp;(EO57-3)&amp;" more",""),3,999))</f>
        <v/>
      </c>
      <c r="FA57" s="21" t="str">
        <f>IF(EO57=0,"",MID(IF(EQ57&gt;0,"; "&amp;INDEX(nTP_Record_ID,EQ57),"")&amp;IF(ER57&gt;0,"; "&amp;INDEX(nTP_Record_ID,ER57),"")&amp;IF(ES57&gt;0,"; "&amp;INDEX(nTP_Record_ID,ES57),"")&amp;IF(EO57&gt;3,"; and "&amp;(EO57-3)&amp;" more",""),3,999))</f>
        <v/>
      </c>
      <c r="FB57" s="21" t="str">
        <f>IF(EP57=0,"",MID(IF(ET57&gt;0,"; "&amp;INDEX(nTP_Record_ID,ET57)&amp;IF(INDEX(nTP_Label,ET57)="",""," ("&amp;INDEX(nTP_Label,ET57)&amp;")"),"")&amp;IF(EU57&gt;0,"; "&amp;INDEX(nTP_Record_ID,EU57)&amp;IF(INDEX(nTP_Label,EU57)="",""," ("&amp;INDEX(nTP_Label,EU57)&amp;")"),"")&amp;IF(EV57&gt;0,"; "&amp;INDEX(nTP_Record_ID,EV57)&amp;IF(INDEX(nTP_Label,EV57)="",""," ("&amp;INDEX(nTP_Label,EV57)&amp;")"),"")&amp;IF(EP57&gt;3,"; and "&amp;(EP57-3)&amp;" more",""),3,999))</f>
        <v/>
      </c>
      <c r="FC57" s="21" t="str">
        <f>IF(CE57=0,"",MID(IF(EW57&gt;0,"; "&amp;INDEX(nTP_Record_ID,EW57),"")&amp;IF(EX57&gt;0,"; "&amp;INDEX(nTP_Record_ID,EX57),"")&amp;IF(EY57&gt;0,"; "&amp;INDEX(nTP_Record_ID,EY57),"")&amp;IF(CE57&gt;3,"; and "&amp;(CE57-3)&amp;" more",""),3,999))</f>
        <v/>
      </c>
      <c r="FD57" s="22">
        <f t="shared" si="118"/>
        <v>0</v>
      </c>
      <c r="FE57" s="22">
        <f t="shared" si="119"/>
        <v>0</v>
      </c>
      <c r="FF57" s="22">
        <f t="shared" si="120"/>
        <v>0</v>
      </c>
      <c r="FG57" s="22">
        <f t="shared" si="121"/>
        <v>0</v>
      </c>
      <c r="FH57" s="22">
        <f t="shared" si="122"/>
        <v>0</v>
      </c>
      <c r="FI57" s="22">
        <f t="shared" si="123"/>
        <v>0</v>
      </c>
      <c r="FJ57" s="22">
        <f t="shared" si="124"/>
        <v>0</v>
      </c>
      <c r="FK57" s="22">
        <f t="shared" si="125"/>
        <v>0</v>
      </c>
    </row>
    <row r="58" spans="1:167" x14ac:dyDescent="0.2">
      <c r="A58" s="9" t="s">
        <v>1154</v>
      </c>
      <c r="B58" s="9" t="s">
        <v>297</v>
      </c>
      <c r="C58" s="11">
        <v>2</v>
      </c>
      <c r="D58" s="9" t="s">
        <v>894</v>
      </c>
      <c r="E58" s="16" t="s">
        <v>51</v>
      </c>
      <c r="F58" s="9"/>
      <c r="G58" s="9" t="s">
        <v>1126</v>
      </c>
      <c r="H58" s="9" t="s">
        <v>1144</v>
      </c>
      <c r="I58" s="16" t="s">
        <v>59</v>
      </c>
      <c r="J58" s="16"/>
      <c r="K58" s="9"/>
      <c r="L58" s="16"/>
      <c r="M58" s="16"/>
      <c r="N58" s="16"/>
      <c r="O58" s="9"/>
      <c r="P58" s="14"/>
      <c r="Q58" s="14"/>
      <c r="R58" s="9"/>
      <c r="S58" s="9" t="s">
        <v>1155</v>
      </c>
      <c r="T58" s="21" t="str">
        <f t="shared" si="63"/>
        <v>16 minutes</v>
      </c>
      <c r="U58" s="21" t="str">
        <f t="shared" si="64"/>
        <v>16 minutes</v>
      </c>
      <c r="V58" s="21">
        <f t="shared" si="65"/>
        <v>16</v>
      </c>
      <c r="W58" s="21" t="str">
        <f t="shared" si="66"/>
        <v/>
      </c>
      <c r="X58" s="21" t="str">
        <f t="shared" si="67"/>
        <v/>
      </c>
      <c r="Y58" s="21" t="str">
        <f t="shared" si="68"/>
        <v>minutes</v>
      </c>
      <c r="Z58" s="21" t="str">
        <f t="shared" si="69"/>
        <v>C1</v>
      </c>
      <c r="AA58" s="21" t="str">
        <f t="shared" si="70"/>
        <v>AFTER</v>
      </c>
      <c r="AB58" s="21" t="str">
        <f t="shared" si="71"/>
        <v/>
      </c>
      <c r="AC58" s="21" t="str">
        <f t="shared" si="72"/>
        <v/>
      </c>
      <c r="AD58" s="21" t="str">
        <f>IF(AW58=1,"",MID(IF(ISNUMBER(SEARCH("E_INVALID_DATE",EG58))," | E_INVALID_DATE: "&amp;SUBSTITUTE(IFERROR(INDEX(nMSG_Text,MATCH("E_INVALID_DATE",nMSG_Code,0)),""),"[input]",""),"")&amp;IF(ISNUMBER(SEARCH("E_REVERSED_BOUNDS",EG58))," | E_REVERSED_BOUNDS: "&amp;SUBSTITUTE(IFERROR(INDEX(nMSG_Text,MATCH("E_REVERSED_BOUNDS",nMSG_Code,0)),""),"[input]",""),"")&amp;IF(ISNUMBER(SEARCH("E_DUPLICATE_ID",EG58))," | E_DUPLICATE_ID: "&amp;SUBSTITUTE(IFERROR(INDEX(nMSG_Text,MATCH("E_DUPLICATE_ID",nMSG_Code,0)),""),"[input]",""),"")&amp;IF(ISNUMBER(SEARCH("E_MISSING_LINK",EG58))," | E_MISSING_LINK: "&amp;SUBSTITUTE(IFERROR(INDEX(nMSG_Text,MATCH("E_MISSING_LINK",nMSG_Code,0)),""),"[input]",""),"")&amp;IF(ISNUMBER(SEARCH("E_MISSING_INPUT",EG58))," | E_MISSING_INPUT: "&amp;SUBSTITUTE(IFERROR(INDEX(nMSG_Text,MATCH("E_MISSING_INPUT",nMSG_Code,0)),""),"[input]",IF(EH58="","an input",EH58)),"")&amp;IF(ISNUMBER(SEARCH("E_INVALID_UNIT",EG58))," | E_INVALID_UNIT: "&amp;SUBSTITUTE(IFERROR(INDEX(nMSG_Text,MATCH("E_INVALID_UNIT",nMSG_Code,0)),""),"[input]",""),"")&amp;IF(FD58=1," | W_TZ_UNKNOWN: "&amp;SUBSTITUTE(IFERROR(INDEX(nMSG_Text,MATCH("W_TZ_UNKNOWN",nMSG_Code,0)),""),"[input]",""),"")&amp;IF(FE58=1," | W_SAME_DATE_ORDER_UNKNOWN: "&amp;SUBSTITUTE(IFERROR(INDEX(nMSG_Text,MATCH("W_SAME_DATE_ORDER_UNKNOWN",nMSG_Code,0)),""),"[input]",""),"")&amp;IF(FF58=1," | W_SEQUENCE_UNCERTAIN: "&amp;SUBSTITUTE(IFERROR(INDEX(nMSG_Text,MATCH("W_SEQUENCE_UNCERTAIN",nMSG_Code,0)),""),"[input]",""),"")&amp;IF(FG58=1," | W_ADMIN_SAME_DATE_AS_ONSET: "&amp;SUBSTITUTE(IFERROR(INDEX(nMSG_Text,MATCH("W_ADMIN_SAME_DATE_AS_ONSET",nMSG_Code,0)),""),"[input]",""),"")&amp;IF(FH58=1," | W_REPORTED_TIMING_CONFLICT: "&amp;SUBSTITUTE(IFERROR(INDEX(nMSG_Text,MATCH("W_REPORTED_TIMING_CONFLICT",nMSG_Code,0)),""),"[input]",""),"")&amp;IF(FI58=1," | W_INTERVENTION_BEFORE_RECOVERY: "&amp;SUBSTITUTE(IFERROR(INDEX(nMSG_Text,MATCH("W_INTERVENTION_BEFORE_RECOVERY",nMSG_Code,0)),""),"[input]",""),"")&amp;IF(FJ58=1," | I_TREATMENT_DAY_UNDEFINED: "&amp;SUBSTITUTE(IFERROR(INDEX(nMSG_Text,MATCH("I_TREATMENT_DAY_UNDEFINED",nMSG_Code,0)),""),"[input]",""),"")&amp;IF(FK58=1," | I_APPROXIMATE_NOT_COMPARED: "&amp;SUBSTITUTE(IFERROR(INDEX(nMSG_Text,MATCH("I_APPROXIMATE_NOT_COMPARED",nMSG_Code,0)),""),"[input]",""),""),4,9999))</f>
        <v/>
      </c>
      <c r="AE58" s="21" t="str">
        <f t="shared" si="73"/>
        <v/>
      </c>
      <c r="AF58" s="21" t="str">
        <f t="shared" si="74"/>
        <v/>
      </c>
      <c r="AG58" s="21" t="str">
        <f>IF(EN58="","",MID(IF(ISNUMBER(SEARCH("E_REVERSED_BOUNDS",EN58))," | E_REVERSED_BOUNDS: "&amp;SUBSTITUTE(IFERROR(INDEX(nMSG_Text,MATCH("E_REVERSED_BOUNDS",nMSG_Code,0)),""),"[input]",""),"")&amp;IF(ISNUMBER(SEARCH("E_MISSING_INPUT",EN58))," | E_MISSING_INPUT: "&amp;SUBSTITUTE(IFERROR(INDEX(nMSG_Text,MATCH("E_MISSING_INPUT",nMSG_Code,0)),""),"[input]",IF("the source of the constraint"="","an input","the source of the constraint")),""),4,999))</f>
        <v/>
      </c>
      <c r="AH58" s="21" t="str">
        <f t="shared" si="75"/>
        <v/>
      </c>
      <c r="AI58" s="21" t="str">
        <f t="shared" si="76"/>
        <v>EX-A/START → EX-A/STOP</v>
      </c>
      <c r="AJ58" s="21" t="str">
        <f t="shared" si="77"/>
        <v>EX-A/START</v>
      </c>
      <c r="AK58" s="21" t="str">
        <f t="shared" si="78"/>
        <v>EX-A/STOP</v>
      </c>
      <c r="AL58" s="21" t="str">
        <f>IF(CY58=0,"",INDEX(nTP_ISO,CY58))</f>
        <v>2026-01-10T09:00-05:00</v>
      </c>
      <c r="AM58" s="21" t="str">
        <f>IF(CY58=0,"",INDEX(nTP_Display,CY58))</f>
        <v>10 January 2026 09:00 (UTC-05:00)</v>
      </c>
      <c r="AN58" s="21" t="str">
        <f>IF(BI58=0,"",INDEX(nTP_ISO,BI58))</f>
        <v>2026-01-10T09:16-05:00</v>
      </c>
      <c r="AO58" s="21" t="str">
        <f>IF(BI58=0,"",INDEX(nTP_Display,BI58))</f>
        <v>10 January 2026 09:16 (UTC-05:00)</v>
      </c>
      <c r="AP58" s="21" t="str">
        <f>IF(BA58=0,"",INDEX(nLNK_Exposure_Episode_ID,BA58)&amp;"")</f>
        <v>EX-A</v>
      </c>
      <c r="AQ58" s="21" t="str">
        <f>IF(BA58=0,"",INDEX(nLNK_Event_Episode_ID,BA58)&amp;"")</f>
        <v>EV-1</v>
      </c>
      <c r="AR58" s="21" t="str">
        <f t="shared" si="79"/>
        <v>Anchor (FIRST_ADMIN) EX-A/START: 2026-01-10T09:00-05:00 [timestamp with UTC offset; case measurement; original: "09:00 Drug A infusion commenced"; source: Nursing chart; medication administration record] | End point EX-A/STOP: 2026-01-10T09:16-05:00 [timestamp with UTC offset; case measurement; original: "09:16 infusion stopped, doctor called"; source: Nursing chart]</v>
      </c>
      <c r="AS58" s="21" t="str">
        <f>IF(EI58=0,"",MID(IF(DT58=1," | Recovery interval (C7) computed with "&amp;DS58&amp;".","")&amp;IF(BG58=1," | Anchor selected under C5 (CALC-SPEC 1.1): latest administration with an exact date or time at or before "&amp;IF(BH58=1,"onset","the end point")&amp;" ("&amp;AJ58&amp;"), ordered in UTC when offsets are known; later administrations are never selected.","")&amp;IF(AND(BG58=1,CE58&gt;0)," | Partial-date administrations wholly before the selected one were not candidates: "&amp;FC58&amp;".","")&amp;IF(BV58&lt;&gt;""," | "&amp;BV58,"")&amp;IF(AND(DS58="C2",EA58=0,DZ58&lt;&gt;"")," | Same calendar date; both times are known, so C1 decides the order ("&amp;AA58&amp;").","")&amp;IF(AND(DS58="C2",DD58*BN58=1,DT58=0)," | Calendar-date difference from the recorded local dates; it is never described as elapsed days.","")&amp;IF(AND(DS58="C4",DT58=0)," | Bounds are treated as independent; no single date is imputed from them.","")&amp;IF(EJ58=1," | Treatment day under the inclusive convention (C3); never written to E2B fields automatically.","")&amp;IF(AND(DS58="C4",DT58=0,EK58=0)," | No constraint applied.","")&amp;IF(AND(DS58="C4",EK58=1)," | Constraint applied to the anchor bounds: "&amp;IF(ISNUMBER(P58),"not before "&amp;DAY(P58)&amp;" "&amp;INDEX(nLIST_Months,MONTH(P58))&amp;" "&amp;YEAR(P58),"")&amp;IF(AND(ISNUMBER(P58),ISNUMBER(Q58)),", ","")&amp;IF(ISNUMBER(Q58),"not after "&amp;DAY(Q58)&amp;" "&amp;INDEX(nLIST_Months,MONTH(Q58))&amp;" "&amp;YEAR(Q58),"")&amp;". Source: "&amp;IF(R58="","not recorded",R58)&amp;IF(EN58="",". Constrained result shown beside the unconstrained one.",". Constrained result blocked ("&amp;EN58&amp;")."),"")&amp;IF(DT58=1,IF(EO58&gt;0," | Intervention recorded between cessation and recovery (ends included): "&amp;EZ58&amp;"."," | No intervention is recorded between cessation and recovery; absence of a record is not evidence that none was given."),"")&amp;IF(AND(DT58=1,DV58&gt;0)," | Intervention recorded without a date, so whether it came before recovery is unknown: "&amp;INDEX(nMS_Milestone_ID,MATCH(1,INDEX((nMS_CaseKey=AX58)*(nMS_Type="INTERVENTION")*nMS_Undated,0),0))&amp;IF(DV58&gt;1," and "&amp;(DV58-1)&amp;" more","")&amp;".","")&amp;IF(AND(DT58=1,EP58&gt;0)," | Not counted as interventions, because they are recorded as exposures rather than as intervention milestones (nothing is inferred): "&amp;FB58&amp;". If treatment was given, record it as an intervention milestone.",""),4,9999))</f>
        <v/>
      </c>
      <c r="AT58" s="21" t="str">
        <f t="shared" si="80"/>
        <v>The interval describes the sequence and spacing of recorded times; it is not evidence of causation.</v>
      </c>
      <c r="AU58" s="21" t="str">
        <f t="shared" si="81"/>
        <v/>
      </c>
      <c r="AV58" s="21" t="str">
        <f t="shared" si="82"/>
        <v>CALC-SPEC 1.1</v>
      </c>
      <c r="AW58" s="22">
        <f t="shared" si="83"/>
        <v>0</v>
      </c>
      <c r="AX58" s="21" t="str">
        <f t="shared" si="84"/>
        <v>EX-C01|2</v>
      </c>
      <c r="AY58" s="21" t="str">
        <f t="shared" si="85"/>
        <v>EX-C01|2|I13</v>
      </c>
      <c r="AZ58" s="22">
        <f>IF(AY58="",0,COUNTIF(nINT_Key,AY58))</f>
        <v>1</v>
      </c>
      <c r="BA58" s="22">
        <f>IF(D58="",0,IFERROR(MATCH(AX58&amp;"|"&amp;D58,nLNK_Key,0),0))</f>
        <v>22</v>
      </c>
      <c r="BB58" s="22">
        <f>IF(BA58=0,1,INDEX(nLNK_Exp_Found,BA58))</f>
        <v>1</v>
      </c>
      <c r="BC58" s="22">
        <f>IF(BA58=0,1,INDEX(nLNK_Evt_Found,BA58))</f>
        <v>1</v>
      </c>
      <c r="BD58" s="22">
        <f>IF(AP58="",0,COUNTIF(nEXP_Key,AX58&amp;"|"&amp;AP58))</f>
        <v>1</v>
      </c>
      <c r="BE58" s="22">
        <f>IF(AQ58="",0,COUNTIF(nEVT_Key,AX58&amp;"|"&amp;AQ58))</f>
        <v>1</v>
      </c>
      <c r="BF58" s="22">
        <f>IF(ISNA(MATCH(E58,nLIST_AnchorType,0)),0,1)</f>
        <v>1</v>
      </c>
      <c r="BG58" s="22">
        <f t="shared" si="86"/>
        <v>0</v>
      </c>
      <c r="BH58" s="22">
        <f t="shared" si="87"/>
        <v>0</v>
      </c>
      <c r="BI58" s="22">
        <f>IF(OR(AW58=1,AK58=""),0,IFERROR(MATCH(AX58&amp;"|"&amp;AK58,nTP_Key,0),0))</f>
        <v>104</v>
      </c>
      <c r="BJ58" s="21">
        <f>IF(BI58=0,0,INDEX(nTP_Dup,BI58))</f>
        <v>1</v>
      </c>
      <c r="BK58" s="21" t="str">
        <f>IF(BI58=0,"",INDEX(nTP_Record_Type,BI58))</f>
        <v>EXPOSURE_STOP</v>
      </c>
      <c r="BL58" s="21" t="str">
        <f>IF(BI58=0,"",INDEX(nTP_Precision,BI58))</f>
        <v>TIMESTAMP</v>
      </c>
      <c r="BM58" s="21" t="str">
        <f>IF(BI58=0,"",INDEX(nTP_Err,BI58))</f>
        <v/>
      </c>
      <c r="BN58" s="21">
        <f>IF(BI58=0,0,INDEX(nTP_HT,BI58))</f>
        <v>1</v>
      </c>
      <c r="BO58" s="21">
        <f>IF(BI58=0,0,INDEX(nTP_OK,BI58))</f>
        <v>1</v>
      </c>
      <c r="BP58" s="21">
        <f>IF(BI58=0,"",INDEX(nTP_Loc,BI58))</f>
        <v>66286636</v>
      </c>
      <c r="BQ58" s="21">
        <f>IF(BI58=0,"",INDEX(nTP_UTC,BI58))</f>
        <v>66286936</v>
      </c>
      <c r="BR58" s="21">
        <f>IF(BI58=0,"",INDEX(nTP_Lo,BI58))</f>
        <v>46032</v>
      </c>
      <c r="BS58" s="21">
        <f>IF(BI58=0,"",INDEX(nTP_Hi,BI58))</f>
        <v>46032</v>
      </c>
      <c r="BT58" s="21" t="str">
        <f>IF(BI58=0,"",INDEX(nTP_Original_Text,BI58))</f>
        <v>09:16 infusion stopped, doctor called</v>
      </c>
      <c r="BU58" s="21" t="str">
        <f>IF(BI58=0,"",INDEX(nTP_Source,BI58))</f>
        <v>Nursing chart</v>
      </c>
      <c r="BV58" s="21" t="str">
        <f>IF(BI58=0,"",INDEX(nTP_Lab_Note,BI58))</f>
        <v/>
      </c>
      <c r="BW58" s="22">
        <f t="shared" si="88"/>
        <v>1</v>
      </c>
      <c r="BX58" s="21" t="str">
        <f t="shared" si="89"/>
        <v>EX-C01|2|EX-A</v>
      </c>
      <c r="BY58" s="22">
        <f>IF(BG58=0,0,COUNTIF(nTP_CandKey,BX58))</f>
        <v>0</v>
      </c>
      <c r="BZ58" s="22">
        <f>IF(BG58=0,0,COUNTIFS(nTP_CandKey,BX58,nTP_Err,""))</f>
        <v>0</v>
      </c>
      <c r="CA58" s="21" t="str">
        <f>IF(BY58=BZ58,"",IF(COUNTIFS(nTP_CandKey,BX58,nTP_Err,"E_INVALID_DATE")&gt;0,"; E_INVALID_DATE","")&amp;IF(COUNTIFS(nTP_CandKey,BX58,nTP_Err,"E_REVERSED_BOUNDS")&gt;0,"; E_REVERSED_BOUNDS","")&amp;IF(COUNTIFS(nTP_CandKey,BX58,nTP_Err,"E_MISSING_INPUT")&gt;0,"; E_MISSING_INPUT","")&amp;IF(COUNTIFS(nTP_CandKey,BX58,nTP_Err,"E_INVALID_UNIT")&gt;0,"; E_INVALID_UNIT",""))</f>
        <v/>
      </c>
      <c r="CB58" s="22">
        <f t="shared" si="90"/>
        <v>0</v>
      </c>
      <c r="CC58" s="22">
        <f>IF(CB58=0,0,SUMPRODUCT((nTP_CandKey=BX58)*(nTP_Err="")*(1-(nTP_HT*BN58*((nTP_OK*BO58*(nTP_UTC_n-N(BQ58))+(1-nTP_OK*BO58)*(nTP_Loc_n-N(BP58)))&lt;=0)+(1-nTP_HT*BN58)*(nTP_Hi_n&lt;N(BR58)))-(nTP_HT*BN58*((nTP_OK*BO58*(nTP_UTC_n-N(BQ58))+(1-nTP_OK*BO58)*(nTP_Loc_n-N(BP58)))&gt;0)+(1-nTP_HT*BN58)*(nTP_Lo_n&gt;N(BS58)))-((1-nTP_HT*BN58)*(nTP_Lo_n=nTP_Hi_n)*(nTP_Lo_n=N(BR58))*(N(BR58)=N(BS58))))))</f>
        <v>0</v>
      </c>
      <c r="CD58" s="22">
        <f>IF(CB58=0,0,SUMPRODUCT((nTP_CandKey=BX58)*nTP_Exact*((nTP_HT*BN58*((nTP_OK*BO58*(nTP_UTC_n-N(BQ58))+(1-nTP_OK*BO58)*(nTP_Loc_n-N(BP58)))&lt;=0)+(1-nTP_HT*BN58)*(nTP_Hi_n&lt;N(BR58)))+((1-nTP_HT*BN58)*(nTP_Lo_n=nTP_Hi_n)*(nTP_Lo_n=N(BR58))*(N(BR58)=N(BS58))))))</f>
        <v>0</v>
      </c>
      <c r="CE58" s="22">
        <f>IF(CB58=0,0,SUMPRODUCT((nTP_CandKey=BX58)*(nTP_Err="")*(1-nTP_Exact)*((nTP_HT*BN58*((nTP_OK*BO58*(nTP_UTC_n-N(BQ58))+(1-nTP_OK*BO58)*(nTP_Loc_n-N(BP58)))&lt;=0)+(1-nTP_HT*BN58)*(nTP_Hi_n&lt;N(BR58)))+((1-nTP_HT*BN58)*(nTP_Lo_n=nTP_Hi_n)*(nTP_Lo_n=N(BR58))*(N(BR58)=N(BS58))))))</f>
        <v>0</v>
      </c>
      <c r="CF58" s="22">
        <f>IF(CD58=0,0,SUMPRODUCT(MAX((nTP_CandKey=BX58)*nTP_Exact*((nTP_HT*BN58*((nTP_OK*BO58*(nTP_UTC_n-N(BQ58))+(1-nTP_OK*BO58)*(nTP_Loc_n-N(BP58)))&lt;=0)+(1-nTP_HT*BN58)*(nTP_Hi_n&lt;N(BR58)))+((1-nTP_HT*BN58)*(nTP_Lo_n=nTP_Hi_n)*(nTP_Lo_n=N(BR58))*(N(BR58)=N(BS58))))*nTP_Lo_n)))</f>
        <v>0</v>
      </c>
      <c r="CG58" s="22">
        <f>IF(CD58=0,0,SUMPRODUCT((nTP_CandKey=BX58)*nTP_Exact*((nTP_HT*BN58*((nTP_OK*BO58*(nTP_UTC_n-N(BQ58))+(1-nTP_OK*BO58)*(nTP_Loc_n-N(BP58)))&lt;=0)+(1-nTP_HT*BN58)*(nTP_Hi_n&lt;N(BR58)))+((1-nTP_HT*BN58)*(nTP_Lo_n=nTP_Hi_n)*(nTP_Lo_n=N(BR58))*(N(BR58)=N(BS58))))*(nTP_Lo_n=CF58)))</f>
        <v>0</v>
      </c>
      <c r="CH58" s="22">
        <f>IF(CD58=0,0,SUMPRODUCT((nTP_CandKey=BX58)*nTP_Exact*((nTP_HT*BN58*((nTP_OK*BO58*(nTP_UTC_n-N(BQ58))+(1-nTP_OK*BO58)*(nTP_Loc_n-N(BP58)))&lt;=0)+(1-nTP_HT*BN58)*(nTP_Hi_n&lt;N(BR58)))+((1-nTP_HT*BN58)*(nTP_Lo_n=nTP_Hi_n)*(nTP_Lo_n=N(BR58))*(N(BR58)=N(BS58))))*(1-nTP_HT)*(nTP_Lo_n=CF58)))</f>
        <v>0</v>
      </c>
      <c r="CI58" s="22">
        <f>IF(CD58=0,0,SUMPRODUCT(MAX((nTP_CandKey=BX58)*nTP_Exact*((nTP_HT*BN58*((nTP_OK*BO58*(nTP_UTC_n-N(BQ58))+(1-nTP_OK*BO58)*(nTP_Loc_n-N(BP58)))&lt;=0)+(1-nTP_HT*BN58)*(nTP_Hi_n&lt;N(BR58)))+((1-nTP_HT*BN58)*(nTP_Lo_n=nTP_Hi_n)*(nTP_Lo_n=N(BR58))*(N(BR58)=N(BS58))))*(1-nTP_HT)*nTP_Lo_n)))</f>
        <v>0</v>
      </c>
      <c r="CJ58" s="22">
        <f>IF(CD58=0,0,SUMPRODUCT(MAX((nTP_CandKey=BX58)*nTP_Exact*((nTP_HT*BN58*((nTP_OK*BO58*(nTP_UTC_n-N(BQ58))+(1-nTP_OK*BO58)*(nTP_Loc_n-N(BP58)))&lt;=0)+(1-nTP_HT*BN58)*(nTP_Hi_n&lt;N(BR58)))+((1-nTP_HT*BN58)*(nTP_Lo_n=nTP_Hi_n)*(nTP_Lo_n=N(BR58))*(N(BR58)=N(BS58))))*nTP_HT*nTP_OK*nTP_UTC_n)))</f>
        <v>0</v>
      </c>
      <c r="CK58" s="22">
        <f>IF(CJ58=0,0,SUMPRODUCT((nTP_CandKey=BX58)*nTP_Exact*((nTP_HT*BN58*((nTP_OK*BO58*(nTP_UTC_n-N(BQ58))+(1-nTP_OK*BO58)*(nTP_Loc_n-N(BP58)))&lt;=0)+(1-nTP_HT*BN58)*(nTP_Hi_n&lt;N(BR58)))+((1-nTP_HT*BN58)*(nTP_Lo_n=nTP_Hi_n)*(nTP_Lo_n=N(BR58))*(N(BR58)=N(BS58))))*nTP_HT*nTP_OK*(nTP_UTC_n=CJ58)))</f>
        <v>0</v>
      </c>
      <c r="CL58" s="22">
        <f>IF(CK58&lt;&gt;1,0,SUMPRODUCT((nTP_CandKey=BX58)*nTP_Exact*((nTP_HT*BN58*((nTP_OK*BO58*(nTP_UTC_n-N(BQ58))+(1-nTP_OK*BO58)*(nTP_Loc_n-N(BP58)))&lt;=0)+(1-nTP_HT*BN58)*(nTP_Hi_n&lt;N(BR58)))+((1-nTP_HT*BN58)*(nTP_Lo_n=nTP_Hi_n)*(nTP_Lo_n=N(BR58))*(N(BR58)=N(BS58))))*nTP_HT*nTP_OK*(nTP_UTC_n=CJ58)*nTP_Loc_n))</f>
        <v>0</v>
      </c>
      <c r="CM58" s="22">
        <f>IF(CK58&lt;&gt;1,0,SUMPRODUCT((nTP_CandKey=BX58)*nTP_Exact*((nTP_HT*BN58*((nTP_OK*BO58*(nTP_UTC_n-N(BQ58))+(1-nTP_OK*BO58)*(nTP_Loc_n-N(BP58)))&lt;=0)+(1-nTP_HT*BN58)*(nTP_Hi_n&lt;N(BR58)))+((1-nTP_HT*BN58)*(nTP_Lo_n=nTP_Hi_n)*(nTP_Lo_n=N(BR58))*(N(BR58)=N(BS58))))*nTP_HT*nTP_OK*(nTP_UTC_n=CJ58)*nTP_Lo_n))</f>
        <v>0</v>
      </c>
      <c r="CN58" s="22">
        <f>IF(CD58=0,0,SUMPRODUCT(MAX((nTP_CandKey=BX58)*nTP_Exact*((nTP_HT*BN58*((nTP_OK*BO58*(nTP_UTC_n-N(BQ58))+(1-nTP_OK*BO58)*(nTP_Loc_n-N(BP58)))&lt;=0)+(1-nTP_HT*BN58)*(nTP_Hi_n&lt;N(BR58)))+((1-nTP_HT*BN58)*(nTP_Lo_n=nTP_Hi_n)*(nTP_Lo_n=N(BR58))*(N(BR58)=N(BS58))))*nTP_HT*(1-nTP_OK)*nTP_Loc_n)))</f>
        <v>0</v>
      </c>
      <c r="CO58" s="22">
        <f>IF(CN58=0,0,SUMPRODUCT((nTP_CandKey=BX58)*nTP_Exact*((nTP_HT*BN58*((nTP_OK*BO58*(nTP_UTC_n-N(BQ58))+(1-nTP_OK*BO58)*(nTP_Loc_n-N(BP58)))&lt;=0)+(1-nTP_HT*BN58)*(nTP_Hi_n&lt;N(BR58)))+((1-nTP_HT*BN58)*(nTP_Lo_n=nTP_Hi_n)*(nTP_Lo_n=N(BR58))*(N(BR58)=N(BS58))))*nTP_HT*(1-nTP_OK)*(nTP_Loc_n=CN58)))</f>
        <v>0</v>
      </c>
      <c r="CP58" s="22">
        <f>IF(CO58&lt;&gt;1,0,SUMPRODUCT((nTP_CandKey=BX58)*nTP_Exact*((nTP_HT*BN58*((nTP_OK*BO58*(nTP_UTC_n-N(BQ58))+(1-nTP_OK*BO58)*(nTP_Loc_n-N(BP58)))&lt;=0)+(1-nTP_HT*BN58)*(nTP_Hi_n&lt;N(BR58)))+((1-nTP_HT*BN58)*(nTP_Lo_n=nTP_Hi_n)*(nTP_Lo_n=N(BR58))*(N(BR58)=N(BS58))))*nTP_HT*(1-nTP_OK)*(nTP_Loc_n=CN58)*nTP_Lo_n))</f>
        <v>0</v>
      </c>
      <c r="CQ58" s="22">
        <f>IF(CD58=0,0,SUMPRODUCT(MAX((nTP_CandKey=BX58)*nTP_Exact*((nTP_HT*BN58*((nTP_OK*BO58*(nTP_UTC_n-N(BQ58))+(1-nTP_OK*BO58)*(nTP_Loc_n-N(BP58)))&lt;=0)+(1-nTP_HT*BN58)*(nTP_Hi_n&lt;N(BR58)))+((1-nTP_HT*BN58)*(nTP_Lo_n=nTP_Hi_n)*(nTP_Lo_n=N(BR58))*(N(BR58)=N(BS58))))*nTP_HT*nTP_OK*nTP_Loc_n)))</f>
        <v>0</v>
      </c>
      <c r="CR58" s="22">
        <f t="shared" si="91"/>
        <v>0</v>
      </c>
      <c r="CS58" s="22">
        <f>IF(CR58=0,0,IF(CR58=1,MATCH(1,INDEX((nTP_CandKey=BX58)*nTP_Exact*((nTP_HT*BN58*((nTP_OK*BO58*(nTP_UTC_n-N(BQ58))+(1-nTP_OK*BO58)*(nTP_Loc_n-N(BP58)))&lt;=0)+(1-nTP_HT*BN58)*(nTP_Hi_n&lt;N(BR58)))+((1-nTP_HT*BN58)*(nTP_Lo_n=nTP_Hi_n)*(nTP_Lo_n=N(BR58))*(N(BR58)=N(BS58))))*(1-nTP_HT)*(nTP_Lo_n=CF58),0),0),IF(CR58=2,MATCH(1,INDEX((nTP_CandKey=BX58)*nTP_Exact*((nTP_HT*BN58*((nTP_OK*BO58*(nTP_UTC_n-N(BQ58))+(1-nTP_OK*BO58)*(nTP_Loc_n-N(BP58)))&lt;=0)+(1-nTP_HT*BN58)*(nTP_Hi_n&lt;N(BR58)))+((1-nTP_HT*BN58)*(nTP_Lo_n=nTP_Hi_n)*(nTP_Lo_n=N(BR58))*(N(BR58)=N(BS58))))*nTP_HT*nTP_OK*(nTP_UTC_n=CJ58),0),0),MATCH(1,INDEX((nTP_CandKey=BX58)*nTP_Exact*((nTP_HT*BN58*((nTP_OK*BO58*(nTP_UTC_n-N(BQ58))+(1-nTP_OK*BO58)*(nTP_Loc_n-N(BP58)))&lt;=0)+(1-nTP_HT*BN58)*(nTP_Hi_n&lt;N(BR58)))+((1-nTP_HT*BN58)*(nTP_Lo_n=nTP_Hi_n)*(nTP_Lo_n=N(BR58))*(N(BR58)=N(BS58))))*nTP_HT*(1-nTP_OK)*(nTP_Loc_n=CN58),0),0))))</f>
        <v>0</v>
      </c>
      <c r="CT58" s="22">
        <f>IF(CS58=0,0,INDEX(nTP_Lo_n,CS58))</f>
        <v>0</v>
      </c>
      <c r="CU58" s="22">
        <f>IF(CS58=0,0,SUMPRODUCT((nTP_CandKey=BX58)*(nTP_Err="")*(1-nTP_Exact)*((nTP_HT*BN58*((nTP_OK*BO58*(nTP_UTC_n-N(BQ58))+(1-nTP_OK*BO58)*(nTP_Loc_n-N(BP58)))&lt;=0)+(1-nTP_HT*BN58)*(nTP_Hi_n&lt;N(BR58)))+((1-nTP_HT*BN58)*(nTP_Lo_n=nTP_Hi_n)*(nTP_Lo_n=N(BR58))*(N(BR58)=N(BS58))))*(nTP_Hi_n&gt;=CT58)))</f>
        <v>0</v>
      </c>
      <c r="CV58" s="21" t="str">
        <f t="shared" si="92"/>
        <v/>
      </c>
      <c r="CW58" s="21" t="str">
        <f>IF(AND(BG58=1,CB58=1,CV58="",CS58&gt;0),INDEX(nTP_Record_ID,CS58)&amp;"","")</f>
        <v/>
      </c>
      <c r="CX58" s="21" t="str">
        <f>IF(OR(CV58="",BG58=0),"",IF(CV58="none","an administration record (last dose before onset)",IF(CV58="uncertain","the anchor record: "&amp;INDEX(nTP_Record_ID,MATCH(1,INDEX((nTP_CandKey=BX58)*(nTP_Err="")*(1-(nTP_HT*BN58*((nTP_OK*BO58*(nTP_UTC_n-N(BQ58))+(1-nTP_OK*BO58)*(nTP_Loc_n-N(BP58)))&lt;=0)+(1-nTP_HT*BN58)*(nTP_Hi_n&lt;N(BR58)))-(nTP_HT*BN58*((nTP_OK*BO58*(nTP_UTC_n-N(BQ58))+(1-nTP_OK*BO58)*(nTP_Loc_n-N(BP58)))&gt;0)+(1-nTP_HT*BN58)*(nTP_Lo_n&gt;N(BS58)))-((1-nTP_HT*BN58)*(nTP_Lo_n=nTP_Hi_n)*(nTP_Lo_n=N(BR58))*(N(BR58)=N(BS58)))),0),0))&amp;IF(CC58&gt;1," and "&amp;(CC58-1)&amp;" more","")&amp;" may fall before or after the end point, so the last dose cannot be identified from the recorded dates",IF(CV58="noneligible","the anchor record: no administration with an exact date is recorded at or before the end point",IF(CV58="tie","the anchor record: the order of the latest administrations cannot be told from the recorded dates and times","the anchor record: partial-date administration "&amp;INDEX(nTP_Record_ID,MATCH(1,INDEX((nTP_CandKey=BX58)*(nTP_Err="")*(1-nTP_Exact)*((nTP_HT*BN58*((nTP_OK*BO58*(nTP_UTC_n-N(BQ58))+(1-nTP_OK*BO58)*(nTP_Loc_n-N(BP58)))&lt;=0)+(1-nTP_HT*BN58)*(nTP_Hi_n&lt;N(BR58)))+((1-nTP_HT*BN58)*(nTP_Lo_n=nTP_Hi_n)*(nTP_Lo_n=N(BR58))*(N(BR58)=N(BS58))))*(nTP_Hi_n&gt;=CT58),0),0))&amp;" could be the last dose before the end point")))))</f>
        <v/>
      </c>
      <c r="CY58" s="22">
        <f>IF(OR(AW58=1,AJ58=""),0,IFERROR(MATCH(AX58&amp;"|"&amp;AJ58,nTP_Key,0),0))</f>
        <v>32</v>
      </c>
      <c r="CZ58" s="21">
        <f>IF(CY58=0,0,INDEX(nTP_Dup,CY58))</f>
        <v>1</v>
      </c>
      <c r="DA58" s="21" t="str">
        <f>IF(CY58=0,"",INDEX(nTP_Record_Type,CY58))</f>
        <v>EXPOSURE_START</v>
      </c>
      <c r="DB58" s="21" t="str">
        <f>IF(CY58=0,"",INDEX(nTP_Precision,CY58))</f>
        <v>TIMESTAMP</v>
      </c>
      <c r="DC58" s="21" t="str">
        <f>IF(CY58=0,"",INDEX(nTP_Err,CY58))</f>
        <v/>
      </c>
      <c r="DD58" s="21">
        <f>IF(CY58=0,0,INDEX(nTP_HT,CY58))</f>
        <v>1</v>
      </c>
      <c r="DE58" s="21">
        <f>IF(CY58=0,0,INDEX(nTP_OK,CY58))</f>
        <v>1</v>
      </c>
      <c r="DF58" s="21">
        <f>IF(CY58=0,"",INDEX(nTP_Loc,CY58))</f>
        <v>66286620</v>
      </c>
      <c r="DG58" s="21">
        <f>IF(CY58=0,"",INDEX(nTP_UTC,CY58))</f>
        <v>66286920</v>
      </c>
      <c r="DH58" s="21">
        <f>IF(CY58=0,"",INDEX(nTP_Lo,CY58))</f>
        <v>46032</v>
      </c>
      <c r="DI58" s="21">
        <f>IF(CY58=0,"",INDEX(nTP_Hi,CY58))</f>
        <v>46032</v>
      </c>
      <c r="DJ58" s="21" t="str">
        <f>IF(CY58=0,"",INDEX(nTP_Original_Text,CY58))</f>
        <v>09:00 Drug A infusion commenced</v>
      </c>
      <c r="DK58" s="21" t="str">
        <f>IF(CY58=0,"",INDEX(nTP_Source,CY58))</f>
        <v>Nursing chart; medication administration record</v>
      </c>
      <c r="DL58" s="22">
        <f t="shared" si="93"/>
        <v>1</v>
      </c>
      <c r="DM58" s="21" t="str">
        <f t="shared" si="94"/>
        <v/>
      </c>
      <c r="DN58" s="21" t="str">
        <f t="shared" si="95"/>
        <v/>
      </c>
      <c r="DO58" s="21" t="str">
        <f t="shared" si="96"/>
        <v/>
      </c>
      <c r="DP58" s="21" t="str">
        <f t="shared" si="97"/>
        <v/>
      </c>
      <c r="DQ58" s="21" t="str">
        <f t="shared" si="98"/>
        <v>C1</v>
      </c>
      <c r="DR58" s="22">
        <f>IF(OR(DQ58="",I58=""),0,IF(ISNA(MATCH(I58,nLIST_Mode,0)),1,IF(AND(I58="C1",DQ58&lt;&gt;"C1"),1,IF(AND(I58="C2",DQ58="C4"),1,0))))</f>
        <v>0</v>
      </c>
      <c r="DS58" s="21" t="str">
        <f t="shared" si="99"/>
        <v>C1</v>
      </c>
      <c r="DT58" s="22">
        <f t="shared" si="100"/>
        <v>0</v>
      </c>
      <c r="DU58" s="21" t="str">
        <f>IF(DT58=0,"",IF(COUNTIFS(nTP_Case_Key,AX58,nTP_Record_Type,"MILESTONE:INTERVENTION",nTP_Err,"E_INVALID_DATE")&gt;0,"; E_INVALID_DATE","")&amp;IF(COUNTIFS(nTP_Case_Key,AX58,nTP_Record_Type,"MILESTONE:INTERVENTION",nTP_Err,"E_REVERSED_BOUNDS")&gt;0,"; E_REVERSED_BOUNDS","")&amp;IF(COUNTIFS(nTP_Case_Key,AX58,nTP_Record_Type,"MILESTONE:INTERVENTION",nTP_Err,"E_MISSING_INPUT")&gt;0,"; E_MISSING_INPUT","")&amp;IF(COUNTIFS(nTP_Case_Key,AX58,nTP_Record_Type,"MILESTONE:INTERVENTION",nTP_Err,"E_INVALID_UNIT")&gt;0,"; E_INVALID_UNIT",""))</f>
        <v/>
      </c>
      <c r="DV58" s="22">
        <f>IF(DT58=0,0,SUMPRODUCT((nMS_CaseKey=AX58)*(nMS_Type="INTERVENTION")*nMS_Undated))</f>
        <v>0</v>
      </c>
      <c r="DW58" s="21" t="str">
        <f t="shared" si="101"/>
        <v/>
      </c>
      <c r="DX58" s="21" t="str">
        <f t="shared" si="102"/>
        <v/>
      </c>
      <c r="DY58" s="22">
        <f t="shared" si="103"/>
        <v>0</v>
      </c>
      <c r="DZ58" s="21">
        <f t="shared" si="104"/>
        <v>16</v>
      </c>
      <c r="EA58" s="21" t="str">
        <f t="shared" si="105"/>
        <v/>
      </c>
      <c r="EB58" s="21" t="str">
        <f t="shared" si="106"/>
        <v/>
      </c>
      <c r="EC58" s="21" t="str">
        <f t="shared" si="107"/>
        <v/>
      </c>
      <c r="ED58" s="22">
        <f t="shared" si="108"/>
        <v>0</v>
      </c>
      <c r="EE58" s="22">
        <f t="shared" si="109"/>
        <v>0</v>
      </c>
      <c r="EF58" s="21" t="str">
        <f>IF(ED58=0,"",IF(OR(NOT(ISNUMBER(L58)),NOT(ISNUMBER(M58))),"I_APPROXIMATE_NOT_COMPARED",IF(AND(N58&lt;&gt;"",ISNA(MATCH(N58,nLIST_ReportedUnit,0))),"E_INVALID_UNIT",IF(N58="","E_MISSING_INPUT",IF(L58&gt;M58,"E_REVERSED_BOUNDS",IF(OR(N58="weeks",N58="months",N58="years"),"I_APPROXIMATE_NOT_COMPARED",IF(DX58&lt;&gt;"","",IF(EE58=0,"I_APPROXIMATE_NOT_COMPARED",IF(AND(L58*EE58&lt;=IF(DS58="C4",EC58,IF(DS58="C1",DZ58,EA58)),M58*EE58&gt;=IF(DS58="C4",EB58,IF(DS58="C1",DZ58,EA58))),"OVERLAP","W_REPORTED_TIMING_CONFLICT")))))))))</f>
        <v/>
      </c>
      <c r="EG58" s="21" t="str">
        <f t="shared" si="110"/>
        <v/>
      </c>
      <c r="EH58" s="21" t="str">
        <f t="shared" si="111"/>
        <v/>
      </c>
      <c r="EI58" s="22">
        <f t="shared" si="112"/>
        <v>1</v>
      </c>
      <c r="EJ58" s="22">
        <f t="shared" si="113"/>
        <v>0</v>
      </c>
      <c r="EK58" s="22">
        <f t="shared" si="114"/>
        <v>0</v>
      </c>
      <c r="EL58" s="28" t="str">
        <f t="shared" si="115"/>
        <v/>
      </c>
      <c r="EM58" s="28" t="str">
        <f t="shared" si="116"/>
        <v/>
      </c>
      <c r="EN58" s="21" t="str">
        <f t="shared" si="117"/>
        <v/>
      </c>
      <c r="EO58" s="22">
        <f>IF(OR(DT58=0,DX58&lt;&gt;""),0,SUMPRODUCT((nTP_Case_Key=AX58)*(nTP_Record_Type="MILESTONE:INTERVENTION")*(nTP_Err="")*(nTP_HT*DD58*BN58*(nTP_OK*DE58*(nTP_UTC_n&gt;=N(DG58))+(1-nTP_OK*DE58)*(nTP_Loc_n&gt;=N(DF58)))*(nTP_OK*BO58*(nTP_UTC_n&lt;=N(BQ58))+(1-nTP_OK*BO58)*(nTP_Loc_n&lt;=N(BP58)))+(1-nTP_HT*DD58*BN58)*(nTP_Hi_n&gt;=N(DH58))*(nTP_Lo_n&lt;=N(BS58)))))</f>
        <v>0</v>
      </c>
      <c r="EP58" s="22">
        <f>IF(OR(DT58=0,DX58&lt;&gt;""),0,SUMPRODUCT((nTP_Case_Key=AX58)*(nTP_Role="treatment of the event")*((nTP_Record_Type="EXPOSURE_START")+(nTP_Record_Type="ADMINISTRATION"))*(nTP_Err="")*(nTP_HT*DD58*BN58*(nTP_OK*DE58*(nTP_UTC_n&gt;=N(DG58))+(1-nTP_OK*DE58)*(nTP_Loc_n&gt;=N(DF58)))*(nTP_OK*BO58*(nTP_UTC_n&lt;=N(BQ58))+(1-nTP_OK*BO58)*(nTP_Loc_n&lt;=N(BP58)))+(1-nTP_HT*DD58*BN58)*(nTP_Hi_n&gt;=N(DH58))*(nTP_Lo_n&lt;=N(BS58)))))</f>
        <v>0</v>
      </c>
      <c r="EQ58" s="22">
        <f>IF(EO58&lt;1,0,IFERROR(_xlfn.AGGREGATE(15,6,nTP_RowN/((nTP_Case_Key=AX58)*(nTP_Record_Type="MILESTONE:INTERVENTION")*(nTP_Err="")*(nTP_HT*DD58*BN58*(nTP_OK*DE58*(nTP_UTC_n&gt;=N(DG58))+(1-nTP_OK*DE58)*(nTP_Loc_n&gt;=N(DF58)))*(nTP_OK*BO58*(nTP_UTC_n&lt;=N(BQ58))+(1-nTP_OK*BO58)*(nTP_Loc_n&lt;=N(BP58)))+(1-nTP_HT*DD58*BN58)*(nTP_Hi_n&gt;=N(DH58))*(nTP_Lo_n&lt;=N(BS58)))),1),0))</f>
        <v>0</v>
      </c>
      <c r="ER58" s="22">
        <f>IF(EO58&lt;2,0,IFERROR(_xlfn.AGGREGATE(15,6,nTP_RowN/((nTP_Case_Key=AX58)*(nTP_Record_Type="MILESTONE:INTERVENTION")*(nTP_Err="")*(nTP_HT*DD58*BN58*(nTP_OK*DE58*(nTP_UTC_n&gt;=N(DG58))+(1-nTP_OK*DE58)*(nTP_Loc_n&gt;=N(DF58)))*(nTP_OK*BO58*(nTP_UTC_n&lt;=N(BQ58))+(1-nTP_OK*BO58)*(nTP_Loc_n&lt;=N(BP58)))+(1-nTP_HT*DD58*BN58)*(nTP_Hi_n&gt;=N(DH58))*(nTP_Lo_n&lt;=N(BS58)))),2),0))</f>
        <v>0</v>
      </c>
      <c r="ES58" s="22">
        <f>IF(EO58&lt;3,0,IFERROR(_xlfn.AGGREGATE(15,6,nTP_RowN/((nTP_Case_Key=AX58)*(nTP_Record_Type="MILESTONE:INTERVENTION")*(nTP_Err="")*(nTP_HT*DD58*BN58*(nTP_OK*DE58*(nTP_UTC_n&gt;=N(DG58))+(1-nTP_OK*DE58)*(nTP_Loc_n&gt;=N(DF58)))*(nTP_OK*BO58*(nTP_UTC_n&lt;=N(BQ58))+(1-nTP_OK*BO58)*(nTP_Loc_n&lt;=N(BP58)))+(1-nTP_HT*DD58*BN58)*(nTP_Hi_n&gt;=N(DH58))*(nTP_Lo_n&lt;=N(BS58)))),3),0))</f>
        <v>0</v>
      </c>
      <c r="ET58" s="22">
        <f>IF(EP58&lt;1,0,IFERROR(_xlfn.AGGREGATE(15,6,nTP_RowN/((nTP_Case_Key=AX58)*(nTP_Role="treatment of the event")*((nTP_Record_Type="EXPOSURE_START")+(nTP_Record_Type="ADMINISTRATION"))*(nTP_Err="")*(nTP_HT*DD58*BN58*(nTP_OK*DE58*(nTP_UTC_n&gt;=N(DG58))+(1-nTP_OK*DE58)*(nTP_Loc_n&gt;=N(DF58)))*(nTP_OK*BO58*(nTP_UTC_n&lt;=N(BQ58))+(1-nTP_OK*BO58)*(nTP_Loc_n&lt;=N(BP58)))+(1-nTP_HT*DD58*BN58)*(nTP_Hi_n&gt;=N(DH58))*(nTP_Lo_n&lt;=N(BS58)))),1),0))</f>
        <v>0</v>
      </c>
      <c r="EU58" s="22">
        <f>IF(EP58&lt;2,0,IFERROR(_xlfn.AGGREGATE(15,6,nTP_RowN/((nTP_Case_Key=AX58)*(nTP_Role="treatment of the event")*((nTP_Record_Type="EXPOSURE_START")+(nTP_Record_Type="ADMINISTRATION"))*(nTP_Err="")*(nTP_HT*DD58*BN58*(nTP_OK*DE58*(nTP_UTC_n&gt;=N(DG58))+(1-nTP_OK*DE58)*(nTP_Loc_n&gt;=N(DF58)))*(nTP_OK*BO58*(nTP_UTC_n&lt;=N(BQ58))+(1-nTP_OK*BO58)*(nTP_Loc_n&lt;=N(BP58)))+(1-nTP_HT*DD58*BN58)*(nTP_Hi_n&gt;=N(DH58))*(nTP_Lo_n&lt;=N(BS58)))),2),0))</f>
        <v>0</v>
      </c>
      <c r="EV58" s="22">
        <f>IF(EP58&lt;3,0,IFERROR(_xlfn.AGGREGATE(15,6,nTP_RowN/((nTP_Case_Key=AX58)*(nTP_Role="treatment of the event")*((nTP_Record_Type="EXPOSURE_START")+(nTP_Record_Type="ADMINISTRATION"))*(nTP_Err="")*(nTP_HT*DD58*BN58*(nTP_OK*DE58*(nTP_UTC_n&gt;=N(DG58))+(1-nTP_OK*DE58)*(nTP_Loc_n&gt;=N(DF58)))*(nTP_OK*BO58*(nTP_UTC_n&lt;=N(BQ58))+(1-nTP_OK*BO58)*(nTP_Loc_n&lt;=N(BP58)))+(1-nTP_HT*DD58*BN58)*(nTP_Hi_n&gt;=N(DH58))*(nTP_Lo_n&lt;=N(BS58)))),3),0))</f>
        <v>0</v>
      </c>
      <c r="EW58" s="22">
        <f>IF(CE58&lt;1,0,IFERROR(_xlfn.AGGREGATE(15,6,nTP_RowN/((nTP_CandKey=BX58)*(nTP_Err="")*(1-nTP_Exact)*((nTP_HT*BN58*((nTP_OK*BO58*(nTP_UTC_n-N(BQ58))+(1-nTP_OK*BO58)*(nTP_Loc_n-N(BP58)))&lt;=0)+(1-nTP_HT*BN58)*(nTP_Hi_n&lt;N(BR58)))+((1-nTP_HT*BN58)*(nTP_Lo_n=nTP_Hi_n)*(nTP_Lo_n=N(BR58))*(N(BR58)=N(BS58))))),1),0))</f>
        <v>0</v>
      </c>
      <c r="EX58" s="22">
        <f>IF(CE58&lt;2,0,IFERROR(_xlfn.AGGREGATE(15,6,nTP_RowN/((nTP_CandKey=BX58)*(nTP_Err="")*(1-nTP_Exact)*((nTP_HT*BN58*((nTP_OK*BO58*(nTP_UTC_n-N(BQ58))+(1-nTP_OK*BO58)*(nTP_Loc_n-N(BP58)))&lt;=0)+(1-nTP_HT*BN58)*(nTP_Hi_n&lt;N(BR58)))+((1-nTP_HT*BN58)*(nTP_Lo_n=nTP_Hi_n)*(nTP_Lo_n=N(BR58))*(N(BR58)=N(BS58))))),2),0))</f>
        <v>0</v>
      </c>
      <c r="EY58" s="22">
        <f>IF(CE58&lt;3,0,IFERROR(_xlfn.AGGREGATE(15,6,nTP_RowN/((nTP_CandKey=BX58)*(nTP_Err="")*(1-nTP_Exact)*((nTP_HT*BN58*((nTP_OK*BO58*(nTP_UTC_n-N(BQ58))+(1-nTP_OK*BO58)*(nTP_Loc_n-N(BP58)))&lt;=0)+(1-nTP_HT*BN58)*(nTP_Hi_n&lt;N(BR58)))+((1-nTP_HT*BN58)*(nTP_Lo_n=nTP_Hi_n)*(nTP_Lo_n=N(BR58))*(N(BR58)=N(BS58))))),3),0))</f>
        <v>0</v>
      </c>
      <c r="EZ58" s="21" t="str">
        <f>IF(EO58=0,"",MID(IF(EQ58&gt;0,"; "&amp;INDEX(nTP_Record_ID,EQ58)&amp;IF(INDEX(nTP_Label,EQ58)="",""," ("&amp;INDEX(nTP_Label,EQ58)&amp;")"),"")&amp;IF(ER58&gt;0,"; "&amp;INDEX(nTP_Record_ID,ER58)&amp;IF(INDEX(nTP_Label,ER58)="",""," ("&amp;INDEX(nTP_Label,ER58)&amp;")"),"")&amp;IF(ES58&gt;0,"; "&amp;INDEX(nTP_Record_ID,ES58)&amp;IF(INDEX(nTP_Label,ES58)="",""," ("&amp;INDEX(nTP_Label,ES58)&amp;")"),"")&amp;IF(EO58&gt;3,"; and "&amp;(EO58-3)&amp;" more",""),3,999))</f>
        <v/>
      </c>
      <c r="FA58" s="21" t="str">
        <f>IF(EO58=0,"",MID(IF(EQ58&gt;0,"; "&amp;INDEX(nTP_Record_ID,EQ58),"")&amp;IF(ER58&gt;0,"; "&amp;INDEX(nTP_Record_ID,ER58),"")&amp;IF(ES58&gt;0,"; "&amp;INDEX(nTP_Record_ID,ES58),"")&amp;IF(EO58&gt;3,"; and "&amp;(EO58-3)&amp;" more",""),3,999))</f>
        <v/>
      </c>
      <c r="FB58" s="21" t="str">
        <f>IF(EP58=0,"",MID(IF(ET58&gt;0,"; "&amp;INDEX(nTP_Record_ID,ET58)&amp;IF(INDEX(nTP_Label,ET58)="",""," ("&amp;INDEX(nTP_Label,ET58)&amp;")"),"")&amp;IF(EU58&gt;0,"; "&amp;INDEX(nTP_Record_ID,EU58)&amp;IF(INDEX(nTP_Label,EU58)="",""," ("&amp;INDEX(nTP_Label,EU58)&amp;")"),"")&amp;IF(EV58&gt;0,"; "&amp;INDEX(nTP_Record_ID,EV58)&amp;IF(INDEX(nTP_Label,EV58)="",""," ("&amp;INDEX(nTP_Label,EV58)&amp;")"),"")&amp;IF(EP58&gt;3,"; and "&amp;(EP58-3)&amp;" more",""),3,999))</f>
        <v/>
      </c>
      <c r="FC58" s="21" t="str">
        <f>IF(CE58=0,"",MID(IF(EW58&gt;0,"; "&amp;INDEX(nTP_Record_ID,EW58),"")&amp;IF(EX58&gt;0,"; "&amp;INDEX(nTP_Record_ID,EX58),"")&amp;IF(EY58&gt;0,"; "&amp;INDEX(nTP_Record_ID,EY58),"")&amp;IF(CE58&gt;3,"; and "&amp;(CE58-3)&amp;" more",""),3,999))</f>
        <v/>
      </c>
      <c r="FD58" s="22">
        <f t="shared" si="118"/>
        <v>0</v>
      </c>
      <c r="FE58" s="22">
        <f t="shared" si="119"/>
        <v>0</v>
      </c>
      <c r="FF58" s="22">
        <f t="shared" si="120"/>
        <v>0</v>
      </c>
      <c r="FG58" s="22">
        <f t="shared" si="121"/>
        <v>0</v>
      </c>
      <c r="FH58" s="22">
        <f t="shared" si="122"/>
        <v>0</v>
      </c>
      <c r="FI58" s="22">
        <f t="shared" si="123"/>
        <v>0</v>
      </c>
      <c r="FJ58" s="22">
        <f t="shared" si="124"/>
        <v>0</v>
      </c>
      <c r="FK58" s="22">
        <f t="shared" si="125"/>
        <v>0</v>
      </c>
    </row>
    <row r="59" spans="1:167" x14ac:dyDescent="0.2">
      <c r="A59" s="9" t="s">
        <v>1156</v>
      </c>
      <c r="B59" s="9" t="s">
        <v>297</v>
      </c>
      <c r="C59" s="11">
        <v>2</v>
      </c>
      <c r="D59" s="9" t="s">
        <v>894</v>
      </c>
      <c r="E59" s="16" t="s">
        <v>57</v>
      </c>
      <c r="F59" s="9" t="s">
        <v>1153</v>
      </c>
      <c r="G59" s="9" t="s">
        <v>1128</v>
      </c>
      <c r="H59" s="9" t="s">
        <v>811</v>
      </c>
      <c r="I59" s="16" t="s">
        <v>59</v>
      </c>
      <c r="J59" s="16"/>
      <c r="K59" s="9"/>
      <c r="L59" s="16"/>
      <c r="M59" s="16"/>
      <c r="N59" s="16"/>
      <c r="O59" s="9"/>
      <c r="P59" s="14"/>
      <c r="Q59" s="14"/>
      <c r="R59" s="9"/>
      <c r="S59" s="9" t="s">
        <v>1157</v>
      </c>
      <c r="T59" s="21" t="str">
        <f t="shared" si="63"/>
        <v>50 minutes</v>
      </c>
      <c r="U59" s="21" t="str">
        <f t="shared" si="64"/>
        <v>50 minutes</v>
      </c>
      <c r="V59" s="21">
        <f t="shared" si="65"/>
        <v>50</v>
      </c>
      <c r="W59" s="21" t="str">
        <f t="shared" si="66"/>
        <v/>
      </c>
      <c r="X59" s="21" t="str">
        <f t="shared" si="67"/>
        <v/>
      </c>
      <c r="Y59" s="21" t="str">
        <f t="shared" si="68"/>
        <v>minutes</v>
      </c>
      <c r="Z59" s="21" t="str">
        <f t="shared" si="69"/>
        <v>C1</v>
      </c>
      <c r="AA59" s="21" t="str">
        <f t="shared" si="70"/>
        <v>AFTER</v>
      </c>
      <c r="AB59" s="21" t="str">
        <f t="shared" si="71"/>
        <v/>
      </c>
      <c r="AC59" s="21" t="str">
        <f t="shared" si="72"/>
        <v/>
      </c>
      <c r="AD59" s="21" t="str">
        <f>IF(AW59=1,"",MID(IF(ISNUMBER(SEARCH("E_INVALID_DATE",EG59))," | E_INVALID_DATE: "&amp;SUBSTITUTE(IFERROR(INDEX(nMSG_Text,MATCH("E_INVALID_DATE",nMSG_Code,0)),""),"[input]",""),"")&amp;IF(ISNUMBER(SEARCH("E_REVERSED_BOUNDS",EG59))," | E_REVERSED_BOUNDS: "&amp;SUBSTITUTE(IFERROR(INDEX(nMSG_Text,MATCH("E_REVERSED_BOUNDS",nMSG_Code,0)),""),"[input]",""),"")&amp;IF(ISNUMBER(SEARCH("E_DUPLICATE_ID",EG59))," | E_DUPLICATE_ID: "&amp;SUBSTITUTE(IFERROR(INDEX(nMSG_Text,MATCH("E_DUPLICATE_ID",nMSG_Code,0)),""),"[input]",""),"")&amp;IF(ISNUMBER(SEARCH("E_MISSING_LINK",EG59))," | E_MISSING_LINK: "&amp;SUBSTITUTE(IFERROR(INDEX(nMSG_Text,MATCH("E_MISSING_LINK",nMSG_Code,0)),""),"[input]",""),"")&amp;IF(ISNUMBER(SEARCH("E_MISSING_INPUT",EG59))," | E_MISSING_INPUT: "&amp;SUBSTITUTE(IFERROR(INDEX(nMSG_Text,MATCH("E_MISSING_INPUT",nMSG_Code,0)),""),"[input]",IF(EH59="","an input",EH59)),"")&amp;IF(ISNUMBER(SEARCH("E_INVALID_UNIT",EG59))," | E_INVALID_UNIT: "&amp;SUBSTITUTE(IFERROR(INDEX(nMSG_Text,MATCH("E_INVALID_UNIT",nMSG_Code,0)),""),"[input]",""),"")&amp;IF(FD59=1," | W_TZ_UNKNOWN: "&amp;SUBSTITUTE(IFERROR(INDEX(nMSG_Text,MATCH("W_TZ_UNKNOWN",nMSG_Code,0)),""),"[input]",""),"")&amp;IF(FE59=1," | W_SAME_DATE_ORDER_UNKNOWN: "&amp;SUBSTITUTE(IFERROR(INDEX(nMSG_Text,MATCH("W_SAME_DATE_ORDER_UNKNOWN",nMSG_Code,0)),""),"[input]",""),"")&amp;IF(FF59=1," | W_SEQUENCE_UNCERTAIN: "&amp;SUBSTITUTE(IFERROR(INDEX(nMSG_Text,MATCH("W_SEQUENCE_UNCERTAIN",nMSG_Code,0)),""),"[input]",""),"")&amp;IF(FG59=1," | W_ADMIN_SAME_DATE_AS_ONSET: "&amp;SUBSTITUTE(IFERROR(INDEX(nMSG_Text,MATCH("W_ADMIN_SAME_DATE_AS_ONSET",nMSG_Code,0)),""),"[input]",""),"")&amp;IF(FH59=1," | W_REPORTED_TIMING_CONFLICT: "&amp;SUBSTITUTE(IFERROR(INDEX(nMSG_Text,MATCH("W_REPORTED_TIMING_CONFLICT",nMSG_Code,0)),""),"[input]",""),"")&amp;IF(FI59=1," | W_INTERVENTION_BEFORE_RECOVERY: "&amp;SUBSTITUTE(IFERROR(INDEX(nMSG_Text,MATCH("W_INTERVENTION_BEFORE_RECOVERY",nMSG_Code,0)),""),"[input]",""),"")&amp;IF(FJ59=1," | I_TREATMENT_DAY_UNDEFINED: "&amp;SUBSTITUTE(IFERROR(INDEX(nMSG_Text,MATCH("I_TREATMENT_DAY_UNDEFINED",nMSG_Code,0)),""),"[input]",""),"")&amp;IF(FK59=1," | I_APPROXIMATE_NOT_COMPARED: "&amp;SUBSTITUTE(IFERROR(INDEX(nMSG_Text,MATCH("I_APPROXIMATE_NOT_COMPARED",nMSG_Code,0)),""),"[input]",""),""),4,9999))</f>
        <v/>
      </c>
      <c r="AE59" s="21" t="str">
        <f t="shared" si="73"/>
        <v/>
      </c>
      <c r="AF59" s="21" t="str">
        <f t="shared" si="74"/>
        <v/>
      </c>
      <c r="AG59" s="21" t="str">
        <f>IF(EN59="","",MID(IF(ISNUMBER(SEARCH("E_REVERSED_BOUNDS",EN59))," | E_REVERSED_BOUNDS: "&amp;SUBSTITUTE(IFERROR(INDEX(nMSG_Text,MATCH("E_REVERSED_BOUNDS",nMSG_Code,0)),""),"[input]",""),"")&amp;IF(ISNUMBER(SEARCH("E_MISSING_INPUT",EN59))," | E_MISSING_INPUT: "&amp;SUBSTITUTE(IFERROR(INDEX(nMSG_Text,MATCH("E_MISSING_INPUT",nMSG_Code,0)),""),"[input]",IF("the source of the constraint"="","an input","the source of the constraint")),""),4,999))</f>
        <v/>
      </c>
      <c r="AH59" s="21" t="str">
        <f t="shared" si="75"/>
        <v/>
      </c>
      <c r="AI59" s="21" t="str">
        <f t="shared" si="76"/>
        <v>EV-1/ONSET → M-TRYP</v>
      </c>
      <c r="AJ59" s="21" t="str">
        <f t="shared" si="77"/>
        <v>EV-1/ONSET</v>
      </c>
      <c r="AK59" s="21" t="str">
        <f t="shared" si="78"/>
        <v>M-TRYP</v>
      </c>
      <c r="AL59" s="21" t="str">
        <f>IF(CY59=0,"",INDEX(nTP_ISO,CY59))</f>
        <v>2026-01-10T09:15-05:00</v>
      </c>
      <c r="AM59" s="21" t="str">
        <f>IF(CY59=0,"",INDEX(nTP_Display,CY59))</f>
        <v>10 January 2026 09:15 (UTC-05:00)</v>
      </c>
      <c r="AN59" s="21" t="str">
        <f>IF(BI59=0,"",INDEX(nTP_ISO,BI59))</f>
        <v>2026-01-10T10:05-05:00</v>
      </c>
      <c r="AO59" s="21" t="str">
        <f>IF(BI59=0,"",INDEX(nTP_Display,BI59))</f>
        <v>10 January 2026 10:05 (UTC-05:00)</v>
      </c>
      <c r="AP59" s="21" t="str">
        <f>IF(BA59=0,"",INDEX(nLNK_Exposure_Episode_ID,BA59)&amp;"")</f>
        <v>EX-A</v>
      </c>
      <c r="AQ59" s="21" t="str">
        <f>IF(BA59=0,"",INDEX(nLNK_Event_Episode_ID,BA59)&amp;"")</f>
        <v>EV-1</v>
      </c>
      <c r="AR59" s="21" t="str">
        <f t="shared" si="79"/>
        <v>Anchor (OTHER) EV-1/ONSET: 2026-01-10T09:15-05:00 [timestamp with UTC offset; case measurement; original: "09:15 pt reports itching; urticaria chest and arms; audible wheeze; BP 84/52"; source: Nursing observation chart] | End point M-TRYP: 2026-01-10T10:05-05:00 [timestamp with UTC offset; case measurement; original: "tryptase sample 10:05"; source: Follow-up, version 2]</v>
      </c>
      <c r="AS59" s="21" t="str">
        <f>IF(EI59=0,"",MID(IF(DT59=1," | Recovery interval (C7) computed with "&amp;DS59&amp;".","")&amp;IF(BG59=1," | Anchor selected under C5 (CALC-SPEC 1.1): latest administration with an exact date or time at or before "&amp;IF(BH59=1,"onset","the end point")&amp;" ("&amp;AJ59&amp;"), ordered in UTC when offsets are known; later administrations are never selected.","")&amp;IF(AND(BG59=1,CE59&gt;0)," | Partial-date administrations wholly before the selected one were not candidates: "&amp;FC59&amp;".","")&amp;IF(BV59&lt;&gt;""," | "&amp;BV59,"")&amp;IF(AND(DS59="C2",EA59=0,DZ59&lt;&gt;"")," | Same calendar date; both times are known, so C1 decides the order ("&amp;AA59&amp;").","")&amp;IF(AND(DS59="C2",DD59*BN59=1,DT59=0)," | Calendar-date difference from the recorded local dates; it is never described as elapsed days.","")&amp;IF(AND(DS59="C4",DT59=0)," | Bounds are treated as independent; no single date is imputed from them.","")&amp;IF(EJ59=1," | Treatment day under the inclusive convention (C3); never written to E2B fields automatically.","")&amp;IF(AND(DS59="C4",DT59=0,EK59=0)," | No constraint applied.","")&amp;IF(AND(DS59="C4",EK59=1)," | Constraint applied to the anchor bounds: "&amp;IF(ISNUMBER(P59),"not before "&amp;DAY(P59)&amp;" "&amp;INDEX(nLIST_Months,MONTH(P59))&amp;" "&amp;YEAR(P59),"")&amp;IF(AND(ISNUMBER(P59),ISNUMBER(Q59)),", ","")&amp;IF(ISNUMBER(Q59),"not after "&amp;DAY(Q59)&amp;" "&amp;INDEX(nLIST_Months,MONTH(Q59))&amp;" "&amp;YEAR(Q59),"")&amp;". Source: "&amp;IF(R59="","not recorded",R59)&amp;IF(EN59="",". Constrained result shown beside the unconstrained one.",". Constrained result blocked ("&amp;EN59&amp;")."),"")&amp;IF(DT59=1,IF(EO59&gt;0," | Intervention recorded between cessation and recovery (ends included): "&amp;EZ59&amp;"."," | No intervention is recorded between cessation and recovery; absence of a record is not evidence that none was given."),"")&amp;IF(AND(DT59=1,DV59&gt;0)," | Intervention recorded without a date, so whether it came before recovery is unknown: "&amp;INDEX(nMS_Milestone_ID,MATCH(1,INDEX((nMS_CaseKey=AX59)*(nMS_Type="INTERVENTION")*nMS_Undated,0),0))&amp;IF(DV59&gt;1," and "&amp;(DV59-1)&amp;" more","")&amp;".","")&amp;IF(AND(DT59=1,EP59&gt;0)," | Not counted as interventions, because they are recorded as exposures rather than as intervention milestones (nothing is inferred): "&amp;FB59&amp;". If treatment was given, record it as an intervention milestone.",""),4,9999))</f>
        <v/>
      </c>
      <c r="AT59" s="21" t="str">
        <f t="shared" si="80"/>
        <v>The interval describes the sequence and spacing of recorded times; it is not evidence of causation.</v>
      </c>
      <c r="AU59" s="21" t="str">
        <f t="shared" si="81"/>
        <v/>
      </c>
      <c r="AV59" s="21" t="str">
        <f t="shared" si="82"/>
        <v>CALC-SPEC 1.1</v>
      </c>
      <c r="AW59" s="22">
        <f t="shared" si="83"/>
        <v>0</v>
      </c>
      <c r="AX59" s="21" t="str">
        <f t="shared" si="84"/>
        <v>EX-C01|2</v>
      </c>
      <c r="AY59" s="21" t="str">
        <f t="shared" si="85"/>
        <v>EX-C01|2|I14</v>
      </c>
      <c r="AZ59" s="22">
        <f>IF(AY59="",0,COUNTIF(nINT_Key,AY59))</f>
        <v>1</v>
      </c>
      <c r="BA59" s="22">
        <f>IF(D59="",0,IFERROR(MATCH(AX59&amp;"|"&amp;D59,nLNK_Key,0),0))</f>
        <v>22</v>
      </c>
      <c r="BB59" s="22">
        <f>IF(BA59=0,1,INDEX(nLNK_Exp_Found,BA59))</f>
        <v>1</v>
      </c>
      <c r="BC59" s="22">
        <f>IF(BA59=0,1,INDEX(nLNK_Evt_Found,BA59))</f>
        <v>1</v>
      </c>
      <c r="BD59" s="22">
        <f>IF(AP59="",0,COUNTIF(nEXP_Key,AX59&amp;"|"&amp;AP59))</f>
        <v>1</v>
      </c>
      <c r="BE59" s="22">
        <f>IF(AQ59="",0,COUNTIF(nEVT_Key,AX59&amp;"|"&amp;AQ59))</f>
        <v>1</v>
      </c>
      <c r="BF59" s="22">
        <f>IF(ISNA(MATCH(E59,nLIST_AnchorType,0)),0,1)</f>
        <v>1</v>
      </c>
      <c r="BG59" s="22">
        <f t="shared" si="86"/>
        <v>0</v>
      </c>
      <c r="BH59" s="22">
        <f t="shared" si="87"/>
        <v>0</v>
      </c>
      <c r="BI59" s="22">
        <f>IF(OR(AW59=1,AK59=""),0,IFERROR(MATCH(AX59&amp;"|"&amp;AK59,nTP_Key,0),0))</f>
        <v>429</v>
      </c>
      <c r="BJ59" s="21">
        <f>IF(BI59=0,0,INDEX(nTP_Dup,BI59))</f>
        <v>1</v>
      </c>
      <c r="BK59" s="21" t="str">
        <f>IF(BI59=0,"",INDEX(nTP_Record_Type,BI59))</f>
        <v>MILESTONE:TEST</v>
      </c>
      <c r="BL59" s="21" t="str">
        <f>IF(BI59=0,"",INDEX(nTP_Precision,BI59))</f>
        <v>TIMESTAMP</v>
      </c>
      <c r="BM59" s="21" t="str">
        <f>IF(BI59=0,"",INDEX(nTP_Err,BI59))</f>
        <v/>
      </c>
      <c r="BN59" s="21">
        <f>IF(BI59=0,0,INDEX(nTP_HT,BI59))</f>
        <v>1</v>
      </c>
      <c r="BO59" s="21">
        <f>IF(BI59=0,0,INDEX(nTP_OK,BI59))</f>
        <v>1</v>
      </c>
      <c r="BP59" s="21">
        <f>IF(BI59=0,"",INDEX(nTP_Loc,BI59))</f>
        <v>66286685</v>
      </c>
      <c r="BQ59" s="21">
        <f>IF(BI59=0,"",INDEX(nTP_UTC,BI59))</f>
        <v>66286985</v>
      </c>
      <c r="BR59" s="21">
        <f>IF(BI59=0,"",INDEX(nTP_Lo,BI59))</f>
        <v>46032</v>
      </c>
      <c r="BS59" s="21">
        <f>IF(BI59=0,"",INDEX(nTP_Hi,BI59))</f>
        <v>46032</v>
      </c>
      <c r="BT59" s="21" t="str">
        <f>IF(BI59=0,"",INDEX(nTP_Original_Text,BI59))</f>
        <v>tryptase sample 10:05</v>
      </c>
      <c r="BU59" s="21" t="str">
        <f>IF(BI59=0,"",INDEX(nTP_Source,BI59))</f>
        <v>Follow-up, version 2</v>
      </c>
      <c r="BV59" s="21" t="str">
        <f>IF(BI59=0,"",INDEX(nTP_Lab_Note,BI59))</f>
        <v/>
      </c>
      <c r="BW59" s="22">
        <f t="shared" si="88"/>
        <v>1</v>
      </c>
      <c r="BX59" s="21" t="str">
        <f t="shared" si="89"/>
        <v>EX-C01|2|EX-A</v>
      </c>
      <c r="BY59" s="22">
        <f>IF(BG59=0,0,COUNTIF(nTP_CandKey,BX59))</f>
        <v>0</v>
      </c>
      <c r="BZ59" s="22">
        <f>IF(BG59=0,0,COUNTIFS(nTP_CandKey,BX59,nTP_Err,""))</f>
        <v>0</v>
      </c>
      <c r="CA59" s="21" t="str">
        <f>IF(BY59=BZ59,"",IF(COUNTIFS(nTP_CandKey,BX59,nTP_Err,"E_INVALID_DATE")&gt;0,"; E_INVALID_DATE","")&amp;IF(COUNTIFS(nTP_CandKey,BX59,nTP_Err,"E_REVERSED_BOUNDS")&gt;0,"; E_REVERSED_BOUNDS","")&amp;IF(COUNTIFS(nTP_CandKey,BX59,nTP_Err,"E_MISSING_INPUT")&gt;0,"; E_MISSING_INPUT","")&amp;IF(COUNTIFS(nTP_CandKey,BX59,nTP_Err,"E_INVALID_UNIT")&gt;0,"; E_INVALID_UNIT",""))</f>
        <v/>
      </c>
      <c r="CB59" s="22">
        <f t="shared" si="90"/>
        <v>0</v>
      </c>
      <c r="CC59" s="22">
        <f>IF(CB59=0,0,SUMPRODUCT((nTP_CandKey=BX59)*(nTP_Err="")*(1-(nTP_HT*BN59*((nTP_OK*BO59*(nTP_UTC_n-N(BQ59))+(1-nTP_OK*BO59)*(nTP_Loc_n-N(BP59)))&lt;=0)+(1-nTP_HT*BN59)*(nTP_Hi_n&lt;N(BR59)))-(nTP_HT*BN59*((nTP_OK*BO59*(nTP_UTC_n-N(BQ59))+(1-nTP_OK*BO59)*(nTP_Loc_n-N(BP59)))&gt;0)+(1-nTP_HT*BN59)*(nTP_Lo_n&gt;N(BS59)))-((1-nTP_HT*BN59)*(nTP_Lo_n=nTP_Hi_n)*(nTP_Lo_n=N(BR59))*(N(BR59)=N(BS59))))))</f>
        <v>0</v>
      </c>
      <c r="CD59" s="22">
        <f>IF(CB59=0,0,SUMPRODUCT((nTP_CandKey=BX59)*nTP_Exact*((nTP_HT*BN59*((nTP_OK*BO59*(nTP_UTC_n-N(BQ59))+(1-nTP_OK*BO59)*(nTP_Loc_n-N(BP59)))&lt;=0)+(1-nTP_HT*BN59)*(nTP_Hi_n&lt;N(BR59)))+((1-nTP_HT*BN59)*(nTP_Lo_n=nTP_Hi_n)*(nTP_Lo_n=N(BR59))*(N(BR59)=N(BS59))))))</f>
        <v>0</v>
      </c>
      <c r="CE59" s="22">
        <f>IF(CB59=0,0,SUMPRODUCT((nTP_CandKey=BX59)*(nTP_Err="")*(1-nTP_Exact)*((nTP_HT*BN59*((nTP_OK*BO59*(nTP_UTC_n-N(BQ59))+(1-nTP_OK*BO59)*(nTP_Loc_n-N(BP59)))&lt;=0)+(1-nTP_HT*BN59)*(nTP_Hi_n&lt;N(BR59)))+((1-nTP_HT*BN59)*(nTP_Lo_n=nTP_Hi_n)*(nTP_Lo_n=N(BR59))*(N(BR59)=N(BS59))))))</f>
        <v>0</v>
      </c>
      <c r="CF59" s="22">
        <f>IF(CD59=0,0,SUMPRODUCT(MAX((nTP_CandKey=BX59)*nTP_Exact*((nTP_HT*BN59*((nTP_OK*BO59*(nTP_UTC_n-N(BQ59))+(1-nTP_OK*BO59)*(nTP_Loc_n-N(BP59)))&lt;=0)+(1-nTP_HT*BN59)*(nTP_Hi_n&lt;N(BR59)))+((1-nTP_HT*BN59)*(nTP_Lo_n=nTP_Hi_n)*(nTP_Lo_n=N(BR59))*(N(BR59)=N(BS59))))*nTP_Lo_n)))</f>
        <v>0</v>
      </c>
      <c r="CG59" s="22">
        <f>IF(CD59=0,0,SUMPRODUCT((nTP_CandKey=BX59)*nTP_Exact*((nTP_HT*BN59*((nTP_OK*BO59*(nTP_UTC_n-N(BQ59))+(1-nTP_OK*BO59)*(nTP_Loc_n-N(BP59)))&lt;=0)+(1-nTP_HT*BN59)*(nTP_Hi_n&lt;N(BR59)))+((1-nTP_HT*BN59)*(nTP_Lo_n=nTP_Hi_n)*(nTP_Lo_n=N(BR59))*(N(BR59)=N(BS59))))*(nTP_Lo_n=CF59)))</f>
        <v>0</v>
      </c>
      <c r="CH59" s="22">
        <f>IF(CD59=0,0,SUMPRODUCT((nTP_CandKey=BX59)*nTP_Exact*((nTP_HT*BN59*((nTP_OK*BO59*(nTP_UTC_n-N(BQ59))+(1-nTP_OK*BO59)*(nTP_Loc_n-N(BP59)))&lt;=0)+(1-nTP_HT*BN59)*(nTP_Hi_n&lt;N(BR59)))+((1-nTP_HT*BN59)*(nTP_Lo_n=nTP_Hi_n)*(nTP_Lo_n=N(BR59))*(N(BR59)=N(BS59))))*(1-nTP_HT)*(nTP_Lo_n=CF59)))</f>
        <v>0</v>
      </c>
      <c r="CI59" s="22">
        <f>IF(CD59=0,0,SUMPRODUCT(MAX((nTP_CandKey=BX59)*nTP_Exact*((nTP_HT*BN59*((nTP_OK*BO59*(nTP_UTC_n-N(BQ59))+(1-nTP_OK*BO59)*(nTP_Loc_n-N(BP59)))&lt;=0)+(1-nTP_HT*BN59)*(nTP_Hi_n&lt;N(BR59)))+((1-nTP_HT*BN59)*(nTP_Lo_n=nTP_Hi_n)*(nTP_Lo_n=N(BR59))*(N(BR59)=N(BS59))))*(1-nTP_HT)*nTP_Lo_n)))</f>
        <v>0</v>
      </c>
      <c r="CJ59" s="22">
        <f>IF(CD59=0,0,SUMPRODUCT(MAX((nTP_CandKey=BX59)*nTP_Exact*((nTP_HT*BN59*((nTP_OK*BO59*(nTP_UTC_n-N(BQ59))+(1-nTP_OK*BO59)*(nTP_Loc_n-N(BP59)))&lt;=0)+(1-nTP_HT*BN59)*(nTP_Hi_n&lt;N(BR59)))+((1-nTP_HT*BN59)*(nTP_Lo_n=nTP_Hi_n)*(nTP_Lo_n=N(BR59))*(N(BR59)=N(BS59))))*nTP_HT*nTP_OK*nTP_UTC_n)))</f>
        <v>0</v>
      </c>
      <c r="CK59" s="22">
        <f>IF(CJ59=0,0,SUMPRODUCT((nTP_CandKey=BX59)*nTP_Exact*((nTP_HT*BN59*((nTP_OK*BO59*(nTP_UTC_n-N(BQ59))+(1-nTP_OK*BO59)*(nTP_Loc_n-N(BP59)))&lt;=0)+(1-nTP_HT*BN59)*(nTP_Hi_n&lt;N(BR59)))+((1-nTP_HT*BN59)*(nTP_Lo_n=nTP_Hi_n)*(nTP_Lo_n=N(BR59))*(N(BR59)=N(BS59))))*nTP_HT*nTP_OK*(nTP_UTC_n=CJ59)))</f>
        <v>0</v>
      </c>
      <c r="CL59" s="22">
        <f>IF(CK59&lt;&gt;1,0,SUMPRODUCT((nTP_CandKey=BX59)*nTP_Exact*((nTP_HT*BN59*((nTP_OK*BO59*(nTP_UTC_n-N(BQ59))+(1-nTP_OK*BO59)*(nTP_Loc_n-N(BP59)))&lt;=0)+(1-nTP_HT*BN59)*(nTP_Hi_n&lt;N(BR59)))+((1-nTP_HT*BN59)*(nTP_Lo_n=nTP_Hi_n)*(nTP_Lo_n=N(BR59))*(N(BR59)=N(BS59))))*nTP_HT*nTP_OK*(nTP_UTC_n=CJ59)*nTP_Loc_n))</f>
        <v>0</v>
      </c>
      <c r="CM59" s="22">
        <f>IF(CK59&lt;&gt;1,0,SUMPRODUCT((nTP_CandKey=BX59)*nTP_Exact*((nTP_HT*BN59*((nTP_OK*BO59*(nTP_UTC_n-N(BQ59))+(1-nTP_OK*BO59)*(nTP_Loc_n-N(BP59)))&lt;=0)+(1-nTP_HT*BN59)*(nTP_Hi_n&lt;N(BR59)))+((1-nTP_HT*BN59)*(nTP_Lo_n=nTP_Hi_n)*(nTP_Lo_n=N(BR59))*(N(BR59)=N(BS59))))*nTP_HT*nTP_OK*(nTP_UTC_n=CJ59)*nTP_Lo_n))</f>
        <v>0</v>
      </c>
      <c r="CN59" s="22">
        <f>IF(CD59=0,0,SUMPRODUCT(MAX((nTP_CandKey=BX59)*nTP_Exact*((nTP_HT*BN59*((nTP_OK*BO59*(nTP_UTC_n-N(BQ59))+(1-nTP_OK*BO59)*(nTP_Loc_n-N(BP59)))&lt;=0)+(1-nTP_HT*BN59)*(nTP_Hi_n&lt;N(BR59)))+((1-nTP_HT*BN59)*(nTP_Lo_n=nTP_Hi_n)*(nTP_Lo_n=N(BR59))*(N(BR59)=N(BS59))))*nTP_HT*(1-nTP_OK)*nTP_Loc_n)))</f>
        <v>0</v>
      </c>
      <c r="CO59" s="22">
        <f>IF(CN59=0,0,SUMPRODUCT((nTP_CandKey=BX59)*nTP_Exact*((nTP_HT*BN59*((nTP_OK*BO59*(nTP_UTC_n-N(BQ59))+(1-nTP_OK*BO59)*(nTP_Loc_n-N(BP59)))&lt;=0)+(1-nTP_HT*BN59)*(nTP_Hi_n&lt;N(BR59)))+((1-nTP_HT*BN59)*(nTP_Lo_n=nTP_Hi_n)*(nTP_Lo_n=N(BR59))*(N(BR59)=N(BS59))))*nTP_HT*(1-nTP_OK)*(nTP_Loc_n=CN59)))</f>
        <v>0</v>
      </c>
      <c r="CP59" s="22">
        <f>IF(CO59&lt;&gt;1,0,SUMPRODUCT((nTP_CandKey=BX59)*nTP_Exact*((nTP_HT*BN59*((nTP_OK*BO59*(nTP_UTC_n-N(BQ59))+(1-nTP_OK*BO59)*(nTP_Loc_n-N(BP59)))&lt;=0)+(1-nTP_HT*BN59)*(nTP_Hi_n&lt;N(BR59)))+((1-nTP_HT*BN59)*(nTP_Lo_n=nTP_Hi_n)*(nTP_Lo_n=N(BR59))*(N(BR59)=N(BS59))))*nTP_HT*(1-nTP_OK)*(nTP_Loc_n=CN59)*nTP_Lo_n))</f>
        <v>0</v>
      </c>
      <c r="CQ59" s="22">
        <f>IF(CD59=0,0,SUMPRODUCT(MAX((nTP_CandKey=BX59)*nTP_Exact*((nTP_HT*BN59*((nTP_OK*BO59*(nTP_UTC_n-N(BQ59))+(1-nTP_OK*BO59)*(nTP_Loc_n-N(BP59)))&lt;=0)+(1-nTP_HT*BN59)*(nTP_Hi_n&lt;N(BR59)))+((1-nTP_HT*BN59)*(nTP_Lo_n=nTP_Hi_n)*(nTP_Lo_n=N(BR59))*(N(BR59)=N(BS59))))*nTP_HT*nTP_OK*nTP_Loc_n)))</f>
        <v>0</v>
      </c>
      <c r="CR59" s="22">
        <f t="shared" si="91"/>
        <v>0</v>
      </c>
      <c r="CS59" s="22">
        <f>IF(CR59=0,0,IF(CR59=1,MATCH(1,INDEX((nTP_CandKey=BX59)*nTP_Exact*((nTP_HT*BN59*((nTP_OK*BO59*(nTP_UTC_n-N(BQ59))+(1-nTP_OK*BO59)*(nTP_Loc_n-N(BP59)))&lt;=0)+(1-nTP_HT*BN59)*(nTP_Hi_n&lt;N(BR59)))+((1-nTP_HT*BN59)*(nTP_Lo_n=nTP_Hi_n)*(nTP_Lo_n=N(BR59))*(N(BR59)=N(BS59))))*(1-nTP_HT)*(nTP_Lo_n=CF59),0),0),IF(CR59=2,MATCH(1,INDEX((nTP_CandKey=BX59)*nTP_Exact*((nTP_HT*BN59*((nTP_OK*BO59*(nTP_UTC_n-N(BQ59))+(1-nTP_OK*BO59)*(nTP_Loc_n-N(BP59)))&lt;=0)+(1-nTP_HT*BN59)*(nTP_Hi_n&lt;N(BR59)))+((1-nTP_HT*BN59)*(nTP_Lo_n=nTP_Hi_n)*(nTP_Lo_n=N(BR59))*(N(BR59)=N(BS59))))*nTP_HT*nTP_OK*(nTP_UTC_n=CJ59),0),0),MATCH(1,INDEX((nTP_CandKey=BX59)*nTP_Exact*((nTP_HT*BN59*((nTP_OK*BO59*(nTP_UTC_n-N(BQ59))+(1-nTP_OK*BO59)*(nTP_Loc_n-N(BP59)))&lt;=0)+(1-nTP_HT*BN59)*(nTP_Hi_n&lt;N(BR59)))+((1-nTP_HT*BN59)*(nTP_Lo_n=nTP_Hi_n)*(nTP_Lo_n=N(BR59))*(N(BR59)=N(BS59))))*nTP_HT*(1-nTP_OK)*(nTP_Loc_n=CN59),0),0))))</f>
        <v>0</v>
      </c>
      <c r="CT59" s="22">
        <f>IF(CS59=0,0,INDEX(nTP_Lo_n,CS59))</f>
        <v>0</v>
      </c>
      <c r="CU59" s="22">
        <f>IF(CS59=0,0,SUMPRODUCT((nTP_CandKey=BX59)*(nTP_Err="")*(1-nTP_Exact)*((nTP_HT*BN59*((nTP_OK*BO59*(nTP_UTC_n-N(BQ59))+(1-nTP_OK*BO59)*(nTP_Loc_n-N(BP59)))&lt;=0)+(1-nTP_HT*BN59)*(nTP_Hi_n&lt;N(BR59)))+((1-nTP_HT*BN59)*(nTP_Lo_n=nTP_Hi_n)*(nTP_Lo_n=N(BR59))*(N(BR59)=N(BS59))))*(nTP_Hi_n&gt;=CT59)))</f>
        <v>0</v>
      </c>
      <c r="CV59" s="21" t="str">
        <f t="shared" si="92"/>
        <v/>
      </c>
      <c r="CW59" s="21" t="str">
        <f>IF(AND(BG59=1,CB59=1,CV59="",CS59&gt;0),INDEX(nTP_Record_ID,CS59)&amp;"","")</f>
        <v/>
      </c>
      <c r="CX59" s="21" t="str">
        <f>IF(OR(CV59="",BG59=0),"",IF(CV59="none","an administration record (last dose before onset)",IF(CV59="uncertain","the anchor record: "&amp;INDEX(nTP_Record_ID,MATCH(1,INDEX((nTP_CandKey=BX59)*(nTP_Err="")*(1-(nTP_HT*BN59*((nTP_OK*BO59*(nTP_UTC_n-N(BQ59))+(1-nTP_OK*BO59)*(nTP_Loc_n-N(BP59)))&lt;=0)+(1-nTP_HT*BN59)*(nTP_Hi_n&lt;N(BR59)))-(nTP_HT*BN59*((nTP_OK*BO59*(nTP_UTC_n-N(BQ59))+(1-nTP_OK*BO59)*(nTP_Loc_n-N(BP59)))&gt;0)+(1-nTP_HT*BN59)*(nTP_Lo_n&gt;N(BS59)))-((1-nTP_HT*BN59)*(nTP_Lo_n=nTP_Hi_n)*(nTP_Lo_n=N(BR59))*(N(BR59)=N(BS59)))),0),0))&amp;IF(CC59&gt;1," and "&amp;(CC59-1)&amp;" more","")&amp;" may fall before or after the end point, so the last dose cannot be identified from the recorded dates",IF(CV59="noneligible","the anchor record: no administration with an exact date is recorded at or before the end point",IF(CV59="tie","the anchor record: the order of the latest administrations cannot be told from the recorded dates and times","the anchor record: partial-date administration "&amp;INDEX(nTP_Record_ID,MATCH(1,INDEX((nTP_CandKey=BX59)*(nTP_Err="")*(1-nTP_Exact)*((nTP_HT*BN59*((nTP_OK*BO59*(nTP_UTC_n-N(BQ59))+(1-nTP_OK*BO59)*(nTP_Loc_n-N(BP59)))&lt;=0)+(1-nTP_HT*BN59)*(nTP_Hi_n&lt;N(BR59)))+((1-nTP_HT*BN59)*(nTP_Lo_n=nTP_Hi_n)*(nTP_Lo_n=N(BR59))*(N(BR59)=N(BS59))))*(nTP_Hi_n&gt;=CT59),0),0))&amp;" could be the last dose before the end point")))))</f>
        <v/>
      </c>
      <c r="CY59" s="22">
        <f>IF(OR(AW59=1,AJ59=""),0,IFERROR(MATCH(AX59&amp;"|"&amp;AJ59,nTP_Key,0),0))</f>
        <v>312</v>
      </c>
      <c r="CZ59" s="21">
        <f>IF(CY59=0,0,INDEX(nTP_Dup,CY59))</f>
        <v>1</v>
      </c>
      <c r="DA59" s="21" t="str">
        <f>IF(CY59=0,"",INDEX(nTP_Record_Type,CY59))</f>
        <v>EVENT_ONSET</v>
      </c>
      <c r="DB59" s="21" t="str">
        <f>IF(CY59=0,"",INDEX(nTP_Precision,CY59))</f>
        <v>TIMESTAMP</v>
      </c>
      <c r="DC59" s="21" t="str">
        <f>IF(CY59=0,"",INDEX(nTP_Err,CY59))</f>
        <v/>
      </c>
      <c r="DD59" s="21">
        <f>IF(CY59=0,0,INDEX(nTP_HT,CY59))</f>
        <v>1</v>
      </c>
      <c r="DE59" s="21">
        <f>IF(CY59=0,0,INDEX(nTP_OK,CY59))</f>
        <v>1</v>
      </c>
      <c r="DF59" s="21">
        <f>IF(CY59=0,"",INDEX(nTP_Loc,CY59))</f>
        <v>66286635</v>
      </c>
      <c r="DG59" s="21">
        <f>IF(CY59=0,"",INDEX(nTP_UTC,CY59))</f>
        <v>66286935</v>
      </c>
      <c r="DH59" s="21">
        <f>IF(CY59=0,"",INDEX(nTP_Lo,CY59))</f>
        <v>46032</v>
      </c>
      <c r="DI59" s="21">
        <f>IF(CY59=0,"",INDEX(nTP_Hi,CY59))</f>
        <v>46032</v>
      </c>
      <c r="DJ59" s="21" t="str">
        <f>IF(CY59=0,"",INDEX(nTP_Original_Text,CY59))</f>
        <v>09:15 pt reports itching; urticaria chest and arms; audible wheeze; BP 84/52</v>
      </c>
      <c r="DK59" s="21" t="str">
        <f>IF(CY59=0,"",INDEX(nTP_Source,CY59))</f>
        <v>Nursing observation chart</v>
      </c>
      <c r="DL59" s="22">
        <f t="shared" si="93"/>
        <v>1</v>
      </c>
      <c r="DM59" s="21" t="str">
        <f t="shared" si="94"/>
        <v/>
      </c>
      <c r="DN59" s="21" t="str">
        <f t="shared" si="95"/>
        <v/>
      </c>
      <c r="DO59" s="21" t="str">
        <f t="shared" si="96"/>
        <v/>
      </c>
      <c r="DP59" s="21" t="str">
        <f t="shared" si="97"/>
        <v/>
      </c>
      <c r="DQ59" s="21" t="str">
        <f t="shared" si="98"/>
        <v>C1</v>
      </c>
      <c r="DR59" s="22">
        <f>IF(OR(DQ59="",I59=""),0,IF(ISNA(MATCH(I59,nLIST_Mode,0)),1,IF(AND(I59="C1",DQ59&lt;&gt;"C1"),1,IF(AND(I59="C2",DQ59="C4"),1,0))))</f>
        <v>0</v>
      </c>
      <c r="DS59" s="21" t="str">
        <f t="shared" si="99"/>
        <v>C1</v>
      </c>
      <c r="DT59" s="22">
        <f t="shared" si="100"/>
        <v>0</v>
      </c>
      <c r="DU59" s="21" t="str">
        <f>IF(DT59=0,"",IF(COUNTIFS(nTP_Case_Key,AX59,nTP_Record_Type,"MILESTONE:INTERVENTION",nTP_Err,"E_INVALID_DATE")&gt;0,"; E_INVALID_DATE","")&amp;IF(COUNTIFS(nTP_Case_Key,AX59,nTP_Record_Type,"MILESTONE:INTERVENTION",nTP_Err,"E_REVERSED_BOUNDS")&gt;0,"; E_REVERSED_BOUNDS","")&amp;IF(COUNTIFS(nTP_Case_Key,AX59,nTP_Record_Type,"MILESTONE:INTERVENTION",nTP_Err,"E_MISSING_INPUT")&gt;0,"; E_MISSING_INPUT","")&amp;IF(COUNTIFS(nTP_Case_Key,AX59,nTP_Record_Type,"MILESTONE:INTERVENTION",nTP_Err,"E_INVALID_UNIT")&gt;0,"; E_INVALID_UNIT",""))</f>
        <v/>
      </c>
      <c r="DV59" s="22">
        <f>IF(DT59=0,0,SUMPRODUCT((nMS_CaseKey=AX59)*(nMS_Type="INTERVENTION")*nMS_Undated))</f>
        <v>0</v>
      </c>
      <c r="DW59" s="21" t="str">
        <f t="shared" si="101"/>
        <v/>
      </c>
      <c r="DX59" s="21" t="str">
        <f t="shared" si="102"/>
        <v/>
      </c>
      <c r="DY59" s="22">
        <f t="shared" si="103"/>
        <v>0</v>
      </c>
      <c r="DZ59" s="21">
        <f t="shared" si="104"/>
        <v>50</v>
      </c>
      <c r="EA59" s="21" t="str">
        <f t="shared" si="105"/>
        <v/>
      </c>
      <c r="EB59" s="21" t="str">
        <f t="shared" si="106"/>
        <v/>
      </c>
      <c r="EC59" s="21" t="str">
        <f t="shared" si="107"/>
        <v/>
      </c>
      <c r="ED59" s="22">
        <f t="shared" si="108"/>
        <v>0</v>
      </c>
      <c r="EE59" s="22">
        <f t="shared" si="109"/>
        <v>0</v>
      </c>
      <c r="EF59" s="21" t="str">
        <f>IF(ED59=0,"",IF(OR(NOT(ISNUMBER(L59)),NOT(ISNUMBER(M59))),"I_APPROXIMATE_NOT_COMPARED",IF(AND(N59&lt;&gt;"",ISNA(MATCH(N59,nLIST_ReportedUnit,0))),"E_INVALID_UNIT",IF(N59="","E_MISSING_INPUT",IF(L59&gt;M59,"E_REVERSED_BOUNDS",IF(OR(N59="weeks",N59="months",N59="years"),"I_APPROXIMATE_NOT_COMPARED",IF(DX59&lt;&gt;"","",IF(EE59=0,"I_APPROXIMATE_NOT_COMPARED",IF(AND(L59*EE59&lt;=IF(DS59="C4",EC59,IF(DS59="C1",DZ59,EA59)),M59*EE59&gt;=IF(DS59="C4",EB59,IF(DS59="C1",DZ59,EA59))),"OVERLAP","W_REPORTED_TIMING_CONFLICT")))))))))</f>
        <v/>
      </c>
      <c r="EG59" s="21" t="str">
        <f t="shared" si="110"/>
        <v/>
      </c>
      <c r="EH59" s="21" t="str">
        <f t="shared" si="111"/>
        <v/>
      </c>
      <c r="EI59" s="22">
        <f t="shared" si="112"/>
        <v>1</v>
      </c>
      <c r="EJ59" s="22">
        <f t="shared" si="113"/>
        <v>0</v>
      </c>
      <c r="EK59" s="22">
        <f t="shared" si="114"/>
        <v>0</v>
      </c>
      <c r="EL59" s="28" t="str">
        <f t="shared" si="115"/>
        <v/>
      </c>
      <c r="EM59" s="28" t="str">
        <f t="shared" si="116"/>
        <v/>
      </c>
      <c r="EN59" s="21" t="str">
        <f t="shared" si="117"/>
        <v/>
      </c>
      <c r="EO59" s="22">
        <f>IF(OR(DT59=0,DX59&lt;&gt;""),0,SUMPRODUCT((nTP_Case_Key=AX59)*(nTP_Record_Type="MILESTONE:INTERVENTION")*(nTP_Err="")*(nTP_HT*DD59*BN59*(nTP_OK*DE59*(nTP_UTC_n&gt;=N(DG59))+(1-nTP_OK*DE59)*(nTP_Loc_n&gt;=N(DF59)))*(nTP_OK*BO59*(nTP_UTC_n&lt;=N(BQ59))+(1-nTP_OK*BO59)*(nTP_Loc_n&lt;=N(BP59)))+(1-nTP_HT*DD59*BN59)*(nTP_Hi_n&gt;=N(DH59))*(nTP_Lo_n&lt;=N(BS59)))))</f>
        <v>0</v>
      </c>
      <c r="EP59" s="22">
        <f>IF(OR(DT59=0,DX59&lt;&gt;""),0,SUMPRODUCT((nTP_Case_Key=AX59)*(nTP_Role="treatment of the event")*((nTP_Record_Type="EXPOSURE_START")+(nTP_Record_Type="ADMINISTRATION"))*(nTP_Err="")*(nTP_HT*DD59*BN59*(nTP_OK*DE59*(nTP_UTC_n&gt;=N(DG59))+(1-nTP_OK*DE59)*(nTP_Loc_n&gt;=N(DF59)))*(nTP_OK*BO59*(nTP_UTC_n&lt;=N(BQ59))+(1-nTP_OK*BO59)*(nTP_Loc_n&lt;=N(BP59)))+(1-nTP_HT*DD59*BN59)*(nTP_Hi_n&gt;=N(DH59))*(nTP_Lo_n&lt;=N(BS59)))))</f>
        <v>0</v>
      </c>
      <c r="EQ59" s="22">
        <f>IF(EO59&lt;1,0,IFERROR(_xlfn.AGGREGATE(15,6,nTP_RowN/((nTP_Case_Key=AX59)*(nTP_Record_Type="MILESTONE:INTERVENTION")*(nTP_Err="")*(nTP_HT*DD59*BN59*(nTP_OK*DE59*(nTP_UTC_n&gt;=N(DG59))+(1-nTP_OK*DE59)*(nTP_Loc_n&gt;=N(DF59)))*(nTP_OK*BO59*(nTP_UTC_n&lt;=N(BQ59))+(1-nTP_OK*BO59)*(nTP_Loc_n&lt;=N(BP59)))+(1-nTP_HT*DD59*BN59)*(nTP_Hi_n&gt;=N(DH59))*(nTP_Lo_n&lt;=N(BS59)))),1),0))</f>
        <v>0</v>
      </c>
      <c r="ER59" s="22">
        <f>IF(EO59&lt;2,0,IFERROR(_xlfn.AGGREGATE(15,6,nTP_RowN/((nTP_Case_Key=AX59)*(nTP_Record_Type="MILESTONE:INTERVENTION")*(nTP_Err="")*(nTP_HT*DD59*BN59*(nTP_OK*DE59*(nTP_UTC_n&gt;=N(DG59))+(1-nTP_OK*DE59)*(nTP_Loc_n&gt;=N(DF59)))*(nTP_OK*BO59*(nTP_UTC_n&lt;=N(BQ59))+(1-nTP_OK*BO59)*(nTP_Loc_n&lt;=N(BP59)))+(1-nTP_HT*DD59*BN59)*(nTP_Hi_n&gt;=N(DH59))*(nTP_Lo_n&lt;=N(BS59)))),2),0))</f>
        <v>0</v>
      </c>
      <c r="ES59" s="22">
        <f>IF(EO59&lt;3,0,IFERROR(_xlfn.AGGREGATE(15,6,nTP_RowN/((nTP_Case_Key=AX59)*(nTP_Record_Type="MILESTONE:INTERVENTION")*(nTP_Err="")*(nTP_HT*DD59*BN59*(nTP_OK*DE59*(nTP_UTC_n&gt;=N(DG59))+(1-nTP_OK*DE59)*(nTP_Loc_n&gt;=N(DF59)))*(nTP_OK*BO59*(nTP_UTC_n&lt;=N(BQ59))+(1-nTP_OK*BO59)*(nTP_Loc_n&lt;=N(BP59)))+(1-nTP_HT*DD59*BN59)*(nTP_Hi_n&gt;=N(DH59))*(nTP_Lo_n&lt;=N(BS59)))),3),0))</f>
        <v>0</v>
      </c>
      <c r="ET59" s="22">
        <f>IF(EP59&lt;1,0,IFERROR(_xlfn.AGGREGATE(15,6,nTP_RowN/((nTP_Case_Key=AX59)*(nTP_Role="treatment of the event")*((nTP_Record_Type="EXPOSURE_START")+(nTP_Record_Type="ADMINISTRATION"))*(nTP_Err="")*(nTP_HT*DD59*BN59*(nTP_OK*DE59*(nTP_UTC_n&gt;=N(DG59))+(1-nTP_OK*DE59)*(nTP_Loc_n&gt;=N(DF59)))*(nTP_OK*BO59*(nTP_UTC_n&lt;=N(BQ59))+(1-nTP_OK*BO59)*(nTP_Loc_n&lt;=N(BP59)))+(1-nTP_HT*DD59*BN59)*(nTP_Hi_n&gt;=N(DH59))*(nTP_Lo_n&lt;=N(BS59)))),1),0))</f>
        <v>0</v>
      </c>
      <c r="EU59" s="22">
        <f>IF(EP59&lt;2,0,IFERROR(_xlfn.AGGREGATE(15,6,nTP_RowN/((nTP_Case_Key=AX59)*(nTP_Role="treatment of the event")*((nTP_Record_Type="EXPOSURE_START")+(nTP_Record_Type="ADMINISTRATION"))*(nTP_Err="")*(nTP_HT*DD59*BN59*(nTP_OK*DE59*(nTP_UTC_n&gt;=N(DG59))+(1-nTP_OK*DE59)*(nTP_Loc_n&gt;=N(DF59)))*(nTP_OK*BO59*(nTP_UTC_n&lt;=N(BQ59))+(1-nTP_OK*BO59)*(nTP_Loc_n&lt;=N(BP59)))+(1-nTP_HT*DD59*BN59)*(nTP_Hi_n&gt;=N(DH59))*(nTP_Lo_n&lt;=N(BS59)))),2),0))</f>
        <v>0</v>
      </c>
      <c r="EV59" s="22">
        <f>IF(EP59&lt;3,0,IFERROR(_xlfn.AGGREGATE(15,6,nTP_RowN/((nTP_Case_Key=AX59)*(nTP_Role="treatment of the event")*((nTP_Record_Type="EXPOSURE_START")+(nTP_Record_Type="ADMINISTRATION"))*(nTP_Err="")*(nTP_HT*DD59*BN59*(nTP_OK*DE59*(nTP_UTC_n&gt;=N(DG59))+(1-nTP_OK*DE59)*(nTP_Loc_n&gt;=N(DF59)))*(nTP_OK*BO59*(nTP_UTC_n&lt;=N(BQ59))+(1-nTP_OK*BO59)*(nTP_Loc_n&lt;=N(BP59)))+(1-nTP_HT*DD59*BN59)*(nTP_Hi_n&gt;=N(DH59))*(nTP_Lo_n&lt;=N(BS59)))),3),0))</f>
        <v>0</v>
      </c>
      <c r="EW59" s="22">
        <f>IF(CE59&lt;1,0,IFERROR(_xlfn.AGGREGATE(15,6,nTP_RowN/((nTP_CandKey=BX59)*(nTP_Err="")*(1-nTP_Exact)*((nTP_HT*BN59*((nTP_OK*BO59*(nTP_UTC_n-N(BQ59))+(1-nTP_OK*BO59)*(nTP_Loc_n-N(BP59)))&lt;=0)+(1-nTP_HT*BN59)*(nTP_Hi_n&lt;N(BR59)))+((1-nTP_HT*BN59)*(nTP_Lo_n=nTP_Hi_n)*(nTP_Lo_n=N(BR59))*(N(BR59)=N(BS59))))),1),0))</f>
        <v>0</v>
      </c>
      <c r="EX59" s="22">
        <f>IF(CE59&lt;2,0,IFERROR(_xlfn.AGGREGATE(15,6,nTP_RowN/((nTP_CandKey=BX59)*(nTP_Err="")*(1-nTP_Exact)*((nTP_HT*BN59*((nTP_OK*BO59*(nTP_UTC_n-N(BQ59))+(1-nTP_OK*BO59)*(nTP_Loc_n-N(BP59)))&lt;=0)+(1-nTP_HT*BN59)*(nTP_Hi_n&lt;N(BR59)))+((1-nTP_HT*BN59)*(nTP_Lo_n=nTP_Hi_n)*(nTP_Lo_n=N(BR59))*(N(BR59)=N(BS59))))),2),0))</f>
        <v>0</v>
      </c>
      <c r="EY59" s="22">
        <f>IF(CE59&lt;3,0,IFERROR(_xlfn.AGGREGATE(15,6,nTP_RowN/((nTP_CandKey=BX59)*(nTP_Err="")*(1-nTP_Exact)*((nTP_HT*BN59*((nTP_OK*BO59*(nTP_UTC_n-N(BQ59))+(1-nTP_OK*BO59)*(nTP_Loc_n-N(BP59)))&lt;=0)+(1-nTP_HT*BN59)*(nTP_Hi_n&lt;N(BR59)))+((1-nTP_HT*BN59)*(nTP_Lo_n=nTP_Hi_n)*(nTP_Lo_n=N(BR59))*(N(BR59)=N(BS59))))),3),0))</f>
        <v>0</v>
      </c>
      <c r="EZ59" s="21" t="str">
        <f>IF(EO59=0,"",MID(IF(EQ59&gt;0,"; "&amp;INDEX(nTP_Record_ID,EQ59)&amp;IF(INDEX(nTP_Label,EQ59)="",""," ("&amp;INDEX(nTP_Label,EQ59)&amp;")"),"")&amp;IF(ER59&gt;0,"; "&amp;INDEX(nTP_Record_ID,ER59)&amp;IF(INDEX(nTP_Label,ER59)="",""," ("&amp;INDEX(nTP_Label,ER59)&amp;")"),"")&amp;IF(ES59&gt;0,"; "&amp;INDEX(nTP_Record_ID,ES59)&amp;IF(INDEX(nTP_Label,ES59)="",""," ("&amp;INDEX(nTP_Label,ES59)&amp;")"),"")&amp;IF(EO59&gt;3,"; and "&amp;(EO59-3)&amp;" more",""),3,999))</f>
        <v/>
      </c>
      <c r="FA59" s="21" t="str">
        <f>IF(EO59=0,"",MID(IF(EQ59&gt;0,"; "&amp;INDEX(nTP_Record_ID,EQ59),"")&amp;IF(ER59&gt;0,"; "&amp;INDEX(nTP_Record_ID,ER59),"")&amp;IF(ES59&gt;0,"; "&amp;INDEX(nTP_Record_ID,ES59),"")&amp;IF(EO59&gt;3,"; and "&amp;(EO59-3)&amp;" more",""),3,999))</f>
        <v/>
      </c>
      <c r="FB59" s="21" t="str">
        <f>IF(EP59=0,"",MID(IF(ET59&gt;0,"; "&amp;INDEX(nTP_Record_ID,ET59)&amp;IF(INDEX(nTP_Label,ET59)="",""," ("&amp;INDEX(nTP_Label,ET59)&amp;")"),"")&amp;IF(EU59&gt;0,"; "&amp;INDEX(nTP_Record_ID,EU59)&amp;IF(INDEX(nTP_Label,EU59)="",""," ("&amp;INDEX(nTP_Label,EU59)&amp;")"),"")&amp;IF(EV59&gt;0,"; "&amp;INDEX(nTP_Record_ID,EV59)&amp;IF(INDEX(nTP_Label,EV59)="",""," ("&amp;INDEX(nTP_Label,EV59)&amp;")"),"")&amp;IF(EP59&gt;3,"; and "&amp;(EP59-3)&amp;" more",""),3,999))</f>
        <v/>
      </c>
      <c r="FC59" s="21" t="str">
        <f>IF(CE59=0,"",MID(IF(EW59&gt;0,"; "&amp;INDEX(nTP_Record_ID,EW59),"")&amp;IF(EX59&gt;0,"; "&amp;INDEX(nTP_Record_ID,EX59),"")&amp;IF(EY59&gt;0,"; "&amp;INDEX(nTP_Record_ID,EY59),"")&amp;IF(CE59&gt;3,"; and "&amp;(CE59-3)&amp;" more",""),3,999))</f>
        <v/>
      </c>
      <c r="FD59" s="22">
        <f t="shared" si="118"/>
        <v>0</v>
      </c>
      <c r="FE59" s="22">
        <f t="shared" si="119"/>
        <v>0</v>
      </c>
      <c r="FF59" s="22">
        <f t="shared" si="120"/>
        <v>0</v>
      </c>
      <c r="FG59" s="22">
        <f t="shared" si="121"/>
        <v>0</v>
      </c>
      <c r="FH59" s="22">
        <f t="shared" si="122"/>
        <v>0</v>
      </c>
      <c r="FI59" s="22">
        <f t="shared" si="123"/>
        <v>0</v>
      </c>
      <c r="FJ59" s="22">
        <f t="shared" si="124"/>
        <v>0</v>
      </c>
      <c r="FK59" s="22">
        <f t="shared" si="125"/>
        <v>0</v>
      </c>
    </row>
    <row r="60" spans="1:167" x14ac:dyDescent="0.2">
      <c r="A60" s="9" t="s">
        <v>1127</v>
      </c>
      <c r="B60" s="9" t="s">
        <v>301</v>
      </c>
      <c r="C60" s="11">
        <v>2</v>
      </c>
      <c r="D60" s="9" t="s">
        <v>894</v>
      </c>
      <c r="E60" s="16" t="s">
        <v>51</v>
      </c>
      <c r="F60" s="9"/>
      <c r="G60" s="9" t="s">
        <v>1158</v>
      </c>
      <c r="H60" s="9" t="s">
        <v>1128</v>
      </c>
      <c r="I60" s="16" t="s">
        <v>60</v>
      </c>
      <c r="J60" s="16"/>
      <c r="K60" s="9"/>
      <c r="L60" s="16"/>
      <c r="M60" s="16"/>
      <c r="N60" s="16"/>
      <c r="O60" s="9"/>
      <c r="P60" s="14"/>
      <c r="Q60" s="14"/>
      <c r="R60" s="9"/>
      <c r="S60" s="9"/>
      <c r="T60" s="21" t="str">
        <f t="shared" si="63"/>
        <v>185 calendar days</v>
      </c>
      <c r="U60" s="21" t="str">
        <f t="shared" si="64"/>
        <v>185 calendar days</v>
      </c>
      <c r="V60" s="21">
        <f t="shared" si="65"/>
        <v>185</v>
      </c>
      <c r="W60" s="21" t="str">
        <f t="shared" si="66"/>
        <v/>
      </c>
      <c r="X60" s="21" t="str">
        <f t="shared" si="67"/>
        <v/>
      </c>
      <c r="Y60" s="21" t="str">
        <f t="shared" si="68"/>
        <v>calendar days</v>
      </c>
      <c r="Z60" s="21" t="str">
        <f t="shared" si="69"/>
        <v>C2</v>
      </c>
      <c r="AA60" s="21" t="str">
        <f t="shared" si="70"/>
        <v>AFTER</v>
      </c>
      <c r="AB60" s="21" t="str">
        <f t="shared" si="71"/>
        <v/>
      </c>
      <c r="AC60" s="21" t="str">
        <f t="shared" si="72"/>
        <v/>
      </c>
      <c r="AD60" s="21" t="str">
        <f>IF(AW60=1,"",MID(IF(ISNUMBER(SEARCH("E_INVALID_DATE",EG60))," | E_INVALID_DATE: "&amp;SUBSTITUTE(IFERROR(INDEX(nMSG_Text,MATCH("E_INVALID_DATE",nMSG_Code,0)),""),"[input]",""),"")&amp;IF(ISNUMBER(SEARCH("E_REVERSED_BOUNDS",EG60))," | E_REVERSED_BOUNDS: "&amp;SUBSTITUTE(IFERROR(INDEX(nMSG_Text,MATCH("E_REVERSED_BOUNDS",nMSG_Code,0)),""),"[input]",""),"")&amp;IF(ISNUMBER(SEARCH("E_DUPLICATE_ID",EG60))," | E_DUPLICATE_ID: "&amp;SUBSTITUTE(IFERROR(INDEX(nMSG_Text,MATCH("E_DUPLICATE_ID",nMSG_Code,0)),""),"[input]",""),"")&amp;IF(ISNUMBER(SEARCH("E_MISSING_LINK",EG60))," | E_MISSING_LINK: "&amp;SUBSTITUTE(IFERROR(INDEX(nMSG_Text,MATCH("E_MISSING_LINK",nMSG_Code,0)),""),"[input]",""),"")&amp;IF(ISNUMBER(SEARCH("E_MISSING_INPUT",EG60))," | E_MISSING_INPUT: "&amp;SUBSTITUTE(IFERROR(INDEX(nMSG_Text,MATCH("E_MISSING_INPUT",nMSG_Code,0)),""),"[input]",IF(EH60="","an input",EH60)),"")&amp;IF(ISNUMBER(SEARCH("E_INVALID_UNIT",EG60))," | E_INVALID_UNIT: "&amp;SUBSTITUTE(IFERROR(INDEX(nMSG_Text,MATCH("E_INVALID_UNIT",nMSG_Code,0)),""),"[input]",""),"")&amp;IF(FD60=1," | W_TZ_UNKNOWN: "&amp;SUBSTITUTE(IFERROR(INDEX(nMSG_Text,MATCH("W_TZ_UNKNOWN",nMSG_Code,0)),""),"[input]",""),"")&amp;IF(FE60=1," | W_SAME_DATE_ORDER_UNKNOWN: "&amp;SUBSTITUTE(IFERROR(INDEX(nMSG_Text,MATCH("W_SAME_DATE_ORDER_UNKNOWN",nMSG_Code,0)),""),"[input]",""),"")&amp;IF(FF60=1," | W_SEQUENCE_UNCERTAIN: "&amp;SUBSTITUTE(IFERROR(INDEX(nMSG_Text,MATCH("W_SEQUENCE_UNCERTAIN",nMSG_Code,0)),""),"[input]",""),"")&amp;IF(FG60=1," | W_ADMIN_SAME_DATE_AS_ONSET: "&amp;SUBSTITUTE(IFERROR(INDEX(nMSG_Text,MATCH("W_ADMIN_SAME_DATE_AS_ONSET",nMSG_Code,0)),""),"[input]",""),"")&amp;IF(FH60=1," | W_REPORTED_TIMING_CONFLICT: "&amp;SUBSTITUTE(IFERROR(INDEX(nMSG_Text,MATCH("W_REPORTED_TIMING_CONFLICT",nMSG_Code,0)),""),"[input]",""),"")&amp;IF(FI60=1," | W_INTERVENTION_BEFORE_RECOVERY: "&amp;SUBSTITUTE(IFERROR(INDEX(nMSG_Text,MATCH("W_INTERVENTION_BEFORE_RECOVERY",nMSG_Code,0)),""),"[input]",""),"")&amp;IF(FJ60=1," | I_TREATMENT_DAY_UNDEFINED: "&amp;SUBSTITUTE(IFERROR(INDEX(nMSG_Text,MATCH("I_TREATMENT_DAY_UNDEFINED",nMSG_Code,0)),""),"[input]",""),"")&amp;IF(FK60=1," | I_APPROXIMATE_NOT_COMPARED: "&amp;SUBSTITUTE(IFERROR(INDEX(nMSG_Text,MATCH("I_APPROXIMATE_NOT_COMPARED",nMSG_Code,0)),""),"[input]",""),""),4,9999))</f>
        <v/>
      </c>
      <c r="AE60" s="21" t="str">
        <f t="shared" si="73"/>
        <v/>
      </c>
      <c r="AF60" s="21" t="str">
        <f t="shared" si="74"/>
        <v/>
      </c>
      <c r="AG60" s="21" t="str">
        <f>IF(EN60="","",MID(IF(ISNUMBER(SEARCH("E_REVERSED_BOUNDS",EN60))," | E_REVERSED_BOUNDS: "&amp;SUBSTITUTE(IFERROR(INDEX(nMSG_Text,MATCH("E_REVERSED_BOUNDS",nMSG_Code,0)),""),"[input]",""),"")&amp;IF(ISNUMBER(SEARCH("E_MISSING_INPUT",EN60))," | E_MISSING_INPUT: "&amp;SUBSTITUTE(IFERROR(INDEX(nMSG_Text,MATCH("E_MISSING_INPUT",nMSG_Code,0)),""),"[input]",IF("the source of the constraint"="","an input","the source of the constraint")),""),4,999))</f>
        <v/>
      </c>
      <c r="AH60" s="21" t="str">
        <f t="shared" si="75"/>
        <v/>
      </c>
      <c r="AI60" s="21" t="str">
        <f t="shared" si="76"/>
        <v>EX-DIG/START → EV-1/ONSET</v>
      </c>
      <c r="AJ60" s="21" t="str">
        <f t="shared" si="77"/>
        <v>EX-DIG/START</v>
      </c>
      <c r="AK60" s="21" t="str">
        <f t="shared" si="78"/>
        <v>EV-1/ONSET</v>
      </c>
      <c r="AL60" s="21" t="str">
        <f>IF(CY60=0,"",INDEX(nTP_ISO,CY60))</f>
        <v>2026-01-01</v>
      </c>
      <c r="AM60" s="21" t="str">
        <f>IF(CY60=0,"",INDEX(nTP_Display,CY60))</f>
        <v>1 January 2026</v>
      </c>
      <c r="AN60" s="21" t="str">
        <f>IF(BI60=0,"",INDEX(nTP_ISO,BI60))</f>
        <v>2026-07-05</v>
      </c>
      <c r="AO60" s="21" t="str">
        <f>IF(BI60=0,"",INDEX(nTP_Display,BI60))</f>
        <v>5 July 2026</v>
      </c>
      <c r="AP60" s="21" t="str">
        <f>IF(BA60=0,"",INDEX(nLNK_Exposure_Episode_ID,BA60)&amp;"")</f>
        <v>EX-DIG</v>
      </c>
      <c r="AQ60" s="21" t="str">
        <f>IF(BA60=0,"",INDEX(nLNK_Event_Episode_ID,BA60)&amp;"")</f>
        <v>EV-1</v>
      </c>
      <c r="AR60" s="21" t="str">
        <f t="shared" si="79"/>
        <v>Anchor (FIRST_ADMIN) EX-DIG/START: 2026-01-01 [day; case measurement; original: "digoxin 125 micrograms each morning since 1 January 2026"; source: GP letter (version 2)] | End point EV-1/ONSET: 2026-07-05 [day; case measurement; original: "Nausea since this morning, dizzy, pulse 38"; source: Emergency department note]</v>
      </c>
      <c r="AS60" s="21" t="str">
        <f>IF(EI60=0,"",MID(IF(DT60=1," | Recovery interval (C7) computed with "&amp;DS60&amp;".","")&amp;IF(BG60=1," | Anchor selected under C5 (CALC-SPEC 1.1): latest administration with an exact date or time at or before "&amp;IF(BH60=1,"onset","the end point")&amp;" ("&amp;AJ60&amp;"), ordered in UTC when offsets are known; later administrations are never selected.","")&amp;IF(AND(BG60=1,CE60&gt;0)," | Partial-date administrations wholly before the selected one were not candidates: "&amp;FC60&amp;".","")&amp;IF(BV60&lt;&gt;""," | "&amp;BV60,"")&amp;IF(AND(DS60="C2",EA60=0,DZ60&lt;&gt;"")," | Same calendar date; both times are known, so C1 decides the order ("&amp;AA60&amp;").","")&amp;IF(AND(DS60="C2",DD60*BN60=1,DT60=0)," | Calendar-date difference from the recorded local dates; it is never described as elapsed days.","")&amp;IF(AND(DS60="C4",DT60=0)," | Bounds are treated as independent; no single date is imputed from them.","")&amp;IF(EJ60=1," | Treatment day under the inclusive convention (C3); never written to E2B fields automatically.","")&amp;IF(AND(DS60="C4",DT60=0,EK60=0)," | No constraint applied.","")&amp;IF(AND(DS60="C4",EK60=1)," | Constraint applied to the anchor bounds: "&amp;IF(ISNUMBER(P60),"not before "&amp;DAY(P60)&amp;" "&amp;INDEX(nLIST_Months,MONTH(P60))&amp;" "&amp;YEAR(P60),"")&amp;IF(AND(ISNUMBER(P60),ISNUMBER(Q60)),", ","")&amp;IF(ISNUMBER(Q60),"not after "&amp;DAY(Q60)&amp;" "&amp;INDEX(nLIST_Months,MONTH(Q60))&amp;" "&amp;YEAR(Q60),"")&amp;". Source: "&amp;IF(R60="","not recorded",R60)&amp;IF(EN60="",". Constrained result shown beside the unconstrained one.",". Constrained result blocked ("&amp;EN60&amp;")."),"")&amp;IF(DT60=1,IF(EO60&gt;0," | Intervention recorded between cessation and recovery (ends included): "&amp;EZ60&amp;"."," | No intervention is recorded between cessation and recovery; absence of a record is not evidence that none was given."),"")&amp;IF(AND(DT60=1,DV60&gt;0)," | Intervention recorded without a date, so whether it came before recovery is unknown: "&amp;INDEX(nMS_Milestone_ID,MATCH(1,INDEX((nMS_CaseKey=AX60)*(nMS_Type="INTERVENTION")*nMS_Undated,0),0))&amp;IF(DV60&gt;1," and "&amp;(DV60-1)&amp;" more","")&amp;".","")&amp;IF(AND(DT60=1,EP60&gt;0)," | Not counted as interventions, because they are recorded as exposures rather than as intervention milestones (nothing is inferred): "&amp;FB60&amp;". If treatment was given, record it as an intervention milestone.",""),4,9999))</f>
        <v/>
      </c>
      <c r="AT60" s="21" t="str">
        <f t="shared" si="80"/>
        <v>The interval describes the sequence and spacing of recorded times; it is not evidence of causation.</v>
      </c>
      <c r="AU60" s="21" t="str">
        <f t="shared" si="81"/>
        <v/>
      </c>
      <c r="AV60" s="21" t="str">
        <f t="shared" si="82"/>
        <v>CALC-SPEC 1.1</v>
      </c>
      <c r="AW60" s="22">
        <f t="shared" si="83"/>
        <v>0</v>
      </c>
      <c r="AX60" s="21" t="str">
        <f t="shared" si="84"/>
        <v>EX-C04|2</v>
      </c>
      <c r="AY60" s="21" t="str">
        <f t="shared" si="85"/>
        <v>EX-C04|2|I01</v>
      </c>
      <c r="AZ60" s="22">
        <f>IF(AY60="",0,COUNTIF(nINT_Key,AY60))</f>
        <v>1</v>
      </c>
      <c r="BA60" s="22">
        <f>IF(D60="",0,IFERROR(MATCH(AX60&amp;"|"&amp;D60,nLNK_Key,0),0))</f>
        <v>25</v>
      </c>
      <c r="BB60" s="22">
        <f>IF(BA60=0,1,INDEX(nLNK_Exp_Found,BA60))</f>
        <v>1</v>
      </c>
      <c r="BC60" s="22">
        <f>IF(BA60=0,1,INDEX(nLNK_Evt_Found,BA60))</f>
        <v>1</v>
      </c>
      <c r="BD60" s="22">
        <f>IF(AP60="",0,COUNTIF(nEXP_Key,AX60&amp;"|"&amp;AP60))</f>
        <v>1</v>
      </c>
      <c r="BE60" s="22">
        <f>IF(AQ60="",0,COUNTIF(nEVT_Key,AX60&amp;"|"&amp;AQ60))</f>
        <v>1</v>
      </c>
      <c r="BF60" s="22">
        <f>IF(ISNA(MATCH(E60,nLIST_AnchorType,0)),0,1)</f>
        <v>1</v>
      </c>
      <c r="BG60" s="22">
        <f t="shared" si="86"/>
        <v>0</v>
      </c>
      <c r="BH60" s="22">
        <f t="shared" si="87"/>
        <v>1</v>
      </c>
      <c r="BI60" s="22">
        <f>IF(OR(AW60=1,AK60=""),0,IFERROR(MATCH(AX60&amp;"|"&amp;AK60,nTP_Key,0),0))</f>
        <v>313</v>
      </c>
      <c r="BJ60" s="21">
        <f>IF(BI60=0,0,INDEX(nTP_Dup,BI60))</f>
        <v>1</v>
      </c>
      <c r="BK60" s="21" t="str">
        <f>IF(BI60=0,"",INDEX(nTP_Record_Type,BI60))</f>
        <v>EVENT_ONSET</v>
      </c>
      <c r="BL60" s="21" t="str">
        <f>IF(BI60=0,"",INDEX(nTP_Precision,BI60))</f>
        <v>DATE</v>
      </c>
      <c r="BM60" s="21" t="str">
        <f>IF(BI60=0,"",INDEX(nTP_Err,BI60))</f>
        <v/>
      </c>
      <c r="BN60" s="21">
        <f>IF(BI60=0,0,INDEX(nTP_HT,BI60))</f>
        <v>0</v>
      </c>
      <c r="BO60" s="21">
        <f>IF(BI60=0,0,INDEX(nTP_OK,BI60))</f>
        <v>0</v>
      </c>
      <c r="BP60" s="21" t="str">
        <f>IF(BI60=0,"",INDEX(nTP_Loc,BI60))</f>
        <v/>
      </c>
      <c r="BQ60" s="21" t="str">
        <f>IF(BI60=0,"",INDEX(nTP_UTC,BI60))</f>
        <v/>
      </c>
      <c r="BR60" s="21">
        <f>IF(BI60=0,"",INDEX(nTP_Lo,BI60))</f>
        <v>46208</v>
      </c>
      <c r="BS60" s="21">
        <f>IF(BI60=0,"",INDEX(nTP_Hi,BI60))</f>
        <v>46208</v>
      </c>
      <c r="BT60" s="21" t="str">
        <f>IF(BI60=0,"",INDEX(nTP_Original_Text,BI60))</f>
        <v>Nausea since this morning, dizzy, pulse 38</v>
      </c>
      <c r="BU60" s="21" t="str">
        <f>IF(BI60=0,"",INDEX(nTP_Source,BI60))</f>
        <v>Emergency department note</v>
      </c>
      <c r="BV60" s="21" t="str">
        <f>IF(BI60=0,"",INDEX(nTP_Lab_Note,BI60))</f>
        <v/>
      </c>
      <c r="BW60" s="22">
        <f t="shared" si="88"/>
        <v>1</v>
      </c>
      <c r="BX60" s="21" t="str">
        <f t="shared" si="89"/>
        <v>EX-C04|2|EX-DIG</v>
      </c>
      <c r="BY60" s="22">
        <f>IF(BG60=0,0,COUNTIF(nTP_CandKey,BX60))</f>
        <v>0</v>
      </c>
      <c r="BZ60" s="22">
        <f>IF(BG60=0,0,COUNTIFS(nTP_CandKey,BX60,nTP_Err,""))</f>
        <v>0</v>
      </c>
      <c r="CA60" s="21" t="str">
        <f>IF(BY60=BZ60,"",IF(COUNTIFS(nTP_CandKey,BX60,nTP_Err,"E_INVALID_DATE")&gt;0,"; E_INVALID_DATE","")&amp;IF(COUNTIFS(nTP_CandKey,BX60,nTP_Err,"E_REVERSED_BOUNDS")&gt;0,"; E_REVERSED_BOUNDS","")&amp;IF(COUNTIFS(nTP_CandKey,BX60,nTP_Err,"E_MISSING_INPUT")&gt;0,"; E_MISSING_INPUT","")&amp;IF(COUNTIFS(nTP_CandKey,BX60,nTP_Err,"E_INVALID_UNIT")&gt;0,"; E_INVALID_UNIT",""))</f>
        <v/>
      </c>
      <c r="CB60" s="22">
        <f t="shared" si="90"/>
        <v>0</v>
      </c>
      <c r="CC60" s="22">
        <f>IF(CB60=0,0,SUMPRODUCT((nTP_CandKey=BX60)*(nTP_Err="")*(1-(nTP_HT*BN60*((nTP_OK*BO60*(nTP_UTC_n-N(BQ60))+(1-nTP_OK*BO60)*(nTP_Loc_n-N(BP60)))&lt;=0)+(1-nTP_HT*BN60)*(nTP_Hi_n&lt;N(BR60)))-(nTP_HT*BN60*((nTP_OK*BO60*(nTP_UTC_n-N(BQ60))+(1-nTP_OK*BO60)*(nTP_Loc_n-N(BP60)))&gt;0)+(1-nTP_HT*BN60)*(nTP_Lo_n&gt;N(BS60)))-((1-nTP_HT*BN60)*(nTP_Lo_n=nTP_Hi_n)*(nTP_Lo_n=N(BR60))*(N(BR60)=N(BS60))))))</f>
        <v>0</v>
      </c>
      <c r="CD60" s="22">
        <f>IF(CB60=0,0,SUMPRODUCT((nTP_CandKey=BX60)*nTP_Exact*((nTP_HT*BN60*((nTP_OK*BO60*(nTP_UTC_n-N(BQ60))+(1-nTP_OK*BO60)*(nTP_Loc_n-N(BP60)))&lt;=0)+(1-nTP_HT*BN60)*(nTP_Hi_n&lt;N(BR60)))+((1-nTP_HT*BN60)*(nTP_Lo_n=nTP_Hi_n)*(nTP_Lo_n=N(BR60))*(N(BR60)=N(BS60))))))</f>
        <v>0</v>
      </c>
      <c r="CE60" s="22">
        <f>IF(CB60=0,0,SUMPRODUCT((nTP_CandKey=BX60)*(nTP_Err="")*(1-nTP_Exact)*((nTP_HT*BN60*((nTP_OK*BO60*(nTP_UTC_n-N(BQ60))+(1-nTP_OK*BO60)*(nTP_Loc_n-N(BP60)))&lt;=0)+(1-nTP_HT*BN60)*(nTP_Hi_n&lt;N(BR60)))+((1-nTP_HT*BN60)*(nTP_Lo_n=nTP_Hi_n)*(nTP_Lo_n=N(BR60))*(N(BR60)=N(BS60))))))</f>
        <v>0</v>
      </c>
      <c r="CF60" s="22">
        <f>IF(CD60=0,0,SUMPRODUCT(MAX((nTP_CandKey=BX60)*nTP_Exact*((nTP_HT*BN60*((nTP_OK*BO60*(nTP_UTC_n-N(BQ60))+(1-nTP_OK*BO60)*(nTP_Loc_n-N(BP60)))&lt;=0)+(1-nTP_HT*BN60)*(nTP_Hi_n&lt;N(BR60)))+((1-nTP_HT*BN60)*(nTP_Lo_n=nTP_Hi_n)*(nTP_Lo_n=N(BR60))*(N(BR60)=N(BS60))))*nTP_Lo_n)))</f>
        <v>0</v>
      </c>
      <c r="CG60" s="22">
        <f>IF(CD60=0,0,SUMPRODUCT((nTP_CandKey=BX60)*nTP_Exact*((nTP_HT*BN60*((nTP_OK*BO60*(nTP_UTC_n-N(BQ60))+(1-nTP_OK*BO60)*(nTP_Loc_n-N(BP60)))&lt;=0)+(1-nTP_HT*BN60)*(nTP_Hi_n&lt;N(BR60)))+((1-nTP_HT*BN60)*(nTP_Lo_n=nTP_Hi_n)*(nTP_Lo_n=N(BR60))*(N(BR60)=N(BS60))))*(nTP_Lo_n=CF60)))</f>
        <v>0</v>
      </c>
      <c r="CH60" s="22">
        <f>IF(CD60=0,0,SUMPRODUCT((nTP_CandKey=BX60)*nTP_Exact*((nTP_HT*BN60*((nTP_OK*BO60*(nTP_UTC_n-N(BQ60))+(1-nTP_OK*BO60)*(nTP_Loc_n-N(BP60)))&lt;=0)+(1-nTP_HT*BN60)*(nTP_Hi_n&lt;N(BR60)))+((1-nTP_HT*BN60)*(nTP_Lo_n=nTP_Hi_n)*(nTP_Lo_n=N(BR60))*(N(BR60)=N(BS60))))*(1-nTP_HT)*(nTP_Lo_n=CF60)))</f>
        <v>0</v>
      </c>
      <c r="CI60" s="22">
        <f>IF(CD60=0,0,SUMPRODUCT(MAX((nTP_CandKey=BX60)*nTP_Exact*((nTP_HT*BN60*((nTP_OK*BO60*(nTP_UTC_n-N(BQ60))+(1-nTP_OK*BO60)*(nTP_Loc_n-N(BP60)))&lt;=0)+(1-nTP_HT*BN60)*(nTP_Hi_n&lt;N(BR60)))+((1-nTP_HT*BN60)*(nTP_Lo_n=nTP_Hi_n)*(nTP_Lo_n=N(BR60))*(N(BR60)=N(BS60))))*(1-nTP_HT)*nTP_Lo_n)))</f>
        <v>0</v>
      </c>
      <c r="CJ60" s="22">
        <f>IF(CD60=0,0,SUMPRODUCT(MAX((nTP_CandKey=BX60)*nTP_Exact*((nTP_HT*BN60*((nTP_OK*BO60*(nTP_UTC_n-N(BQ60))+(1-nTP_OK*BO60)*(nTP_Loc_n-N(BP60)))&lt;=0)+(1-nTP_HT*BN60)*(nTP_Hi_n&lt;N(BR60)))+((1-nTP_HT*BN60)*(nTP_Lo_n=nTP_Hi_n)*(nTP_Lo_n=N(BR60))*(N(BR60)=N(BS60))))*nTP_HT*nTP_OK*nTP_UTC_n)))</f>
        <v>0</v>
      </c>
      <c r="CK60" s="22">
        <f>IF(CJ60=0,0,SUMPRODUCT((nTP_CandKey=BX60)*nTP_Exact*((nTP_HT*BN60*((nTP_OK*BO60*(nTP_UTC_n-N(BQ60))+(1-nTP_OK*BO60)*(nTP_Loc_n-N(BP60)))&lt;=0)+(1-nTP_HT*BN60)*(nTP_Hi_n&lt;N(BR60)))+((1-nTP_HT*BN60)*(nTP_Lo_n=nTP_Hi_n)*(nTP_Lo_n=N(BR60))*(N(BR60)=N(BS60))))*nTP_HT*nTP_OK*(nTP_UTC_n=CJ60)))</f>
        <v>0</v>
      </c>
      <c r="CL60" s="22">
        <f>IF(CK60&lt;&gt;1,0,SUMPRODUCT((nTP_CandKey=BX60)*nTP_Exact*((nTP_HT*BN60*((nTP_OK*BO60*(nTP_UTC_n-N(BQ60))+(1-nTP_OK*BO60)*(nTP_Loc_n-N(BP60)))&lt;=0)+(1-nTP_HT*BN60)*(nTP_Hi_n&lt;N(BR60)))+((1-nTP_HT*BN60)*(nTP_Lo_n=nTP_Hi_n)*(nTP_Lo_n=N(BR60))*(N(BR60)=N(BS60))))*nTP_HT*nTP_OK*(nTP_UTC_n=CJ60)*nTP_Loc_n))</f>
        <v>0</v>
      </c>
      <c r="CM60" s="22">
        <f>IF(CK60&lt;&gt;1,0,SUMPRODUCT((nTP_CandKey=BX60)*nTP_Exact*((nTP_HT*BN60*((nTP_OK*BO60*(nTP_UTC_n-N(BQ60))+(1-nTP_OK*BO60)*(nTP_Loc_n-N(BP60)))&lt;=0)+(1-nTP_HT*BN60)*(nTP_Hi_n&lt;N(BR60)))+((1-nTP_HT*BN60)*(nTP_Lo_n=nTP_Hi_n)*(nTP_Lo_n=N(BR60))*(N(BR60)=N(BS60))))*nTP_HT*nTP_OK*(nTP_UTC_n=CJ60)*nTP_Lo_n))</f>
        <v>0</v>
      </c>
      <c r="CN60" s="22">
        <f>IF(CD60=0,0,SUMPRODUCT(MAX((nTP_CandKey=BX60)*nTP_Exact*((nTP_HT*BN60*((nTP_OK*BO60*(nTP_UTC_n-N(BQ60))+(1-nTP_OK*BO60)*(nTP_Loc_n-N(BP60)))&lt;=0)+(1-nTP_HT*BN60)*(nTP_Hi_n&lt;N(BR60)))+((1-nTP_HT*BN60)*(nTP_Lo_n=nTP_Hi_n)*(nTP_Lo_n=N(BR60))*(N(BR60)=N(BS60))))*nTP_HT*(1-nTP_OK)*nTP_Loc_n)))</f>
        <v>0</v>
      </c>
      <c r="CO60" s="22">
        <f>IF(CN60=0,0,SUMPRODUCT((nTP_CandKey=BX60)*nTP_Exact*((nTP_HT*BN60*((nTP_OK*BO60*(nTP_UTC_n-N(BQ60))+(1-nTP_OK*BO60)*(nTP_Loc_n-N(BP60)))&lt;=0)+(1-nTP_HT*BN60)*(nTP_Hi_n&lt;N(BR60)))+((1-nTP_HT*BN60)*(nTP_Lo_n=nTP_Hi_n)*(nTP_Lo_n=N(BR60))*(N(BR60)=N(BS60))))*nTP_HT*(1-nTP_OK)*(nTP_Loc_n=CN60)))</f>
        <v>0</v>
      </c>
      <c r="CP60" s="22">
        <f>IF(CO60&lt;&gt;1,0,SUMPRODUCT((nTP_CandKey=BX60)*nTP_Exact*((nTP_HT*BN60*((nTP_OK*BO60*(nTP_UTC_n-N(BQ60))+(1-nTP_OK*BO60)*(nTP_Loc_n-N(BP60)))&lt;=0)+(1-nTP_HT*BN60)*(nTP_Hi_n&lt;N(BR60)))+((1-nTP_HT*BN60)*(nTP_Lo_n=nTP_Hi_n)*(nTP_Lo_n=N(BR60))*(N(BR60)=N(BS60))))*nTP_HT*(1-nTP_OK)*(nTP_Loc_n=CN60)*nTP_Lo_n))</f>
        <v>0</v>
      </c>
      <c r="CQ60" s="22">
        <f>IF(CD60=0,0,SUMPRODUCT(MAX((nTP_CandKey=BX60)*nTP_Exact*((nTP_HT*BN60*((nTP_OK*BO60*(nTP_UTC_n-N(BQ60))+(1-nTP_OK*BO60)*(nTP_Loc_n-N(BP60)))&lt;=0)+(1-nTP_HT*BN60)*(nTP_Hi_n&lt;N(BR60)))+((1-nTP_HT*BN60)*(nTP_Lo_n=nTP_Hi_n)*(nTP_Lo_n=N(BR60))*(N(BR60)=N(BS60))))*nTP_HT*nTP_OK*nTP_Loc_n)))</f>
        <v>0</v>
      </c>
      <c r="CR60" s="22">
        <f t="shared" si="91"/>
        <v>0</v>
      </c>
      <c r="CS60" s="22">
        <f>IF(CR60=0,0,IF(CR60=1,MATCH(1,INDEX((nTP_CandKey=BX60)*nTP_Exact*((nTP_HT*BN60*((nTP_OK*BO60*(nTP_UTC_n-N(BQ60))+(1-nTP_OK*BO60)*(nTP_Loc_n-N(BP60)))&lt;=0)+(1-nTP_HT*BN60)*(nTP_Hi_n&lt;N(BR60)))+((1-nTP_HT*BN60)*(nTP_Lo_n=nTP_Hi_n)*(nTP_Lo_n=N(BR60))*(N(BR60)=N(BS60))))*(1-nTP_HT)*(nTP_Lo_n=CF60),0),0),IF(CR60=2,MATCH(1,INDEX((nTP_CandKey=BX60)*nTP_Exact*((nTP_HT*BN60*((nTP_OK*BO60*(nTP_UTC_n-N(BQ60))+(1-nTP_OK*BO60)*(nTP_Loc_n-N(BP60)))&lt;=0)+(1-nTP_HT*BN60)*(nTP_Hi_n&lt;N(BR60)))+((1-nTP_HT*BN60)*(nTP_Lo_n=nTP_Hi_n)*(nTP_Lo_n=N(BR60))*(N(BR60)=N(BS60))))*nTP_HT*nTP_OK*(nTP_UTC_n=CJ60),0),0),MATCH(1,INDEX((nTP_CandKey=BX60)*nTP_Exact*((nTP_HT*BN60*((nTP_OK*BO60*(nTP_UTC_n-N(BQ60))+(1-nTP_OK*BO60)*(nTP_Loc_n-N(BP60)))&lt;=0)+(1-nTP_HT*BN60)*(nTP_Hi_n&lt;N(BR60)))+((1-nTP_HT*BN60)*(nTP_Lo_n=nTP_Hi_n)*(nTP_Lo_n=N(BR60))*(N(BR60)=N(BS60))))*nTP_HT*(1-nTP_OK)*(nTP_Loc_n=CN60),0),0))))</f>
        <v>0</v>
      </c>
      <c r="CT60" s="22">
        <f>IF(CS60=0,0,INDEX(nTP_Lo_n,CS60))</f>
        <v>0</v>
      </c>
      <c r="CU60" s="22">
        <f>IF(CS60=0,0,SUMPRODUCT((nTP_CandKey=BX60)*(nTP_Err="")*(1-nTP_Exact)*((nTP_HT*BN60*((nTP_OK*BO60*(nTP_UTC_n-N(BQ60))+(1-nTP_OK*BO60)*(nTP_Loc_n-N(BP60)))&lt;=0)+(1-nTP_HT*BN60)*(nTP_Hi_n&lt;N(BR60)))+((1-nTP_HT*BN60)*(nTP_Lo_n=nTP_Hi_n)*(nTP_Lo_n=N(BR60))*(N(BR60)=N(BS60))))*(nTP_Hi_n&gt;=CT60)))</f>
        <v>0</v>
      </c>
      <c r="CV60" s="21" t="str">
        <f t="shared" si="92"/>
        <v/>
      </c>
      <c r="CW60" s="21" t="str">
        <f>IF(AND(BG60=1,CB60=1,CV60="",CS60&gt;0),INDEX(nTP_Record_ID,CS60)&amp;"","")</f>
        <v/>
      </c>
      <c r="CX60" s="21" t="str">
        <f>IF(OR(CV60="",BG60=0),"",IF(CV60="none","an administration record (last dose before onset)",IF(CV60="uncertain","the anchor record: "&amp;INDEX(nTP_Record_ID,MATCH(1,INDEX((nTP_CandKey=BX60)*(nTP_Err="")*(1-(nTP_HT*BN60*((nTP_OK*BO60*(nTP_UTC_n-N(BQ60))+(1-nTP_OK*BO60)*(nTP_Loc_n-N(BP60)))&lt;=0)+(1-nTP_HT*BN60)*(nTP_Hi_n&lt;N(BR60)))-(nTP_HT*BN60*((nTP_OK*BO60*(nTP_UTC_n-N(BQ60))+(1-nTP_OK*BO60)*(nTP_Loc_n-N(BP60)))&gt;0)+(1-nTP_HT*BN60)*(nTP_Lo_n&gt;N(BS60)))-((1-nTP_HT*BN60)*(nTP_Lo_n=nTP_Hi_n)*(nTP_Lo_n=N(BR60))*(N(BR60)=N(BS60)))),0),0))&amp;IF(CC60&gt;1," and "&amp;(CC60-1)&amp;" more","")&amp;" may fall before or after the end point, so the last dose cannot be identified from the recorded dates",IF(CV60="noneligible","the anchor record: no administration with an exact date is recorded at or before the end point",IF(CV60="tie","the anchor record: the order of the latest administrations cannot be told from the recorded dates and times","the anchor record: partial-date administration "&amp;INDEX(nTP_Record_ID,MATCH(1,INDEX((nTP_CandKey=BX60)*(nTP_Err="")*(1-nTP_Exact)*((nTP_HT*BN60*((nTP_OK*BO60*(nTP_UTC_n-N(BQ60))+(1-nTP_OK*BO60)*(nTP_Loc_n-N(BP60)))&lt;=0)+(1-nTP_HT*BN60)*(nTP_Hi_n&lt;N(BR60)))+((1-nTP_HT*BN60)*(nTP_Lo_n=nTP_Hi_n)*(nTP_Lo_n=N(BR60))*(N(BR60)=N(BS60))))*(nTP_Hi_n&gt;=CT60),0),0))&amp;" could be the last dose before the end point")))))</f>
        <v/>
      </c>
      <c r="CY60" s="22">
        <f>IF(OR(AW60=1,AJ60=""),0,IFERROR(MATCH(AX60&amp;"|"&amp;AJ60,nTP_Key,0),0))</f>
        <v>35</v>
      </c>
      <c r="CZ60" s="21">
        <f>IF(CY60=0,0,INDEX(nTP_Dup,CY60))</f>
        <v>1</v>
      </c>
      <c r="DA60" s="21" t="str">
        <f>IF(CY60=0,"",INDEX(nTP_Record_Type,CY60))</f>
        <v>EXPOSURE_START</v>
      </c>
      <c r="DB60" s="21" t="str">
        <f>IF(CY60=0,"",INDEX(nTP_Precision,CY60))</f>
        <v>DATE</v>
      </c>
      <c r="DC60" s="21" t="str">
        <f>IF(CY60=0,"",INDEX(nTP_Err,CY60))</f>
        <v/>
      </c>
      <c r="DD60" s="21">
        <f>IF(CY60=0,0,INDEX(nTP_HT,CY60))</f>
        <v>0</v>
      </c>
      <c r="DE60" s="21">
        <f>IF(CY60=0,0,INDEX(nTP_OK,CY60))</f>
        <v>0</v>
      </c>
      <c r="DF60" s="21" t="str">
        <f>IF(CY60=0,"",INDEX(nTP_Loc,CY60))</f>
        <v/>
      </c>
      <c r="DG60" s="21" t="str">
        <f>IF(CY60=0,"",INDEX(nTP_UTC,CY60))</f>
        <v/>
      </c>
      <c r="DH60" s="21">
        <f>IF(CY60=0,"",INDEX(nTP_Lo,CY60))</f>
        <v>46023</v>
      </c>
      <c r="DI60" s="21">
        <f>IF(CY60=0,"",INDEX(nTP_Hi,CY60))</f>
        <v>46023</v>
      </c>
      <c r="DJ60" s="21" t="str">
        <f>IF(CY60=0,"",INDEX(nTP_Original_Text,CY60))</f>
        <v>digoxin 125 micrograms each morning since 1 January 2026</v>
      </c>
      <c r="DK60" s="21" t="str">
        <f>IF(CY60=0,"",INDEX(nTP_Source,CY60))</f>
        <v>GP letter (version 2)</v>
      </c>
      <c r="DL60" s="22">
        <f t="shared" si="93"/>
        <v>1</v>
      </c>
      <c r="DM60" s="21" t="str">
        <f t="shared" si="94"/>
        <v/>
      </c>
      <c r="DN60" s="21" t="str">
        <f t="shared" si="95"/>
        <v/>
      </c>
      <c r="DO60" s="21" t="str">
        <f t="shared" si="96"/>
        <v/>
      </c>
      <c r="DP60" s="21" t="str">
        <f t="shared" si="97"/>
        <v/>
      </c>
      <c r="DQ60" s="21" t="str">
        <f t="shared" si="98"/>
        <v>C2</v>
      </c>
      <c r="DR60" s="22">
        <f>IF(OR(DQ60="",I60=""),0,IF(ISNA(MATCH(I60,nLIST_Mode,0)),1,IF(AND(I60="C1",DQ60&lt;&gt;"C1"),1,IF(AND(I60="C2",DQ60="C4"),1,0))))</f>
        <v>0</v>
      </c>
      <c r="DS60" s="21" t="str">
        <f t="shared" si="99"/>
        <v>C2</v>
      </c>
      <c r="DT60" s="22">
        <f t="shared" si="100"/>
        <v>0</v>
      </c>
      <c r="DU60" s="21" t="str">
        <f>IF(DT60=0,"",IF(COUNTIFS(nTP_Case_Key,AX60,nTP_Record_Type,"MILESTONE:INTERVENTION",nTP_Err,"E_INVALID_DATE")&gt;0,"; E_INVALID_DATE","")&amp;IF(COUNTIFS(nTP_Case_Key,AX60,nTP_Record_Type,"MILESTONE:INTERVENTION",nTP_Err,"E_REVERSED_BOUNDS")&gt;0,"; E_REVERSED_BOUNDS","")&amp;IF(COUNTIFS(nTP_Case_Key,AX60,nTP_Record_Type,"MILESTONE:INTERVENTION",nTP_Err,"E_MISSING_INPUT")&gt;0,"; E_MISSING_INPUT","")&amp;IF(COUNTIFS(nTP_Case_Key,AX60,nTP_Record_Type,"MILESTONE:INTERVENTION",nTP_Err,"E_INVALID_UNIT")&gt;0,"; E_INVALID_UNIT",""))</f>
        <v/>
      </c>
      <c r="DV60" s="22">
        <f>IF(DT60=0,0,SUMPRODUCT((nMS_CaseKey=AX60)*(nMS_Type="INTERVENTION")*nMS_Undated))</f>
        <v>0</v>
      </c>
      <c r="DW60" s="21" t="str">
        <f t="shared" si="101"/>
        <v/>
      </c>
      <c r="DX60" s="21" t="str">
        <f t="shared" si="102"/>
        <v/>
      </c>
      <c r="DY60" s="22">
        <f t="shared" si="103"/>
        <v>1</v>
      </c>
      <c r="DZ60" s="21" t="str">
        <f t="shared" si="104"/>
        <v/>
      </c>
      <c r="EA60" s="21">
        <f t="shared" si="105"/>
        <v>185</v>
      </c>
      <c r="EB60" s="21" t="str">
        <f t="shared" si="106"/>
        <v/>
      </c>
      <c r="EC60" s="21" t="str">
        <f t="shared" si="107"/>
        <v/>
      </c>
      <c r="ED60" s="22">
        <f t="shared" si="108"/>
        <v>0</v>
      </c>
      <c r="EE60" s="22">
        <f t="shared" si="109"/>
        <v>0</v>
      </c>
      <c r="EF60" s="21" t="str">
        <f>IF(ED60=0,"",IF(OR(NOT(ISNUMBER(L60)),NOT(ISNUMBER(M60))),"I_APPROXIMATE_NOT_COMPARED",IF(AND(N60&lt;&gt;"",ISNA(MATCH(N60,nLIST_ReportedUnit,0))),"E_INVALID_UNIT",IF(N60="","E_MISSING_INPUT",IF(L60&gt;M60,"E_REVERSED_BOUNDS",IF(OR(N60="weeks",N60="months",N60="years"),"I_APPROXIMATE_NOT_COMPARED",IF(DX60&lt;&gt;"","",IF(EE60=0,"I_APPROXIMATE_NOT_COMPARED",IF(AND(L60*EE60&lt;=IF(DS60="C4",EC60,IF(DS60="C1",DZ60,EA60)),M60*EE60&gt;=IF(DS60="C4",EB60,IF(DS60="C1",DZ60,EA60))),"OVERLAP","W_REPORTED_TIMING_CONFLICT")))))))))</f>
        <v/>
      </c>
      <c r="EG60" s="21" t="str">
        <f t="shared" si="110"/>
        <v/>
      </c>
      <c r="EH60" s="21" t="str">
        <f t="shared" si="111"/>
        <v/>
      </c>
      <c r="EI60" s="22">
        <f t="shared" si="112"/>
        <v>1</v>
      </c>
      <c r="EJ60" s="22">
        <f t="shared" si="113"/>
        <v>0</v>
      </c>
      <c r="EK60" s="22">
        <f t="shared" si="114"/>
        <v>0</v>
      </c>
      <c r="EL60" s="28" t="str">
        <f t="shared" si="115"/>
        <v/>
      </c>
      <c r="EM60" s="28" t="str">
        <f t="shared" si="116"/>
        <v/>
      </c>
      <c r="EN60" s="21" t="str">
        <f t="shared" si="117"/>
        <v/>
      </c>
      <c r="EO60" s="22">
        <f>IF(OR(DT60=0,DX60&lt;&gt;""),0,SUMPRODUCT((nTP_Case_Key=AX60)*(nTP_Record_Type="MILESTONE:INTERVENTION")*(nTP_Err="")*(nTP_HT*DD60*BN60*(nTP_OK*DE60*(nTP_UTC_n&gt;=N(DG60))+(1-nTP_OK*DE60)*(nTP_Loc_n&gt;=N(DF60)))*(nTP_OK*BO60*(nTP_UTC_n&lt;=N(BQ60))+(1-nTP_OK*BO60)*(nTP_Loc_n&lt;=N(BP60)))+(1-nTP_HT*DD60*BN60)*(nTP_Hi_n&gt;=N(DH60))*(nTP_Lo_n&lt;=N(BS60)))))</f>
        <v>0</v>
      </c>
      <c r="EP60" s="22">
        <f>IF(OR(DT60=0,DX60&lt;&gt;""),0,SUMPRODUCT((nTP_Case_Key=AX60)*(nTP_Role="treatment of the event")*((nTP_Record_Type="EXPOSURE_START")+(nTP_Record_Type="ADMINISTRATION"))*(nTP_Err="")*(nTP_HT*DD60*BN60*(nTP_OK*DE60*(nTP_UTC_n&gt;=N(DG60))+(1-nTP_OK*DE60)*(nTP_Loc_n&gt;=N(DF60)))*(nTP_OK*BO60*(nTP_UTC_n&lt;=N(BQ60))+(1-nTP_OK*BO60)*(nTP_Loc_n&lt;=N(BP60)))+(1-nTP_HT*DD60*BN60)*(nTP_Hi_n&gt;=N(DH60))*(nTP_Lo_n&lt;=N(BS60)))))</f>
        <v>0</v>
      </c>
      <c r="EQ60" s="22">
        <f>IF(EO60&lt;1,0,IFERROR(_xlfn.AGGREGATE(15,6,nTP_RowN/((nTP_Case_Key=AX60)*(nTP_Record_Type="MILESTONE:INTERVENTION")*(nTP_Err="")*(nTP_HT*DD60*BN60*(nTP_OK*DE60*(nTP_UTC_n&gt;=N(DG60))+(1-nTP_OK*DE60)*(nTP_Loc_n&gt;=N(DF60)))*(nTP_OK*BO60*(nTP_UTC_n&lt;=N(BQ60))+(1-nTP_OK*BO60)*(nTP_Loc_n&lt;=N(BP60)))+(1-nTP_HT*DD60*BN60)*(nTP_Hi_n&gt;=N(DH60))*(nTP_Lo_n&lt;=N(BS60)))),1),0))</f>
        <v>0</v>
      </c>
      <c r="ER60" s="22">
        <f>IF(EO60&lt;2,0,IFERROR(_xlfn.AGGREGATE(15,6,nTP_RowN/((nTP_Case_Key=AX60)*(nTP_Record_Type="MILESTONE:INTERVENTION")*(nTP_Err="")*(nTP_HT*DD60*BN60*(nTP_OK*DE60*(nTP_UTC_n&gt;=N(DG60))+(1-nTP_OK*DE60)*(nTP_Loc_n&gt;=N(DF60)))*(nTP_OK*BO60*(nTP_UTC_n&lt;=N(BQ60))+(1-nTP_OK*BO60)*(nTP_Loc_n&lt;=N(BP60)))+(1-nTP_HT*DD60*BN60)*(nTP_Hi_n&gt;=N(DH60))*(nTP_Lo_n&lt;=N(BS60)))),2),0))</f>
        <v>0</v>
      </c>
      <c r="ES60" s="22">
        <f>IF(EO60&lt;3,0,IFERROR(_xlfn.AGGREGATE(15,6,nTP_RowN/((nTP_Case_Key=AX60)*(nTP_Record_Type="MILESTONE:INTERVENTION")*(nTP_Err="")*(nTP_HT*DD60*BN60*(nTP_OK*DE60*(nTP_UTC_n&gt;=N(DG60))+(1-nTP_OK*DE60)*(nTP_Loc_n&gt;=N(DF60)))*(nTP_OK*BO60*(nTP_UTC_n&lt;=N(BQ60))+(1-nTP_OK*BO60)*(nTP_Loc_n&lt;=N(BP60)))+(1-nTP_HT*DD60*BN60)*(nTP_Hi_n&gt;=N(DH60))*(nTP_Lo_n&lt;=N(BS60)))),3),0))</f>
        <v>0</v>
      </c>
      <c r="ET60" s="22">
        <f>IF(EP60&lt;1,0,IFERROR(_xlfn.AGGREGATE(15,6,nTP_RowN/((nTP_Case_Key=AX60)*(nTP_Role="treatment of the event")*((nTP_Record_Type="EXPOSURE_START")+(nTP_Record_Type="ADMINISTRATION"))*(nTP_Err="")*(nTP_HT*DD60*BN60*(nTP_OK*DE60*(nTP_UTC_n&gt;=N(DG60))+(1-nTP_OK*DE60)*(nTP_Loc_n&gt;=N(DF60)))*(nTP_OK*BO60*(nTP_UTC_n&lt;=N(BQ60))+(1-nTP_OK*BO60)*(nTP_Loc_n&lt;=N(BP60)))+(1-nTP_HT*DD60*BN60)*(nTP_Hi_n&gt;=N(DH60))*(nTP_Lo_n&lt;=N(BS60)))),1),0))</f>
        <v>0</v>
      </c>
      <c r="EU60" s="22">
        <f>IF(EP60&lt;2,0,IFERROR(_xlfn.AGGREGATE(15,6,nTP_RowN/((nTP_Case_Key=AX60)*(nTP_Role="treatment of the event")*((nTP_Record_Type="EXPOSURE_START")+(nTP_Record_Type="ADMINISTRATION"))*(nTP_Err="")*(nTP_HT*DD60*BN60*(nTP_OK*DE60*(nTP_UTC_n&gt;=N(DG60))+(1-nTP_OK*DE60)*(nTP_Loc_n&gt;=N(DF60)))*(nTP_OK*BO60*(nTP_UTC_n&lt;=N(BQ60))+(1-nTP_OK*BO60)*(nTP_Loc_n&lt;=N(BP60)))+(1-nTP_HT*DD60*BN60)*(nTP_Hi_n&gt;=N(DH60))*(nTP_Lo_n&lt;=N(BS60)))),2),0))</f>
        <v>0</v>
      </c>
      <c r="EV60" s="22">
        <f>IF(EP60&lt;3,0,IFERROR(_xlfn.AGGREGATE(15,6,nTP_RowN/((nTP_Case_Key=AX60)*(nTP_Role="treatment of the event")*((nTP_Record_Type="EXPOSURE_START")+(nTP_Record_Type="ADMINISTRATION"))*(nTP_Err="")*(nTP_HT*DD60*BN60*(nTP_OK*DE60*(nTP_UTC_n&gt;=N(DG60))+(1-nTP_OK*DE60)*(nTP_Loc_n&gt;=N(DF60)))*(nTP_OK*BO60*(nTP_UTC_n&lt;=N(BQ60))+(1-nTP_OK*BO60)*(nTP_Loc_n&lt;=N(BP60)))+(1-nTP_HT*DD60*BN60)*(nTP_Hi_n&gt;=N(DH60))*(nTP_Lo_n&lt;=N(BS60)))),3),0))</f>
        <v>0</v>
      </c>
      <c r="EW60" s="22">
        <f>IF(CE60&lt;1,0,IFERROR(_xlfn.AGGREGATE(15,6,nTP_RowN/((nTP_CandKey=BX60)*(nTP_Err="")*(1-nTP_Exact)*((nTP_HT*BN60*((nTP_OK*BO60*(nTP_UTC_n-N(BQ60))+(1-nTP_OK*BO60)*(nTP_Loc_n-N(BP60)))&lt;=0)+(1-nTP_HT*BN60)*(nTP_Hi_n&lt;N(BR60)))+((1-nTP_HT*BN60)*(nTP_Lo_n=nTP_Hi_n)*(nTP_Lo_n=N(BR60))*(N(BR60)=N(BS60))))),1),0))</f>
        <v>0</v>
      </c>
      <c r="EX60" s="22">
        <f>IF(CE60&lt;2,0,IFERROR(_xlfn.AGGREGATE(15,6,nTP_RowN/((nTP_CandKey=BX60)*(nTP_Err="")*(1-nTP_Exact)*((nTP_HT*BN60*((nTP_OK*BO60*(nTP_UTC_n-N(BQ60))+(1-nTP_OK*BO60)*(nTP_Loc_n-N(BP60)))&lt;=0)+(1-nTP_HT*BN60)*(nTP_Hi_n&lt;N(BR60)))+((1-nTP_HT*BN60)*(nTP_Lo_n=nTP_Hi_n)*(nTP_Lo_n=N(BR60))*(N(BR60)=N(BS60))))),2),0))</f>
        <v>0</v>
      </c>
      <c r="EY60" s="22">
        <f>IF(CE60&lt;3,0,IFERROR(_xlfn.AGGREGATE(15,6,nTP_RowN/((nTP_CandKey=BX60)*(nTP_Err="")*(1-nTP_Exact)*((nTP_HT*BN60*((nTP_OK*BO60*(nTP_UTC_n-N(BQ60))+(1-nTP_OK*BO60)*(nTP_Loc_n-N(BP60)))&lt;=0)+(1-nTP_HT*BN60)*(nTP_Hi_n&lt;N(BR60)))+((1-nTP_HT*BN60)*(nTP_Lo_n=nTP_Hi_n)*(nTP_Lo_n=N(BR60))*(N(BR60)=N(BS60))))),3),0))</f>
        <v>0</v>
      </c>
      <c r="EZ60" s="21" t="str">
        <f>IF(EO60=0,"",MID(IF(EQ60&gt;0,"; "&amp;INDEX(nTP_Record_ID,EQ60)&amp;IF(INDEX(nTP_Label,EQ60)="",""," ("&amp;INDEX(nTP_Label,EQ60)&amp;")"),"")&amp;IF(ER60&gt;0,"; "&amp;INDEX(nTP_Record_ID,ER60)&amp;IF(INDEX(nTP_Label,ER60)="",""," ("&amp;INDEX(nTP_Label,ER60)&amp;")"),"")&amp;IF(ES60&gt;0,"; "&amp;INDEX(nTP_Record_ID,ES60)&amp;IF(INDEX(nTP_Label,ES60)="",""," ("&amp;INDEX(nTP_Label,ES60)&amp;")"),"")&amp;IF(EO60&gt;3,"; and "&amp;(EO60-3)&amp;" more",""),3,999))</f>
        <v/>
      </c>
      <c r="FA60" s="21" t="str">
        <f>IF(EO60=0,"",MID(IF(EQ60&gt;0,"; "&amp;INDEX(nTP_Record_ID,EQ60),"")&amp;IF(ER60&gt;0,"; "&amp;INDEX(nTP_Record_ID,ER60),"")&amp;IF(ES60&gt;0,"; "&amp;INDEX(nTP_Record_ID,ES60),"")&amp;IF(EO60&gt;3,"; and "&amp;(EO60-3)&amp;" more",""),3,999))</f>
        <v/>
      </c>
      <c r="FB60" s="21" t="str">
        <f>IF(EP60=0,"",MID(IF(ET60&gt;0,"; "&amp;INDEX(nTP_Record_ID,ET60)&amp;IF(INDEX(nTP_Label,ET60)="",""," ("&amp;INDEX(nTP_Label,ET60)&amp;")"),"")&amp;IF(EU60&gt;0,"; "&amp;INDEX(nTP_Record_ID,EU60)&amp;IF(INDEX(nTP_Label,EU60)="",""," ("&amp;INDEX(nTP_Label,EU60)&amp;")"),"")&amp;IF(EV60&gt;0,"; "&amp;INDEX(nTP_Record_ID,EV60)&amp;IF(INDEX(nTP_Label,EV60)="",""," ("&amp;INDEX(nTP_Label,EV60)&amp;")"),"")&amp;IF(EP60&gt;3,"; and "&amp;(EP60-3)&amp;" more",""),3,999))</f>
        <v/>
      </c>
      <c r="FC60" s="21" t="str">
        <f>IF(CE60=0,"",MID(IF(EW60&gt;0,"; "&amp;INDEX(nTP_Record_ID,EW60),"")&amp;IF(EX60&gt;0,"; "&amp;INDEX(nTP_Record_ID,EX60),"")&amp;IF(EY60&gt;0,"; "&amp;INDEX(nTP_Record_ID,EY60),"")&amp;IF(CE60&gt;3,"; and "&amp;(CE60-3)&amp;" more",""),3,999))</f>
        <v/>
      </c>
      <c r="FD60" s="22">
        <f t="shared" si="118"/>
        <v>0</v>
      </c>
      <c r="FE60" s="22">
        <f t="shared" si="119"/>
        <v>0</v>
      </c>
      <c r="FF60" s="22">
        <f t="shared" si="120"/>
        <v>0</v>
      </c>
      <c r="FG60" s="22">
        <f t="shared" si="121"/>
        <v>0</v>
      </c>
      <c r="FH60" s="22">
        <f t="shared" si="122"/>
        <v>0</v>
      </c>
      <c r="FI60" s="22">
        <f t="shared" si="123"/>
        <v>0</v>
      </c>
      <c r="FJ60" s="22">
        <f t="shared" si="124"/>
        <v>0</v>
      </c>
      <c r="FK60" s="22">
        <f t="shared" si="125"/>
        <v>0</v>
      </c>
    </row>
    <row r="61" spans="1:167" x14ac:dyDescent="0.2">
      <c r="A61" s="9" t="s">
        <v>1129</v>
      </c>
      <c r="B61" s="9" t="s">
        <v>301</v>
      </c>
      <c r="C61" s="11">
        <v>2</v>
      </c>
      <c r="D61" s="9" t="s">
        <v>894</v>
      </c>
      <c r="E61" s="16" t="s">
        <v>57</v>
      </c>
      <c r="F61" s="9" t="s">
        <v>821</v>
      </c>
      <c r="G61" s="9" t="s">
        <v>820</v>
      </c>
      <c r="H61" s="9" t="s">
        <v>1128</v>
      </c>
      <c r="I61" s="16" t="s">
        <v>60</v>
      </c>
      <c r="J61" s="16"/>
      <c r="K61" s="9"/>
      <c r="L61" s="16"/>
      <c r="M61" s="16"/>
      <c r="N61" s="16"/>
      <c r="O61" s="9"/>
      <c r="P61" s="14"/>
      <c r="Q61" s="14"/>
      <c r="R61" s="9"/>
      <c r="S61" s="9"/>
      <c r="T61" s="21" t="str">
        <f t="shared" si="63"/>
        <v>4 calendar days</v>
      </c>
      <c r="U61" s="21" t="str">
        <f t="shared" si="64"/>
        <v>4 calendar days</v>
      </c>
      <c r="V61" s="21">
        <f t="shared" si="65"/>
        <v>4</v>
      </c>
      <c r="W61" s="21" t="str">
        <f t="shared" si="66"/>
        <v/>
      </c>
      <c r="X61" s="21" t="str">
        <f t="shared" si="67"/>
        <v/>
      </c>
      <c r="Y61" s="21" t="str">
        <f t="shared" si="68"/>
        <v>calendar days</v>
      </c>
      <c r="Z61" s="21" t="str">
        <f t="shared" si="69"/>
        <v>C2</v>
      </c>
      <c r="AA61" s="21" t="str">
        <f t="shared" si="70"/>
        <v>AFTER</v>
      </c>
      <c r="AB61" s="21" t="str">
        <f t="shared" si="71"/>
        <v/>
      </c>
      <c r="AC61" s="21" t="str">
        <f t="shared" si="72"/>
        <v/>
      </c>
      <c r="AD61" s="21" t="str">
        <f>IF(AW61=1,"",MID(IF(ISNUMBER(SEARCH("E_INVALID_DATE",EG61))," | E_INVALID_DATE: "&amp;SUBSTITUTE(IFERROR(INDEX(nMSG_Text,MATCH("E_INVALID_DATE",nMSG_Code,0)),""),"[input]",""),"")&amp;IF(ISNUMBER(SEARCH("E_REVERSED_BOUNDS",EG61))," | E_REVERSED_BOUNDS: "&amp;SUBSTITUTE(IFERROR(INDEX(nMSG_Text,MATCH("E_REVERSED_BOUNDS",nMSG_Code,0)),""),"[input]",""),"")&amp;IF(ISNUMBER(SEARCH("E_DUPLICATE_ID",EG61))," | E_DUPLICATE_ID: "&amp;SUBSTITUTE(IFERROR(INDEX(nMSG_Text,MATCH("E_DUPLICATE_ID",nMSG_Code,0)),""),"[input]",""),"")&amp;IF(ISNUMBER(SEARCH("E_MISSING_LINK",EG61))," | E_MISSING_LINK: "&amp;SUBSTITUTE(IFERROR(INDEX(nMSG_Text,MATCH("E_MISSING_LINK",nMSG_Code,0)),""),"[input]",""),"")&amp;IF(ISNUMBER(SEARCH("E_MISSING_INPUT",EG61))," | E_MISSING_INPUT: "&amp;SUBSTITUTE(IFERROR(INDEX(nMSG_Text,MATCH("E_MISSING_INPUT",nMSG_Code,0)),""),"[input]",IF(EH61="","an input",EH61)),"")&amp;IF(ISNUMBER(SEARCH("E_INVALID_UNIT",EG61))," | E_INVALID_UNIT: "&amp;SUBSTITUTE(IFERROR(INDEX(nMSG_Text,MATCH("E_INVALID_UNIT",nMSG_Code,0)),""),"[input]",""),"")&amp;IF(FD61=1," | W_TZ_UNKNOWN: "&amp;SUBSTITUTE(IFERROR(INDEX(nMSG_Text,MATCH("W_TZ_UNKNOWN",nMSG_Code,0)),""),"[input]",""),"")&amp;IF(FE61=1," | W_SAME_DATE_ORDER_UNKNOWN: "&amp;SUBSTITUTE(IFERROR(INDEX(nMSG_Text,MATCH("W_SAME_DATE_ORDER_UNKNOWN",nMSG_Code,0)),""),"[input]",""),"")&amp;IF(FF61=1," | W_SEQUENCE_UNCERTAIN: "&amp;SUBSTITUTE(IFERROR(INDEX(nMSG_Text,MATCH("W_SEQUENCE_UNCERTAIN",nMSG_Code,0)),""),"[input]",""),"")&amp;IF(FG61=1," | W_ADMIN_SAME_DATE_AS_ONSET: "&amp;SUBSTITUTE(IFERROR(INDEX(nMSG_Text,MATCH("W_ADMIN_SAME_DATE_AS_ONSET",nMSG_Code,0)),""),"[input]",""),"")&amp;IF(FH61=1," | W_REPORTED_TIMING_CONFLICT: "&amp;SUBSTITUTE(IFERROR(INDEX(nMSG_Text,MATCH("W_REPORTED_TIMING_CONFLICT",nMSG_Code,0)),""),"[input]",""),"")&amp;IF(FI61=1," | W_INTERVENTION_BEFORE_RECOVERY: "&amp;SUBSTITUTE(IFERROR(INDEX(nMSG_Text,MATCH("W_INTERVENTION_BEFORE_RECOVERY",nMSG_Code,0)),""),"[input]",""),"")&amp;IF(FJ61=1," | I_TREATMENT_DAY_UNDEFINED: "&amp;SUBSTITUTE(IFERROR(INDEX(nMSG_Text,MATCH("I_TREATMENT_DAY_UNDEFINED",nMSG_Code,0)),""),"[input]",""),"")&amp;IF(FK61=1," | I_APPROXIMATE_NOT_COMPARED: "&amp;SUBSTITUTE(IFERROR(INDEX(nMSG_Text,MATCH("I_APPROXIMATE_NOT_COMPARED",nMSG_Code,0)),""),"[input]",""),""),4,9999))</f>
        <v/>
      </c>
      <c r="AE61" s="21" t="str">
        <f t="shared" si="73"/>
        <v/>
      </c>
      <c r="AF61" s="21" t="str">
        <f t="shared" si="74"/>
        <v/>
      </c>
      <c r="AG61" s="21" t="str">
        <f>IF(EN61="","",MID(IF(ISNUMBER(SEARCH("E_REVERSED_BOUNDS",EN61))," | E_REVERSED_BOUNDS: "&amp;SUBSTITUTE(IFERROR(INDEX(nMSG_Text,MATCH("E_REVERSED_BOUNDS",nMSG_Code,0)),""),"[input]",""),"")&amp;IF(ISNUMBER(SEARCH("E_MISSING_INPUT",EN61))," | E_MISSING_INPUT: "&amp;SUBSTITUTE(IFERROR(INDEX(nMSG_Text,MATCH("E_MISSING_INPUT",nMSG_Code,0)),""),"[input]",IF("the source of the constraint"="","an input","the source of the constraint")),""),4,999))</f>
        <v/>
      </c>
      <c r="AH61" s="21" t="str">
        <f t="shared" si="75"/>
        <v/>
      </c>
      <c r="AI61" s="21" t="str">
        <f t="shared" si="76"/>
        <v>M-CR3 → EV-1/ONSET</v>
      </c>
      <c r="AJ61" s="21" t="str">
        <f t="shared" si="77"/>
        <v>M-CR3</v>
      </c>
      <c r="AK61" s="21" t="str">
        <f t="shared" si="78"/>
        <v>EV-1/ONSET</v>
      </c>
      <c r="AL61" s="21" t="str">
        <f>IF(CY61=0,"",INDEX(nTP_ISO,CY61))</f>
        <v>2026-07-01</v>
      </c>
      <c r="AM61" s="21" t="str">
        <f>IF(CY61=0,"",INDEX(nTP_Display,CY61))</f>
        <v>1 July 2026</v>
      </c>
      <c r="AN61" s="21" t="str">
        <f>IF(BI61=0,"",INDEX(nTP_ISO,BI61))</f>
        <v>2026-07-05</v>
      </c>
      <c r="AO61" s="21" t="str">
        <f>IF(BI61=0,"",INDEX(nTP_Display,BI61))</f>
        <v>5 July 2026</v>
      </c>
      <c r="AP61" s="21" t="str">
        <f>IF(BA61=0,"",INDEX(nLNK_Exposure_Episode_ID,BA61)&amp;"")</f>
        <v>EX-DIG</v>
      </c>
      <c r="AQ61" s="21" t="str">
        <f>IF(BA61=0,"",INDEX(nLNK_Event_Episode_ID,BA61)&amp;"")</f>
        <v>EV-1</v>
      </c>
      <c r="AR61" s="21" t="str">
        <f t="shared" si="79"/>
        <v>Anchor (OTHER) M-CR3: 2026-07-01 [day; case measurement; original: "Seen 1 July ... creatinine 1.7"; source: GP letter] | End point EV-1/ONSET: 2026-07-05 [day; case measurement; original: "Nausea since this morning, dizzy, pulse 38"; source: Emergency department note]</v>
      </c>
      <c r="AS61" s="21" t="str">
        <f>IF(EI61=0,"",MID(IF(DT61=1," | Recovery interval (C7) computed with "&amp;DS61&amp;".","")&amp;IF(BG61=1," | Anchor selected under C5 (CALC-SPEC 1.1): latest administration with an exact date or time at or before "&amp;IF(BH61=1,"onset","the end point")&amp;" ("&amp;AJ61&amp;"), ordered in UTC when offsets are known; later administrations are never selected.","")&amp;IF(AND(BG61=1,CE61&gt;0)," | Partial-date administrations wholly before the selected one were not candidates: "&amp;FC61&amp;".","")&amp;IF(BV61&lt;&gt;""," | "&amp;BV61,"")&amp;IF(AND(DS61="C2",EA61=0,DZ61&lt;&gt;"")," | Same calendar date; both times are known, so C1 decides the order ("&amp;AA61&amp;").","")&amp;IF(AND(DS61="C2",DD61*BN61=1,DT61=0)," | Calendar-date difference from the recorded local dates; it is never described as elapsed days.","")&amp;IF(AND(DS61="C4",DT61=0)," | Bounds are treated as independent; no single date is imputed from them.","")&amp;IF(EJ61=1," | Treatment day under the inclusive convention (C3); never written to E2B fields automatically.","")&amp;IF(AND(DS61="C4",DT61=0,EK61=0)," | No constraint applied.","")&amp;IF(AND(DS61="C4",EK61=1)," | Constraint applied to the anchor bounds: "&amp;IF(ISNUMBER(P61),"not before "&amp;DAY(P61)&amp;" "&amp;INDEX(nLIST_Months,MONTH(P61))&amp;" "&amp;YEAR(P61),"")&amp;IF(AND(ISNUMBER(P61),ISNUMBER(Q61)),", ","")&amp;IF(ISNUMBER(Q61),"not after "&amp;DAY(Q61)&amp;" "&amp;INDEX(nLIST_Months,MONTH(Q61))&amp;" "&amp;YEAR(Q61),"")&amp;". Source: "&amp;IF(R61="","not recorded",R61)&amp;IF(EN61="",". Constrained result shown beside the unconstrained one.",". Constrained result blocked ("&amp;EN61&amp;")."),"")&amp;IF(DT61=1,IF(EO61&gt;0," | Intervention recorded between cessation and recovery (ends included): "&amp;EZ61&amp;"."," | No intervention is recorded between cessation and recovery; absence of a record is not evidence that none was given."),"")&amp;IF(AND(DT61=1,DV61&gt;0)," | Intervention recorded without a date, so whether it came before recovery is unknown: "&amp;INDEX(nMS_Milestone_ID,MATCH(1,INDEX((nMS_CaseKey=AX61)*(nMS_Type="INTERVENTION")*nMS_Undated,0),0))&amp;IF(DV61&gt;1," and "&amp;(DV61-1)&amp;" more","")&amp;".","")&amp;IF(AND(DT61=1,EP61&gt;0)," | Not counted as interventions, because they are recorded as exposures rather than as intervention milestones (nothing is inferred): "&amp;FB61&amp;". If treatment was given, record it as an intervention milestone.",""),4,9999))</f>
        <v/>
      </c>
      <c r="AT61" s="21" t="str">
        <f t="shared" si="80"/>
        <v>The interval describes the sequence and spacing of recorded times; it is not evidence of causation.</v>
      </c>
      <c r="AU61" s="21" t="str">
        <f t="shared" si="81"/>
        <v/>
      </c>
      <c r="AV61" s="21" t="str">
        <f t="shared" si="82"/>
        <v>CALC-SPEC 1.1</v>
      </c>
      <c r="AW61" s="22">
        <f t="shared" si="83"/>
        <v>0</v>
      </c>
      <c r="AX61" s="21" t="str">
        <f t="shared" si="84"/>
        <v>EX-C04|2</v>
      </c>
      <c r="AY61" s="21" t="str">
        <f t="shared" si="85"/>
        <v>EX-C04|2|I02</v>
      </c>
      <c r="AZ61" s="22">
        <f>IF(AY61="",0,COUNTIF(nINT_Key,AY61))</f>
        <v>1</v>
      </c>
      <c r="BA61" s="22">
        <f>IF(D61="",0,IFERROR(MATCH(AX61&amp;"|"&amp;D61,nLNK_Key,0),0))</f>
        <v>25</v>
      </c>
      <c r="BB61" s="22">
        <f>IF(BA61=0,1,INDEX(nLNK_Exp_Found,BA61))</f>
        <v>1</v>
      </c>
      <c r="BC61" s="22">
        <f>IF(BA61=0,1,INDEX(nLNK_Evt_Found,BA61))</f>
        <v>1</v>
      </c>
      <c r="BD61" s="22">
        <f>IF(AP61="",0,COUNTIF(nEXP_Key,AX61&amp;"|"&amp;AP61))</f>
        <v>1</v>
      </c>
      <c r="BE61" s="22">
        <f>IF(AQ61="",0,COUNTIF(nEVT_Key,AX61&amp;"|"&amp;AQ61))</f>
        <v>1</v>
      </c>
      <c r="BF61" s="22">
        <f>IF(ISNA(MATCH(E61,nLIST_AnchorType,0)),0,1)</f>
        <v>1</v>
      </c>
      <c r="BG61" s="22">
        <f t="shared" si="86"/>
        <v>0</v>
      </c>
      <c r="BH61" s="22">
        <f t="shared" si="87"/>
        <v>1</v>
      </c>
      <c r="BI61" s="22">
        <f>IF(OR(AW61=1,AK61=""),0,IFERROR(MATCH(AX61&amp;"|"&amp;AK61,nTP_Key,0),0))</f>
        <v>313</v>
      </c>
      <c r="BJ61" s="21">
        <f>IF(BI61=0,0,INDEX(nTP_Dup,BI61))</f>
        <v>1</v>
      </c>
      <c r="BK61" s="21" t="str">
        <f>IF(BI61=0,"",INDEX(nTP_Record_Type,BI61))</f>
        <v>EVENT_ONSET</v>
      </c>
      <c r="BL61" s="21" t="str">
        <f>IF(BI61=0,"",INDEX(nTP_Precision,BI61))</f>
        <v>DATE</v>
      </c>
      <c r="BM61" s="21" t="str">
        <f>IF(BI61=0,"",INDEX(nTP_Err,BI61))</f>
        <v/>
      </c>
      <c r="BN61" s="21">
        <f>IF(BI61=0,0,INDEX(nTP_HT,BI61))</f>
        <v>0</v>
      </c>
      <c r="BO61" s="21">
        <f>IF(BI61=0,0,INDEX(nTP_OK,BI61))</f>
        <v>0</v>
      </c>
      <c r="BP61" s="21" t="str">
        <f>IF(BI61=0,"",INDEX(nTP_Loc,BI61))</f>
        <v/>
      </c>
      <c r="BQ61" s="21" t="str">
        <f>IF(BI61=0,"",INDEX(nTP_UTC,BI61))</f>
        <v/>
      </c>
      <c r="BR61" s="21">
        <f>IF(BI61=0,"",INDEX(nTP_Lo,BI61))</f>
        <v>46208</v>
      </c>
      <c r="BS61" s="21">
        <f>IF(BI61=0,"",INDEX(nTP_Hi,BI61))</f>
        <v>46208</v>
      </c>
      <c r="BT61" s="21" t="str">
        <f>IF(BI61=0,"",INDEX(nTP_Original_Text,BI61))</f>
        <v>Nausea since this morning, dizzy, pulse 38</v>
      </c>
      <c r="BU61" s="21" t="str">
        <f>IF(BI61=0,"",INDEX(nTP_Source,BI61))</f>
        <v>Emergency department note</v>
      </c>
      <c r="BV61" s="21" t="str">
        <f>IF(BI61=0,"",INDEX(nTP_Lab_Note,BI61))</f>
        <v/>
      </c>
      <c r="BW61" s="22">
        <f t="shared" si="88"/>
        <v>1</v>
      </c>
      <c r="BX61" s="21" t="str">
        <f t="shared" si="89"/>
        <v>EX-C04|2|EX-DIG</v>
      </c>
      <c r="BY61" s="22">
        <f>IF(BG61=0,0,COUNTIF(nTP_CandKey,BX61))</f>
        <v>0</v>
      </c>
      <c r="BZ61" s="22">
        <f>IF(BG61=0,0,COUNTIFS(nTP_CandKey,BX61,nTP_Err,""))</f>
        <v>0</v>
      </c>
      <c r="CA61" s="21" t="str">
        <f>IF(BY61=BZ61,"",IF(COUNTIFS(nTP_CandKey,BX61,nTP_Err,"E_INVALID_DATE")&gt;0,"; E_INVALID_DATE","")&amp;IF(COUNTIFS(nTP_CandKey,BX61,nTP_Err,"E_REVERSED_BOUNDS")&gt;0,"; E_REVERSED_BOUNDS","")&amp;IF(COUNTIFS(nTP_CandKey,BX61,nTP_Err,"E_MISSING_INPUT")&gt;0,"; E_MISSING_INPUT","")&amp;IF(COUNTIFS(nTP_CandKey,BX61,nTP_Err,"E_INVALID_UNIT")&gt;0,"; E_INVALID_UNIT",""))</f>
        <v/>
      </c>
      <c r="CB61" s="22">
        <f t="shared" si="90"/>
        <v>0</v>
      </c>
      <c r="CC61" s="22">
        <f>IF(CB61=0,0,SUMPRODUCT((nTP_CandKey=BX61)*(nTP_Err="")*(1-(nTP_HT*BN61*((nTP_OK*BO61*(nTP_UTC_n-N(BQ61))+(1-nTP_OK*BO61)*(nTP_Loc_n-N(BP61)))&lt;=0)+(1-nTP_HT*BN61)*(nTP_Hi_n&lt;N(BR61)))-(nTP_HT*BN61*((nTP_OK*BO61*(nTP_UTC_n-N(BQ61))+(1-nTP_OK*BO61)*(nTP_Loc_n-N(BP61)))&gt;0)+(1-nTP_HT*BN61)*(nTP_Lo_n&gt;N(BS61)))-((1-nTP_HT*BN61)*(nTP_Lo_n=nTP_Hi_n)*(nTP_Lo_n=N(BR61))*(N(BR61)=N(BS61))))))</f>
        <v>0</v>
      </c>
      <c r="CD61" s="22">
        <f>IF(CB61=0,0,SUMPRODUCT((nTP_CandKey=BX61)*nTP_Exact*((nTP_HT*BN61*((nTP_OK*BO61*(nTP_UTC_n-N(BQ61))+(1-nTP_OK*BO61)*(nTP_Loc_n-N(BP61)))&lt;=0)+(1-nTP_HT*BN61)*(nTP_Hi_n&lt;N(BR61)))+((1-nTP_HT*BN61)*(nTP_Lo_n=nTP_Hi_n)*(nTP_Lo_n=N(BR61))*(N(BR61)=N(BS61))))))</f>
        <v>0</v>
      </c>
      <c r="CE61" s="22">
        <f>IF(CB61=0,0,SUMPRODUCT((nTP_CandKey=BX61)*(nTP_Err="")*(1-nTP_Exact)*((nTP_HT*BN61*((nTP_OK*BO61*(nTP_UTC_n-N(BQ61))+(1-nTP_OK*BO61)*(nTP_Loc_n-N(BP61)))&lt;=0)+(1-nTP_HT*BN61)*(nTP_Hi_n&lt;N(BR61)))+((1-nTP_HT*BN61)*(nTP_Lo_n=nTP_Hi_n)*(nTP_Lo_n=N(BR61))*(N(BR61)=N(BS61))))))</f>
        <v>0</v>
      </c>
      <c r="CF61" s="22">
        <f>IF(CD61=0,0,SUMPRODUCT(MAX((nTP_CandKey=BX61)*nTP_Exact*((nTP_HT*BN61*((nTP_OK*BO61*(nTP_UTC_n-N(BQ61))+(1-nTP_OK*BO61)*(nTP_Loc_n-N(BP61)))&lt;=0)+(1-nTP_HT*BN61)*(nTP_Hi_n&lt;N(BR61)))+((1-nTP_HT*BN61)*(nTP_Lo_n=nTP_Hi_n)*(nTP_Lo_n=N(BR61))*(N(BR61)=N(BS61))))*nTP_Lo_n)))</f>
        <v>0</v>
      </c>
      <c r="CG61" s="22">
        <f>IF(CD61=0,0,SUMPRODUCT((nTP_CandKey=BX61)*nTP_Exact*((nTP_HT*BN61*((nTP_OK*BO61*(nTP_UTC_n-N(BQ61))+(1-nTP_OK*BO61)*(nTP_Loc_n-N(BP61)))&lt;=0)+(1-nTP_HT*BN61)*(nTP_Hi_n&lt;N(BR61)))+((1-nTP_HT*BN61)*(nTP_Lo_n=nTP_Hi_n)*(nTP_Lo_n=N(BR61))*(N(BR61)=N(BS61))))*(nTP_Lo_n=CF61)))</f>
        <v>0</v>
      </c>
      <c r="CH61" s="22">
        <f>IF(CD61=0,0,SUMPRODUCT((nTP_CandKey=BX61)*nTP_Exact*((nTP_HT*BN61*((nTP_OK*BO61*(nTP_UTC_n-N(BQ61))+(1-nTP_OK*BO61)*(nTP_Loc_n-N(BP61)))&lt;=0)+(1-nTP_HT*BN61)*(nTP_Hi_n&lt;N(BR61)))+((1-nTP_HT*BN61)*(nTP_Lo_n=nTP_Hi_n)*(nTP_Lo_n=N(BR61))*(N(BR61)=N(BS61))))*(1-nTP_HT)*(nTP_Lo_n=CF61)))</f>
        <v>0</v>
      </c>
      <c r="CI61" s="22">
        <f>IF(CD61=0,0,SUMPRODUCT(MAX((nTP_CandKey=BX61)*nTP_Exact*((nTP_HT*BN61*((nTP_OK*BO61*(nTP_UTC_n-N(BQ61))+(1-nTP_OK*BO61)*(nTP_Loc_n-N(BP61)))&lt;=0)+(1-nTP_HT*BN61)*(nTP_Hi_n&lt;N(BR61)))+((1-nTP_HT*BN61)*(nTP_Lo_n=nTP_Hi_n)*(nTP_Lo_n=N(BR61))*(N(BR61)=N(BS61))))*(1-nTP_HT)*nTP_Lo_n)))</f>
        <v>0</v>
      </c>
      <c r="CJ61" s="22">
        <f>IF(CD61=0,0,SUMPRODUCT(MAX((nTP_CandKey=BX61)*nTP_Exact*((nTP_HT*BN61*((nTP_OK*BO61*(nTP_UTC_n-N(BQ61))+(1-nTP_OK*BO61)*(nTP_Loc_n-N(BP61)))&lt;=0)+(1-nTP_HT*BN61)*(nTP_Hi_n&lt;N(BR61)))+((1-nTP_HT*BN61)*(nTP_Lo_n=nTP_Hi_n)*(nTP_Lo_n=N(BR61))*(N(BR61)=N(BS61))))*nTP_HT*nTP_OK*nTP_UTC_n)))</f>
        <v>0</v>
      </c>
      <c r="CK61" s="22">
        <f>IF(CJ61=0,0,SUMPRODUCT((nTP_CandKey=BX61)*nTP_Exact*((nTP_HT*BN61*((nTP_OK*BO61*(nTP_UTC_n-N(BQ61))+(1-nTP_OK*BO61)*(nTP_Loc_n-N(BP61)))&lt;=0)+(1-nTP_HT*BN61)*(nTP_Hi_n&lt;N(BR61)))+((1-nTP_HT*BN61)*(nTP_Lo_n=nTP_Hi_n)*(nTP_Lo_n=N(BR61))*(N(BR61)=N(BS61))))*nTP_HT*nTP_OK*(nTP_UTC_n=CJ61)))</f>
        <v>0</v>
      </c>
      <c r="CL61" s="22">
        <f>IF(CK61&lt;&gt;1,0,SUMPRODUCT((nTP_CandKey=BX61)*nTP_Exact*((nTP_HT*BN61*((nTP_OK*BO61*(nTP_UTC_n-N(BQ61))+(1-nTP_OK*BO61)*(nTP_Loc_n-N(BP61)))&lt;=0)+(1-nTP_HT*BN61)*(nTP_Hi_n&lt;N(BR61)))+((1-nTP_HT*BN61)*(nTP_Lo_n=nTP_Hi_n)*(nTP_Lo_n=N(BR61))*(N(BR61)=N(BS61))))*nTP_HT*nTP_OK*(nTP_UTC_n=CJ61)*nTP_Loc_n))</f>
        <v>0</v>
      </c>
      <c r="CM61" s="22">
        <f>IF(CK61&lt;&gt;1,0,SUMPRODUCT((nTP_CandKey=BX61)*nTP_Exact*((nTP_HT*BN61*((nTP_OK*BO61*(nTP_UTC_n-N(BQ61))+(1-nTP_OK*BO61)*(nTP_Loc_n-N(BP61)))&lt;=0)+(1-nTP_HT*BN61)*(nTP_Hi_n&lt;N(BR61)))+((1-nTP_HT*BN61)*(nTP_Lo_n=nTP_Hi_n)*(nTP_Lo_n=N(BR61))*(N(BR61)=N(BS61))))*nTP_HT*nTP_OK*(nTP_UTC_n=CJ61)*nTP_Lo_n))</f>
        <v>0</v>
      </c>
      <c r="CN61" s="22">
        <f>IF(CD61=0,0,SUMPRODUCT(MAX((nTP_CandKey=BX61)*nTP_Exact*((nTP_HT*BN61*((nTP_OK*BO61*(nTP_UTC_n-N(BQ61))+(1-nTP_OK*BO61)*(nTP_Loc_n-N(BP61)))&lt;=0)+(1-nTP_HT*BN61)*(nTP_Hi_n&lt;N(BR61)))+((1-nTP_HT*BN61)*(nTP_Lo_n=nTP_Hi_n)*(nTP_Lo_n=N(BR61))*(N(BR61)=N(BS61))))*nTP_HT*(1-nTP_OK)*nTP_Loc_n)))</f>
        <v>0</v>
      </c>
      <c r="CO61" s="22">
        <f>IF(CN61=0,0,SUMPRODUCT((nTP_CandKey=BX61)*nTP_Exact*((nTP_HT*BN61*((nTP_OK*BO61*(nTP_UTC_n-N(BQ61))+(1-nTP_OK*BO61)*(nTP_Loc_n-N(BP61)))&lt;=0)+(1-nTP_HT*BN61)*(nTP_Hi_n&lt;N(BR61)))+((1-nTP_HT*BN61)*(nTP_Lo_n=nTP_Hi_n)*(nTP_Lo_n=N(BR61))*(N(BR61)=N(BS61))))*nTP_HT*(1-nTP_OK)*(nTP_Loc_n=CN61)))</f>
        <v>0</v>
      </c>
      <c r="CP61" s="22">
        <f>IF(CO61&lt;&gt;1,0,SUMPRODUCT((nTP_CandKey=BX61)*nTP_Exact*((nTP_HT*BN61*((nTP_OK*BO61*(nTP_UTC_n-N(BQ61))+(1-nTP_OK*BO61)*(nTP_Loc_n-N(BP61)))&lt;=0)+(1-nTP_HT*BN61)*(nTP_Hi_n&lt;N(BR61)))+((1-nTP_HT*BN61)*(nTP_Lo_n=nTP_Hi_n)*(nTP_Lo_n=N(BR61))*(N(BR61)=N(BS61))))*nTP_HT*(1-nTP_OK)*(nTP_Loc_n=CN61)*nTP_Lo_n))</f>
        <v>0</v>
      </c>
      <c r="CQ61" s="22">
        <f>IF(CD61=0,0,SUMPRODUCT(MAX((nTP_CandKey=BX61)*nTP_Exact*((nTP_HT*BN61*((nTP_OK*BO61*(nTP_UTC_n-N(BQ61))+(1-nTP_OK*BO61)*(nTP_Loc_n-N(BP61)))&lt;=0)+(1-nTP_HT*BN61)*(nTP_Hi_n&lt;N(BR61)))+((1-nTP_HT*BN61)*(nTP_Lo_n=nTP_Hi_n)*(nTP_Lo_n=N(BR61))*(N(BR61)=N(BS61))))*nTP_HT*nTP_OK*nTP_Loc_n)))</f>
        <v>0</v>
      </c>
      <c r="CR61" s="22">
        <f t="shared" si="91"/>
        <v>0</v>
      </c>
      <c r="CS61" s="22">
        <f>IF(CR61=0,0,IF(CR61=1,MATCH(1,INDEX((nTP_CandKey=BX61)*nTP_Exact*((nTP_HT*BN61*((nTP_OK*BO61*(nTP_UTC_n-N(BQ61))+(1-nTP_OK*BO61)*(nTP_Loc_n-N(BP61)))&lt;=0)+(1-nTP_HT*BN61)*(nTP_Hi_n&lt;N(BR61)))+((1-nTP_HT*BN61)*(nTP_Lo_n=nTP_Hi_n)*(nTP_Lo_n=N(BR61))*(N(BR61)=N(BS61))))*(1-nTP_HT)*(nTP_Lo_n=CF61),0),0),IF(CR61=2,MATCH(1,INDEX((nTP_CandKey=BX61)*nTP_Exact*((nTP_HT*BN61*((nTP_OK*BO61*(nTP_UTC_n-N(BQ61))+(1-nTP_OK*BO61)*(nTP_Loc_n-N(BP61)))&lt;=0)+(1-nTP_HT*BN61)*(nTP_Hi_n&lt;N(BR61)))+((1-nTP_HT*BN61)*(nTP_Lo_n=nTP_Hi_n)*(nTP_Lo_n=N(BR61))*(N(BR61)=N(BS61))))*nTP_HT*nTP_OK*(nTP_UTC_n=CJ61),0),0),MATCH(1,INDEX((nTP_CandKey=BX61)*nTP_Exact*((nTP_HT*BN61*((nTP_OK*BO61*(nTP_UTC_n-N(BQ61))+(1-nTP_OK*BO61)*(nTP_Loc_n-N(BP61)))&lt;=0)+(1-nTP_HT*BN61)*(nTP_Hi_n&lt;N(BR61)))+((1-nTP_HT*BN61)*(nTP_Lo_n=nTP_Hi_n)*(nTP_Lo_n=N(BR61))*(N(BR61)=N(BS61))))*nTP_HT*(1-nTP_OK)*(nTP_Loc_n=CN61),0),0))))</f>
        <v>0</v>
      </c>
      <c r="CT61" s="22">
        <f>IF(CS61=0,0,INDEX(nTP_Lo_n,CS61))</f>
        <v>0</v>
      </c>
      <c r="CU61" s="22">
        <f>IF(CS61=0,0,SUMPRODUCT((nTP_CandKey=BX61)*(nTP_Err="")*(1-nTP_Exact)*((nTP_HT*BN61*((nTP_OK*BO61*(nTP_UTC_n-N(BQ61))+(1-nTP_OK*BO61)*(nTP_Loc_n-N(BP61)))&lt;=0)+(1-nTP_HT*BN61)*(nTP_Hi_n&lt;N(BR61)))+((1-nTP_HT*BN61)*(nTP_Lo_n=nTP_Hi_n)*(nTP_Lo_n=N(BR61))*(N(BR61)=N(BS61))))*(nTP_Hi_n&gt;=CT61)))</f>
        <v>0</v>
      </c>
      <c r="CV61" s="21" t="str">
        <f t="shared" si="92"/>
        <v/>
      </c>
      <c r="CW61" s="21" t="str">
        <f>IF(AND(BG61=1,CB61=1,CV61="",CS61&gt;0),INDEX(nTP_Record_ID,CS61)&amp;"","")</f>
        <v/>
      </c>
      <c r="CX61" s="21" t="str">
        <f>IF(OR(CV61="",BG61=0),"",IF(CV61="none","an administration record (last dose before onset)",IF(CV61="uncertain","the anchor record: "&amp;INDEX(nTP_Record_ID,MATCH(1,INDEX((nTP_CandKey=BX61)*(nTP_Err="")*(1-(nTP_HT*BN61*((nTP_OK*BO61*(nTP_UTC_n-N(BQ61))+(1-nTP_OK*BO61)*(nTP_Loc_n-N(BP61)))&lt;=0)+(1-nTP_HT*BN61)*(nTP_Hi_n&lt;N(BR61)))-(nTP_HT*BN61*((nTP_OK*BO61*(nTP_UTC_n-N(BQ61))+(1-nTP_OK*BO61)*(nTP_Loc_n-N(BP61)))&gt;0)+(1-nTP_HT*BN61)*(nTP_Lo_n&gt;N(BS61)))-((1-nTP_HT*BN61)*(nTP_Lo_n=nTP_Hi_n)*(nTP_Lo_n=N(BR61))*(N(BR61)=N(BS61)))),0),0))&amp;IF(CC61&gt;1," and "&amp;(CC61-1)&amp;" more","")&amp;" may fall before or after the end point, so the last dose cannot be identified from the recorded dates",IF(CV61="noneligible","the anchor record: no administration with an exact date is recorded at or before the end point",IF(CV61="tie","the anchor record: the order of the latest administrations cannot be told from the recorded dates and times","the anchor record: partial-date administration "&amp;INDEX(nTP_Record_ID,MATCH(1,INDEX((nTP_CandKey=BX61)*(nTP_Err="")*(1-nTP_Exact)*((nTP_HT*BN61*((nTP_OK*BO61*(nTP_UTC_n-N(BQ61))+(1-nTP_OK*BO61)*(nTP_Loc_n-N(BP61)))&lt;=0)+(1-nTP_HT*BN61)*(nTP_Hi_n&lt;N(BR61)))+((1-nTP_HT*BN61)*(nTP_Lo_n=nTP_Hi_n)*(nTP_Lo_n=N(BR61))*(N(BR61)=N(BS61))))*(nTP_Hi_n&gt;=CT61),0),0))&amp;" could be the last dose before the end point")))))</f>
        <v/>
      </c>
      <c r="CY61" s="22">
        <f>IF(OR(AW61=1,AJ61=""),0,IFERROR(MATCH(AX61&amp;"|"&amp;AJ61,nTP_Key,0),0))</f>
        <v>432</v>
      </c>
      <c r="CZ61" s="21">
        <f>IF(CY61=0,0,INDEX(nTP_Dup,CY61))</f>
        <v>1</v>
      </c>
      <c r="DA61" s="21" t="str">
        <f>IF(CY61=0,"",INDEX(nTP_Record_Type,CY61))</f>
        <v>MILESTONE:ORGAN_FUNCTION</v>
      </c>
      <c r="DB61" s="21" t="str">
        <f>IF(CY61=0,"",INDEX(nTP_Precision,CY61))</f>
        <v>DATE</v>
      </c>
      <c r="DC61" s="21" t="str">
        <f>IF(CY61=0,"",INDEX(nTP_Err,CY61))</f>
        <v/>
      </c>
      <c r="DD61" s="21">
        <f>IF(CY61=0,0,INDEX(nTP_HT,CY61))</f>
        <v>0</v>
      </c>
      <c r="DE61" s="21">
        <f>IF(CY61=0,0,INDEX(nTP_OK,CY61))</f>
        <v>0</v>
      </c>
      <c r="DF61" s="21" t="str">
        <f>IF(CY61=0,"",INDEX(nTP_Loc,CY61))</f>
        <v/>
      </c>
      <c r="DG61" s="21" t="str">
        <f>IF(CY61=0,"",INDEX(nTP_UTC,CY61))</f>
        <v/>
      </c>
      <c r="DH61" s="21">
        <f>IF(CY61=0,"",INDEX(nTP_Lo,CY61))</f>
        <v>46204</v>
      </c>
      <c r="DI61" s="21">
        <f>IF(CY61=0,"",INDEX(nTP_Hi,CY61))</f>
        <v>46204</v>
      </c>
      <c r="DJ61" s="21" t="str">
        <f>IF(CY61=0,"",INDEX(nTP_Original_Text,CY61))</f>
        <v>Seen 1 July ... creatinine 1.7</v>
      </c>
      <c r="DK61" s="21" t="str">
        <f>IF(CY61=0,"",INDEX(nTP_Source,CY61))</f>
        <v>GP letter</v>
      </c>
      <c r="DL61" s="22">
        <f t="shared" si="93"/>
        <v>1</v>
      </c>
      <c r="DM61" s="21" t="str">
        <f t="shared" si="94"/>
        <v/>
      </c>
      <c r="DN61" s="21" t="str">
        <f t="shared" si="95"/>
        <v/>
      </c>
      <c r="DO61" s="21" t="str">
        <f t="shared" si="96"/>
        <v/>
      </c>
      <c r="DP61" s="21" t="str">
        <f t="shared" si="97"/>
        <v/>
      </c>
      <c r="DQ61" s="21" t="str">
        <f t="shared" si="98"/>
        <v>C2</v>
      </c>
      <c r="DR61" s="22">
        <f>IF(OR(DQ61="",I61=""),0,IF(ISNA(MATCH(I61,nLIST_Mode,0)),1,IF(AND(I61="C1",DQ61&lt;&gt;"C1"),1,IF(AND(I61="C2",DQ61="C4"),1,0))))</f>
        <v>0</v>
      </c>
      <c r="DS61" s="21" t="str">
        <f t="shared" si="99"/>
        <v>C2</v>
      </c>
      <c r="DT61" s="22">
        <f t="shared" si="100"/>
        <v>0</v>
      </c>
      <c r="DU61" s="21" t="str">
        <f>IF(DT61=0,"",IF(COUNTIFS(nTP_Case_Key,AX61,nTP_Record_Type,"MILESTONE:INTERVENTION",nTP_Err,"E_INVALID_DATE")&gt;0,"; E_INVALID_DATE","")&amp;IF(COUNTIFS(nTP_Case_Key,AX61,nTP_Record_Type,"MILESTONE:INTERVENTION",nTP_Err,"E_REVERSED_BOUNDS")&gt;0,"; E_REVERSED_BOUNDS","")&amp;IF(COUNTIFS(nTP_Case_Key,AX61,nTP_Record_Type,"MILESTONE:INTERVENTION",nTP_Err,"E_MISSING_INPUT")&gt;0,"; E_MISSING_INPUT","")&amp;IF(COUNTIFS(nTP_Case_Key,AX61,nTP_Record_Type,"MILESTONE:INTERVENTION",nTP_Err,"E_INVALID_UNIT")&gt;0,"; E_INVALID_UNIT",""))</f>
        <v/>
      </c>
      <c r="DV61" s="22">
        <f>IF(DT61=0,0,SUMPRODUCT((nMS_CaseKey=AX61)*(nMS_Type="INTERVENTION")*nMS_Undated))</f>
        <v>0</v>
      </c>
      <c r="DW61" s="21" t="str">
        <f t="shared" si="101"/>
        <v/>
      </c>
      <c r="DX61" s="21" t="str">
        <f t="shared" si="102"/>
        <v/>
      </c>
      <c r="DY61" s="22">
        <f t="shared" si="103"/>
        <v>1</v>
      </c>
      <c r="DZ61" s="21" t="str">
        <f t="shared" si="104"/>
        <v/>
      </c>
      <c r="EA61" s="21">
        <f t="shared" si="105"/>
        <v>4</v>
      </c>
      <c r="EB61" s="21" t="str">
        <f t="shared" si="106"/>
        <v/>
      </c>
      <c r="EC61" s="21" t="str">
        <f t="shared" si="107"/>
        <v/>
      </c>
      <c r="ED61" s="22">
        <f t="shared" si="108"/>
        <v>0</v>
      </c>
      <c r="EE61" s="22">
        <f t="shared" si="109"/>
        <v>0</v>
      </c>
      <c r="EF61" s="21" t="str">
        <f>IF(ED61=0,"",IF(OR(NOT(ISNUMBER(L61)),NOT(ISNUMBER(M61))),"I_APPROXIMATE_NOT_COMPARED",IF(AND(N61&lt;&gt;"",ISNA(MATCH(N61,nLIST_ReportedUnit,0))),"E_INVALID_UNIT",IF(N61="","E_MISSING_INPUT",IF(L61&gt;M61,"E_REVERSED_BOUNDS",IF(OR(N61="weeks",N61="months",N61="years"),"I_APPROXIMATE_NOT_COMPARED",IF(DX61&lt;&gt;"","",IF(EE61=0,"I_APPROXIMATE_NOT_COMPARED",IF(AND(L61*EE61&lt;=IF(DS61="C4",EC61,IF(DS61="C1",DZ61,EA61)),M61*EE61&gt;=IF(DS61="C4",EB61,IF(DS61="C1",DZ61,EA61))),"OVERLAP","W_REPORTED_TIMING_CONFLICT")))))))))</f>
        <v/>
      </c>
      <c r="EG61" s="21" t="str">
        <f t="shared" si="110"/>
        <v/>
      </c>
      <c r="EH61" s="21" t="str">
        <f t="shared" si="111"/>
        <v/>
      </c>
      <c r="EI61" s="22">
        <f t="shared" si="112"/>
        <v>1</v>
      </c>
      <c r="EJ61" s="22">
        <f t="shared" si="113"/>
        <v>0</v>
      </c>
      <c r="EK61" s="22">
        <f t="shared" si="114"/>
        <v>0</v>
      </c>
      <c r="EL61" s="28" t="str">
        <f t="shared" si="115"/>
        <v/>
      </c>
      <c r="EM61" s="28" t="str">
        <f t="shared" si="116"/>
        <v/>
      </c>
      <c r="EN61" s="21" t="str">
        <f t="shared" si="117"/>
        <v/>
      </c>
      <c r="EO61" s="22">
        <f>IF(OR(DT61=0,DX61&lt;&gt;""),0,SUMPRODUCT((nTP_Case_Key=AX61)*(nTP_Record_Type="MILESTONE:INTERVENTION")*(nTP_Err="")*(nTP_HT*DD61*BN61*(nTP_OK*DE61*(nTP_UTC_n&gt;=N(DG61))+(1-nTP_OK*DE61)*(nTP_Loc_n&gt;=N(DF61)))*(nTP_OK*BO61*(nTP_UTC_n&lt;=N(BQ61))+(1-nTP_OK*BO61)*(nTP_Loc_n&lt;=N(BP61)))+(1-nTP_HT*DD61*BN61)*(nTP_Hi_n&gt;=N(DH61))*(nTP_Lo_n&lt;=N(BS61)))))</f>
        <v>0</v>
      </c>
      <c r="EP61" s="22">
        <f>IF(OR(DT61=0,DX61&lt;&gt;""),0,SUMPRODUCT((nTP_Case_Key=AX61)*(nTP_Role="treatment of the event")*((nTP_Record_Type="EXPOSURE_START")+(nTP_Record_Type="ADMINISTRATION"))*(nTP_Err="")*(nTP_HT*DD61*BN61*(nTP_OK*DE61*(nTP_UTC_n&gt;=N(DG61))+(1-nTP_OK*DE61)*(nTP_Loc_n&gt;=N(DF61)))*(nTP_OK*BO61*(nTP_UTC_n&lt;=N(BQ61))+(1-nTP_OK*BO61)*(nTP_Loc_n&lt;=N(BP61)))+(1-nTP_HT*DD61*BN61)*(nTP_Hi_n&gt;=N(DH61))*(nTP_Lo_n&lt;=N(BS61)))))</f>
        <v>0</v>
      </c>
      <c r="EQ61" s="22">
        <f>IF(EO61&lt;1,0,IFERROR(_xlfn.AGGREGATE(15,6,nTP_RowN/((nTP_Case_Key=AX61)*(nTP_Record_Type="MILESTONE:INTERVENTION")*(nTP_Err="")*(nTP_HT*DD61*BN61*(nTP_OK*DE61*(nTP_UTC_n&gt;=N(DG61))+(1-nTP_OK*DE61)*(nTP_Loc_n&gt;=N(DF61)))*(nTP_OK*BO61*(nTP_UTC_n&lt;=N(BQ61))+(1-nTP_OK*BO61)*(nTP_Loc_n&lt;=N(BP61)))+(1-nTP_HT*DD61*BN61)*(nTP_Hi_n&gt;=N(DH61))*(nTP_Lo_n&lt;=N(BS61)))),1),0))</f>
        <v>0</v>
      </c>
      <c r="ER61" s="22">
        <f>IF(EO61&lt;2,0,IFERROR(_xlfn.AGGREGATE(15,6,nTP_RowN/((nTP_Case_Key=AX61)*(nTP_Record_Type="MILESTONE:INTERVENTION")*(nTP_Err="")*(nTP_HT*DD61*BN61*(nTP_OK*DE61*(nTP_UTC_n&gt;=N(DG61))+(1-nTP_OK*DE61)*(nTP_Loc_n&gt;=N(DF61)))*(nTP_OK*BO61*(nTP_UTC_n&lt;=N(BQ61))+(1-nTP_OK*BO61)*(nTP_Loc_n&lt;=N(BP61)))+(1-nTP_HT*DD61*BN61)*(nTP_Hi_n&gt;=N(DH61))*(nTP_Lo_n&lt;=N(BS61)))),2),0))</f>
        <v>0</v>
      </c>
      <c r="ES61" s="22">
        <f>IF(EO61&lt;3,0,IFERROR(_xlfn.AGGREGATE(15,6,nTP_RowN/((nTP_Case_Key=AX61)*(nTP_Record_Type="MILESTONE:INTERVENTION")*(nTP_Err="")*(nTP_HT*DD61*BN61*(nTP_OK*DE61*(nTP_UTC_n&gt;=N(DG61))+(1-nTP_OK*DE61)*(nTP_Loc_n&gt;=N(DF61)))*(nTP_OK*BO61*(nTP_UTC_n&lt;=N(BQ61))+(1-nTP_OK*BO61)*(nTP_Loc_n&lt;=N(BP61)))+(1-nTP_HT*DD61*BN61)*(nTP_Hi_n&gt;=N(DH61))*(nTP_Lo_n&lt;=N(BS61)))),3),0))</f>
        <v>0</v>
      </c>
      <c r="ET61" s="22">
        <f>IF(EP61&lt;1,0,IFERROR(_xlfn.AGGREGATE(15,6,nTP_RowN/((nTP_Case_Key=AX61)*(nTP_Role="treatment of the event")*((nTP_Record_Type="EXPOSURE_START")+(nTP_Record_Type="ADMINISTRATION"))*(nTP_Err="")*(nTP_HT*DD61*BN61*(nTP_OK*DE61*(nTP_UTC_n&gt;=N(DG61))+(1-nTP_OK*DE61)*(nTP_Loc_n&gt;=N(DF61)))*(nTP_OK*BO61*(nTP_UTC_n&lt;=N(BQ61))+(1-nTP_OK*BO61)*(nTP_Loc_n&lt;=N(BP61)))+(1-nTP_HT*DD61*BN61)*(nTP_Hi_n&gt;=N(DH61))*(nTP_Lo_n&lt;=N(BS61)))),1),0))</f>
        <v>0</v>
      </c>
      <c r="EU61" s="22">
        <f>IF(EP61&lt;2,0,IFERROR(_xlfn.AGGREGATE(15,6,nTP_RowN/((nTP_Case_Key=AX61)*(nTP_Role="treatment of the event")*((nTP_Record_Type="EXPOSURE_START")+(nTP_Record_Type="ADMINISTRATION"))*(nTP_Err="")*(nTP_HT*DD61*BN61*(nTP_OK*DE61*(nTP_UTC_n&gt;=N(DG61))+(1-nTP_OK*DE61)*(nTP_Loc_n&gt;=N(DF61)))*(nTP_OK*BO61*(nTP_UTC_n&lt;=N(BQ61))+(1-nTP_OK*BO61)*(nTP_Loc_n&lt;=N(BP61)))+(1-nTP_HT*DD61*BN61)*(nTP_Hi_n&gt;=N(DH61))*(nTP_Lo_n&lt;=N(BS61)))),2),0))</f>
        <v>0</v>
      </c>
      <c r="EV61" s="22">
        <f>IF(EP61&lt;3,0,IFERROR(_xlfn.AGGREGATE(15,6,nTP_RowN/((nTP_Case_Key=AX61)*(nTP_Role="treatment of the event")*((nTP_Record_Type="EXPOSURE_START")+(nTP_Record_Type="ADMINISTRATION"))*(nTP_Err="")*(nTP_HT*DD61*BN61*(nTP_OK*DE61*(nTP_UTC_n&gt;=N(DG61))+(1-nTP_OK*DE61)*(nTP_Loc_n&gt;=N(DF61)))*(nTP_OK*BO61*(nTP_UTC_n&lt;=N(BQ61))+(1-nTP_OK*BO61)*(nTP_Loc_n&lt;=N(BP61)))+(1-nTP_HT*DD61*BN61)*(nTP_Hi_n&gt;=N(DH61))*(nTP_Lo_n&lt;=N(BS61)))),3),0))</f>
        <v>0</v>
      </c>
      <c r="EW61" s="22">
        <f>IF(CE61&lt;1,0,IFERROR(_xlfn.AGGREGATE(15,6,nTP_RowN/((nTP_CandKey=BX61)*(nTP_Err="")*(1-nTP_Exact)*((nTP_HT*BN61*((nTP_OK*BO61*(nTP_UTC_n-N(BQ61))+(1-nTP_OK*BO61)*(nTP_Loc_n-N(BP61)))&lt;=0)+(1-nTP_HT*BN61)*(nTP_Hi_n&lt;N(BR61)))+((1-nTP_HT*BN61)*(nTP_Lo_n=nTP_Hi_n)*(nTP_Lo_n=N(BR61))*(N(BR61)=N(BS61))))),1),0))</f>
        <v>0</v>
      </c>
      <c r="EX61" s="22">
        <f>IF(CE61&lt;2,0,IFERROR(_xlfn.AGGREGATE(15,6,nTP_RowN/((nTP_CandKey=BX61)*(nTP_Err="")*(1-nTP_Exact)*((nTP_HT*BN61*((nTP_OK*BO61*(nTP_UTC_n-N(BQ61))+(1-nTP_OK*BO61)*(nTP_Loc_n-N(BP61)))&lt;=0)+(1-nTP_HT*BN61)*(nTP_Hi_n&lt;N(BR61)))+((1-nTP_HT*BN61)*(nTP_Lo_n=nTP_Hi_n)*(nTP_Lo_n=N(BR61))*(N(BR61)=N(BS61))))),2),0))</f>
        <v>0</v>
      </c>
      <c r="EY61" s="22">
        <f>IF(CE61&lt;3,0,IFERROR(_xlfn.AGGREGATE(15,6,nTP_RowN/((nTP_CandKey=BX61)*(nTP_Err="")*(1-nTP_Exact)*((nTP_HT*BN61*((nTP_OK*BO61*(nTP_UTC_n-N(BQ61))+(1-nTP_OK*BO61)*(nTP_Loc_n-N(BP61)))&lt;=0)+(1-nTP_HT*BN61)*(nTP_Hi_n&lt;N(BR61)))+((1-nTP_HT*BN61)*(nTP_Lo_n=nTP_Hi_n)*(nTP_Lo_n=N(BR61))*(N(BR61)=N(BS61))))),3),0))</f>
        <v>0</v>
      </c>
      <c r="EZ61" s="21" t="str">
        <f>IF(EO61=0,"",MID(IF(EQ61&gt;0,"; "&amp;INDEX(nTP_Record_ID,EQ61)&amp;IF(INDEX(nTP_Label,EQ61)="",""," ("&amp;INDEX(nTP_Label,EQ61)&amp;")"),"")&amp;IF(ER61&gt;0,"; "&amp;INDEX(nTP_Record_ID,ER61)&amp;IF(INDEX(nTP_Label,ER61)="",""," ("&amp;INDEX(nTP_Label,ER61)&amp;")"),"")&amp;IF(ES61&gt;0,"; "&amp;INDEX(nTP_Record_ID,ES61)&amp;IF(INDEX(nTP_Label,ES61)="",""," ("&amp;INDEX(nTP_Label,ES61)&amp;")"),"")&amp;IF(EO61&gt;3,"; and "&amp;(EO61-3)&amp;" more",""),3,999))</f>
        <v/>
      </c>
      <c r="FA61" s="21" t="str">
        <f>IF(EO61=0,"",MID(IF(EQ61&gt;0,"; "&amp;INDEX(nTP_Record_ID,EQ61),"")&amp;IF(ER61&gt;0,"; "&amp;INDEX(nTP_Record_ID,ER61),"")&amp;IF(ES61&gt;0,"; "&amp;INDEX(nTP_Record_ID,ES61),"")&amp;IF(EO61&gt;3,"; and "&amp;(EO61-3)&amp;" more",""),3,999))</f>
        <v/>
      </c>
      <c r="FB61" s="21" t="str">
        <f>IF(EP61=0,"",MID(IF(ET61&gt;0,"; "&amp;INDEX(nTP_Record_ID,ET61)&amp;IF(INDEX(nTP_Label,ET61)="",""," ("&amp;INDEX(nTP_Label,ET61)&amp;")"),"")&amp;IF(EU61&gt;0,"; "&amp;INDEX(nTP_Record_ID,EU61)&amp;IF(INDEX(nTP_Label,EU61)="",""," ("&amp;INDEX(nTP_Label,EU61)&amp;")"),"")&amp;IF(EV61&gt;0,"; "&amp;INDEX(nTP_Record_ID,EV61)&amp;IF(INDEX(nTP_Label,EV61)="",""," ("&amp;INDEX(nTP_Label,EV61)&amp;")"),"")&amp;IF(EP61&gt;3,"; and "&amp;(EP61-3)&amp;" more",""),3,999))</f>
        <v/>
      </c>
      <c r="FC61" s="21" t="str">
        <f>IF(CE61=0,"",MID(IF(EW61&gt;0,"; "&amp;INDEX(nTP_Record_ID,EW61),"")&amp;IF(EX61&gt;0,"; "&amp;INDEX(nTP_Record_ID,EX61),"")&amp;IF(EY61&gt;0,"; "&amp;INDEX(nTP_Record_ID,EY61),"")&amp;IF(CE61&gt;3,"; and "&amp;(CE61-3)&amp;" more",""),3,999))</f>
        <v/>
      </c>
      <c r="FD61" s="22">
        <f t="shared" si="118"/>
        <v>0</v>
      </c>
      <c r="FE61" s="22">
        <f t="shared" si="119"/>
        <v>0</v>
      </c>
      <c r="FF61" s="22">
        <f t="shared" si="120"/>
        <v>0</v>
      </c>
      <c r="FG61" s="22">
        <f t="shared" si="121"/>
        <v>0</v>
      </c>
      <c r="FH61" s="22">
        <f t="shared" si="122"/>
        <v>0</v>
      </c>
      <c r="FI61" s="22">
        <f t="shared" si="123"/>
        <v>0</v>
      </c>
      <c r="FJ61" s="22">
        <f t="shared" si="124"/>
        <v>0</v>
      </c>
      <c r="FK61" s="22">
        <f t="shared" si="125"/>
        <v>0</v>
      </c>
    </row>
    <row r="62" spans="1:167" x14ac:dyDescent="0.2">
      <c r="A62" s="9" t="s">
        <v>1131</v>
      </c>
      <c r="B62" s="9" t="s">
        <v>301</v>
      </c>
      <c r="C62" s="11">
        <v>2</v>
      </c>
      <c r="D62" s="9" t="s">
        <v>896</v>
      </c>
      <c r="E62" s="16" t="s">
        <v>55</v>
      </c>
      <c r="F62" s="9" t="s">
        <v>1160</v>
      </c>
      <c r="G62" s="9" t="s">
        <v>1159</v>
      </c>
      <c r="H62" s="9" t="s">
        <v>1128</v>
      </c>
      <c r="I62" s="16" t="s">
        <v>60</v>
      </c>
      <c r="J62" s="16"/>
      <c r="K62" s="9"/>
      <c r="L62" s="16"/>
      <c r="M62" s="16"/>
      <c r="N62" s="16"/>
      <c r="O62" s="9"/>
      <c r="P62" s="14"/>
      <c r="Q62" s="14"/>
      <c r="R62" s="9"/>
      <c r="S62" s="9"/>
      <c r="T62" s="21" t="str">
        <f t="shared" si="63"/>
        <v>9 calendar days</v>
      </c>
      <c r="U62" s="21" t="str">
        <f t="shared" si="64"/>
        <v>9 calendar days</v>
      </c>
      <c r="V62" s="21">
        <f t="shared" si="65"/>
        <v>9</v>
      </c>
      <c r="W62" s="21" t="str">
        <f t="shared" si="66"/>
        <v/>
      </c>
      <c r="X62" s="21" t="str">
        <f t="shared" si="67"/>
        <v/>
      </c>
      <c r="Y62" s="21" t="str">
        <f t="shared" si="68"/>
        <v>calendar days</v>
      </c>
      <c r="Z62" s="21" t="str">
        <f t="shared" si="69"/>
        <v>C2</v>
      </c>
      <c r="AA62" s="21" t="str">
        <f t="shared" si="70"/>
        <v>AFTER</v>
      </c>
      <c r="AB62" s="21" t="str">
        <f t="shared" si="71"/>
        <v/>
      </c>
      <c r="AC62" s="21" t="str">
        <f t="shared" si="72"/>
        <v/>
      </c>
      <c r="AD62" s="21" t="str">
        <f>IF(AW62=1,"",MID(IF(ISNUMBER(SEARCH("E_INVALID_DATE",EG62))," | E_INVALID_DATE: "&amp;SUBSTITUTE(IFERROR(INDEX(nMSG_Text,MATCH("E_INVALID_DATE",nMSG_Code,0)),""),"[input]",""),"")&amp;IF(ISNUMBER(SEARCH("E_REVERSED_BOUNDS",EG62))," | E_REVERSED_BOUNDS: "&amp;SUBSTITUTE(IFERROR(INDEX(nMSG_Text,MATCH("E_REVERSED_BOUNDS",nMSG_Code,0)),""),"[input]",""),"")&amp;IF(ISNUMBER(SEARCH("E_DUPLICATE_ID",EG62))," | E_DUPLICATE_ID: "&amp;SUBSTITUTE(IFERROR(INDEX(nMSG_Text,MATCH("E_DUPLICATE_ID",nMSG_Code,0)),""),"[input]",""),"")&amp;IF(ISNUMBER(SEARCH("E_MISSING_LINK",EG62))," | E_MISSING_LINK: "&amp;SUBSTITUTE(IFERROR(INDEX(nMSG_Text,MATCH("E_MISSING_LINK",nMSG_Code,0)),""),"[input]",""),"")&amp;IF(ISNUMBER(SEARCH("E_MISSING_INPUT",EG62))," | E_MISSING_INPUT: "&amp;SUBSTITUTE(IFERROR(INDEX(nMSG_Text,MATCH("E_MISSING_INPUT",nMSG_Code,0)),""),"[input]",IF(EH62="","an input",EH62)),"")&amp;IF(ISNUMBER(SEARCH("E_INVALID_UNIT",EG62))," | E_INVALID_UNIT: "&amp;SUBSTITUTE(IFERROR(INDEX(nMSG_Text,MATCH("E_INVALID_UNIT",nMSG_Code,0)),""),"[input]",""),"")&amp;IF(FD62=1," | W_TZ_UNKNOWN: "&amp;SUBSTITUTE(IFERROR(INDEX(nMSG_Text,MATCH("W_TZ_UNKNOWN",nMSG_Code,0)),""),"[input]",""),"")&amp;IF(FE62=1," | W_SAME_DATE_ORDER_UNKNOWN: "&amp;SUBSTITUTE(IFERROR(INDEX(nMSG_Text,MATCH("W_SAME_DATE_ORDER_UNKNOWN",nMSG_Code,0)),""),"[input]",""),"")&amp;IF(FF62=1," | W_SEQUENCE_UNCERTAIN: "&amp;SUBSTITUTE(IFERROR(INDEX(nMSG_Text,MATCH("W_SEQUENCE_UNCERTAIN",nMSG_Code,0)),""),"[input]",""),"")&amp;IF(FG62=1," | W_ADMIN_SAME_DATE_AS_ONSET: "&amp;SUBSTITUTE(IFERROR(INDEX(nMSG_Text,MATCH("W_ADMIN_SAME_DATE_AS_ONSET",nMSG_Code,0)),""),"[input]",""),"")&amp;IF(FH62=1," | W_REPORTED_TIMING_CONFLICT: "&amp;SUBSTITUTE(IFERROR(INDEX(nMSG_Text,MATCH("W_REPORTED_TIMING_CONFLICT",nMSG_Code,0)),""),"[input]",""),"")&amp;IF(FI62=1," | W_INTERVENTION_BEFORE_RECOVERY: "&amp;SUBSTITUTE(IFERROR(INDEX(nMSG_Text,MATCH("W_INTERVENTION_BEFORE_RECOVERY",nMSG_Code,0)),""),"[input]",""),"")&amp;IF(FJ62=1," | I_TREATMENT_DAY_UNDEFINED: "&amp;SUBSTITUTE(IFERROR(INDEX(nMSG_Text,MATCH("I_TREATMENT_DAY_UNDEFINED",nMSG_Code,0)),""),"[input]",""),"")&amp;IF(FK62=1," | I_APPROXIMATE_NOT_COMPARED: "&amp;SUBSTITUTE(IFERROR(INDEX(nMSG_Text,MATCH("I_APPROXIMATE_NOT_COMPARED",nMSG_Code,0)),""),"[input]",""),""),4,9999))</f>
        <v/>
      </c>
      <c r="AE62" s="21" t="str">
        <f t="shared" si="73"/>
        <v/>
      </c>
      <c r="AF62" s="21" t="str">
        <f t="shared" si="74"/>
        <v/>
      </c>
      <c r="AG62" s="21" t="str">
        <f>IF(EN62="","",MID(IF(ISNUMBER(SEARCH("E_REVERSED_BOUNDS",EN62))," | E_REVERSED_BOUNDS: "&amp;SUBSTITUTE(IFERROR(INDEX(nMSG_Text,MATCH("E_REVERSED_BOUNDS",nMSG_Code,0)),""),"[input]",""),"")&amp;IF(ISNUMBER(SEARCH("E_MISSING_INPUT",EN62))," | E_MISSING_INPUT: "&amp;SUBSTITUTE(IFERROR(INDEX(nMSG_Text,MATCH("E_MISSING_INPUT",nMSG_Code,0)),""),"[input]",IF("the source of the constraint"="","an input","the source of the constraint")),""),4,999))</f>
        <v/>
      </c>
      <c r="AH62" s="21" t="str">
        <f t="shared" si="75"/>
        <v/>
      </c>
      <c r="AI62" s="21" t="str">
        <f t="shared" si="76"/>
        <v>EX-IBU/START → EV-1/ONSET</v>
      </c>
      <c r="AJ62" s="21" t="str">
        <f t="shared" si="77"/>
        <v>EX-IBU/START</v>
      </c>
      <c r="AK62" s="21" t="str">
        <f t="shared" si="78"/>
        <v>EV-1/ONSET</v>
      </c>
      <c r="AL62" s="21" t="str">
        <f>IF(CY62=0,"",INDEX(nTP_ISO,CY62))</f>
        <v>2026-06-26</v>
      </c>
      <c r="AM62" s="21" t="str">
        <f>IF(CY62=0,"",INDEX(nTP_Display,CY62))</f>
        <v>26 June 2026</v>
      </c>
      <c r="AN62" s="21" t="str">
        <f>IF(BI62=0,"",INDEX(nTP_ISO,BI62))</f>
        <v>2026-07-05</v>
      </c>
      <c r="AO62" s="21" t="str">
        <f>IF(BI62=0,"",INDEX(nTP_Display,BI62))</f>
        <v>5 July 2026</v>
      </c>
      <c r="AP62" s="21" t="str">
        <f>IF(BA62=0,"",INDEX(nLNK_Exposure_Episode_ID,BA62)&amp;"")</f>
        <v>EX-IBU</v>
      </c>
      <c r="AQ62" s="21" t="str">
        <f>IF(BA62=0,"",INDEX(nLNK_Event_Episode_ID,BA62)&amp;"")</f>
        <v>EV-1</v>
      </c>
      <c r="AR62" s="21" t="str">
        <f t="shared" si="79"/>
        <v>Anchor (CONCOMITANT_CHANGE) EX-IBU/START: 2026-06-26 [day; case measurement; original: "Bought ibuprofen ... on 26 June"; source: GP letter (version 2)] | End point EV-1/ONSET: 2026-07-05 [day; case measurement; original: "Nausea since this morning, dizzy, pulse 38"; source: Emergency department note]</v>
      </c>
      <c r="AS62" s="21" t="str">
        <f>IF(EI62=0,"",MID(IF(DT62=1," | Recovery interval (C7) computed with "&amp;DS62&amp;".","")&amp;IF(BG62=1," | Anchor selected under C5 (CALC-SPEC 1.1): latest administration with an exact date or time at or before "&amp;IF(BH62=1,"onset","the end point")&amp;" ("&amp;AJ62&amp;"), ordered in UTC when offsets are known; later administrations are never selected.","")&amp;IF(AND(BG62=1,CE62&gt;0)," | Partial-date administrations wholly before the selected one were not candidates: "&amp;FC62&amp;".","")&amp;IF(BV62&lt;&gt;""," | "&amp;BV62,"")&amp;IF(AND(DS62="C2",EA62=0,DZ62&lt;&gt;"")," | Same calendar date; both times are known, so C1 decides the order ("&amp;AA62&amp;").","")&amp;IF(AND(DS62="C2",DD62*BN62=1,DT62=0)," | Calendar-date difference from the recorded local dates; it is never described as elapsed days.","")&amp;IF(AND(DS62="C4",DT62=0)," | Bounds are treated as independent; no single date is imputed from them.","")&amp;IF(EJ62=1," | Treatment day under the inclusive convention (C3); never written to E2B fields automatically.","")&amp;IF(AND(DS62="C4",DT62=0,EK62=0)," | No constraint applied.","")&amp;IF(AND(DS62="C4",EK62=1)," | Constraint applied to the anchor bounds: "&amp;IF(ISNUMBER(P62),"not before "&amp;DAY(P62)&amp;" "&amp;INDEX(nLIST_Months,MONTH(P62))&amp;" "&amp;YEAR(P62),"")&amp;IF(AND(ISNUMBER(P62),ISNUMBER(Q62)),", ","")&amp;IF(ISNUMBER(Q62),"not after "&amp;DAY(Q62)&amp;" "&amp;INDEX(nLIST_Months,MONTH(Q62))&amp;" "&amp;YEAR(Q62),"")&amp;". Source: "&amp;IF(R62="","not recorded",R62)&amp;IF(EN62="",". Constrained result shown beside the unconstrained one.",". Constrained result blocked ("&amp;EN62&amp;")."),"")&amp;IF(DT62=1,IF(EO62&gt;0," | Intervention recorded between cessation and recovery (ends included): "&amp;EZ62&amp;"."," | No intervention is recorded between cessation and recovery; absence of a record is not evidence that none was given."),"")&amp;IF(AND(DT62=1,DV62&gt;0)," | Intervention recorded without a date, so whether it came before recovery is unknown: "&amp;INDEX(nMS_Milestone_ID,MATCH(1,INDEX((nMS_CaseKey=AX62)*(nMS_Type="INTERVENTION")*nMS_Undated,0),0))&amp;IF(DV62&gt;1," and "&amp;(DV62-1)&amp;" more","")&amp;".","")&amp;IF(AND(DT62=1,EP62&gt;0)," | Not counted as interventions, because they are recorded as exposures rather than as intervention milestones (nothing is inferred): "&amp;FB62&amp;". If treatment was given, record it as an intervention milestone.",""),4,9999))</f>
        <v/>
      </c>
      <c r="AT62" s="21" t="str">
        <f t="shared" si="80"/>
        <v>The interval describes the sequence and spacing of recorded times; it is not evidence of causation.</v>
      </c>
      <c r="AU62" s="21" t="str">
        <f t="shared" si="81"/>
        <v/>
      </c>
      <c r="AV62" s="21" t="str">
        <f t="shared" si="82"/>
        <v>CALC-SPEC 1.1</v>
      </c>
      <c r="AW62" s="22">
        <f t="shared" si="83"/>
        <v>0</v>
      </c>
      <c r="AX62" s="21" t="str">
        <f t="shared" si="84"/>
        <v>EX-C04|2</v>
      </c>
      <c r="AY62" s="21" t="str">
        <f t="shared" si="85"/>
        <v>EX-C04|2|I03</v>
      </c>
      <c r="AZ62" s="22">
        <f>IF(AY62="",0,COUNTIF(nINT_Key,AY62))</f>
        <v>1</v>
      </c>
      <c r="BA62" s="22">
        <f>IF(D62="",0,IFERROR(MATCH(AX62&amp;"|"&amp;D62,nLNK_Key,0),0))</f>
        <v>26</v>
      </c>
      <c r="BB62" s="22">
        <f>IF(BA62=0,1,INDEX(nLNK_Exp_Found,BA62))</f>
        <v>1</v>
      </c>
      <c r="BC62" s="22">
        <f>IF(BA62=0,1,INDEX(nLNK_Evt_Found,BA62))</f>
        <v>1</v>
      </c>
      <c r="BD62" s="22">
        <f>IF(AP62="",0,COUNTIF(nEXP_Key,AX62&amp;"|"&amp;AP62))</f>
        <v>1</v>
      </c>
      <c r="BE62" s="22">
        <f>IF(AQ62="",0,COUNTIF(nEVT_Key,AX62&amp;"|"&amp;AQ62))</f>
        <v>1</v>
      </c>
      <c r="BF62" s="22">
        <f>IF(ISNA(MATCH(E62,nLIST_AnchorType,0)),0,1)</f>
        <v>1</v>
      </c>
      <c r="BG62" s="22">
        <f t="shared" si="86"/>
        <v>0</v>
      </c>
      <c r="BH62" s="22">
        <f t="shared" si="87"/>
        <v>1</v>
      </c>
      <c r="BI62" s="22">
        <f>IF(OR(AW62=1,AK62=""),0,IFERROR(MATCH(AX62&amp;"|"&amp;AK62,nTP_Key,0),0))</f>
        <v>313</v>
      </c>
      <c r="BJ62" s="21">
        <f>IF(BI62=0,0,INDEX(nTP_Dup,BI62))</f>
        <v>1</v>
      </c>
      <c r="BK62" s="21" t="str">
        <f>IF(BI62=0,"",INDEX(nTP_Record_Type,BI62))</f>
        <v>EVENT_ONSET</v>
      </c>
      <c r="BL62" s="21" t="str">
        <f>IF(BI62=0,"",INDEX(nTP_Precision,BI62))</f>
        <v>DATE</v>
      </c>
      <c r="BM62" s="21" t="str">
        <f>IF(BI62=0,"",INDEX(nTP_Err,BI62))</f>
        <v/>
      </c>
      <c r="BN62" s="21">
        <f>IF(BI62=0,0,INDEX(nTP_HT,BI62))</f>
        <v>0</v>
      </c>
      <c r="BO62" s="21">
        <f>IF(BI62=0,0,INDEX(nTP_OK,BI62))</f>
        <v>0</v>
      </c>
      <c r="BP62" s="21" t="str">
        <f>IF(BI62=0,"",INDEX(nTP_Loc,BI62))</f>
        <v/>
      </c>
      <c r="BQ62" s="21" t="str">
        <f>IF(BI62=0,"",INDEX(nTP_UTC,BI62))</f>
        <v/>
      </c>
      <c r="BR62" s="21">
        <f>IF(BI62=0,"",INDEX(nTP_Lo,BI62))</f>
        <v>46208</v>
      </c>
      <c r="BS62" s="21">
        <f>IF(BI62=0,"",INDEX(nTP_Hi,BI62))</f>
        <v>46208</v>
      </c>
      <c r="BT62" s="21" t="str">
        <f>IF(BI62=0,"",INDEX(nTP_Original_Text,BI62))</f>
        <v>Nausea since this morning, dizzy, pulse 38</v>
      </c>
      <c r="BU62" s="21" t="str">
        <f>IF(BI62=0,"",INDEX(nTP_Source,BI62))</f>
        <v>Emergency department note</v>
      </c>
      <c r="BV62" s="21" t="str">
        <f>IF(BI62=0,"",INDEX(nTP_Lab_Note,BI62))</f>
        <v/>
      </c>
      <c r="BW62" s="22">
        <f t="shared" si="88"/>
        <v>1</v>
      </c>
      <c r="BX62" s="21" t="str">
        <f t="shared" si="89"/>
        <v>EX-C04|2|EX-IBU</v>
      </c>
      <c r="BY62" s="22">
        <f>IF(BG62=0,0,COUNTIF(nTP_CandKey,BX62))</f>
        <v>0</v>
      </c>
      <c r="BZ62" s="22">
        <f>IF(BG62=0,0,COUNTIFS(nTP_CandKey,BX62,nTP_Err,""))</f>
        <v>0</v>
      </c>
      <c r="CA62" s="21" t="str">
        <f>IF(BY62=BZ62,"",IF(COUNTIFS(nTP_CandKey,BX62,nTP_Err,"E_INVALID_DATE")&gt;0,"; E_INVALID_DATE","")&amp;IF(COUNTIFS(nTP_CandKey,BX62,nTP_Err,"E_REVERSED_BOUNDS")&gt;0,"; E_REVERSED_BOUNDS","")&amp;IF(COUNTIFS(nTP_CandKey,BX62,nTP_Err,"E_MISSING_INPUT")&gt;0,"; E_MISSING_INPUT","")&amp;IF(COUNTIFS(nTP_CandKey,BX62,nTP_Err,"E_INVALID_UNIT")&gt;0,"; E_INVALID_UNIT",""))</f>
        <v/>
      </c>
      <c r="CB62" s="22">
        <f t="shared" si="90"/>
        <v>0</v>
      </c>
      <c r="CC62" s="22">
        <f>IF(CB62=0,0,SUMPRODUCT((nTP_CandKey=BX62)*(nTP_Err="")*(1-(nTP_HT*BN62*((nTP_OK*BO62*(nTP_UTC_n-N(BQ62))+(1-nTP_OK*BO62)*(nTP_Loc_n-N(BP62)))&lt;=0)+(1-nTP_HT*BN62)*(nTP_Hi_n&lt;N(BR62)))-(nTP_HT*BN62*((nTP_OK*BO62*(nTP_UTC_n-N(BQ62))+(1-nTP_OK*BO62)*(nTP_Loc_n-N(BP62)))&gt;0)+(1-nTP_HT*BN62)*(nTP_Lo_n&gt;N(BS62)))-((1-nTP_HT*BN62)*(nTP_Lo_n=nTP_Hi_n)*(nTP_Lo_n=N(BR62))*(N(BR62)=N(BS62))))))</f>
        <v>0</v>
      </c>
      <c r="CD62" s="22">
        <f>IF(CB62=0,0,SUMPRODUCT((nTP_CandKey=BX62)*nTP_Exact*((nTP_HT*BN62*((nTP_OK*BO62*(nTP_UTC_n-N(BQ62))+(1-nTP_OK*BO62)*(nTP_Loc_n-N(BP62)))&lt;=0)+(1-nTP_HT*BN62)*(nTP_Hi_n&lt;N(BR62)))+((1-nTP_HT*BN62)*(nTP_Lo_n=nTP_Hi_n)*(nTP_Lo_n=N(BR62))*(N(BR62)=N(BS62))))))</f>
        <v>0</v>
      </c>
      <c r="CE62" s="22">
        <f>IF(CB62=0,0,SUMPRODUCT((nTP_CandKey=BX62)*(nTP_Err="")*(1-nTP_Exact)*((nTP_HT*BN62*((nTP_OK*BO62*(nTP_UTC_n-N(BQ62))+(1-nTP_OK*BO62)*(nTP_Loc_n-N(BP62)))&lt;=0)+(1-nTP_HT*BN62)*(nTP_Hi_n&lt;N(BR62)))+((1-nTP_HT*BN62)*(nTP_Lo_n=nTP_Hi_n)*(nTP_Lo_n=N(BR62))*(N(BR62)=N(BS62))))))</f>
        <v>0</v>
      </c>
      <c r="CF62" s="22">
        <f>IF(CD62=0,0,SUMPRODUCT(MAX((nTP_CandKey=BX62)*nTP_Exact*((nTP_HT*BN62*((nTP_OK*BO62*(nTP_UTC_n-N(BQ62))+(1-nTP_OK*BO62)*(nTP_Loc_n-N(BP62)))&lt;=0)+(1-nTP_HT*BN62)*(nTP_Hi_n&lt;N(BR62)))+((1-nTP_HT*BN62)*(nTP_Lo_n=nTP_Hi_n)*(nTP_Lo_n=N(BR62))*(N(BR62)=N(BS62))))*nTP_Lo_n)))</f>
        <v>0</v>
      </c>
      <c r="CG62" s="22">
        <f>IF(CD62=0,0,SUMPRODUCT((nTP_CandKey=BX62)*nTP_Exact*((nTP_HT*BN62*((nTP_OK*BO62*(nTP_UTC_n-N(BQ62))+(1-nTP_OK*BO62)*(nTP_Loc_n-N(BP62)))&lt;=0)+(1-nTP_HT*BN62)*(nTP_Hi_n&lt;N(BR62)))+((1-nTP_HT*BN62)*(nTP_Lo_n=nTP_Hi_n)*(nTP_Lo_n=N(BR62))*(N(BR62)=N(BS62))))*(nTP_Lo_n=CF62)))</f>
        <v>0</v>
      </c>
      <c r="CH62" s="22">
        <f>IF(CD62=0,0,SUMPRODUCT((nTP_CandKey=BX62)*nTP_Exact*((nTP_HT*BN62*((nTP_OK*BO62*(nTP_UTC_n-N(BQ62))+(1-nTP_OK*BO62)*(nTP_Loc_n-N(BP62)))&lt;=0)+(1-nTP_HT*BN62)*(nTP_Hi_n&lt;N(BR62)))+((1-nTP_HT*BN62)*(nTP_Lo_n=nTP_Hi_n)*(nTP_Lo_n=N(BR62))*(N(BR62)=N(BS62))))*(1-nTP_HT)*(nTP_Lo_n=CF62)))</f>
        <v>0</v>
      </c>
      <c r="CI62" s="22">
        <f>IF(CD62=0,0,SUMPRODUCT(MAX((nTP_CandKey=BX62)*nTP_Exact*((nTP_HT*BN62*((nTP_OK*BO62*(nTP_UTC_n-N(BQ62))+(1-nTP_OK*BO62)*(nTP_Loc_n-N(BP62)))&lt;=0)+(1-nTP_HT*BN62)*(nTP_Hi_n&lt;N(BR62)))+((1-nTP_HT*BN62)*(nTP_Lo_n=nTP_Hi_n)*(nTP_Lo_n=N(BR62))*(N(BR62)=N(BS62))))*(1-nTP_HT)*nTP_Lo_n)))</f>
        <v>0</v>
      </c>
      <c r="CJ62" s="22">
        <f>IF(CD62=0,0,SUMPRODUCT(MAX((nTP_CandKey=BX62)*nTP_Exact*((nTP_HT*BN62*((nTP_OK*BO62*(nTP_UTC_n-N(BQ62))+(1-nTP_OK*BO62)*(nTP_Loc_n-N(BP62)))&lt;=0)+(1-nTP_HT*BN62)*(nTP_Hi_n&lt;N(BR62)))+((1-nTP_HT*BN62)*(nTP_Lo_n=nTP_Hi_n)*(nTP_Lo_n=N(BR62))*(N(BR62)=N(BS62))))*nTP_HT*nTP_OK*nTP_UTC_n)))</f>
        <v>0</v>
      </c>
      <c r="CK62" s="22">
        <f>IF(CJ62=0,0,SUMPRODUCT((nTP_CandKey=BX62)*nTP_Exact*((nTP_HT*BN62*((nTP_OK*BO62*(nTP_UTC_n-N(BQ62))+(1-nTP_OK*BO62)*(nTP_Loc_n-N(BP62)))&lt;=0)+(1-nTP_HT*BN62)*(nTP_Hi_n&lt;N(BR62)))+((1-nTP_HT*BN62)*(nTP_Lo_n=nTP_Hi_n)*(nTP_Lo_n=N(BR62))*(N(BR62)=N(BS62))))*nTP_HT*nTP_OK*(nTP_UTC_n=CJ62)))</f>
        <v>0</v>
      </c>
      <c r="CL62" s="22">
        <f>IF(CK62&lt;&gt;1,0,SUMPRODUCT((nTP_CandKey=BX62)*nTP_Exact*((nTP_HT*BN62*((nTP_OK*BO62*(nTP_UTC_n-N(BQ62))+(1-nTP_OK*BO62)*(nTP_Loc_n-N(BP62)))&lt;=0)+(1-nTP_HT*BN62)*(nTP_Hi_n&lt;N(BR62)))+((1-nTP_HT*BN62)*(nTP_Lo_n=nTP_Hi_n)*(nTP_Lo_n=N(BR62))*(N(BR62)=N(BS62))))*nTP_HT*nTP_OK*(nTP_UTC_n=CJ62)*nTP_Loc_n))</f>
        <v>0</v>
      </c>
      <c r="CM62" s="22">
        <f>IF(CK62&lt;&gt;1,0,SUMPRODUCT((nTP_CandKey=BX62)*nTP_Exact*((nTP_HT*BN62*((nTP_OK*BO62*(nTP_UTC_n-N(BQ62))+(1-nTP_OK*BO62)*(nTP_Loc_n-N(BP62)))&lt;=0)+(1-nTP_HT*BN62)*(nTP_Hi_n&lt;N(BR62)))+((1-nTP_HT*BN62)*(nTP_Lo_n=nTP_Hi_n)*(nTP_Lo_n=N(BR62))*(N(BR62)=N(BS62))))*nTP_HT*nTP_OK*(nTP_UTC_n=CJ62)*nTP_Lo_n))</f>
        <v>0</v>
      </c>
      <c r="CN62" s="22">
        <f>IF(CD62=0,0,SUMPRODUCT(MAX((nTP_CandKey=BX62)*nTP_Exact*((nTP_HT*BN62*((nTP_OK*BO62*(nTP_UTC_n-N(BQ62))+(1-nTP_OK*BO62)*(nTP_Loc_n-N(BP62)))&lt;=0)+(1-nTP_HT*BN62)*(nTP_Hi_n&lt;N(BR62)))+((1-nTP_HT*BN62)*(nTP_Lo_n=nTP_Hi_n)*(nTP_Lo_n=N(BR62))*(N(BR62)=N(BS62))))*nTP_HT*(1-nTP_OK)*nTP_Loc_n)))</f>
        <v>0</v>
      </c>
      <c r="CO62" s="22">
        <f>IF(CN62=0,0,SUMPRODUCT((nTP_CandKey=BX62)*nTP_Exact*((nTP_HT*BN62*((nTP_OK*BO62*(nTP_UTC_n-N(BQ62))+(1-nTP_OK*BO62)*(nTP_Loc_n-N(BP62)))&lt;=0)+(1-nTP_HT*BN62)*(nTP_Hi_n&lt;N(BR62)))+((1-nTP_HT*BN62)*(nTP_Lo_n=nTP_Hi_n)*(nTP_Lo_n=N(BR62))*(N(BR62)=N(BS62))))*nTP_HT*(1-nTP_OK)*(nTP_Loc_n=CN62)))</f>
        <v>0</v>
      </c>
      <c r="CP62" s="22">
        <f>IF(CO62&lt;&gt;1,0,SUMPRODUCT((nTP_CandKey=BX62)*nTP_Exact*((nTP_HT*BN62*((nTP_OK*BO62*(nTP_UTC_n-N(BQ62))+(1-nTP_OK*BO62)*(nTP_Loc_n-N(BP62)))&lt;=0)+(1-nTP_HT*BN62)*(nTP_Hi_n&lt;N(BR62)))+((1-nTP_HT*BN62)*(nTP_Lo_n=nTP_Hi_n)*(nTP_Lo_n=N(BR62))*(N(BR62)=N(BS62))))*nTP_HT*(1-nTP_OK)*(nTP_Loc_n=CN62)*nTP_Lo_n))</f>
        <v>0</v>
      </c>
      <c r="CQ62" s="22">
        <f>IF(CD62=0,0,SUMPRODUCT(MAX((nTP_CandKey=BX62)*nTP_Exact*((nTP_HT*BN62*((nTP_OK*BO62*(nTP_UTC_n-N(BQ62))+(1-nTP_OK*BO62)*(nTP_Loc_n-N(BP62)))&lt;=0)+(1-nTP_HT*BN62)*(nTP_Hi_n&lt;N(BR62)))+((1-nTP_HT*BN62)*(nTP_Lo_n=nTP_Hi_n)*(nTP_Lo_n=N(BR62))*(N(BR62)=N(BS62))))*nTP_HT*nTP_OK*nTP_Loc_n)))</f>
        <v>0</v>
      </c>
      <c r="CR62" s="22">
        <f t="shared" si="91"/>
        <v>0</v>
      </c>
      <c r="CS62" s="22">
        <f>IF(CR62=0,0,IF(CR62=1,MATCH(1,INDEX((nTP_CandKey=BX62)*nTP_Exact*((nTP_HT*BN62*((nTP_OK*BO62*(nTP_UTC_n-N(BQ62))+(1-nTP_OK*BO62)*(nTP_Loc_n-N(BP62)))&lt;=0)+(1-nTP_HT*BN62)*(nTP_Hi_n&lt;N(BR62)))+((1-nTP_HT*BN62)*(nTP_Lo_n=nTP_Hi_n)*(nTP_Lo_n=N(BR62))*(N(BR62)=N(BS62))))*(1-nTP_HT)*(nTP_Lo_n=CF62),0),0),IF(CR62=2,MATCH(1,INDEX((nTP_CandKey=BX62)*nTP_Exact*((nTP_HT*BN62*((nTP_OK*BO62*(nTP_UTC_n-N(BQ62))+(1-nTP_OK*BO62)*(nTP_Loc_n-N(BP62)))&lt;=0)+(1-nTP_HT*BN62)*(nTP_Hi_n&lt;N(BR62)))+((1-nTP_HT*BN62)*(nTP_Lo_n=nTP_Hi_n)*(nTP_Lo_n=N(BR62))*(N(BR62)=N(BS62))))*nTP_HT*nTP_OK*(nTP_UTC_n=CJ62),0),0),MATCH(1,INDEX((nTP_CandKey=BX62)*nTP_Exact*((nTP_HT*BN62*((nTP_OK*BO62*(nTP_UTC_n-N(BQ62))+(1-nTP_OK*BO62)*(nTP_Loc_n-N(BP62)))&lt;=0)+(1-nTP_HT*BN62)*(nTP_Hi_n&lt;N(BR62)))+((1-nTP_HT*BN62)*(nTP_Lo_n=nTP_Hi_n)*(nTP_Lo_n=N(BR62))*(N(BR62)=N(BS62))))*nTP_HT*(1-nTP_OK)*(nTP_Loc_n=CN62),0),0))))</f>
        <v>0</v>
      </c>
      <c r="CT62" s="22">
        <f>IF(CS62=0,0,INDEX(nTP_Lo_n,CS62))</f>
        <v>0</v>
      </c>
      <c r="CU62" s="22">
        <f>IF(CS62=0,0,SUMPRODUCT((nTP_CandKey=BX62)*(nTP_Err="")*(1-nTP_Exact)*((nTP_HT*BN62*((nTP_OK*BO62*(nTP_UTC_n-N(BQ62))+(1-nTP_OK*BO62)*(nTP_Loc_n-N(BP62)))&lt;=0)+(1-nTP_HT*BN62)*(nTP_Hi_n&lt;N(BR62)))+((1-nTP_HT*BN62)*(nTP_Lo_n=nTP_Hi_n)*(nTP_Lo_n=N(BR62))*(N(BR62)=N(BS62))))*(nTP_Hi_n&gt;=CT62)))</f>
        <v>0</v>
      </c>
      <c r="CV62" s="21" t="str">
        <f t="shared" si="92"/>
        <v/>
      </c>
      <c r="CW62" s="21" t="str">
        <f>IF(AND(BG62=1,CB62=1,CV62="",CS62&gt;0),INDEX(nTP_Record_ID,CS62)&amp;"","")</f>
        <v/>
      </c>
      <c r="CX62" s="21" t="str">
        <f>IF(OR(CV62="",BG62=0),"",IF(CV62="none","an administration record (last dose before onset)",IF(CV62="uncertain","the anchor record: "&amp;INDEX(nTP_Record_ID,MATCH(1,INDEX((nTP_CandKey=BX62)*(nTP_Err="")*(1-(nTP_HT*BN62*((nTP_OK*BO62*(nTP_UTC_n-N(BQ62))+(1-nTP_OK*BO62)*(nTP_Loc_n-N(BP62)))&lt;=0)+(1-nTP_HT*BN62)*(nTP_Hi_n&lt;N(BR62)))-(nTP_HT*BN62*((nTP_OK*BO62*(nTP_UTC_n-N(BQ62))+(1-nTP_OK*BO62)*(nTP_Loc_n-N(BP62)))&gt;0)+(1-nTP_HT*BN62)*(nTP_Lo_n&gt;N(BS62)))-((1-nTP_HT*BN62)*(nTP_Lo_n=nTP_Hi_n)*(nTP_Lo_n=N(BR62))*(N(BR62)=N(BS62)))),0),0))&amp;IF(CC62&gt;1," and "&amp;(CC62-1)&amp;" more","")&amp;" may fall before or after the end point, so the last dose cannot be identified from the recorded dates",IF(CV62="noneligible","the anchor record: no administration with an exact date is recorded at or before the end point",IF(CV62="tie","the anchor record: the order of the latest administrations cannot be told from the recorded dates and times","the anchor record: partial-date administration "&amp;INDEX(nTP_Record_ID,MATCH(1,INDEX((nTP_CandKey=BX62)*(nTP_Err="")*(1-nTP_Exact)*((nTP_HT*BN62*((nTP_OK*BO62*(nTP_UTC_n-N(BQ62))+(1-nTP_OK*BO62)*(nTP_Loc_n-N(BP62)))&lt;=0)+(1-nTP_HT*BN62)*(nTP_Hi_n&lt;N(BR62)))+((1-nTP_HT*BN62)*(nTP_Lo_n=nTP_Hi_n)*(nTP_Lo_n=N(BR62))*(N(BR62)=N(BS62))))*(nTP_Hi_n&gt;=CT62),0),0))&amp;" could be the last dose before the end point")))))</f>
        <v/>
      </c>
      <c r="CY62" s="22">
        <f>IF(OR(AW62=1,AJ62=""),0,IFERROR(MATCH(AX62&amp;"|"&amp;AJ62,nTP_Key,0),0))</f>
        <v>36</v>
      </c>
      <c r="CZ62" s="21">
        <f>IF(CY62=0,0,INDEX(nTP_Dup,CY62))</f>
        <v>1</v>
      </c>
      <c r="DA62" s="21" t="str">
        <f>IF(CY62=0,"",INDEX(nTP_Record_Type,CY62))</f>
        <v>EXPOSURE_START</v>
      </c>
      <c r="DB62" s="21" t="str">
        <f>IF(CY62=0,"",INDEX(nTP_Precision,CY62))</f>
        <v>DATE</v>
      </c>
      <c r="DC62" s="21" t="str">
        <f>IF(CY62=0,"",INDEX(nTP_Err,CY62))</f>
        <v/>
      </c>
      <c r="DD62" s="21">
        <f>IF(CY62=0,0,INDEX(nTP_HT,CY62))</f>
        <v>0</v>
      </c>
      <c r="DE62" s="21">
        <f>IF(CY62=0,0,INDEX(nTP_OK,CY62))</f>
        <v>0</v>
      </c>
      <c r="DF62" s="21" t="str">
        <f>IF(CY62=0,"",INDEX(nTP_Loc,CY62))</f>
        <v/>
      </c>
      <c r="DG62" s="21" t="str">
        <f>IF(CY62=0,"",INDEX(nTP_UTC,CY62))</f>
        <v/>
      </c>
      <c r="DH62" s="21">
        <f>IF(CY62=0,"",INDEX(nTP_Lo,CY62))</f>
        <v>46199</v>
      </c>
      <c r="DI62" s="21">
        <f>IF(CY62=0,"",INDEX(nTP_Hi,CY62))</f>
        <v>46199</v>
      </c>
      <c r="DJ62" s="21" t="str">
        <f>IF(CY62=0,"",INDEX(nTP_Original_Text,CY62))</f>
        <v>Bought ibuprofen ... on 26 June</v>
      </c>
      <c r="DK62" s="21" t="str">
        <f>IF(CY62=0,"",INDEX(nTP_Source,CY62))</f>
        <v>GP letter (version 2)</v>
      </c>
      <c r="DL62" s="22">
        <f t="shared" si="93"/>
        <v>1</v>
      </c>
      <c r="DM62" s="21" t="str">
        <f t="shared" si="94"/>
        <v/>
      </c>
      <c r="DN62" s="21" t="str">
        <f t="shared" si="95"/>
        <v/>
      </c>
      <c r="DO62" s="21" t="str">
        <f t="shared" si="96"/>
        <v/>
      </c>
      <c r="DP62" s="21" t="str">
        <f t="shared" si="97"/>
        <v/>
      </c>
      <c r="DQ62" s="21" t="str">
        <f t="shared" si="98"/>
        <v>C2</v>
      </c>
      <c r="DR62" s="22">
        <f>IF(OR(DQ62="",I62=""),0,IF(ISNA(MATCH(I62,nLIST_Mode,0)),1,IF(AND(I62="C1",DQ62&lt;&gt;"C1"),1,IF(AND(I62="C2",DQ62="C4"),1,0))))</f>
        <v>0</v>
      </c>
      <c r="DS62" s="21" t="str">
        <f t="shared" si="99"/>
        <v>C2</v>
      </c>
      <c r="DT62" s="22">
        <f t="shared" si="100"/>
        <v>0</v>
      </c>
      <c r="DU62" s="21" t="str">
        <f>IF(DT62=0,"",IF(COUNTIFS(nTP_Case_Key,AX62,nTP_Record_Type,"MILESTONE:INTERVENTION",nTP_Err,"E_INVALID_DATE")&gt;0,"; E_INVALID_DATE","")&amp;IF(COUNTIFS(nTP_Case_Key,AX62,nTP_Record_Type,"MILESTONE:INTERVENTION",nTP_Err,"E_REVERSED_BOUNDS")&gt;0,"; E_REVERSED_BOUNDS","")&amp;IF(COUNTIFS(nTP_Case_Key,AX62,nTP_Record_Type,"MILESTONE:INTERVENTION",nTP_Err,"E_MISSING_INPUT")&gt;0,"; E_MISSING_INPUT","")&amp;IF(COUNTIFS(nTP_Case_Key,AX62,nTP_Record_Type,"MILESTONE:INTERVENTION",nTP_Err,"E_INVALID_UNIT")&gt;0,"; E_INVALID_UNIT",""))</f>
        <v/>
      </c>
      <c r="DV62" s="22">
        <f>IF(DT62=0,0,SUMPRODUCT((nMS_CaseKey=AX62)*(nMS_Type="INTERVENTION")*nMS_Undated))</f>
        <v>0</v>
      </c>
      <c r="DW62" s="21" t="str">
        <f t="shared" si="101"/>
        <v/>
      </c>
      <c r="DX62" s="21" t="str">
        <f t="shared" si="102"/>
        <v/>
      </c>
      <c r="DY62" s="22">
        <f t="shared" si="103"/>
        <v>1</v>
      </c>
      <c r="DZ62" s="21" t="str">
        <f t="shared" si="104"/>
        <v/>
      </c>
      <c r="EA62" s="21">
        <f t="shared" si="105"/>
        <v>9</v>
      </c>
      <c r="EB62" s="21" t="str">
        <f t="shared" si="106"/>
        <v/>
      </c>
      <c r="EC62" s="21" t="str">
        <f t="shared" si="107"/>
        <v/>
      </c>
      <c r="ED62" s="22">
        <f t="shared" si="108"/>
        <v>0</v>
      </c>
      <c r="EE62" s="22">
        <f t="shared" si="109"/>
        <v>0</v>
      </c>
      <c r="EF62" s="21" t="str">
        <f>IF(ED62=0,"",IF(OR(NOT(ISNUMBER(L62)),NOT(ISNUMBER(M62))),"I_APPROXIMATE_NOT_COMPARED",IF(AND(N62&lt;&gt;"",ISNA(MATCH(N62,nLIST_ReportedUnit,0))),"E_INVALID_UNIT",IF(N62="","E_MISSING_INPUT",IF(L62&gt;M62,"E_REVERSED_BOUNDS",IF(OR(N62="weeks",N62="months",N62="years"),"I_APPROXIMATE_NOT_COMPARED",IF(DX62&lt;&gt;"","",IF(EE62=0,"I_APPROXIMATE_NOT_COMPARED",IF(AND(L62*EE62&lt;=IF(DS62="C4",EC62,IF(DS62="C1",DZ62,EA62)),M62*EE62&gt;=IF(DS62="C4",EB62,IF(DS62="C1",DZ62,EA62))),"OVERLAP","W_REPORTED_TIMING_CONFLICT")))))))))</f>
        <v/>
      </c>
      <c r="EG62" s="21" t="str">
        <f t="shared" si="110"/>
        <v/>
      </c>
      <c r="EH62" s="21" t="str">
        <f t="shared" si="111"/>
        <v/>
      </c>
      <c r="EI62" s="22">
        <f t="shared" si="112"/>
        <v>1</v>
      </c>
      <c r="EJ62" s="22">
        <f t="shared" si="113"/>
        <v>0</v>
      </c>
      <c r="EK62" s="22">
        <f t="shared" si="114"/>
        <v>0</v>
      </c>
      <c r="EL62" s="28" t="str">
        <f t="shared" si="115"/>
        <v/>
      </c>
      <c r="EM62" s="28" t="str">
        <f t="shared" si="116"/>
        <v/>
      </c>
      <c r="EN62" s="21" t="str">
        <f t="shared" si="117"/>
        <v/>
      </c>
      <c r="EO62" s="22">
        <f>IF(OR(DT62=0,DX62&lt;&gt;""),0,SUMPRODUCT((nTP_Case_Key=AX62)*(nTP_Record_Type="MILESTONE:INTERVENTION")*(nTP_Err="")*(nTP_HT*DD62*BN62*(nTP_OK*DE62*(nTP_UTC_n&gt;=N(DG62))+(1-nTP_OK*DE62)*(nTP_Loc_n&gt;=N(DF62)))*(nTP_OK*BO62*(nTP_UTC_n&lt;=N(BQ62))+(1-nTP_OK*BO62)*(nTP_Loc_n&lt;=N(BP62)))+(1-nTP_HT*DD62*BN62)*(nTP_Hi_n&gt;=N(DH62))*(nTP_Lo_n&lt;=N(BS62)))))</f>
        <v>0</v>
      </c>
      <c r="EP62" s="22">
        <f>IF(OR(DT62=0,DX62&lt;&gt;""),0,SUMPRODUCT((nTP_Case_Key=AX62)*(nTP_Role="treatment of the event")*((nTP_Record_Type="EXPOSURE_START")+(nTP_Record_Type="ADMINISTRATION"))*(nTP_Err="")*(nTP_HT*DD62*BN62*(nTP_OK*DE62*(nTP_UTC_n&gt;=N(DG62))+(1-nTP_OK*DE62)*(nTP_Loc_n&gt;=N(DF62)))*(nTP_OK*BO62*(nTP_UTC_n&lt;=N(BQ62))+(1-nTP_OK*BO62)*(nTP_Loc_n&lt;=N(BP62)))+(1-nTP_HT*DD62*BN62)*(nTP_Hi_n&gt;=N(DH62))*(nTP_Lo_n&lt;=N(BS62)))))</f>
        <v>0</v>
      </c>
      <c r="EQ62" s="22">
        <f>IF(EO62&lt;1,0,IFERROR(_xlfn.AGGREGATE(15,6,nTP_RowN/((nTP_Case_Key=AX62)*(nTP_Record_Type="MILESTONE:INTERVENTION")*(nTP_Err="")*(nTP_HT*DD62*BN62*(nTP_OK*DE62*(nTP_UTC_n&gt;=N(DG62))+(1-nTP_OK*DE62)*(nTP_Loc_n&gt;=N(DF62)))*(nTP_OK*BO62*(nTP_UTC_n&lt;=N(BQ62))+(1-nTP_OK*BO62)*(nTP_Loc_n&lt;=N(BP62)))+(1-nTP_HT*DD62*BN62)*(nTP_Hi_n&gt;=N(DH62))*(nTP_Lo_n&lt;=N(BS62)))),1),0))</f>
        <v>0</v>
      </c>
      <c r="ER62" s="22">
        <f>IF(EO62&lt;2,0,IFERROR(_xlfn.AGGREGATE(15,6,nTP_RowN/((nTP_Case_Key=AX62)*(nTP_Record_Type="MILESTONE:INTERVENTION")*(nTP_Err="")*(nTP_HT*DD62*BN62*(nTP_OK*DE62*(nTP_UTC_n&gt;=N(DG62))+(1-nTP_OK*DE62)*(nTP_Loc_n&gt;=N(DF62)))*(nTP_OK*BO62*(nTP_UTC_n&lt;=N(BQ62))+(1-nTP_OK*BO62)*(nTP_Loc_n&lt;=N(BP62)))+(1-nTP_HT*DD62*BN62)*(nTP_Hi_n&gt;=N(DH62))*(nTP_Lo_n&lt;=N(BS62)))),2),0))</f>
        <v>0</v>
      </c>
      <c r="ES62" s="22">
        <f>IF(EO62&lt;3,0,IFERROR(_xlfn.AGGREGATE(15,6,nTP_RowN/((nTP_Case_Key=AX62)*(nTP_Record_Type="MILESTONE:INTERVENTION")*(nTP_Err="")*(nTP_HT*DD62*BN62*(nTP_OK*DE62*(nTP_UTC_n&gt;=N(DG62))+(1-nTP_OK*DE62)*(nTP_Loc_n&gt;=N(DF62)))*(nTP_OK*BO62*(nTP_UTC_n&lt;=N(BQ62))+(1-nTP_OK*BO62)*(nTP_Loc_n&lt;=N(BP62)))+(1-nTP_HT*DD62*BN62)*(nTP_Hi_n&gt;=N(DH62))*(nTP_Lo_n&lt;=N(BS62)))),3),0))</f>
        <v>0</v>
      </c>
      <c r="ET62" s="22">
        <f>IF(EP62&lt;1,0,IFERROR(_xlfn.AGGREGATE(15,6,nTP_RowN/((nTP_Case_Key=AX62)*(nTP_Role="treatment of the event")*((nTP_Record_Type="EXPOSURE_START")+(nTP_Record_Type="ADMINISTRATION"))*(nTP_Err="")*(nTP_HT*DD62*BN62*(nTP_OK*DE62*(nTP_UTC_n&gt;=N(DG62))+(1-nTP_OK*DE62)*(nTP_Loc_n&gt;=N(DF62)))*(nTP_OK*BO62*(nTP_UTC_n&lt;=N(BQ62))+(1-nTP_OK*BO62)*(nTP_Loc_n&lt;=N(BP62)))+(1-nTP_HT*DD62*BN62)*(nTP_Hi_n&gt;=N(DH62))*(nTP_Lo_n&lt;=N(BS62)))),1),0))</f>
        <v>0</v>
      </c>
      <c r="EU62" s="22">
        <f>IF(EP62&lt;2,0,IFERROR(_xlfn.AGGREGATE(15,6,nTP_RowN/((nTP_Case_Key=AX62)*(nTP_Role="treatment of the event")*((nTP_Record_Type="EXPOSURE_START")+(nTP_Record_Type="ADMINISTRATION"))*(nTP_Err="")*(nTP_HT*DD62*BN62*(nTP_OK*DE62*(nTP_UTC_n&gt;=N(DG62))+(1-nTP_OK*DE62)*(nTP_Loc_n&gt;=N(DF62)))*(nTP_OK*BO62*(nTP_UTC_n&lt;=N(BQ62))+(1-nTP_OK*BO62)*(nTP_Loc_n&lt;=N(BP62)))+(1-nTP_HT*DD62*BN62)*(nTP_Hi_n&gt;=N(DH62))*(nTP_Lo_n&lt;=N(BS62)))),2),0))</f>
        <v>0</v>
      </c>
      <c r="EV62" s="22">
        <f>IF(EP62&lt;3,0,IFERROR(_xlfn.AGGREGATE(15,6,nTP_RowN/((nTP_Case_Key=AX62)*(nTP_Role="treatment of the event")*((nTP_Record_Type="EXPOSURE_START")+(nTP_Record_Type="ADMINISTRATION"))*(nTP_Err="")*(nTP_HT*DD62*BN62*(nTP_OK*DE62*(nTP_UTC_n&gt;=N(DG62))+(1-nTP_OK*DE62)*(nTP_Loc_n&gt;=N(DF62)))*(nTP_OK*BO62*(nTP_UTC_n&lt;=N(BQ62))+(1-nTP_OK*BO62)*(nTP_Loc_n&lt;=N(BP62)))+(1-nTP_HT*DD62*BN62)*(nTP_Hi_n&gt;=N(DH62))*(nTP_Lo_n&lt;=N(BS62)))),3),0))</f>
        <v>0</v>
      </c>
      <c r="EW62" s="22">
        <f>IF(CE62&lt;1,0,IFERROR(_xlfn.AGGREGATE(15,6,nTP_RowN/((nTP_CandKey=BX62)*(nTP_Err="")*(1-nTP_Exact)*((nTP_HT*BN62*((nTP_OK*BO62*(nTP_UTC_n-N(BQ62))+(1-nTP_OK*BO62)*(nTP_Loc_n-N(BP62)))&lt;=0)+(1-nTP_HT*BN62)*(nTP_Hi_n&lt;N(BR62)))+((1-nTP_HT*BN62)*(nTP_Lo_n=nTP_Hi_n)*(nTP_Lo_n=N(BR62))*(N(BR62)=N(BS62))))),1),0))</f>
        <v>0</v>
      </c>
      <c r="EX62" s="22">
        <f>IF(CE62&lt;2,0,IFERROR(_xlfn.AGGREGATE(15,6,nTP_RowN/((nTP_CandKey=BX62)*(nTP_Err="")*(1-nTP_Exact)*((nTP_HT*BN62*((nTP_OK*BO62*(nTP_UTC_n-N(BQ62))+(1-nTP_OK*BO62)*(nTP_Loc_n-N(BP62)))&lt;=0)+(1-nTP_HT*BN62)*(nTP_Hi_n&lt;N(BR62)))+((1-nTP_HT*BN62)*(nTP_Lo_n=nTP_Hi_n)*(nTP_Lo_n=N(BR62))*(N(BR62)=N(BS62))))),2),0))</f>
        <v>0</v>
      </c>
      <c r="EY62" s="22">
        <f>IF(CE62&lt;3,0,IFERROR(_xlfn.AGGREGATE(15,6,nTP_RowN/((nTP_CandKey=BX62)*(nTP_Err="")*(1-nTP_Exact)*((nTP_HT*BN62*((nTP_OK*BO62*(nTP_UTC_n-N(BQ62))+(1-nTP_OK*BO62)*(nTP_Loc_n-N(BP62)))&lt;=0)+(1-nTP_HT*BN62)*(nTP_Hi_n&lt;N(BR62)))+((1-nTP_HT*BN62)*(nTP_Lo_n=nTP_Hi_n)*(nTP_Lo_n=N(BR62))*(N(BR62)=N(BS62))))),3),0))</f>
        <v>0</v>
      </c>
      <c r="EZ62" s="21" t="str">
        <f>IF(EO62=0,"",MID(IF(EQ62&gt;0,"; "&amp;INDEX(nTP_Record_ID,EQ62)&amp;IF(INDEX(nTP_Label,EQ62)="",""," ("&amp;INDEX(nTP_Label,EQ62)&amp;")"),"")&amp;IF(ER62&gt;0,"; "&amp;INDEX(nTP_Record_ID,ER62)&amp;IF(INDEX(nTP_Label,ER62)="",""," ("&amp;INDEX(nTP_Label,ER62)&amp;")"),"")&amp;IF(ES62&gt;0,"; "&amp;INDEX(nTP_Record_ID,ES62)&amp;IF(INDEX(nTP_Label,ES62)="",""," ("&amp;INDEX(nTP_Label,ES62)&amp;")"),"")&amp;IF(EO62&gt;3,"; and "&amp;(EO62-3)&amp;" more",""),3,999))</f>
        <v/>
      </c>
      <c r="FA62" s="21" t="str">
        <f>IF(EO62=0,"",MID(IF(EQ62&gt;0,"; "&amp;INDEX(nTP_Record_ID,EQ62),"")&amp;IF(ER62&gt;0,"; "&amp;INDEX(nTP_Record_ID,ER62),"")&amp;IF(ES62&gt;0,"; "&amp;INDEX(nTP_Record_ID,ES62),"")&amp;IF(EO62&gt;3,"; and "&amp;(EO62-3)&amp;" more",""),3,999))</f>
        <v/>
      </c>
      <c r="FB62" s="21" t="str">
        <f>IF(EP62=0,"",MID(IF(ET62&gt;0,"; "&amp;INDEX(nTP_Record_ID,ET62)&amp;IF(INDEX(nTP_Label,ET62)="",""," ("&amp;INDEX(nTP_Label,ET62)&amp;")"),"")&amp;IF(EU62&gt;0,"; "&amp;INDEX(nTP_Record_ID,EU62)&amp;IF(INDEX(nTP_Label,EU62)="",""," ("&amp;INDEX(nTP_Label,EU62)&amp;")"),"")&amp;IF(EV62&gt;0,"; "&amp;INDEX(nTP_Record_ID,EV62)&amp;IF(INDEX(nTP_Label,EV62)="",""," ("&amp;INDEX(nTP_Label,EV62)&amp;")"),"")&amp;IF(EP62&gt;3,"; and "&amp;(EP62-3)&amp;" more",""),3,999))</f>
        <v/>
      </c>
      <c r="FC62" s="21" t="str">
        <f>IF(CE62=0,"",MID(IF(EW62&gt;0,"; "&amp;INDEX(nTP_Record_ID,EW62),"")&amp;IF(EX62&gt;0,"; "&amp;INDEX(nTP_Record_ID,EX62),"")&amp;IF(EY62&gt;0,"; "&amp;INDEX(nTP_Record_ID,EY62),"")&amp;IF(CE62&gt;3,"; and "&amp;(CE62-3)&amp;" more",""),3,999))</f>
        <v/>
      </c>
      <c r="FD62" s="22">
        <f t="shared" si="118"/>
        <v>0</v>
      </c>
      <c r="FE62" s="22">
        <f t="shared" si="119"/>
        <v>0</v>
      </c>
      <c r="FF62" s="22">
        <f t="shared" si="120"/>
        <v>0</v>
      </c>
      <c r="FG62" s="22">
        <f t="shared" si="121"/>
        <v>0</v>
      </c>
      <c r="FH62" s="22">
        <f t="shared" si="122"/>
        <v>0</v>
      </c>
      <c r="FI62" s="22">
        <f t="shared" si="123"/>
        <v>0</v>
      </c>
      <c r="FJ62" s="22">
        <f t="shared" si="124"/>
        <v>0</v>
      </c>
      <c r="FK62" s="22">
        <f t="shared" si="125"/>
        <v>0</v>
      </c>
    </row>
    <row r="63" spans="1:167" x14ac:dyDescent="0.2">
      <c r="A63" s="9" t="s">
        <v>1134</v>
      </c>
      <c r="B63" s="9" t="s">
        <v>301</v>
      </c>
      <c r="C63" s="11">
        <v>2</v>
      </c>
      <c r="D63" s="9" t="s">
        <v>894</v>
      </c>
      <c r="E63" s="16" t="s">
        <v>52</v>
      </c>
      <c r="F63" s="9"/>
      <c r="G63" s="9"/>
      <c r="H63" s="9" t="s">
        <v>1128</v>
      </c>
      <c r="I63" s="16" t="s">
        <v>60</v>
      </c>
      <c r="J63" s="16"/>
      <c r="K63" s="9"/>
      <c r="L63" s="16"/>
      <c r="M63" s="16"/>
      <c r="N63" s="16"/>
      <c r="O63" s="9"/>
      <c r="P63" s="14"/>
      <c r="Q63" s="14"/>
      <c r="R63" s="9"/>
      <c r="S63" s="9"/>
      <c r="T63" s="21" t="str">
        <f t="shared" si="63"/>
        <v>1 calendar day</v>
      </c>
      <c r="U63" s="21" t="str">
        <f t="shared" si="64"/>
        <v>1 calendar day</v>
      </c>
      <c r="V63" s="21">
        <f t="shared" si="65"/>
        <v>1</v>
      </c>
      <c r="W63" s="21" t="str">
        <f t="shared" si="66"/>
        <v/>
      </c>
      <c r="X63" s="21" t="str">
        <f t="shared" si="67"/>
        <v/>
      </c>
      <c r="Y63" s="21" t="str">
        <f t="shared" si="68"/>
        <v>calendar days</v>
      </c>
      <c r="Z63" s="21" t="str">
        <f t="shared" si="69"/>
        <v>C2</v>
      </c>
      <c r="AA63" s="21" t="str">
        <f t="shared" si="70"/>
        <v>AFTER</v>
      </c>
      <c r="AB63" s="21" t="str">
        <f t="shared" si="71"/>
        <v/>
      </c>
      <c r="AC63" s="21" t="str">
        <f t="shared" si="72"/>
        <v/>
      </c>
      <c r="AD63" s="21" t="str">
        <f>IF(AW63=1,"",MID(IF(ISNUMBER(SEARCH("E_INVALID_DATE",EG63))," | E_INVALID_DATE: "&amp;SUBSTITUTE(IFERROR(INDEX(nMSG_Text,MATCH("E_INVALID_DATE",nMSG_Code,0)),""),"[input]",""),"")&amp;IF(ISNUMBER(SEARCH("E_REVERSED_BOUNDS",EG63))," | E_REVERSED_BOUNDS: "&amp;SUBSTITUTE(IFERROR(INDEX(nMSG_Text,MATCH("E_REVERSED_BOUNDS",nMSG_Code,0)),""),"[input]",""),"")&amp;IF(ISNUMBER(SEARCH("E_DUPLICATE_ID",EG63))," | E_DUPLICATE_ID: "&amp;SUBSTITUTE(IFERROR(INDEX(nMSG_Text,MATCH("E_DUPLICATE_ID",nMSG_Code,0)),""),"[input]",""),"")&amp;IF(ISNUMBER(SEARCH("E_MISSING_LINK",EG63))," | E_MISSING_LINK: "&amp;SUBSTITUTE(IFERROR(INDEX(nMSG_Text,MATCH("E_MISSING_LINK",nMSG_Code,0)),""),"[input]",""),"")&amp;IF(ISNUMBER(SEARCH("E_MISSING_INPUT",EG63))," | E_MISSING_INPUT: "&amp;SUBSTITUTE(IFERROR(INDEX(nMSG_Text,MATCH("E_MISSING_INPUT",nMSG_Code,0)),""),"[input]",IF(EH63="","an input",EH63)),"")&amp;IF(ISNUMBER(SEARCH("E_INVALID_UNIT",EG63))," | E_INVALID_UNIT: "&amp;SUBSTITUTE(IFERROR(INDEX(nMSG_Text,MATCH("E_INVALID_UNIT",nMSG_Code,0)),""),"[input]",""),"")&amp;IF(FD63=1," | W_TZ_UNKNOWN: "&amp;SUBSTITUTE(IFERROR(INDEX(nMSG_Text,MATCH("W_TZ_UNKNOWN",nMSG_Code,0)),""),"[input]",""),"")&amp;IF(FE63=1," | W_SAME_DATE_ORDER_UNKNOWN: "&amp;SUBSTITUTE(IFERROR(INDEX(nMSG_Text,MATCH("W_SAME_DATE_ORDER_UNKNOWN",nMSG_Code,0)),""),"[input]",""),"")&amp;IF(FF63=1," | W_SEQUENCE_UNCERTAIN: "&amp;SUBSTITUTE(IFERROR(INDEX(nMSG_Text,MATCH("W_SEQUENCE_UNCERTAIN",nMSG_Code,0)),""),"[input]",""),"")&amp;IF(FG63=1," | W_ADMIN_SAME_DATE_AS_ONSET: "&amp;SUBSTITUTE(IFERROR(INDEX(nMSG_Text,MATCH("W_ADMIN_SAME_DATE_AS_ONSET",nMSG_Code,0)),""),"[input]",""),"")&amp;IF(FH63=1," | W_REPORTED_TIMING_CONFLICT: "&amp;SUBSTITUTE(IFERROR(INDEX(nMSG_Text,MATCH("W_REPORTED_TIMING_CONFLICT",nMSG_Code,0)),""),"[input]",""),"")&amp;IF(FI63=1," | W_INTERVENTION_BEFORE_RECOVERY: "&amp;SUBSTITUTE(IFERROR(INDEX(nMSG_Text,MATCH("W_INTERVENTION_BEFORE_RECOVERY",nMSG_Code,0)),""),"[input]",""),"")&amp;IF(FJ63=1," | I_TREATMENT_DAY_UNDEFINED: "&amp;SUBSTITUTE(IFERROR(INDEX(nMSG_Text,MATCH("I_TREATMENT_DAY_UNDEFINED",nMSG_Code,0)),""),"[input]",""),"")&amp;IF(FK63=1," | I_APPROXIMATE_NOT_COMPARED: "&amp;SUBSTITUTE(IFERROR(INDEX(nMSG_Text,MATCH("I_APPROXIMATE_NOT_COMPARED",nMSG_Code,0)),""),"[input]",""),""),4,9999))</f>
        <v/>
      </c>
      <c r="AE63" s="21" t="str">
        <f t="shared" si="73"/>
        <v/>
      </c>
      <c r="AF63" s="21" t="str">
        <f t="shared" si="74"/>
        <v/>
      </c>
      <c r="AG63" s="21" t="str">
        <f>IF(EN63="","",MID(IF(ISNUMBER(SEARCH("E_REVERSED_BOUNDS",EN63))," | E_REVERSED_BOUNDS: "&amp;SUBSTITUTE(IFERROR(INDEX(nMSG_Text,MATCH("E_REVERSED_BOUNDS",nMSG_Code,0)),""),"[input]",""),"")&amp;IF(ISNUMBER(SEARCH("E_MISSING_INPUT",EN63))," | E_MISSING_INPUT: "&amp;SUBSTITUTE(IFERROR(INDEX(nMSG_Text,MATCH("E_MISSING_INPUT",nMSG_Code,0)),""),"[input]",IF("the source of the constraint"="","an input","the source of the constraint")),""),4,999))</f>
        <v/>
      </c>
      <c r="AH63" s="21" t="str">
        <f t="shared" si="75"/>
        <v/>
      </c>
      <c r="AI63" s="21" t="str">
        <f t="shared" si="76"/>
        <v>ADM-DIG-LAST → EV-1/ONSET</v>
      </c>
      <c r="AJ63" s="21" t="str">
        <f t="shared" si="77"/>
        <v>ADM-DIG-LAST</v>
      </c>
      <c r="AK63" s="21" t="str">
        <f t="shared" si="78"/>
        <v>EV-1/ONSET</v>
      </c>
      <c r="AL63" s="21" t="str">
        <f>IF(CY63=0,"",INDEX(nTP_ISO,CY63))</f>
        <v>2026-07-04T08:00</v>
      </c>
      <c r="AM63" s="21" t="str">
        <f>IF(CY63=0,"",INDEX(nTP_Display,CY63))</f>
        <v>4 July 2026 08:00 (offset unknown)</v>
      </c>
      <c r="AN63" s="21" t="str">
        <f>IF(BI63=0,"",INDEX(nTP_ISO,BI63))</f>
        <v>2026-07-05</v>
      </c>
      <c r="AO63" s="21" t="str">
        <f>IF(BI63=0,"",INDEX(nTP_Display,BI63))</f>
        <v>5 July 2026</v>
      </c>
      <c r="AP63" s="21" t="str">
        <f>IF(BA63=0,"",INDEX(nLNK_Exposure_Episode_ID,BA63)&amp;"")</f>
        <v>EX-DIG</v>
      </c>
      <c r="AQ63" s="21" t="str">
        <f>IF(BA63=0,"",INDEX(nLNK_Event_Episode_ID,BA63)&amp;"")</f>
        <v>EV-1</v>
      </c>
      <c r="AR63" s="21" t="str">
        <f t="shared" si="79"/>
        <v>Anchor (LAST_DOSE_BEFORE_ONSET) ADM-DIG-LAST: 2026-07-04T08:00 [timestamp, offset unknown; case measurement; original: "Took last digoxin yesterday morning, about 08:00"; source: Emergency department note, 5 July 2026] | End point EV-1/ONSET: 2026-07-05 [day; case measurement; original: "Nausea since this morning, dizzy, pulse 38"; source: Emergency department note]</v>
      </c>
      <c r="AS63" s="21" t="str">
        <f>IF(EI63=0,"",MID(IF(DT63=1," | Recovery interval (C7) computed with "&amp;DS63&amp;".","")&amp;IF(BG63=1," | Anchor selected under C5 (CALC-SPEC 1.1): latest administration with an exact date or time at or before "&amp;IF(BH63=1,"onset","the end point")&amp;" ("&amp;AJ63&amp;"), ordered in UTC when offsets are known; later administrations are never selected.","")&amp;IF(AND(BG63=1,CE63&gt;0)," | Partial-date administrations wholly before the selected one were not candidates: "&amp;FC63&amp;".","")&amp;IF(BV63&lt;&gt;""," | "&amp;BV63,"")&amp;IF(AND(DS63="C2",EA63=0,DZ63&lt;&gt;"")," | Same calendar date; both times are known, so C1 decides the order ("&amp;AA63&amp;").","")&amp;IF(AND(DS63="C2",DD63*BN63=1,DT63=0)," | Calendar-date difference from the recorded local dates; it is never described as elapsed days.","")&amp;IF(AND(DS63="C4",DT63=0)," | Bounds are treated as independent; no single date is imputed from them.","")&amp;IF(EJ63=1," | Treatment day under the inclusive convention (C3); never written to E2B fields automatically.","")&amp;IF(AND(DS63="C4",DT63=0,EK63=0)," | No constraint applied.","")&amp;IF(AND(DS63="C4",EK63=1)," | Constraint applied to the anchor bounds: "&amp;IF(ISNUMBER(P63),"not before "&amp;DAY(P63)&amp;" "&amp;INDEX(nLIST_Months,MONTH(P63))&amp;" "&amp;YEAR(P63),"")&amp;IF(AND(ISNUMBER(P63),ISNUMBER(Q63)),", ","")&amp;IF(ISNUMBER(Q63),"not after "&amp;DAY(Q63)&amp;" "&amp;INDEX(nLIST_Months,MONTH(Q63))&amp;" "&amp;YEAR(Q63),"")&amp;". Source: "&amp;IF(R63="","not recorded",R63)&amp;IF(EN63="",". Constrained result shown beside the unconstrained one.",". Constrained result blocked ("&amp;EN63&amp;")."),"")&amp;IF(DT63=1,IF(EO63&gt;0," | Intervention recorded between cessation and recovery (ends included): "&amp;EZ63&amp;"."," | No intervention is recorded between cessation and recovery; absence of a record is not evidence that none was given."),"")&amp;IF(AND(DT63=1,DV63&gt;0)," | Intervention recorded without a date, so whether it came before recovery is unknown: "&amp;INDEX(nMS_Milestone_ID,MATCH(1,INDEX((nMS_CaseKey=AX63)*(nMS_Type="INTERVENTION")*nMS_Undated,0),0))&amp;IF(DV63&gt;1," and "&amp;(DV63-1)&amp;" more","")&amp;".","")&amp;IF(AND(DT63=1,EP63&gt;0)," | Not counted as interventions, because they are recorded as exposures rather than as intervention milestones (nothing is inferred): "&amp;FB63&amp;". If treatment was given, record it as an intervention milestone.",""),4,9999))</f>
        <v>Anchor selected under C5 (CALC-SPEC 1.1): latest administration with an exact date or time at or before onset (ADM-DIG-LAST), ordered in UTC when offsets are known; later administrations are never selected.</v>
      </c>
      <c r="AT63" s="21" t="str">
        <f t="shared" si="80"/>
        <v>The interval describes the sequence and spacing of recorded times; it is not evidence of causation.</v>
      </c>
      <c r="AU63" s="21" t="str">
        <f t="shared" si="81"/>
        <v/>
      </c>
      <c r="AV63" s="21" t="str">
        <f t="shared" si="82"/>
        <v>CALC-SPEC 1.1</v>
      </c>
      <c r="AW63" s="22">
        <f t="shared" si="83"/>
        <v>0</v>
      </c>
      <c r="AX63" s="21" t="str">
        <f t="shared" si="84"/>
        <v>EX-C04|2</v>
      </c>
      <c r="AY63" s="21" t="str">
        <f t="shared" si="85"/>
        <v>EX-C04|2|I04</v>
      </c>
      <c r="AZ63" s="22">
        <f>IF(AY63="",0,COUNTIF(nINT_Key,AY63))</f>
        <v>1</v>
      </c>
      <c r="BA63" s="22">
        <f>IF(D63="",0,IFERROR(MATCH(AX63&amp;"|"&amp;D63,nLNK_Key,0),0))</f>
        <v>25</v>
      </c>
      <c r="BB63" s="22">
        <f>IF(BA63=0,1,INDEX(nLNK_Exp_Found,BA63))</f>
        <v>1</v>
      </c>
      <c r="BC63" s="22">
        <f>IF(BA63=0,1,INDEX(nLNK_Evt_Found,BA63))</f>
        <v>1</v>
      </c>
      <c r="BD63" s="22">
        <f>IF(AP63="",0,COUNTIF(nEXP_Key,AX63&amp;"|"&amp;AP63))</f>
        <v>1</v>
      </c>
      <c r="BE63" s="22">
        <f>IF(AQ63="",0,COUNTIF(nEVT_Key,AX63&amp;"|"&amp;AQ63))</f>
        <v>1</v>
      </c>
      <c r="BF63" s="22">
        <f>IF(ISNA(MATCH(E63,nLIST_AnchorType,0)),0,1)</f>
        <v>1</v>
      </c>
      <c r="BG63" s="22">
        <f t="shared" si="86"/>
        <v>1</v>
      </c>
      <c r="BH63" s="22">
        <f t="shared" si="87"/>
        <v>1</v>
      </c>
      <c r="BI63" s="22">
        <f>IF(OR(AW63=1,AK63=""),0,IFERROR(MATCH(AX63&amp;"|"&amp;AK63,nTP_Key,0),0))</f>
        <v>313</v>
      </c>
      <c r="BJ63" s="21">
        <f>IF(BI63=0,0,INDEX(nTP_Dup,BI63))</f>
        <v>1</v>
      </c>
      <c r="BK63" s="21" t="str">
        <f>IF(BI63=0,"",INDEX(nTP_Record_Type,BI63))</f>
        <v>EVENT_ONSET</v>
      </c>
      <c r="BL63" s="21" t="str">
        <f>IF(BI63=0,"",INDEX(nTP_Precision,BI63))</f>
        <v>DATE</v>
      </c>
      <c r="BM63" s="21" t="str">
        <f>IF(BI63=0,"",INDEX(nTP_Err,BI63))</f>
        <v/>
      </c>
      <c r="BN63" s="21">
        <f>IF(BI63=0,0,INDEX(nTP_HT,BI63))</f>
        <v>0</v>
      </c>
      <c r="BO63" s="21">
        <f>IF(BI63=0,0,INDEX(nTP_OK,BI63))</f>
        <v>0</v>
      </c>
      <c r="BP63" s="21" t="str">
        <f>IF(BI63=0,"",INDEX(nTP_Loc,BI63))</f>
        <v/>
      </c>
      <c r="BQ63" s="21" t="str">
        <f>IF(BI63=0,"",INDEX(nTP_UTC,BI63))</f>
        <v/>
      </c>
      <c r="BR63" s="21">
        <f>IF(BI63=0,"",INDEX(nTP_Lo,BI63))</f>
        <v>46208</v>
      </c>
      <c r="BS63" s="21">
        <f>IF(BI63=0,"",INDEX(nTP_Hi,BI63))</f>
        <v>46208</v>
      </c>
      <c r="BT63" s="21" t="str">
        <f>IF(BI63=0,"",INDEX(nTP_Original_Text,BI63))</f>
        <v>Nausea since this morning, dizzy, pulse 38</v>
      </c>
      <c r="BU63" s="21" t="str">
        <f>IF(BI63=0,"",INDEX(nTP_Source,BI63))</f>
        <v>Emergency department note</v>
      </c>
      <c r="BV63" s="21" t="str">
        <f>IF(BI63=0,"",INDEX(nTP_Lab_Note,BI63))</f>
        <v/>
      </c>
      <c r="BW63" s="22">
        <f t="shared" si="88"/>
        <v>1</v>
      </c>
      <c r="BX63" s="21" t="str">
        <f t="shared" si="89"/>
        <v>EX-C04|2|EX-DIG</v>
      </c>
      <c r="BY63" s="22">
        <f>IF(BG63=0,0,COUNTIF(nTP_CandKey,BX63))</f>
        <v>2</v>
      </c>
      <c r="BZ63" s="22">
        <f>IF(BG63=0,0,COUNTIFS(nTP_CandKey,BX63,nTP_Err,""))</f>
        <v>2</v>
      </c>
      <c r="CA63" s="21" t="str">
        <f>IF(BY63=BZ63,"",IF(COUNTIFS(nTP_CandKey,BX63,nTP_Err,"E_INVALID_DATE")&gt;0,"; E_INVALID_DATE","")&amp;IF(COUNTIFS(nTP_CandKey,BX63,nTP_Err,"E_REVERSED_BOUNDS")&gt;0,"; E_REVERSED_BOUNDS","")&amp;IF(COUNTIFS(nTP_CandKey,BX63,nTP_Err,"E_MISSING_INPUT")&gt;0,"; E_MISSING_INPUT","")&amp;IF(COUNTIFS(nTP_CandKey,BX63,nTP_Err,"E_INVALID_UNIT")&gt;0,"; E_INVALID_UNIT",""))</f>
        <v/>
      </c>
      <c r="CB63" s="22">
        <f t="shared" si="90"/>
        <v>1</v>
      </c>
      <c r="CC63" s="22">
        <f>IF(CB63=0,0,SUMPRODUCT((nTP_CandKey=BX63)*(nTP_Err="")*(1-(nTP_HT*BN63*((nTP_OK*BO63*(nTP_UTC_n-N(BQ63))+(1-nTP_OK*BO63)*(nTP_Loc_n-N(BP63)))&lt;=0)+(1-nTP_HT*BN63)*(nTP_Hi_n&lt;N(BR63)))-(nTP_HT*BN63*((nTP_OK*BO63*(nTP_UTC_n-N(BQ63))+(1-nTP_OK*BO63)*(nTP_Loc_n-N(BP63)))&gt;0)+(1-nTP_HT*BN63)*(nTP_Lo_n&gt;N(BS63)))-((1-nTP_HT*BN63)*(nTP_Lo_n=nTP_Hi_n)*(nTP_Lo_n=N(BR63))*(N(BR63)=N(BS63))))))</f>
        <v>0</v>
      </c>
      <c r="CD63" s="22">
        <f>IF(CB63=0,0,SUMPRODUCT((nTP_CandKey=BX63)*nTP_Exact*((nTP_HT*BN63*((nTP_OK*BO63*(nTP_UTC_n-N(BQ63))+(1-nTP_OK*BO63)*(nTP_Loc_n-N(BP63)))&lt;=0)+(1-nTP_HT*BN63)*(nTP_Hi_n&lt;N(BR63)))+((1-nTP_HT*BN63)*(nTP_Lo_n=nTP_Hi_n)*(nTP_Lo_n=N(BR63))*(N(BR63)=N(BS63))))))</f>
        <v>2</v>
      </c>
      <c r="CE63" s="22">
        <f>IF(CB63=0,0,SUMPRODUCT((nTP_CandKey=BX63)*(nTP_Err="")*(1-nTP_Exact)*((nTP_HT*BN63*((nTP_OK*BO63*(nTP_UTC_n-N(BQ63))+(1-nTP_OK*BO63)*(nTP_Loc_n-N(BP63)))&lt;=0)+(1-nTP_HT*BN63)*(nTP_Hi_n&lt;N(BR63)))+((1-nTP_HT*BN63)*(nTP_Lo_n=nTP_Hi_n)*(nTP_Lo_n=N(BR63))*(N(BR63)=N(BS63))))))</f>
        <v>0</v>
      </c>
      <c r="CF63" s="22">
        <f>IF(CD63=0,0,SUMPRODUCT(MAX((nTP_CandKey=BX63)*nTP_Exact*((nTP_HT*BN63*((nTP_OK*BO63*(nTP_UTC_n-N(BQ63))+(1-nTP_OK*BO63)*(nTP_Loc_n-N(BP63)))&lt;=0)+(1-nTP_HT*BN63)*(nTP_Hi_n&lt;N(BR63)))+((1-nTP_HT*BN63)*(nTP_Lo_n=nTP_Hi_n)*(nTP_Lo_n=N(BR63))*(N(BR63)=N(BS63))))*nTP_Lo_n)))</f>
        <v>46207</v>
      </c>
      <c r="CG63" s="22">
        <f>IF(CD63=0,0,SUMPRODUCT((nTP_CandKey=BX63)*nTP_Exact*((nTP_HT*BN63*((nTP_OK*BO63*(nTP_UTC_n-N(BQ63))+(1-nTP_OK*BO63)*(nTP_Loc_n-N(BP63)))&lt;=0)+(1-nTP_HT*BN63)*(nTP_Hi_n&lt;N(BR63)))+((1-nTP_HT*BN63)*(nTP_Lo_n=nTP_Hi_n)*(nTP_Lo_n=N(BR63))*(N(BR63)=N(BS63))))*(nTP_Lo_n=CF63)))</f>
        <v>1</v>
      </c>
      <c r="CH63" s="22">
        <f>IF(CD63=0,0,SUMPRODUCT((nTP_CandKey=BX63)*nTP_Exact*((nTP_HT*BN63*((nTP_OK*BO63*(nTP_UTC_n-N(BQ63))+(1-nTP_OK*BO63)*(nTP_Loc_n-N(BP63)))&lt;=0)+(1-nTP_HT*BN63)*(nTP_Hi_n&lt;N(BR63)))+((1-nTP_HT*BN63)*(nTP_Lo_n=nTP_Hi_n)*(nTP_Lo_n=N(BR63))*(N(BR63)=N(BS63))))*(1-nTP_HT)*(nTP_Lo_n=CF63)))</f>
        <v>0</v>
      </c>
      <c r="CI63" s="22">
        <f>IF(CD63=0,0,SUMPRODUCT(MAX((nTP_CandKey=BX63)*nTP_Exact*((nTP_HT*BN63*((nTP_OK*BO63*(nTP_UTC_n-N(BQ63))+(1-nTP_OK*BO63)*(nTP_Loc_n-N(BP63)))&lt;=0)+(1-nTP_HT*BN63)*(nTP_Hi_n&lt;N(BR63)))+((1-nTP_HT*BN63)*(nTP_Lo_n=nTP_Hi_n)*(nTP_Lo_n=N(BR63))*(N(BR63)=N(BS63))))*(1-nTP_HT)*nTP_Lo_n)))</f>
        <v>46023</v>
      </c>
      <c r="CJ63" s="22">
        <f>IF(CD63=0,0,SUMPRODUCT(MAX((nTP_CandKey=BX63)*nTP_Exact*((nTP_HT*BN63*((nTP_OK*BO63*(nTP_UTC_n-N(BQ63))+(1-nTP_OK*BO63)*(nTP_Loc_n-N(BP63)))&lt;=0)+(1-nTP_HT*BN63)*(nTP_Hi_n&lt;N(BR63)))+((1-nTP_HT*BN63)*(nTP_Lo_n=nTP_Hi_n)*(nTP_Lo_n=N(BR63))*(N(BR63)=N(BS63))))*nTP_HT*nTP_OK*nTP_UTC_n)))</f>
        <v>0</v>
      </c>
      <c r="CK63" s="22">
        <f>IF(CJ63=0,0,SUMPRODUCT((nTP_CandKey=BX63)*nTP_Exact*((nTP_HT*BN63*((nTP_OK*BO63*(nTP_UTC_n-N(BQ63))+(1-nTP_OK*BO63)*(nTP_Loc_n-N(BP63)))&lt;=0)+(1-nTP_HT*BN63)*(nTP_Hi_n&lt;N(BR63)))+((1-nTP_HT*BN63)*(nTP_Lo_n=nTP_Hi_n)*(nTP_Lo_n=N(BR63))*(N(BR63)=N(BS63))))*nTP_HT*nTP_OK*(nTP_UTC_n=CJ63)))</f>
        <v>0</v>
      </c>
      <c r="CL63" s="22">
        <f>IF(CK63&lt;&gt;1,0,SUMPRODUCT((nTP_CandKey=BX63)*nTP_Exact*((nTP_HT*BN63*((nTP_OK*BO63*(nTP_UTC_n-N(BQ63))+(1-nTP_OK*BO63)*(nTP_Loc_n-N(BP63)))&lt;=0)+(1-nTP_HT*BN63)*(nTP_Hi_n&lt;N(BR63)))+((1-nTP_HT*BN63)*(nTP_Lo_n=nTP_Hi_n)*(nTP_Lo_n=N(BR63))*(N(BR63)=N(BS63))))*nTP_HT*nTP_OK*(nTP_UTC_n=CJ63)*nTP_Loc_n))</f>
        <v>0</v>
      </c>
      <c r="CM63" s="22">
        <f>IF(CK63&lt;&gt;1,0,SUMPRODUCT((nTP_CandKey=BX63)*nTP_Exact*((nTP_HT*BN63*((nTP_OK*BO63*(nTP_UTC_n-N(BQ63))+(1-nTP_OK*BO63)*(nTP_Loc_n-N(BP63)))&lt;=0)+(1-nTP_HT*BN63)*(nTP_Hi_n&lt;N(BR63)))+((1-nTP_HT*BN63)*(nTP_Lo_n=nTP_Hi_n)*(nTP_Lo_n=N(BR63))*(N(BR63)=N(BS63))))*nTP_HT*nTP_OK*(nTP_UTC_n=CJ63)*nTP_Lo_n))</f>
        <v>0</v>
      </c>
      <c r="CN63" s="22">
        <f>IF(CD63=0,0,SUMPRODUCT(MAX((nTP_CandKey=BX63)*nTP_Exact*((nTP_HT*BN63*((nTP_OK*BO63*(nTP_UTC_n-N(BQ63))+(1-nTP_OK*BO63)*(nTP_Loc_n-N(BP63)))&lt;=0)+(1-nTP_HT*BN63)*(nTP_Hi_n&lt;N(BR63)))+((1-nTP_HT*BN63)*(nTP_Lo_n=nTP_Hi_n)*(nTP_Lo_n=N(BR63))*(N(BR63)=N(BS63))))*nTP_HT*(1-nTP_OK)*nTP_Loc_n)))</f>
        <v>66538560</v>
      </c>
      <c r="CO63" s="22">
        <f>IF(CN63=0,0,SUMPRODUCT((nTP_CandKey=BX63)*nTP_Exact*((nTP_HT*BN63*((nTP_OK*BO63*(nTP_UTC_n-N(BQ63))+(1-nTP_OK*BO63)*(nTP_Loc_n-N(BP63)))&lt;=0)+(1-nTP_HT*BN63)*(nTP_Hi_n&lt;N(BR63)))+((1-nTP_HT*BN63)*(nTP_Lo_n=nTP_Hi_n)*(nTP_Lo_n=N(BR63))*(N(BR63)=N(BS63))))*nTP_HT*(1-nTP_OK)*(nTP_Loc_n=CN63)))</f>
        <v>1</v>
      </c>
      <c r="CP63" s="22">
        <f>IF(CO63&lt;&gt;1,0,SUMPRODUCT((nTP_CandKey=BX63)*nTP_Exact*((nTP_HT*BN63*((nTP_OK*BO63*(nTP_UTC_n-N(BQ63))+(1-nTP_OK*BO63)*(nTP_Loc_n-N(BP63)))&lt;=0)+(1-nTP_HT*BN63)*(nTP_Hi_n&lt;N(BR63)))+((1-nTP_HT*BN63)*(nTP_Lo_n=nTP_Hi_n)*(nTP_Lo_n=N(BR63))*(N(BR63)=N(BS63))))*nTP_HT*(1-nTP_OK)*(nTP_Loc_n=CN63)*nTP_Lo_n))</f>
        <v>46207</v>
      </c>
      <c r="CQ63" s="22">
        <f>IF(CD63=0,0,SUMPRODUCT(MAX((nTP_CandKey=BX63)*nTP_Exact*((nTP_HT*BN63*((nTP_OK*BO63*(nTP_UTC_n-N(BQ63))+(1-nTP_OK*BO63)*(nTP_Loc_n-N(BP63)))&lt;=0)+(1-nTP_HT*BN63)*(nTP_Hi_n&lt;N(BR63)))+((1-nTP_HT*BN63)*(nTP_Lo_n=nTP_Hi_n)*(nTP_Lo_n=N(BR63))*(N(BR63)=N(BS63))))*nTP_HT*nTP_OK*nTP_Loc_n)))</f>
        <v>0</v>
      </c>
      <c r="CR63" s="22">
        <f t="shared" si="91"/>
        <v>3</v>
      </c>
      <c r="CS63" s="22">
        <f>IF(CR63=0,0,IF(CR63=1,MATCH(1,INDEX((nTP_CandKey=BX63)*nTP_Exact*((nTP_HT*BN63*((nTP_OK*BO63*(nTP_UTC_n-N(BQ63))+(1-nTP_OK*BO63)*(nTP_Loc_n-N(BP63)))&lt;=0)+(1-nTP_HT*BN63)*(nTP_Hi_n&lt;N(BR63)))+((1-nTP_HT*BN63)*(nTP_Lo_n=nTP_Hi_n)*(nTP_Lo_n=N(BR63))*(N(BR63)=N(BS63))))*(1-nTP_HT)*(nTP_Lo_n=CF63),0),0),IF(CR63=2,MATCH(1,INDEX((nTP_CandKey=BX63)*nTP_Exact*((nTP_HT*BN63*((nTP_OK*BO63*(nTP_UTC_n-N(BQ63))+(1-nTP_OK*BO63)*(nTP_Loc_n-N(BP63)))&lt;=0)+(1-nTP_HT*BN63)*(nTP_Hi_n&lt;N(BR63)))+((1-nTP_HT*BN63)*(nTP_Lo_n=nTP_Hi_n)*(nTP_Lo_n=N(BR63))*(N(BR63)=N(BS63))))*nTP_HT*nTP_OK*(nTP_UTC_n=CJ63),0),0),MATCH(1,INDEX((nTP_CandKey=BX63)*nTP_Exact*((nTP_HT*BN63*((nTP_OK*BO63*(nTP_UTC_n-N(BQ63))+(1-nTP_OK*BO63)*(nTP_Loc_n-N(BP63)))&lt;=0)+(1-nTP_HT*BN63)*(nTP_Hi_n&lt;N(BR63)))+((1-nTP_HT*BN63)*(nTP_Lo_n=nTP_Hi_n)*(nTP_Lo_n=N(BR63))*(N(BR63)=N(BS63))))*nTP_HT*(1-nTP_OK)*(nTP_Loc_n=CN63),0),0))))</f>
        <v>279</v>
      </c>
      <c r="CT63" s="22">
        <f>IF(CS63=0,0,INDEX(nTP_Lo_n,CS63))</f>
        <v>46207</v>
      </c>
      <c r="CU63" s="22">
        <f>IF(CS63=0,0,SUMPRODUCT((nTP_CandKey=BX63)*(nTP_Err="")*(1-nTP_Exact)*((nTP_HT*BN63*((nTP_OK*BO63*(nTP_UTC_n-N(BQ63))+(1-nTP_OK*BO63)*(nTP_Loc_n-N(BP63)))&lt;=0)+(1-nTP_HT*BN63)*(nTP_Hi_n&lt;N(BR63)))+((1-nTP_HT*BN63)*(nTP_Lo_n=nTP_Hi_n)*(nTP_Lo_n=N(BR63))*(N(BR63)=N(BS63))))*(nTP_Hi_n&gt;=CT63)))</f>
        <v>0</v>
      </c>
      <c r="CV63" s="21" t="str">
        <f t="shared" si="92"/>
        <v/>
      </c>
      <c r="CW63" s="21" t="str">
        <f>IF(AND(BG63=1,CB63=1,CV63="",CS63&gt;0),INDEX(nTP_Record_ID,CS63)&amp;"","")</f>
        <v>ADM-DIG-LAST</v>
      </c>
      <c r="CX63" s="21" t="str">
        <f>IF(OR(CV63="",BG63=0),"",IF(CV63="none","an administration record (last dose before onset)",IF(CV63="uncertain","the anchor record: "&amp;INDEX(nTP_Record_ID,MATCH(1,INDEX((nTP_CandKey=BX63)*(nTP_Err="")*(1-(nTP_HT*BN63*((nTP_OK*BO63*(nTP_UTC_n-N(BQ63))+(1-nTP_OK*BO63)*(nTP_Loc_n-N(BP63)))&lt;=0)+(1-nTP_HT*BN63)*(nTP_Hi_n&lt;N(BR63)))-(nTP_HT*BN63*((nTP_OK*BO63*(nTP_UTC_n-N(BQ63))+(1-nTP_OK*BO63)*(nTP_Loc_n-N(BP63)))&gt;0)+(1-nTP_HT*BN63)*(nTP_Lo_n&gt;N(BS63)))-((1-nTP_HT*BN63)*(nTP_Lo_n=nTP_Hi_n)*(nTP_Lo_n=N(BR63))*(N(BR63)=N(BS63)))),0),0))&amp;IF(CC63&gt;1," and "&amp;(CC63-1)&amp;" more","")&amp;" may fall before or after the end point, so the last dose cannot be identified from the recorded dates",IF(CV63="noneligible","the anchor record: no administration with an exact date is recorded at or before the end point",IF(CV63="tie","the anchor record: the order of the latest administrations cannot be told from the recorded dates and times","the anchor record: partial-date administration "&amp;INDEX(nTP_Record_ID,MATCH(1,INDEX((nTP_CandKey=BX63)*(nTP_Err="")*(1-nTP_Exact)*((nTP_HT*BN63*((nTP_OK*BO63*(nTP_UTC_n-N(BQ63))+(1-nTP_OK*BO63)*(nTP_Loc_n-N(BP63)))&lt;=0)+(1-nTP_HT*BN63)*(nTP_Hi_n&lt;N(BR63)))+((1-nTP_HT*BN63)*(nTP_Lo_n=nTP_Hi_n)*(nTP_Lo_n=N(BR63))*(N(BR63)=N(BS63))))*(nTP_Hi_n&gt;=CT63),0),0))&amp;" could be the last dose before the end point")))))</f>
        <v/>
      </c>
      <c r="CY63" s="22">
        <f>IF(OR(AW63=1,AJ63=""),0,IFERROR(MATCH(AX63&amp;"|"&amp;AJ63,nTP_Key,0),0))</f>
        <v>279</v>
      </c>
      <c r="CZ63" s="21">
        <f>IF(CY63=0,0,INDEX(nTP_Dup,CY63))</f>
        <v>1</v>
      </c>
      <c r="DA63" s="21" t="str">
        <f>IF(CY63=0,"",INDEX(nTP_Record_Type,CY63))</f>
        <v>ADMINISTRATION</v>
      </c>
      <c r="DB63" s="21" t="str">
        <f>IF(CY63=0,"",INDEX(nTP_Precision,CY63))</f>
        <v>TIMESTAMP</v>
      </c>
      <c r="DC63" s="21" t="str">
        <f>IF(CY63=0,"",INDEX(nTP_Err,CY63))</f>
        <v/>
      </c>
      <c r="DD63" s="21">
        <f>IF(CY63=0,0,INDEX(nTP_HT,CY63))</f>
        <v>1</v>
      </c>
      <c r="DE63" s="21">
        <f>IF(CY63=0,0,INDEX(nTP_OK,CY63))</f>
        <v>0</v>
      </c>
      <c r="DF63" s="21">
        <f>IF(CY63=0,"",INDEX(nTP_Loc,CY63))</f>
        <v>66538560</v>
      </c>
      <c r="DG63" s="21" t="str">
        <f>IF(CY63=0,"",INDEX(nTP_UTC,CY63))</f>
        <v/>
      </c>
      <c r="DH63" s="21">
        <f>IF(CY63=0,"",INDEX(nTP_Lo,CY63))</f>
        <v>46207</v>
      </c>
      <c r="DI63" s="21">
        <f>IF(CY63=0,"",INDEX(nTP_Hi,CY63))</f>
        <v>46207</v>
      </c>
      <c r="DJ63" s="21" t="str">
        <f>IF(CY63=0,"",INDEX(nTP_Original_Text,CY63))</f>
        <v>Took last digoxin yesterday morning, about 08:00</v>
      </c>
      <c r="DK63" s="21" t="str">
        <f>IF(CY63=0,"",INDEX(nTP_Source,CY63))</f>
        <v>Emergency department note, 5 July 2026</v>
      </c>
      <c r="DL63" s="22">
        <f t="shared" si="93"/>
        <v>1</v>
      </c>
      <c r="DM63" s="21" t="str">
        <f t="shared" si="94"/>
        <v/>
      </c>
      <c r="DN63" s="21" t="str">
        <f t="shared" si="95"/>
        <v/>
      </c>
      <c r="DO63" s="21" t="str">
        <f t="shared" si="96"/>
        <v/>
      </c>
      <c r="DP63" s="21" t="str">
        <f t="shared" si="97"/>
        <v/>
      </c>
      <c r="DQ63" s="21" t="str">
        <f t="shared" si="98"/>
        <v>C2</v>
      </c>
      <c r="DR63" s="22">
        <f>IF(OR(DQ63="",I63=""),0,IF(ISNA(MATCH(I63,nLIST_Mode,0)),1,IF(AND(I63="C1",DQ63&lt;&gt;"C1"),1,IF(AND(I63="C2",DQ63="C4"),1,0))))</f>
        <v>0</v>
      </c>
      <c r="DS63" s="21" t="str">
        <f t="shared" si="99"/>
        <v>C2</v>
      </c>
      <c r="DT63" s="22">
        <f t="shared" si="100"/>
        <v>0</v>
      </c>
      <c r="DU63" s="21" t="str">
        <f>IF(DT63=0,"",IF(COUNTIFS(nTP_Case_Key,AX63,nTP_Record_Type,"MILESTONE:INTERVENTION",nTP_Err,"E_INVALID_DATE")&gt;0,"; E_INVALID_DATE","")&amp;IF(COUNTIFS(nTP_Case_Key,AX63,nTP_Record_Type,"MILESTONE:INTERVENTION",nTP_Err,"E_REVERSED_BOUNDS")&gt;0,"; E_REVERSED_BOUNDS","")&amp;IF(COUNTIFS(nTP_Case_Key,AX63,nTP_Record_Type,"MILESTONE:INTERVENTION",nTP_Err,"E_MISSING_INPUT")&gt;0,"; E_MISSING_INPUT","")&amp;IF(COUNTIFS(nTP_Case_Key,AX63,nTP_Record_Type,"MILESTONE:INTERVENTION",nTP_Err,"E_INVALID_UNIT")&gt;0,"; E_INVALID_UNIT",""))</f>
        <v/>
      </c>
      <c r="DV63" s="22">
        <f>IF(DT63=0,0,SUMPRODUCT((nMS_CaseKey=AX63)*(nMS_Type="INTERVENTION")*nMS_Undated))</f>
        <v>0</v>
      </c>
      <c r="DW63" s="21" t="str">
        <f t="shared" si="101"/>
        <v/>
      </c>
      <c r="DX63" s="21" t="str">
        <f t="shared" si="102"/>
        <v/>
      </c>
      <c r="DY63" s="22">
        <f t="shared" si="103"/>
        <v>1</v>
      </c>
      <c r="DZ63" s="21" t="str">
        <f t="shared" si="104"/>
        <v/>
      </c>
      <c r="EA63" s="21">
        <f t="shared" si="105"/>
        <v>1</v>
      </c>
      <c r="EB63" s="21" t="str">
        <f t="shared" si="106"/>
        <v/>
      </c>
      <c r="EC63" s="21" t="str">
        <f t="shared" si="107"/>
        <v/>
      </c>
      <c r="ED63" s="22">
        <f t="shared" si="108"/>
        <v>0</v>
      </c>
      <c r="EE63" s="22">
        <f t="shared" si="109"/>
        <v>0</v>
      </c>
      <c r="EF63" s="21" t="str">
        <f>IF(ED63=0,"",IF(OR(NOT(ISNUMBER(L63)),NOT(ISNUMBER(M63))),"I_APPROXIMATE_NOT_COMPARED",IF(AND(N63&lt;&gt;"",ISNA(MATCH(N63,nLIST_ReportedUnit,0))),"E_INVALID_UNIT",IF(N63="","E_MISSING_INPUT",IF(L63&gt;M63,"E_REVERSED_BOUNDS",IF(OR(N63="weeks",N63="months",N63="years"),"I_APPROXIMATE_NOT_COMPARED",IF(DX63&lt;&gt;"","",IF(EE63=0,"I_APPROXIMATE_NOT_COMPARED",IF(AND(L63*EE63&lt;=IF(DS63="C4",EC63,IF(DS63="C1",DZ63,EA63)),M63*EE63&gt;=IF(DS63="C4",EB63,IF(DS63="C1",DZ63,EA63))),"OVERLAP","W_REPORTED_TIMING_CONFLICT")))))))))</f>
        <v/>
      </c>
      <c r="EG63" s="21" t="str">
        <f t="shared" si="110"/>
        <v/>
      </c>
      <c r="EH63" s="21" t="str">
        <f t="shared" si="111"/>
        <v/>
      </c>
      <c r="EI63" s="22">
        <f t="shared" si="112"/>
        <v>1</v>
      </c>
      <c r="EJ63" s="22">
        <f t="shared" si="113"/>
        <v>0</v>
      </c>
      <c r="EK63" s="22">
        <f t="shared" si="114"/>
        <v>0</v>
      </c>
      <c r="EL63" s="28" t="str">
        <f t="shared" si="115"/>
        <v/>
      </c>
      <c r="EM63" s="28" t="str">
        <f t="shared" si="116"/>
        <v/>
      </c>
      <c r="EN63" s="21" t="str">
        <f t="shared" si="117"/>
        <v/>
      </c>
      <c r="EO63" s="22">
        <f>IF(OR(DT63=0,DX63&lt;&gt;""),0,SUMPRODUCT((nTP_Case_Key=AX63)*(nTP_Record_Type="MILESTONE:INTERVENTION")*(nTP_Err="")*(nTP_HT*DD63*BN63*(nTP_OK*DE63*(nTP_UTC_n&gt;=N(DG63))+(1-nTP_OK*DE63)*(nTP_Loc_n&gt;=N(DF63)))*(nTP_OK*BO63*(nTP_UTC_n&lt;=N(BQ63))+(1-nTP_OK*BO63)*(nTP_Loc_n&lt;=N(BP63)))+(1-nTP_HT*DD63*BN63)*(nTP_Hi_n&gt;=N(DH63))*(nTP_Lo_n&lt;=N(BS63)))))</f>
        <v>0</v>
      </c>
      <c r="EP63" s="22">
        <f>IF(OR(DT63=0,DX63&lt;&gt;""),0,SUMPRODUCT((nTP_Case_Key=AX63)*(nTP_Role="treatment of the event")*((nTP_Record_Type="EXPOSURE_START")+(nTP_Record_Type="ADMINISTRATION"))*(nTP_Err="")*(nTP_HT*DD63*BN63*(nTP_OK*DE63*(nTP_UTC_n&gt;=N(DG63))+(1-nTP_OK*DE63)*(nTP_Loc_n&gt;=N(DF63)))*(nTP_OK*BO63*(nTP_UTC_n&lt;=N(BQ63))+(1-nTP_OK*BO63)*(nTP_Loc_n&lt;=N(BP63)))+(1-nTP_HT*DD63*BN63)*(nTP_Hi_n&gt;=N(DH63))*(nTP_Lo_n&lt;=N(BS63)))))</f>
        <v>0</v>
      </c>
      <c r="EQ63" s="22">
        <f>IF(EO63&lt;1,0,IFERROR(_xlfn.AGGREGATE(15,6,nTP_RowN/((nTP_Case_Key=AX63)*(nTP_Record_Type="MILESTONE:INTERVENTION")*(nTP_Err="")*(nTP_HT*DD63*BN63*(nTP_OK*DE63*(nTP_UTC_n&gt;=N(DG63))+(1-nTP_OK*DE63)*(nTP_Loc_n&gt;=N(DF63)))*(nTP_OK*BO63*(nTP_UTC_n&lt;=N(BQ63))+(1-nTP_OK*BO63)*(nTP_Loc_n&lt;=N(BP63)))+(1-nTP_HT*DD63*BN63)*(nTP_Hi_n&gt;=N(DH63))*(nTP_Lo_n&lt;=N(BS63)))),1),0))</f>
        <v>0</v>
      </c>
      <c r="ER63" s="22">
        <f>IF(EO63&lt;2,0,IFERROR(_xlfn.AGGREGATE(15,6,nTP_RowN/((nTP_Case_Key=AX63)*(nTP_Record_Type="MILESTONE:INTERVENTION")*(nTP_Err="")*(nTP_HT*DD63*BN63*(nTP_OK*DE63*(nTP_UTC_n&gt;=N(DG63))+(1-nTP_OK*DE63)*(nTP_Loc_n&gt;=N(DF63)))*(nTP_OK*BO63*(nTP_UTC_n&lt;=N(BQ63))+(1-nTP_OK*BO63)*(nTP_Loc_n&lt;=N(BP63)))+(1-nTP_HT*DD63*BN63)*(nTP_Hi_n&gt;=N(DH63))*(nTP_Lo_n&lt;=N(BS63)))),2),0))</f>
        <v>0</v>
      </c>
      <c r="ES63" s="22">
        <f>IF(EO63&lt;3,0,IFERROR(_xlfn.AGGREGATE(15,6,nTP_RowN/((nTP_Case_Key=AX63)*(nTP_Record_Type="MILESTONE:INTERVENTION")*(nTP_Err="")*(nTP_HT*DD63*BN63*(nTP_OK*DE63*(nTP_UTC_n&gt;=N(DG63))+(1-nTP_OK*DE63)*(nTP_Loc_n&gt;=N(DF63)))*(nTP_OK*BO63*(nTP_UTC_n&lt;=N(BQ63))+(1-nTP_OK*BO63)*(nTP_Loc_n&lt;=N(BP63)))+(1-nTP_HT*DD63*BN63)*(nTP_Hi_n&gt;=N(DH63))*(nTP_Lo_n&lt;=N(BS63)))),3),0))</f>
        <v>0</v>
      </c>
      <c r="ET63" s="22">
        <f>IF(EP63&lt;1,0,IFERROR(_xlfn.AGGREGATE(15,6,nTP_RowN/((nTP_Case_Key=AX63)*(nTP_Role="treatment of the event")*((nTP_Record_Type="EXPOSURE_START")+(nTP_Record_Type="ADMINISTRATION"))*(nTP_Err="")*(nTP_HT*DD63*BN63*(nTP_OK*DE63*(nTP_UTC_n&gt;=N(DG63))+(1-nTP_OK*DE63)*(nTP_Loc_n&gt;=N(DF63)))*(nTP_OK*BO63*(nTP_UTC_n&lt;=N(BQ63))+(1-nTP_OK*BO63)*(nTP_Loc_n&lt;=N(BP63)))+(1-nTP_HT*DD63*BN63)*(nTP_Hi_n&gt;=N(DH63))*(nTP_Lo_n&lt;=N(BS63)))),1),0))</f>
        <v>0</v>
      </c>
      <c r="EU63" s="22">
        <f>IF(EP63&lt;2,0,IFERROR(_xlfn.AGGREGATE(15,6,nTP_RowN/((nTP_Case_Key=AX63)*(nTP_Role="treatment of the event")*((nTP_Record_Type="EXPOSURE_START")+(nTP_Record_Type="ADMINISTRATION"))*(nTP_Err="")*(nTP_HT*DD63*BN63*(nTP_OK*DE63*(nTP_UTC_n&gt;=N(DG63))+(1-nTP_OK*DE63)*(nTP_Loc_n&gt;=N(DF63)))*(nTP_OK*BO63*(nTP_UTC_n&lt;=N(BQ63))+(1-nTP_OK*BO63)*(nTP_Loc_n&lt;=N(BP63)))+(1-nTP_HT*DD63*BN63)*(nTP_Hi_n&gt;=N(DH63))*(nTP_Lo_n&lt;=N(BS63)))),2),0))</f>
        <v>0</v>
      </c>
      <c r="EV63" s="22">
        <f>IF(EP63&lt;3,0,IFERROR(_xlfn.AGGREGATE(15,6,nTP_RowN/((nTP_Case_Key=AX63)*(nTP_Role="treatment of the event")*((nTP_Record_Type="EXPOSURE_START")+(nTP_Record_Type="ADMINISTRATION"))*(nTP_Err="")*(nTP_HT*DD63*BN63*(nTP_OK*DE63*(nTP_UTC_n&gt;=N(DG63))+(1-nTP_OK*DE63)*(nTP_Loc_n&gt;=N(DF63)))*(nTP_OK*BO63*(nTP_UTC_n&lt;=N(BQ63))+(1-nTP_OK*BO63)*(nTP_Loc_n&lt;=N(BP63)))+(1-nTP_HT*DD63*BN63)*(nTP_Hi_n&gt;=N(DH63))*(nTP_Lo_n&lt;=N(BS63)))),3),0))</f>
        <v>0</v>
      </c>
      <c r="EW63" s="22">
        <f>IF(CE63&lt;1,0,IFERROR(_xlfn.AGGREGATE(15,6,nTP_RowN/((nTP_CandKey=BX63)*(nTP_Err="")*(1-nTP_Exact)*((nTP_HT*BN63*((nTP_OK*BO63*(nTP_UTC_n-N(BQ63))+(1-nTP_OK*BO63)*(nTP_Loc_n-N(BP63)))&lt;=0)+(1-nTP_HT*BN63)*(nTP_Hi_n&lt;N(BR63)))+((1-nTP_HT*BN63)*(nTP_Lo_n=nTP_Hi_n)*(nTP_Lo_n=N(BR63))*(N(BR63)=N(BS63))))),1),0))</f>
        <v>0</v>
      </c>
      <c r="EX63" s="22">
        <f>IF(CE63&lt;2,0,IFERROR(_xlfn.AGGREGATE(15,6,nTP_RowN/((nTP_CandKey=BX63)*(nTP_Err="")*(1-nTP_Exact)*((nTP_HT*BN63*((nTP_OK*BO63*(nTP_UTC_n-N(BQ63))+(1-nTP_OK*BO63)*(nTP_Loc_n-N(BP63)))&lt;=0)+(1-nTP_HT*BN63)*(nTP_Hi_n&lt;N(BR63)))+((1-nTP_HT*BN63)*(nTP_Lo_n=nTP_Hi_n)*(nTP_Lo_n=N(BR63))*(N(BR63)=N(BS63))))),2),0))</f>
        <v>0</v>
      </c>
      <c r="EY63" s="22">
        <f>IF(CE63&lt;3,0,IFERROR(_xlfn.AGGREGATE(15,6,nTP_RowN/((nTP_CandKey=BX63)*(nTP_Err="")*(1-nTP_Exact)*((nTP_HT*BN63*((nTP_OK*BO63*(nTP_UTC_n-N(BQ63))+(1-nTP_OK*BO63)*(nTP_Loc_n-N(BP63)))&lt;=0)+(1-nTP_HT*BN63)*(nTP_Hi_n&lt;N(BR63)))+((1-nTP_HT*BN63)*(nTP_Lo_n=nTP_Hi_n)*(nTP_Lo_n=N(BR63))*(N(BR63)=N(BS63))))),3),0))</f>
        <v>0</v>
      </c>
      <c r="EZ63" s="21" t="str">
        <f>IF(EO63=0,"",MID(IF(EQ63&gt;0,"; "&amp;INDEX(nTP_Record_ID,EQ63)&amp;IF(INDEX(nTP_Label,EQ63)="",""," ("&amp;INDEX(nTP_Label,EQ63)&amp;")"),"")&amp;IF(ER63&gt;0,"; "&amp;INDEX(nTP_Record_ID,ER63)&amp;IF(INDEX(nTP_Label,ER63)="",""," ("&amp;INDEX(nTP_Label,ER63)&amp;")"),"")&amp;IF(ES63&gt;0,"; "&amp;INDEX(nTP_Record_ID,ES63)&amp;IF(INDEX(nTP_Label,ES63)="",""," ("&amp;INDEX(nTP_Label,ES63)&amp;")"),"")&amp;IF(EO63&gt;3,"; and "&amp;(EO63-3)&amp;" more",""),3,999))</f>
        <v/>
      </c>
      <c r="FA63" s="21" t="str">
        <f>IF(EO63=0,"",MID(IF(EQ63&gt;0,"; "&amp;INDEX(nTP_Record_ID,EQ63),"")&amp;IF(ER63&gt;0,"; "&amp;INDEX(nTP_Record_ID,ER63),"")&amp;IF(ES63&gt;0,"; "&amp;INDEX(nTP_Record_ID,ES63),"")&amp;IF(EO63&gt;3,"; and "&amp;(EO63-3)&amp;" more",""),3,999))</f>
        <v/>
      </c>
      <c r="FB63" s="21" t="str">
        <f>IF(EP63=0,"",MID(IF(ET63&gt;0,"; "&amp;INDEX(nTP_Record_ID,ET63)&amp;IF(INDEX(nTP_Label,ET63)="",""," ("&amp;INDEX(nTP_Label,ET63)&amp;")"),"")&amp;IF(EU63&gt;0,"; "&amp;INDEX(nTP_Record_ID,EU63)&amp;IF(INDEX(nTP_Label,EU63)="",""," ("&amp;INDEX(nTP_Label,EU63)&amp;")"),"")&amp;IF(EV63&gt;0,"; "&amp;INDEX(nTP_Record_ID,EV63)&amp;IF(INDEX(nTP_Label,EV63)="",""," ("&amp;INDEX(nTP_Label,EV63)&amp;")"),"")&amp;IF(EP63&gt;3,"; and "&amp;(EP63-3)&amp;" more",""),3,999))</f>
        <v/>
      </c>
      <c r="FC63" s="21" t="str">
        <f>IF(CE63=0,"",MID(IF(EW63&gt;0,"; "&amp;INDEX(nTP_Record_ID,EW63),"")&amp;IF(EX63&gt;0,"; "&amp;INDEX(nTP_Record_ID,EX63),"")&amp;IF(EY63&gt;0,"; "&amp;INDEX(nTP_Record_ID,EY63),"")&amp;IF(CE63&gt;3,"; and "&amp;(CE63-3)&amp;" more",""),3,999))</f>
        <v/>
      </c>
      <c r="FD63" s="22">
        <f t="shared" si="118"/>
        <v>0</v>
      </c>
      <c r="FE63" s="22">
        <f t="shared" si="119"/>
        <v>0</v>
      </c>
      <c r="FF63" s="22">
        <f t="shared" si="120"/>
        <v>0</v>
      </c>
      <c r="FG63" s="22">
        <f t="shared" si="121"/>
        <v>0</v>
      </c>
      <c r="FH63" s="22">
        <f t="shared" si="122"/>
        <v>0</v>
      </c>
      <c r="FI63" s="22">
        <f t="shared" si="123"/>
        <v>0</v>
      </c>
      <c r="FJ63" s="22">
        <f t="shared" si="124"/>
        <v>0</v>
      </c>
      <c r="FK63" s="22">
        <f t="shared" si="125"/>
        <v>0</v>
      </c>
    </row>
    <row r="64" spans="1:167" x14ac:dyDescent="0.2">
      <c r="A64" s="9" t="s">
        <v>1137</v>
      </c>
      <c r="B64" s="9" t="s">
        <v>301</v>
      </c>
      <c r="C64" s="11">
        <v>2</v>
      </c>
      <c r="D64" s="9" t="s">
        <v>894</v>
      </c>
      <c r="E64" s="16" t="s">
        <v>57</v>
      </c>
      <c r="F64" s="9" t="s">
        <v>1161</v>
      </c>
      <c r="G64" s="9" t="s">
        <v>652</v>
      </c>
      <c r="H64" s="9" t="s">
        <v>826</v>
      </c>
      <c r="I64" s="16" t="s">
        <v>59</v>
      </c>
      <c r="J64" s="16"/>
      <c r="K64" s="9"/>
      <c r="L64" s="16"/>
      <c r="M64" s="16"/>
      <c r="N64" s="16"/>
      <c r="O64" s="9"/>
      <c r="P64" s="14"/>
      <c r="Q64" s="14"/>
      <c r="R64" s="9"/>
      <c r="S64" s="9" t="s">
        <v>1162</v>
      </c>
      <c r="T64" s="21" t="str">
        <f t="shared" si="63"/>
        <v>1,660 minutes (local clock) (27.7 hours)</v>
      </c>
      <c r="U64" s="21" t="str">
        <f t="shared" si="64"/>
        <v>1,660 minutes (local clock)</v>
      </c>
      <c r="V64" s="21">
        <f t="shared" si="65"/>
        <v>1660</v>
      </c>
      <c r="W64" s="21" t="str">
        <f t="shared" si="66"/>
        <v/>
      </c>
      <c r="X64" s="21" t="str">
        <f t="shared" si="67"/>
        <v/>
      </c>
      <c r="Y64" s="21" t="str">
        <f t="shared" si="68"/>
        <v>minutes (local clock)</v>
      </c>
      <c r="Z64" s="21" t="str">
        <f t="shared" si="69"/>
        <v>C1</v>
      </c>
      <c r="AA64" s="21" t="str">
        <f t="shared" si="70"/>
        <v>AFTER</v>
      </c>
      <c r="AB64" s="21" t="str">
        <f t="shared" si="71"/>
        <v/>
      </c>
      <c r="AC64" s="21" t="str">
        <f t="shared" si="72"/>
        <v>W_TZ_UNKNOWN</v>
      </c>
      <c r="AD64" s="21" t="str">
        <f>IF(AW64=1,"",MID(IF(ISNUMBER(SEARCH("E_INVALID_DATE",EG64))," | E_INVALID_DATE: "&amp;SUBSTITUTE(IFERROR(INDEX(nMSG_Text,MATCH("E_INVALID_DATE",nMSG_Code,0)),""),"[input]",""),"")&amp;IF(ISNUMBER(SEARCH("E_REVERSED_BOUNDS",EG64))," | E_REVERSED_BOUNDS: "&amp;SUBSTITUTE(IFERROR(INDEX(nMSG_Text,MATCH("E_REVERSED_BOUNDS",nMSG_Code,0)),""),"[input]",""),"")&amp;IF(ISNUMBER(SEARCH("E_DUPLICATE_ID",EG64))," | E_DUPLICATE_ID: "&amp;SUBSTITUTE(IFERROR(INDEX(nMSG_Text,MATCH("E_DUPLICATE_ID",nMSG_Code,0)),""),"[input]",""),"")&amp;IF(ISNUMBER(SEARCH("E_MISSING_LINK",EG64))," | E_MISSING_LINK: "&amp;SUBSTITUTE(IFERROR(INDEX(nMSG_Text,MATCH("E_MISSING_LINK",nMSG_Code,0)),""),"[input]",""),"")&amp;IF(ISNUMBER(SEARCH("E_MISSING_INPUT",EG64))," | E_MISSING_INPUT: "&amp;SUBSTITUTE(IFERROR(INDEX(nMSG_Text,MATCH("E_MISSING_INPUT",nMSG_Code,0)),""),"[input]",IF(EH64="","an input",EH64)),"")&amp;IF(ISNUMBER(SEARCH("E_INVALID_UNIT",EG64))," | E_INVALID_UNIT: "&amp;SUBSTITUTE(IFERROR(INDEX(nMSG_Text,MATCH("E_INVALID_UNIT",nMSG_Code,0)),""),"[input]",""),"")&amp;IF(FD64=1," | W_TZ_UNKNOWN: "&amp;SUBSTITUTE(IFERROR(INDEX(nMSG_Text,MATCH("W_TZ_UNKNOWN",nMSG_Code,0)),""),"[input]",""),"")&amp;IF(FE64=1," | W_SAME_DATE_ORDER_UNKNOWN: "&amp;SUBSTITUTE(IFERROR(INDEX(nMSG_Text,MATCH("W_SAME_DATE_ORDER_UNKNOWN",nMSG_Code,0)),""),"[input]",""),"")&amp;IF(FF64=1," | W_SEQUENCE_UNCERTAIN: "&amp;SUBSTITUTE(IFERROR(INDEX(nMSG_Text,MATCH("W_SEQUENCE_UNCERTAIN",nMSG_Code,0)),""),"[input]",""),"")&amp;IF(FG64=1," | W_ADMIN_SAME_DATE_AS_ONSET: "&amp;SUBSTITUTE(IFERROR(INDEX(nMSG_Text,MATCH("W_ADMIN_SAME_DATE_AS_ONSET",nMSG_Code,0)),""),"[input]",""),"")&amp;IF(FH64=1," | W_REPORTED_TIMING_CONFLICT: "&amp;SUBSTITUTE(IFERROR(INDEX(nMSG_Text,MATCH("W_REPORTED_TIMING_CONFLICT",nMSG_Code,0)),""),"[input]",""),"")&amp;IF(FI64=1," | W_INTERVENTION_BEFORE_RECOVERY: "&amp;SUBSTITUTE(IFERROR(INDEX(nMSG_Text,MATCH("W_INTERVENTION_BEFORE_RECOVERY",nMSG_Code,0)),""),"[input]",""),"")&amp;IF(FJ64=1," | I_TREATMENT_DAY_UNDEFINED: "&amp;SUBSTITUTE(IFERROR(INDEX(nMSG_Text,MATCH("I_TREATMENT_DAY_UNDEFINED",nMSG_Code,0)),""),"[input]",""),"")&amp;IF(FK64=1," | I_APPROXIMATE_NOT_COMPARED: "&amp;SUBSTITUTE(IFERROR(INDEX(nMSG_Text,MATCH("I_APPROXIMATE_NOT_COMPARED",nMSG_Code,0)),""),"[input]",""),""),4,9999))</f>
        <v>W_TZ_UNKNOWN: Offset unknown: this interval uses local clock times and could be wrong across a clock change or time zone.</v>
      </c>
      <c r="AE64" s="21" t="str">
        <f t="shared" si="73"/>
        <v/>
      </c>
      <c r="AF64" s="21" t="str">
        <f t="shared" si="74"/>
        <v/>
      </c>
      <c r="AG64" s="21" t="str">
        <f>IF(EN64="","",MID(IF(ISNUMBER(SEARCH("E_REVERSED_BOUNDS",EN64))," | E_REVERSED_BOUNDS: "&amp;SUBSTITUTE(IFERROR(INDEX(nMSG_Text,MATCH("E_REVERSED_BOUNDS",nMSG_Code,0)),""),"[input]",""),"")&amp;IF(ISNUMBER(SEARCH("E_MISSING_INPUT",EN64))," | E_MISSING_INPUT: "&amp;SUBSTITUTE(IFERROR(INDEX(nMSG_Text,MATCH("E_MISSING_INPUT",nMSG_Code,0)),""),"[input]",IF("the source of the constraint"="","an input","the source of the constraint")),""),4,999))</f>
        <v/>
      </c>
      <c r="AH64" s="21" t="str">
        <f t="shared" si="75"/>
        <v/>
      </c>
      <c r="AI64" s="21" t="str">
        <f t="shared" si="76"/>
        <v>ADM-DIG-LAST → M-DIGC</v>
      </c>
      <c r="AJ64" s="21" t="str">
        <f t="shared" si="77"/>
        <v>ADM-DIG-LAST</v>
      </c>
      <c r="AK64" s="21" t="str">
        <f t="shared" si="78"/>
        <v>M-DIGC</v>
      </c>
      <c r="AL64" s="21" t="str">
        <f>IF(CY64=0,"",INDEX(nTP_ISO,CY64))</f>
        <v>2026-07-04T08:00</v>
      </c>
      <c r="AM64" s="21" t="str">
        <f>IF(CY64=0,"",INDEX(nTP_Display,CY64))</f>
        <v>4 July 2026 08:00 (offset unknown)</v>
      </c>
      <c r="AN64" s="21" t="str">
        <f>IF(BI64=0,"",INDEX(nTP_ISO,BI64))</f>
        <v>2026-07-05T11:40</v>
      </c>
      <c r="AO64" s="21" t="str">
        <f>IF(BI64=0,"",INDEX(nTP_Display,BI64))</f>
        <v>5 July 2026 11:40 (offset unknown)</v>
      </c>
      <c r="AP64" s="21" t="str">
        <f>IF(BA64=0,"",INDEX(nLNK_Exposure_Episode_ID,BA64)&amp;"")</f>
        <v>EX-DIG</v>
      </c>
      <c r="AQ64" s="21" t="str">
        <f>IF(BA64=0,"",INDEX(nLNK_Event_Episode_ID,BA64)&amp;"")</f>
        <v>EV-1</v>
      </c>
      <c r="AR64" s="21" t="str">
        <f t="shared" si="79"/>
        <v>Anchor (OTHER) ADM-DIG-LAST: 2026-07-04T08:00 [timestamp, offset unknown; case measurement; original: "Took last digoxin yesterday morning, about 08:00"; source: Emergency department note, 5 July 2026] | End point M-DIGC: 2026-07-05T11:40 [timestamp, offset unknown; case measurement; original: "Serum digoxin 2.9 ng/mL (sample 11:40; laboratory reference 0.5-2.0)"; source: Emergency department note]</v>
      </c>
      <c r="AS64" s="21" t="str">
        <f>IF(EI64=0,"",MID(IF(DT64=1," | Recovery interval (C7) computed with "&amp;DS64&amp;".","")&amp;IF(BG64=1," | Anchor selected under C5 (CALC-SPEC 1.1): latest administration with an exact date or time at or before "&amp;IF(BH64=1,"onset","the end point")&amp;" ("&amp;AJ64&amp;"), ordered in UTC when offsets are known; later administrations are never selected.","")&amp;IF(AND(BG64=1,CE64&gt;0)," | Partial-date administrations wholly before the selected one were not candidates: "&amp;FC64&amp;".","")&amp;IF(BV64&lt;&gt;""," | "&amp;BV64,"")&amp;IF(AND(DS64="C2",EA64=0,DZ64&lt;&gt;"")," | Same calendar date; both times are known, so C1 decides the order ("&amp;AA64&amp;").","")&amp;IF(AND(DS64="C2",DD64*BN64=1,DT64=0)," | Calendar-date difference from the recorded local dates; it is never described as elapsed days.","")&amp;IF(AND(DS64="C4",DT64=0)," | Bounds are treated as independent; no single date is imputed from them.","")&amp;IF(EJ64=1," | Treatment day under the inclusive convention (C3); never written to E2B fields automatically.","")&amp;IF(AND(DS64="C4",DT64=0,EK64=0)," | No constraint applied.","")&amp;IF(AND(DS64="C4",EK64=1)," | Constraint applied to the anchor bounds: "&amp;IF(ISNUMBER(P64),"not before "&amp;DAY(P64)&amp;" "&amp;INDEX(nLIST_Months,MONTH(P64))&amp;" "&amp;YEAR(P64),"")&amp;IF(AND(ISNUMBER(P64),ISNUMBER(Q64)),", ","")&amp;IF(ISNUMBER(Q64),"not after "&amp;DAY(Q64)&amp;" "&amp;INDEX(nLIST_Months,MONTH(Q64))&amp;" "&amp;YEAR(Q64),"")&amp;". Source: "&amp;IF(R64="","not recorded",R64)&amp;IF(EN64="",". Constrained result shown beside the unconstrained one.",". Constrained result blocked ("&amp;EN64&amp;")."),"")&amp;IF(DT64=1,IF(EO64&gt;0," | Intervention recorded between cessation and recovery (ends included): "&amp;EZ64&amp;"."," | No intervention is recorded between cessation and recovery; absence of a record is not evidence that none was given."),"")&amp;IF(AND(DT64=1,DV64&gt;0)," | Intervention recorded without a date, so whether it came before recovery is unknown: "&amp;INDEX(nMS_Milestone_ID,MATCH(1,INDEX((nMS_CaseKey=AX64)*(nMS_Type="INTERVENTION")*nMS_Undated,0),0))&amp;IF(DV64&gt;1," and "&amp;(DV64-1)&amp;" more","")&amp;".","")&amp;IF(AND(DT64=1,EP64&gt;0)," | Not counted as interventions, because they are recorded as exposures rather than as intervention milestones (nothing is inferred): "&amp;FB64&amp;". If treatment was given, record it as an intervention milestone.",""),4,9999))</f>
        <v/>
      </c>
      <c r="AT64" s="21" t="str">
        <f t="shared" si="80"/>
        <v>The interval describes the sequence and spacing of recorded times; it is not evidence of causation.</v>
      </c>
      <c r="AU64" s="21" t="str">
        <f t="shared" si="81"/>
        <v/>
      </c>
      <c r="AV64" s="21" t="str">
        <f t="shared" si="82"/>
        <v>CALC-SPEC 1.1</v>
      </c>
      <c r="AW64" s="22">
        <f t="shared" si="83"/>
        <v>0</v>
      </c>
      <c r="AX64" s="21" t="str">
        <f t="shared" si="84"/>
        <v>EX-C04|2</v>
      </c>
      <c r="AY64" s="21" t="str">
        <f t="shared" si="85"/>
        <v>EX-C04|2|I05</v>
      </c>
      <c r="AZ64" s="22">
        <f>IF(AY64="",0,COUNTIF(nINT_Key,AY64))</f>
        <v>1</v>
      </c>
      <c r="BA64" s="22">
        <f>IF(D64="",0,IFERROR(MATCH(AX64&amp;"|"&amp;D64,nLNK_Key,0),0))</f>
        <v>25</v>
      </c>
      <c r="BB64" s="22">
        <f>IF(BA64=0,1,INDEX(nLNK_Exp_Found,BA64))</f>
        <v>1</v>
      </c>
      <c r="BC64" s="22">
        <f>IF(BA64=0,1,INDEX(nLNK_Evt_Found,BA64))</f>
        <v>1</v>
      </c>
      <c r="BD64" s="22">
        <f>IF(AP64="",0,COUNTIF(nEXP_Key,AX64&amp;"|"&amp;AP64))</f>
        <v>1</v>
      </c>
      <c r="BE64" s="22">
        <f>IF(AQ64="",0,COUNTIF(nEVT_Key,AX64&amp;"|"&amp;AQ64))</f>
        <v>1</v>
      </c>
      <c r="BF64" s="22">
        <f>IF(ISNA(MATCH(E64,nLIST_AnchorType,0)),0,1)</f>
        <v>1</v>
      </c>
      <c r="BG64" s="22">
        <f t="shared" si="86"/>
        <v>0</v>
      </c>
      <c r="BH64" s="22">
        <f t="shared" si="87"/>
        <v>0</v>
      </c>
      <c r="BI64" s="22">
        <f>IF(OR(AW64=1,AK64=""),0,IFERROR(MATCH(AX64&amp;"|"&amp;AK64,nTP_Key,0),0))</f>
        <v>434</v>
      </c>
      <c r="BJ64" s="21">
        <f>IF(BI64=0,0,INDEX(nTP_Dup,BI64))</f>
        <v>1</v>
      </c>
      <c r="BK64" s="21" t="str">
        <f>IF(BI64=0,"",INDEX(nTP_Record_Type,BI64))</f>
        <v>MILESTONE:CONCENTRATION</v>
      </c>
      <c r="BL64" s="21" t="str">
        <f>IF(BI64=0,"",INDEX(nTP_Precision,BI64))</f>
        <v>TIMESTAMP</v>
      </c>
      <c r="BM64" s="21" t="str">
        <f>IF(BI64=0,"",INDEX(nTP_Err,BI64))</f>
        <v/>
      </c>
      <c r="BN64" s="21">
        <f>IF(BI64=0,0,INDEX(nTP_HT,BI64))</f>
        <v>1</v>
      </c>
      <c r="BO64" s="21">
        <f>IF(BI64=0,0,INDEX(nTP_OK,BI64))</f>
        <v>0</v>
      </c>
      <c r="BP64" s="21">
        <f>IF(BI64=0,"",INDEX(nTP_Loc,BI64))</f>
        <v>66540220</v>
      </c>
      <c r="BQ64" s="21" t="str">
        <f>IF(BI64=0,"",INDEX(nTP_UTC,BI64))</f>
        <v/>
      </c>
      <c r="BR64" s="21">
        <f>IF(BI64=0,"",INDEX(nTP_Lo,BI64))</f>
        <v>46208</v>
      </c>
      <c r="BS64" s="21">
        <f>IF(BI64=0,"",INDEX(nTP_Hi,BI64))</f>
        <v>46208</v>
      </c>
      <c r="BT64" s="21" t="str">
        <f>IF(BI64=0,"",INDEX(nTP_Original_Text,BI64))</f>
        <v>Serum digoxin 2.9 ng/mL (sample 11:40; laboratory reference 0.5-2.0)</v>
      </c>
      <c r="BU64" s="21" t="str">
        <f>IF(BI64=0,"",INDEX(nTP_Source,BI64))</f>
        <v>Emergency department note</v>
      </c>
      <c r="BV64" s="21" t="str">
        <f>IF(BI64=0,"",INDEX(nTP_Lab_Note,BI64))</f>
        <v/>
      </c>
      <c r="BW64" s="22">
        <f t="shared" si="88"/>
        <v>1</v>
      </c>
      <c r="BX64" s="21" t="str">
        <f t="shared" si="89"/>
        <v>EX-C04|2|EX-DIG</v>
      </c>
      <c r="BY64" s="22">
        <f>IF(BG64=0,0,COUNTIF(nTP_CandKey,BX64))</f>
        <v>0</v>
      </c>
      <c r="BZ64" s="22">
        <f>IF(BG64=0,0,COUNTIFS(nTP_CandKey,BX64,nTP_Err,""))</f>
        <v>0</v>
      </c>
      <c r="CA64" s="21" t="str">
        <f>IF(BY64=BZ64,"",IF(COUNTIFS(nTP_CandKey,BX64,nTP_Err,"E_INVALID_DATE")&gt;0,"; E_INVALID_DATE","")&amp;IF(COUNTIFS(nTP_CandKey,BX64,nTP_Err,"E_REVERSED_BOUNDS")&gt;0,"; E_REVERSED_BOUNDS","")&amp;IF(COUNTIFS(nTP_CandKey,BX64,nTP_Err,"E_MISSING_INPUT")&gt;0,"; E_MISSING_INPUT","")&amp;IF(COUNTIFS(nTP_CandKey,BX64,nTP_Err,"E_INVALID_UNIT")&gt;0,"; E_INVALID_UNIT",""))</f>
        <v/>
      </c>
      <c r="CB64" s="22">
        <f t="shared" si="90"/>
        <v>0</v>
      </c>
      <c r="CC64" s="22">
        <f>IF(CB64=0,0,SUMPRODUCT((nTP_CandKey=BX64)*(nTP_Err="")*(1-(nTP_HT*BN64*((nTP_OK*BO64*(nTP_UTC_n-N(BQ64))+(1-nTP_OK*BO64)*(nTP_Loc_n-N(BP64)))&lt;=0)+(1-nTP_HT*BN64)*(nTP_Hi_n&lt;N(BR64)))-(nTP_HT*BN64*((nTP_OK*BO64*(nTP_UTC_n-N(BQ64))+(1-nTP_OK*BO64)*(nTP_Loc_n-N(BP64)))&gt;0)+(1-nTP_HT*BN64)*(nTP_Lo_n&gt;N(BS64)))-((1-nTP_HT*BN64)*(nTP_Lo_n=nTP_Hi_n)*(nTP_Lo_n=N(BR64))*(N(BR64)=N(BS64))))))</f>
        <v>0</v>
      </c>
      <c r="CD64" s="22">
        <f>IF(CB64=0,0,SUMPRODUCT((nTP_CandKey=BX64)*nTP_Exact*((nTP_HT*BN64*((nTP_OK*BO64*(nTP_UTC_n-N(BQ64))+(1-nTP_OK*BO64)*(nTP_Loc_n-N(BP64)))&lt;=0)+(1-nTP_HT*BN64)*(nTP_Hi_n&lt;N(BR64)))+((1-nTP_HT*BN64)*(nTP_Lo_n=nTP_Hi_n)*(nTP_Lo_n=N(BR64))*(N(BR64)=N(BS64))))))</f>
        <v>0</v>
      </c>
      <c r="CE64" s="22">
        <f>IF(CB64=0,0,SUMPRODUCT((nTP_CandKey=BX64)*(nTP_Err="")*(1-nTP_Exact)*((nTP_HT*BN64*((nTP_OK*BO64*(nTP_UTC_n-N(BQ64))+(1-nTP_OK*BO64)*(nTP_Loc_n-N(BP64)))&lt;=0)+(1-nTP_HT*BN64)*(nTP_Hi_n&lt;N(BR64)))+((1-nTP_HT*BN64)*(nTP_Lo_n=nTP_Hi_n)*(nTP_Lo_n=N(BR64))*(N(BR64)=N(BS64))))))</f>
        <v>0</v>
      </c>
      <c r="CF64" s="22">
        <f>IF(CD64=0,0,SUMPRODUCT(MAX((nTP_CandKey=BX64)*nTP_Exact*((nTP_HT*BN64*((nTP_OK*BO64*(nTP_UTC_n-N(BQ64))+(1-nTP_OK*BO64)*(nTP_Loc_n-N(BP64)))&lt;=0)+(1-nTP_HT*BN64)*(nTP_Hi_n&lt;N(BR64)))+((1-nTP_HT*BN64)*(nTP_Lo_n=nTP_Hi_n)*(nTP_Lo_n=N(BR64))*(N(BR64)=N(BS64))))*nTP_Lo_n)))</f>
        <v>0</v>
      </c>
      <c r="CG64" s="22">
        <f>IF(CD64=0,0,SUMPRODUCT((nTP_CandKey=BX64)*nTP_Exact*((nTP_HT*BN64*((nTP_OK*BO64*(nTP_UTC_n-N(BQ64))+(1-nTP_OK*BO64)*(nTP_Loc_n-N(BP64)))&lt;=0)+(1-nTP_HT*BN64)*(nTP_Hi_n&lt;N(BR64)))+((1-nTP_HT*BN64)*(nTP_Lo_n=nTP_Hi_n)*(nTP_Lo_n=N(BR64))*(N(BR64)=N(BS64))))*(nTP_Lo_n=CF64)))</f>
        <v>0</v>
      </c>
      <c r="CH64" s="22">
        <f>IF(CD64=0,0,SUMPRODUCT((nTP_CandKey=BX64)*nTP_Exact*((nTP_HT*BN64*((nTP_OK*BO64*(nTP_UTC_n-N(BQ64))+(1-nTP_OK*BO64)*(nTP_Loc_n-N(BP64)))&lt;=0)+(1-nTP_HT*BN64)*(nTP_Hi_n&lt;N(BR64)))+((1-nTP_HT*BN64)*(nTP_Lo_n=nTP_Hi_n)*(nTP_Lo_n=N(BR64))*(N(BR64)=N(BS64))))*(1-nTP_HT)*(nTP_Lo_n=CF64)))</f>
        <v>0</v>
      </c>
      <c r="CI64" s="22">
        <f>IF(CD64=0,0,SUMPRODUCT(MAX((nTP_CandKey=BX64)*nTP_Exact*((nTP_HT*BN64*((nTP_OK*BO64*(nTP_UTC_n-N(BQ64))+(1-nTP_OK*BO64)*(nTP_Loc_n-N(BP64)))&lt;=0)+(1-nTP_HT*BN64)*(nTP_Hi_n&lt;N(BR64)))+((1-nTP_HT*BN64)*(nTP_Lo_n=nTP_Hi_n)*(nTP_Lo_n=N(BR64))*(N(BR64)=N(BS64))))*(1-nTP_HT)*nTP_Lo_n)))</f>
        <v>0</v>
      </c>
      <c r="CJ64" s="22">
        <f>IF(CD64=0,0,SUMPRODUCT(MAX((nTP_CandKey=BX64)*nTP_Exact*((nTP_HT*BN64*((nTP_OK*BO64*(nTP_UTC_n-N(BQ64))+(1-nTP_OK*BO64)*(nTP_Loc_n-N(BP64)))&lt;=0)+(1-nTP_HT*BN64)*(nTP_Hi_n&lt;N(BR64)))+((1-nTP_HT*BN64)*(nTP_Lo_n=nTP_Hi_n)*(nTP_Lo_n=N(BR64))*(N(BR64)=N(BS64))))*nTP_HT*nTP_OK*nTP_UTC_n)))</f>
        <v>0</v>
      </c>
      <c r="CK64" s="22">
        <f>IF(CJ64=0,0,SUMPRODUCT((nTP_CandKey=BX64)*nTP_Exact*((nTP_HT*BN64*((nTP_OK*BO64*(nTP_UTC_n-N(BQ64))+(1-nTP_OK*BO64)*(nTP_Loc_n-N(BP64)))&lt;=0)+(1-nTP_HT*BN64)*(nTP_Hi_n&lt;N(BR64)))+((1-nTP_HT*BN64)*(nTP_Lo_n=nTP_Hi_n)*(nTP_Lo_n=N(BR64))*(N(BR64)=N(BS64))))*nTP_HT*nTP_OK*(nTP_UTC_n=CJ64)))</f>
        <v>0</v>
      </c>
      <c r="CL64" s="22">
        <f>IF(CK64&lt;&gt;1,0,SUMPRODUCT((nTP_CandKey=BX64)*nTP_Exact*((nTP_HT*BN64*((nTP_OK*BO64*(nTP_UTC_n-N(BQ64))+(1-nTP_OK*BO64)*(nTP_Loc_n-N(BP64)))&lt;=0)+(1-nTP_HT*BN64)*(nTP_Hi_n&lt;N(BR64)))+((1-nTP_HT*BN64)*(nTP_Lo_n=nTP_Hi_n)*(nTP_Lo_n=N(BR64))*(N(BR64)=N(BS64))))*nTP_HT*nTP_OK*(nTP_UTC_n=CJ64)*nTP_Loc_n))</f>
        <v>0</v>
      </c>
      <c r="CM64" s="22">
        <f>IF(CK64&lt;&gt;1,0,SUMPRODUCT((nTP_CandKey=BX64)*nTP_Exact*((nTP_HT*BN64*((nTP_OK*BO64*(nTP_UTC_n-N(BQ64))+(1-nTP_OK*BO64)*(nTP_Loc_n-N(BP64)))&lt;=0)+(1-nTP_HT*BN64)*(nTP_Hi_n&lt;N(BR64)))+((1-nTP_HT*BN64)*(nTP_Lo_n=nTP_Hi_n)*(nTP_Lo_n=N(BR64))*(N(BR64)=N(BS64))))*nTP_HT*nTP_OK*(nTP_UTC_n=CJ64)*nTP_Lo_n))</f>
        <v>0</v>
      </c>
      <c r="CN64" s="22">
        <f>IF(CD64=0,0,SUMPRODUCT(MAX((nTP_CandKey=BX64)*nTP_Exact*((nTP_HT*BN64*((nTP_OK*BO64*(nTP_UTC_n-N(BQ64))+(1-nTP_OK*BO64)*(nTP_Loc_n-N(BP64)))&lt;=0)+(1-nTP_HT*BN64)*(nTP_Hi_n&lt;N(BR64)))+((1-nTP_HT*BN64)*(nTP_Lo_n=nTP_Hi_n)*(nTP_Lo_n=N(BR64))*(N(BR64)=N(BS64))))*nTP_HT*(1-nTP_OK)*nTP_Loc_n)))</f>
        <v>0</v>
      </c>
      <c r="CO64" s="22">
        <f>IF(CN64=0,0,SUMPRODUCT((nTP_CandKey=BX64)*nTP_Exact*((nTP_HT*BN64*((nTP_OK*BO64*(nTP_UTC_n-N(BQ64))+(1-nTP_OK*BO64)*(nTP_Loc_n-N(BP64)))&lt;=0)+(1-nTP_HT*BN64)*(nTP_Hi_n&lt;N(BR64)))+((1-nTP_HT*BN64)*(nTP_Lo_n=nTP_Hi_n)*(nTP_Lo_n=N(BR64))*(N(BR64)=N(BS64))))*nTP_HT*(1-nTP_OK)*(nTP_Loc_n=CN64)))</f>
        <v>0</v>
      </c>
      <c r="CP64" s="22">
        <f>IF(CO64&lt;&gt;1,0,SUMPRODUCT((nTP_CandKey=BX64)*nTP_Exact*((nTP_HT*BN64*((nTP_OK*BO64*(nTP_UTC_n-N(BQ64))+(1-nTP_OK*BO64)*(nTP_Loc_n-N(BP64)))&lt;=0)+(1-nTP_HT*BN64)*(nTP_Hi_n&lt;N(BR64)))+((1-nTP_HT*BN64)*(nTP_Lo_n=nTP_Hi_n)*(nTP_Lo_n=N(BR64))*(N(BR64)=N(BS64))))*nTP_HT*(1-nTP_OK)*(nTP_Loc_n=CN64)*nTP_Lo_n))</f>
        <v>0</v>
      </c>
      <c r="CQ64" s="22">
        <f>IF(CD64=0,0,SUMPRODUCT(MAX((nTP_CandKey=BX64)*nTP_Exact*((nTP_HT*BN64*((nTP_OK*BO64*(nTP_UTC_n-N(BQ64))+(1-nTP_OK*BO64)*(nTP_Loc_n-N(BP64)))&lt;=0)+(1-nTP_HT*BN64)*(nTP_Hi_n&lt;N(BR64)))+((1-nTP_HT*BN64)*(nTP_Lo_n=nTP_Hi_n)*(nTP_Lo_n=N(BR64))*(N(BR64)=N(BS64))))*nTP_HT*nTP_OK*nTP_Loc_n)))</f>
        <v>0</v>
      </c>
      <c r="CR64" s="22">
        <f t="shared" si="91"/>
        <v>0</v>
      </c>
      <c r="CS64" s="22">
        <f>IF(CR64=0,0,IF(CR64=1,MATCH(1,INDEX((nTP_CandKey=BX64)*nTP_Exact*((nTP_HT*BN64*((nTP_OK*BO64*(nTP_UTC_n-N(BQ64))+(1-nTP_OK*BO64)*(nTP_Loc_n-N(BP64)))&lt;=0)+(1-nTP_HT*BN64)*(nTP_Hi_n&lt;N(BR64)))+((1-nTP_HT*BN64)*(nTP_Lo_n=nTP_Hi_n)*(nTP_Lo_n=N(BR64))*(N(BR64)=N(BS64))))*(1-nTP_HT)*(nTP_Lo_n=CF64),0),0),IF(CR64=2,MATCH(1,INDEX((nTP_CandKey=BX64)*nTP_Exact*((nTP_HT*BN64*((nTP_OK*BO64*(nTP_UTC_n-N(BQ64))+(1-nTP_OK*BO64)*(nTP_Loc_n-N(BP64)))&lt;=0)+(1-nTP_HT*BN64)*(nTP_Hi_n&lt;N(BR64)))+((1-nTP_HT*BN64)*(nTP_Lo_n=nTP_Hi_n)*(nTP_Lo_n=N(BR64))*(N(BR64)=N(BS64))))*nTP_HT*nTP_OK*(nTP_UTC_n=CJ64),0),0),MATCH(1,INDEX((nTP_CandKey=BX64)*nTP_Exact*((nTP_HT*BN64*((nTP_OK*BO64*(nTP_UTC_n-N(BQ64))+(1-nTP_OK*BO64)*(nTP_Loc_n-N(BP64)))&lt;=0)+(1-nTP_HT*BN64)*(nTP_Hi_n&lt;N(BR64)))+((1-nTP_HT*BN64)*(nTP_Lo_n=nTP_Hi_n)*(nTP_Lo_n=N(BR64))*(N(BR64)=N(BS64))))*nTP_HT*(1-nTP_OK)*(nTP_Loc_n=CN64),0),0))))</f>
        <v>0</v>
      </c>
      <c r="CT64" s="22">
        <f>IF(CS64=0,0,INDEX(nTP_Lo_n,CS64))</f>
        <v>0</v>
      </c>
      <c r="CU64" s="22">
        <f>IF(CS64=0,0,SUMPRODUCT((nTP_CandKey=BX64)*(nTP_Err="")*(1-nTP_Exact)*((nTP_HT*BN64*((nTP_OK*BO64*(nTP_UTC_n-N(BQ64))+(1-nTP_OK*BO64)*(nTP_Loc_n-N(BP64)))&lt;=0)+(1-nTP_HT*BN64)*(nTP_Hi_n&lt;N(BR64)))+((1-nTP_HT*BN64)*(nTP_Lo_n=nTP_Hi_n)*(nTP_Lo_n=N(BR64))*(N(BR64)=N(BS64))))*(nTP_Hi_n&gt;=CT64)))</f>
        <v>0</v>
      </c>
      <c r="CV64" s="21" t="str">
        <f t="shared" si="92"/>
        <v/>
      </c>
      <c r="CW64" s="21" t="str">
        <f>IF(AND(BG64=1,CB64=1,CV64="",CS64&gt;0),INDEX(nTP_Record_ID,CS64)&amp;"","")</f>
        <v/>
      </c>
      <c r="CX64" s="21" t="str">
        <f>IF(OR(CV64="",BG64=0),"",IF(CV64="none","an administration record (last dose before onset)",IF(CV64="uncertain","the anchor record: "&amp;INDEX(nTP_Record_ID,MATCH(1,INDEX((nTP_CandKey=BX64)*(nTP_Err="")*(1-(nTP_HT*BN64*((nTP_OK*BO64*(nTP_UTC_n-N(BQ64))+(1-nTP_OK*BO64)*(nTP_Loc_n-N(BP64)))&lt;=0)+(1-nTP_HT*BN64)*(nTP_Hi_n&lt;N(BR64)))-(nTP_HT*BN64*((nTP_OK*BO64*(nTP_UTC_n-N(BQ64))+(1-nTP_OK*BO64)*(nTP_Loc_n-N(BP64)))&gt;0)+(1-nTP_HT*BN64)*(nTP_Lo_n&gt;N(BS64)))-((1-nTP_HT*BN64)*(nTP_Lo_n=nTP_Hi_n)*(nTP_Lo_n=N(BR64))*(N(BR64)=N(BS64)))),0),0))&amp;IF(CC64&gt;1," and "&amp;(CC64-1)&amp;" more","")&amp;" may fall before or after the end point, so the last dose cannot be identified from the recorded dates",IF(CV64="noneligible","the anchor record: no administration with an exact date is recorded at or before the end point",IF(CV64="tie","the anchor record: the order of the latest administrations cannot be told from the recorded dates and times","the anchor record: partial-date administration "&amp;INDEX(nTP_Record_ID,MATCH(1,INDEX((nTP_CandKey=BX64)*(nTP_Err="")*(1-nTP_Exact)*((nTP_HT*BN64*((nTP_OK*BO64*(nTP_UTC_n-N(BQ64))+(1-nTP_OK*BO64)*(nTP_Loc_n-N(BP64)))&lt;=0)+(1-nTP_HT*BN64)*(nTP_Hi_n&lt;N(BR64)))+((1-nTP_HT*BN64)*(nTP_Lo_n=nTP_Hi_n)*(nTP_Lo_n=N(BR64))*(N(BR64)=N(BS64))))*(nTP_Hi_n&gt;=CT64),0),0))&amp;" could be the last dose before the end point")))))</f>
        <v/>
      </c>
      <c r="CY64" s="22">
        <f>IF(OR(AW64=1,AJ64=""),0,IFERROR(MATCH(AX64&amp;"|"&amp;AJ64,nTP_Key,0),0))</f>
        <v>279</v>
      </c>
      <c r="CZ64" s="21">
        <f>IF(CY64=0,0,INDEX(nTP_Dup,CY64))</f>
        <v>1</v>
      </c>
      <c r="DA64" s="21" t="str">
        <f>IF(CY64=0,"",INDEX(nTP_Record_Type,CY64))</f>
        <v>ADMINISTRATION</v>
      </c>
      <c r="DB64" s="21" t="str">
        <f>IF(CY64=0,"",INDEX(nTP_Precision,CY64))</f>
        <v>TIMESTAMP</v>
      </c>
      <c r="DC64" s="21" t="str">
        <f>IF(CY64=0,"",INDEX(nTP_Err,CY64))</f>
        <v/>
      </c>
      <c r="DD64" s="21">
        <f>IF(CY64=0,0,INDEX(nTP_HT,CY64))</f>
        <v>1</v>
      </c>
      <c r="DE64" s="21">
        <f>IF(CY64=0,0,INDEX(nTP_OK,CY64))</f>
        <v>0</v>
      </c>
      <c r="DF64" s="21">
        <f>IF(CY64=0,"",INDEX(nTP_Loc,CY64))</f>
        <v>66538560</v>
      </c>
      <c r="DG64" s="21" t="str">
        <f>IF(CY64=0,"",INDEX(nTP_UTC,CY64))</f>
        <v/>
      </c>
      <c r="DH64" s="21">
        <f>IF(CY64=0,"",INDEX(nTP_Lo,CY64))</f>
        <v>46207</v>
      </c>
      <c r="DI64" s="21">
        <f>IF(CY64=0,"",INDEX(nTP_Hi,CY64))</f>
        <v>46207</v>
      </c>
      <c r="DJ64" s="21" t="str">
        <f>IF(CY64=0,"",INDEX(nTP_Original_Text,CY64))</f>
        <v>Took last digoxin yesterday morning, about 08:00</v>
      </c>
      <c r="DK64" s="21" t="str">
        <f>IF(CY64=0,"",INDEX(nTP_Source,CY64))</f>
        <v>Emergency department note, 5 July 2026</v>
      </c>
      <c r="DL64" s="22">
        <f t="shared" si="93"/>
        <v>1</v>
      </c>
      <c r="DM64" s="21" t="str">
        <f t="shared" si="94"/>
        <v/>
      </c>
      <c r="DN64" s="21" t="str">
        <f t="shared" si="95"/>
        <v/>
      </c>
      <c r="DO64" s="21" t="str">
        <f t="shared" si="96"/>
        <v/>
      </c>
      <c r="DP64" s="21" t="str">
        <f t="shared" si="97"/>
        <v/>
      </c>
      <c r="DQ64" s="21" t="str">
        <f t="shared" si="98"/>
        <v>C1</v>
      </c>
      <c r="DR64" s="22">
        <f>IF(OR(DQ64="",I64=""),0,IF(ISNA(MATCH(I64,nLIST_Mode,0)),1,IF(AND(I64="C1",DQ64&lt;&gt;"C1"),1,IF(AND(I64="C2",DQ64="C4"),1,0))))</f>
        <v>0</v>
      </c>
      <c r="DS64" s="21" t="str">
        <f t="shared" si="99"/>
        <v>C1</v>
      </c>
      <c r="DT64" s="22">
        <f t="shared" si="100"/>
        <v>0</v>
      </c>
      <c r="DU64" s="21" t="str">
        <f>IF(DT64=0,"",IF(COUNTIFS(nTP_Case_Key,AX64,nTP_Record_Type,"MILESTONE:INTERVENTION",nTP_Err,"E_INVALID_DATE")&gt;0,"; E_INVALID_DATE","")&amp;IF(COUNTIFS(nTP_Case_Key,AX64,nTP_Record_Type,"MILESTONE:INTERVENTION",nTP_Err,"E_REVERSED_BOUNDS")&gt;0,"; E_REVERSED_BOUNDS","")&amp;IF(COUNTIFS(nTP_Case_Key,AX64,nTP_Record_Type,"MILESTONE:INTERVENTION",nTP_Err,"E_MISSING_INPUT")&gt;0,"; E_MISSING_INPUT","")&amp;IF(COUNTIFS(nTP_Case_Key,AX64,nTP_Record_Type,"MILESTONE:INTERVENTION",nTP_Err,"E_INVALID_UNIT")&gt;0,"; E_INVALID_UNIT",""))</f>
        <v/>
      </c>
      <c r="DV64" s="22">
        <f>IF(DT64=0,0,SUMPRODUCT((nMS_CaseKey=AX64)*(nMS_Type="INTERVENTION")*nMS_Undated))</f>
        <v>0</v>
      </c>
      <c r="DW64" s="21" t="str">
        <f t="shared" si="101"/>
        <v/>
      </c>
      <c r="DX64" s="21" t="str">
        <f t="shared" si="102"/>
        <v/>
      </c>
      <c r="DY64" s="22">
        <f t="shared" si="103"/>
        <v>1</v>
      </c>
      <c r="DZ64" s="21">
        <f t="shared" si="104"/>
        <v>1660</v>
      </c>
      <c r="EA64" s="21" t="str">
        <f t="shared" si="105"/>
        <v/>
      </c>
      <c r="EB64" s="21" t="str">
        <f t="shared" si="106"/>
        <v/>
      </c>
      <c r="EC64" s="21" t="str">
        <f t="shared" si="107"/>
        <v/>
      </c>
      <c r="ED64" s="22">
        <f t="shared" si="108"/>
        <v>0</v>
      </c>
      <c r="EE64" s="22">
        <f t="shared" si="109"/>
        <v>0</v>
      </c>
      <c r="EF64" s="21" t="str">
        <f>IF(ED64=0,"",IF(OR(NOT(ISNUMBER(L64)),NOT(ISNUMBER(M64))),"I_APPROXIMATE_NOT_COMPARED",IF(AND(N64&lt;&gt;"",ISNA(MATCH(N64,nLIST_ReportedUnit,0))),"E_INVALID_UNIT",IF(N64="","E_MISSING_INPUT",IF(L64&gt;M64,"E_REVERSED_BOUNDS",IF(OR(N64="weeks",N64="months",N64="years"),"I_APPROXIMATE_NOT_COMPARED",IF(DX64&lt;&gt;"","",IF(EE64=0,"I_APPROXIMATE_NOT_COMPARED",IF(AND(L64*EE64&lt;=IF(DS64="C4",EC64,IF(DS64="C1",DZ64,EA64)),M64*EE64&gt;=IF(DS64="C4",EB64,IF(DS64="C1",DZ64,EA64))),"OVERLAP","W_REPORTED_TIMING_CONFLICT")))))))))</f>
        <v/>
      </c>
      <c r="EG64" s="21" t="str">
        <f t="shared" si="110"/>
        <v/>
      </c>
      <c r="EH64" s="21" t="str">
        <f t="shared" si="111"/>
        <v/>
      </c>
      <c r="EI64" s="22">
        <f t="shared" si="112"/>
        <v>1</v>
      </c>
      <c r="EJ64" s="22">
        <f t="shared" si="113"/>
        <v>0</v>
      </c>
      <c r="EK64" s="22">
        <f t="shared" si="114"/>
        <v>0</v>
      </c>
      <c r="EL64" s="28" t="str">
        <f t="shared" si="115"/>
        <v/>
      </c>
      <c r="EM64" s="28" t="str">
        <f t="shared" si="116"/>
        <v/>
      </c>
      <c r="EN64" s="21" t="str">
        <f t="shared" si="117"/>
        <v/>
      </c>
      <c r="EO64" s="22">
        <f>IF(OR(DT64=0,DX64&lt;&gt;""),0,SUMPRODUCT((nTP_Case_Key=AX64)*(nTP_Record_Type="MILESTONE:INTERVENTION")*(nTP_Err="")*(nTP_HT*DD64*BN64*(nTP_OK*DE64*(nTP_UTC_n&gt;=N(DG64))+(1-nTP_OK*DE64)*(nTP_Loc_n&gt;=N(DF64)))*(nTP_OK*BO64*(nTP_UTC_n&lt;=N(BQ64))+(1-nTP_OK*BO64)*(nTP_Loc_n&lt;=N(BP64)))+(1-nTP_HT*DD64*BN64)*(nTP_Hi_n&gt;=N(DH64))*(nTP_Lo_n&lt;=N(BS64)))))</f>
        <v>0</v>
      </c>
      <c r="EP64" s="22">
        <f>IF(OR(DT64=0,DX64&lt;&gt;""),0,SUMPRODUCT((nTP_Case_Key=AX64)*(nTP_Role="treatment of the event")*((nTP_Record_Type="EXPOSURE_START")+(nTP_Record_Type="ADMINISTRATION"))*(nTP_Err="")*(nTP_HT*DD64*BN64*(nTP_OK*DE64*(nTP_UTC_n&gt;=N(DG64))+(1-nTP_OK*DE64)*(nTP_Loc_n&gt;=N(DF64)))*(nTP_OK*BO64*(nTP_UTC_n&lt;=N(BQ64))+(1-nTP_OK*BO64)*(nTP_Loc_n&lt;=N(BP64)))+(1-nTP_HT*DD64*BN64)*(nTP_Hi_n&gt;=N(DH64))*(nTP_Lo_n&lt;=N(BS64)))))</f>
        <v>0</v>
      </c>
      <c r="EQ64" s="22">
        <f>IF(EO64&lt;1,0,IFERROR(_xlfn.AGGREGATE(15,6,nTP_RowN/((nTP_Case_Key=AX64)*(nTP_Record_Type="MILESTONE:INTERVENTION")*(nTP_Err="")*(nTP_HT*DD64*BN64*(nTP_OK*DE64*(nTP_UTC_n&gt;=N(DG64))+(1-nTP_OK*DE64)*(nTP_Loc_n&gt;=N(DF64)))*(nTP_OK*BO64*(nTP_UTC_n&lt;=N(BQ64))+(1-nTP_OK*BO64)*(nTP_Loc_n&lt;=N(BP64)))+(1-nTP_HT*DD64*BN64)*(nTP_Hi_n&gt;=N(DH64))*(nTP_Lo_n&lt;=N(BS64)))),1),0))</f>
        <v>0</v>
      </c>
      <c r="ER64" s="22">
        <f>IF(EO64&lt;2,0,IFERROR(_xlfn.AGGREGATE(15,6,nTP_RowN/((nTP_Case_Key=AX64)*(nTP_Record_Type="MILESTONE:INTERVENTION")*(nTP_Err="")*(nTP_HT*DD64*BN64*(nTP_OK*DE64*(nTP_UTC_n&gt;=N(DG64))+(1-nTP_OK*DE64)*(nTP_Loc_n&gt;=N(DF64)))*(nTP_OK*BO64*(nTP_UTC_n&lt;=N(BQ64))+(1-nTP_OK*BO64)*(nTP_Loc_n&lt;=N(BP64)))+(1-nTP_HT*DD64*BN64)*(nTP_Hi_n&gt;=N(DH64))*(nTP_Lo_n&lt;=N(BS64)))),2),0))</f>
        <v>0</v>
      </c>
      <c r="ES64" s="22">
        <f>IF(EO64&lt;3,0,IFERROR(_xlfn.AGGREGATE(15,6,nTP_RowN/((nTP_Case_Key=AX64)*(nTP_Record_Type="MILESTONE:INTERVENTION")*(nTP_Err="")*(nTP_HT*DD64*BN64*(nTP_OK*DE64*(nTP_UTC_n&gt;=N(DG64))+(1-nTP_OK*DE64)*(nTP_Loc_n&gt;=N(DF64)))*(nTP_OK*BO64*(nTP_UTC_n&lt;=N(BQ64))+(1-nTP_OK*BO64)*(nTP_Loc_n&lt;=N(BP64)))+(1-nTP_HT*DD64*BN64)*(nTP_Hi_n&gt;=N(DH64))*(nTP_Lo_n&lt;=N(BS64)))),3),0))</f>
        <v>0</v>
      </c>
      <c r="ET64" s="22">
        <f>IF(EP64&lt;1,0,IFERROR(_xlfn.AGGREGATE(15,6,nTP_RowN/((nTP_Case_Key=AX64)*(nTP_Role="treatment of the event")*((nTP_Record_Type="EXPOSURE_START")+(nTP_Record_Type="ADMINISTRATION"))*(nTP_Err="")*(nTP_HT*DD64*BN64*(nTP_OK*DE64*(nTP_UTC_n&gt;=N(DG64))+(1-nTP_OK*DE64)*(nTP_Loc_n&gt;=N(DF64)))*(nTP_OK*BO64*(nTP_UTC_n&lt;=N(BQ64))+(1-nTP_OK*BO64)*(nTP_Loc_n&lt;=N(BP64)))+(1-nTP_HT*DD64*BN64)*(nTP_Hi_n&gt;=N(DH64))*(nTP_Lo_n&lt;=N(BS64)))),1),0))</f>
        <v>0</v>
      </c>
      <c r="EU64" s="22">
        <f>IF(EP64&lt;2,0,IFERROR(_xlfn.AGGREGATE(15,6,nTP_RowN/((nTP_Case_Key=AX64)*(nTP_Role="treatment of the event")*((nTP_Record_Type="EXPOSURE_START")+(nTP_Record_Type="ADMINISTRATION"))*(nTP_Err="")*(nTP_HT*DD64*BN64*(nTP_OK*DE64*(nTP_UTC_n&gt;=N(DG64))+(1-nTP_OK*DE64)*(nTP_Loc_n&gt;=N(DF64)))*(nTP_OK*BO64*(nTP_UTC_n&lt;=N(BQ64))+(1-nTP_OK*BO64)*(nTP_Loc_n&lt;=N(BP64)))+(1-nTP_HT*DD64*BN64)*(nTP_Hi_n&gt;=N(DH64))*(nTP_Lo_n&lt;=N(BS64)))),2),0))</f>
        <v>0</v>
      </c>
      <c r="EV64" s="22">
        <f>IF(EP64&lt;3,0,IFERROR(_xlfn.AGGREGATE(15,6,nTP_RowN/((nTP_Case_Key=AX64)*(nTP_Role="treatment of the event")*((nTP_Record_Type="EXPOSURE_START")+(nTP_Record_Type="ADMINISTRATION"))*(nTP_Err="")*(nTP_HT*DD64*BN64*(nTP_OK*DE64*(nTP_UTC_n&gt;=N(DG64))+(1-nTP_OK*DE64)*(nTP_Loc_n&gt;=N(DF64)))*(nTP_OK*BO64*(nTP_UTC_n&lt;=N(BQ64))+(1-nTP_OK*BO64)*(nTP_Loc_n&lt;=N(BP64)))+(1-nTP_HT*DD64*BN64)*(nTP_Hi_n&gt;=N(DH64))*(nTP_Lo_n&lt;=N(BS64)))),3),0))</f>
        <v>0</v>
      </c>
      <c r="EW64" s="22">
        <f>IF(CE64&lt;1,0,IFERROR(_xlfn.AGGREGATE(15,6,nTP_RowN/((nTP_CandKey=BX64)*(nTP_Err="")*(1-nTP_Exact)*((nTP_HT*BN64*((nTP_OK*BO64*(nTP_UTC_n-N(BQ64))+(1-nTP_OK*BO64)*(nTP_Loc_n-N(BP64)))&lt;=0)+(1-nTP_HT*BN64)*(nTP_Hi_n&lt;N(BR64)))+((1-nTP_HT*BN64)*(nTP_Lo_n=nTP_Hi_n)*(nTP_Lo_n=N(BR64))*(N(BR64)=N(BS64))))),1),0))</f>
        <v>0</v>
      </c>
      <c r="EX64" s="22">
        <f>IF(CE64&lt;2,0,IFERROR(_xlfn.AGGREGATE(15,6,nTP_RowN/((nTP_CandKey=BX64)*(nTP_Err="")*(1-nTP_Exact)*((nTP_HT*BN64*((nTP_OK*BO64*(nTP_UTC_n-N(BQ64))+(1-nTP_OK*BO64)*(nTP_Loc_n-N(BP64)))&lt;=0)+(1-nTP_HT*BN64)*(nTP_Hi_n&lt;N(BR64)))+((1-nTP_HT*BN64)*(nTP_Lo_n=nTP_Hi_n)*(nTP_Lo_n=N(BR64))*(N(BR64)=N(BS64))))),2),0))</f>
        <v>0</v>
      </c>
      <c r="EY64" s="22">
        <f>IF(CE64&lt;3,0,IFERROR(_xlfn.AGGREGATE(15,6,nTP_RowN/((nTP_CandKey=BX64)*(nTP_Err="")*(1-nTP_Exact)*((nTP_HT*BN64*((nTP_OK*BO64*(nTP_UTC_n-N(BQ64))+(1-nTP_OK*BO64)*(nTP_Loc_n-N(BP64)))&lt;=0)+(1-nTP_HT*BN64)*(nTP_Hi_n&lt;N(BR64)))+((1-nTP_HT*BN64)*(nTP_Lo_n=nTP_Hi_n)*(nTP_Lo_n=N(BR64))*(N(BR64)=N(BS64))))),3),0))</f>
        <v>0</v>
      </c>
      <c r="EZ64" s="21" t="str">
        <f>IF(EO64=0,"",MID(IF(EQ64&gt;0,"; "&amp;INDEX(nTP_Record_ID,EQ64)&amp;IF(INDEX(nTP_Label,EQ64)="",""," ("&amp;INDEX(nTP_Label,EQ64)&amp;")"),"")&amp;IF(ER64&gt;0,"; "&amp;INDEX(nTP_Record_ID,ER64)&amp;IF(INDEX(nTP_Label,ER64)="",""," ("&amp;INDEX(nTP_Label,ER64)&amp;")"),"")&amp;IF(ES64&gt;0,"; "&amp;INDEX(nTP_Record_ID,ES64)&amp;IF(INDEX(nTP_Label,ES64)="",""," ("&amp;INDEX(nTP_Label,ES64)&amp;")"),"")&amp;IF(EO64&gt;3,"; and "&amp;(EO64-3)&amp;" more",""),3,999))</f>
        <v/>
      </c>
      <c r="FA64" s="21" t="str">
        <f>IF(EO64=0,"",MID(IF(EQ64&gt;0,"; "&amp;INDEX(nTP_Record_ID,EQ64),"")&amp;IF(ER64&gt;0,"; "&amp;INDEX(nTP_Record_ID,ER64),"")&amp;IF(ES64&gt;0,"; "&amp;INDEX(nTP_Record_ID,ES64),"")&amp;IF(EO64&gt;3,"; and "&amp;(EO64-3)&amp;" more",""),3,999))</f>
        <v/>
      </c>
      <c r="FB64" s="21" t="str">
        <f>IF(EP64=0,"",MID(IF(ET64&gt;0,"; "&amp;INDEX(nTP_Record_ID,ET64)&amp;IF(INDEX(nTP_Label,ET64)="",""," ("&amp;INDEX(nTP_Label,ET64)&amp;")"),"")&amp;IF(EU64&gt;0,"; "&amp;INDEX(nTP_Record_ID,EU64)&amp;IF(INDEX(nTP_Label,EU64)="",""," ("&amp;INDEX(nTP_Label,EU64)&amp;")"),"")&amp;IF(EV64&gt;0,"; "&amp;INDEX(nTP_Record_ID,EV64)&amp;IF(INDEX(nTP_Label,EV64)="",""," ("&amp;INDEX(nTP_Label,EV64)&amp;")"),"")&amp;IF(EP64&gt;3,"; and "&amp;(EP64-3)&amp;" more",""),3,999))</f>
        <v/>
      </c>
      <c r="FC64" s="21" t="str">
        <f>IF(CE64=0,"",MID(IF(EW64&gt;0,"; "&amp;INDEX(nTP_Record_ID,EW64),"")&amp;IF(EX64&gt;0,"; "&amp;INDEX(nTP_Record_ID,EX64),"")&amp;IF(EY64&gt;0,"; "&amp;INDEX(nTP_Record_ID,EY64),"")&amp;IF(CE64&gt;3,"; and "&amp;(CE64-3)&amp;" more",""),3,999))</f>
        <v/>
      </c>
      <c r="FD64" s="22">
        <f t="shared" si="118"/>
        <v>1</v>
      </c>
      <c r="FE64" s="22">
        <f t="shared" si="119"/>
        <v>0</v>
      </c>
      <c r="FF64" s="22">
        <f t="shared" si="120"/>
        <v>0</v>
      </c>
      <c r="FG64" s="22">
        <f t="shared" si="121"/>
        <v>0</v>
      </c>
      <c r="FH64" s="22">
        <f t="shared" si="122"/>
        <v>0</v>
      </c>
      <c r="FI64" s="22">
        <f t="shared" si="123"/>
        <v>0</v>
      </c>
      <c r="FJ64" s="22">
        <f t="shared" si="124"/>
        <v>0</v>
      </c>
      <c r="FK64" s="22">
        <f t="shared" si="125"/>
        <v>0</v>
      </c>
    </row>
    <row r="65" spans="1:167" x14ac:dyDescent="0.2">
      <c r="A65" s="9" t="s">
        <v>1140</v>
      </c>
      <c r="B65" s="9" t="s">
        <v>301</v>
      </c>
      <c r="C65" s="11">
        <v>2</v>
      </c>
      <c r="D65" s="9" t="s">
        <v>894</v>
      </c>
      <c r="E65" s="16" t="s">
        <v>56</v>
      </c>
      <c r="F65" s="9"/>
      <c r="G65" s="9" t="s">
        <v>1163</v>
      </c>
      <c r="H65" s="9" t="s">
        <v>804</v>
      </c>
      <c r="I65" s="16" t="s">
        <v>60</v>
      </c>
      <c r="J65" s="16"/>
      <c r="K65" s="9"/>
      <c r="L65" s="16"/>
      <c r="M65" s="16"/>
      <c r="N65" s="16"/>
      <c r="O65" s="9"/>
      <c r="P65" s="14"/>
      <c r="Q65" s="14"/>
      <c r="R65" s="9"/>
      <c r="S65" s="9" t="s">
        <v>1164</v>
      </c>
      <c r="T65" s="21" t="str">
        <f t="shared" si="63"/>
        <v>3 calendar days</v>
      </c>
      <c r="U65" s="21" t="str">
        <f t="shared" si="64"/>
        <v>3 calendar days</v>
      </c>
      <c r="V65" s="21">
        <f t="shared" si="65"/>
        <v>3</v>
      </c>
      <c r="W65" s="21" t="str">
        <f t="shared" si="66"/>
        <v/>
      </c>
      <c r="X65" s="21" t="str">
        <f t="shared" si="67"/>
        <v/>
      </c>
      <c r="Y65" s="21" t="str">
        <f t="shared" si="68"/>
        <v>calendar days</v>
      </c>
      <c r="Z65" s="21" t="str">
        <f t="shared" si="69"/>
        <v>C7 (C2)</v>
      </c>
      <c r="AA65" s="21" t="str">
        <f t="shared" si="70"/>
        <v>AFTER</v>
      </c>
      <c r="AB65" s="21" t="str">
        <f t="shared" si="71"/>
        <v/>
      </c>
      <c r="AC65" s="21" t="str">
        <f t="shared" si="72"/>
        <v>W_INTERVENTION_BEFORE_RECOVERY</v>
      </c>
      <c r="AD65" s="21" t="str">
        <f>IF(AW65=1,"",MID(IF(ISNUMBER(SEARCH("E_INVALID_DATE",EG65))," | E_INVALID_DATE: "&amp;SUBSTITUTE(IFERROR(INDEX(nMSG_Text,MATCH("E_INVALID_DATE",nMSG_Code,0)),""),"[input]",""),"")&amp;IF(ISNUMBER(SEARCH("E_REVERSED_BOUNDS",EG65))," | E_REVERSED_BOUNDS: "&amp;SUBSTITUTE(IFERROR(INDEX(nMSG_Text,MATCH("E_REVERSED_BOUNDS",nMSG_Code,0)),""),"[input]",""),"")&amp;IF(ISNUMBER(SEARCH("E_DUPLICATE_ID",EG65))," | E_DUPLICATE_ID: "&amp;SUBSTITUTE(IFERROR(INDEX(nMSG_Text,MATCH("E_DUPLICATE_ID",nMSG_Code,0)),""),"[input]",""),"")&amp;IF(ISNUMBER(SEARCH("E_MISSING_LINK",EG65))," | E_MISSING_LINK: "&amp;SUBSTITUTE(IFERROR(INDEX(nMSG_Text,MATCH("E_MISSING_LINK",nMSG_Code,0)),""),"[input]",""),"")&amp;IF(ISNUMBER(SEARCH("E_MISSING_INPUT",EG65))," | E_MISSING_INPUT: "&amp;SUBSTITUTE(IFERROR(INDEX(nMSG_Text,MATCH("E_MISSING_INPUT",nMSG_Code,0)),""),"[input]",IF(EH65="","an input",EH65)),"")&amp;IF(ISNUMBER(SEARCH("E_INVALID_UNIT",EG65))," | E_INVALID_UNIT: "&amp;SUBSTITUTE(IFERROR(INDEX(nMSG_Text,MATCH("E_INVALID_UNIT",nMSG_Code,0)),""),"[input]",""),"")&amp;IF(FD65=1," | W_TZ_UNKNOWN: "&amp;SUBSTITUTE(IFERROR(INDEX(nMSG_Text,MATCH("W_TZ_UNKNOWN",nMSG_Code,0)),""),"[input]",""),"")&amp;IF(FE65=1," | W_SAME_DATE_ORDER_UNKNOWN: "&amp;SUBSTITUTE(IFERROR(INDEX(nMSG_Text,MATCH("W_SAME_DATE_ORDER_UNKNOWN",nMSG_Code,0)),""),"[input]",""),"")&amp;IF(FF65=1," | W_SEQUENCE_UNCERTAIN: "&amp;SUBSTITUTE(IFERROR(INDEX(nMSG_Text,MATCH("W_SEQUENCE_UNCERTAIN",nMSG_Code,0)),""),"[input]",""),"")&amp;IF(FG65=1," | W_ADMIN_SAME_DATE_AS_ONSET: "&amp;SUBSTITUTE(IFERROR(INDEX(nMSG_Text,MATCH("W_ADMIN_SAME_DATE_AS_ONSET",nMSG_Code,0)),""),"[input]",""),"")&amp;IF(FH65=1," | W_REPORTED_TIMING_CONFLICT: "&amp;SUBSTITUTE(IFERROR(INDEX(nMSG_Text,MATCH("W_REPORTED_TIMING_CONFLICT",nMSG_Code,0)),""),"[input]",""),"")&amp;IF(FI65=1," | W_INTERVENTION_BEFORE_RECOVERY: "&amp;SUBSTITUTE(IFERROR(INDEX(nMSG_Text,MATCH("W_INTERVENTION_BEFORE_RECOVERY",nMSG_Code,0)),""),"[input]",""),"")&amp;IF(FJ65=1," | I_TREATMENT_DAY_UNDEFINED: "&amp;SUBSTITUTE(IFERROR(INDEX(nMSG_Text,MATCH("I_TREATMENT_DAY_UNDEFINED",nMSG_Code,0)),""),"[input]",""),"")&amp;IF(FK65=1," | I_APPROXIMATE_NOT_COMPARED: "&amp;SUBSTITUTE(IFERROR(INDEX(nMSG_Text,MATCH("I_APPROXIMATE_NOT_COMPARED",nMSG_Code,0)),""),"[input]",""),""),4,9999))</f>
        <v>W_INTERVENTION_BEFORE_RECOVERY: Treatment was given before recovery, so recovery cannot be attributed to withdrawal alone.</v>
      </c>
      <c r="AE65" s="21" t="str">
        <f t="shared" si="73"/>
        <v/>
      </c>
      <c r="AF65" s="21" t="str">
        <f t="shared" si="74"/>
        <v/>
      </c>
      <c r="AG65" s="21" t="str">
        <f>IF(EN65="","",MID(IF(ISNUMBER(SEARCH("E_REVERSED_BOUNDS",EN65))," | E_REVERSED_BOUNDS: "&amp;SUBSTITUTE(IFERROR(INDEX(nMSG_Text,MATCH("E_REVERSED_BOUNDS",nMSG_Code,0)),""),"[input]",""),"")&amp;IF(ISNUMBER(SEARCH("E_MISSING_INPUT",EN65))," | E_MISSING_INPUT: "&amp;SUBSTITUTE(IFERROR(INDEX(nMSG_Text,MATCH("E_MISSING_INPUT",nMSG_Code,0)),""),"[input]",IF("the source of the constraint"="","an input","the source of the constraint")),""),4,999))</f>
        <v/>
      </c>
      <c r="AH65" s="21" t="str">
        <f t="shared" si="75"/>
        <v/>
      </c>
      <c r="AI65" s="21" t="str">
        <f t="shared" si="76"/>
        <v>EX-DIG/STOP → M-IMPROVE (recovery)</v>
      </c>
      <c r="AJ65" s="21" t="str">
        <f t="shared" si="77"/>
        <v>EX-DIG/STOP</v>
      </c>
      <c r="AK65" s="21" t="str">
        <f t="shared" si="78"/>
        <v>M-IMPROVE</v>
      </c>
      <c r="AL65" s="21" t="str">
        <f>IF(CY65=0,"",INDEX(nTP_ISO,CY65))</f>
        <v>2026-07-05</v>
      </c>
      <c r="AM65" s="21" t="str">
        <f>IF(CY65=0,"",INDEX(nTP_Display,CY65))</f>
        <v>5 July 2026</v>
      </c>
      <c r="AN65" s="21" t="str">
        <f>IF(BI65=0,"",INDEX(nTP_ISO,BI65))</f>
        <v>2026-07-08</v>
      </c>
      <c r="AO65" s="21" t="str">
        <f>IF(BI65=0,"",INDEX(nTP_Display,BI65))</f>
        <v>8 July 2026</v>
      </c>
      <c r="AP65" s="21" t="str">
        <f>IF(BA65=0,"",INDEX(nLNK_Exposure_Episode_ID,BA65)&amp;"")</f>
        <v>EX-DIG</v>
      </c>
      <c r="AQ65" s="21" t="str">
        <f>IF(BA65=0,"",INDEX(nLNK_Event_Episode_ID,BA65)&amp;"")</f>
        <v>EV-1</v>
      </c>
      <c r="AR65" s="21" t="str">
        <f t="shared" si="79"/>
        <v>Anchor (CESSATION) EX-DIG/STOP: 2026-07-05 [day; case measurement; original: "Digoxin and ibuprofen withheld (5 July)"; source: Emergency department note] | End point M-IMPROVE: 2026-07-08 [day; case measurement; original: "Nausea resolved, ventricular rate 64"; source: Ward note, 8 July 2026]</v>
      </c>
      <c r="AS65" s="21" t="str">
        <f>IF(EI65=0,"",MID(IF(DT65=1," | Recovery interval (C7) computed with "&amp;DS65&amp;".","")&amp;IF(BG65=1," | Anchor selected under C5 (CALC-SPEC 1.1): latest administration with an exact date or time at or before "&amp;IF(BH65=1,"onset","the end point")&amp;" ("&amp;AJ65&amp;"), ordered in UTC when offsets are known; later administrations are never selected.","")&amp;IF(AND(BG65=1,CE65&gt;0)," | Partial-date administrations wholly before the selected one were not candidates: "&amp;FC65&amp;".","")&amp;IF(BV65&lt;&gt;""," | "&amp;BV65,"")&amp;IF(AND(DS65="C2",EA65=0,DZ65&lt;&gt;"")," | Same calendar date; both times are known, so C1 decides the order ("&amp;AA65&amp;").","")&amp;IF(AND(DS65="C2",DD65*BN65=1,DT65=0)," | Calendar-date difference from the recorded local dates; it is never described as elapsed days.","")&amp;IF(AND(DS65="C4",DT65=0)," | Bounds are treated as independent; no single date is imputed from them.","")&amp;IF(EJ65=1," | Treatment day under the inclusive convention (C3); never written to E2B fields automatically.","")&amp;IF(AND(DS65="C4",DT65=0,EK65=0)," | No constraint applied.","")&amp;IF(AND(DS65="C4",EK65=1)," | Constraint applied to the anchor bounds: "&amp;IF(ISNUMBER(P65),"not before "&amp;DAY(P65)&amp;" "&amp;INDEX(nLIST_Months,MONTH(P65))&amp;" "&amp;YEAR(P65),"")&amp;IF(AND(ISNUMBER(P65),ISNUMBER(Q65)),", ","")&amp;IF(ISNUMBER(Q65),"not after "&amp;DAY(Q65)&amp;" "&amp;INDEX(nLIST_Months,MONTH(Q65))&amp;" "&amp;YEAR(Q65),"")&amp;". Source: "&amp;IF(R65="","not recorded",R65)&amp;IF(EN65="",". Constrained result shown beside the unconstrained one.",". Constrained result blocked ("&amp;EN65&amp;")."),"")&amp;IF(DT65=1,IF(EO65&gt;0," | Intervention recorded between cessation and recovery (ends included): "&amp;EZ65&amp;"."," | No intervention is recorded between cessation and recovery; absence of a record is not evidence that none was given."),"")&amp;IF(AND(DT65=1,DV65&gt;0)," | Intervention recorded without a date, so whether it came before recovery is unknown: "&amp;INDEX(nMS_Milestone_ID,MATCH(1,INDEX((nMS_CaseKey=AX65)*(nMS_Type="INTERVENTION")*nMS_Undated,0),0))&amp;IF(DV65&gt;1," and "&amp;(DV65-1)&amp;" more","")&amp;".","")&amp;IF(AND(DT65=1,EP65&gt;0)," | Not counted as interventions, because they are recorded as exposures rather than as intervention milestones (nothing is inferred): "&amp;FB65&amp;". If treatment was given, record it as an intervention milestone.",""),4,9999))</f>
        <v>Recovery interval (C7) computed with C2. | Intervention recorded between cessation and recovery (ends included): M-FLUIDS (IV fluids, cardiac monitoring (treatments 5-8 July beyond fluids not reported)).</v>
      </c>
      <c r="AT65" s="21" t="str">
        <f t="shared" si="80"/>
        <v>The interval describes the sequence and spacing of recorded times; it is not evidence of causation. A recovery interval is not, by itself, evidence of positive dechallenge.</v>
      </c>
      <c r="AU65" s="21" t="str">
        <f t="shared" si="81"/>
        <v>M-FLUIDS</v>
      </c>
      <c r="AV65" s="21" t="str">
        <f t="shared" si="82"/>
        <v>CALC-SPEC 1.1</v>
      </c>
      <c r="AW65" s="22">
        <f t="shared" si="83"/>
        <v>0</v>
      </c>
      <c r="AX65" s="21" t="str">
        <f t="shared" si="84"/>
        <v>EX-C04|2</v>
      </c>
      <c r="AY65" s="21" t="str">
        <f t="shared" si="85"/>
        <v>EX-C04|2|I06</v>
      </c>
      <c r="AZ65" s="22">
        <f>IF(AY65="",0,COUNTIF(nINT_Key,AY65))</f>
        <v>1</v>
      </c>
      <c r="BA65" s="22">
        <f>IF(D65="",0,IFERROR(MATCH(AX65&amp;"|"&amp;D65,nLNK_Key,0),0))</f>
        <v>25</v>
      </c>
      <c r="BB65" s="22">
        <f>IF(BA65=0,1,INDEX(nLNK_Exp_Found,BA65))</f>
        <v>1</v>
      </c>
      <c r="BC65" s="22">
        <f>IF(BA65=0,1,INDEX(nLNK_Evt_Found,BA65))</f>
        <v>1</v>
      </c>
      <c r="BD65" s="22">
        <f>IF(AP65="",0,COUNTIF(nEXP_Key,AX65&amp;"|"&amp;AP65))</f>
        <v>1</v>
      </c>
      <c r="BE65" s="22">
        <f>IF(AQ65="",0,COUNTIF(nEVT_Key,AX65&amp;"|"&amp;AQ65))</f>
        <v>1</v>
      </c>
      <c r="BF65" s="22">
        <f>IF(ISNA(MATCH(E65,nLIST_AnchorType,0)),0,1)</f>
        <v>1</v>
      </c>
      <c r="BG65" s="22">
        <f t="shared" si="86"/>
        <v>0</v>
      </c>
      <c r="BH65" s="22">
        <f t="shared" si="87"/>
        <v>0</v>
      </c>
      <c r="BI65" s="22">
        <f>IF(OR(AW65=1,AK65=""),0,IFERROR(MATCH(AX65&amp;"|"&amp;AK65,nTP_Key,0),0))</f>
        <v>437</v>
      </c>
      <c r="BJ65" s="21">
        <f>IF(BI65=0,0,INDEX(nTP_Dup,BI65))</f>
        <v>1</v>
      </c>
      <c r="BK65" s="21" t="str">
        <f>IF(BI65=0,"",INDEX(nTP_Record_Type,BI65))</f>
        <v>MILESTONE:RECOVERY</v>
      </c>
      <c r="BL65" s="21" t="str">
        <f>IF(BI65=0,"",INDEX(nTP_Precision,BI65))</f>
        <v>DATE</v>
      </c>
      <c r="BM65" s="21" t="str">
        <f>IF(BI65=0,"",INDEX(nTP_Err,BI65))</f>
        <v/>
      </c>
      <c r="BN65" s="21">
        <f>IF(BI65=0,0,INDEX(nTP_HT,BI65))</f>
        <v>0</v>
      </c>
      <c r="BO65" s="21">
        <f>IF(BI65=0,0,INDEX(nTP_OK,BI65))</f>
        <v>0</v>
      </c>
      <c r="BP65" s="21" t="str">
        <f>IF(BI65=0,"",INDEX(nTP_Loc,BI65))</f>
        <v/>
      </c>
      <c r="BQ65" s="21" t="str">
        <f>IF(BI65=0,"",INDEX(nTP_UTC,BI65))</f>
        <v/>
      </c>
      <c r="BR65" s="21">
        <f>IF(BI65=0,"",INDEX(nTP_Lo,BI65))</f>
        <v>46211</v>
      </c>
      <c r="BS65" s="21">
        <f>IF(BI65=0,"",INDEX(nTP_Hi,BI65))</f>
        <v>46211</v>
      </c>
      <c r="BT65" s="21" t="str">
        <f>IF(BI65=0,"",INDEX(nTP_Original_Text,BI65))</f>
        <v>Nausea resolved, ventricular rate 64</v>
      </c>
      <c r="BU65" s="21" t="str">
        <f>IF(BI65=0,"",INDEX(nTP_Source,BI65))</f>
        <v>Ward note, 8 July 2026</v>
      </c>
      <c r="BV65" s="21" t="str">
        <f>IF(BI65=0,"",INDEX(nTP_Lab_Note,BI65))</f>
        <v/>
      </c>
      <c r="BW65" s="22">
        <f t="shared" si="88"/>
        <v>1</v>
      </c>
      <c r="BX65" s="21" t="str">
        <f t="shared" si="89"/>
        <v>EX-C04|2|EX-DIG</v>
      </c>
      <c r="BY65" s="22">
        <f>IF(BG65=0,0,COUNTIF(nTP_CandKey,BX65))</f>
        <v>0</v>
      </c>
      <c r="BZ65" s="22">
        <f>IF(BG65=0,0,COUNTIFS(nTP_CandKey,BX65,nTP_Err,""))</f>
        <v>0</v>
      </c>
      <c r="CA65" s="21" t="str">
        <f>IF(BY65=BZ65,"",IF(COUNTIFS(nTP_CandKey,BX65,nTP_Err,"E_INVALID_DATE")&gt;0,"; E_INVALID_DATE","")&amp;IF(COUNTIFS(nTP_CandKey,BX65,nTP_Err,"E_REVERSED_BOUNDS")&gt;0,"; E_REVERSED_BOUNDS","")&amp;IF(COUNTIFS(nTP_CandKey,BX65,nTP_Err,"E_MISSING_INPUT")&gt;0,"; E_MISSING_INPUT","")&amp;IF(COUNTIFS(nTP_CandKey,BX65,nTP_Err,"E_INVALID_UNIT")&gt;0,"; E_INVALID_UNIT",""))</f>
        <v/>
      </c>
      <c r="CB65" s="22">
        <f t="shared" si="90"/>
        <v>0</v>
      </c>
      <c r="CC65" s="22">
        <f>IF(CB65=0,0,SUMPRODUCT((nTP_CandKey=BX65)*(nTP_Err="")*(1-(nTP_HT*BN65*((nTP_OK*BO65*(nTP_UTC_n-N(BQ65))+(1-nTP_OK*BO65)*(nTP_Loc_n-N(BP65)))&lt;=0)+(1-nTP_HT*BN65)*(nTP_Hi_n&lt;N(BR65)))-(nTP_HT*BN65*((nTP_OK*BO65*(nTP_UTC_n-N(BQ65))+(1-nTP_OK*BO65)*(nTP_Loc_n-N(BP65)))&gt;0)+(1-nTP_HT*BN65)*(nTP_Lo_n&gt;N(BS65)))-((1-nTP_HT*BN65)*(nTP_Lo_n=nTP_Hi_n)*(nTP_Lo_n=N(BR65))*(N(BR65)=N(BS65))))))</f>
        <v>0</v>
      </c>
      <c r="CD65" s="22">
        <f>IF(CB65=0,0,SUMPRODUCT((nTP_CandKey=BX65)*nTP_Exact*((nTP_HT*BN65*((nTP_OK*BO65*(nTP_UTC_n-N(BQ65))+(1-nTP_OK*BO65)*(nTP_Loc_n-N(BP65)))&lt;=0)+(1-nTP_HT*BN65)*(nTP_Hi_n&lt;N(BR65)))+((1-nTP_HT*BN65)*(nTP_Lo_n=nTP_Hi_n)*(nTP_Lo_n=N(BR65))*(N(BR65)=N(BS65))))))</f>
        <v>0</v>
      </c>
      <c r="CE65" s="22">
        <f>IF(CB65=0,0,SUMPRODUCT((nTP_CandKey=BX65)*(nTP_Err="")*(1-nTP_Exact)*((nTP_HT*BN65*((nTP_OK*BO65*(nTP_UTC_n-N(BQ65))+(1-nTP_OK*BO65)*(nTP_Loc_n-N(BP65)))&lt;=0)+(1-nTP_HT*BN65)*(nTP_Hi_n&lt;N(BR65)))+((1-nTP_HT*BN65)*(nTP_Lo_n=nTP_Hi_n)*(nTP_Lo_n=N(BR65))*(N(BR65)=N(BS65))))))</f>
        <v>0</v>
      </c>
      <c r="CF65" s="22">
        <f>IF(CD65=0,0,SUMPRODUCT(MAX((nTP_CandKey=BX65)*nTP_Exact*((nTP_HT*BN65*((nTP_OK*BO65*(nTP_UTC_n-N(BQ65))+(1-nTP_OK*BO65)*(nTP_Loc_n-N(BP65)))&lt;=0)+(1-nTP_HT*BN65)*(nTP_Hi_n&lt;N(BR65)))+((1-nTP_HT*BN65)*(nTP_Lo_n=nTP_Hi_n)*(nTP_Lo_n=N(BR65))*(N(BR65)=N(BS65))))*nTP_Lo_n)))</f>
        <v>0</v>
      </c>
      <c r="CG65" s="22">
        <f>IF(CD65=0,0,SUMPRODUCT((nTP_CandKey=BX65)*nTP_Exact*((nTP_HT*BN65*((nTP_OK*BO65*(nTP_UTC_n-N(BQ65))+(1-nTP_OK*BO65)*(nTP_Loc_n-N(BP65)))&lt;=0)+(1-nTP_HT*BN65)*(nTP_Hi_n&lt;N(BR65)))+((1-nTP_HT*BN65)*(nTP_Lo_n=nTP_Hi_n)*(nTP_Lo_n=N(BR65))*(N(BR65)=N(BS65))))*(nTP_Lo_n=CF65)))</f>
        <v>0</v>
      </c>
      <c r="CH65" s="22">
        <f>IF(CD65=0,0,SUMPRODUCT((nTP_CandKey=BX65)*nTP_Exact*((nTP_HT*BN65*((nTP_OK*BO65*(nTP_UTC_n-N(BQ65))+(1-nTP_OK*BO65)*(nTP_Loc_n-N(BP65)))&lt;=0)+(1-nTP_HT*BN65)*(nTP_Hi_n&lt;N(BR65)))+((1-nTP_HT*BN65)*(nTP_Lo_n=nTP_Hi_n)*(nTP_Lo_n=N(BR65))*(N(BR65)=N(BS65))))*(1-nTP_HT)*(nTP_Lo_n=CF65)))</f>
        <v>0</v>
      </c>
      <c r="CI65" s="22">
        <f>IF(CD65=0,0,SUMPRODUCT(MAX((nTP_CandKey=BX65)*nTP_Exact*((nTP_HT*BN65*((nTP_OK*BO65*(nTP_UTC_n-N(BQ65))+(1-nTP_OK*BO65)*(nTP_Loc_n-N(BP65)))&lt;=0)+(1-nTP_HT*BN65)*(nTP_Hi_n&lt;N(BR65)))+((1-nTP_HT*BN65)*(nTP_Lo_n=nTP_Hi_n)*(nTP_Lo_n=N(BR65))*(N(BR65)=N(BS65))))*(1-nTP_HT)*nTP_Lo_n)))</f>
        <v>0</v>
      </c>
      <c r="CJ65" s="22">
        <f>IF(CD65=0,0,SUMPRODUCT(MAX((nTP_CandKey=BX65)*nTP_Exact*((nTP_HT*BN65*((nTP_OK*BO65*(nTP_UTC_n-N(BQ65))+(1-nTP_OK*BO65)*(nTP_Loc_n-N(BP65)))&lt;=0)+(1-nTP_HT*BN65)*(nTP_Hi_n&lt;N(BR65)))+((1-nTP_HT*BN65)*(nTP_Lo_n=nTP_Hi_n)*(nTP_Lo_n=N(BR65))*(N(BR65)=N(BS65))))*nTP_HT*nTP_OK*nTP_UTC_n)))</f>
        <v>0</v>
      </c>
      <c r="CK65" s="22">
        <f>IF(CJ65=0,0,SUMPRODUCT((nTP_CandKey=BX65)*nTP_Exact*((nTP_HT*BN65*((nTP_OK*BO65*(nTP_UTC_n-N(BQ65))+(1-nTP_OK*BO65)*(nTP_Loc_n-N(BP65)))&lt;=0)+(1-nTP_HT*BN65)*(nTP_Hi_n&lt;N(BR65)))+((1-nTP_HT*BN65)*(nTP_Lo_n=nTP_Hi_n)*(nTP_Lo_n=N(BR65))*(N(BR65)=N(BS65))))*nTP_HT*nTP_OK*(nTP_UTC_n=CJ65)))</f>
        <v>0</v>
      </c>
      <c r="CL65" s="22">
        <f>IF(CK65&lt;&gt;1,0,SUMPRODUCT((nTP_CandKey=BX65)*nTP_Exact*((nTP_HT*BN65*((nTP_OK*BO65*(nTP_UTC_n-N(BQ65))+(1-nTP_OK*BO65)*(nTP_Loc_n-N(BP65)))&lt;=0)+(1-nTP_HT*BN65)*(nTP_Hi_n&lt;N(BR65)))+((1-nTP_HT*BN65)*(nTP_Lo_n=nTP_Hi_n)*(nTP_Lo_n=N(BR65))*(N(BR65)=N(BS65))))*nTP_HT*nTP_OK*(nTP_UTC_n=CJ65)*nTP_Loc_n))</f>
        <v>0</v>
      </c>
      <c r="CM65" s="22">
        <f>IF(CK65&lt;&gt;1,0,SUMPRODUCT((nTP_CandKey=BX65)*nTP_Exact*((nTP_HT*BN65*((nTP_OK*BO65*(nTP_UTC_n-N(BQ65))+(1-nTP_OK*BO65)*(nTP_Loc_n-N(BP65)))&lt;=0)+(1-nTP_HT*BN65)*(nTP_Hi_n&lt;N(BR65)))+((1-nTP_HT*BN65)*(nTP_Lo_n=nTP_Hi_n)*(nTP_Lo_n=N(BR65))*(N(BR65)=N(BS65))))*nTP_HT*nTP_OK*(nTP_UTC_n=CJ65)*nTP_Lo_n))</f>
        <v>0</v>
      </c>
      <c r="CN65" s="22">
        <f>IF(CD65=0,0,SUMPRODUCT(MAX((nTP_CandKey=BX65)*nTP_Exact*((nTP_HT*BN65*((nTP_OK*BO65*(nTP_UTC_n-N(BQ65))+(1-nTP_OK*BO65)*(nTP_Loc_n-N(BP65)))&lt;=0)+(1-nTP_HT*BN65)*(nTP_Hi_n&lt;N(BR65)))+((1-nTP_HT*BN65)*(nTP_Lo_n=nTP_Hi_n)*(nTP_Lo_n=N(BR65))*(N(BR65)=N(BS65))))*nTP_HT*(1-nTP_OK)*nTP_Loc_n)))</f>
        <v>0</v>
      </c>
      <c r="CO65" s="22">
        <f>IF(CN65=0,0,SUMPRODUCT((nTP_CandKey=BX65)*nTP_Exact*((nTP_HT*BN65*((nTP_OK*BO65*(nTP_UTC_n-N(BQ65))+(1-nTP_OK*BO65)*(nTP_Loc_n-N(BP65)))&lt;=0)+(1-nTP_HT*BN65)*(nTP_Hi_n&lt;N(BR65)))+((1-nTP_HT*BN65)*(nTP_Lo_n=nTP_Hi_n)*(nTP_Lo_n=N(BR65))*(N(BR65)=N(BS65))))*nTP_HT*(1-nTP_OK)*(nTP_Loc_n=CN65)))</f>
        <v>0</v>
      </c>
      <c r="CP65" s="22">
        <f>IF(CO65&lt;&gt;1,0,SUMPRODUCT((nTP_CandKey=BX65)*nTP_Exact*((nTP_HT*BN65*((nTP_OK*BO65*(nTP_UTC_n-N(BQ65))+(1-nTP_OK*BO65)*(nTP_Loc_n-N(BP65)))&lt;=0)+(1-nTP_HT*BN65)*(nTP_Hi_n&lt;N(BR65)))+((1-nTP_HT*BN65)*(nTP_Lo_n=nTP_Hi_n)*(nTP_Lo_n=N(BR65))*(N(BR65)=N(BS65))))*nTP_HT*(1-nTP_OK)*(nTP_Loc_n=CN65)*nTP_Lo_n))</f>
        <v>0</v>
      </c>
      <c r="CQ65" s="22">
        <f>IF(CD65=0,0,SUMPRODUCT(MAX((nTP_CandKey=BX65)*nTP_Exact*((nTP_HT*BN65*((nTP_OK*BO65*(nTP_UTC_n-N(BQ65))+(1-nTP_OK*BO65)*(nTP_Loc_n-N(BP65)))&lt;=0)+(1-nTP_HT*BN65)*(nTP_Hi_n&lt;N(BR65)))+((1-nTP_HT*BN65)*(nTP_Lo_n=nTP_Hi_n)*(nTP_Lo_n=N(BR65))*(N(BR65)=N(BS65))))*nTP_HT*nTP_OK*nTP_Loc_n)))</f>
        <v>0</v>
      </c>
      <c r="CR65" s="22">
        <f t="shared" si="91"/>
        <v>0</v>
      </c>
      <c r="CS65" s="22">
        <f>IF(CR65=0,0,IF(CR65=1,MATCH(1,INDEX((nTP_CandKey=BX65)*nTP_Exact*((nTP_HT*BN65*((nTP_OK*BO65*(nTP_UTC_n-N(BQ65))+(1-nTP_OK*BO65)*(nTP_Loc_n-N(BP65)))&lt;=0)+(1-nTP_HT*BN65)*(nTP_Hi_n&lt;N(BR65)))+((1-nTP_HT*BN65)*(nTP_Lo_n=nTP_Hi_n)*(nTP_Lo_n=N(BR65))*(N(BR65)=N(BS65))))*(1-nTP_HT)*(nTP_Lo_n=CF65),0),0),IF(CR65=2,MATCH(1,INDEX((nTP_CandKey=BX65)*nTP_Exact*((nTP_HT*BN65*((nTP_OK*BO65*(nTP_UTC_n-N(BQ65))+(1-nTP_OK*BO65)*(nTP_Loc_n-N(BP65)))&lt;=0)+(1-nTP_HT*BN65)*(nTP_Hi_n&lt;N(BR65)))+((1-nTP_HT*BN65)*(nTP_Lo_n=nTP_Hi_n)*(nTP_Lo_n=N(BR65))*(N(BR65)=N(BS65))))*nTP_HT*nTP_OK*(nTP_UTC_n=CJ65),0),0),MATCH(1,INDEX((nTP_CandKey=BX65)*nTP_Exact*((nTP_HT*BN65*((nTP_OK*BO65*(nTP_UTC_n-N(BQ65))+(1-nTP_OK*BO65)*(nTP_Loc_n-N(BP65)))&lt;=0)+(1-nTP_HT*BN65)*(nTP_Hi_n&lt;N(BR65)))+((1-nTP_HT*BN65)*(nTP_Lo_n=nTP_Hi_n)*(nTP_Lo_n=N(BR65))*(N(BR65)=N(BS65))))*nTP_HT*(1-nTP_OK)*(nTP_Loc_n=CN65),0),0))))</f>
        <v>0</v>
      </c>
      <c r="CT65" s="22">
        <f>IF(CS65=0,0,INDEX(nTP_Lo_n,CS65))</f>
        <v>0</v>
      </c>
      <c r="CU65" s="22">
        <f>IF(CS65=0,0,SUMPRODUCT((nTP_CandKey=BX65)*(nTP_Err="")*(1-nTP_Exact)*((nTP_HT*BN65*((nTP_OK*BO65*(nTP_UTC_n-N(BQ65))+(1-nTP_OK*BO65)*(nTP_Loc_n-N(BP65)))&lt;=0)+(1-nTP_HT*BN65)*(nTP_Hi_n&lt;N(BR65)))+((1-nTP_HT*BN65)*(nTP_Lo_n=nTP_Hi_n)*(nTP_Lo_n=N(BR65))*(N(BR65)=N(BS65))))*(nTP_Hi_n&gt;=CT65)))</f>
        <v>0</v>
      </c>
      <c r="CV65" s="21" t="str">
        <f t="shared" si="92"/>
        <v/>
      </c>
      <c r="CW65" s="21" t="str">
        <f>IF(AND(BG65=1,CB65=1,CV65="",CS65&gt;0),INDEX(nTP_Record_ID,CS65)&amp;"","")</f>
        <v/>
      </c>
      <c r="CX65" s="21" t="str">
        <f>IF(OR(CV65="",BG65=0),"",IF(CV65="none","an administration record (last dose before onset)",IF(CV65="uncertain","the anchor record: "&amp;INDEX(nTP_Record_ID,MATCH(1,INDEX((nTP_CandKey=BX65)*(nTP_Err="")*(1-(nTP_HT*BN65*((nTP_OK*BO65*(nTP_UTC_n-N(BQ65))+(1-nTP_OK*BO65)*(nTP_Loc_n-N(BP65)))&lt;=0)+(1-nTP_HT*BN65)*(nTP_Hi_n&lt;N(BR65)))-(nTP_HT*BN65*((nTP_OK*BO65*(nTP_UTC_n-N(BQ65))+(1-nTP_OK*BO65)*(nTP_Loc_n-N(BP65)))&gt;0)+(1-nTP_HT*BN65)*(nTP_Lo_n&gt;N(BS65)))-((1-nTP_HT*BN65)*(nTP_Lo_n=nTP_Hi_n)*(nTP_Lo_n=N(BR65))*(N(BR65)=N(BS65)))),0),0))&amp;IF(CC65&gt;1," and "&amp;(CC65-1)&amp;" more","")&amp;" may fall before or after the end point, so the last dose cannot be identified from the recorded dates",IF(CV65="noneligible","the anchor record: no administration with an exact date is recorded at or before the end point",IF(CV65="tie","the anchor record: the order of the latest administrations cannot be told from the recorded dates and times","the anchor record: partial-date administration "&amp;INDEX(nTP_Record_ID,MATCH(1,INDEX((nTP_CandKey=BX65)*(nTP_Err="")*(1-nTP_Exact)*((nTP_HT*BN65*((nTP_OK*BO65*(nTP_UTC_n-N(BQ65))+(1-nTP_OK*BO65)*(nTP_Loc_n-N(BP65)))&lt;=0)+(1-nTP_HT*BN65)*(nTP_Hi_n&lt;N(BR65)))+((1-nTP_HT*BN65)*(nTP_Lo_n=nTP_Hi_n)*(nTP_Lo_n=N(BR65))*(N(BR65)=N(BS65))))*(nTP_Hi_n&gt;=CT65),0),0))&amp;" could be the last dose before the end point")))))</f>
        <v/>
      </c>
      <c r="CY65" s="22">
        <f>IF(OR(AW65=1,AJ65=""),0,IFERROR(MATCH(AX65&amp;"|"&amp;AJ65,nTP_Key,0),0))</f>
        <v>107</v>
      </c>
      <c r="CZ65" s="21">
        <f>IF(CY65=0,0,INDEX(nTP_Dup,CY65))</f>
        <v>1</v>
      </c>
      <c r="DA65" s="21" t="str">
        <f>IF(CY65=0,"",INDEX(nTP_Record_Type,CY65))</f>
        <v>EXPOSURE_STOP</v>
      </c>
      <c r="DB65" s="21" t="str">
        <f>IF(CY65=0,"",INDEX(nTP_Precision,CY65))</f>
        <v>DATE</v>
      </c>
      <c r="DC65" s="21" t="str">
        <f>IF(CY65=0,"",INDEX(nTP_Err,CY65))</f>
        <v/>
      </c>
      <c r="DD65" s="21">
        <f>IF(CY65=0,0,INDEX(nTP_HT,CY65))</f>
        <v>0</v>
      </c>
      <c r="DE65" s="21">
        <f>IF(CY65=0,0,INDEX(nTP_OK,CY65))</f>
        <v>0</v>
      </c>
      <c r="DF65" s="21" t="str">
        <f>IF(CY65=0,"",INDEX(nTP_Loc,CY65))</f>
        <v/>
      </c>
      <c r="DG65" s="21" t="str">
        <f>IF(CY65=0,"",INDEX(nTP_UTC,CY65))</f>
        <v/>
      </c>
      <c r="DH65" s="21">
        <f>IF(CY65=0,"",INDEX(nTP_Lo,CY65))</f>
        <v>46208</v>
      </c>
      <c r="DI65" s="21">
        <f>IF(CY65=0,"",INDEX(nTP_Hi,CY65))</f>
        <v>46208</v>
      </c>
      <c r="DJ65" s="21" t="str">
        <f>IF(CY65=0,"",INDEX(nTP_Original_Text,CY65))</f>
        <v>Digoxin and ibuprofen withheld (5 July)</v>
      </c>
      <c r="DK65" s="21" t="str">
        <f>IF(CY65=0,"",INDEX(nTP_Source,CY65))</f>
        <v>Emergency department note</v>
      </c>
      <c r="DL65" s="22">
        <f t="shared" si="93"/>
        <v>1</v>
      </c>
      <c r="DM65" s="21" t="str">
        <f t="shared" si="94"/>
        <v/>
      </c>
      <c r="DN65" s="21" t="str">
        <f t="shared" si="95"/>
        <v/>
      </c>
      <c r="DO65" s="21" t="str">
        <f t="shared" si="96"/>
        <v/>
      </c>
      <c r="DP65" s="21" t="str">
        <f t="shared" si="97"/>
        <v/>
      </c>
      <c r="DQ65" s="21" t="str">
        <f t="shared" si="98"/>
        <v>C2</v>
      </c>
      <c r="DR65" s="22">
        <f>IF(OR(DQ65="",I65=""),0,IF(ISNA(MATCH(I65,nLIST_Mode,0)),1,IF(AND(I65="C1",DQ65&lt;&gt;"C1"),1,IF(AND(I65="C2",DQ65="C4"),1,0))))</f>
        <v>0</v>
      </c>
      <c r="DS65" s="21" t="str">
        <f t="shared" si="99"/>
        <v>C2</v>
      </c>
      <c r="DT65" s="22">
        <f t="shared" si="100"/>
        <v>1</v>
      </c>
      <c r="DU65" s="21" t="str">
        <f>IF(DT65=0,"",IF(COUNTIFS(nTP_Case_Key,AX65,nTP_Record_Type,"MILESTONE:INTERVENTION",nTP_Err,"E_INVALID_DATE")&gt;0,"; E_INVALID_DATE","")&amp;IF(COUNTIFS(nTP_Case_Key,AX65,nTP_Record_Type,"MILESTONE:INTERVENTION",nTP_Err,"E_REVERSED_BOUNDS")&gt;0,"; E_REVERSED_BOUNDS","")&amp;IF(COUNTIFS(nTP_Case_Key,AX65,nTP_Record_Type,"MILESTONE:INTERVENTION",nTP_Err,"E_MISSING_INPUT")&gt;0,"; E_MISSING_INPUT","")&amp;IF(COUNTIFS(nTP_Case_Key,AX65,nTP_Record_Type,"MILESTONE:INTERVENTION",nTP_Err,"E_INVALID_UNIT")&gt;0,"; E_INVALID_UNIT",""))</f>
        <v/>
      </c>
      <c r="DV65" s="22">
        <f>IF(DT65=0,0,SUMPRODUCT((nMS_CaseKey=AX65)*(nMS_Type="INTERVENTION")*nMS_Undated))</f>
        <v>0</v>
      </c>
      <c r="DW65" s="21" t="str">
        <f t="shared" si="101"/>
        <v/>
      </c>
      <c r="DX65" s="21" t="str">
        <f t="shared" si="102"/>
        <v/>
      </c>
      <c r="DY65" s="22">
        <f t="shared" si="103"/>
        <v>1</v>
      </c>
      <c r="DZ65" s="21" t="str">
        <f t="shared" si="104"/>
        <v/>
      </c>
      <c r="EA65" s="21">
        <f t="shared" si="105"/>
        <v>3</v>
      </c>
      <c r="EB65" s="21" t="str">
        <f t="shared" si="106"/>
        <v/>
      </c>
      <c r="EC65" s="21" t="str">
        <f t="shared" si="107"/>
        <v/>
      </c>
      <c r="ED65" s="22">
        <f t="shared" si="108"/>
        <v>0</v>
      </c>
      <c r="EE65" s="22">
        <f t="shared" si="109"/>
        <v>0</v>
      </c>
      <c r="EF65" s="21" t="str">
        <f>IF(ED65=0,"",IF(OR(NOT(ISNUMBER(L65)),NOT(ISNUMBER(M65))),"I_APPROXIMATE_NOT_COMPARED",IF(AND(N65&lt;&gt;"",ISNA(MATCH(N65,nLIST_ReportedUnit,0))),"E_INVALID_UNIT",IF(N65="","E_MISSING_INPUT",IF(L65&gt;M65,"E_REVERSED_BOUNDS",IF(OR(N65="weeks",N65="months",N65="years"),"I_APPROXIMATE_NOT_COMPARED",IF(DX65&lt;&gt;"","",IF(EE65=0,"I_APPROXIMATE_NOT_COMPARED",IF(AND(L65*EE65&lt;=IF(DS65="C4",EC65,IF(DS65="C1",DZ65,EA65)),M65*EE65&gt;=IF(DS65="C4",EB65,IF(DS65="C1",DZ65,EA65))),"OVERLAP","W_REPORTED_TIMING_CONFLICT")))))))))</f>
        <v/>
      </c>
      <c r="EG65" s="21" t="str">
        <f t="shared" si="110"/>
        <v/>
      </c>
      <c r="EH65" s="21" t="str">
        <f t="shared" si="111"/>
        <v/>
      </c>
      <c r="EI65" s="22">
        <f t="shared" si="112"/>
        <v>1</v>
      </c>
      <c r="EJ65" s="22">
        <f t="shared" si="113"/>
        <v>0</v>
      </c>
      <c r="EK65" s="22">
        <f t="shared" si="114"/>
        <v>0</v>
      </c>
      <c r="EL65" s="28" t="str">
        <f t="shared" si="115"/>
        <v/>
      </c>
      <c r="EM65" s="28" t="str">
        <f t="shared" si="116"/>
        <v/>
      </c>
      <c r="EN65" s="21" t="str">
        <f t="shared" si="117"/>
        <v/>
      </c>
      <c r="EO65" s="22">
        <f>IF(OR(DT65=0,DX65&lt;&gt;""),0,SUMPRODUCT((nTP_Case_Key=AX65)*(nTP_Record_Type="MILESTONE:INTERVENTION")*(nTP_Err="")*(nTP_HT*DD65*BN65*(nTP_OK*DE65*(nTP_UTC_n&gt;=N(DG65))+(1-nTP_OK*DE65)*(nTP_Loc_n&gt;=N(DF65)))*(nTP_OK*BO65*(nTP_UTC_n&lt;=N(BQ65))+(1-nTP_OK*BO65)*(nTP_Loc_n&lt;=N(BP65)))+(1-nTP_HT*DD65*BN65)*(nTP_Hi_n&gt;=N(DH65))*(nTP_Lo_n&lt;=N(BS65)))))</f>
        <v>1</v>
      </c>
      <c r="EP65" s="22">
        <f>IF(OR(DT65=0,DX65&lt;&gt;""),0,SUMPRODUCT((nTP_Case_Key=AX65)*(nTP_Role="treatment of the event")*((nTP_Record_Type="EXPOSURE_START")+(nTP_Record_Type="ADMINISTRATION"))*(nTP_Err="")*(nTP_HT*DD65*BN65*(nTP_OK*DE65*(nTP_UTC_n&gt;=N(DG65))+(1-nTP_OK*DE65)*(nTP_Loc_n&gt;=N(DF65)))*(nTP_OK*BO65*(nTP_UTC_n&lt;=N(BQ65))+(1-nTP_OK*BO65)*(nTP_Loc_n&lt;=N(BP65)))+(1-nTP_HT*DD65*BN65)*(nTP_Hi_n&gt;=N(DH65))*(nTP_Lo_n&lt;=N(BS65)))))</f>
        <v>0</v>
      </c>
      <c r="EQ65" s="22">
        <f>IF(EO65&lt;1,0,IFERROR(_xlfn.AGGREGATE(15,6,nTP_RowN/((nTP_Case_Key=AX65)*(nTP_Record_Type="MILESTONE:INTERVENTION")*(nTP_Err="")*(nTP_HT*DD65*BN65*(nTP_OK*DE65*(nTP_UTC_n&gt;=N(DG65))+(1-nTP_OK*DE65)*(nTP_Loc_n&gt;=N(DF65)))*(nTP_OK*BO65*(nTP_UTC_n&lt;=N(BQ65))+(1-nTP_OK*BO65)*(nTP_Loc_n&lt;=N(BP65)))+(1-nTP_HT*DD65*BN65)*(nTP_Hi_n&gt;=N(DH65))*(nTP_Lo_n&lt;=N(BS65)))),1),0))</f>
        <v>436</v>
      </c>
      <c r="ER65" s="22">
        <f>IF(EO65&lt;2,0,IFERROR(_xlfn.AGGREGATE(15,6,nTP_RowN/((nTP_Case_Key=AX65)*(nTP_Record_Type="MILESTONE:INTERVENTION")*(nTP_Err="")*(nTP_HT*DD65*BN65*(nTP_OK*DE65*(nTP_UTC_n&gt;=N(DG65))+(1-nTP_OK*DE65)*(nTP_Loc_n&gt;=N(DF65)))*(nTP_OK*BO65*(nTP_UTC_n&lt;=N(BQ65))+(1-nTP_OK*BO65)*(nTP_Loc_n&lt;=N(BP65)))+(1-nTP_HT*DD65*BN65)*(nTP_Hi_n&gt;=N(DH65))*(nTP_Lo_n&lt;=N(BS65)))),2),0))</f>
        <v>0</v>
      </c>
      <c r="ES65" s="22">
        <f>IF(EO65&lt;3,0,IFERROR(_xlfn.AGGREGATE(15,6,nTP_RowN/((nTP_Case_Key=AX65)*(nTP_Record_Type="MILESTONE:INTERVENTION")*(nTP_Err="")*(nTP_HT*DD65*BN65*(nTP_OK*DE65*(nTP_UTC_n&gt;=N(DG65))+(1-nTP_OK*DE65)*(nTP_Loc_n&gt;=N(DF65)))*(nTP_OK*BO65*(nTP_UTC_n&lt;=N(BQ65))+(1-nTP_OK*BO65)*(nTP_Loc_n&lt;=N(BP65)))+(1-nTP_HT*DD65*BN65)*(nTP_Hi_n&gt;=N(DH65))*(nTP_Lo_n&lt;=N(BS65)))),3),0))</f>
        <v>0</v>
      </c>
      <c r="ET65" s="22">
        <f>IF(EP65&lt;1,0,IFERROR(_xlfn.AGGREGATE(15,6,nTP_RowN/((nTP_Case_Key=AX65)*(nTP_Role="treatment of the event")*((nTP_Record_Type="EXPOSURE_START")+(nTP_Record_Type="ADMINISTRATION"))*(nTP_Err="")*(nTP_HT*DD65*BN65*(nTP_OK*DE65*(nTP_UTC_n&gt;=N(DG65))+(1-nTP_OK*DE65)*(nTP_Loc_n&gt;=N(DF65)))*(nTP_OK*BO65*(nTP_UTC_n&lt;=N(BQ65))+(1-nTP_OK*BO65)*(nTP_Loc_n&lt;=N(BP65)))+(1-nTP_HT*DD65*BN65)*(nTP_Hi_n&gt;=N(DH65))*(nTP_Lo_n&lt;=N(BS65)))),1),0))</f>
        <v>0</v>
      </c>
      <c r="EU65" s="22">
        <f>IF(EP65&lt;2,0,IFERROR(_xlfn.AGGREGATE(15,6,nTP_RowN/((nTP_Case_Key=AX65)*(nTP_Role="treatment of the event")*((nTP_Record_Type="EXPOSURE_START")+(nTP_Record_Type="ADMINISTRATION"))*(nTP_Err="")*(nTP_HT*DD65*BN65*(nTP_OK*DE65*(nTP_UTC_n&gt;=N(DG65))+(1-nTP_OK*DE65)*(nTP_Loc_n&gt;=N(DF65)))*(nTP_OK*BO65*(nTP_UTC_n&lt;=N(BQ65))+(1-nTP_OK*BO65)*(nTP_Loc_n&lt;=N(BP65)))+(1-nTP_HT*DD65*BN65)*(nTP_Hi_n&gt;=N(DH65))*(nTP_Lo_n&lt;=N(BS65)))),2),0))</f>
        <v>0</v>
      </c>
      <c r="EV65" s="22">
        <f>IF(EP65&lt;3,0,IFERROR(_xlfn.AGGREGATE(15,6,nTP_RowN/((nTP_Case_Key=AX65)*(nTP_Role="treatment of the event")*((nTP_Record_Type="EXPOSURE_START")+(nTP_Record_Type="ADMINISTRATION"))*(nTP_Err="")*(nTP_HT*DD65*BN65*(nTP_OK*DE65*(nTP_UTC_n&gt;=N(DG65))+(1-nTP_OK*DE65)*(nTP_Loc_n&gt;=N(DF65)))*(nTP_OK*BO65*(nTP_UTC_n&lt;=N(BQ65))+(1-nTP_OK*BO65)*(nTP_Loc_n&lt;=N(BP65)))+(1-nTP_HT*DD65*BN65)*(nTP_Hi_n&gt;=N(DH65))*(nTP_Lo_n&lt;=N(BS65)))),3),0))</f>
        <v>0</v>
      </c>
      <c r="EW65" s="22">
        <f>IF(CE65&lt;1,0,IFERROR(_xlfn.AGGREGATE(15,6,nTP_RowN/((nTP_CandKey=BX65)*(nTP_Err="")*(1-nTP_Exact)*((nTP_HT*BN65*((nTP_OK*BO65*(nTP_UTC_n-N(BQ65))+(1-nTP_OK*BO65)*(nTP_Loc_n-N(BP65)))&lt;=0)+(1-nTP_HT*BN65)*(nTP_Hi_n&lt;N(BR65)))+((1-nTP_HT*BN65)*(nTP_Lo_n=nTP_Hi_n)*(nTP_Lo_n=N(BR65))*(N(BR65)=N(BS65))))),1),0))</f>
        <v>0</v>
      </c>
      <c r="EX65" s="22">
        <f>IF(CE65&lt;2,0,IFERROR(_xlfn.AGGREGATE(15,6,nTP_RowN/((nTP_CandKey=BX65)*(nTP_Err="")*(1-nTP_Exact)*((nTP_HT*BN65*((nTP_OK*BO65*(nTP_UTC_n-N(BQ65))+(1-nTP_OK*BO65)*(nTP_Loc_n-N(BP65)))&lt;=0)+(1-nTP_HT*BN65)*(nTP_Hi_n&lt;N(BR65)))+((1-nTP_HT*BN65)*(nTP_Lo_n=nTP_Hi_n)*(nTP_Lo_n=N(BR65))*(N(BR65)=N(BS65))))),2),0))</f>
        <v>0</v>
      </c>
      <c r="EY65" s="22">
        <f>IF(CE65&lt;3,0,IFERROR(_xlfn.AGGREGATE(15,6,nTP_RowN/((nTP_CandKey=BX65)*(nTP_Err="")*(1-nTP_Exact)*((nTP_HT*BN65*((nTP_OK*BO65*(nTP_UTC_n-N(BQ65))+(1-nTP_OK*BO65)*(nTP_Loc_n-N(BP65)))&lt;=0)+(1-nTP_HT*BN65)*(nTP_Hi_n&lt;N(BR65)))+((1-nTP_HT*BN65)*(nTP_Lo_n=nTP_Hi_n)*(nTP_Lo_n=N(BR65))*(N(BR65)=N(BS65))))),3),0))</f>
        <v>0</v>
      </c>
      <c r="EZ65" s="21" t="str">
        <f>IF(EO65=0,"",MID(IF(EQ65&gt;0,"; "&amp;INDEX(nTP_Record_ID,EQ65)&amp;IF(INDEX(nTP_Label,EQ65)="",""," ("&amp;INDEX(nTP_Label,EQ65)&amp;")"),"")&amp;IF(ER65&gt;0,"; "&amp;INDEX(nTP_Record_ID,ER65)&amp;IF(INDEX(nTP_Label,ER65)="",""," ("&amp;INDEX(nTP_Label,ER65)&amp;")"),"")&amp;IF(ES65&gt;0,"; "&amp;INDEX(nTP_Record_ID,ES65)&amp;IF(INDEX(nTP_Label,ES65)="",""," ("&amp;INDEX(nTP_Label,ES65)&amp;")"),"")&amp;IF(EO65&gt;3,"; and "&amp;(EO65-3)&amp;" more",""),3,999))</f>
        <v>M-FLUIDS (IV fluids, cardiac monitoring (treatments 5-8 July beyond fluids not reported))</v>
      </c>
      <c r="FA65" s="21" t="str">
        <f>IF(EO65=0,"",MID(IF(EQ65&gt;0,"; "&amp;INDEX(nTP_Record_ID,EQ65),"")&amp;IF(ER65&gt;0,"; "&amp;INDEX(nTP_Record_ID,ER65),"")&amp;IF(ES65&gt;0,"; "&amp;INDEX(nTP_Record_ID,ES65),"")&amp;IF(EO65&gt;3,"; and "&amp;(EO65-3)&amp;" more",""),3,999))</f>
        <v>M-FLUIDS</v>
      </c>
      <c r="FB65" s="21" t="str">
        <f>IF(EP65=0,"",MID(IF(ET65&gt;0,"; "&amp;INDEX(nTP_Record_ID,ET65)&amp;IF(INDEX(nTP_Label,ET65)="",""," ("&amp;INDEX(nTP_Label,ET65)&amp;")"),"")&amp;IF(EU65&gt;0,"; "&amp;INDEX(nTP_Record_ID,EU65)&amp;IF(INDEX(nTP_Label,EU65)="",""," ("&amp;INDEX(nTP_Label,EU65)&amp;")"),"")&amp;IF(EV65&gt;0,"; "&amp;INDEX(nTP_Record_ID,EV65)&amp;IF(INDEX(nTP_Label,EV65)="",""," ("&amp;INDEX(nTP_Label,EV65)&amp;")"),"")&amp;IF(EP65&gt;3,"; and "&amp;(EP65-3)&amp;" more",""),3,999))</f>
        <v/>
      </c>
      <c r="FC65" s="21" t="str">
        <f>IF(CE65=0,"",MID(IF(EW65&gt;0,"; "&amp;INDEX(nTP_Record_ID,EW65),"")&amp;IF(EX65&gt;0,"; "&amp;INDEX(nTP_Record_ID,EX65),"")&amp;IF(EY65&gt;0,"; "&amp;INDEX(nTP_Record_ID,EY65),"")&amp;IF(CE65&gt;3,"; and "&amp;(CE65-3)&amp;" more",""),3,999))</f>
        <v/>
      </c>
      <c r="FD65" s="22">
        <f t="shared" si="118"/>
        <v>0</v>
      </c>
      <c r="FE65" s="22">
        <f t="shared" si="119"/>
        <v>0</v>
      </c>
      <c r="FF65" s="22">
        <f t="shared" si="120"/>
        <v>0</v>
      </c>
      <c r="FG65" s="22">
        <f t="shared" si="121"/>
        <v>0</v>
      </c>
      <c r="FH65" s="22">
        <f t="shared" si="122"/>
        <v>0</v>
      </c>
      <c r="FI65" s="22">
        <f t="shared" si="123"/>
        <v>1</v>
      </c>
      <c r="FJ65" s="22">
        <f t="shared" si="124"/>
        <v>0</v>
      </c>
      <c r="FK65" s="22">
        <f t="shared" si="125"/>
        <v>0</v>
      </c>
    </row>
    <row r="66" spans="1:167" x14ac:dyDescent="0.2">
      <c r="A66" s="9" t="s">
        <v>1127</v>
      </c>
      <c r="B66" s="9" t="s">
        <v>305</v>
      </c>
      <c r="C66" s="11">
        <v>2</v>
      </c>
      <c r="D66" s="9" t="s">
        <v>894</v>
      </c>
      <c r="E66" s="16" t="s">
        <v>52</v>
      </c>
      <c r="F66" s="9"/>
      <c r="G66" s="9"/>
      <c r="H66" s="9" t="s">
        <v>1165</v>
      </c>
      <c r="I66" s="16" t="s">
        <v>60</v>
      </c>
      <c r="J66" s="16"/>
      <c r="K66" s="9" t="s">
        <v>1166</v>
      </c>
      <c r="L66" s="16"/>
      <c r="M66" s="16"/>
      <c r="N66" s="16"/>
      <c r="O66" s="9"/>
      <c r="P66" s="14"/>
      <c r="Q66" s="14"/>
      <c r="R66" s="9"/>
      <c r="S66" s="9" t="s">
        <v>1167</v>
      </c>
      <c r="T66" s="21" t="str">
        <f t="shared" si="63"/>
        <v>435 calendar days</v>
      </c>
      <c r="U66" s="21" t="str">
        <f t="shared" si="64"/>
        <v>435 calendar days</v>
      </c>
      <c r="V66" s="21">
        <f t="shared" si="65"/>
        <v>435</v>
      </c>
      <c r="W66" s="21" t="str">
        <f t="shared" si="66"/>
        <v/>
      </c>
      <c r="X66" s="21" t="str">
        <f t="shared" si="67"/>
        <v/>
      </c>
      <c r="Y66" s="21" t="str">
        <f t="shared" si="68"/>
        <v>calendar days</v>
      </c>
      <c r="Z66" s="21" t="str">
        <f t="shared" si="69"/>
        <v>C2; C6</v>
      </c>
      <c r="AA66" s="21" t="str">
        <f t="shared" si="70"/>
        <v>AFTER</v>
      </c>
      <c r="AB66" s="21" t="str">
        <f t="shared" si="71"/>
        <v/>
      </c>
      <c r="AC66" s="21" t="str">
        <f t="shared" si="72"/>
        <v>I_APPROXIMATE_NOT_COMPARED</v>
      </c>
      <c r="AD66" s="21" t="str">
        <f>IF(AW66=1,"",MID(IF(ISNUMBER(SEARCH("E_INVALID_DATE",EG66))," | E_INVALID_DATE: "&amp;SUBSTITUTE(IFERROR(INDEX(nMSG_Text,MATCH("E_INVALID_DATE",nMSG_Code,0)),""),"[input]",""),"")&amp;IF(ISNUMBER(SEARCH("E_REVERSED_BOUNDS",EG66))," | E_REVERSED_BOUNDS: "&amp;SUBSTITUTE(IFERROR(INDEX(nMSG_Text,MATCH("E_REVERSED_BOUNDS",nMSG_Code,0)),""),"[input]",""),"")&amp;IF(ISNUMBER(SEARCH("E_DUPLICATE_ID",EG66))," | E_DUPLICATE_ID: "&amp;SUBSTITUTE(IFERROR(INDEX(nMSG_Text,MATCH("E_DUPLICATE_ID",nMSG_Code,0)),""),"[input]",""),"")&amp;IF(ISNUMBER(SEARCH("E_MISSING_LINK",EG66))," | E_MISSING_LINK: "&amp;SUBSTITUTE(IFERROR(INDEX(nMSG_Text,MATCH("E_MISSING_LINK",nMSG_Code,0)),""),"[input]",""),"")&amp;IF(ISNUMBER(SEARCH("E_MISSING_INPUT",EG66))," | E_MISSING_INPUT: "&amp;SUBSTITUTE(IFERROR(INDEX(nMSG_Text,MATCH("E_MISSING_INPUT",nMSG_Code,0)),""),"[input]",IF(EH66="","an input",EH66)),"")&amp;IF(ISNUMBER(SEARCH("E_INVALID_UNIT",EG66))," | E_INVALID_UNIT: "&amp;SUBSTITUTE(IFERROR(INDEX(nMSG_Text,MATCH("E_INVALID_UNIT",nMSG_Code,0)),""),"[input]",""),"")&amp;IF(FD66=1," | W_TZ_UNKNOWN: "&amp;SUBSTITUTE(IFERROR(INDEX(nMSG_Text,MATCH("W_TZ_UNKNOWN",nMSG_Code,0)),""),"[input]",""),"")&amp;IF(FE66=1," | W_SAME_DATE_ORDER_UNKNOWN: "&amp;SUBSTITUTE(IFERROR(INDEX(nMSG_Text,MATCH("W_SAME_DATE_ORDER_UNKNOWN",nMSG_Code,0)),""),"[input]",""),"")&amp;IF(FF66=1," | W_SEQUENCE_UNCERTAIN: "&amp;SUBSTITUTE(IFERROR(INDEX(nMSG_Text,MATCH("W_SEQUENCE_UNCERTAIN",nMSG_Code,0)),""),"[input]",""),"")&amp;IF(FG66=1," | W_ADMIN_SAME_DATE_AS_ONSET: "&amp;SUBSTITUTE(IFERROR(INDEX(nMSG_Text,MATCH("W_ADMIN_SAME_DATE_AS_ONSET",nMSG_Code,0)),""),"[input]",""),"")&amp;IF(FH66=1," | W_REPORTED_TIMING_CONFLICT: "&amp;SUBSTITUTE(IFERROR(INDEX(nMSG_Text,MATCH("W_REPORTED_TIMING_CONFLICT",nMSG_Code,0)),""),"[input]",""),"")&amp;IF(FI66=1," | W_INTERVENTION_BEFORE_RECOVERY: "&amp;SUBSTITUTE(IFERROR(INDEX(nMSG_Text,MATCH("W_INTERVENTION_BEFORE_RECOVERY",nMSG_Code,0)),""),"[input]",""),"")&amp;IF(FJ66=1," | I_TREATMENT_DAY_UNDEFINED: "&amp;SUBSTITUTE(IFERROR(INDEX(nMSG_Text,MATCH("I_TREATMENT_DAY_UNDEFINED",nMSG_Code,0)),""),"[input]",""),"")&amp;IF(FK66=1," | I_APPROXIMATE_NOT_COMPARED: "&amp;SUBSTITUTE(IFERROR(INDEX(nMSG_Text,MATCH("I_APPROXIMATE_NOT_COMPARED",nMSG_Code,0)),""),"[input]",""),""),4,9999))</f>
        <v>I_APPROXIMATE_NOT_COMPARED: Approximate timing is kept as reported and not converted.</v>
      </c>
      <c r="AE66" s="21" t="str">
        <f t="shared" si="73"/>
        <v/>
      </c>
      <c r="AF66" s="21" t="str">
        <f t="shared" si="74"/>
        <v/>
      </c>
      <c r="AG66" s="21" t="str">
        <f>IF(EN66="","",MID(IF(ISNUMBER(SEARCH("E_REVERSED_BOUNDS",EN66))," | E_REVERSED_BOUNDS: "&amp;SUBSTITUTE(IFERROR(INDEX(nMSG_Text,MATCH("E_REVERSED_BOUNDS",nMSG_Code,0)),""),"[input]",""),"")&amp;IF(ISNUMBER(SEARCH("E_MISSING_INPUT",EN66))," | E_MISSING_INPUT: "&amp;SUBSTITUTE(IFERROR(INDEX(nMSG_Text,MATCH("E_MISSING_INPUT",nMSG_Code,0)),""),"[input]",IF("the source of the constraint"="","an input","the source of the constraint")),""),4,999))</f>
        <v/>
      </c>
      <c r="AH66" s="21" t="str">
        <f t="shared" si="75"/>
        <v>Not compared. Reported: "fourteen months after the last dose"</v>
      </c>
      <c r="AI66" s="21" t="str">
        <f t="shared" si="76"/>
        <v>ADM-RTX-6 → EV-HBV/DETECTION</v>
      </c>
      <c r="AJ66" s="21" t="str">
        <f t="shared" si="77"/>
        <v>ADM-RTX-6</v>
      </c>
      <c r="AK66" s="21" t="str">
        <f t="shared" si="78"/>
        <v>EV-HBV/DETECTION</v>
      </c>
      <c r="AL66" s="21" t="str">
        <f>IF(CY66=0,"",INDEX(nTP_ISO,CY66))</f>
        <v>2025-03-03</v>
      </c>
      <c r="AM66" s="21" t="str">
        <f>IF(CY66=0,"",INDEX(nTP_Display,CY66))</f>
        <v>3 March 2025</v>
      </c>
      <c r="AN66" s="21" t="str">
        <f>IF(BI66=0,"",INDEX(nTP_ISO,BI66))</f>
        <v>2026-05-12</v>
      </c>
      <c r="AO66" s="21" t="str">
        <f>IF(BI66=0,"",INDEX(nTP_Display,BI66))</f>
        <v>12 May 2026</v>
      </c>
      <c r="AP66" s="21" t="str">
        <f>IF(BA66=0,"",INDEX(nLNK_Exposure_Episode_ID,BA66)&amp;"")</f>
        <v>EX-RTX</v>
      </c>
      <c r="AQ66" s="21" t="str">
        <f>IF(BA66=0,"",INDEX(nLNK_Event_Episode_ID,BA66)&amp;"")</f>
        <v>EV-HBV</v>
      </c>
      <c r="AR66" s="21" t="str">
        <f t="shared" si="79"/>
        <v>Anchor (LAST_DOSE_BEFORE_ONSET) ADM-RTX-6: 2025-03-03 [day; case measurement; original: "last infusion 03/03/2025"; source: Hematology summary] | End point EV-HBV/DETECTION: 2026-05-12 [day; case measurement; original: "12/05/2026 HBV DNA 1,850 IU/mL"; source: Hepatology letter]</v>
      </c>
      <c r="AS66" s="21" t="str">
        <f>IF(EI66=0,"",MID(IF(DT66=1," | Recovery interval (C7) computed with "&amp;DS66&amp;".","")&amp;IF(BG66=1," | Anchor selected under C5 (CALC-SPEC 1.1): latest administration with an exact date or time at or before "&amp;IF(BH66=1,"onset","the end point")&amp;" ("&amp;AJ66&amp;"), ordered in UTC when offsets are known; later administrations are never selected.","")&amp;IF(AND(BG66=1,CE66&gt;0)," | Partial-date administrations wholly before the selected one were not candidates: "&amp;FC66&amp;".","")&amp;IF(BV66&lt;&gt;""," | "&amp;BV66,"")&amp;IF(AND(DS66="C2",EA66=0,DZ66&lt;&gt;"")," | Same calendar date; both times are known, so C1 decides the order ("&amp;AA66&amp;").","")&amp;IF(AND(DS66="C2",DD66*BN66=1,DT66=0)," | Calendar-date difference from the recorded local dates; it is never described as elapsed days.","")&amp;IF(AND(DS66="C4",DT66=0)," | Bounds are treated as independent; no single date is imputed from them.","")&amp;IF(EJ66=1," | Treatment day under the inclusive convention (C3); never written to E2B fields automatically.","")&amp;IF(AND(DS66="C4",DT66=0,EK66=0)," | No constraint applied.","")&amp;IF(AND(DS66="C4",EK66=1)," | Constraint applied to the anchor bounds: "&amp;IF(ISNUMBER(P66),"not before "&amp;DAY(P66)&amp;" "&amp;INDEX(nLIST_Months,MONTH(P66))&amp;" "&amp;YEAR(P66),"")&amp;IF(AND(ISNUMBER(P66),ISNUMBER(Q66)),", ","")&amp;IF(ISNUMBER(Q66),"not after "&amp;DAY(Q66)&amp;" "&amp;INDEX(nLIST_Months,MONTH(Q66))&amp;" "&amp;YEAR(Q66),"")&amp;". Source: "&amp;IF(R66="","not recorded",R66)&amp;IF(EN66="",". Constrained result shown beside the unconstrained one.",". Constrained result blocked ("&amp;EN66&amp;")."),"")&amp;IF(DT66=1,IF(EO66&gt;0," | Intervention recorded between cessation and recovery (ends included): "&amp;EZ66&amp;"."," | No intervention is recorded between cessation and recovery; absence of a record is not evidence that none was given."),"")&amp;IF(AND(DT66=1,DV66&gt;0)," | Intervention recorded without a date, so whether it came before recovery is unknown: "&amp;INDEX(nMS_Milestone_ID,MATCH(1,INDEX((nMS_CaseKey=AX66)*(nMS_Type="INTERVENTION")*nMS_Undated,0),0))&amp;IF(DV66&gt;1," and "&amp;(DV66-1)&amp;" more","")&amp;".","")&amp;IF(AND(DT66=1,EP66&gt;0)," | Not counted as interventions, because they are recorded as exposures rather than as intervention milestones (nothing is inferred): "&amp;FB66&amp;". If treatment was given, record it as an intervention milestone.",""),4,9999))</f>
        <v>Anchor selected under C5 (CALC-SPEC 1.1): latest administration with an exact date or time at or before the end point (ADM-RTX-6), ordered in UTC when offsets are known; later administrations are never selected.</v>
      </c>
      <c r="AT66" s="21" t="str">
        <f t="shared" si="80"/>
        <v>The interval describes the sequence and spacing of recorded times; it is not evidence of causation.</v>
      </c>
      <c r="AU66" s="21" t="str">
        <f t="shared" si="81"/>
        <v/>
      </c>
      <c r="AV66" s="21" t="str">
        <f t="shared" si="82"/>
        <v>CALC-SPEC 1.1</v>
      </c>
      <c r="AW66" s="22">
        <f t="shared" si="83"/>
        <v>0</v>
      </c>
      <c r="AX66" s="21" t="str">
        <f t="shared" si="84"/>
        <v>EX-C28|2</v>
      </c>
      <c r="AY66" s="21" t="str">
        <f t="shared" si="85"/>
        <v>EX-C28|2|I01</v>
      </c>
      <c r="AZ66" s="22">
        <f>IF(AY66="",0,COUNTIF(nINT_Key,AY66))</f>
        <v>1</v>
      </c>
      <c r="BA66" s="22">
        <f>IF(D66="",0,IFERROR(MATCH(AX66&amp;"|"&amp;D66,nLNK_Key,0),0))</f>
        <v>27</v>
      </c>
      <c r="BB66" s="22">
        <f>IF(BA66=0,1,INDEX(nLNK_Exp_Found,BA66))</f>
        <v>1</v>
      </c>
      <c r="BC66" s="22">
        <f>IF(BA66=0,1,INDEX(nLNK_Evt_Found,BA66))</f>
        <v>1</v>
      </c>
      <c r="BD66" s="22">
        <f>IF(AP66="",0,COUNTIF(nEXP_Key,AX66&amp;"|"&amp;AP66))</f>
        <v>1</v>
      </c>
      <c r="BE66" s="22">
        <f>IF(AQ66="",0,COUNTIF(nEVT_Key,AX66&amp;"|"&amp;AQ66))</f>
        <v>1</v>
      </c>
      <c r="BF66" s="22">
        <f>IF(ISNA(MATCH(E66,nLIST_AnchorType,0)),0,1)</f>
        <v>1</v>
      </c>
      <c r="BG66" s="22">
        <f t="shared" si="86"/>
        <v>1</v>
      </c>
      <c r="BH66" s="22">
        <f t="shared" si="87"/>
        <v>0</v>
      </c>
      <c r="BI66" s="22">
        <f>IF(OR(AW66=1,AK66=""),0,IFERROR(MATCH(AX66&amp;"|"&amp;AK66,nTP_Key,0),0))</f>
        <v>358</v>
      </c>
      <c r="BJ66" s="21">
        <f>IF(BI66=0,0,INDEX(nTP_Dup,BI66))</f>
        <v>1</v>
      </c>
      <c r="BK66" s="21" t="str">
        <f>IF(BI66=0,"",INDEX(nTP_Record_Type,BI66))</f>
        <v>EVENT_DETECTION</v>
      </c>
      <c r="BL66" s="21" t="str">
        <f>IF(BI66=0,"",INDEX(nTP_Precision,BI66))</f>
        <v>DATE</v>
      </c>
      <c r="BM66" s="21" t="str">
        <f>IF(BI66=0,"",INDEX(nTP_Err,BI66))</f>
        <v/>
      </c>
      <c r="BN66" s="21">
        <f>IF(BI66=0,0,INDEX(nTP_HT,BI66))</f>
        <v>0</v>
      </c>
      <c r="BO66" s="21">
        <f>IF(BI66=0,0,INDEX(nTP_OK,BI66))</f>
        <v>0</v>
      </c>
      <c r="BP66" s="21" t="str">
        <f>IF(BI66=0,"",INDEX(nTP_Loc,BI66))</f>
        <v/>
      </c>
      <c r="BQ66" s="21" t="str">
        <f>IF(BI66=0,"",INDEX(nTP_UTC,BI66))</f>
        <v/>
      </c>
      <c r="BR66" s="21">
        <f>IF(BI66=0,"",INDEX(nTP_Lo,BI66))</f>
        <v>46154</v>
      </c>
      <c r="BS66" s="21">
        <f>IF(BI66=0,"",INDEX(nTP_Hi,BI66))</f>
        <v>46154</v>
      </c>
      <c r="BT66" s="21" t="str">
        <f>IF(BI66=0,"",INDEX(nTP_Original_Text,BI66))</f>
        <v>12/05/2026 HBV DNA 1,850 IU/mL</v>
      </c>
      <c r="BU66" s="21" t="str">
        <f>IF(BI66=0,"",INDEX(nTP_Source,BI66))</f>
        <v>Hepatology letter</v>
      </c>
      <c r="BV66" s="21" t="str">
        <f>IF(BI66=0,"",INDEX(nTP_Lab_Note,BI66))</f>
        <v/>
      </c>
      <c r="BW66" s="22">
        <f t="shared" si="88"/>
        <v>1</v>
      </c>
      <c r="BX66" s="21" t="str">
        <f t="shared" si="89"/>
        <v>EX-C28|2|EX-RTX</v>
      </c>
      <c r="BY66" s="22">
        <f>IF(BG66=0,0,COUNTIF(nTP_CandKey,BX66))</f>
        <v>3</v>
      </c>
      <c r="BZ66" s="22">
        <f>IF(BG66=0,0,COUNTIFS(nTP_CandKey,BX66,nTP_Err,""))</f>
        <v>3</v>
      </c>
      <c r="CA66" s="21" t="str">
        <f>IF(BY66=BZ66,"",IF(COUNTIFS(nTP_CandKey,BX66,nTP_Err,"E_INVALID_DATE")&gt;0,"; E_INVALID_DATE","")&amp;IF(COUNTIFS(nTP_CandKey,BX66,nTP_Err,"E_REVERSED_BOUNDS")&gt;0,"; E_REVERSED_BOUNDS","")&amp;IF(COUNTIFS(nTP_CandKey,BX66,nTP_Err,"E_MISSING_INPUT")&gt;0,"; E_MISSING_INPUT","")&amp;IF(COUNTIFS(nTP_CandKey,BX66,nTP_Err,"E_INVALID_UNIT")&gt;0,"; E_INVALID_UNIT",""))</f>
        <v/>
      </c>
      <c r="CB66" s="22">
        <f t="shared" si="90"/>
        <v>1</v>
      </c>
      <c r="CC66" s="22">
        <f>IF(CB66=0,0,SUMPRODUCT((nTP_CandKey=BX66)*(nTP_Err="")*(1-(nTP_HT*BN66*((nTP_OK*BO66*(nTP_UTC_n-N(BQ66))+(1-nTP_OK*BO66)*(nTP_Loc_n-N(BP66)))&lt;=0)+(1-nTP_HT*BN66)*(nTP_Hi_n&lt;N(BR66)))-(nTP_HT*BN66*((nTP_OK*BO66*(nTP_UTC_n-N(BQ66))+(1-nTP_OK*BO66)*(nTP_Loc_n-N(BP66)))&gt;0)+(1-nTP_HT*BN66)*(nTP_Lo_n&gt;N(BS66)))-((1-nTP_HT*BN66)*(nTP_Lo_n=nTP_Hi_n)*(nTP_Lo_n=N(BR66))*(N(BR66)=N(BS66))))))</f>
        <v>0</v>
      </c>
      <c r="CD66" s="22">
        <f>IF(CB66=0,0,SUMPRODUCT((nTP_CandKey=BX66)*nTP_Exact*((nTP_HT*BN66*((nTP_OK*BO66*(nTP_UTC_n-N(BQ66))+(1-nTP_OK*BO66)*(nTP_Loc_n-N(BP66)))&lt;=0)+(1-nTP_HT*BN66)*(nTP_Hi_n&lt;N(BR66)))+((1-nTP_HT*BN66)*(nTP_Lo_n=nTP_Hi_n)*(nTP_Lo_n=N(BR66))*(N(BR66)=N(BS66))))))</f>
        <v>3</v>
      </c>
      <c r="CE66" s="22">
        <f>IF(CB66=0,0,SUMPRODUCT((nTP_CandKey=BX66)*(nTP_Err="")*(1-nTP_Exact)*((nTP_HT*BN66*((nTP_OK*BO66*(nTP_UTC_n-N(BQ66))+(1-nTP_OK*BO66)*(nTP_Loc_n-N(BP66)))&lt;=0)+(1-nTP_HT*BN66)*(nTP_Hi_n&lt;N(BR66)))+((1-nTP_HT*BN66)*(nTP_Lo_n=nTP_Hi_n)*(nTP_Lo_n=N(BR66))*(N(BR66)=N(BS66))))))</f>
        <v>0</v>
      </c>
      <c r="CF66" s="22">
        <f>IF(CD66=0,0,SUMPRODUCT(MAX((nTP_CandKey=BX66)*nTP_Exact*((nTP_HT*BN66*((nTP_OK*BO66*(nTP_UTC_n-N(BQ66))+(1-nTP_OK*BO66)*(nTP_Loc_n-N(BP66)))&lt;=0)+(1-nTP_HT*BN66)*(nTP_Hi_n&lt;N(BR66)))+((1-nTP_HT*BN66)*(nTP_Lo_n=nTP_Hi_n)*(nTP_Lo_n=N(BR66))*(N(BR66)=N(BS66))))*nTP_Lo_n)))</f>
        <v>45719</v>
      </c>
      <c r="CG66" s="22">
        <f>IF(CD66=0,0,SUMPRODUCT((nTP_CandKey=BX66)*nTP_Exact*((nTP_HT*BN66*((nTP_OK*BO66*(nTP_UTC_n-N(BQ66))+(1-nTP_OK*BO66)*(nTP_Loc_n-N(BP66)))&lt;=0)+(1-nTP_HT*BN66)*(nTP_Hi_n&lt;N(BR66)))+((1-nTP_HT*BN66)*(nTP_Lo_n=nTP_Hi_n)*(nTP_Lo_n=N(BR66))*(N(BR66)=N(BS66))))*(nTP_Lo_n=CF66)))</f>
        <v>1</v>
      </c>
      <c r="CH66" s="22">
        <f>IF(CD66=0,0,SUMPRODUCT((nTP_CandKey=BX66)*nTP_Exact*((nTP_HT*BN66*((nTP_OK*BO66*(nTP_UTC_n-N(BQ66))+(1-nTP_OK*BO66)*(nTP_Loc_n-N(BP66)))&lt;=0)+(1-nTP_HT*BN66)*(nTP_Hi_n&lt;N(BR66)))+((1-nTP_HT*BN66)*(nTP_Lo_n=nTP_Hi_n)*(nTP_Lo_n=N(BR66))*(N(BR66)=N(BS66))))*(1-nTP_HT)*(nTP_Lo_n=CF66)))</f>
        <v>1</v>
      </c>
      <c r="CI66" s="22">
        <f>IF(CD66=0,0,SUMPRODUCT(MAX((nTP_CandKey=BX66)*nTP_Exact*((nTP_HT*BN66*((nTP_OK*BO66*(nTP_UTC_n-N(BQ66))+(1-nTP_OK*BO66)*(nTP_Loc_n-N(BP66)))&lt;=0)+(1-nTP_HT*BN66)*(nTP_Hi_n&lt;N(BR66)))+((1-nTP_HT*BN66)*(nTP_Lo_n=nTP_Hi_n)*(nTP_Lo_n=N(BR66))*(N(BR66)=N(BS66))))*(1-nTP_HT)*nTP_Lo_n)))</f>
        <v>45719</v>
      </c>
      <c r="CJ66" s="22">
        <f>IF(CD66=0,0,SUMPRODUCT(MAX((nTP_CandKey=BX66)*nTP_Exact*((nTP_HT*BN66*((nTP_OK*BO66*(nTP_UTC_n-N(BQ66))+(1-nTP_OK*BO66)*(nTP_Loc_n-N(BP66)))&lt;=0)+(1-nTP_HT*BN66)*(nTP_Hi_n&lt;N(BR66)))+((1-nTP_HT*BN66)*(nTP_Lo_n=nTP_Hi_n)*(nTP_Lo_n=N(BR66))*(N(BR66)=N(BS66))))*nTP_HT*nTP_OK*nTP_UTC_n)))</f>
        <v>0</v>
      </c>
      <c r="CK66" s="22">
        <f>IF(CJ66=0,0,SUMPRODUCT((nTP_CandKey=BX66)*nTP_Exact*((nTP_HT*BN66*((nTP_OK*BO66*(nTP_UTC_n-N(BQ66))+(1-nTP_OK*BO66)*(nTP_Loc_n-N(BP66)))&lt;=0)+(1-nTP_HT*BN66)*(nTP_Hi_n&lt;N(BR66)))+((1-nTP_HT*BN66)*(nTP_Lo_n=nTP_Hi_n)*(nTP_Lo_n=N(BR66))*(N(BR66)=N(BS66))))*nTP_HT*nTP_OK*(nTP_UTC_n=CJ66)))</f>
        <v>0</v>
      </c>
      <c r="CL66" s="22">
        <f>IF(CK66&lt;&gt;1,0,SUMPRODUCT((nTP_CandKey=BX66)*nTP_Exact*((nTP_HT*BN66*((nTP_OK*BO66*(nTP_UTC_n-N(BQ66))+(1-nTP_OK*BO66)*(nTP_Loc_n-N(BP66)))&lt;=0)+(1-nTP_HT*BN66)*(nTP_Hi_n&lt;N(BR66)))+((1-nTP_HT*BN66)*(nTP_Lo_n=nTP_Hi_n)*(nTP_Lo_n=N(BR66))*(N(BR66)=N(BS66))))*nTP_HT*nTP_OK*(nTP_UTC_n=CJ66)*nTP_Loc_n))</f>
        <v>0</v>
      </c>
      <c r="CM66" s="22">
        <f>IF(CK66&lt;&gt;1,0,SUMPRODUCT((nTP_CandKey=BX66)*nTP_Exact*((nTP_HT*BN66*((nTP_OK*BO66*(nTP_UTC_n-N(BQ66))+(1-nTP_OK*BO66)*(nTP_Loc_n-N(BP66)))&lt;=0)+(1-nTP_HT*BN66)*(nTP_Hi_n&lt;N(BR66)))+((1-nTP_HT*BN66)*(nTP_Lo_n=nTP_Hi_n)*(nTP_Lo_n=N(BR66))*(N(BR66)=N(BS66))))*nTP_HT*nTP_OK*(nTP_UTC_n=CJ66)*nTP_Lo_n))</f>
        <v>0</v>
      </c>
      <c r="CN66" s="22">
        <f>IF(CD66=0,0,SUMPRODUCT(MAX((nTP_CandKey=BX66)*nTP_Exact*((nTP_HT*BN66*((nTP_OK*BO66*(nTP_UTC_n-N(BQ66))+(1-nTP_OK*BO66)*(nTP_Loc_n-N(BP66)))&lt;=0)+(1-nTP_HT*BN66)*(nTP_Hi_n&lt;N(BR66)))+((1-nTP_HT*BN66)*(nTP_Lo_n=nTP_Hi_n)*(nTP_Lo_n=N(BR66))*(N(BR66)=N(BS66))))*nTP_HT*(1-nTP_OK)*nTP_Loc_n)))</f>
        <v>0</v>
      </c>
      <c r="CO66" s="22">
        <f>IF(CN66=0,0,SUMPRODUCT((nTP_CandKey=BX66)*nTP_Exact*((nTP_HT*BN66*((nTP_OK*BO66*(nTP_UTC_n-N(BQ66))+(1-nTP_OK*BO66)*(nTP_Loc_n-N(BP66)))&lt;=0)+(1-nTP_HT*BN66)*(nTP_Hi_n&lt;N(BR66)))+((1-nTP_HT*BN66)*(nTP_Lo_n=nTP_Hi_n)*(nTP_Lo_n=N(BR66))*(N(BR66)=N(BS66))))*nTP_HT*(1-nTP_OK)*(nTP_Loc_n=CN66)))</f>
        <v>0</v>
      </c>
      <c r="CP66" s="22">
        <f>IF(CO66&lt;&gt;1,0,SUMPRODUCT((nTP_CandKey=BX66)*nTP_Exact*((nTP_HT*BN66*((nTP_OK*BO66*(nTP_UTC_n-N(BQ66))+(1-nTP_OK*BO66)*(nTP_Loc_n-N(BP66)))&lt;=0)+(1-nTP_HT*BN66)*(nTP_Hi_n&lt;N(BR66)))+((1-nTP_HT*BN66)*(nTP_Lo_n=nTP_Hi_n)*(nTP_Lo_n=N(BR66))*(N(BR66)=N(BS66))))*nTP_HT*(1-nTP_OK)*(nTP_Loc_n=CN66)*nTP_Lo_n))</f>
        <v>0</v>
      </c>
      <c r="CQ66" s="22">
        <f>IF(CD66=0,0,SUMPRODUCT(MAX((nTP_CandKey=BX66)*nTP_Exact*((nTP_HT*BN66*((nTP_OK*BO66*(nTP_UTC_n-N(BQ66))+(1-nTP_OK*BO66)*(nTP_Loc_n-N(BP66)))&lt;=0)+(1-nTP_HT*BN66)*(nTP_Hi_n&lt;N(BR66)))+((1-nTP_HT*BN66)*(nTP_Lo_n=nTP_Hi_n)*(nTP_Lo_n=N(BR66))*(N(BR66)=N(BS66))))*nTP_HT*nTP_OK*nTP_Loc_n)))</f>
        <v>0</v>
      </c>
      <c r="CR66" s="22">
        <f t="shared" si="91"/>
        <v>1</v>
      </c>
      <c r="CS66" s="22">
        <f>IF(CR66=0,0,IF(CR66=1,MATCH(1,INDEX((nTP_CandKey=BX66)*nTP_Exact*((nTP_HT*BN66*((nTP_OK*BO66*(nTP_UTC_n-N(BQ66))+(1-nTP_OK*BO66)*(nTP_Loc_n-N(BP66)))&lt;=0)+(1-nTP_HT*BN66)*(nTP_Hi_n&lt;N(BR66)))+((1-nTP_HT*BN66)*(nTP_Lo_n=nTP_Hi_n)*(nTP_Lo_n=N(BR66))*(N(BR66)=N(BS66))))*(1-nTP_HT)*(nTP_Lo_n=CF66),0),0),IF(CR66=2,MATCH(1,INDEX((nTP_CandKey=BX66)*nTP_Exact*((nTP_HT*BN66*((nTP_OK*BO66*(nTP_UTC_n-N(BQ66))+(1-nTP_OK*BO66)*(nTP_Loc_n-N(BP66)))&lt;=0)+(1-nTP_HT*BN66)*(nTP_Hi_n&lt;N(BR66)))+((1-nTP_HT*BN66)*(nTP_Lo_n=nTP_Hi_n)*(nTP_Lo_n=N(BR66))*(N(BR66)=N(BS66))))*nTP_HT*nTP_OK*(nTP_UTC_n=CJ66),0),0),MATCH(1,INDEX((nTP_CandKey=BX66)*nTP_Exact*((nTP_HT*BN66*((nTP_OK*BO66*(nTP_UTC_n-N(BQ66))+(1-nTP_OK*BO66)*(nTP_Loc_n-N(BP66)))&lt;=0)+(1-nTP_HT*BN66)*(nTP_Hi_n&lt;N(BR66)))+((1-nTP_HT*BN66)*(nTP_Lo_n=nTP_Hi_n)*(nTP_Lo_n=N(BR66))*(N(BR66)=N(BS66))))*nTP_HT*(1-nTP_OK)*(nTP_Loc_n=CN66),0),0))))</f>
        <v>281</v>
      </c>
      <c r="CT66" s="22">
        <f>IF(CS66=0,0,INDEX(nTP_Lo_n,CS66))</f>
        <v>45719</v>
      </c>
      <c r="CU66" s="22">
        <f>IF(CS66=0,0,SUMPRODUCT((nTP_CandKey=BX66)*(nTP_Err="")*(1-nTP_Exact)*((nTP_HT*BN66*((nTP_OK*BO66*(nTP_UTC_n-N(BQ66))+(1-nTP_OK*BO66)*(nTP_Loc_n-N(BP66)))&lt;=0)+(1-nTP_HT*BN66)*(nTP_Hi_n&lt;N(BR66)))+((1-nTP_HT*BN66)*(nTP_Lo_n=nTP_Hi_n)*(nTP_Lo_n=N(BR66))*(N(BR66)=N(BS66))))*(nTP_Hi_n&gt;=CT66)))</f>
        <v>0</v>
      </c>
      <c r="CV66" s="21" t="str">
        <f t="shared" si="92"/>
        <v/>
      </c>
      <c r="CW66" s="21" t="str">
        <f>IF(AND(BG66=1,CB66=1,CV66="",CS66&gt;0),INDEX(nTP_Record_ID,CS66)&amp;"","")</f>
        <v>ADM-RTX-6</v>
      </c>
      <c r="CX66" s="21" t="str">
        <f>IF(OR(CV66="",BG66=0),"",IF(CV66="none","an administration record (last dose before onset)",IF(CV66="uncertain","the anchor record: "&amp;INDEX(nTP_Record_ID,MATCH(1,INDEX((nTP_CandKey=BX66)*(nTP_Err="")*(1-(nTP_HT*BN66*((nTP_OK*BO66*(nTP_UTC_n-N(BQ66))+(1-nTP_OK*BO66)*(nTP_Loc_n-N(BP66)))&lt;=0)+(1-nTP_HT*BN66)*(nTP_Hi_n&lt;N(BR66)))-(nTP_HT*BN66*((nTP_OK*BO66*(nTP_UTC_n-N(BQ66))+(1-nTP_OK*BO66)*(nTP_Loc_n-N(BP66)))&gt;0)+(1-nTP_HT*BN66)*(nTP_Lo_n&gt;N(BS66)))-((1-nTP_HT*BN66)*(nTP_Lo_n=nTP_Hi_n)*(nTP_Lo_n=N(BR66))*(N(BR66)=N(BS66)))),0),0))&amp;IF(CC66&gt;1," and "&amp;(CC66-1)&amp;" more","")&amp;" may fall before or after the end point, so the last dose cannot be identified from the recorded dates",IF(CV66="noneligible","the anchor record: no administration with an exact date is recorded at or before the end point",IF(CV66="tie","the anchor record: the order of the latest administrations cannot be told from the recorded dates and times","the anchor record: partial-date administration "&amp;INDEX(nTP_Record_ID,MATCH(1,INDEX((nTP_CandKey=BX66)*(nTP_Err="")*(1-nTP_Exact)*((nTP_HT*BN66*((nTP_OK*BO66*(nTP_UTC_n-N(BQ66))+(1-nTP_OK*BO66)*(nTP_Loc_n-N(BP66)))&lt;=0)+(1-nTP_HT*BN66)*(nTP_Hi_n&lt;N(BR66)))+((1-nTP_HT*BN66)*(nTP_Lo_n=nTP_Hi_n)*(nTP_Lo_n=N(BR66))*(N(BR66)=N(BS66))))*(nTP_Hi_n&gt;=CT66),0),0))&amp;" could be the last dose before the end point")))))</f>
        <v/>
      </c>
      <c r="CY66" s="22">
        <f>IF(OR(AW66=1,AJ66=""),0,IFERROR(MATCH(AX66&amp;"|"&amp;AJ66,nTP_Key,0),0))</f>
        <v>281</v>
      </c>
      <c r="CZ66" s="21">
        <f>IF(CY66=0,0,INDEX(nTP_Dup,CY66))</f>
        <v>1</v>
      </c>
      <c r="DA66" s="21" t="str">
        <f>IF(CY66=0,"",INDEX(nTP_Record_Type,CY66))</f>
        <v>ADMINISTRATION</v>
      </c>
      <c r="DB66" s="21" t="str">
        <f>IF(CY66=0,"",INDEX(nTP_Precision,CY66))</f>
        <v>DATE</v>
      </c>
      <c r="DC66" s="21" t="str">
        <f>IF(CY66=0,"",INDEX(nTP_Err,CY66))</f>
        <v/>
      </c>
      <c r="DD66" s="21">
        <f>IF(CY66=0,0,INDEX(nTP_HT,CY66))</f>
        <v>0</v>
      </c>
      <c r="DE66" s="21">
        <f>IF(CY66=0,0,INDEX(nTP_OK,CY66))</f>
        <v>0</v>
      </c>
      <c r="DF66" s="21" t="str">
        <f>IF(CY66=0,"",INDEX(nTP_Loc,CY66))</f>
        <v/>
      </c>
      <c r="DG66" s="21" t="str">
        <f>IF(CY66=0,"",INDEX(nTP_UTC,CY66))</f>
        <v/>
      </c>
      <c r="DH66" s="21">
        <f>IF(CY66=0,"",INDEX(nTP_Lo,CY66))</f>
        <v>45719</v>
      </c>
      <c r="DI66" s="21">
        <f>IF(CY66=0,"",INDEX(nTP_Hi,CY66))</f>
        <v>45719</v>
      </c>
      <c r="DJ66" s="21" t="str">
        <f>IF(CY66=0,"",INDEX(nTP_Original_Text,CY66))</f>
        <v>last infusion 03/03/2025</v>
      </c>
      <c r="DK66" s="21" t="str">
        <f>IF(CY66=0,"",INDEX(nTP_Source,CY66))</f>
        <v>Hematology summary</v>
      </c>
      <c r="DL66" s="22">
        <f t="shared" si="93"/>
        <v>1</v>
      </c>
      <c r="DM66" s="21" t="str">
        <f t="shared" si="94"/>
        <v/>
      </c>
      <c r="DN66" s="21" t="str">
        <f t="shared" si="95"/>
        <v/>
      </c>
      <c r="DO66" s="21" t="str">
        <f t="shared" si="96"/>
        <v/>
      </c>
      <c r="DP66" s="21" t="str">
        <f t="shared" si="97"/>
        <v/>
      </c>
      <c r="DQ66" s="21" t="str">
        <f t="shared" si="98"/>
        <v>C2</v>
      </c>
      <c r="DR66" s="22">
        <f>IF(OR(DQ66="",I66=""),0,IF(ISNA(MATCH(I66,nLIST_Mode,0)),1,IF(AND(I66="C1",DQ66&lt;&gt;"C1"),1,IF(AND(I66="C2",DQ66="C4"),1,0))))</f>
        <v>0</v>
      </c>
      <c r="DS66" s="21" t="str">
        <f t="shared" si="99"/>
        <v>C2</v>
      </c>
      <c r="DT66" s="22">
        <f t="shared" si="100"/>
        <v>0</v>
      </c>
      <c r="DU66" s="21" t="str">
        <f>IF(DT66=0,"",IF(COUNTIFS(nTP_Case_Key,AX66,nTP_Record_Type,"MILESTONE:INTERVENTION",nTP_Err,"E_INVALID_DATE")&gt;0,"; E_INVALID_DATE","")&amp;IF(COUNTIFS(nTP_Case_Key,AX66,nTP_Record_Type,"MILESTONE:INTERVENTION",nTP_Err,"E_REVERSED_BOUNDS")&gt;0,"; E_REVERSED_BOUNDS","")&amp;IF(COUNTIFS(nTP_Case_Key,AX66,nTP_Record_Type,"MILESTONE:INTERVENTION",nTP_Err,"E_MISSING_INPUT")&gt;0,"; E_MISSING_INPUT","")&amp;IF(COUNTIFS(nTP_Case_Key,AX66,nTP_Record_Type,"MILESTONE:INTERVENTION",nTP_Err,"E_INVALID_UNIT")&gt;0,"; E_INVALID_UNIT",""))</f>
        <v/>
      </c>
      <c r="DV66" s="22">
        <f>IF(DT66=0,0,SUMPRODUCT((nMS_CaseKey=AX66)*(nMS_Type="INTERVENTION")*nMS_Undated))</f>
        <v>0</v>
      </c>
      <c r="DW66" s="21" t="str">
        <f t="shared" si="101"/>
        <v/>
      </c>
      <c r="DX66" s="21" t="str">
        <f t="shared" si="102"/>
        <v/>
      </c>
      <c r="DY66" s="22">
        <f t="shared" si="103"/>
        <v>1</v>
      </c>
      <c r="DZ66" s="21" t="str">
        <f t="shared" si="104"/>
        <v/>
      </c>
      <c r="EA66" s="21">
        <f t="shared" si="105"/>
        <v>435</v>
      </c>
      <c r="EB66" s="21" t="str">
        <f t="shared" si="106"/>
        <v/>
      </c>
      <c r="EC66" s="21" t="str">
        <f t="shared" si="107"/>
        <v/>
      </c>
      <c r="ED66" s="22">
        <f t="shared" si="108"/>
        <v>1</v>
      </c>
      <c r="EE66" s="22">
        <f t="shared" si="109"/>
        <v>0</v>
      </c>
      <c r="EF66" s="21" t="str">
        <f>IF(ED66=0,"",IF(OR(NOT(ISNUMBER(L66)),NOT(ISNUMBER(M66))),"I_APPROXIMATE_NOT_COMPARED",IF(AND(N66&lt;&gt;"",ISNA(MATCH(N66,nLIST_ReportedUnit,0))),"E_INVALID_UNIT",IF(N66="","E_MISSING_INPUT",IF(L66&gt;M66,"E_REVERSED_BOUNDS",IF(OR(N66="weeks",N66="months",N66="years"),"I_APPROXIMATE_NOT_COMPARED",IF(DX66&lt;&gt;"","",IF(EE66=0,"I_APPROXIMATE_NOT_COMPARED",IF(AND(L66*EE66&lt;=IF(DS66="C4",EC66,IF(DS66="C1",DZ66,EA66)),M66*EE66&gt;=IF(DS66="C4",EB66,IF(DS66="C1",DZ66,EA66))),"OVERLAP","W_REPORTED_TIMING_CONFLICT")))))))))</f>
        <v>I_APPROXIMATE_NOT_COMPARED</v>
      </c>
      <c r="EG66" s="21" t="str">
        <f t="shared" si="110"/>
        <v/>
      </c>
      <c r="EH66" s="21" t="str">
        <f t="shared" si="111"/>
        <v/>
      </c>
      <c r="EI66" s="22">
        <f t="shared" si="112"/>
        <v>1</v>
      </c>
      <c r="EJ66" s="22">
        <f t="shared" si="113"/>
        <v>0</v>
      </c>
      <c r="EK66" s="22">
        <f t="shared" si="114"/>
        <v>0</v>
      </c>
      <c r="EL66" s="28" t="str">
        <f t="shared" si="115"/>
        <v/>
      </c>
      <c r="EM66" s="28" t="str">
        <f t="shared" si="116"/>
        <v/>
      </c>
      <c r="EN66" s="21" t="str">
        <f t="shared" si="117"/>
        <v/>
      </c>
      <c r="EO66" s="22">
        <f>IF(OR(DT66=0,DX66&lt;&gt;""),0,SUMPRODUCT((nTP_Case_Key=AX66)*(nTP_Record_Type="MILESTONE:INTERVENTION")*(nTP_Err="")*(nTP_HT*DD66*BN66*(nTP_OK*DE66*(nTP_UTC_n&gt;=N(DG66))+(1-nTP_OK*DE66)*(nTP_Loc_n&gt;=N(DF66)))*(nTP_OK*BO66*(nTP_UTC_n&lt;=N(BQ66))+(1-nTP_OK*BO66)*(nTP_Loc_n&lt;=N(BP66)))+(1-nTP_HT*DD66*BN66)*(nTP_Hi_n&gt;=N(DH66))*(nTP_Lo_n&lt;=N(BS66)))))</f>
        <v>0</v>
      </c>
      <c r="EP66" s="22">
        <f>IF(OR(DT66=0,DX66&lt;&gt;""),0,SUMPRODUCT((nTP_Case_Key=AX66)*(nTP_Role="treatment of the event")*((nTP_Record_Type="EXPOSURE_START")+(nTP_Record_Type="ADMINISTRATION"))*(nTP_Err="")*(nTP_HT*DD66*BN66*(nTP_OK*DE66*(nTP_UTC_n&gt;=N(DG66))+(1-nTP_OK*DE66)*(nTP_Loc_n&gt;=N(DF66)))*(nTP_OK*BO66*(nTP_UTC_n&lt;=N(BQ66))+(1-nTP_OK*BO66)*(nTP_Loc_n&lt;=N(BP66)))+(1-nTP_HT*DD66*BN66)*(nTP_Hi_n&gt;=N(DH66))*(nTP_Lo_n&lt;=N(BS66)))))</f>
        <v>0</v>
      </c>
      <c r="EQ66" s="22">
        <f>IF(EO66&lt;1,0,IFERROR(_xlfn.AGGREGATE(15,6,nTP_RowN/((nTP_Case_Key=AX66)*(nTP_Record_Type="MILESTONE:INTERVENTION")*(nTP_Err="")*(nTP_HT*DD66*BN66*(nTP_OK*DE66*(nTP_UTC_n&gt;=N(DG66))+(1-nTP_OK*DE66)*(nTP_Loc_n&gt;=N(DF66)))*(nTP_OK*BO66*(nTP_UTC_n&lt;=N(BQ66))+(1-nTP_OK*BO66)*(nTP_Loc_n&lt;=N(BP66)))+(1-nTP_HT*DD66*BN66)*(nTP_Hi_n&gt;=N(DH66))*(nTP_Lo_n&lt;=N(BS66)))),1),0))</f>
        <v>0</v>
      </c>
      <c r="ER66" s="22">
        <f>IF(EO66&lt;2,0,IFERROR(_xlfn.AGGREGATE(15,6,nTP_RowN/((nTP_Case_Key=AX66)*(nTP_Record_Type="MILESTONE:INTERVENTION")*(nTP_Err="")*(nTP_HT*DD66*BN66*(nTP_OK*DE66*(nTP_UTC_n&gt;=N(DG66))+(1-nTP_OK*DE66)*(nTP_Loc_n&gt;=N(DF66)))*(nTP_OK*BO66*(nTP_UTC_n&lt;=N(BQ66))+(1-nTP_OK*BO66)*(nTP_Loc_n&lt;=N(BP66)))+(1-nTP_HT*DD66*BN66)*(nTP_Hi_n&gt;=N(DH66))*(nTP_Lo_n&lt;=N(BS66)))),2),0))</f>
        <v>0</v>
      </c>
      <c r="ES66" s="22">
        <f>IF(EO66&lt;3,0,IFERROR(_xlfn.AGGREGATE(15,6,nTP_RowN/((nTP_Case_Key=AX66)*(nTP_Record_Type="MILESTONE:INTERVENTION")*(nTP_Err="")*(nTP_HT*DD66*BN66*(nTP_OK*DE66*(nTP_UTC_n&gt;=N(DG66))+(1-nTP_OK*DE66)*(nTP_Loc_n&gt;=N(DF66)))*(nTP_OK*BO66*(nTP_UTC_n&lt;=N(BQ66))+(1-nTP_OK*BO66)*(nTP_Loc_n&lt;=N(BP66)))+(1-nTP_HT*DD66*BN66)*(nTP_Hi_n&gt;=N(DH66))*(nTP_Lo_n&lt;=N(BS66)))),3),0))</f>
        <v>0</v>
      </c>
      <c r="ET66" s="22">
        <f>IF(EP66&lt;1,0,IFERROR(_xlfn.AGGREGATE(15,6,nTP_RowN/((nTP_Case_Key=AX66)*(nTP_Role="treatment of the event")*((nTP_Record_Type="EXPOSURE_START")+(nTP_Record_Type="ADMINISTRATION"))*(nTP_Err="")*(nTP_HT*DD66*BN66*(nTP_OK*DE66*(nTP_UTC_n&gt;=N(DG66))+(1-nTP_OK*DE66)*(nTP_Loc_n&gt;=N(DF66)))*(nTP_OK*BO66*(nTP_UTC_n&lt;=N(BQ66))+(1-nTP_OK*BO66)*(nTP_Loc_n&lt;=N(BP66)))+(1-nTP_HT*DD66*BN66)*(nTP_Hi_n&gt;=N(DH66))*(nTP_Lo_n&lt;=N(BS66)))),1),0))</f>
        <v>0</v>
      </c>
      <c r="EU66" s="22">
        <f>IF(EP66&lt;2,0,IFERROR(_xlfn.AGGREGATE(15,6,nTP_RowN/((nTP_Case_Key=AX66)*(nTP_Role="treatment of the event")*((nTP_Record_Type="EXPOSURE_START")+(nTP_Record_Type="ADMINISTRATION"))*(nTP_Err="")*(nTP_HT*DD66*BN66*(nTP_OK*DE66*(nTP_UTC_n&gt;=N(DG66))+(1-nTP_OK*DE66)*(nTP_Loc_n&gt;=N(DF66)))*(nTP_OK*BO66*(nTP_UTC_n&lt;=N(BQ66))+(1-nTP_OK*BO66)*(nTP_Loc_n&lt;=N(BP66)))+(1-nTP_HT*DD66*BN66)*(nTP_Hi_n&gt;=N(DH66))*(nTP_Lo_n&lt;=N(BS66)))),2),0))</f>
        <v>0</v>
      </c>
      <c r="EV66" s="22">
        <f>IF(EP66&lt;3,0,IFERROR(_xlfn.AGGREGATE(15,6,nTP_RowN/((nTP_Case_Key=AX66)*(nTP_Role="treatment of the event")*((nTP_Record_Type="EXPOSURE_START")+(nTP_Record_Type="ADMINISTRATION"))*(nTP_Err="")*(nTP_HT*DD66*BN66*(nTP_OK*DE66*(nTP_UTC_n&gt;=N(DG66))+(1-nTP_OK*DE66)*(nTP_Loc_n&gt;=N(DF66)))*(nTP_OK*BO66*(nTP_UTC_n&lt;=N(BQ66))+(1-nTP_OK*BO66)*(nTP_Loc_n&lt;=N(BP66)))+(1-nTP_HT*DD66*BN66)*(nTP_Hi_n&gt;=N(DH66))*(nTP_Lo_n&lt;=N(BS66)))),3),0))</f>
        <v>0</v>
      </c>
      <c r="EW66" s="22">
        <f>IF(CE66&lt;1,0,IFERROR(_xlfn.AGGREGATE(15,6,nTP_RowN/((nTP_CandKey=BX66)*(nTP_Err="")*(1-nTP_Exact)*((nTP_HT*BN66*((nTP_OK*BO66*(nTP_UTC_n-N(BQ66))+(1-nTP_OK*BO66)*(nTP_Loc_n-N(BP66)))&lt;=0)+(1-nTP_HT*BN66)*(nTP_Hi_n&lt;N(BR66)))+((1-nTP_HT*BN66)*(nTP_Lo_n=nTP_Hi_n)*(nTP_Lo_n=N(BR66))*(N(BR66)=N(BS66))))),1),0))</f>
        <v>0</v>
      </c>
      <c r="EX66" s="22">
        <f>IF(CE66&lt;2,0,IFERROR(_xlfn.AGGREGATE(15,6,nTP_RowN/((nTP_CandKey=BX66)*(nTP_Err="")*(1-nTP_Exact)*((nTP_HT*BN66*((nTP_OK*BO66*(nTP_UTC_n-N(BQ66))+(1-nTP_OK*BO66)*(nTP_Loc_n-N(BP66)))&lt;=0)+(1-nTP_HT*BN66)*(nTP_Hi_n&lt;N(BR66)))+((1-nTP_HT*BN66)*(nTP_Lo_n=nTP_Hi_n)*(nTP_Lo_n=N(BR66))*(N(BR66)=N(BS66))))),2),0))</f>
        <v>0</v>
      </c>
      <c r="EY66" s="22">
        <f>IF(CE66&lt;3,0,IFERROR(_xlfn.AGGREGATE(15,6,nTP_RowN/((nTP_CandKey=BX66)*(nTP_Err="")*(1-nTP_Exact)*((nTP_HT*BN66*((nTP_OK*BO66*(nTP_UTC_n-N(BQ66))+(1-nTP_OK*BO66)*(nTP_Loc_n-N(BP66)))&lt;=0)+(1-nTP_HT*BN66)*(nTP_Hi_n&lt;N(BR66)))+((1-nTP_HT*BN66)*(nTP_Lo_n=nTP_Hi_n)*(nTP_Lo_n=N(BR66))*(N(BR66)=N(BS66))))),3),0))</f>
        <v>0</v>
      </c>
      <c r="EZ66" s="21" t="str">
        <f>IF(EO66=0,"",MID(IF(EQ66&gt;0,"; "&amp;INDEX(nTP_Record_ID,EQ66)&amp;IF(INDEX(nTP_Label,EQ66)="",""," ("&amp;INDEX(nTP_Label,EQ66)&amp;")"),"")&amp;IF(ER66&gt;0,"; "&amp;INDEX(nTP_Record_ID,ER66)&amp;IF(INDEX(nTP_Label,ER66)="",""," ("&amp;INDEX(nTP_Label,ER66)&amp;")"),"")&amp;IF(ES66&gt;0,"; "&amp;INDEX(nTP_Record_ID,ES66)&amp;IF(INDEX(nTP_Label,ES66)="",""," ("&amp;INDEX(nTP_Label,ES66)&amp;")"),"")&amp;IF(EO66&gt;3,"; and "&amp;(EO66-3)&amp;" more",""),3,999))</f>
        <v/>
      </c>
      <c r="FA66" s="21" t="str">
        <f>IF(EO66=0,"",MID(IF(EQ66&gt;0,"; "&amp;INDEX(nTP_Record_ID,EQ66),"")&amp;IF(ER66&gt;0,"; "&amp;INDEX(nTP_Record_ID,ER66),"")&amp;IF(ES66&gt;0,"; "&amp;INDEX(nTP_Record_ID,ES66),"")&amp;IF(EO66&gt;3,"; and "&amp;(EO66-3)&amp;" more",""),3,999))</f>
        <v/>
      </c>
      <c r="FB66" s="21" t="str">
        <f>IF(EP66=0,"",MID(IF(ET66&gt;0,"; "&amp;INDEX(nTP_Record_ID,ET66)&amp;IF(INDEX(nTP_Label,ET66)="",""," ("&amp;INDEX(nTP_Label,ET66)&amp;")"),"")&amp;IF(EU66&gt;0,"; "&amp;INDEX(nTP_Record_ID,EU66)&amp;IF(INDEX(nTP_Label,EU66)="",""," ("&amp;INDEX(nTP_Label,EU66)&amp;")"),"")&amp;IF(EV66&gt;0,"; "&amp;INDEX(nTP_Record_ID,EV66)&amp;IF(INDEX(nTP_Label,EV66)="",""," ("&amp;INDEX(nTP_Label,EV66)&amp;")"),"")&amp;IF(EP66&gt;3,"; and "&amp;(EP66-3)&amp;" more",""),3,999))</f>
        <v/>
      </c>
      <c r="FC66" s="21" t="str">
        <f>IF(CE66=0,"",MID(IF(EW66&gt;0,"; "&amp;INDEX(nTP_Record_ID,EW66),"")&amp;IF(EX66&gt;0,"; "&amp;INDEX(nTP_Record_ID,EX66),"")&amp;IF(EY66&gt;0,"; "&amp;INDEX(nTP_Record_ID,EY66),"")&amp;IF(CE66&gt;3,"; and "&amp;(CE66-3)&amp;" more",""),3,999))</f>
        <v/>
      </c>
      <c r="FD66" s="22">
        <f t="shared" si="118"/>
        <v>0</v>
      </c>
      <c r="FE66" s="22">
        <f t="shared" si="119"/>
        <v>0</v>
      </c>
      <c r="FF66" s="22">
        <f t="shared" si="120"/>
        <v>0</v>
      </c>
      <c r="FG66" s="22">
        <f t="shared" si="121"/>
        <v>0</v>
      </c>
      <c r="FH66" s="22">
        <f t="shared" si="122"/>
        <v>0</v>
      </c>
      <c r="FI66" s="22">
        <f t="shared" si="123"/>
        <v>0</v>
      </c>
      <c r="FJ66" s="22">
        <f t="shared" si="124"/>
        <v>0</v>
      </c>
      <c r="FK66" s="22">
        <f t="shared" si="125"/>
        <v>1</v>
      </c>
    </row>
    <row r="67" spans="1:167" x14ac:dyDescent="0.2">
      <c r="A67" s="9" t="s">
        <v>1129</v>
      </c>
      <c r="B67" s="9" t="s">
        <v>305</v>
      </c>
      <c r="C67" s="11">
        <v>2</v>
      </c>
      <c r="D67" s="9" t="s">
        <v>894</v>
      </c>
      <c r="E67" s="16" t="s">
        <v>52</v>
      </c>
      <c r="F67" s="9"/>
      <c r="G67" s="9"/>
      <c r="H67" s="9" t="s">
        <v>1168</v>
      </c>
      <c r="I67" s="16" t="s">
        <v>61</v>
      </c>
      <c r="J67" s="16"/>
      <c r="K67" s="9"/>
      <c r="L67" s="16"/>
      <c r="M67" s="16"/>
      <c r="N67" s="16"/>
      <c r="O67" s="9"/>
      <c r="P67" s="14"/>
      <c r="Q67" s="14"/>
      <c r="R67" s="9"/>
      <c r="S67" s="9"/>
      <c r="T67" s="21" t="str">
        <f t="shared" si="63"/>
        <v>343 to 435 calendar days</v>
      </c>
      <c r="U67" s="21" t="str">
        <f t="shared" si="64"/>
        <v>343 to 435 calendar days</v>
      </c>
      <c r="V67" s="21" t="str">
        <f t="shared" si="65"/>
        <v/>
      </c>
      <c r="W67" s="21">
        <f t="shared" si="66"/>
        <v>343</v>
      </c>
      <c r="X67" s="21">
        <f t="shared" si="67"/>
        <v>435</v>
      </c>
      <c r="Y67" s="21" t="str">
        <f t="shared" si="68"/>
        <v>calendar days</v>
      </c>
      <c r="Z67" s="21" t="str">
        <f t="shared" si="69"/>
        <v>C4</v>
      </c>
      <c r="AA67" s="21" t="str">
        <f t="shared" si="70"/>
        <v>AFTER</v>
      </c>
      <c r="AB67" s="21" t="str">
        <f t="shared" si="71"/>
        <v/>
      </c>
      <c r="AC67" s="21" t="str">
        <f t="shared" si="72"/>
        <v/>
      </c>
      <c r="AD67" s="21" t="str">
        <f>IF(AW67=1,"",MID(IF(ISNUMBER(SEARCH("E_INVALID_DATE",EG67))," | E_INVALID_DATE: "&amp;SUBSTITUTE(IFERROR(INDEX(nMSG_Text,MATCH("E_INVALID_DATE",nMSG_Code,0)),""),"[input]",""),"")&amp;IF(ISNUMBER(SEARCH("E_REVERSED_BOUNDS",EG67))," | E_REVERSED_BOUNDS: "&amp;SUBSTITUTE(IFERROR(INDEX(nMSG_Text,MATCH("E_REVERSED_BOUNDS",nMSG_Code,0)),""),"[input]",""),"")&amp;IF(ISNUMBER(SEARCH("E_DUPLICATE_ID",EG67))," | E_DUPLICATE_ID: "&amp;SUBSTITUTE(IFERROR(INDEX(nMSG_Text,MATCH("E_DUPLICATE_ID",nMSG_Code,0)),""),"[input]",""),"")&amp;IF(ISNUMBER(SEARCH("E_MISSING_LINK",EG67))," | E_MISSING_LINK: "&amp;SUBSTITUTE(IFERROR(INDEX(nMSG_Text,MATCH("E_MISSING_LINK",nMSG_Code,0)),""),"[input]",""),"")&amp;IF(ISNUMBER(SEARCH("E_MISSING_INPUT",EG67))," | E_MISSING_INPUT: "&amp;SUBSTITUTE(IFERROR(INDEX(nMSG_Text,MATCH("E_MISSING_INPUT",nMSG_Code,0)),""),"[input]",IF(EH67="","an input",EH67)),"")&amp;IF(ISNUMBER(SEARCH("E_INVALID_UNIT",EG67))," | E_INVALID_UNIT: "&amp;SUBSTITUTE(IFERROR(INDEX(nMSG_Text,MATCH("E_INVALID_UNIT",nMSG_Code,0)),""),"[input]",""),"")&amp;IF(FD67=1," | W_TZ_UNKNOWN: "&amp;SUBSTITUTE(IFERROR(INDEX(nMSG_Text,MATCH("W_TZ_UNKNOWN",nMSG_Code,0)),""),"[input]",""),"")&amp;IF(FE67=1," | W_SAME_DATE_ORDER_UNKNOWN: "&amp;SUBSTITUTE(IFERROR(INDEX(nMSG_Text,MATCH("W_SAME_DATE_ORDER_UNKNOWN",nMSG_Code,0)),""),"[input]",""),"")&amp;IF(FF67=1," | W_SEQUENCE_UNCERTAIN: "&amp;SUBSTITUTE(IFERROR(INDEX(nMSG_Text,MATCH("W_SEQUENCE_UNCERTAIN",nMSG_Code,0)),""),"[input]",""),"")&amp;IF(FG67=1," | W_ADMIN_SAME_DATE_AS_ONSET: "&amp;SUBSTITUTE(IFERROR(INDEX(nMSG_Text,MATCH("W_ADMIN_SAME_DATE_AS_ONSET",nMSG_Code,0)),""),"[input]",""),"")&amp;IF(FH67=1," | W_REPORTED_TIMING_CONFLICT: "&amp;SUBSTITUTE(IFERROR(INDEX(nMSG_Text,MATCH("W_REPORTED_TIMING_CONFLICT",nMSG_Code,0)),""),"[input]",""),"")&amp;IF(FI67=1," | W_INTERVENTION_BEFORE_RECOVERY: "&amp;SUBSTITUTE(IFERROR(INDEX(nMSG_Text,MATCH("W_INTERVENTION_BEFORE_RECOVERY",nMSG_Code,0)),""),"[input]",""),"")&amp;IF(FJ67=1," | I_TREATMENT_DAY_UNDEFINED: "&amp;SUBSTITUTE(IFERROR(INDEX(nMSG_Text,MATCH("I_TREATMENT_DAY_UNDEFINED",nMSG_Code,0)),""),"[input]",""),"")&amp;IF(FK67=1," | I_APPROXIMATE_NOT_COMPARED: "&amp;SUBSTITUTE(IFERROR(INDEX(nMSG_Text,MATCH("I_APPROXIMATE_NOT_COMPARED",nMSG_Code,0)),""),"[input]",""),""),4,9999))</f>
        <v/>
      </c>
      <c r="AE67" s="21" t="str">
        <f t="shared" si="73"/>
        <v/>
      </c>
      <c r="AF67" s="21" t="str">
        <f t="shared" si="74"/>
        <v/>
      </c>
      <c r="AG67" s="21" t="str">
        <f>IF(EN67="","",MID(IF(ISNUMBER(SEARCH("E_REVERSED_BOUNDS",EN67))," | E_REVERSED_BOUNDS: "&amp;SUBSTITUTE(IFERROR(INDEX(nMSG_Text,MATCH("E_REVERSED_BOUNDS",nMSG_Code,0)),""),"[input]",""),"")&amp;IF(ISNUMBER(SEARCH("E_MISSING_INPUT",EN67))," | E_MISSING_INPUT: "&amp;SUBSTITUTE(IFERROR(INDEX(nMSG_Text,MATCH("E_MISSING_INPUT",nMSG_Code,0)),""),"[input]",IF("the source of the constraint"="","an input","the source of the constraint")),""),4,999))</f>
        <v/>
      </c>
      <c r="AH67" s="21" t="str">
        <f t="shared" si="75"/>
        <v/>
      </c>
      <c r="AI67" s="21" t="str">
        <f t="shared" si="76"/>
        <v>ADM-RTX-6 → EV-HBV/ONSET</v>
      </c>
      <c r="AJ67" s="21" t="str">
        <f t="shared" si="77"/>
        <v>ADM-RTX-6</v>
      </c>
      <c r="AK67" s="21" t="str">
        <f t="shared" si="78"/>
        <v>EV-HBV/ONSET</v>
      </c>
      <c r="AL67" s="21" t="str">
        <f>IF(CY67=0,"",INDEX(nTP_ISO,CY67))</f>
        <v>2025-03-03</v>
      </c>
      <c r="AM67" s="21" t="str">
        <f>IF(CY67=0,"",INDEX(nTP_Display,CY67))</f>
        <v>3 March 2025</v>
      </c>
      <c r="AN67" s="21" t="str">
        <f>IF(BI67=0,"",INDEX(nTP_ISO,BI67))</f>
        <v>2026-02-09/2026-05-12</v>
      </c>
      <c r="AO67" s="21" t="str">
        <f>IF(BI67=0,"",INDEX(nTP_Display,BI67))</f>
        <v>9 February 2026 to 12 May 2026 (laboratory-defined)</v>
      </c>
      <c r="AP67" s="21" t="str">
        <f>IF(BA67=0,"",INDEX(nLNK_Exposure_Episode_ID,BA67)&amp;"")</f>
        <v>EX-RTX</v>
      </c>
      <c r="AQ67" s="21" t="str">
        <f>IF(BA67=0,"",INDEX(nLNK_Event_Episode_ID,BA67)&amp;"")</f>
        <v>EV-HBV</v>
      </c>
      <c r="AR67" s="21" t="str">
        <f t="shared" si="79"/>
        <v>Anchor (LAST_DOSE_BEFORE_ONSET) ADM-RTX-6: 2025-03-03 [day; case measurement; original: "last infusion 03/03/2025"; source: Hematology summary] | End point EV-HBV/ONSET: 2026-02-09/2026-05-12 [laboratory-defined range; case measurement; original: "Between the last undetectable HBV DNA (9 February 2026) and the first positive result (12 May 2026)"; source: Laboratory-defined onset (CALC-SPEC 1.1 C4): test records M-HBV3 (last normal) and M-HBV4 (first abnormal)]</v>
      </c>
      <c r="AS67" s="21" t="str">
        <f>IF(EI67=0,"",MID(IF(DT67=1," | Recovery interval (C7) computed with "&amp;DS67&amp;".","")&amp;IF(BG67=1," | Anchor selected under C5 (CALC-SPEC 1.1): latest administration with an exact date or time at or before "&amp;IF(BH67=1,"onset","the end point")&amp;" ("&amp;AJ67&amp;"), ordered in UTC when offsets are known; later administrations are never selected.","")&amp;IF(AND(BG67=1,CE67&gt;0)," | Partial-date administrations wholly before the selected one were not candidates: "&amp;FC67&amp;".","")&amp;IF(BV67&lt;&gt;""," | "&amp;BV67,"")&amp;IF(AND(DS67="C2",EA67=0,DZ67&lt;&gt;"")," | Same calendar date; both times are known, so C1 decides the order ("&amp;AA67&amp;").","")&amp;IF(AND(DS67="C2",DD67*BN67=1,DT67=0)," | Calendar-date difference from the recorded local dates; it is never described as elapsed days.","")&amp;IF(AND(DS67="C4",DT67=0)," | Bounds are treated as independent; no single date is imputed from them.","")&amp;IF(EJ67=1," | Treatment day under the inclusive convention (C3); never written to E2B fields automatically.","")&amp;IF(AND(DS67="C4",DT67=0,EK67=0)," | No constraint applied.","")&amp;IF(AND(DS67="C4",EK67=1)," | Constraint applied to the anchor bounds: "&amp;IF(ISNUMBER(P67),"not before "&amp;DAY(P67)&amp;" "&amp;INDEX(nLIST_Months,MONTH(P67))&amp;" "&amp;YEAR(P67),"")&amp;IF(AND(ISNUMBER(P67),ISNUMBER(Q67)),", ","")&amp;IF(ISNUMBER(Q67),"not after "&amp;DAY(Q67)&amp;" "&amp;INDEX(nLIST_Months,MONTH(Q67))&amp;" "&amp;YEAR(Q67),"")&amp;". Source: "&amp;IF(R67="","not recorded",R67)&amp;IF(EN67="",". Constrained result shown beside the unconstrained one.",". Constrained result blocked ("&amp;EN67&amp;")."),"")&amp;IF(DT67=1,IF(EO67&gt;0," | Intervention recorded between cessation and recovery (ends included): "&amp;EZ67&amp;"."," | No intervention is recorded between cessation and recovery; absence of a record is not evidence that none was given."),"")&amp;IF(AND(DT67=1,DV67&gt;0)," | Intervention recorded without a date, so whether it came before recovery is unknown: "&amp;INDEX(nMS_Milestone_ID,MATCH(1,INDEX((nMS_CaseKey=AX67)*(nMS_Type="INTERVENTION")*nMS_Undated,0),0))&amp;IF(DV67&gt;1," and "&amp;(DV67-1)&amp;" more","")&amp;".","")&amp;IF(AND(DT67=1,EP67&gt;0)," | Not counted as interventions, because they are recorded as exposures rather than as intervention milestones (nothing is inferred): "&amp;FB67&amp;". If treatment was given, record it as an intervention milestone.",""),4,9999))</f>
        <v>Anchor selected under C5 (CALC-SPEC 1.1): latest administration with an exact date or time at or before onset (ADM-RTX-6), ordered in UTC when offsets are known; later administrations are never selected. | Onset is laboratory-defined (CALC-SPEC 1.1, C4): lower bound = date of the last normal test (M-HBV3), upper bound = date of the first abnormal test (M-HBV4). The reviewer decides which results are normal. | Bounds are treated as independent; no single date is imputed from them. | No constraint applied.</v>
      </c>
      <c r="AT67" s="21" t="str">
        <f t="shared" si="80"/>
        <v>The interval describes the sequence and spacing of recorded times; it is not evidence of causation. The true interval lies between the bounds; no single date is imputed.</v>
      </c>
      <c r="AU67" s="21" t="str">
        <f t="shared" si="81"/>
        <v/>
      </c>
      <c r="AV67" s="21" t="str">
        <f t="shared" si="82"/>
        <v>CALC-SPEC 1.1</v>
      </c>
      <c r="AW67" s="22">
        <f t="shared" si="83"/>
        <v>0</v>
      </c>
      <c r="AX67" s="21" t="str">
        <f t="shared" si="84"/>
        <v>EX-C28|2</v>
      </c>
      <c r="AY67" s="21" t="str">
        <f t="shared" si="85"/>
        <v>EX-C28|2|I02</v>
      </c>
      <c r="AZ67" s="22">
        <f>IF(AY67="",0,COUNTIF(nINT_Key,AY67))</f>
        <v>1</v>
      </c>
      <c r="BA67" s="22">
        <f>IF(D67="",0,IFERROR(MATCH(AX67&amp;"|"&amp;D67,nLNK_Key,0),0))</f>
        <v>27</v>
      </c>
      <c r="BB67" s="22">
        <f>IF(BA67=0,1,INDEX(nLNK_Exp_Found,BA67))</f>
        <v>1</v>
      </c>
      <c r="BC67" s="22">
        <f>IF(BA67=0,1,INDEX(nLNK_Evt_Found,BA67))</f>
        <v>1</v>
      </c>
      <c r="BD67" s="22">
        <f>IF(AP67="",0,COUNTIF(nEXP_Key,AX67&amp;"|"&amp;AP67))</f>
        <v>1</v>
      </c>
      <c r="BE67" s="22">
        <f>IF(AQ67="",0,COUNTIF(nEVT_Key,AX67&amp;"|"&amp;AQ67))</f>
        <v>1</v>
      </c>
      <c r="BF67" s="22">
        <f>IF(ISNA(MATCH(E67,nLIST_AnchorType,0)),0,1)</f>
        <v>1</v>
      </c>
      <c r="BG67" s="22">
        <f t="shared" si="86"/>
        <v>1</v>
      </c>
      <c r="BH67" s="22">
        <f t="shared" si="87"/>
        <v>1</v>
      </c>
      <c r="BI67" s="22">
        <f>IF(OR(AW67=1,AK67=""),0,IFERROR(MATCH(AX67&amp;"|"&amp;AK67,nTP_Key,0),0))</f>
        <v>314</v>
      </c>
      <c r="BJ67" s="21">
        <f>IF(BI67=0,0,INDEX(nTP_Dup,BI67))</f>
        <v>1</v>
      </c>
      <c r="BK67" s="21" t="str">
        <f>IF(BI67=0,"",INDEX(nTP_Record_Type,BI67))</f>
        <v>EVENT_ONSET</v>
      </c>
      <c r="BL67" s="21" t="str">
        <f>IF(BI67=0,"",INDEX(nTP_Precision,BI67))</f>
        <v>LAB</v>
      </c>
      <c r="BM67" s="21" t="str">
        <f>IF(BI67=0,"",INDEX(nTP_Err,BI67))</f>
        <v/>
      </c>
      <c r="BN67" s="21">
        <f>IF(BI67=0,0,INDEX(nTP_HT,BI67))</f>
        <v>0</v>
      </c>
      <c r="BO67" s="21">
        <f>IF(BI67=0,0,INDEX(nTP_OK,BI67))</f>
        <v>0</v>
      </c>
      <c r="BP67" s="21" t="str">
        <f>IF(BI67=0,"",INDEX(nTP_Loc,BI67))</f>
        <v/>
      </c>
      <c r="BQ67" s="21" t="str">
        <f>IF(BI67=0,"",INDEX(nTP_UTC,BI67))</f>
        <v/>
      </c>
      <c r="BR67" s="21">
        <f>IF(BI67=0,"",INDEX(nTP_Lo,BI67))</f>
        <v>46062</v>
      </c>
      <c r="BS67" s="21">
        <f>IF(BI67=0,"",INDEX(nTP_Hi,BI67))</f>
        <v>46154</v>
      </c>
      <c r="BT67" s="21" t="str">
        <f>IF(BI67=0,"",INDEX(nTP_Original_Text,BI67))</f>
        <v>Between the last undetectable HBV DNA (9 February 2026) and the first positive result (12 May 2026)</v>
      </c>
      <c r="BU67" s="21" t="str">
        <f>IF(BI67=0,"",INDEX(nTP_Source,BI67))</f>
        <v>Laboratory-defined onset (CALC-SPEC 1.1 C4): test records M-HBV3 (last normal) and M-HBV4 (first abnormal)</v>
      </c>
      <c r="BV67" s="21" t="str">
        <f>IF(BI67=0,"",INDEX(nTP_Lab_Note,BI67))</f>
        <v>Onset is laboratory-defined (CALC-SPEC 1.1, C4): lower bound = date of the last normal test (M-HBV3), upper bound = date of the first abnormal test (M-HBV4). The reviewer decides which results are normal.</v>
      </c>
      <c r="BW67" s="22">
        <f t="shared" si="88"/>
        <v>1</v>
      </c>
      <c r="BX67" s="21" t="str">
        <f t="shared" si="89"/>
        <v>EX-C28|2|EX-RTX</v>
      </c>
      <c r="BY67" s="22">
        <f>IF(BG67=0,0,COUNTIF(nTP_CandKey,BX67))</f>
        <v>3</v>
      </c>
      <c r="BZ67" s="22">
        <f>IF(BG67=0,0,COUNTIFS(nTP_CandKey,BX67,nTP_Err,""))</f>
        <v>3</v>
      </c>
      <c r="CA67" s="21" t="str">
        <f>IF(BY67=BZ67,"",IF(COUNTIFS(nTP_CandKey,BX67,nTP_Err,"E_INVALID_DATE")&gt;0,"; E_INVALID_DATE","")&amp;IF(COUNTIFS(nTP_CandKey,BX67,nTP_Err,"E_REVERSED_BOUNDS")&gt;0,"; E_REVERSED_BOUNDS","")&amp;IF(COUNTIFS(nTP_CandKey,BX67,nTP_Err,"E_MISSING_INPUT")&gt;0,"; E_MISSING_INPUT","")&amp;IF(COUNTIFS(nTP_CandKey,BX67,nTP_Err,"E_INVALID_UNIT")&gt;0,"; E_INVALID_UNIT",""))</f>
        <v/>
      </c>
      <c r="CB67" s="22">
        <f t="shared" si="90"/>
        <v>1</v>
      </c>
      <c r="CC67" s="22">
        <f>IF(CB67=0,0,SUMPRODUCT((nTP_CandKey=BX67)*(nTP_Err="")*(1-(nTP_HT*BN67*((nTP_OK*BO67*(nTP_UTC_n-N(BQ67))+(1-nTP_OK*BO67)*(nTP_Loc_n-N(BP67)))&lt;=0)+(1-nTP_HT*BN67)*(nTP_Hi_n&lt;N(BR67)))-(nTP_HT*BN67*((nTP_OK*BO67*(nTP_UTC_n-N(BQ67))+(1-nTP_OK*BO67)*(nTP_Loc_n-N(BP67)))&gt;0)+(1-nTP_HT*BN67)*(nTP_Lo_n&gt;N(BS67)))-((1-nTP_HT*BN67)*(nTP_Lo_n=nTP_Hi_n)*(nTP_Lo_n=N(BR67))*(N(BR67)=N(BS67))))))</f>
        <v>0</v>
      </c>
      <c r="CD67" s="22">
        <f>IF(CB67=0,0,SUMPRODUCT((nTP_CandKey=BX67)*nTP_Exact*((nTP_HT*BN67*((nTP_OK*BO67*(nTP_UTC_n-N(BQ67))+(1-nTP_OK*BO67)*(nTP_Loc_n-N(BP67)))&lt;=0)+(1-nTP_HT*BN67)*(nTP_Hi_n&lt;N(BR67)))+((1-nTP_HT*BN67)*(nTP_Lo_n=nTP_Hi_n)*(nTP_Lo_n=N(BR67))*(N(BR67)=N(BS67))))))</f>
        <v>3</v>
      </c>
      <c r="CE67" s="22">
        <f>IF(CB67=0,0,SUMPRODUCT((nTP_CandKey=BX67)*(nTP_Err="")*(1-nTP_Exact)*((nTP_HT*BN67*((nTP_OK*BO67*(nTP_UTC_n-N(BQ67))+(1-nTP_OK*BO67)*(nTP_Loc_n-N(BP67)))&lt;=0)+(1-nTP_HT*BN67)*(nTP_Hi_n&lt;N(BR67)))+((1-nTP_HT*BN67)*(nTP_Lo_n=nTP_Hi_n)*(nTP_Lo_n=N(BR67))*(N(BR67)=N(BS67))))))</f>
        <v>0</v>
      </c>
      <c r="CF67" s="22">
        <f>IF(CD67=0,0,SUMPRODUCT(MAX((nTP_CandKey=BX67)*nTP_Exact*((nTP_HT*BN67*((nTP_OK*BO67*(nTP_UTC_n-N(BQ67))+(1-nTP_OK*BO67)*(nTP_Loc_n-N(BP67)))&lt;=0)+(1-nTP_HT*BN67)*(nTP_Hi_n&lt;N(BR67)))+((1-nTP_HT*BN67)*(nTP_Lo_n=nTP_Hi_n)*(nTP_Lo_n=N(BR67))*(N(BR67)=N(BS67))))*nTP_Lo_n)))</f>
        <v>45719</v>
      </c>
      <c r="CG67" s="22">
        <f>IF(CD67=0,0,SUMPRODUCT((nTP_CandKey=BX67)*nTP_Exact*((nTP_HT*BN67*((nTP_OK*BO67*(nTP_UTC_n-N(BQ67))+(1-nTP_OK*BO67)*(nTP_Loc_n-N(BP67)))&lt;=0)+(1-nTP_HT*BN67)*(nTP_Hi_n&lt;N(BR67)))+((1-nTP_HT*BN67)*(nTP_Lo_n=nTP_Hi_n)*(nTP_Lo_n=N(BR67))*(N(BR67)=N(BS67))))*(nTP_Lo_n=CF67)))</f>
        <v>1</v>
      </c>
      <c r="CH67" s="22">
        <f>IF(CD67=0,0,SUMPRODUCT((nTP_CandKey=BX67)*nTP_Exact*((nTP_HT*BN67*((nTP_OK*BO67*(nTP_UTC_n-N(BQ67))+(1-nTP_OK*BO67)*(nTP_Loc_n-N(BP67)))&lt;=0)+(1-nTP_HT*BN67)*(nTP_Hi_n&lt;N(BR67)))+((1-nTP_HT*BN67)*(nTP_Lo_n=nTP_Hi_n)*(nTP_Lo_n=N(BR67))*(N(BR67)=N(BS67))))*(1-nTP_HT)*(nTP_Lo_n=CF67)))</f>
        <v>1</v>
      </c>
      <c r="CI67" s="22">
        <f>IF(CD67=0,0,SUMPRODUCT(MAX((nTP_CandKey=BX67)*nTP_Exact*((nTP_HT*BN67*((nTP_OK*BO67*(nTP_UTC_n-N(BQ67))+(1-nTP_OK*BO67)*(nTP_Loc_n-N(BP67)))&lt;=0)+(1-nTP_HT*BN67)*(nTP_Hi_n&lt;N(BR67)))+((1-nTP_HT*BN67)*(nTP_Lo_n=nTP_Hi_n)*(nTP_Lo_n=N(BR67))*(N(BR67)=N(BS67))))*(1-nTP_HT)*nTP_Lo_n)))</f>
        <v>45719</v>
      </c>
      <c r="CJ67" s="22">
        <f>IF(CD67=0,0,SUMPRODUCT(MAX((nTP_CandKey=BX67)*nTP_Exact*((nTP_HT*BN67*((nTP_OK*BO67*(nTP_UTC_n-N(BQ67))+(1-nTP_OK*BO67)*(nTP_Loc_n-N(BP67)))&lt;=0)+(1-nTP_HT*BN67)*(nTP_Hi_n&lt;N(BR67)))+((1-nTP_HT*BN67)*(nTP_Lo_n=nTP_Hi_n)*(nTP_Lo_n=N(BR67))*(N(BR67)=N(BS67))))*nTP_HT*nTP_OK*nTP_UTC_n)))</f>
        <v>0</v>
      </c>
      <c r="CK67" s="22">
        <f>IF(CJ67=0,0,SUMPRODUCT((nTP_CandKey=BX67)*nTP_Exact*((nTP_HT*BN67*((nTP_OK*BO67*(nTP_UTC_n-N(BQ67))+(1-nTP_OK*BO67)*(nTP_Loc_n-N(BP67)))&lt;=0)+(1-nTP_HT*BN67)*(nTP_Hi_n&lt;N(BR67)))+((1-nTP_HT*BN67)*(nTP_Lo_n=nTP_Hi_n)*(nTP_Lo_n=N(BR67))*(N(BR67)=N(BS67))))*nTP_HT*nTP_OK*(nTP_UTC_n=CJ67)))</f>
        <v>0</v>
      </c>
      <c r="CL67" s="22">
        <f>IF(CK67&lt;&gt;1,0,SUMPRODUCT((nTP_CandKey=BX67)*nTP_Exact*((nTP_HT*BN67*((nTP_OK*BO67*(nTP_UTC_n-N(BQ67))+(1-nTP_OK*BO67)*(nTP_Loc_n-N(BP67)))&lt;=0)+(1-nTP_HT*BN67)*(nTP_Hi_n&lt;N(BR67)))+((1-nTP_HT*BN67)*(nTP_Lo_n=nTP_Hi_n)*(nTP_Lo_n=N(BR67))*(N(BR67)=N(BS67))))*nTP_HT*nTP_OK*(nTP_UTC_n=CJ67)*nTP_Loc_n))</f>
        <v>0</v>
      </c>
      <c r="CM67" s="22">
        <f>IF(CK67&lt;&gt;1,0,SUMPRODUCT((nTP_CandKey=BX67)*nTP_Exact*((nTP_HT*BN67*((nTP_OK*BO67*(nTP_UTC_n-N(BQ67))+(1-nTP_OK*BO67)*(nTP_Loc_n-N(BP67)))&lt;=0)+(1-nTP_HT*BN67)*(nTP_Hi_n&lt;N(BR67)))+((1-nTP_HT*BN67)*(nTP_Lo_n=nTP_Hi_n)*(nTP_Lo_n=N(BR67))*(N(BR67)=N(BS67))))*nTP_HT*nTP_OK*(nTP_UTC_n=CJ67)*nTP_Lo_n))</f>
        <v>0</v>
      </c>
      <c r="CN67" s="22">
        <f>IF(CD67=0,0,SUMPRODUCT(MAX((nTP_CandKey=BX67)*nTP_Exact*((nTP_HT*BN67*((nTP_OK*BO67*(nTP_UTC_n-N(BQ67))+(1-nTP_OK*BO67)*(nTP_Loc_n-N(BP67)))&lt;=0)+(1-nTP_HT*BN67)*(nTP_Hi_n&lt;N(BR67)))+((1-nTP_HT*BN67)*(nTP_Lo_n=nTP_Hi_n)*(nTP_Lo_n=N(BR67))*(N(BR67)=N(BS67))))*nTP_HT*(1-nTP_OK)*nTP_Loc_n)))</f>
        <v>0</v>
      </c>
      <c r="CO67" s="22">
        <f>IF(CN67=0,0,SUMPRODUCT((nTP_CandKey=BX67)*nTP_Exact*((nTP_HT*BN67*((nTP_OK*BO67*(nTP_UTC_n-N(BQ67))+(1-nTP_OK*BO67)*(nTP_Loc_n-N(BP67)))&lt;=0)+(1-nTP_HT*BN67)*(nTP_Hi_n&lt;N(BR67)))+((1-nTP_HT*BN67)*(nTP_Lo_n=nTP_Hi_n)*(nTP_Lo_n=N(BR67))*(N(BR67)=N(BS67))))*nTP_HT*(1-nTP_OK)*(nTP_Loc_n=CN67)))</f>
        <v>0</v>
      </c>
      <c r="CP67" s="22">
        <f>IF(CO67&lt;&gt;1,0,SUMPRODUCT((nTP_CandKey=BX67)*nTP_Exact*((nTP_HT*BN67*((nTP_OK*BO67*(nTP_UTC_n-N(BQ67))+(1-nTP_OK*BO67)*(nTP_Loc_n-N(BP67)))&lt;=0)+(1-nTP_HT*BN67)*(nTP_Hi_n&lt;N(BR67)))+((1-nTP_HT*BN67)*(nTP_Lo_n=nTP_Hi_n)*(nTP_Lo_n=N(BR67))*(N(BR67)=N(BS67))))*nTP_HT*(1-nTP_OK)*(nTP_Loc_n=CN67)*nTP_Lo_n))</f>
        <v>0</v>
      </c>
      <c r="CQ67" s="22">
        <f>IF(CD67=0,0,SUMPRODUCT(MAX((nTP_CandKey=BX67)*nTP_Exact*((nTP_HT*BN67*((nTP_OK*BO67*(nTP_UTC_n-N(BQ67))+(1-nTP_OK*BO67)*(nTP_Loc_n-N(BP67)))&lt;=0)+(1-nTP_HT*BN67)*(nTP_Hi_n&lt;N(BR67)))+((1-nTP_HT*BN67)*(nTP_Lo_n=nTP_Hi_n)*(nTP_Lo_n=N(BR67))*(N(BR67)=N(BS67))))*nTP_HT*nTP_OK*nTP_Loc_n)))</f>
        <v>0</v>
      </c>
      <c r="CR67" s="22">
        <f t="shared" si="91"/>
        <v>1</v>
      </c>
      <c r="CS67" s="22">
        <f>IF(CR67=0,0,IF(CR67=1,MATCH(1,INDEX((nTP_CandKey=BX67)*nTP_Exact*((nTP_HT*BN67*((nTP_OK*BO67*(nTP_UTC_n-N(BQ67))+(1-nTP_OK*BO67)*(nTP_Loc_n-N(BP67)))&lt;=0)+(1-nTP_HT*BN67)*(nTP_Hi_n&lt;N(BR67)))+((1-nTP_HT*BN67)*(nTP_Lo_n=nTP_Hi_n)*(nTP_Lo_n=N(BR67))*(N(BR67)=N(BS67))))*(1-nTP_HT)*(nTP_Lo_n=CF67),0),0),IF(CR67=2,MATCH(1,INDEX((nTP_CandKey=BX67)*nTP_Exact*((nTP_HT*BN67*((nTP_OK*BO67*(nTP_UTC_n-N(BQ67))+(1-nTP_OK*BO67)*(nTP_Loc_n-N(BP67)))&lt;=0)+(1-nTP_HT*BN67)*(nTP_Hi_n&lt;N(BR67)))+((1-nTP_HT*BN67)*(nTP_Lo_n=nTP_Hi_n)*(nTP_Lo_n=N(BR67))*(N(BR67)=N(BS67))))*nTP_HT*nTP_OK*(nTP_UTC_n=CJ67),0),0),MATCH(1,INDEX((nTP_CandKey=BX67)*nTP_Exact*((nTP_HT*BN67*((nTP_OK*BO67*(nTP_UTC_n-N(BQ67))+(1-nTP_OK*BO67)*(nTP_Loc_n-N(BP67)))&lt;=0)+(1-nTP_HT*BN67)*(nTP_Hi_n&lt;N(BR67)))+((1-nTP_HT*BN67)*(nTP_Lo_n=nTP_Hi_n)*(nTP_Lo_n=N(BR67))*(N(BR67)=N(BS67))))*nTP_HT*(1-nTP_OK)*(nTP_Loc_n=CN67),0),0))))</f>
        <v>281</v>
      </c>
      <c r="CT67" s="22">
        <f>IF(CS67=0,0,INDEX(nTP_Lo_n,CS67))</f>
        <v>45719</v>
      </c>
      <c r="CU67" s="22">
        <f>IF(CS67=0,0,SUMPRODUCT((nTP_CandKey=BX67)*(nTP_Err="")*(1-nTP_Exact)*((nTP_HT*BN67*((nTP_OK*BO67*(nTP_UTC_n-N(BQ67))+(1-nTP_OK*BO67)*(nTP_Loc_n-N(BP67)))&lt;=0)+(1-nTP_HT*BN67)*(nTP_Hi_n&lt;N(BR67)))+((1-nTP_HT*BN67)*(nTP_Lo_n=nTP_Hi_n)*(nTP_Lo_n=N(BR67))*(N(BR67)=N(BS67))))*(nTP_Hi_n&gt;=CT67)))</f>
        <v>0</v>
      </c>
      <c r="CV67" s="21" t="str">
        <f t="shared" si="92"/>
        <v/>
      </c>
      <c r="CW67" s="21" t="str">
        <f>IF(AND(BG67=1,CB67=1,CV67="",CS67&gt;0),INDEX(nTP_Record_ID,CS67)&amp;"","")</f>
        <v>ADM-RTX-6</v>
      </c>
      <c r="CX67" s="21" t="str">
        <f>IF(OR(CV67="",BG67=0),"",IF(CV67="none","an administration record (last dose before onset)",IF(CV67="uncertain","the anchor record: "&amp;INDEX(nTP_Record_ID,MATCH(1,INDEX((nTP_CandKey=BX67)*(nTP_Err="")*(1-(nTP_HT*BN67*((nTP_OK*BO67*(nTP_UTC_n-N(BQ67))+(1-nTP_OK*BO67)*(nTP_Loc_n-N(BP67)))&lt;=0)+(1-nTP_HT*BN67)*(nTP_Hi_n&lt;N(BR67)))-(nTP_HT*BN67*((nTP_OK*BO67*(nTP_UTC_n-N(BQ67))+(1-nTP_OK*BO67)*(nTP_Loc_n-N(BP67)))&gt;0)+(1-nTP_HT*BN67)*(nTP_Lo_n&gt;N(BS67)))-((1-nTP_HT*BN67)*(nTP_Lo_n=nTP_Hi_n)*(nTP_Lo_n=N(BR67))*(N(BR67)=N(BS67)))),0),0))&amp;IF(CC67&gt;1," and "&amp;(CC67-1)&amp;" more","")&amp;" may fall before or after the end point, so the last dose cannot be identified from the recorded dates",IF(CV67="noneligible","the anchor record: no administration with an exact date is recorded at or before the end point",IF(CV67="tie","the anchor record: the order of the latest administrations cannot be told from the recorded dates and times","the anchor record: partial-date administration "&amp;INDEX(nTP_Record_ID,MATCH(1,INDEX((nTP_CandKey=BX67)*(nTP_Err="")*(1-nTP_Exact)*((nTP_HT*BN67*((nTP_OK*BO67*(nTP_UTC_n-N(BQ67))+(1-nTP_OK*BO67)*(nTP_Loc_n-N(BP67)))&lt;=0)+(1-nTP_HT*BN67)*(nTP_Hi_n&lt;N(BR67)))+((1-nTP_HT*BN67)*(nTP_Lo_n=nTP_Hi_n)*(nTP_Lo_n=N(BR67))*(N(BR67)=N(BS67))))*(nTP_Hi_n&gt;=CT67),0),0))&amp;" could be the last dose before the end point")))))</f>
        <v/>
      </c>
      <c r="CY67" s="22">
        <f>IF(OR(AW67=1,AJ67=""),0,IFERROR(MATCH(AX67&amp;"|"&amp;AJ67,nTP_Key,0),0))</f>
        <v>281</v>
      </c>
      <c r="CZ67" s="21">
        <f>IF(CY67=0,0,INDEX(nTP_Dup,CY67))</f>
        <v>1</v>
      </c>
      <c r="DA67" s="21" t="str">
        <f>IF(CY67=0,"",INDEX(nTP_Record_Type,CY67))</f>
        <v>ADMINISTRATION</v>
      </c>
      <c r="DB67" s="21" t="str">
        <f>IF(CY67=0,"",INDEX(nTP_Precision,CY67))</f>
        <v>DATE</v>
      </c>
      <c r="DC67" s="21" t="str">
        <f>IF(CY67=0,"",INDEX(nTP_Err,CY67))</f>
        <v/>
      </c>
      <c r="DD67" s="21">
        <f>IF(CY67=0,0,INDEX(nTP_HT,CY67))</f>
        <v>0</v>
      </c>
      <c r="DE67" s="21">
        <f>IF(CY67=0,0,INDEX(nTP_OK,CY67))</f>
        <v>0</v>
      </c>
      <c r="DF67" s="21" t="str">
        <f>IF(CY67=0,"",INDEX(nTP_Loc,CY67))</f>
        <v/>
      </c>
      <c r="DG67" s="21" t="str">
        <f>IF(CY67=0,"",INDEX(nTP_UTC,CY67))</f>
        <v/>
      </c>
      <c r="DH67" s="21">
        <f>IF(CY67=0,"",INDEX(nTP_Lo,CY67))</f>
        <v>45719</v>
      </c>
      <c r="DI67" s="21">
        <f>IF(CY67=0,"",INDEX(nTP_Hi,CY67))</f>
        <v>45719</v>
      </c>
      <c r="DJ67" s="21" t="str">
        <f>IF(CY67=0,"",INDEX(nTP_Original_Text,CY67))</f>
        <v>last infusion 03/03/2025</v>
      </c>
      <c r="DK67" s="21" t="str">
        <f>IF(CY67=0,"",INDEX(nTP_Source,CY67))</f>
        <v>Hematology summary</v>
      </c>
      <c r="DL67" s="22">
        <f t="shared" si="93"/>
        <v>1</v>
      </c>
      <c r="DM67" s="21" t="str">
        <f t="shared" si="94"/>
        <v/>
      </c>
      <c r="DN67" s="21" t="str">
        <f t="shared" si="95"/>
        <v/>
      </c>
      <c r="DO67" s="21" t="str">
        <f t="shared" si="96"/>
        <v/>
      </c>
      <c r="DP67" s="21" t="str">
        <f t="shared" si="97"/>
        <v/>
      </c>
      <c r="DQ67" s="21" t="str">
        <f t="shared" si="98"/>
        <v>C4</v>
      </c>
      <c r="DR67" s="22">
        <f>IF(OR(DQ67="",I67=""),0,IF(ISNA(MATCH(I67,nLIST_Mode,0)),1,IF(AND(I67="C1",DQ67&lt;&gt;"C1"),1,IF(AND(I67="C2",DQ67="C4"),1,0))))</f>
        <v>0</v>
      </c>
      <c r="DS67" s="21" t="str">
        <f t="shared" si="99"/>
        <v>C4</v>
      </c>
      <c r="DT67" s="22">
        <f t="shared" si="100"/>
        <v>0</v>
      </c>
      <c r="DU67" s="21" t="str">
        <f>IF(DT67=0,"",IF(COUNTIFS(nTP_Case_Key,AX67,nTP_Record_Type,"MILESTONE:INTERVENTION",nTP_Err,"E_INVALID_DATE")&gt;0,"; E_INVALID_DATE","")&amp;IF(COUNTIFS(nTP_Case_Key,AX67,nTP_Record_Type,"MILESTONE:INTERVENTION",nTP_Err,"E_REVERSED_BOUNDS")&gt;0,"; E_REVERSED_BOUNDS","")&amp;IF(COUNTIFS(nTP_Case_Key,AX67,nTP_Record_Type,"MILESTONE:INTERVENTION",nTP_Err,"E_MISSING_INPUT")&gt;0,"; E_MISSING_INPUT","")&amp;IF(COUNTIFS(nTP_Case_Key,AX67,nTP_Record_Type,"MILESTONE:INTERVENTION",nTP_Err,"E_INVALID_UNIT")&gt;0,"; E_INVALID_UNIT",""))</f>
        <v/>
      </c>
      <c r="DV67" s="22">
        <f>IF(DT67=0,0,SUMPRODUCT((nMS_CaseKey=AX67)*(nMS_Type="INTERVENTION")*nMS_Undated))</f>
        <v>0</v>
      </c>
      <c r="DW67" s="21" t="str">
        <f t="shared" si="101"/>
        <v/>
      </c>
      <c r="DX67" s="21" t="str">
        <f t="shared" si="102"/>
        <v/>
      </c>
      <c r="DY67" s="22">
        <f t="shared" si="103"/>
        <v>1</v>
      </c>
      <c r="DZ67" s="21" t="str">
        <f t="shared" si="104"/>
        <v/>
      </c>
      <c r="EA67" s="21" t="str">
        <f t="shared" si="105"/>
        <v/>
      </c>
      <c r="EB67" s="21">
        <f t="shared" si="106"/>
        <v>343</v>
      </c>
      <c r="EC67" s="21">
        <f t="shared" si="107"/>
        <v>435</v>
      </c>
      <c r="ED67" s="22">
        <f t="shared" si="108"/>
        <v>0</v>
      </c>
      <c r="EE67" s="22">
        <f t="shared" si="109"/>
        <v>0</v>
      </c>
      <c r="EF67" s="21" t="str">
        <f>IF(ED67=0,"",IF(OR(NOT(ISNUMBER(L67)),NOT(ISNUMBER(M67))),"I_APPROXIMATE_NOT_COMPARED",IF(AND(N67&lt;&gt;"",ISNA(MATCH(N67,nLIST_ReportedUnit,0))),"E_INVALID_UNIT",IF(N67="","E_MISSING_INPUT",IF(L67&gt;M67,"E_REVERSED_BOUNDS",IF(OR(N67="weeks",N67="months",N67="years"),"I_APPROXIMATE_NOT_COMPARED",IF(DX67&lt;&gt;"","",IF(EE67=0,"I_APPROXIMATE_NOT_COMPARED",IF(AND(L67*EE67&lt;=IF(DS67="C4",EC67,IF(DS67="C1",DZ67,EA67)),M67*EE67&gt;=IF(DS67="C4",EB67,IF(DS67="C1",DZ67,EA67))),"OVERLAP","W_REPORTED_TIMING_CONFLICT")))))))))</f>
        <v/>
      </c>
      <c r="EG67" s="21" t="str">
        <f t="shared" si="110"/>
        <v/>
      </c>
      <c r="EH67" s="21" t="str">
        <f t="shared" si="111"/>
        <v/>
      </c>
      <c r="EI67" s="22">
        <f t="shared" si="112"/>
        <v>1</v>
      </c>
      <c r="EJ67" s="22">
        <f t="shared" si="113"/>
        <v>0</v>
      </c>
      <c r="EK67" s="22">
        <f t="shared" si="114"/>
        <v>0</v>
      </c>
      <c r="EL67" s="28" t="str">
        <f t="shared" si="115"/>
        <v/>
      </c>
      <c r="EM67" s="28" t="str">
        <f t="shared" si="116"/>
        <v/>
      </c>
      <c r="EN67" s="21" t="str">
        <f t="shared" si="117"/>
        <v/>
      </c>
      <c r="EO67" s="22">
        <f>IF(OR(DT67=0,DX67&lt;&gt;""),0,SUMPRODUCT((nTP_Case_Key=AX67)*(nTP_Record_Type="MILESTONE:INTERVENTION")*(nTP_Err="")*(nTP_HT*DD67*BN67*(nTP_OK*DE67*(nTP_UTC_n&gt;=N(DG67))+(1-nTP_OK*DE67)*(nTP_Loc_n&gt;=N(DF67)))*(nTP_OK*BO67*(nTP_UTC_n&lt;=N(BQ67))+(1-nTP_OK*BO67)*(nTP_Loc_n&lt;=N(BP67)))+(1-nTP_HT*DD67*BN67)*(nTP_Hi_n&gt;=N(DH67))*(nTP_Lo_n&lt;=N(BS67)))))</f>
        <v>0</v>
      </c>
      <c r="EP67" s="22">
        <f>IF(OR(DT67=0,DX67&lt;&gt;""),0,SUMPRODUCT((nTP_Case_Key=AX67)*(nTP_Role="treatment of the event")*((nTP_Record_Type="EXPOSURE_START")+(nTP_Record_Type="ADMINISTRATION"))*(nTP_Err="")*(nTP_HT*DD67*BN67*(nTP_OK*DE67*(nTP_UTC_n&gt;=N(DG67))+(1-nTP_OK*DE67)*(nTP_Loc_n&gt;=N(DF67)))*(nTP_OK*BO67*(nTP_UTC_n&lt;=N(BQ67))+(1-nTP_OK*BO67)*(nTP_Loc_n&lt;=N(BP67)))+(1-nTP_HT*DD67*BN67)*(nTP_Hi_n&gt;=N(DH67))*(nTP_Lo_n&lt;=N(BS67)))))</f>
        <v>0</v>
      </c>
      <c r="EQ67" s="22">
        <f>IF(EO67&lt;1,0,IFERROR(_xlfn.AGGREGATE(15,6,nTP_RowN/((nTP_Case_Key=AX67)*(nTP_Record_Type="MILESTONE:INTERVENTION")*(nTP_Err="")*(nTP_HT*DD67*BN67*(nTP_OK*DE67*(nTP_UTC_n&gt;=N(DG67))+(1-nTP_OK*DE67)*(nTP_Loc_n&gt;=N(DF67)))*(nTP_OK*BO67*(nTP_UTC_n&lt;=N(BQ67))+(1-nTP_OK*BO67)*(nTP_Loc_n&lt;=N(BP67)))+(1-nTP_HT*DD67*BN67)*(nTP_Hi_n&gt;=N(DH67))*(nTP_Lo_n&lt;=N(BS67)))),1),0))</f>
        <v>0</v>
      </c>
      <c r="ER67" s="22">
        <f>IF(EO67&lt;2,0,IFERROR(_xlfn.AGGREGATE(15,6,nTP_RowN/((nTP_Case_Key=AX67)*(nTP_Record_Type="MILESTONE:INTERVENTION")*(nTP_Err="")*(nTP_HT*DD67*BN67*(nTP_OK*DE67*(nTP_UTC_n&gt;=N(DG67))+(1-nTP_OK*DE67)*(nTP_Loc_n&gt;=N(DF67)))*(nTP_OK*BO67*(nTP_UTC_n&lt;=N(BQ67))+(1-nTP_OK*BO67)*(nTP_Loc_n&lt;=N(BP67)))+(1-nTP_HT*DD67*BN67)*(nTP_Hi_n&gt;=N(DH67))*(nTP_Lo_n&lt;=N(BS67)))),2),0))</f>
        <v>0</v>
      </c>
      <c r="ES67" s="22">
        <f>IF(EO67&lt;3,0,IFERROR(_xlfn.AGGREGATE(15,6,nTP_RowN/((nTP_Case_Key=AX67)*(nTP_Record_Type="MILESTONE:INTERVENTION")*(nTP_Err="")*(nTP_HT*DD67*BN67*(nTP_OK*DE67*(nTP_UTC_n&gt;=N(DG67))+(1-nTP_OK*DE67)*(nTP_Loc_n&gt;=N(DF67)))*(nTP_OK*BO67*(nTP_UTC_n&lt;=N(BQ67))+(1-nTP_OK*BO67)*(nTP_Loc_n&lt;=N(BP67)))+(1-nTP_HT*DD67*BN67)*(nTP_Hi_n&gt;=N(DH67))*(nTP_Lo_n&lt;=N(BS67)))),3),0))</f>
        <v>0</v>
      </c>
      <c r="ET67" s="22">
        <f>IF(EP67&lt;1,0,IFERROR(_xlfn.AGGREGATE(15,6,nTP_RowN/((nTP_Case_Key=AX67)*(nTP_Role="treatment of the event")*((nTP_Record_Type="EXPOSURE_START")+(nTP_Record_Type="ADMINISTRATION"))*(nTP_Err="")*(nTP_HT*DD67*BN67*(nTP_OK*DE67*(nTP_UTC_n&gt;=N(DG67))+(1-nTP_OK*DE67)*(nTP_Loc_n&gt;=N(DF67)))*(nTP_OK*BO67*(nTP_UTC_n&lt;=N(BQ67))+(1-nTP_OK*BO67)*(nTP_Loc_n&lt;=N(BP67)))+(1-nTP_HT*DD67*BN67)*(nTP_Hi_n&gt;=N(DH67))*(nTP_Lo_n&lt;=N(BS67)))),1),0))</f>
        <v>0</v>
      </c>
      <c r="EU67" s="22">
        <f>IF(EP67&lt;2,0,IFERROR(_xlfn.AGGREGATE(15,6,nTP_RowN/((nTP_Case_Key=AX67)*(nTP_Role="treatment of the event")*((nTP_Record_Type="EXPOSURE_START")+(nTP_Record_Type="ADMINISTRATION"))*(nTP_Err="")*(nTP_HT*DD67*BN67*(nTP_OK*DE67*(nTP_UTC_n&gt;=N(DG67))+(1-nTP_OK*DE67)*(nTP_Loc_n&gt;=N(DF67)))*(nTP_OK*BO67*(nTP_UTC_n&lt;=N(BQ67))+(1-nTP_OK*BO67)*(nTP_Loc_n&lt;=N(BP67)))+(1-nTP_HT*DD67*BN67)*(nTP_Hi_n&gt;=N(DH67))*(nTP_Lo_n&lt;=N(BS67)))),2),0))</f>
        <v>0</v>
      </c>
      <c r="EV67" s="22">
        <f>IF(EP67&lt;3,0,IFERROR(_xlfn.AGGREGATE(15,6,nTP_RowN/((nTP_Case_Key=AX67)*(nTP_Role="treatment of the event")*((nTP_Record_Type="EXPOSURE_START")+(nTP_Record_Type="ADMINISTRATION"))*(nTP_Err="")*(nTP_HT*DD67*BN67*(nTP_OK*DE67*(nTP_UTC_n&gt;=N(DG67))+(1-nTP_OK*DE67)*(nTP_Loc_n&gt;=N(DF67)))*(nTP_OK*BO67*(nTP_UTC_n&lt;=N(BQ67))+(1-nTP_OK*BO67)*(nTP_Loc_n&lt;=N(BP67)))+(1-nTP_HT*DD67*BN67)*(nTP_Hi_n&gt;=N(DH67))*(nTP_Lo_n&lt;=N(BS67)))),3),0))</f>
        <v>0</v>
      </c>
      <c r="EW67" s="22">
        <f>IF(CE67&lt;1,0,IFERROR(_xlfn.AGGREGATE(15,6,nTP_RowN/((nTP_CandKey=BX67)*(nTP_Err="")*(1-nTP_Exact)*((nTP_HT*BN67*((nTP_OK*BO67*(nTP_UTC_n-N(BQ67))+(1-nTP_OK*BO67)*(nTP_Loc_n-N(BP67)))&lt;=0)+(1-nTP_HT*BN67)*(nTP_Hi_n&lt;N(BR67)))+((1-nTP_HT*BN67)*(nTP_Lo_n=nTP_Hi_n)*(nTP_Lo_n=N(BR67))*(N(BR67)=N(BS67))))),1),0))</f>
        <v>0</v>
      </c>
      <c r="EX67" s="22">
        <f>IF(CE67&lt;2,0,IFERROR(_xlfn.AGGREGATE(15,6,nTP_RowN/((nTP_CandKey=BX67)*(nTP_Err="")*(1-nTP_Exact)*((nTP_HT*BN67*((nTP_OK*BO67*(nTP_UTC_n-N(BQ67))+(1-nTP_OK*BO67)*(nTP_Loc_n-N(BP67)))&lt;=0)+(1-nTP_HT*BN67)*(nTP_Hi_n&lt;N(BR67)))+((1-nTP_HT*BN67)*(nTP_Lo_n=nTP_Hi_n)*(nTP_Lo_n=N(BR67))*(N(BR67)=N(BS67))))),2),0))</f>
        <v>0</v>
      </c>
      <c r="EY67" s="22">
        <f>IF(CE67&lt;3,0,IFERROR(_xlfn.AGGREGATE(15,6,nTP_RowN/((nTP_CandKey=BX67)*(nTP_Err="")*(1-nTP_Exact)*((nTP_HT*BN67*((nTP_OK*BO67*(nTP_UTC_n-N(BQ67))+(1-nTP_OK*BO67)*(nTP_Loc_n-N(BP67)))&lt;=0)+(1-nTP_HT*BN67)*(nTP_Hi_n&lt;N(BR67)))+((1-nTP_HT*BN67)*(nTP_Lo_n=nTP_Hi_n)*(nTP_Lo_n=N(BR67))*(N(BR67)=N(BS67))))),3),0))</f>
        <v>0</v>
      </c>
      <c r="EZ67" s="21" t="str">
        <f>IF(EO67=0,"",MID(IF(EQ67&gt;0,"; "&amp;INDEX(nTP_Record_ID,EQ67)&amp;IF(INDEX(nTP_Label,EQ67)="",""," ("&amp;INDEX(nTP_Label,EQ67)&amp;")"),"")&amp;IF(ER67&gt;0,"; "&amp;INDEX(nTP_Record_ID,ER67)&amp;IF(INDEX(nTP_Label,ER67)="",""," ("&amp;INDEX(nTP_Label,ER67)&amp;")"),"")&amp;IF(ES67&gt;0,"; "&amp;INDEX(nTP_Record_ID,ES67)&amp;IF(INDEX(nTP_Label,ES67)="",""," ("&amp;INDEX(nTP_Label,ES67)&amp;")"),"")&amp;IF(EO67&gt;3,"; and "&amp;(EO67-3)&amp;" more",""),3,999))</f>
        <v/>
      </c>
      <c r="FA67" s="21" t="str">
        <f>IF(EO67=0,"",MID(IF(EQ67&gt;0,"; "&amp;INDEX(nTP_Record_ID,EQ67),"")&amp;IF(ER67&gt;0,"; "&amp;INDEX(nTP_Record_ID,ER67),"")&amp;IF(ES67&gt;0,"; "&amp;INDEX(nTP_Record_ID,ES67),"")&amp;IF(EO67&gt;3,"; and "&amp;(EO67-3)&amp;" more",""),3,999))</f>
        <v/>
      </c>
      <c r="FB67" s="21" t="str">
        <f>IF(EP67=0,"",MID(IF(ET67&gt;0,"; "&amp;INDEX(nTP_Record_ID,ET67)&amp;IF(INDEX(nTP_Label,ET67)="",""," ("&amp;INDEX(nTP_Label,ET67)&amp;")"),"")&amp;IF(EU67&gt;0,"; "&amp;INDEX(nTP_Record_ID,EU67)&amp;IF(INDEX(nTP_Label,EU67)="",""," ("&amp;INDEX(nTP_Label,EU67)&amp;")"),"")&amp;IF(EV67&gt;0,"; "&amp;INDEX(nTP_Record_ID,EV67)&amp;IF(INDEX(nTP_Label,EV67)="",""," ("&amp;INDEX(nTP_Label,EV67)&amp;")"),"")&amp;IF(EP67&gt;3,"; and "&amp;(EP67-3)&amp;" more",""),3,999))</f>
        <v/>
      </c>
      <c r="FC67" s="21" t="str">
        <f>IF(CE67=0,"",MID(IF(EW67&gt;0,"; "&amp;INDEX(nTP_Record_ID,EW67),"")&amp;IF(EX67&gt;0,"; "&amp;INDEX(nTP_Record_ID,EX67),"")&amp;IF(EY67&gt;0,"; "&amp;INDEX(nTP_Record_ID,EY67),"")&amp;IF(CE67&gt;3,"; and "&amp;(CE67-3)&amp;" more",""),3,999))</f>
        <v/>
      </c>
      <c r="FD67" s="22">
        <f t="shared" si="118"/>
        <v>0</v>
      </c>
      <c r="FE67" s="22">
        <f t="shared" si="119"/>
        <v>0</v>
      </c>
      <c r="FF67" s="22">
        <f t="shared" si="120"/>
        <v>0</v>
      </c>
      <c r="FG67" s="22">
        <f t="shared" si="121"/>
        <v>0</v>
      </c>
      <c r="FH67" s="22">
        <f t="shared" si="122"/>
        <v>0</v>
      </c>
      <c r="FI67" s="22">
        <f t="shared" si="123"/>
        <v>0</v>
      </c>
      <c r="FJ67" s="22">
        <f t="shared" si="124"/>
        <v>0</v>
      </c>
      <c r="FK67" s="22">
        <f t="shared" si="125"/>
        <v>0</v>
      </c>
    </row>
    <row r="68" spans="1:167" x14ac:dyDescent="0.2">
      <c r="A68" s="9" t="s">
        <v>1131</v>
      </c>
      <c r="B68" s="9" t="s">
        <v>305</v>
      </c>
      <c r="C68" s="11">
        <v>2</v>
      </c>
      <c r="D68" s="9" t="s">
        <v>894</v>
      </c>
      <c r="E68" s="16" t="s">
        <v>51</v>
      </c>
      <c r="F68" s="9"/>
      <c r="G68" s="9" t="s">
        <v>1169</v>
      </c>
      <c r="H68" s="9" t="s">
        <v>1165</v>
      </c>
      <c r="I68" s="16" t="s">
        <v>60</v>
      </c>
      <c r="J68" s="16"/>
      <c r="K68" s="9"/>
      <c r="L68" s="16"/>
      <c r="M68" s="16"/>
      <c r="N68" s="16"/>
      <c r="O68" s="9"/>
      <c r="P68" s="14"/>
      <c r="Q68" s="14"/>
      <c r="R68" s="9"/>
      <c r="S68" s="9"/>
      <c r="T68" s="21" t="str">
        <f t="shared" si="63"/>
        <v>540 calendar days</v>
      </c>
      <c r="U68" s="21" t="str">
        <f t="shared" si="64"/>
        <v>540 calendar days</v>
      </c>
      <c r="V68" s="21">
        <f t="shared" si="65"/>
        <v>540</v>
      </c>
      <c r="W68" s="21" t="str">
        <f t="shared" si="66"/>
        <v/>
      </c>
      <c r="X68" s="21" t="str">
        <f t="shared" si="67"/>
        <v/>
      </c>
      <c r="Y68" s="21" t="str">
        <f t="shared" si="68"/>
        <v>calendar days</v>
      </c>
      <c r="Z68" s="21" t="str">
        <f t="shared" si="69"/>
        <v>C2</v>
      </c>
      <c r="AA68" s="21" t="str">
        <f t="shared" si="70"/>
        <v>AFTER</v>
      </c>
      <c r="AB68" s="21" t="str">
        <f t="shared" si="71"/>
        <v/>
      </c>
      <c r="AC68" s="21" t="str">
        <f t="shared" si="72"/>
        <v/>
      </c>
      <c r="AD68" s="21" t="str">
        <f>IF(AW68=1,"",MID(IF(ISNUMBER(SEARCH("E_INVALID_DATE",EG68))," | E_INVALID_DATE: "&amp;SUBSTITUTE(IFERROR(INDEX(nMSG_Text,MATCH("E_INVALID_DATE",nMSG_Code,0)),""),"[input]",""),"")&amp;IF(ISNUMBER(SEARCH("E_REVERSED_BOUNDS",EG68))," | E_REVERSED_BOUNDS: "&amp;SUBSTITUTE(IFERROR(INDEX(nMSG_Text,MATCH("E_REVERSED_BOUNDS",nMSG_Code,0)),""),"[input]",""),"")&amp;IF(ISNUMBER(SEARCH("E_DUPLICATE_ID",EG68))," | E_DUPLICATE_ID: "&amp;SUBSTITUTE(IFERROR(INDEX(nMSG_Text,MATCH("E_DUPLICATE_ID",nMSG_Code,0)),""),"[input]",""),"")&amp;IF(ISNUMBER(SEARCH("E_MISSING_LINK",EG68))," | E_MISSING_LINK: "&amp;SUBSTITUTE(IFERROR(INDEX(nMSG_Text,MATCH("E_MISSING_LINK",nMSG_Code,0)),""),"[input]",""),"")&amp;IF(ISNUMBER(SEARCH("E_MISSING_INPUT",EG68))," | E_MISSING_INPUT: "&amp;SUBSTITUTE(IFERROR(INDEX(nMSG_Text,MATCH("E_MISSING_INPUT",nMSG_Code,0)),""),"[input]",IF(EH68="","an input",EH68)),"")&amp;IF(ISNUMBER(SEARCH("E_INVALID_UNIT",EG68))," | E_INVALID_UNIT: "&amp;SUBSTITUTE(IFERROR(INDEX(nMSG_Text,MATCH("E_INVALID_UNIT",nMSG_Code,0)),""),"[input]",""),"")&amp;IF(FD68=1," | W_TZ_UNKNOWN: "&amp;SUBSTITUTE(IFERROR(INDEX(nMSG_Text,MATCH("W_TZ_UNKNOWN",nMSG_Code,0)),""),"[input]",""),"")&amp;IF(FE68=1," | W_SAME_DATE_ORDER_UNKNOWN: "&amp;SUBSTITUTE(IFERROR(INDEX(nMSG_Text,MATCH("W_SAME_DATE_ORDER_UNKNOWN",nMSG_Code,0)),""),"[input]",""),"")&amp;IF(FF68=1," | W_SEQUENCE_UNCERTAIN: "&amp;SUBSTITUTE(IFERROR(INDEX(nMSG_Text,MATCH("W_SEQUENCE_UNCERTAIN",nMSG_Code,0)),""),"[input]",""),"")&amp;IF(FG68=1," | W_ADMIN_SAME_DATE_AS_ONSET: "&amp;SUBSTITUTE(IFERROR(INDEX(nMSG_Text,MATCH("W_ADMIN_SAME_DATE_AS_ONSET",nMSG_Code,0)),""),"[input]",""),"")&amp;IF(FH68=1," | W_REPORTED_TIMING_CONFLICT: "&amp;SUBSTITUTE(IFERROR(INDEX(nMSG_Text,MATCH("W_REPORTED_TIMING_CONFLICT",nMSG_Code,0)),""),"[input]",""),"")&amp;IF(FI68=1," | W_INTERVENTION_BEFORE_RECOVERY: "&amp;SUBSTITUTE(IFERROR(INDEX(nMSG_Text,MATCH("W_INTERVENTION_BEFORE_RECOVERY",nMSG_Code,0)),""),"[input]",""),"")&amp;IF(FJ68=1," | I_TREATMENT_DAY_UNDEFINED: "&amp;SUBSTITUTE(IFERROR(INDEX(nMSG_Text,MATCH("I_TREATMENT_DAY_UNDEFINED",nMSG_Code,0)),""),"[input]",""),"")&amp;IF(FK68=1," | I_APPROXIMATE_NOT_COMPARED: "&amp;SUBSTITUTE(IFERROR(INDEX(nMSG_Text,MATCH("I_APPROXIMATE_NOT_COMPARED",nMSG_Code,0)),""),"[input]",""),""),4,9999))</f>
        <v/>
      </c>
      <c r="AE68" s="21" t="str">
        <f t="shared" si="73"/>
        <v/>
      </c>
      <c r="AF68" s="21" t="str">
        <f t="shared" si="74"/>
        <v/>
      </c>
      <c r="AG68" s="21" t="str">
        <f>IF(EN68="","",MID(IF(ISNUMBER(SEARCH("E_REVERSED_BOUNDS",EN68))," | E_REVERSED_BOUNDS: "&amp;SUBSTITUTE(IFERROR(INDEX(nMSG_Text,MATCH("E_REVERSED_BOUNDS",nMSG_Code,0)),""),"[input]",""),"")&amp;IF(ISNUMBER(SEARCH("E_MISSING_INPUT",EN68))," | E_MISSING_INPUT: "&amp;SUBSTITUTE(IFERROR(INDEX(nMSG_Text,MATCH("E_MISSING_INPUT",nMSG_Code,0)),""),"[input]",IF("the source of the constraint"="","an input","the source of the constraint")),""),4,999))</f>
        <v/>
      </c>
      <c r="AH68" s="21" t="str">
        <f t="shared" si="75"/>
        <v/>
      </c>
      <c r="AI68" s="21" t="str">
        <f t="shared" si="76"/>
        <v>EX-RTX/START → EV-HBV/DETECTION</v>
      </c>
      <c r="AJ68" s="21" t="str">
        <f t="shared" si="77"/>
        <v>EX-RTX/START</v>
      </c>
      <c r="AK68" s="21" t="str">
        <f t="shared" si="78"/>
        <v>EV-HBV/DETECTION</v>
      </c>
      <c r="AL68" s="21" t="str">
        <f>IF(CY68=0,"",INDEX(nTP_ISO,CY68))</f>
        <v>2024-11-18</v>
      </c>
      <c r="AM68" s="21" t="str">
        <f>IF(CY68=0,"",INDEX(nTP_Display,CY68))</f>
        <v>18 November 2024</v>
      </c>
      <c r="AN68" s="21" t="str">
        <f>IF(BI68=0,"",INDEX(nTP_ISO,BI68))</f>
        <v>2026-05-12</v>
      </c>
      <c r="AO68" s="21" t="str">
        <f>IF(BI68=0,"",INDEX(nTP_Display,BI68))</f>
        <v>12 May 2026</v>
      </c>
      <c r="AP68" s="21" t="str">
        <f>IF(BA68=0,"",INDEX(nLNK_Exposure_Episode_ID,BA68)&amp;"")</f>
        <v>EX-RTX</v>
      </c>
      <c r="AQ68" s="21" t="str">
        <f>IF(BA68=0,"",INDEX(nLNK_Event_Episode_ID,BA68)&amp;"")</f>
        <v>EV-HBV</v>
      </c>
      <c r="AR68" s="21" t="str">
        <f t="shared" si="79"/>
        <v>Anchor (FIRST_ADMIN) EX-RTX/START: 2024-11-18 [day; case measurement; original: "R-Regimen X x 6, 18/11/2024 to 03/03/2025"; source: Hematology summary] | End point EV-HBV/DETECTION: 2026-05-12 [day; case measurement; original: "12/05/2026 HBV DNA 1,850 IU/mL"; source: Hepatology letter]</v>
      </c>
      <c r="AS68" s="21" t="str">
        <f>IF(EI68=0,"",MID(IF(DT68=1," | Recovery interval (C7) computed with "&amp;DS68&amp;".","")&amp;IF(BG68=1," | Anchor selected under C5 (CALC-SPEC 1.1): latest administration with an exact date or time at or before "&amp;IF(BH68=1,"onset","the end point")&amp;" ("&amp;AJ68&amp;"), ordered in UTC when offsets are known; later administrations are never selected.","")&amp;IF(AND(BG68=1,CE68&gt;0)," | Partial-date administrations wholly before the selected one were not candidates: "&amp;FC68&amp;".","")&amp;IF(BV68&lt;&gt;""," | "&amp;BV68,"")&amp;IF(AND(DS68="C2",EA68=0,DZ68&lt;&gt;"")," | Same calendar date; both times are known, so C1 decides the order ("&amp;AA68&amp;").","")&amp;IF(AND(DS68="C2",DD68*BN68=1,DT68=0)," | Calendar-date difference from the recorded local dates; it is never described as elapsed days.","")&amp;IF(AND(DS68="C4",DT68=0)," | Bounds are treated as independent; no single date is imputed from them.","")&amp;IF(EJ68=1," | Treatment day under the inclusive convention (C3); never written to E2B fields automatically.","")&amp;IF(AND(DS68="C4",DT68=0,EK68=0)," | No constraint applied.","")&amp;IF(AND(DS68="C4",EK68=1)," | Constraint applied to the anchor bounds: "&amp;IF(ISNUMBER(P68),"not before "&amp;DAY(P68)&amp;" "&amp;INDEX(nLIST_Months,MONTH(P68))&amp;" "&amp;YEAR(P68),"")&amp;IF(AND(ISNUMBER(P68),ISNUMBER(Q68)),", ","")&amp;IF(ISNUMBER(Q68),"not after "&amp;DAY(Q68)&amp;" "&amp;INDEX(nLIST_Months,MONTH(Q68))&amp;" "&amp;YEAR(Q68),"")&amp;". Source: "&amp;IF(R68="","not recorded",R68)&amp;IF(EN68="",". Constrained result shown beside the unconstrained one.",". Constrained result blocked ("&amp;EN68&amp;")."),"")&amp;IF(DT68=1,IF(EO68&gt;0," | Intervention recorded between cessation and recovery (ends included): "&amp;EZ68&amp;"."," | No intervention is recorded between cessation and recovery; absence of a record is not evidence that none was given."),"")&amp;IF(AND(DT68=1,DV68&gt;0)," | Intervention recorded without a date, so whether it came before recovery is unknown: "&amp;INDEX(nMS_Milestone_ID,MATCH(1,INDEX((nMS_CaseKey=AX68)*(nMS_Type="INTERVENTION")*nMS_Undated,0),0))&amp;IF(DV68&gt;1," and "&amp;(DV68-1)&amp;" more","")&amp;".","")&amp;IF(AND(DT68=1,EP68&gt;0)," | Not counted as interventions, because they are recorded as exposures rather than as intervention milestones (nothing is inferred): "&amp;FB68&amp;". If treatment was given, record it as an intervention milestone.",""),4,9999))</f>
        <v/>
      </c>
      <c r="AT68" s="21" t="str">
        <f t="shared" si="80"/>
        <v>The interval describes the sequence and spacing of recorded times; it is not evidence of causation.</v>
      </c>
      <c r="AU68" s="21" t="str">
        <f t="shared" si="81"/>
        <v/>
      </c>
      <c r="AV68" s="21" t="str">
        <f t="shared" si="82"/>
        <v>CALC-SPEC 1.1</v>
      </c>
      <c r="AW68" s="22">
        <f t="shared" si="83"/>
        <v>0</v>
      </c>
      <c r="AX68" s="21" t="str">
        <f t="shared" si="84"/>
        <v>EX-C28|2</v>
      </c>
      <c r="AY68" s="21" t="str">
        <f t="shared" si="85"/>
        <v>EX-C28|2|I03</v>
      </c>
      <c r="AZ68" s="22">
        <f>IF(AY68="",0,COUNTIF(nINT_Key,AY68))</f>
        <v>1</v>
      </c>
      <c r="BA68" s="22">
        <f>IF(D68="",0,IFERROR(MATCH(AX68&amp;"|"&amp;D68,nLNK_Key,0),0))</f>
        <v>27</v>
      </c>
      <c r="BB68" s="22">
        <f>IF(BA68=0,1,INDEX(nLNK_Exp_Found,BA68))</f>
        <v>1</v>
      </c>
      <c r="BC68" s="22">
        <f>IF(BA68=0,1,INDEX(nLNK_Evt_Found,BA68))</f>
        <v>1</v>
      </c>
      <c r="BD68" s="22">
        <f>IF(AP68="",0,COUNTIF(nEXP_Key,AX68&amp;"|"&amp;AP68))</f>
        <v>1</v>
      </c>
      <c r="BE68" s="22">
        <f>IF(AQ68="",0,COUNTIF(nEVT_Key,AX68&amp;"|"&amp;AQ68))</f>
        <v>1</v>
      </c>
      <c r="BF68" s="22">
        <f>IF(ISNA(MATCH(E68,nLIST_AnchorType,0)),0,1)</f>
        <v>1</v>
      </c>
      <c r="BG68" s="22">
        <f t="shared" si="86"/>
        <v>0</v>
      </c>
      <c r="BH68" s="22">
        <f t="shared" si="87"/>
        <v>0</v>
      </c>
      <c r="BI68" s="22">
        <f>IF(OR(AW68=1,AK68=""),0,IFERROR(MATCH(AX68&amp;"|"&amp;AK68,nTP_Key,0),0))</f>
        <v>358</v>
      </c>
      <c r="BJ68" s="21">
        <f>IF(BI68=0,0,INDEX(nTP_Dup,BI68))</f>
        <v>1</v>
      </c>
      <c r="BK68" s="21" t="str">
        <f>IF(BI68=0,"",INDEX(nTP_Record_Type,BI68))</f>
        <v>EVENT_DETECTION</v>
      </c>
      <c r="BL68" s="21" t="str">
        <f>IF(BI68=0,"",INDEX(nTP_Precision,BI68))</f>
        <v>DATE</v>
      </c>
      <c r="BM68" s="21" t="str">
        <f>IF(BI68=0,"",INDEX(nTP_Err,BI68))</f>
        <v/>
      </c>
      <c r="BN68" s="21">
        <f>IF(BI68=0,0,INDEX(nTP_HT,BI68))</f>
        <v>0</v>
      </c>
      <c r="BO68" s="21">
        <f>IF(BI68=0,0,INDEX(nTP_OK,BI68))</f>
        <v>0</v>
      </c>
      <c r="BP68" s="21" t="str">
        <f>IF(BI68=0,"",INDEX(nTP_Loc,BI68))</f>
        <v/>
      </c>
      <c r="BQ68" s="21" t="str">
        <f>IF(BI68=0,"",INDEX(nTP_UTC,BI68))</f>
        <v/>
      </c>
      <c r="BR68" s="21">
        <f>IF(BI68=0,"",INDEX(nTP_Lo,BI68))</f>
        <v>46154</v>
      </c>
      <c r="BS68" s="21">
        <f>IF(BI68=0,"",INDEX(nTP_Hi,BI68))</f>
        <v>46154</v>
      </c>
      <c r="BT68" s="21" t="str">
        <f>IF(BI68=0,"",INDEX(nTP_Original_Text,BI68))</f>
        <v>12/05/2026 HBV DNA 1,850 IU/mL</v>
      </c>
      <c r="BU68" s="21" t="str">
        <f>IF(BI68=0,"",INDEX(nTP_Source,BI68))</f>
        <v>Hepatology letter</v>
      </c>
      <c r="BV68" s="21" t="str">
        <f>IF(BI68=0,"",INDEX(nTP_Lab_Note,BI68))</f>
        <v/>
      </c>
      <c r="BW68" s="22">
        <f t="shared" si="88"/>
        <v>1</v>
      </c>
      <c r="BX68" s="21" t="str">
        <f t="shared" si="89"/>
        <v>EX-C28|2|EX-RTX</v>
      </c>
      <c r="BY68" s="22">
        <f>IF(BG68=0,0,COUNTIF(nTP_CandKey,BX68))</f>
        <v>0</v>
      </c>
      <c r="BZ68" s="22">
        <f>IF(BG68=0,0,COUNTIFS(nTP_CandKey,BX68,nTP_Err,""))</f>
        <v>0</v>
      </c>
      <c r="CA68" s="21" t="str">
        <f>IF(BY68=BZ68,"",IF(COUNTIFS(nTP_CandKey,BX68,nTP_Err,"E_INVALID_DATE")&gt;0,"; E_INVALID_DATE","")&amp;IF(COUNTIFS(nTP_CandKey,BX68,nTP_Err,"E_REVERSED_BOUNDS")&gt;0,"; E_REVERSED_BOUNDS","")&amp;IF(COUNTIFS(nTP_CandKey,BX68,nTP_Err,"E_MISSING_INPUT")&gt;0,"; E_MISSING_INPUT","")&amp;IF(COUNTIFS(nTP_CandKey,BX68,nTP_Err,"E_INVALID_UNIT")&gt;0,"; E_INVALID_UNIT",""))</f>
        <v/>
      </c>
      <c r="CB68" s="22">
        <f t="shared" si="90"/>
        <v>0</v>
      </c>
      <c r="CC68" s="22">
        <f>IF(CB68=0,0,SUMPRODUCT((nTP_CandKey=BX68)*(nTP_Err="")*(1-(nTP_HT*BN68*((nTP_OK*BO68*(nTP_UTC_n-N(BQ68))+(1-nTP_OK*BO68)*(nTP_Loc_n-N(BP68)))&lt;=0)+(1-nTP_HT*BN68)*(nTP_Hi_n&lt;N(BR68)))-(nTP_HT*BN68*((nTP_OK*BO68*(nTP_UTC_n-N(BQ68))+(1-nTP_OK*BO68)*(nTP_Loc_n-N(BP68)))&gt;0)+(1-nTP_HT*BN68)*(nTP_Lo_n&gt;N(BS68)))-((1-nTP_HT*BN68)*(nTP_Lo_n=nTP_Hi_n)*(nTP_Lo_n=N(BR68))*(N(BR68)=N(BS68))))))</f>
        <v>0</v>
      </c>
      <c r="CD68" s="22">
        <f>IF(CB68=0,0,SUMPRODUCT((nTP_CandKey=BX68)*nTP_Exact*((nTP_HT*BN68*((nTP_OK*BO68*(nTP_UTC_n-N(BQ68))+(1-nTP_OK*BO68)*(nTP_Loc_n-N(BP68)))&lt;=0)+(1-nTP_HT*BN68)*(nTP_Hi_n&lt;N(BR68)))+((1-nTP_HT*BN68)*(nTP_Lo_n=nTP_Hi_n)*(nTP_Lo_n=N(BR68))*(N(BR68)=N(BS68))))))</f>
        <v>0</v>
      </c>
      <c r="CE68" s="22">
        <f>IF(CB68=0,0,SUMPRODUCT((nTP_CandKey=BX68)*(nTP_Err="")*(1-nTP_Exact)*((nTP_HT*BN68*((nTP_OK*BO68*(nTP_UTC_n-N(BQ68))+(1-nTP_OK*BO68)*(nTP_Loc_n-N(BP68)))&lt;=0)+(1-nTP_HT*BN68)*(nTP_Hi_n&lt;N(BR68)))+((1-nTP_HT*BN68)*(nTP_Lo_n=nTP_Hi_n)*(nTP_Lo_n=N(BR68))*(N(BR68)=N(BS68))))))</f>
        <v>0</v>
      </c>
      <c r="CF68" s="22">
        <f>IF(CD68=0,0,SUMPRODUCT(MAX((nTP_CandKey=BX68)*nTP_Exact*((nTP_HT*BN68*((nTP_OK*BO68*(nTP_UTC_n-N(BQ68))+(1-nTP_OK*BO68)*(nTP_Loc_n-N(BP68)))&lt;=0)+(1-nTP_HT*BN68)*(nTP_Hi_n&lt;N(BR68)))+((1-nTP_HT*BN68)*(nTP_Lo_n=nTP_Hi_n)*(nTP_Lo_n=N(BR68))*(N(BR68)=N(BS68))))*nTP_Lo_n)))</f>
        <v>0</v>
      </c>
      <c r="CG68" s="22">
        <f>IF(CD68=0,0,SUMPRODUCT((nTP_CandKey=BX68)*nTP_Exact*((nTP_HT*BN68*((nTP_OK*BO68*(nTP_UTC_n-N(BQ68))+(1-nTP_OK*BO68)*(nTP_Loc_n-N(BP68)))&lt;=0)+(1-nTP_HT*BN68)*(nTP_Hi_n&lt;N(BR68)))+((1-nTP_HT*BN68)*(nTP_Lo_n=nTP_Hi_n)*(nTP_Lo_n=N(BR68))*(N(BR68)=N(BS68))))*(nTP_Lo_n=CF68)))</f>
        <v>0</v>
      </c>
      <c r="CH68" s="22">
        <f>IF(CD68=0,0,SUMPRODUCT((nTP_CandKey=BX68)*nTP_Exact*((nTP_HT*BN68*((nTP_OK*BO68*(nTP_UTC_n-N(BQ68))+(1-nTP_OK*BO68)*(nTP_Loc_n-N(BP68)))&lt;=0)+(1-nTP_HT*BN68)*(nTP_Hi_n&lt;N(BR68)))+((1-nTP_HT*BN68)*(nTP_Lo_n=nTP_Hi_n)*(nTP_Lo_n=N(BR68))*(N(BR68)=N(BS68))))*(1-nTP_HT)*(nTP_Lo_n=CF68)))</f>
        <v>0</v>
      </c>
      <c r="CI68" s="22">
        <f>IF(CD68=0,0,SUMPRODUCT(MAX((nTP_CandKey=BX68)*nTP_Exact*((nTP_HT*BN68*((nTP_OK*BO68*(nTP_UTC_n-N(BQ68))+(1-nTP_OK*BO68)*(nTP_Loc_n-N(BP68)))&lt;=0)+(1-nTP_HT*BN68)*(nTP_Hi_n&lt;N(BR68)))+((1-nTP_HT*BN68)*(nTP_Lo_n=nTP_Hi_n)*(nTP_Lo_n=N(BR68))*(N(BR68)=N(BS68))))*(1-nTP_HT)*nTP_Lo_n)))</f>
        <v>0</v>
      </c>
      <c r="CJ68" s="22">
        <f>IF(CD68=0,0,SUMPRODUCT(MAX((nTP_CandKey=BX68)*nTP_Exact*((nTP_HT*BN68*((nTP_OK*BO68*(nTP_UTC_n-N(BQ68))+(1-nTP_OK*BO68)*(nTP_Loc_n-N(BP68)))&lt;=0)+(1-nTP_HT*BN68)*(nTP_Hi_n&lt;N(BR68)))+((1-nTP_HT*BN68)*(nTP_Lo_n=nTP_Hi_n)*(nTP_Lo_n=N(BR68))*(N(BR68)=N(BS68))))*nTP_HT*nTP_OK*nTP_UTC_n)))</f>
        <v>0</v>
      </c>
      <c r="CK68" s="22">
        <f>IF(CJ68=0,0,SUMPRODUCT((nTP_CandKey=BX68)*nTP_Exact*((nTP_HT*BN68*((nTP_OK*BO68*(nTP_UTC_n-N(BQ68))+(1-nTP_OK*BO68)*(nTP_Loc_n-N(BP68)))&lt;=0)+(1-nTP_HT*BN68)*(nTP_Hi_n&lt;N(BR68)))+((1-nTP_HT*BN68)*(nTP_Lo_n=nTP_Hi_n)*(nTP_Lo_n=N(BR68))*(N(BR68)=N(BS68))))*nTP_HT*nTP_OK*(nTP_UTC_n=CJ68)))</f>
        <v>0</v>
      </c>
      <c r="CL68" s="22">
        <f>IF(CK68&lt;&gt;1,0,SUMPRODUCT((nTP_CandKey=BX68)*nTP_Exact*((nTP_HT*BN68*((nTP_OK*BO68*(nTP_UTC_n-N(BQ68))+(1-nTP_OK*BO68)*(nTP_Loc_n-N(BP68)))&lt;=0)+(1-nTP_HT*BN68)*(nTP_Hi_n&lt;N(BR68)))+((1-nTP_HT*BN68)*(nTP_Lo_n=nTP_Hi_n)*(nTP_Lo_n=N(BR68))*(N(BR68)=N(BS68))))*nTP_HT*nTP_OK*(nTP_UTC_n=CJ68)*nTP_Loc_n))</f>
        <v>0</v>
      </c>
      <c r="CM68" s="22">
        <f>IF(CK68&lt;&gt;1,0,SUMPRODUCT((nTP_CandKey=BX68)*nTP_Exact*((nTP_HT*BN68*((nTP_OK*BO68*(nTP_UTC_n-N(BQ68))+(1-nTP_OK*BO68)*(nTP_Loc_n-N(BP68)))&lt;=0)+(1-nTP_HT*BN68)*(nTP_Hi_n&lt;N(BR68)))+((1-nTP_HT*BN68)*(nTP_Lo_n=nTP_Hi_n)*(nTP_Lo_n=N(BR68))*(N(BR68)=N(BS68))))*nTP_HT*nTP_OK*(nTP_UTC_n=CJ68)*nTP_Lo_n))</f>
        <v>0</v>
      </c>
      <c r="CN68" s="22">
        <f>IF(CD68=0,0,SUMPRODUCT(MAX((nTP_CandKey=BX68)*nTP_Exact*((nTP_HT*BN68*((nTP_OK*BO68*(nTP_UTC_n-N(BQ68))+(1-nTP_OK*BO68)*(nTP_Loc_n-N(BP68)))&lt;=0)+(1-nTP_HT*BN68)*(nTP_Hi_n&lt;N(BR68)))+((1-nTP_HT*BN68)*(nTP_Lo_n=nTP_Hi_n)*(nTP_Lo_n=N(BR68))*(N(BR68)=N(BS68))))*nTP_HT*(1-nTP_OK)*nTP_Loc_n)))</f>
        <v>0</v>
      </c>
      <c r="CO68" s="22">
        <f>IF(CN68=0,0,SUMPRODUCT((nTP_CandKey=BX68)*nTP_Exact*((nTP_HT*BN68*((nTP_OK*BO68*(nTP_UTC_n-N(BQ68))+(1-nTP_OK*BO68)*(nTP_Loc_n-N(BP68)))&lt;=0)+(1-nTP_HT*BN68)*(nTP_Hi_n&lt;N(BR68)))+((1-nTP_HT*BN68)*(nTP_Lo_n=nTP_Hi_n)*(nTP_Lo_n=N(BR68))*(N(BR68)=N(BS68))))*nTP_HT*(1-nTP_OK)*(nTP_Loc_n=CN68)))</f>
        <v>0</v>
      </c>
      <c r="CP68" s="22">
        <f>IF(CO68&lt;&gt;1,0,SUMPRODUCT((nTP_CandKey=BX68)*nTP_Exact*((nTP_HT*BN68*((nTP_OK*BO68*(nTP_UTC_n-N(BQ68))+(1-nTP_OK*BO68)*(nTP_Loc_n-N(BP68)))&lt;=0)+(1-nTP_HT*BN68)*(nTP_Hi_n&lt;N(BR68)))+((1-nTP_HT*BN68)*(nTP_Lo_n=nTP_Hi_n)*(nTP_Lo_n=N(BR68))*(N(BR68)=N(BS68))))*nTP_HT*(1-nTP_OK)*(nTP_Loc_n=CN68)*nTP_Lo_n))</f>
        <v>0</v>
      </c>
      <c r="CQ68" s="22">
        <f>IF(CD68=0,0,SUMPRODUCT(MAX((nTP_CandKey=BX68)*nTP_Exact*((nTP_HT*BN68*((nTP_OK*BO68*(nTP_UTC_n-N(BQ68))+(1-nTP_OK*BO68)*(nTP_Loc_n-N(BP68)))&lt;=0)+(1-nTP_HT*BN68)*(nTP_Hi_n&lt;N(BR68)))+((1-nTP_HT*BN68)*(nTP_Lo_n=nTP_Hi_n)*(nTP_Lo_n=N(BR68))*(N(BR68)=N(BS68))))*nTP_HT*nTP_OK*nTP_Loc_n)))</f>
        <v>0</v>
      </c>
      <c r="CR68" s="22">
        <f t="shared" si="91"/>
        <v>0</v>
      </c>
      <c r="CS68" s="22">
        <f>IF(CR68=0,0,IF(CR68=1,MATCH(1,INDEX((nTP_CandKey=BX68)*nTP_Exact*((nTP_HT*BN68*((nTP_OK*BO68*(nTP_UTC_n-N(BQ68))+(1-nTP_OK*BO68)*(nTP_Loc_n-N(BP68)))&lt;=0)+(1-nTP_HT*BN68)*(nTP_Hi_n&lt;N(BR68)))+((1-nTP_HT*BN68)*(nTP_Lo_n=nTP_Hi_n)*(nTP_Lo_n=N(BR68))*(N(BR68)=N(BS68))))*(1-nTP_HT)*(nTP_Lo_n=CF68),0),0),IF(CR68=2,MATCH(1,INDEX((nTP_CandKey=BX68)*nTP_Exact*((nTP_HT*BN68*((nTP_OK*BO68*(nTP_UTC_n-N(BQ68))+(1-nTP_OK*BO68)*(nTP_Loc_n-N(BP68)))&lt;=0)+(1-nTP_HT*BN68)*(nTP_Hi_n&lt;N(BR68)))+((1-nTP_HT*BN68)*(nTP_Lo_n=nTP_Hi_n)*(nTP_Lo_n=N(BR68))*(N(BR68)=N(BS68))))*nTP_HT*nTP_OK*(nTP_UTC_n=CJ68),0),0),MATCH(1,INDEX((nTP_CandKey=BX68)*nTP_Exact*((nTP_HT*BN68*((nTP_OK*BO68*(nTP_UTC_n-N(BQ68))+(1-nTP_OK*BO68)*(nTP_Loc_n-N(BP68)))&lt;=0)+(1-nTP_HT*BN68)*(nTP_Hi_n&lt;N(BR68)))+((1-nTP_HT*BN68)*(nTP_Lo_n=nTP_Hi_n)*(nTP_Lo_n=N(BR68))*(N(BR68)=N(BS68))))*nTP_HT*(1-nTP_OK)*(nTP_Loc_n=CN68),0),0))))</f>
        <v>0</v>
      </c>
      <c r="CT68" s="22">
        <f>IF(CS68=0,0,INDEX(nTP_Lo_n,CS68))</f>
        <v>0</v>
      </c>
      <c r="CU68" s="22">
        <f>IF(CS68=0,0,SUMPRODUCT((nTP_CandKey=BX68)*(nTP_Err="")*(1-nTP_Exact)*((nTP_HT*BN68*((nTP_OK*BO68*(nTP_UTC_n-N(BQ68))+(1-nTP_OK*BO68)*(nTP_Loc_n-N(BP68)))&lt;=0)+(1-nTP_HT*BN68)*(nTP_Hi_n&lt;N(BR68)))+((1-nTP_HT*BN68)*(nTP_Lo_n=nTP_Hi_n)*(nTP_Lo_n=N(BR68))*(N(BR68)=N(BS68))))*(nTP_Hi_n&gt;=CT68)))</f>
        <v>0</v>
      </c>
      <c r="CV68" s="21" t="str">
        <f t="shared" si="92"/>
        <v/>
      </c>
      <c r="CW68" s="21" t="str">
        <f>IF(AND(BG68=1,CB68=1,CV68="",CS68&gt;0),INDEX(nTP_Record_ID,CS68)&amp;"","")</f>
        <v/>
      </c>
      <c r="CX68" s="21" t="str">
        <f>IF(OR(CV68="",BG68=0),"",IF(CV68="none","an administration record (last dose before onset)",IF(CV68="uncertain","the anchor record: "&amp;INDEX(nTP_Record_ID,MATCH(1,INDEX((nTP_CandKey=BX68)*(nTP_Err="")*(1-(nTP_HT*BN68*((nTP_OK*BO68*(nTP_UTC_n-N(BQ68))+(1-nTP_OK*BO68)*(nTP_Loc_n-N(BP68)))&lt;=0)+(1-nTP_HT*BN68)*(nTP_Hi_n&lt;N(BR68)))-(nTP_HT*BN68*((nTP_OK*BO68*(nTP_UTC_n-N(BQ68))+(1-nTP_OK*BO68)*(nTP_Loc_n-N(BP68)))&gt;0)+(1-nTP_HT*BN68)*(nTP_Lo_n&gt;N(BS68)))-((1-nTP_HT*BN68)*(nTP_Lo_n=nTP_Hi_n)*(nTP_Lo_n=N(BR68))*(N(BR68)=N(BS68)))),0),0))&amp;IF(CC68&gt;1," and "&amp;(CC68-1)&amp;" more","")&amp;" may fall before or after the end point, so the last dose cannot be identified from the recorded dates",IF(CV68="noneligible","the anchor record: no administration with an exact date is recorded at or before the end point",IF(CV68="tie","the anchor record: the order of the latest administrations cannot be told from the recorded dates and times","the anchor record: partial-date administration "&amp;INDEX(nTP_Record_ID,MATCH(1,INDEX((nTP_CandKey=BX68)*(nTP_Err="")*(1-nTP_Exact)*((nTP_HT*BN68*((nTP_OK*BO68*(nTP_UTC_n-N(BQ68))+(1-nTP_OK*BO68)*(nTP_Loc_n-N(BP68)))&lt;=0)+(1-nTP_HT*BN68)*(nTP_Hi_n&lt;N(BR68)))+((1-nTP_HT*BN68)*(nTP_Lo_n=nTP_Hi_n)*(nTP_Lo_n=N(BR68))*(N(BR68)=N(BS68))))*(nTP_Hi_n&gt;=CT68),0),0))&amp;" could be the last dose before the end point")))))</f>
        <v/>
      </c>
      <c r="CY68" s="22">
        <f>IF(OR(AW68=1,AJ68=""),0,IFERROR(MATCH(AX68&amp;"|"&amp;AJ68,nTP_Key,0),0))</f>
        <v>38</v>
      </c>
      <c r="CZ68" s="21">
        <f>IF(CY68=0,0,INDEX(nTP_Dup,CY68))</f>
        <v>1</v>
      </c>
      <c r="DA68" s="21" t="str">
        <f>IF(CY68=0,"",INDEX(nTP_Record_Type,CY68))</f>
        <v>EXPOSURE_START</v>
      </c>
      <c r="DB68" s="21" t="str">
        <f>IF(CY68=0,"",INDEX(nTP_Precision,CY68))</f>
        <v>DATE</v>
      </c>
      <c r="DC68" s="21" t="str">
        <f>IF(CY68=0,"",INDEX(nTP_Err,CY68))</f>
        <v/>
      </c>
      <c r="DD68" s="21">
        <f>IF(CY68=0,0,INDEX(nTP_HT,CY68))</f>
        <v>0</v>
      </c>
      <c r="DE68" s="21">
        <f>IF(CY68=0,0,INDEX(nTP_OK,CY68))</f>
        <v>0</v>
      </c>
      <c r="DF68" s="21" t="str">
        <f>IF(CY68=0,"",INDEX(nTP_Loc,CY68))</f>
        <v/>
      </c>
      <c r="DG68" s="21" t="str">
        <f>IF(CY68=0,"",INDEX(nTP_UTC,CY68))</f>
        <v/>
      </c>
      <c r="DH68" s="21">
        <f>IF(CY68=0,"",INDEX(nTP_Lo,CY68))</f>
        <v>45614</v>
      </c>
      <c r="DI68" s="21">
        <f>IF(CY68=0,"",INDEX(nTP_Hi,CY68))</f>
        <v>45614</v>
      </c>
      <c r="DJ68" s="21" t="str">
        <f>IF(CY68=0,"",INDEX(nTP_Original_Text,CY68))</f>
        <v>R-Regimen X x 6, 18/11/2024 to 03/03/2025</v>
      </c>
      <c r="DK68" s="21" t="str">
        <f>IF(CY68=0,"",INDEX(nTP_Source,CY68))</f>
        <v>Hematology summary</v>
      </c>
      <c r="DL68" s="22">
        <f t="shared" si="93"/>
        <v>1</v>
      </c>
      <c r="DM68" s="21" t="str">
        <f t="shared" si="94"/>
        <v/>
      </c>
      <c r="DN68" s="21" t="str">
        <f t="shared" si="95"/>
        <v/>
      </c>
      <c r="DO68" s="21" t="str">
        <f t="shared" si="96"/>
        <v/>
      </c>
      <c r="DP68" s="21" t="str">
        <f t="shared" si="97"/>
        <v/>
      </c>
      <c r="DQ68" s="21" t="str">
        <f t="shared" si="98"/>
        <v>C2</v>
      </c>
      <c r="DR68" s="22">
        <f>IF(OR(DQ68="",I68=""),0,IF(ISNA(MATCH(I68,nLIST_Mode,0)),1,IF(AND(I68="C1",DQ68&lt;&gt;"C1"),1,IF(AND(I68="C2",DQ68="C4"),1,0))))</f>
        <v>0</v>
      </c>
      <c r="DS68" s="21" t="str">
        <f t="shared" si="99"/>
        <v>C2</v>
      </c>
      <c r="DT68" s="22">
        <f t="shared" si="100"/>
        <v>0</v>
      </c>
      <c r="DU68" s="21" t="str">
        <f>IF(DT68=0,"",IF(COUNTIFS(nTP_Case_Key,AX68,nTP_Record_Type,"MILESTONE:INTERVENTION",nTP_Err,"E_INVALID_DATE")&gt;0,"; E_INVALID_DATE","")&amp;IF(COUNTIFS(nTP_Case_Key,AX68,nTP_Record_Type,"MILESTONE:INTERVENTION",nTP_Err,"E_REVERSED_BOUNDS")&gt;0,"; E_REVERSED_BOUNDS","")&amp;IF(COUNTIFS(nTP_Case_Key,AX68,nTP_Record_Type,"MILESTONE:INTERVENTION",nTP_Err,"E_MISSING_INPUT")&gt;0,"; E_MISSING_INPUT","")&amp;IF(COUNTIFS(nTP_Case_Key,AX68,nTP_Record_Type,"MILESTONE:INTERVENTION",nTP_Err,"E_INVALID_UNIT")&gt;0,"; E_INVALID_UNIT",""))</f>
        <v/>
      </c>
      <c r="DV68" s="22">
        <f>IF(DT68=0,0,SUMPRODUCT((nMS_CaseKey=AX68)*(nMS_Type="INTERVENTION")*nMS_Undated))</f>
        <v>0</v>
      </c>
      <c r="DW68" s="21" t="str">
        <f t="shared" si="101"/>
        <v/>
      </c>
      <c r="DX68" s="21" t="str">
        <f t="shared" si="102"/>
        <v/>
      </c>
      <c r="DY68" s="22">
        <f t="shared" si="103"/>
        <v>1</v>
      </c>
      <c r="DZ68" s="21" t="str">
        <f t="shared" si="104"/>
        <v/>
      </c>
      <c r="EA68" s="21">
        <f t="shared" si="105"/>
        <v>540</v>
      </c>
      <c r="EB68" s="21" t="str">
        <f t="shared" si="106"/>
        <v/>
      </c>
      <c r="EC68" s="21" t="str">
        <f t="shared" si="107"/>
        <v/>
      </c>
      <c r="ED68" s="22">
        <f t="shared" si="108"/>
        <v>0</v>
      </c>
      <c r="EE68" s="22">
        <f t="shared" si="109"/>
        <v>0</v>
      </c>
      <c r="EF68" s="21" t="str">
        <f>IF(ED68=0,"",IF(OR(NOT(ISNUMBER(L68)),NOT(ISNUMBER(M68))),"I_APPROXIMATE_NOT_COMPARED",IF(AND(N68&lt;&gt;"",ISNA(MATCH(N68,nLIST_ReportedUnit,0))),"E_INVALID_UNIT",IF(N68="","E_MISSING_INPUT",IF(L68&gt;M68,"E_REVERSED_BOUNDS",IF(OR(N68="weeks",N68="months",N68="years"),"I_APPROXIMATE_NOT_COMPARED",IF(DX68&lt;&gt;"","",IF(EE68=0,"I_APPROXIMATE_NOT_COMPARED",IF(AND(L68*EE68&lt;=IF(DS68="C4",EC68,IF(DS68="C1",DZ68,EA68)),M68*EE68&gt;=IF(DS68="C4",EB68,IF(DS68="C1",DZ68,EA68))),"OVERLAP","W_REPORTED_TIMING_CONFLICT")))))))))</f>
        <v/>
      </c>
      <c r="EG68" s="21" t="str">
        <f t="shared" si="110"/>
        <v/>
      </c>
      <c r="EH68" s="21" t="str">
        <f t="shared" si="111"/>
        <v/>
      </c>
      <c r="EI68" s="22">
        <f t="shared" si="112"/>
        <v>1</v>
      </c>
      <c r="EJ68" s="22">
        <f t="shared" si="113"/>
        <v>0</v>
      </c>
      <c r="EK68" s="22">
        <f t="shared" si="114"/>
        <v>0</v>
      </c>
      <c r="EL68" s="28" t="str">
        <f t="shared" si="115"/>
        <v/>
      </c>
      <c r="EM68" s="28" t="str">
        <f t="shared" si="116"/>
        <v/>
      </c>
      <c r="EN68" s="21" t="str">
        <f t="shared" si="117"/>
        <v/>
      </c>
      <c r="EO68" s="22">
        <f>IF(OR(DT68=0,DX68&lt;&gt;""),0,SUMPRODUCT((nTP_Case_Key=AX68)*(nTP_Record_Type="MILESTONE:INTERVENTION")*(nTP_Err="")*(nTP_HT*DD68*BN68*(nTP_OK*DE68*(nTP_UTC_n&gt;=N(DG68))+(1-nTP_OK*DE68)*(nTP_Loc_n&gt;=N(DF68)))*(nTP_OK*BO68*(nTP_UTC_n&lt;=N(BQ68))+(1-nTP_OK*BO68)*(nTP_Loc_n&lt;=N(BP68)))+(1-nTP_HT*DD68*BN68)*(nTP_Hi_n&gt;=N(DH68))*(nTP_Lo_n&lt;=N(BS68)))))</f>
        <v>0</v>
      </c>
      <c r="EP68" s="22">
        <f>IF(OR(DT68=0,DX68&lt;&gt;""),0,SUMPRODUCT((nTP_Case_Key=AX68)*(nTP_Role="treatment of the event")*((nTP_Record_Type="EXPOSURE_START")+(nTP_Record_Type="ADMINISTRATION"))*(nTP_Err="")*(nTP_HT*DD68*BN68*(nTP_OK*DE68*(nTP_UTC_n&gt;=N(DG68))+(1-nTP_OK*DE68)*(nTP_Loc_n&gt;=N(DF68)))*(nTP_OK*BO68*(nTP_UTC_n&lt;=N(BQ68))+(1-nTP_OK*BO68)*(nTP_Loc_n&lt;=N(BP68)))+(1-nTP_HT*DD68*BN68)*(nTP_Hi_n&gt;=N(DH68))*(nTP_Lo_n&lt;=N(BS68)))))</f>
        <v>0</v>
      </c>
      <c r="EQ68" s="22">
        <f>IF(EO68&lt;1,0,IFERROR(_xlfn.AGGREGATE(15,6,nTP_RowN/((nTP_Case_Key=AX68)*(nTP_Record_Type="MILESTONE:INTERVENTION")*(nTP_Err="")*(nTP_HT*DD68*BN68*(nTP_OK*DE68*(nTP_UTC_n&gt;=N(DG68))+(1-nTP_OK*DE68)*(nTP_Loc_n&gt;=N(DF68)))*(nTP_OK*BO68*(nTP_UTC_n&lt;=N(BQ68))+(1-nTP_OK*BO68)*(nTP_Loc_n&lt;=N(BP68)))+(1-nTP_HT*DD68*BN68)*(nTP_Hi_n&gt;=N(DH68))*(nTP_Lo_n&lt;=N(BS68)))),1),0))</f>
        <v>0</v>
      </c>
      <c r="ER68" s="22">
        <f>IF(EO68&lt;2,0,IFERROR(_xlfn.AGGREGATE(15,6,nTP_RowN/((nTP_Case_Key=AX68)*(nTP_Record_Type="MILESTONE:INTERVENTION")*(nTP_Err="")*(nTP_HT*DD68*BN68*(nTP_OK*DE68*(nTP_UTC_n&gt;=N(DG68))+(1-nTP_OK*DE68)*(nTP_Loc_n&gt;=N(DF68)))*(nTP_OK*BO68*(nTP_UTC_n&lt;=N(BQ68))+(1-nTP_OK*BO68)*(nTP_Loc_n&lt;=N(BP68)))+(1-nTP_HT*DD68*BN68)*(nTP_Hi_n&gt;=N(DH68))*(nTP_Lo_n&lt;=N(BS68)))),2),0))</f>
        <v>0</v>
      </c>
      <c r="ES68" s="22">
        <f>IF(EO68&lt;3,0,IFERROR(_xlfn.AGGREGATE(15,6,nTP_RowN/((nTP_Case_Key=AX68)*(nTP_Record_Type="MILESTONE:INTERVENTION")*(nTP_Err="")*(nTP_HT*DD68*BN68*(nTP_OK*DE68*(nTP_UTC_n&gt;=N(DG68))+(1-nTP_OK*DE68)*(nTP_Loc_n&gt;=N(DF68)))*(nTP_OK*BO68*(nTP_UTC_n&lt;=N(BQ68))+(1-nTP_OK*BO68)*(nTP_Loc_n&lt;=N(BP68)))+(1-nTP_HT*DD68*BN68)*(nTP_Hi_n&gt;=N(DH68))*(nTP_Lo_n&lt;=N(BS68)))),3),0))</f>
        <v>0</v>
      </c>
      <c r="ET68" s="22">
        <f>IF(EP68&lt;1,0,IFERROR(_xlfn.AGGREGATE(15,6,nTP_RowN/((nTP_Case_Key=AX68)*(nTP_Role="treatment of the event")*((nTP_Record_Type="EXPOSURE_START")+(nTP_Record_Type="ADMINISTRATION"))*(nTP_Err="")*(nTP_HT*DD68*BN68*(nTP_OK*DE68*(nTP_UTC_n&gt;=N(DG68))+(1-nTP_OK*DE68)*(nTP_Loc_n&gt;=N(DF68)))*(nTP_OK*BO68*(nTP_UTC_n&lt;=N(BQ68))+(1-nTP_OK*BO68)*(nTP_Loc_n&lt;=N(BP68)))+(1-nTP_HT*DD68*BN68)*(nTP_Hi_n&gt;=N(DH68))*(nTP_Lo_n&lt;=N(BS68)))),1),0))</f>
        <v>0</v>
      </c>
      <c r="EU68" s="22">
        <f>IF(EP68&lt;2,0,IFERROR(_xlfn.AGGREGATE(15,6,nTP_RowN/((nTP_Case_Key=AX68)*(nTP_Role="treatment of the event")*((nTP_Record_Type="EXPOSURE_START")+(nTP_Record_Type="ADMINISTRATION"))*(nTP_Err="")*(nTP_HT*DD68*BN68*(nTP_OK*DE68*(nTP_UTC_n&gt;=N(DG68))+(1-nTP_OK*DE68)*(nTP_Loc_n&gt;=N(DF68)))*(nTP_OK*BO68*(nTP_UTC_n&lt;=N(BQ68))+(1-nTP_OK*BO68)*(nTP_Loc_n&lt;=N(BP68)))+(1-nTP_HT*DD68*BN68)*(nTP_Hi_n&gt;=N(DH68))*(nTP_Lo_n&lt;=N(BS68)))),2),0))</f>
        <v>0</v>
      </c>
      <c r="EV68" s="22">
        <f>IF(EP68&lt;3,0,IFERROR(_xlfn.AGGREGATE(15,6,nTP_RowN/((nTP_Case_Key=AX68)*(nTP_Role="treatment of the event")*((nTP_Record_Type="EXPOSURE_START")+(nTP_Record_Type="ADMINISTRATION"))*(nTP_Err="")*(nTP_HT*DD68*BN68*(nTP_OK*DE68*(nTP_UTC_n&gt;=N(DG68))+(1-nTP_OK*DE68)*(nTP_Loc_n&gt;=N(DF68)))*(nTP_OK*BO68*(nTP_UTC_n&lt;=N(BQ68))+(1-nTP_OK*BO68)*(nTP_Loc_n&lt;=N(BP68)))+(1-nTP_HT*DD68*BN68)*(nTP_Hi_n&gt;=N(DH68))*(nTP_Lo_n&lt;=N(BS68)))),3),0))</f>
        <v>0</v>
      </c>
      <c r="EW68" s="22">
        <f>IF(CE68&lt;1,0,IFERROR(_xlfn.AGGREGATE(15,6,nTP_RowN/((nTP_CandKey=BX68)*(nTP_Err="")*(1-nTP_Exact)*((nTP_HT*BN68*((nTP_OK*BO68*(nTP_UTC_n-N(BQ68))+(1-nTP_OK*BO68)*(nTP_Loc_n-N(BP68)))&lt;=0)+(1-nTP_HT*BN68)*(nTP_Hi_n&lt;N(BR68)))+((1-nTP_HT*BN68)*(nTP_Lo_n=nTP_Hi_n)*(nTP_Lo_n=N(BR68))*(N(BR68)=N(BS68))))),1),0))</f>
        <v>0</v>
      </c>
      <c r="EX68" s="22">
        <f>IF(CE68&lt;2,0,IFERROR(_xlfn.AGGREGATE(15,6,nTP_RowN/((nTP_CandKey=BX68)*(nTP_Err="")*(1-nTP_Exact)*((nTP_HT*BN68*((nTP_OK*BO68*(nTP_UTC_n-N(BQ68))+(1-nTP_OK*BO68)*(nTP_Loc_n-N(BP68)))&lt;=0)+(1-nTP_HT*BN68)*(nTP_Hi_n&lt;N(BR68)))+((1-nTP_HT*BN68)*(nTP_Lo_n=nTP_Hi_n)*(nTP_Lo_n=N(BR68))*(N(BR68)=N(BS68))))),2),0))</f>
        <v>0</v>
      </c>
      <c r="EY68" s="22">
        <f>IF(CE68&lt;3,0,IFERROR(_xlfn.AGGREGATE(15,6,nTP_RowN/((nTP_CandKey=BX68)*(nTP_Err="")*(1-nTP_Exact)*((nTP_HT*BN68*((nTP_OK*BO68*(nTP_UTC_n-N(BQ68))+(1-nTP_OK*BO68)*(nTP_Loc_n-N(BP68)))&lt;=0)+(1-nTP_HT*BN68)*(nTP_Hi_n&lt;N(BR68)))+((1-nTP_HT*BN68)*(nTP_Lo_n=nTP_Hi_n)*(nTP_Lo_n=N(BR68))*(N(BR68)=N(BS68))))),3),0))</f>
        <v>0</v>
      </c>
      <c r="EZ68" s="21" t="str">
        <f>IF(EO68=0,"",MID(IF(EQ68&gt;0,"; "&amp;INDEX(nTP_Record_ID,EQ68)&amp;IF(INDEX(nTP_Label,EQ68)="",""," ("&amp;INDEX(nTP_Label,EQ68)&amp;")"),"")&amp;IF(ER68&gt;0,"; "&amp;INDEX(nTP_Record_ID,ER68)&amp;IF(INDEX(nTP_Label,ER68)="",""," ("&amp;INDEX(nTP_Label,ER68)&amp;")"),"")&amp;IF(ES68&gt;0,"; "&amp;INDEX(nTP_Record_ID,ES68)&amp;IF(INDEX(nTP_Label,ES68)="",""," ("&amp;INDEX(nTP_Label,ES68)&amp;")"),"")&amp;IF(EO68&gt;3,"; and "&amp;(EO68-3)&amp;" more",""),3,999))</f>
        <v/>
      </c>
      <c r="FA68" s="21" t="str">
        <f>IF(EO68=0,"",MID(IF(EQ68&gt;0,"; "&amp;INDEX(nTP_Record_ID,EQ68),"")&amp;IF(ER68&gt;0,"; "&amp;INDEX(nTP_Record_ID,ER68),"")&amp;IF(ES68&gt;0,"; "&amp;INDEX(nTP_Record_ID,ES68),"")&amp;IF(EO68&gt;3,"; and "&amp;(EO68-3)&amp;" more",""),3,999))</f>
        <v/>
      </c>
      <c r="FB68" s="21" t="str">
        <f>IF(EP68=0,"",MID(IF(ET68&gt;0,"; "&amp;INDEX(nTP_Record_ID,ET68)&amp;IF(INDEX(nTP_Label,ET68)="",""," ("&amp;INDEX(nTP_Label,ET68)&amp;")"),"")&amp;IF(EU68&gt;0,"; "&amp;INDEX(nTP_Record_ID,EU68)&amp;IF(INDEX(nTP_Label,EU68)="",""," ("&amp;INDEX(nTP_Label,EU68)&amp;")"),"")&amp;IF(EV68&gt;0,"; "&amp;INDEX(nTP_Record_ID,EV68)&amp;IF(INDEX(nTP_Label,EV68)="",""," ("&amp;INDEX(nTP_Label,EV68)&amp;")"),"")&amp;IF(EP68&gt;3,"; and "&amp;(EP68-3)&amp;" more",""),3,999))</f>
        <v/>
      </c>
      <c r="FC68" s="21" t="str">
        <f>IF(CE68=0,"",MID(IF(EW68&gt;0,"; "&amp;INDEX(nTP_Record_ID,EW68),"")&amp;IF(EX68&gt;0,"; "&amp;INDEX(nTP_Record_ID,EX68),"")&amp;IF(EY68&gt;0,"; "&amp;INDEX(nTP_Record_ID,EY68),"")&amp;IF(CE68&gt;3,"; and "&amp;(CE68-3)&amp;" more",""),3,999))</f>
        <v/>
      </c>
      <c r="FD68" s="22">
        <f t="shared" si="118"/>
        <v>0</v>
      </c>
      <c r="FE68" s="22">
        <f t="shared" si="119"/>
        <v>0</v>
      </c>
      <c r="FF68" s="22">
        <f t="shared" si="120"/>
        <v>0</v>
      </c>
      <c r="FG68" s="22">
        <f t="shared" si="121"/>
        <v>0</v>
      </c>
      <c r="FH68" s="22">
        <f t="shared" si="122"/>
        <v>0</v>
      </c>
      <c r="FI68" s="22">
        <f t="shared" si="123"/>
        <v>0</v>
      </c>
      <c r="FJ68" s="22">
        <f t="shared" si="124"/>
        <v>0</v>
      </c>
      <c r="FK68" s="22">
        <f t="shared" si="125"/>
        <v>0</v>
      </c>
    </row>
    <row r="69" spans="1:167" x14ac:dyDescent="0.2">
      <c r="A69" s="9" t="s">
        <v>1134</v>
      </c>
      <c r="B69" s="9" t="s">
        <v>305</v>
      </c>
      <c r="C69" s="11">
        <v>2</v>
      </c>
      <c r="D69" s="9" t="s">
        <v>894</v>
      </c>
      <c r="E69" s="16" t="s">
        <v>51</v>
      </c>
      <c r="F69" s="9"/>
      <c r="G69" s="9" t="s">
        <v>1169</v>
      </c>
      <c r="H69" s="9" t="s">
        <v>1168</v>
      </c>
      <c r="I69" s="16" t="s">
        <v>61</v>
      </c>
      <c r="J69" s="16"/>
      <c r="K69" s="9"/>
      <c r="L69" s="16"/>
      <c r="M69" s="16"/>
      <c r="N69" s="16"/>
      <c r="O69" s="9"/>
      <c r="P69" s="14"/>
      <c r="Q69" s="14"/>
      <c r="R69" s="9"/>
      <c r="S69" s="9"/>
      <c r="T69" s="21" t="str">
        <f t="shared" si="63"/>
        <v>448 to 540 calendar days</v>
      </c>
      <c r="U69" s="21" t="str">
        <f t="shared" si="64"/>
        <v>448 to 540 calendar days</v>
      </c>
      <c r="V69" s="21" t="str">
        <f t="shared" si="65"/>
        <v/>
      </c>
      <c r="W69" s="21">
        <f t="shared" si="66"/>
        <v>448</v>
      </c>
      <c r="X69" s="21">
        <f t="shared" si="67"/>
        <v>540</v>
      </c>
      <c r="Y69" s="21" t="str">
        <f t="shared" si="68"/>
        <v>calendar days</v>
      </c>
      <c r="Z69" s="21" t="str">
        <f t="shared" si="69"/>
        <v>C4</v>
      </c>
      <c r="AA69" s="21" t="str">
        <f t="shared" si="70"/>
        <v>AFTER</v>
      </c>
      <c r="AB69" s="21" t="str">
        <f t="shared" si="71"/>
        <v/>
      </c>
      <c r="AC69" s="21" t="str">
        <f t="shared" si="72"/>
        <v/>
      </c>
      <c r="AD69" s="21" t="str">
        <f>IF(AW69=1,"",MID(IF(ISNUMBER(SEARCH("E_INVALID_DATE",EG69))," | E_INVALID_DATE: "&amp;SUBSTITUTE(IFERROR(INDEX(nMSG_Text,MATCH("E_INVALID_DATE",nMSG_Code,0)),""),"[input]",""),"")&amp;IF(ISNUMBER(SEARCH("E_REVERSED_BOUNDS",EG69))," | E_REVERSED_BOUNDS: "&amp;SUBSTITUTE(IFERROR(INDEX(nMSG_Text,MATCH("E_REVERSED_BOUNDS",nMSG_Code,0)),""),"[input]",""),"")&amp;IF(ISNUMBER(SEARCH("E_DUPLICATE_ID",EG69))," | E_DUPLICATE_ID: "&amp;SUBSTITUTE(IFERROR(INDEX(nMSG_Text,MATCH("E_DUPLICATE_ID",nMSG_Code,0)),""),"[input]",""),"")&amp;IF(ISNUMBER(SEARCH("E_MISSING_LINK",EG69))," | E_MISSING_LINK: "&amp;SUBSTITUTE(IFERROR(INDEX(nMSG_Text,MATCH("E_MISSING_LINK",nMSG_Code,0)),""),"[input]",""),"")&amp;IF(ISNUMBER(SEARCH("E_MISSING_INPUT",EG69))," | E_MISSING_INPUT: "&amp;SUBSTITUTE(IFERROR(INDEX(nMSG_Text,MATCH("E_MISSING_INPUT",nMSG_Code,0)),""),"[input]",IF(EH69="","an input",EH69)),"")&amp;IF(ISNUMBER(SEARCH("E_INVALID_UNIT",EG69))," | E_INVALID_UNIT: "&amp;SUBSTITUTE(IFERROR(INDEX(nMSG_Text,MATCH("E_INVALID_UNIT",nMSG_Code,0)),""),"[input]",""),"")&amp;IF(FD69=1," | W_TZ_UNKNOWN: "&amp;SUBSTITUTE(IFERROR(INDEX(nMSG_Text,MATCH("W_TZ_UNKNOWN",nMSG_Code,0)),""),"[input]",""),"")&amp;IF(FE69=1," | W_SAME_DATE_ORDER_UNKNOWN: "&amp;SUBSTITUTE(IFERROR(INDEX(nMSG_Text,MATCH("W_SAME_DATE_ORDER_UNKNOWN",nMSG_Code,0)),""),"[input]",""),"")&amp;IF(FF69=1," | W_SEQUENCE_UNCERTAIN: "&amp;SUBSTITUTE(IFERROR(INDEX(nMSG_Text,MATCH("W_SEQUENCE_UNCERTAIN",nMSG_Code,0)),""),"[input]",""),"")&amp;IF(FG69=1," | W_ADMIN_SAME_DATE_AS_ONSET: "&amp;SUBSTITUTE(IFERROR(INDEX(nMSG_Text,MATCH("W_ADMIN_SAME_DATE_AS_ONSET",nMSG_Code,0)),""),"[input]",""),"")&amp;IF(FH69=1," | W_REPORTED_TIMING_CONFLICT: "&amp;SUBSTITUTE(IFERROR(INDEX(nMSG_Text,MATCH("W_REPORTED_TIMING_CONFLICT",nMSG_Code,0)),""),"[input]",""),"")&amp;IF(FI69=1," | W_INTERVENTION_BEFORE_RECOVERY: "&amp;SUBSTITUTE(IFERROR(INDEX(nMSG_Text,MATCH("W_INTERVENTION_BEFORE_RECOVERY",nMSG_Code,0)),""),"[input]",""),"")&amp;IF(FJ69=1," | I_TREATMENT_DAY_UNDEFINED: "&amp;SUBSTITUTE(IFERROR(INDEX(nMSG_Text,MATCH("I_TREATMENT_DAY_UNDEFINED",nMSG_Code,0)),""),"[input]",""),"")&amp;IF(FK69=1," | I_APPROXIMATE_NOT_COMPARED: "&amp;SUBSTITUTE(IFERROR(INDEX(nMSG_Text,MATCH("I_APPROXIMATE_NOT_COMPARED",nMSG_Code,0)),""),"[input]",""),""),4,9999))</f>
        <v/>
      </c>
      <c r="AE69" s="21" t="str">
        <f t="shared" si="73"/>
        <v/>
      </c>
      <c r="AF69" s="21" t="str">
        <f t="shared" si="74"/>
        <v/>
      </c>
      <c r="AG69" s="21" t="str">
        <f>IF(EN69="","",MID(IF(ISNUMBER(SEARCH("E_REVERSED_BOUNDS",EN69))," | E_REVERSED_BOUNDS: "&amp;SUBSTITUTE(IFERROR(INDEX(nMSG_Text,MATCH("E_REVERSED_BOUNDS",nMSG_Code,0)),""),"[input]",""),"")&amp;IF(ISNUMBER(SEARCH("E_MISSING_INPUT",EN69))," | E_MISSING_INPUT: "&amp;SUBSTITUTE(IFERROR(INDEX(nMSG_Text,MATCH("E_MISSING_INPUT",nMSG_Code,0)),""),"[input]",IF("the source of the constraint"="","an input","the source of the constraint")),""),4,999))</f>
        <v/>
      </c>
      <c r="AH69" s="21" t="str">
        <f t="shared" si="75"/>
        <v/>
      </c>
      <c r="AI69" s="21" t="str">
        <f t="shared" si="76"/>
        <v>EX-RTX/START → EV-HBV/ONSET</v>
      </c>
      <c r="AJ69" s="21" t="str">
        <f t="shared" si="77"/>
        <v>EX-RTX/START</v>
      </c>
      <c r="AK69" s="21" t="str">
        <f t="shared" si="78"/>
        <v>EV-HBV/ONSET</v>
      </c>
      <c r="AL69" s="21" t="str">
        <f>IF(CY69=0,"",INDEX(nTP_ISO,CY69))</f>
        <v>2024-11-18</v>
      </c>
      <c r="AM69" s="21" t="str">
        <f>IF(CY69=0,"",INDEX(nTP_Display,CY69))</f>
        <v>18 November 2024</v>
      </c>
      <c r="AN69" s="21" t="str">
        <f>IF(BI69=0,"",INDEX(nTP_ISO,BI69))</f>
        <v>2026-02-09/2026-05-12</v>
      </c>
      <c r="AO69" s="21" t="str">
        <f>IF(BI69=0,"",INDEX(nTP_Display,BI69))</f>
        <v>9 February 2026 to 12 May 2026 (laboratory-defined)</v>
      </c>
      <c r="AP69" s="21" t="str">
        <f>IF(BA69=0,"",INDEX(nLNK_Exposure_Episode_ID,BA69)&amp;"")</f>
        <v>EX-RTX</v>
      </c>
      <c r="AQ69" s="21" t="str">
        <f>IF(BA69=0,"",INDEX(nLNK_Event_Episode_ID,BA69)&amp;"")</f>
        <v>EV-HBV</v>
      </c>
      <c r="AR69" s="21" t="str">
        <f t="shared" si="79"/>
        <v>Anchor (FIRST_ADMIN) EX-RTX/START: 2024-11-18 [day; case measurement; original: "R-Regimen X x 6, 18/11/2024 to 03/03/2025"; source: Hematology summary] | End point EV-HBV/ONSET: 2026-02-09/2026-05-12 [laboratory-defined range; case measurement; original: "Between the last undetectable HBV DNA (9 February 2026) and the first positive result (12 May 2026)"; source: Laboratory-defined onset (CALC-SPEC 1.1 C4): test records M-HBV3 (last normal) and M-HBV4 (first abnormal)]</v>
      </c>
      <c r="AS69" s="21" t="str">
        <f>IF(EI69=0,"",MID(IF(DT69=1," | Recovery interval (C7) computed with "&amp;DS69&amp;".","")&amp;IF(BG69=1," | Anchor selected under C5 (CALC-SPEC 1.1): latest administration with an exact date or time at or before "&amp;IF(BH69=1,"onset","the end point")&amp;" ("&amp;AJ69&amp;"), ordered in UTC when offsets are known; later administrations are never selected.","")&amp;IF(AND(BG69=1,CE69&gt;0)," | Partial-date administrations wholly before the selected one were not candidates: "&amp;FC69&amp;".","")&amp;IF(BV69&lt;&gt;""," | "&amp;BV69,"")&amp;IF(AND(DS69="C2",EA69=0,DZ69&lt;&gt;"")," | Same calendar date; both times are known, so C1 decides the order ("&amp;AA69&amp;").","")&amp;IF(AND(DS69="C2",DD69*BN69=1,DT69=0)," | Calendar-date difference from the recorded local dates; it is never described as elapsed days.","")&amp;IF(AND(DS69="C4",DT69=0)," | Bounds are treated as independent; no single date is imputed from them.","")&amp;IF(EJ69=1," | Treatment day under the inclusive convention (C3); never written to E2B fields automatically.","")&amp;IF(AND(DS69="C4",DT69=0,EK69=0)," | No constraint applied.","")&amp;IF(AND(DS69="C4",EK69=1)," | Constraint applied to the anchor bounds: "&amp;IF(ISNUMBER(P69),"not before "&amp;DAY(P69)&amp;" "&amp;INDEX(nLIST_Months,MONTH(P69))&amp;" "&amp;YEAR(P69),"")&amp;IF(AND(ISNUMBER(P69),ISNUMBER(Q69)),", ","")&amp;IF(ISNUMBER(Q69),"not after "&amp;DAY(Q69)&amp;" "&amp;INDEX(nLIST_Months,MONTH(Q69))&amp;" "&amp;YEAR(Q69),"")&amp;". Source: "&amp;IF(R69="","not recorded",R69)&amp;IF(EN69="",". Constrained result shown beside the unconstrained one.",". Constrained result blocked ("&amp;EN69&amp;")."),"")&amp;IF(DT69=1,IF(EO69&gt;0," | Intervention recorded between cessation and recovery (ends included): "&amp;EZ69&amp;"."," | No intervention is recorded between cessation and recovery; absence of a record is not evidence that none was given."),"")&amp;IF(AND(DT69=1,DV69&gt;0)," | Intervention recorded without a date, so whether it came before recovery is unknown: "&amp;INDEX(nMS_Milestone_ID,MATCH(1,INDEX((nMS_CaseKey=AX69)*(nMS_Type="INTERVENTION")*nMS_Undated,0),0))&amp;IF(DV69&gt;1," and "&amp;(DV69-1)&amp;" more","")&amp;".","")&amp;IF(AND(DT69=1,EP69&gt;0)," | Not counted as interventions, because they are recorded as exposures rather than as intervention milestones (nothing is inferred): "&amp;FB69&amp;". If treatment was given, record it as an intervention milestone.",""),4,9999))</f>
        <v>Onset is laboratory-defined (CALC-SPEC 1.1, C4): lower bound = date of the last normal test (M-HBV3), upper bound = date of the first abnormal test (M-HBV4). The reviewer decides which results are normal. | Bounds are treated as independent; no single date is imputed from them. | No constraint applied.</v>
      </c>
      <c r="AT69" s="21" t="str">
        <f t="shared" si="80"/>
        <v>The interval describes the sequence and spacing of recorded times; it is not evidence of causation. The true interval lies between the bounds; no single date is imputed.</v>
      </c>
      <c r="AU69" s="21" t="str">
        <f t="shared" si="81"/>
        <v/>
      </c>
      <c r="AV69" s="21" t="str">
        <f t="shared" si="82"/>
        <v>CALC-SPEC 1.1</v>
      </c>
      <c r="AW69" s="22">
        <f t="shared" si="83"/>
        <v>0</v>
      </c>
      <c r="AX69" s="21" t="str">
        <f t="shared" si="84"/>
        <v>EX-C28|2</v>
      </c>
      <c r="AY69" s="21" t="str">
        <f t="shared" si="85"/>
        <v>EX-C28|2|I04</v>
      </c>
      <c r="AZ69" s="22">
        <f>IF(AY69="",0,COUNTIF(nINT_Key,AY69))</f>
        <v>1</v>
      </c>
      <c r="BA69" s="22">
        <f>IF(D69="",0,IFERROR(MATCH(AX69&amp;"|"&amp;D69,nLNK_Key,0),0))</f>
        <v>27</v>
      </c>
      <c r="BB69" s="22">
        <f>IF(BA69=0,1,INDEX(nLNK_Exp_Found,BA69))</f>
        <v>1</v>
      </c>
      <c r="BC69" s="22">
        <f>IF(BA69=0,1,INDEX(nLNK_Evt_Found,BA69))</f>
        <v>1</v>
      </c>
      <c r="BD69" s="22">
        <f>IF(AP69="",0,COUNTIF(nEXP_Key,AX69&amp;"|"&amp;AP69))</f>
        <v>1</v>
      </c>
      <c r="BE69" s="22">
        <f>IF(AQ69="",0,COUNTIF(nEVT_Key,AX69&amp;"|"&amp;AQ69))</f>
        <v>1</v>
      </c>
      <c r="BF69" s="22">
        <f>IF(ISNA(MATCH(E69,nLIST_AnchorType,0)),0,1)</f>
        <v>1</v>
      </c>
      <c r="BG69" s="22">
        <f t="shared" si="86"/>
        <v>0</v>
      </c>
      <c r="BH69" s="22">
        <f t="shared" si="87"/>
        <v>1</v>
      </c>
      <c r="BI69" s="22">
        <f>IF(OR(AW69=1,AK69=""),0,IFERROR(MATCH(AX69&amp;"|"&amp;AK69,nTP_Key,0),0))</f>
        <v>314</v>
      </c>
      <c r="BJ69" s="21">
        <f>IF(BI69=0,0,INDEX(nTP_Dup,BI69))</f>
        <v>1</v>
      </c>
      <c r="BK69" s="21" t="str">
        <f>IF(BI69=0,"",INDEX(nTP_Record_Type,BI69))</f>
        <v>EVENT_ONSET</v>
      </c>
      <c r="BL69" s="21" t="str">
        <f>IF(BI69=0,"",INDEX(nTP_Precision,BI69))</f>
        <v>LAB</v>
      </c>
      <c r="BM69" s="21" t="str">
        <f>IF(BI69=0,"",INDEX(nTP_Err,BI69))</f>
        <v/>
      </c>
      <c r="BN69" s="21">
        <f>IF(BI69=0,0,INDEX(nTP_HT,BI69))</f>
        <v>0</v>
      </c>
      <c r="BO69" s="21">
        <f>IF(BI69=0,0,INDEX(nTP_OK,BI69))</f>
        <v>0</v>
      </c>
      <c r="BP69" s="21" t="str">
        <f>IF(BI69=0,"",INDEX(nTP_Loc,BI69))</f>
        <v/>
      </c>
      <c r="BQ69" s="21" t="str">
        <f>IF(BI69=0,"",INDEX(nTP_UTC,BI69))</f>
        <v/>
      </c>
      <c r="BR69" s="21">
        <f>IF(BI69=0,"",INDEX(nTP_Lo,BI69))</f>
        <v>46062</v>
      </c>
      <c r="BS69" s="21">
        <f>IF(BI69=0,"",INDEX(nTP_Hi,BI69))</f>
        <v>46154</v>
      </c>
      <c r="BT69" s="21" t="str">
        <f>IF(BI69=0,"",INDEX(nTP_Original_Text,BI69))</f>
        <v>Between the last undetectable HBV DNA (9 February 2026) and the first positive result (12 May 2026)</v>
      </c>
      <c r="BU69" s="21" t="str">
        <f>IF(BI69=0,"",INDEX(nTP_Source,BI69))</f>
        <v>Laboratory-defined onset (CALC-SPEC 1.1 C4): test records M-HBV3 (last normal) and M-HBV4 (first abnormal)</v>
      </c>
      <c r="BV69" s="21" t="str">
        <f>IF(BI69=0,"",INDEX(nTP_Lab_Note,BI69))</f>
        <v>Onset is laboratory-defined (CALC-SPEC 1.1, C4): lower bound = date of the last normal test (M-HBV3), upper bound = date of the first abnormal test (M-HBV4). The reviewer decides which results are normal.</v>
      </c>
      <c r="BW69" s="22">
        <f t="shared" si="88"/>
        <v>1</v>
      </c>
      <c r="BX69" s="21" t="str">
        <f t="shared" si="89"/>
        <v>EX-C28|2|EX-RTX</v>
      </c>
      <c r="BY69" s="22">
        <f>IF(BG69=0,0,COUNTIF(nTP_CandKey,BX69))</f>
        <v>0</v>
      </c>
      <c r="BZ69" s="22">
        <f>IF(BG69=0,0,COUNTIFS(nTP_CandKey,BX69,nTP_Err,""))</f>
        <v>0</v>
      </c>
      <c r="CA69" s="21" t="str">
        <f>IF(BY69=BZ69,"",IF(COUNTIFS(nTP_CandKey,BX69,nTP_Err,"E_INVALID_DATE")&gt;0,"; E_INVALID_DATE","")&amp;IF(COUNTIFS(nTP_CandKey,BX69,nTP_Err,"E_REVERSED_BOUNDS")&gt;0,"; E_REVERSED_BOUNDS","")&amp;IF(COUNTIFS(nTP_CandKey,BX69,nTP_Err,"E_MISSING_INPUT")&gt;0,"; E_MISSING_INPUT","")&amp;IF(COUNTIFS(nTP_CandKey,BX69,nTP_Err,"E_INVALID_UNIT")&gt;0,"; E_INVALID_UNIT",""))</f>
        <v/>
      </c>
      <c r="CB69" s="22">
        <f t="shared" si="90"/>
        <v>0</v>
      </c>
      <c r="CC69" s="22">
        <f>IF(CB69=0,0,SUMPRODUCT((nTP_CandKey=BX69)*(nTP_Err="")*(1-(nTP_HT*BN69*((nTP_OK*BO69*(nTP_UTC_n-N(BQ69))+(1-nTP_OK*BO69)*(nTP_Loc_n-N(BP69)))&lt;=0)+(1-nTP_HT*BN69)*(nTP_Hi_n&lt;N(BR69)))-(nTP_HT*BN69*((nTP_OK*BO69*(nTP_UTC_n-N(BQ69))+(1-nTP_OK*BO69)*(nTP_Loc_n-N(BP69)))&gt;0)+(1-nTP_HT*BN69)*(nTP_Lo_n&gt;N(BS69)))-((1-nTP_HT*BN69)*(nTP_Lo_n=nTP_Hi_n)*(nTP_Lo_n=N(BR69))*(N(BR69)=N(BS69))))))</f>
        <v>0</v>
      </c>
      <c r="CD69" s="22">
        <f>IF(CB69=0,0,SUMPRODUCT((nTP_CandKey=BX69)*nTP_Exact*((nTP_HT*BN69*((nTP_OK*BO69*(nTP_UTC_n-N(BQ69))+(1-nTP_OK*BO69)*(nTP_Loc_n-N(BP69)))&lt;=0)+(1-nTP_HT*BN69)*(nTP_Hi_n&lt;N(BR69)))+((1-nTP_HT*BN69)*(nTP_Lo_n=nTP_Hi_n)*(nTP_Lo_n=N(BR69))*(N(BR69)=N(BS69))))))</f>
        <v>0</v>
      </c>
      <c r="CE69" s="22">
        <f>IF(CB69=0,0,SUMPRODUCT((nTP_CandKey=BX69)*(nTP_Err="")*(1-nTP_Exact)*((nTP_HT*BN69*((nTP_OK*BO69*(nTP_UTC_n-N(BQ69))+(1-nTP_OK*BO69)*(nTP_Loc_n-N(BP69)))&lt;=0)+(1-nTP_HT*BN69)*(nTP_Hi_n&lt;N(BR69)))+((1-nTP_HT*BN69)*(nTP_Lo_n=nTP_Hi_n)*(nTP_Lo_n=N(BR69))*(N(BR69)=N(BS69))))))</f>
        <v>0</v>
      </c>
      <c r="CF69" s="22">
        <f>IF(CD69=0,0,SUMPRODUCT(MAX((nTP_CandKey=BX69)*nTP_Exact*((nTP_HT*BN69*((nTP_OK*BO69*(nTP_UTC_n-N(BQ69))+(1-nTP_OK*BO69)*(nTP_Loc_n-N(BP69)))&lt;=0)+(1-nTP_HT*BN69)*(nTP_Hi_n&lt;N(BR69)))+((1-nTP_HT*BN69)*(nTP_Lo_n=nTP_Hi_n)*(nTP_Lo_n=N(BR69))*(N(BR69)=N(BS69))))*nTP_Lo_n)))</f>
        <v>0</v>
      </c>
      <c r="CG69" s="22">
        <f>IF(CD69=0,0,SUMPRODUCT((nTP_CandKey=BX69)*nTP_Exact*((nTP_HT*BN69*((nTP_OK*BO69*(nTP_UTC_n-N(BQ69))+(1-nTP_OK*BO69)*(nTP_Loc_n-N(BP69)))&lt;=0)+(1-nTP_HT*BN69)*(nTP_Hi_n&lt;N(BR69)))+((1-nTP_HT*BN69)*(nTP_Lo_n=nTP_Hi_n)*(nTP_Lo_n=N(BR69))*(N(BR69)=N(BS69))))*(nTP_Lo_n=CF69)))</f>
        <v>0</v>
      </c>
      <c r="CH69" s="22">
        <f>IF(CD69=0,0,SUMPRODUCT((nTP_CandKey=BX69)*nTP_Exact*((nTP_HT*BN69*((nTP_OK*BO69*(nTP_UTC_n-N(BQ69))+(1-nTP_OK*BO69)*(nTP_Loc_n-N(BP69)))&lt;=0)+(1-nTP_HT*BN69)*(nTP_Hi_n&lt;N(BR69)))+((1-nTP_HT*BN69)*(nTP_Lo_n=nTP_Hi_n)*(nTP_Lo_n=N(BR69))*(N(BR69)=N(BS69))))*(1-nTP_HT)*(nTP_Lo_n=CF69)))</f>
        <v>0</v>
      </c>
      <c r="CI69" s="22">
        <f>IF(CD69=0,0,SUMPRODUCT(MAX((nTP_CandKey=BX69)*nTP_Exact*((nTP_HT*BN69*((nTP_OK*BO69*(nTP_UTC_n-N(BQ69))+(1-nTP_OK*BO69)*(nTP_Loc_n-N(BP69)))&lt;=0)+(1-nTP_HT*BN69)*(nTP_Hi_n&lt;N(BR69)))+((1-nTP_HT*BN69)*(nTP_Lo_n=nTP_Hi_n)*(nTP_Lo_n=N(BR69))*(N(BR69)=N(BS69))))*(1-nTP_HT)*nTP_Lo_n)))</f>
        <v>0</v>
      </c>
      <c r="CJ69" s="22">
        <f>IF(CD69=0,0,SUMPRODUCT(MAX((nTP_CandKey=BX69)*nTP_Exact*((nTP_HT*BN69*((nTP_OK*BO69*(nTP_UTC_n-N(BQ69))+(1-nTP_OK*BO69)*(nTP_Loc_n-N(BP69)))&lt;=0)+(1-nTP_HT*BN69)*(nTP_Hi_n&lt;N(BR69)))+((1-nTP_HT*BN69)*(nTP_Lo_n=nTP_Hi_n)*(nTP_Lo_n=N(BR69))*(N(BR69)=N(BS69))))*nTP_HT*nTP_OK*nTP_UTC_n)))</f>
        <v>0</v>
      </c>
      <c r="CK69" s="22">
        <f>IF(CJ69=0,0,SUMPRODUCT((nTP_CandKey=BX69)*nTP_Exact*((nTP_HT*BN69*((nTP_OK*BO69*(nTP_UTC_n-N(BQ69))+(1-nTP_OK*BO69)*(nTP_Loc_n-N(BP69)))&lt;=0)+(1-nTP_HT*BN69)*(nTP_Hi_n&lt;N(BR69)))+((1-nTP_HT*BN69)*(nTP_Lo_n=nTP_Hi_n)*(nTP_Lo_n=N(BR69))*(N(BR69)=N(BS69))))*nTP_HT*nTP_OK*(nTP_UTC_n=CJ69)))</f>
        <v>0</v>
      </c>
      <c r="CL69" s="22">
        <f>IF(CK69&lt;&gt;1,0,SUMPRODUCT((nTP_CandKey=BX69)*nTP_Exact*((nTP_HT*BN69*((nTP_OK*BO69*(nTP_UTC_n-N(BQ69))+(1-nTP_OK*BO69)*(nTP_Loc_n-N(BP69)))&lt;=0)+(1-nTP_HT*BN69)*(nTP_Hi_n&lt;N(BR69)))+((1-nTP_HT*BN69)*(nTP_Lo_n=nTP_Hi_n)*(nTP_Lo_n=N(BR69))*(N(BR69)=N(BS69))))*nTP_HT*nTP_OK*(nTP_UTC_n=CJ69)*nTP_Loc_n))</f>
        <v>0</v>
      </c>
      <c r="CM69" s="22">
        <f>IF(CK69&lt;&gt;1,0,SUMPRODUCT((nTP_CandKey=BX69)*nTP_Exact*((nTP_HT*BN69*((nTP_OK*BO69*(nTP_UTC_n-N(BQ69))+(1-nTP_OK*BO69)*(nTP_Loc_n-N(BP69)))&lt;=0)+(1-nTP_HT*BN69)*(nTP_Hi_n&lt;N(BR69)))+((1-nTP_HT*BN69)*(nTP_Lo_n=nTP_Hi_n)*(nTP_Lo_n=N(BR69))*(N(BR69)=N(BS69))))*nTP_HT*nTP_OK*(nTP_UTC_n=CJ69)*nTP_Lo_n))</f>
        <v>0</v>
      </c>
      <c r="CN69" s="22">
        <f>IF(CD69=0,0,SUMPRODUCT(MAX((nTP_CandKey=BX69)*nTP_Exact*((nTP_HT*BN69*((nTP_OK*BO69*(nTP_UTC_n-N(BQ69))+(1-nTP_OK*BO69)*(nTP_Loc_n-N(BP69)))&lt;=0)+(1-nTP_HT*BN69)*(nTP_Hi_n&lt;N(BR69)))+((1-nTP_HT*BN69)*(nTP_Lo_n=nTP_Hi_n)*(nTP_Lo_n=N(BR69))*(N(BR69)=N(BS69))))*nTP_HT*(1-nTP_OK)*nTP_Loc_n)))</f>
        <v>0</v>
      </c>
      <c r="CO69" s="22">
        <f>IF(CN69=0,0,SUMPRODUCT((nTP_CandKey=BX69)*nTP_Exact*((nTP_HT*BN69*((nTP_OK*BO69*(nTP_UTC_n-N(BQ69))+(1-nTP_OK*BO69)*(nTP_Loc_n-N(BP69)))&lt;=0)+(1-nTP_HT*BN69)*(nTP_Hi_n&lt;N(BR69)))+((1-nTP_HT*BN69)*(nTP_Lo_n=nTP_Hi_n)*(nTP_Lo_n=N(BR69))*(N(BR69)=N(BS69))))*nTP_HT*(1-nTP_OK)*(nTP_Loc_n=CN69)))</f>
        <v>0</v>
      </c>
      <c r="CP69" s="22">
        <f>IF(CO69&lt;&gt;1,0,SUMPRODUCT((nTP_CandKey=BX69)*nTP_Exact*((nTP_HT*BN69*((nTP_OK*BO69*(nTP_UTC_n-N(BQ69))+(1-nTP_OK*BO69)*(nTP_Loc_n-N(BP69)))&lt;=0)+(1-nTP_HT*BN69)*(nTP_Hi_n&lt;N(BR69)))+((1-nTP_HT*BN69)*(nTP_Lo_n=nTP_Hi_n)*(nTP_Lo_n=N(BR69))*(N(BR69)=N(BS69))))*nTP_HT*(1-nTP_OK)*(nTP_Loc_n=CN69)*nTP_Lo_n))</f>
        <v>0</v>
      </c>
      <c r="CQ69" s="22">
        <f>IF(CD69=0,0,SUMPRODUCT(MAX((nTP_CandKey=BX69)*nTP_Exact*((nTP_HT*BN69*((nTP_OK*BO69*(nTP_UTC_n-N(BQ69))+(1-nTP_OK*BO69)*(nTP_Loc_n-N(BP69)))&lt;=0)+(1-nTP_HT*BN69)*(nTP_Hi_n&lt;N(BR69)))+((1-nTP_HT*BN69)*(nTP_Lo_n=nTP_Hi_n)*(nTP_Lo_n=N(BR69))*(N(BR69)=N(BS69))))*nTP_HT*nTP_OK*nTP_Loc_n)))</f>
        <v>0</v>
      </c>
      <c r="CR69" s="22">
        <f t="shared" si="91"/>
        <v>0</v>
      </c>
      <c r="CS69" s="22">
        <f>IF(CR69=0,0,IF(CR69=1,MATCH(1,INDEX((nTP_CandKey=BX69)*nTP_Exact*((nTP_HT*BN69*((nTP_OK*BO69*(nTP_UTC_n-N(BQ69))+(1-nTP_OK*BO69)*(nTP_Loc_n-N(BP69)))&lt;=0)+(1-nTP_HT*BN69)*(nTP_Hi_n&lt;N(BR69)))+((1-nTP_HT*BN69)*(nTP_Lo_n=nTP_Hi_n)*(nTP_Lo_n=N(BR69))*(N(BR69)=N(BS69))))*(1-nTP_HT)*(nTP_Lo_n=CF69),0),0),IF(CR69=2,MATCH(1,INDEX((nTP_CandKey=BX69)*nTP_Exact*((nTP_HT*BN69*((nTP_OK*BO69*(nTP_UTC_n-N(BQ69))+(1-nTP_OK*BO69)*(nTP_Loc_n-N(BP69)))&lt;=0)+(1-nTP_HT*BN69)*(nTP_Hi_n&lt;N(BR69)))+((1-nTP_HT*BN69)*(nTP_Lo_n=nTP_Hi_n)*(nTP_Lo_n=N(BR69))*(N(BR69)=N(BS69))))*nTP_HT*nTP_OK*(nTP_UTC_n=CJ69),0),0),MATCH(1,INDEX((nTP_CandKey=BX69)*nTP_Exact*((nTP_HT*BN69*((nTP_OK*BO69*(nTP_UTC_n-N(BQ69))+(1-nTP_OK*BO69)*(nTP_Loc_n-N(BP69)))&lt;=0)+(1-nTP_HT*BN69)*(nTP_Hi_n&lt;N(BR69)))+((1-nTP_HT*BN69)*(nTP_Lo_n=nTP_Hi_n)*(nTP_Lo_n=N(BR69))*(N(BR69)=N(BS69))))*nTP_HT*(1-nTP_OK)*(nTP_Loc_n=CN69),0),0))))</f>
        <v>0</v>
      </c>
      <c r="CT69" s="22">
        <f>IF(CS69=0,0,INDEX(nTP_Lo_n,CS69))</f>
        <v>0</v>
      </c>
      <c r="CU69" s="22">
        <f>IF(CS69=0,0,SUMPRODUCT((nTP_CandKey=BX69)*(nTP_Err="")*(1-nTP_Exact)*((nTP_HT*BN69*((nTP_OK*BO69*(nTP_UTC_n-N(BQ69))+(1-nTP_OK*BO69)*(nTP_Loc_n-N(BP69)))&lt;=0)+(1-nTP_HT*BN69)*(nTP_Hi_n&lt;N(BR69)))+((1-nTP_HT*BN69)*(nTP_Lo_n=nTP_Hi_n)*(nTP_Lo_n=N(BR69))*(N(BR69)=N(BS69))))*(nTP_Hi_n&gt;=CT69)))</f>
        <v>0</v>
      </c>
      <c r="CV69" s="21" t="str">
        <f t="shared" si="92"/>
        <v/>
      </c>
      <c r="CW69" s="21" t="str">
        <f>IF(AND(BG69=1,CB69=1,CV69="",CS69&gt;0),INDEX(nTP_Record_ID,CS69)&amp;"","")</f>
        <v/>
      </c>
      <c r="CX69" s="21" t="str">
        <f>IF(OR(CV69="",BG69=0),"",IF(CV69="none","an administration record (last dose before onset)",IF(CV69="uncertain","the anchor record: "&amp;INDEX(nTP_Record_ID,MATCH(1,INDEX((nTP_CandKey=BX69)*(nTP_Err="")*(1-(nTP_HT*BN69*((nTP_OK*BO69*(nTP_UTC_n-N(BQ69))+(1-nTP_OK*BO69)*(nTP_Loc_n-N(BP69)))&lt;=0)+(1-nTP_HT*BN69)*(nTP_Hi_n&lt;N(BR69)))-(nTP_HT*BN69*((nTP_OK*BO69*(nTP_UTC_n-N(BQ69))+(1-nTP_OK*BO69)*(nTP_Loc_n-N(BP69)))&gt;0)+(1-nTP_HT*BN69)*(nTP_Lo_n&gt;N(BS69)))-((1-nTP_HT*BN69)*(nTP_Lo_n=nTP_Hi_n)*(nTP_Lo_n=N(BR69))*(N(BR69)=N(BS69)))),0),0))&amp;IF(CC69&gt;1," and "&amp;(CC69-1)&amp;" more","")&amp;" may fall before or after the end point, so the last dose cannot be identified from the recorded dates",IF(CV69="noneligible","the anchor record: no administration with an exact date is recorded at or before the end point",IF(CV69="tie","the anchor record: the order of the latest administrations cannot be told from the recorded dates and times","the anchor record: partial-date administration "&amp;INDEX(nTP_Record_ID,MATCH(1,INDEX((nTP_CandKey=BX69)*(nTP_Err="")*(1-nTP_Exact)*((nTP_HT*BN69*((nTP_OK*BO69*(nTP_UTC_n-N(BQ69))+(1-nTP_OK*BO69)*(nTP_Loc_n-N(BP69)))&lt;=0)+(1-nTP_HT*BN69)*(nTP_Hi_n&lt;N(BR69)))+((1-nTP_HT*BN69)*(nTP_Lo_n=nTP_Hi_n)*(nTP_Lo_n=N(BR69))*(N(BR69)=N(BS69))))*(nTP_Hi_n&gt;=CT69),0),0))&amp;" could be the last dose before the end point")))))</f>
        <v/>
      </c>
      <c r="CY69" s="22">
        <f>IF(OR(AW69=1,AJ69=""),0,IFERROR(MATCH(AX69&amp;"|"&amp;AJ69,nTP_Key,0),0))</f>
        <v>38</v>
      </c>
      <c r="CZ69" s="21">
        <f>IF(CY69=0,0,INDEX(nTP_Dup,CY69))</f>
        <v>1</v>
      </c>
      <c r="DA69" s="21" t="str">
        <f>IF(CY69=0,"",INDEX(nTP_Record_Type,CY69))</f>
        <v>EXPOSURE_START</v>
      </c>
      <c r="DB69" s="21" t="str">
        <f>IF(CY69=0,"",INDEX(nTP_Precision,CY69))</f>
        <v>DATE</v>
      </c>
      <c r="DC69" s="21" t="str">
        <f>IF(CY69=0,"",INDEX(nTP_Err,CY69))</f>
        <v/>
      </c>
      <c r="DD69" s="21">
        <f>IF(CY69=0,0,INDEX(nTP_HT,CY69))</f>
        <v>0</v>
      </c>
      <c r="DE69" s="21">
        <f>IF(CY69=0,0,INDEX(nTP_OK,CY69))</f>
        <v>0</v>
      </c>
      <c r="DF69" s="21" t="str">
        <f>IF(CY69=0,"",INDEX(nTP_Loc,CY69))</f>
        <v/>
      </c>
      <c r="DG69" s="21" t="str">
        <f>IF(CY69=0,"",INDEX(nTP_UTC,CY69))</f>
        <v/>
      </c>
      <c r="DH69" s="21">
        <f>IF(CY69=0,"",INDEX(nTP_Lo,CY69))</f>
        <v>45614</v>
      </c>
      <c r="DI69" s="21">
        <f>IF(CY69=0,"",INDEX(nTP_Hi,CY69))</f>
        <v>45614</v>
      </c>
      <c r="DJ69" s="21" t="str">
        <f>IF(CY69=0,"",INDEX(nTP_Original_Text,CY69))</f>
        <v>R-Regimen X x 6, 18/11/2024 to 03/03/2025</v>
      </c>
      <c r="DK69" s="21" t="str">
        <f>IF(CY69=0,"",INDEX(nTP_Source,CY69))</f>
        <v>Hematology summary</v>
      </c>
      <c r="DL69" s="22">
        <f t="shared" si="93"/>
        <v>1</v>
      </c>
      <c r="DM69" s="21" t="str">
        <f t="shared" si="94"/>
        <v/>
      </c>
      <c r="DN69" s="21" t="str">
        <f t="shared" si="95"/>
        <v/>
      </c>
      <c r="DO69" s="21" t="str">
        <f t="shared" si="96"/>
        <v/>
      </c>
      <c r="DP69" s="21" t="str">
        <f t="shared" si="97"/>
        <v/>
      </c>
      <c r="DQ69" s="21" t="str">
        <f t="shared" si="98"/>
        <v>C4</v>
      </c>
      <c r="DR69" s="22">
        <f>IF(OR(DQ69="",I69=""),0,IF(ISNA(MATCH(I69,nLIST_Mode,0)),1,IF(AND(I69="C1",DQ69&lt;&gt;"C1"),1,IF(AND(I69="C2",DQ69="C4"),1,0))))</f>
        <v>0</v>
      </c>
      <c r="DS69" s="21" t="str">
        <f t="shared" si="99"/>
        <v>C4</v>
      </c>
      <c r="DT69" s="22">
        <f t="shared" si="100"/>
        <v>0</v>
      </c>
      <c r="DU69" s="21" t="str">
        <f>IF(DT69=0,"",IF(COUNTIFS(nTP_Case_Key,AX69,nTP_Record_Type,"MILESTONE:INTERVENTION",nTP_Err,"E_INVALID_DATE")&gt;0,"; E_INVALID_DATE","")&amp;IF(COUNTIFS(nTP_Case_Key,AX69,nTP_Record_Type,"MILESTONE:INTERVENTION",nTP_Err,"E_REVERSED_BOUNDS")&gt;0,"; E_REVERSED_BOUNDS","")&amp;IF(COUNTIFS(nTP_Case_Key,AX69,nTP_Record_Type,"MILESTONE:INTERVENTION",nTP_Err,"E_MISSING_INPUT")&gt;0,"; E_MISSING_INPUT","")&amp;IF(COUNTIFS(nTP_Case_Key,AX69,nTP_Record_Type,"MILESTONE:INTERVENTION",nTP_Err,"E_INVALID_UNIT")&gt;0,"; E_INVALID_UNIT",""))</f>
        <v/>
      </c>
      <c r="DV69" s="22">
        <f>IF(DT69=0,0,SUMPRODUCT((nMS_CaseKey=AX69)*(nMS_Type="INTERVENTION")*nMS_Undated))</f>
        <v>0</v>
      </c>
      <c r="DW69" s="21" t="str">
        <f t="shared" si="101"/>
        <v/>
      </c>
      <c r="DX69" s="21" t="str">
        <f t="shared" si="102"/>
        <v/>
      </c>
      <c r="DY69" s="22">
        <f t="shared" si="103"/>
        <v>1</v>
      </c>
      <c r="DZ69" s="21" t="str">
        <f t="shared" si="104"/>
        <v/>
      </c>
      <c r="EA69" s="21" t="str">
        <f t="shared" si="105"/>
        <v/>
      </c>
      <c r="EB69" s="21">
        <f t="shared" si="106"/>
        <v>448</v>
      </c>
      <c r="EC69" s="21">
        <f t="shared" si="107"/>
        <v>540</v>
      </c>
      <c r="ED69" s="22">
        <f t="shared" si="108"/>
        <v>0</v>
      </c>
      <c r="EE69" s="22">
        <f t="shared" si="109"/>
        <v>0</v>
      </c>
      <c r="EF69" s="21" t="str">
        <f>IF(ED69=0,"",IF(OR(NOT(ISNUMBER(L69)),NOT(ISNUMBER(M69))),"I_APPROXIMATE_NOT_COMPARED",IF(AND(N69&lt;&gt;"",ISNA(MATCH(N69,nLIST_ReportedUnit,0))),"E_INVALID_UNIT",IF(N69="","E_MISSING_INPUT",IF(L69&gt;M69,"E_REVERSED_BOUNDS",IF(OR(N69="weeks",N69="months",N69="years"),"I_APPROXIMATE_NOT_COMPARED",IF(DX69&lt;&gt;"","",IF(EE69=0,"I_APPROXIMATE_NOT_COMPARED",IF(AND(L69*EE69&lt;=IF(DS69="C4",EC69,IF(DS69="C1",DZ69,EA69)),M69*EE69&gt;=IF(DS69="C4",EB69,IF(DS69="C1",DZ69,EA69))),"OVERLAP","W_REPORTED_TIMING_CONFLICT")))))))))</f>
        <v/>
      </c>
      <c r="EG69" s="21" t="str">
        <f t="shared" si="110"/>
        <v/>
      </c>
      <c r="EH69" s="21" t="str">
        <f t="shared" si="111"/>
        <v/>
      </c>
      <c r="EI69" s="22">
        <f t="shared" si="112"/>
        <v>1</v>
      </c>
      <c r="EJ69" s="22">
        <f t="shared" si="113"/>
        <v>0</v>
      </c>
      <c r="EK69" s="22">
        <f t="shared" si="114"/>
        <v>0</v>
      </c>
      <c r="EL69" s="28" t="str">
        <f t="shared" si="115"/>
        <v/>
      </c>
      <c r="EM69" s="28" t="str">
        <f t="shared" si="116"/>
        <v/>
      </c>
      <c r="EN69" s="21" t="str">
        <f t="shared" si="117"/>
        <v/>
      </c>
      <c r="EO69" s="22">
        <f>IF(OR(DT69=0,DX69&lt;&gt;""),0,SUMPRODUCT((nTP_Case_Key=AX69)*(nTP_Record_Type="MILESTONE:INTERVENTION")*(nTP_Err="")*(nTP_HT*DD69*BN69*(nTP_OK*DE69*(nTP_UTC_n&gt;=N(DG69))+(1-nTP_OK*DE69)*(nTP_Loc_n&gt;=N(DF69)))*(nTP_OK*BO69*(nTP_UTC_n&lt;=N(BQ69))+(1-nTP_OK*BO69)*(nTP_Loc_n&lt;=N(BP69)))+(1-nTP_HT*DD69*BN69)*(nTP_Hi_n&gt;=N(DH69))*(nTP_Lo_n&lt;=N(BS69)))))</f>
        <v>0</v>
      </c>
      <c r="EP69" s="22">
        <f>IF(OR(DT69=0,DX69&lt;&gt;""),0,SUMPRODUCT((nTP_Case_Key=AX69)*(nTP_Role="treatment of the event")*((nTP_Record_Type="EXPOSURE_START")+(nTP_Record_Type="ADMINISTRATION"))*(nTP_Err="")*(nTP_HT*DD69*BN69*(nTP_OK*DE69*(nTP_UTC_n&gt;=N(DG69))+(1-nTP_OK*DE69)*(nTP_Loc_n&gt;=N(DF69)))*(nTP_OK*BO69*(nTP_UTC_n&lt;=N(BQ69))+(1-nTP_OK*BO69)*(nTP_Loc_n&lt;=N(BP69)))+(1-nTP_HT*DD69*BN69)*(nTP_Hi_n&gt;=N(DH69))*(nTP_Lo_n&lt;=N(BS69)))))</f>
        <v>0</v>
      </c>
      <c r="EQ69" s="22">
        <f>IF(EO69&lt;1,0,IFERROR(_xlfn.AGGREGATE(15,6,nTP_RowN/((nTP_Case_Key=AX69)*(nTP_Record_Type="MILESTONE:INTERVENTION")*(nTP_Err="")*(nTP_HT*DD69*BN69*(nTP_OK*DE69*(nTP_UTC_n&gt;=N(DG69))+(1-nTP_OK*DE69)*(nTP_Loc_n&gt;=N(DF69)))*(nTP_OK*BO69*(nTP_UTC_n&lt;=N(BQ69))+(1-nTP_OK*BO69)*(nTP_Loc_n&lt;=N(BP69)))+(1-nTP_HT*DD69*BN69)*(nTP_Hi_n&gt;=N(DH69))*(nTP_Lo_n&lt;=N(BS69)))),1),0))</f>
        <v>0</v>
      </c>
      <c r="ER69" s="22">
        <f>IF(EO69&lt;2,0,IFERROR(_xlfn.AGGREGATE(15,6,nTP_RowN/((nTP_Case_Key=AX69)*(nTP_Record_Type="MILESTONE:INTERVENTION")*(nTP_Err="")*(nTP_HT*DD69*BN69*(nTP_OK*DE69*(nTP_UTC_n&gt;=N(DG69))+(1-nTP_OK*DE69)*(nTP_Loc_n&gt;=N(DF69)))*(nTP_OK*BO69*(nTP_UTC_n&lt;=N(BQ69))+(1-nTP_OK*BO69)*(nTP_Loc_n&lt;=N(BP69)))+(1-nTP_HT*DD69*BN69)*(nTP_Hi_n&gt;=N(DH69))*(nTP_Lo_n&lt;=N(BS69)))),2),0))</f>
        <v>0</v>
      </c>
      <c r="ES69" s="22">
        <f>IF(EO69&lt;3,0,IFERROR(_xlfn.AGGREGATE(15,6,nTP_RowN/((nTP_Case_Key=AX69)*(nTP_Record_Type="MILESTONE:INTERVENTION")*(nTP_Err="")*(nTP_HT*DD69*BN69*(nTP_OK*DE69*(nTP_UTC_n&gt;=N(DG69))+(1-nTP_OK*DE69)*(nTP_Loc_n&gt;=N(DF69)))*(nTP_OK*BO69*(nTP_UTC_n&lt;=N(BQ69))+(1-nTP_OK*BO69)*(nTP_Loc_n&lt;=N(BP69)))+(1-nTP_HT*DD69*BN69)*(nTP_Hi_n&gt;=N(DH69))*(nTP_Lo_n&lt;=N(BS69)))),3),0))</f>
        <v>0</v>
      </c>
      <c r="ET69" s="22">
        <f>IF(EP69&lt;1,0,IFERROR(_xlfn.AGGREGATE(15,6,nTP_RowN/((nTP_Case_Key=AX69)*(nTP_Role="treatment of the event")*((nTP_Record_Type="EXPOSURE_START")+(nTP_Record_Type="ADMINISTRATION"))*(nTP_Err="")*(nTP_HT*DD69*BN69*(nTP_OK*DE69*(nTP_UTC_n&gt;=N(DG69))+(1-nTP_OK*DE69)*(nTP_Loc_n&gt;=N(DF69)))*(nTP_OK*BO69*(nTP_UTC_n&lt;=N(BQ69))+(1-nTP_OK*BO69)*(nTP_Loc_n&lt;=N(BP69)))+(1-nTP_HT*DD69*BN69)*(nTP_Hi_n&gt;=N(DH69))*(nTP_Lo_n&lt;=N(BS69)))),1),0))</f>
        <v>0</v>
      </c>
      <c r="EU69" s="22">
        <f>IF(EP69&lt;2,0,IFERROR(_xlfn.AGGREGATE(15,6,nTP_RowN/((nTP_Case_Key=AX69)*(nTP_Role="treatment of the event")*((nTP_Record_Type="EXPOSURE_START")+(nTP_Record_Type="ADMINISTRATION"))*(nTP_Err="")*(nTP_HT*DD69*BN69*(nTP_OK*DE69*(nTP_UTC_n&gt;=N(DG69))+(1-nTP_OK*DE69)*(nTP_Loc_n&gt;=N(DF69)))*(nTP_OK*BO69*(nTP_UTC_n&lt;=N(BQ69))+(1-nTP_OK*BO69)*(nTP_Loc_n&lt;=N(BP69)))+(1-nTP_HT*DD69*BN69)*(nTP_Hi_n&gt;=N(DH69))*(nTP_Lo_n&lt;=N(BS69)))),2),0))</f>
        <v>0</v>
      </c>
      <c r="EV69" s="22">
        <f>IF(EP69&lt;3,0,IFERROR(_xlfn.AGGREGATE(15,6,nTP_RowN/((nTP_Case_Key=AX69)*(nTP_Role="treatment of the event")*((nTP_Record_Type="EXPOSURE_START")+(nTP_Record_Type="ADMINISTRATION"))*(nTP_Err="")*(nTP_HT*DD69*BN69*(nTP_OK*DE69*(nTP_UTC_n&gt;=N(DG69))+(1-nTP_OK*DE69)*(nTP_Loc_n&gt;=N(DF69)))*(nTP_OK*BO69*(nTP_UTC_n&lt;=N(BQ69))+(1-nTP_OK*BO69)*(nTP_Loc_n&lt;=N(BP69)))+(1-nTP_HT*DD69*BN69)*(nTP_Hi_n&gt;=N(DH69))*(nTP_Lo_n&lt;=N(BS69)))),3),0))</f>
        <v>0</v>
      </c>
      <c r="EW69" s="22">
        <f>IF(CE69&lt;1,0,IFERROR(_xlfn.AGGREGATE(15,6,nTP_RowN/((nTP_CandKey=BX69)*(nTP_Err="")*(1-nTP_Exact)*((nTP_HT*BN69*((nTP_OK*BO69*(nTP_UTC_n-N(BQ69))+(1-nTP_OK*BO69)*(nTP_Loc_n-N(BP69)))&lt;=0)+(1-nTP_HT*BN69)*(nTP_Hi_n&lt;N(BR69)))+((1-nTP_HT*BN69)*(nTP_Lo_n=nTP_Hi_n)*(nTP_Lo_n=N(BR69))*(N(BR69)=N(BS69))))),1),0))</f>
        <v>0</v>
      </c>
      <c r="EX69" s="22">
        <f>IF(CE69&lt;2,0,IFERROR(_xlfn.AGGREGATE(15,6,nTP_RowN/((nTP_CandKey=BX69)*(nTP_Err="")*(1-nTP_Exact)*((nTP_HT*BN69*((nTP_OK*BO69*(nTP_UTC_n-N(BQ69))+(1-nTP_OK*BO69)*(nTP_Loc_n-N(BP69)))&lt;=0)+(1-nTP_HT*BN69)*(nTP_Hi_n&lt;N(BR69)))+((1-nTP_HT*BN69)*(nTP_Lo_n=nTP_Hi_n)*(nTP_Lo_n=N(BR69))*(N(BR69)=N(BS69))))),2),0))</f>
        <v>0</v>
      </c>
      <c r="EY69" s="22">
        <f>IF(CE69&lt;3,0,IFERROR(_xlfn.AGGREGATE(15,6,nTP_RowN/((nTP_CandKey=BX69)*(nTP_Err="")*(1-nTP_Exact)*((nTP_HT*BN69*((nTP_OK*BO69*(nTP_UTC_n-N(BQ69))+(1-nTP_OK*BO69)*(nTP_Loc_n-N(BP69)))&lt;=0)+(1-nTP_HT*BN69)*(nTP_Hi_n&lt;N(BR69)))+((1-nTP_HT*BN69)*(nTP_Lo_n=nTP_Hi_n)*(nTP_Lo_n=N(BR69))*(N(BR69)=N(BS69))))),3),0))</f>
        <v>0</v>
      </c>
      <c r="EZ69" s="21" t="str">
        <f>IF(EO69=0,"",MID(IF(EQ69&gt;0,"; "&amp;INDEX(nTP_Record_ID,EQ69)&amp;IF(INDEX(nTP_Label,EQ69)="",""," ("&amp;INDEX(nTP_Label,EQ69)&amp;")"),"")&amp;IF(ER69&gt;0,"; "&amp;INDEX(nTP_Record_ID,ER69)&amp;IF(INDEX(nTP_Label,ER69)="",""," ("&amp;INDEX(nTP_Label,ER69)&amp;")"),"")&amp;IF(ES69&gt;0,"; "&amp;INDEX(nTP_Record_ID,ES69)&amp;IF(INDEX(nTP_Label,ES69)="",""," ("&amp;INDEX(nTP_Label,ES69)&amp;")"),"")&amp;IF(EO69&gt;3,"; and "&amp;(EO69-3)&amp;" more",""),3,999))</f>
        <v/>
      </c>
      <c r="FA69" s="21" t="str">
        <f>IF(EO69=0,"",MID(IF(EQ69&gt;0,"; "&amp;INDEX(nTP_Record_ID,EQ69),"")&amp;IF(ER69&gt;0,"; "&amp;INDEX(nTP_Record_ID,ER69),"")&amp;IF(ES69&gt;0,"; "&amp;INDEX(nTP_Record_ID,ES69),"")&amp;IF(EO69&gt;3,"; and "&amp;(EO69-3)&amp;" more",""),3,999))</f>
        <v/>
      </c>
      <c r="FB69" s="21" t="str">
        <f>IF(EP69=0,"",MID(IF(ET69&gt;0,"; "&amp;INDEX(nTP_Record_ID,ET69)&amp;IF(INDEX(nTP_Label,ET69)="",""," ("&amp;INDEX(nTP_Label,ET69)&amp;")"),"")&amp;IF(EU69&gt;0,"; "&amp;INDEX(nTP_Record_ID,EU69)&amp;IF(INDEX(nTP_Label,EU69)="",""," ("&amp;INDEX(nTP_Label,EU69)&amp;")"),"")&amp;IF(EV69&gt;0,"; "&amp;INDEX(nTP_Record_ID,EV69)&amp;IF(INDEX(nTP_Label,EV69)="",""," ("&amp;INDEX(nTP_Label,EV69)&amp;")"),"")&amp;IF(EP69&gt;3,"; and "&amp;(EP69-3)&amp;" more",""),3,999))</f>
        <v/>
      </c>
      <c r="FC69" s="21" t="str">
        <f>IF(CE69=0,"",MID(IF(EW69&gt;0,"; "&amp;INDEX(nTP_Record_ID,EW69),"")&amp;IF(EX69&gt;0,"; "&amp;INDEX(nTP_Record_ID,EX69),"")&amp;IF(EY69&gt;0,"; "&amp;INDEX(nTP_Record_ID,EY69),"")&amp;IF(CE69&gt;3,"; and "&amp;(CE69-3)&amp;" more",""),3,999))</f>
        <v/>
      </c>
      <c r="FD69" s="22">
        <f t="shared" si="118"/>
        <v>0</v>
      </c>
      <c r="FE69" s="22">
        <f t="shared" si="119"/>
        <v>0</v>
      </c>
      <c r="FF69" s="22">
        <f t="shared" si="120"/>
        <v>0</v>
      </c>
      <c r="FG69" s="22">
        <f t="shared" si="121"/>
        <v>0</v>
      </c>
      <c r="FH69" s="22">
        <f t="shared" si="122"/>
        <v>0</v>
      </c>
      <c r="FI69" s="22">
        <f t="shared" si="123"/>
        <v>0</v>
      </c>
      <c r="FJ69" s="22">
        <f t="shared" si="124"/>
        <v>0</v>
      </c>
      <c r="FK69" s="22">
        <f t="shared" si="125"/>
        <v>0</v>
      </c>
    </row>
    <row r="70" spans="1:167" x14ac:dyDescent="0.2">
      <c r="A70" s="9" t="s">
        <v>1137</v>
      </c>
      <c r="B70" s="9" t="s">
        <v>305</v>
      </c>
      <c r="C70" s="11">
        <v>2</v>
      </c>
      <c r="D70" s="9" t="s">
        <v>896</v>
      </c>
      <c r="E70" s="16" t="s">
        <v>55</v>
      </c>
      <c r="F70" s="9" t="s">
        <v>1171</v>
      </c>
      <c r="G70" s="9" t="s">
        <v>1170</v>
      </c>
      <c r="H70" s="9" t="s">
        <v>1165</v>
      </c>
      <c r="I70" s="16" t="s">
        <v>60</v>
      </c>
      <c r="J70" s="16"/>
      <c r="K70" s="9"/>
      <c r="L70" s="16"/>
      <c r="M70" s="16"/>
      <c r="N70" s="16"/>
      <c r="O70" s="9"/>
      <c r="P70" s="14"/>
      <c r="Q70" s="14"/>
      <c r="R70" s="9"/>
      <c r="S70" s="9"/>
      <c r="T70" s="21" t="str">
        <f t="shared" si="63"/>
        <v>251 calendar days</v>
      </c>
      <c r="U70" s="21" t="str">
        <f t="shared" si="64"/>
        <v>251 calendar days</v>
      </c>
      <c r="V70" s="21">
        <f t="shared" si="65"/>
        <v>251</v>
      </c>
      <c r="W70" s="21" t="str">
        <f t="shared" si="66"/>
        <v/>
      </c>
      <c r="X70" s="21" t="str">
        <f t="shared" si="67"/>
        <v/>
      </c>
      <c r="Y70" s="21" t="str">
        <f t="shared" si="68"/>
        <v>calendar days</v>
      </c>
      <c r="Z70" s="21" t="str">
        <f t="shared" si="69"/>
        <v>C2</v>
      </c>
      <c r="AA70" s="21" t="str">
        <f t="shared" si="70"/>
        <v>AFTER</v>
      </c>
      <c r="AB70" s="21" t="str">
        <f t="shared" si="71"/>
        <v/>
      </c>
      <c r="AC70" s="21" t="str">
        <f t="shared" si="72"/>
        <v/>
      </c>
      <c r="AD70" s="21" t="str">
        <f>IF(AW70=1,"",MID(IF(ISNUMBER(SEARCH("E_INVALID_DATE",EG70))," | E_INVALID_DATE: "&amp;SUBSTITUTE(IFERROR(INDEX(nMSG_Text,MATCH("E_INVALID_DATE",nMSG_Code,0)),""),"[input]",""),"")&amp;IF(ISNUMBER(SEARCH("E_REVERSED_BOUNDS",EG70))," | E_REVERSED_BOUNDS: "&amp;SUBSTITUTE(IFERROR(INDEX(nMSG_Text,MATCH("E_REVERSED_BOUNDS",nMSG_Code,0)),""),"[input]",""),"")&amp;IF(ISNUMBER(SEARCH("E_DUPLICATE_ID",EG70))," | E_DUPLICATE_ID: "&amp;SUBSTITUTE(IFERROR(INDEX(nMSG_Text,MATCH("E_DUPLICATE_ID",nMSG_Code,0)),""),"[input]",""),"")&amp;IF(ISNUMBER(SEARCH("E_MISSING_LINK",EG70))," | E_MISSING_LINK: "&amp;SUBSTITUTE(IFERROR(INDEX(nMSG_Text,MATCH("E_MISSING_LINK",nMSG_Code,0)),""),"[input]",""),"")&amp;IF(ISNUMBER(SEARCH("E_MISSING_INPUT",EG70))," | E_MISSING_INPUT: "&amp;SUBSTITUTE(IFERROR(INDEX(nMSG_Text,MATCH("E_MISSING_INPUT",nMSG_Code,0)),""),"[input]",IF(EH70="","an input",EH70)),"")&amp;IF(ISNUMBER(SEARCH("E_INVALID_UNIT",EG70))," | E_INVALID_UNIT: "&amp;SUBSTITUTE(IFERROR(INDEX(nMSG_Text,MATCH("E_INVALID_UNIT",nMSG_Code,0)),""),"[input]",""),"")&amp;IF(FD70=1," | W_TZ_UNKNOWN: "&amp;SUBSTITUTE(IFERROR(INDEX(nMSG_Text,MATCH("W_TZ_UNKNOWN",nMSG_Code,0)),""),"[input]",""),"")&amp;IF(FE70=1," | W_SAME_DATE_ORDER_UNKNOWN: "&amp;SUBSTITUTE(IFERROR(INDEX(nMSG_Text,MATCH("W_SAME_DATE_ORDER_UNKNOWN",nMSG_Code,0)),""),"[input]",""),"")&amp;IF(FF70=1," | W_SEQUENCE_UNCERTAIN: "&amp;SUBSTITUTE(IFERROR(INDEX(nMSG_Text,MATCH("W_SEQUENCE_UNCERTAIN",nMSG_Code,0)),""),"[input]",""),"")&amp;IF(FG70=1," | W_ADMIN_SAME_DATE_AS_ONSET: "&amp;SUBSTITUTE(IFERROR(INDEX(nMSG_Text,MATCH("W_ADMIN_SAME_DATE_AS_ONSET",nMSG_Code,0)),""),"[input]",""),"")&amp;IF(FH70=1," | W_REPORTED_TIMING_CONFLICT: "&amp;SUBSTITUTE(IFERROR(INDEX(nMSG_Text,MATCH("W_REPORTED_TIMING_CONFLICT",nMSG_Code,0)),""),"[input]",""),"")&amp;IF(FI70=1," | W_INTERVENTION_BEFORE_RECOVERY: "&amp;SUBSTITUTE(IFERROR(INDEX(nMSG_Text,MATCH("W_INTERVENTION_BEFORE_RECOVERY",nMSG_Code,0)),""),"[input]",""),"")&amp;IF(FJ70=1," | I_TREATMENT_DAY_UNDEFINED: "&amp;SUBSTITUTE(IFERROR(INDEX(nMSG_Text,MATCH("I_TREATMENT_DAY_UNDEFINED",nMSG_Code,0)),""),"[input]",""),"")&amp;IF(FK70=1," | I_APPROXIMATE_NOT_COMPARED: "&amp;SUBSTITUTE(IFERROR(INDEX(nMSG_Text,MATCH("I_APPROXIMATE_NOT_COMPARED",nMSG_Code,0)),""),"[input]",""),""),4,9999))</f>
        <v/>
      </c>
      <c r="AE70" s="21" t="str">
        <f t="shared" si="73"/>
        <v/>
      </c>
      <c r="AF70" s="21" t="str">
        <f t="shared" si="74"/>
        <v/>
      </c>
      <c r="AG70" s="21" t="str">
        <f>IF(EN70="","",MID(IF(ISNUMBER(SEARCH("E_REVERSED_BOUNDS",EN70))," | E_REVERSED_BOUNDS: "&amp;SUBSTITUTE(IFERROR(INDEX(nMSG_Text,MATCH("E_REVERSED_BOUNDS",nMSG_Code,0)),""),"[input]",""),"")&amp;IF(ISNUMBER(SEARCH("E_MISSING_INPUT",EN70))," | E_MISSING_INPUT: "&amp;SUBSTITUTE(IFERROR(INDEX(nMSG_Text,MATCH("E_MISSING_INPUT",nMSG_Code,0)),""),"[input]",IF("the source of the constraint"="","an input","the source of the constraint")),""),4,999))</f>
        <v/>
      </c>
      <c r="AH70" s="21" t="str">
        <f t="shared" si="75"/>
        <v/>
      </c>
      <c r="AI70" s="21" t="str">
        <f t="shared" si="76"/>
        <v>EX-AVA/STOP → EV-HBV/DETECTION</v>
      </c>
      <c r="AJ70" s="21" t="str">
        <f t="shared" si="77"/>
        <v>EX-AVA/STOP</v>
      </c>
      <c r="AK70" s="21" t="str">
        <f t="shared" si="78"/>
        <v>EV-HBV/DETECTION</v>
      </c>
      <c r="AL70" s="21" t="str">
        <f>IF(CY70=0,"",INDEX(nTP_ISO,CY70))</f>
        <v>2025-09-03</v>
      </c>
      <c r="AM70" s="21" t="str">
        <f>IF(CY70=0,"",INDEX(nTP_Display,CY70))</f>
        <v>3 September 2025</v>
      </c>
      <c r="AN70" s="21" t="str">
        <f>IF(BI70=0,"",INDEX(nTP_ISO,BI70))</f>
        <v>2026-05-12</v>
      </c>
      <c r="AO70" s="21" t="str">
        <f>IF(BI70=0,"",INDEX(nTP_Display,BI70))</f>
        <v>12 May 2026</v>
      </c>
      <c r="AP70" s="21" t="str">
        <f>IF(BA70=0,"",INDEX(nLNK_Exposure_Episode_ID,BA70)&amp;"")</f>
        <v>EX-AVA</v>
      </c>
      <c r="AQ70" s="21" t="str">
        <f>IF(BA70=0,"",INDEX(nLNK_Event_Episode_ID,BA70)&amp;"")</f>
        <v>EV-HBV</v>
      </c>
      <c r="AR70" s="21" t="str">
        <f t="shared" si="79"/>
        <v>Anchor (CONCOMITANT_CHANGE) EX-AVA/STOP: 2025-09-03 [day; case measurement; original: "prophylaxis to 03/09/2025"; source: Hematology summary] | End point EV-HBV/DETECTION: 2026-05-12 [day; case measurement; original: "12/05/2026 HBV DNA 1,850 IU/mL"; source: Hepatology letter]</v>
      </c>
      <c r="AS70" s="21" t="str">
        <f>IF(EI70=0,"",MID(IF(DT70=1," | Recovery interval (C7) computed with "&amp;DS70&amp;".","")&amp;IF(BG70=1," | Anchor selected under C5 (CALC-SPEC 1.1): latest administration with an exact date or time at or before "&amp;IF(BH70=1,"onset","the end point")&amp;" ("&amp;AJ70&amp;"), ordered in UTC when offsets are known; later administrations are never selected.","")&amp;IF(AND(BG70=1,CE70&gt;0)," | Partial-date administrations wholly before the selected one were not candidates: "&amp;FC70&amp;".","")&amp;IF(BV70&lt;&gt;""," | "&amp;BV70,"")&amp;IF(AND(DS70="C2",EA70=0,DZ70&lt;&gt;"")," | Same calendar date; both times are known, so C1 decides the order ("&amp;AA70&amp;").","")&amp;IF(AND(DS70="C2",DD70*BN70=1,DT70=0)," | Calendar-date difference from the recorded local dates; it is never described as elapsed days.","")&amp;IF(AND(DS70="C4",DT70=0)," | Bounds are treated as independent; no single date is imputed from them.","")&amp;IF(EJ70=1," | Treatment day under the inclusive convention (C3); never written to E2B fields automatically.","")&amp;IF(AND(DS70="C4",DT70=0,EK70=0)," | No constraint applied.","")&amp;IF(AND(DS70="C4",EK70=1)," | Constraint applied to the anchor bounds: "&amp;IF(ISNUMBER(P70),"not before "&amp;DAY(P70)&amp;" "&amp;INDEX(nLIST_Months,MONTH(P70))&amp;" "&amp;YEAR(P70),"")&amp;IF(AND(ISNUMBER(P70),ISNUMBER(Q70)),", ","")&amp;IF(ISNUMBER(Q70),"not after "&amp;DAY(Q70)&amp;" "&amp;INDEX(nLIST_Months,MONTH(Q70))&amp;" "&amp;YEAR(Q70),"")&amp;". Source: "&amp;IF(R70="","not recorded",R70)&amp;IF(EN70="",". Constrained result shown beside the unconstrained one.",". Constrained result blocked ("&amp;EN70&amp;")."),"")&amp;IF(DT70=1,IF(EO70&gt;0," | Intervention recorded between cessation and recovery (ends included): "&amp;EZ70&amp;"."," | No intervention is recorded between cessation and recovery; absence of a record is not evidence that none was given."),"")&amp;IF(AND(DT70=1,DV70&gt;0)," | Intervention recorded without a date, so whether it came before recovery is unknown: "&amp;INDEX(nMS_Milestone_ID,MATCH(1,INDEX((nMS_CaseKey=AX70)*(nMS_Type="INTERVENTION")*nMS_Undated,0),0))&amp;IF(DV70&gt;1," and "&amp;(DV70-1)&amp;" more","")&amp;".","")&amp;IF(AND(DT70=1,EP70&gt;0)," | Not counted as interventions, because they are recorded as exposures rather than as intervention milestones (nothing is inferred): "&amp;FB70&amp;". If treatment was given, record it as an intervention milestone.",""),4,9999))</f>
        <v/>
      </c>
      <c r="AT70" s="21" t="str">
        <f t="shared" si="80"/>
        <v>The interval describes the sequence and spacing of recorded times; it is not evidence of causation.</v>
      </c>
      <c r="AU70" s="21" t="str">
        <f t="shared" si="81"/>
        <v/>
      </c>
      <c r="AV70" s="21" t="str">
        <f t="shared" si="82"/>
        <v>CALC-SPEC 1.1</v>
      </c>
      <c r="AW70" s="22">
        <f t="shared" si="83"/>
        <v>0</v>
      </c>
      <c r="AX70" s="21" t="str">
        <f t="shared" si="84"/>
        <v>EX-C28|2</v>
      </c>
      <c r="AY70" s="21" t="str">
        <f t="shared" si="85"/>
        <v>EX-C28|2|I05</v>
      </c>
      <c r="AZ70" s="22">
        <f>IF(AY70="",0,COUNTIF(nINT_Key,AY70))</f>
        <v>1</v>
      </c>
      <c r="BA70" s="22">
        <f>IF(D70="",0,IFERROR(MATCH(AX70&amp;"|"&amp;D70,nLNK_Key,0),0))</f>
        <v>28</v>
      </c>
      <c r="BB70" s="22">
        <f>IF(BA70=0,1,INDEX(nLNK_Exp_Found,BA70))</f>
        <v>1</v>
      </c>
      <c r="BC70" s="22">
        <f>IF(BA70=0,1,INDEX(nLNK_Evt_Found,BA70))</f>
        <v>1</v>
      </c>
      <c r="BD70" s="22">
        <f>IF(AP70="",0,COUNTIF(nEXP_Key,AX70&amp;"|"&amp;AP70))</f>
        <v>1</v>
      </c>
      <c r="BE70" s="22">
        <f>IF(AQ70="",0,COUNTIF(nEVT_Key,AX70&amp;"|"&amp;AQ70))</f>
        <v>1</v>
      </c>
      <c r="BF70" s="22">
        <f>IF(ISNA(MATCH(E70,nLIST_AnchorType,0)),0,1)</f>
        <v>1</v>
      </c>
      <c r="BG70" s="22">
        <f t="shared" si="86"/>
        <v>0</v>
      </c>
      <c r="BH70" s="22">
        <f t="shared" si="87"/>
        <v>0</v>
      </c>
      <c r="BI70" s="22">
        <f>IF(OR(AW70=1,AK70=""),0,IFERROR(MATCH(AX70&amp;"|"&amp;AK70,nTP_Key,0),0))</f>
        <v>358</v>
      </c>
      <c r="BJ70" s="21">
        <f>IF(BI70=0,0,INDEX(nTP_Dup,BI70))</f>
        <v>1</v>
      </c>
      <c r="BK70" s="21" t="str">
        <f>IF(BI70=0,"",INDEX(nTP_Record_Type,BI70))</f>
        <v>EVENT_DETECTION</v>
      </c>
      <c r="BL70" s="21" t="str">
        <f>IF(BI70=0,"",INDEX(nTP_Precision,BI70))</f>
        <v>DATE</v>
      </c>
      <c r="BM70" s="21" t="str">
        <f>IF(BI70=0,"",INDEX(nTP_Err,BI70))</f>
        <v/>
      </c>
      <c r="BN70" s="21">
        <f>IF(BI70=0,0,INDEX(nTP_HT,BI70))</f>
        <v>0</v>
      </c>
      <c r="BO70" s="21">
        <f>IF(BI70=0,0,INDEX(nTP_OK,BI70))</f>
        <v>0</v>
      </c>
      <c r="BP70" s="21" t="str">
        <f>IF(BI70=0,"",INDEX(nTP_Loc,BI70))</f>
        <v/>
      </c>
      <c r="BQ70" s="21" t="str">
        <f>IF(BI70=0,"",INDEX(nTP_UTC,BI70))</f>
        <v/>
      </c>
      <c r="BR70" s="21">
        <f>IF(BI70=0,"",INDEX(nTP_Lo,BI70))</f>
        <v>46154</v>
      </c>
      <c r="BS70" s="21">
        <f>IF(BI70=0,"",INDEX(nTP_Hi,BI70))</f>
        <v>46154</v>
      </c>
      <c r="BT70" s="21" t="str">
        <f>IF(BI70=0,"",INDEX(nTP_Original_Text,BI70))</f>
        <v>12/05/2026 HBV DNA 1,850 IU/mL</v>
      </c>
      <c r="BU70" s="21" t="str">
        <f>IF(BI70=0,"",INDEX(nTP_Source,BI70))</f>
        <v>Hepatology letter</v>
      </c>
      <c r="BV70" s="21" t="str">
        <f>IF(BI70=0,"",INDEX(nTP_Lab_Note,BI70))</f>
        <v/>
      </c>
      <c r="BW70" s="22">
        <f t="shared" si="88"/>
        <v>1</v>
      </c>
      <c r="BX70" s="21" t="str">
        <f t="shared" si="89"/>
        <v>EX-C28|2|EX-AVA</v>
      </c>
      <c r="BY70" s="22">
        <f>IF(BG70=0,0,COUNTIF(nTP_CandKey,BX70))</f>
        <v>0</v>
      </c>
      <c r="BZ70" s="22">
        <f>IF(BG70=0,0,COUNTIFS(nTP_CandKey,BX70,nTP_Err,""))</f>
        <v>0</v>
      </c>
      <c r="CA70" s="21" t="str">
        <f>IF(BY70=BZ70,"",IF(COUNTIFS(nTP_CandKey,BX70,nTP_Err,"E_INVALID_DATE")&gt;0,"; E_INVALID_DATE","")&amp;IF(COUNTIFS(nTP_CandKey,BX70,nTP_Err,"E_REVERSED_BOUNDS")&gt;0,"; E_REVERSED_BOUNDS","")&amp;IF(COUNTIFS(nTP_CandKey,BX70,nTP_Err,"E_MISSING_INPUT")&gt;0,"; E_MISSING_INPUT","")&amp;IF(COUNTIFS(nTP_CandKey,BX70,nTP_Err,"E_INVALID_UNIT")&gt;0,"; E_INVALID_UNIT",""))</f>
        <v/>
      </c>
      <c r="CB70" s="22">
        <f t="shared" si="90"/>
        <v>0</v>
      </c>
      <c r="CC70" s="22">
        <f>IF(CB70=0,0,SUMPRODUCT((nTP_CandKey=BX70)*(nTP_Err="")*(1-(nTP_HT*BN70*((nTP_OK*BO70*(nTP_UTC_n-N(BQ70))+(1-nTP_OK*BO70)*(nTP_Loc_n-N(BP70)))&lt;=0)+(1-nTP_HT*BN70)*(nTP_Hi_n&lt;N(BR70)))-(nTP_HT*BN70*((nTP_OK*BO70*(nTP_UTC_n-N(BQ70))+(1-nTP_OK*BO70)*(nTP_Loc_n-N(BP70)))&gt;0)+(1-nTP_HT*BN70)*(nTP_Lo_n&gt;N(BS70)))-((1-nTP_HT*BN70)*(nTP_Lo_n=nTP_Hi_n)*(nTP_Lo_n=N(BR70))*(N(BR70)=N(BS70))))))</f>
        <v>0</v>
      </c>
      <c r="CD70" s="22">
        <f>IF(CB70=0,0,SUMPRODUCT((nTP_CandKey=BX70)*nTP_Exact*((nTP_HT*BN70*((nTP_OK*BO70*(nTP_UTC_n-N(BQ70))+(1-nTP_OK*BO70)*(nTP_Loc_n-N(BP70)))&lt;=0)+(1-nTP_HT*BN70)*(nTP_Hi_n&lt;N(BR70)))+((1-nTP_HT*BN70)*(nTP_Lo_n=nTP_Hi_n)*(nTP_Lo_n=N(BR70))*(N(BR70)=N(BS70))))))</f>
        <v>0</v>
      </c>
      <c r="CE70" s="22">
        <f>IF(CB70=0,0,SUMPRODUCT((nTP_CandKey=BX70)*(nTP_Err="")*(1-nTP_Exact)*((nTP_HT*BN70*((nTP_OK*BO70*(nTP_UTC_n-N(BQ70))+(1-nTP_OK*BO70)*(nTP_Loc_n-N(BP70)))&lt;=0)+(1-nTP_HT*BN70)*(nTP_Hi_n&lt;N(BR70)))+((1-nTP_HT*BN70)*(nTP_Lo_n=nTP_Hi_n)*(nTP_Lo_n=N(BR70))*(N(BR70)=N(BS70))))))</f>
        <v>0</v>
      </c>
      <c r="CF70" s="22">
        <f>IF(CD70=0,0,SUMPRODUCT(MAX((nTP_CandKey=BX70)*nTP_Exact*((nTP_HT*BN70*((nTP_OK*BO70*(nTP_UTC_n-N(BQ70))+(1-nTP_OK*BO70)*(nTP_Loc_n-N(BP70)))&lt;=0)+(1-nTP_HT*BN70)*(nTP_Hi_n&lt;N(BR70)))+((1-nTP_HT*BN70)*(nTP_Lo_n=nTP_Hi_n)*(nTP_Lo_n=N(BR70))*(N(BR70)=N(BS70))))*nTP_Lo_n)))</f>
        <v>0</v>
      </c>
      <c r="CG70" s="22">
        <f>IF(CD70=0,0,SUMPRODUCT((nTP_CandKey=BX70)*nTP_Exact*((nTP_HT*BN70*((nTP_OK*BO70*(nTP_UTC_n-N(BQ70))+(1-nTP_OK*BO70)*(nTP_Loc_n-N(BP70)))&lt;=0)+(1-nTP_HT*BN70)*(nTP_Hi_n&lt;N(BR70)))+((1-nTP_HT*BN70)*(nTP_Lo_n=nTP_Hi_n)*(nTP_Lo_n=N(BR70))*(N(BR70)=N(BS70))))*(nTP_Lo_n=CF70)))</f>
        <v>0</v>
      </c>
      <c r="CH70" s="22">
        <f>IF(CD70=0,0,SUMPRODUCT((nTP_CandKey=BX70)*nTP_Exact*((nTP_HT*BN70*((nTP_OK*BO70*(nTP_UTC_n-N(BQ70))+(1-nTP_OK*BO70)*(nTP_Loc_n-N(BP70)))&lt;=0)+(1-nTP_HT*BN70)*(nTP_Hi_n&lt;N(BR70)))+((1-nTP_HT*BN70)*(nTP_Lo_n=nTP_Hi_n)*(nTP_Lo_n=N(BR70))*(N(BR70)=N(BS70))))*(1-nTP_HT)*(nTP_Lo_n=CF70)))</f>
        <v>0</v>
      </c>
      <c r="CI70" s="22">
        <f>IF(CD70=0,0,SUMPRODUCT(MAX((nTP_CandKey=BX70)*nTP_Exact*((nTP_HT*BN70*((nTP_OK*BO70*(nTP_UTC_n-N(BQ70))+(1-nTP_OK*BO70)*(nTP_Loc_n-N(BP70)))&lt;=0)+(1-nTP_HT*BN70)*(nTP_Hi_n&lt;N(BR70)))+((1-nTP_HT*BN70)*(nTP_Lo_n=nTP_Hi_n)*(nTP_Lo_n=N(BR70))*(N(BR70)=N(BS70))))*(1-nTP_HT)*nTP_Lo_n)))</f>
        <v>0</v>
      </c>
      <c r="CJ70" s="22">
        <f>IF(CD70=0,0,SUMPRODUCT(MAX((nTP_CandKey=BX70)*nTP_Exact*((nTP_HT*BN70*((nTP_OK*BO70*(nTP_UTC_n-N(BQ70))+(1-nTP_OK*BO70)*(nTP_Loc_n-N(BP70)))&lt;=0)+(1-nTP_HT*BN70)*(nTP_Hi_n&lt;N(BR70)))+((1-nTP_HT*BN70)*(nTP_Lo_n=nTP_Hi_n)*(nTP_Lo_n=N(BR70))*(N(BR70)=N(BS70))))*nTP_HT*nTP_OK*nTP_UTC_n)))</f>
        <v>0</v>
      </c>
      <c r="CK70" s="22">
        <f>IF(CJ70=0,0,SUMPRODUCT((nTP_CandKey=BX70)*nTP_Exact*((nTP_HT*BN70*((nTP_OK*BO70*(nTP_UTC_n-N(BQ70))+(1-nTP_OK*BO70)*(nTP_Loc_n-N(BP70)))&lt;=0)+(1-nTP_HT*BN70)*(nTP_Hi_n&lt;N(BR70)))+((1-nTP_HT*BN70)*(nTP_Lo_n=nTP_Hi_n)*(nTP_Lo_n=N(BR70))*(N(BR70)=N(BS70))))*nTP_HT*nTP_OK*(nTP_UTC_n=CJ70)))</f>
        <v>0</v>
      </c>
      <c r="CL70" s="22">
        <f>IF(CK70&lt;&gt;1,0,SUMPRODUCT((nTP_CandKey=BX70)*nTP_Exact*((nTP_HT*BN70*((nTP_OK*BO70*(nTP_UTC_n-N(BQ70))+(1-nTP_OK*BO70)*(nTP_Loc_n-N(BP70)))&lt;=0)+(1-nTP_HT*BN70)*(nTP_Hi_n&lt;N(BR70)))+((1-nTP_HT*BN70)*(nTP_Lo_n=nTP_Hi_n)*(nTP_Lo_n=N(BR70))*(N(BR70)=N(BS70))))*nTP_HT*nTP_OK*(nTP_UTC_n=CJ70)*nTP_Loc_n))</f>
        <v>0</v>
      </c>
      <c r="CM70" s="22">
        <f>IF(CK70&lt;&gt;1,0,SUMPRODUCT((nTP_CandKey=BX70)*nTP_Exact*((nTP_HT*BN70*((nTP_OK*BO70*(nTP_UTC_n-N(BQ70))+(1-nTP_OK*BO70)*(nTP_Loc_n-N(BP70)))&lt;=0)+(1-nTP_HT*BN70)*(nTP_Hi_n&lt;N(BR70)))+((1-nTP_HT*BN70)*(nTP_Lo_n=nTP_Hi_n)*(nTP_Lo_n=N(BR70))*(N(BR70)=N(BS70))))*nTP_HT*nTP_OK*(nTP_UTC_n=CJ70)*nTP_Lo_n))</f>
        <v>0</v>
      </c>
      <c r="CN70" s="22">
        <f>IF(CD70=0,0,SUMPRODUCT(MAX((nTP_CandKey=BX70)*nTP_Exact*((nTP_HT*BN70*((nTP_OK*BO70*(nTP_UTC_n-N(BQ70))+(1-nTP_OK*BO70)*(nTP_Loc_n-N(BP70)))&lt;=0)+(1-nTP_HT*BN70)*(nTP_Hi_n&lt;N(BR70)))+((1-nTP_HT*BN70)*(nTP_Lo_n=nTP_Hi_n)*(nTP_Lo_n=N(BR70))*(N(BR70)=N(BS70))))*nTP_HT*(1-nTP_OK)*nTP_Loc_n)))</f>
        <v>0</v>
      </c>
      <c r="CO70" s="22">
        <f>IF(CN70=0,0,SUMPRODUCT((nTP_CandKey=BX70)*nTP_Exact*((nTP_HT*BN70*((nTP_OK*BO70*(nTP_UTC_n-N(BQ70))+(1-nTP_OK*BO70)*(nTP_Loc_n-N(BP70)))&lt;=0)+(1-nTP_HT*BN70)*(nTP_Hi_n&lt;N(BR70)))+((1-nTP_HT*BN70)*(nTP_Lo_n=nTP_Hi_n)*(nTP_Lo_n=N(BR70))*(N(BR70)=N(BS70))))*nTP_HT*(1-nTP_OK)*(nTP_Loc_n=CN70)))</f>
        <v>0</v>
      </c>
      <c r="CP70" s="22">
        <f>IF(CO70&lt;&gt;1,0,SUMPRODUCT((nTP_CandKey=BX70)*nTP_Exact*((nTP_HT*BN70*((nTP_OK*BO70*(nTP_UTC_n-N(BQ70))+(1-nTP_OK*BO70)*(nTP_Loc_n-N(BP70)))&lt;=0)+(1-nTP_HT*BN70)*(nTP_Hi_n&lt;N(BR70)))+((1-nTP_HT*BN70)*(nTP_Lo_n=nTP_Hi_n)*(nTP_Lo_n=N(BR70))*(N(BR70)=N(BS70))))*nTP_HT*(1-nTP_OK)*(nTP_Loc_n=CN70)*nTP_Lo_n))</f>
        <v>0</v>
      </c>
      <c r="CQ70" s="22">
        <f>IF(CD70=0,0,SUMPRODUCT(MAX((nTP_CandKey=BX70)*nTP_Exact*((nTP_HT*BN70*((nTP_OK*BO70*(nTP_UTC_n-N(BQ70))+(1-nTP_OK*BO70)*(nTP_Loc_n-N(BP70)))&lt;=0)+(1-nTP_HT*BN70)*(nTP_Hi_n&lt;N(BR70)))+((1-nTP_HT*BN70)*(nTP_Lo_n=nTP_Hi_n)*(nTP_Lo_n=N(BR70))*(N(BR70)=N(BS70))))*nTP_HT*nTP_OK*nTP_Loc_n)))</f>
        <v>0</v>
      </c>
      <c r="CR70" s="22">
        <f t="shared" si="91"/>
        <v>0</v>
      </c>
      <c r="CS70" s="22">
        <f>IF(CR70=0,0,IF(CR70=1,MATCH(1,INDEX((nTP_CandKey=BX70)*nTP_Exact*((nTP_HT*BN70*((nTP_OK*BO70*(nTP_UTC_n-N(BQ70))+(1-nTP_OK*BO70)*(nTP_Loc_n-N(BP70)))&lt;=0)+(1-nTP_HT*BN70)*(nTP_Hi_n&lt;N(BR70)))+((1-nTP_HT*BN70)*(nTP_Lo_n=nTP_Hi_n)*(nTP_Lo_n=N(BR70))*(N(BR70)=N(BS70))))*(1-nTP_HT)*(nTP_Lo_n=CF70),0),0),IF(CR70=2,MATCH(1,INDEX((nTP_CandKey=BX70)*nTP_Exact*((nTP_HT*BN70*((nTP_OK*BO70*(nTP_UTC_n-N(BQ70))+(1-nTP_OK*BO70)*(nTP_Loc_n-N(BP70)))&lt;=0)+(1-nTP_HT*BN70)*(nTP_Hi_n&lt;N(BR70)))+((1-nTP_HT*BN70)*(nTP_Lo_n=nTP_Hi_n)*(nTP_Lo_n=N(BR70))*(N(BR70)=N(BS70))))*nTP_HT*nTP_OK*(nTP_UTC_n=CJ70),0),0),MATCH(1,INDEX((nTP_CandKey=BX70)*nTP_Exact*((nTP_HT*BN70*((nTP_OK*BO70*(nTP_UTC_n-N(BQ70))+(1-nTP_OK*BO70)*(nTP_Loc_n-N(BP70)))&lt;=0)+(1-nTP_HT*BN70)*(nTP_Hi_n&lt;N(BR70)))+((1-nTP_HT*BN70)*(nTP_Lo_n=nTP_Hi_n)*(nTP_Lo_n=N(BR70))*(N(BR70)=N(BS70))))*nTP_HT*(1-nTP_OK)*(nTP_Loc_n=CN70),0),0))))</f>
        <v>0</v>
      </c>
      <c r="CT70" s="22">
        <f>IF(CS70=0,0,INDEX(nTP_Lo_n,CS70))</f>
        <v>0</v>
      </c>
      <c r="CU70" s="22">
        <f>IF(CS70=0,0,SUMPRODUCT((nTP_CandKey=BX70)*(nTP_Err="")*(1-nTP_Exact)*((nTP_HT*BN70*((nTP_OK*BO70*(nTP_UTC_n-N(BQ70))+(1-nTP_OK*BO70)*(nTP_Loc_n-N(BP70)))&lt;=0)+(1-nTP_HT*BN70)*(nTP_Hi_n&lt;N(BR70)))+((1-nTP_HT*BN70)*(nTP_Lo_n=nTP_Hi_n)*(nTP_Lo_n=N(BR70))*(N(BR70)=N(BS70))))*(nTP_Hi_n&gt;=CT70)))</f>
        <v>0</v>
      </c>
      <c r="CV70" s="21" t="str">
        <f t="shared" si="92"/>
        <v/>
      </c>
      <c r="CW70" s="21" t="str">
        <f>IF(AND(BG70=1,CB70=1,CV70="",CS70&gt;0),INDEX(nTP_Record_ID,CS70)&amp;"","")</f>
        <v/>
      </c>
      <c r="CX70" s="21" t="str">
        <f>IF(OR(CV70="",BG70=0),"",IF(CV70="none","an administration record (last dose before onset)",IF(CV70="uncertain","the anchor record: "&amp;INDEX(nTP_Record_ID,MATCH(1,INDEX((nTP_CandKey=BX70)*(nTP_Err="")*(1-(nTP_HT*BN70*((nTP_OK*BO70*(nTP_UTC_n-N(BQ70))+(1-nTP_OK*BO70)*(nTP_Loc_n-N(BP70)))&lt;=0)+(1-nTP_HT*BN70)*(nTP_Hi_n&lt;N(BR70)))-(nTP_HT*BN70*((nTP_OK*BO70*(nTP_UTC_n-N(BQ70))+(1-nTP_OK*BO70)*(nTP_Loc_n-N(BP70)))&gt;0)+(1-nTP_HT*BN70)*(nTP_Lo_n&gt;N(BS70)))-((1-nTP_HT*BN70)*(nTP_Lo_n=nTP_Hi_n)*(nTP_Lo_n=N(BR70))*(N(BR70)=N(BS70)))),0),0))&amp;IF(CC70&gt;1," and "&amp;(CC70-1)&amp;" more","")&amp;" may fall before or after the end point, so the last dose cannot be identified from the recorded dates",IF(CV70="noneligible","the anchor record: no administration with an exact date is recorded at or before the end point",IF(CV70="tie","the anchor record: the order of the latest administrations cannot be told from the recorded dates and times","the anchor record: partial-date administration "&amp;INDEX(nTP_Record_ID,MATCH(1,INDEX((nTP_CandKey=BX70)*(nTP_Err="")*(1-nTP_Exact)*((nTP_HT*BN70*((nTP_OK*BO70*(nTP_UTC_n-N(BQ70))+(1-nTP_OK*BO70)*(nTP_Loc_n-N(BP70)))&lt;=0)+(1-nTP_HT*BN70)*(nTP_Hi_n&lt;N(BR70)))+((1-nTP_HT*BN70)*(nTP_Lo_n=nTP_Hi_n)*(nTP_Lo_n=N(BR70))*(N(BR70)=N(BS70))))*(nTP_Hi_n&gt;=CT70),0),0))&amp;" could be the last dose before the end point")))))</f>
        <v/>
      </c>
      <c r="CY70" s="22">
        <f>IF(OR(AW70=1,AJ70=""),0,IFERROR(MATCH(AX70&amp;"|"&amp;AJ70,nTP_Key,0),0))</f>
        <v>112</v>
      </c>
      <c r="CZ70" s="21">
        <f>IF(CY70=0,0,INDEX(nTP_Dup,CY70))</f>
        <v>1</v>
      </c>
      <c r="DA70" s="21" t="str">
        <f>IF(CY70=0,"",INDEX(nTP_Record_Type,CY70))</f>
        <v>EXPOSURE_STOP</v>
      </c>
      <c r="DB70" s="21" t="str">
        <f>IF(CY70=0,"",INDEX(nTP_Precision,CY70))</f>
        <v>DATE</v>
      </c>
      <c r="DC70" s="21" t="str">
        <f>IF(CY70=0,"",INDEX(nTP_Err,CY70))</f>
        <v/>
      </c>
      <c r="DD70" s="21">
        <f>IF(CY70=0,0,INDEX(nTP_HT,CY70))</f>
        <v>0</v>
      </c>
      <c r="DE70" s="21">
        <f>IF(CY70=0,0,INDEX(nTP_OK,CY70))</f>
        <v>0</v>
      </c>
      <c r="DF70" s="21" t="str">
        <f>IF(CY70=0,"",INDEX(nTP_Loc,CY70))</f>
        <v/>
      </c>
      <c r="DG70" s="21" t="str">
        <f>IF(CY70=0,"",INDEX(nTP_UTC,CY70))</f>
        <v/>
      </c>
      <c r="DH70" s="21">
        <f>IF(CY70=0,"",INDEX(nTP_Lo,CY70))</f>
        <v>45903</v>
      </c>
      <c r="DI70" s="21">
        <f>IF(CY70=0,"",INDEX(nTP_Hi,CY70))</f>
        <v>45903</v>
      </c>
      <c r="DJ70" s="21" t="str">
        <f>IF(CY70=0,"",INDEX(nTP_Original_Text,CY70))</f>
        <v>prophylaxis to 03/09/2025</v>
      </c>
      <c r="DK70" s="21" t="str">
        <f>IF(CY70=0,"",INDEX(nTP_Source,CY70))</f>
        <v>Hematology summary</v>
      </c>
      <c r="DL70" s="22">
        <f t="shared" si="93"/>
        <v>1</v>
      </c>
      <c r="DM70" s="21" t="str">
        <f t="shared" si="94"/>
        <v/>
      </c>
      <c r="DN70" s="21" t="str">
        <f t="shared" si="95"/>
        <v/>
      </c>
      <c r="DO70" s="21" t="str">
        <f t="shared" si="96"/>
        <v/>
      </c>
      <c r="DP70" s="21" t="str">
        <f t="shared" si="97"/>
        <v/>
      </c>
      <c r="DQ70" s="21" t="str">
        <f t="shared" si="98"/>
        <v>C2</v>
      </c>
      <c r="DR70" s="22">
        <f>IF(OR(DQ70="",I70=""),0,IF(ISNA(MATCH(I70,nLIST_Mode,0)),1,IF(AND(I70="C1",DQ70&lt;&gt;"C1"),1,IF(AND(I70="C2",DQ70="C4"),1,0))))</f>
        <v>0</v>
      </c>
      <c r="DS70" s="21" t="str">
        <f t="shared" si="99"/>
        <v>C2</v>
      </c>
      <c r="DT70" s="22">
        <f t="shared" si="100"/>
        <v>0</v>
      </c>
      <c r="DU70" s="21" t="str">
        <f>IF(DT70=0,"",IF(COUNTIFS(nTP_Case_Key,AX70,nTP_Record_Type,"MILESTONE:INTERVENTION",nTP_Err,"E_INVALID_DATE")&gt;0,"; E_INVALID_DATE","")&amp;IF(COUNTIFS(nTP_Case_Key,AX70,nTP_Record_Type,"MILESTONE:INTERVENTION",nTP_Err,"E_REVERSED_BOUNDS")&gt;0,"; E_REVERSED_BOUNDS","")&amp;IF(COUNTIFS(nTP_Case_Key,AX70,nTP_Record_Type,"MILESTONE:INTERVENTION",nTP_Err,"E_MISSING_INPUT")&gt;0,"; E_MISSING_INPUT","")&amp;IF(COUNTIFS(nTP_Case_Key,AX70,nTP_Record_Type,"MILESTONE:INTERVENTION",nTP_Err,"E_INVALID_UNIT")&gt;0,"; E_INVALID_UNIT",""))</f>
        <v/>
      </c>
      <c r="DV70" s="22">
        <f>IF(DT70=0,0,SUMPRODUCT((nMS_CaseKey=AX70)*(nMS_Type="INTERVENTION")*nMS_Undated))</f>
        <v>0</v>
      </c>
      <c r="DW70" s="21" t="str">
        <f t="shared" si="101"/>
        <v/>
      </c>
      <c r="DX70" s="21" t="str">
        <f t="shared" si="102"/>
        <v/>
      </c>
      <c r="DY70" s="22">
        <f t="shared" si="103"/>
        <v>1</v>
      </c>
      <c r="DZ70" s="21" t="str">
        <f t="shared" si="104"/>
        <v/>
      </c>
      <c r="EA70" s="21">
        <f t="shared" si="105"/>
        <v>251</v>
      </c>
      <c r="EB70" s="21" t="str">
        <f t="shared" si="106"/>
        <v/>
      </c>
      <c r="EC70" s="21" t="str">
        <f t="shared" si="107"/>
        <v/>
      </c>
      <c r="ED70" s="22">
        <f t="shared" si="108"/>
        <v>0</v>
      </c>
      <c r="EE70" s="22">
        <f t="shared" si="109"/>
        <v>0</v>
      </c>
      <c r="EF70" s="21" t="str">
        <f>IF(ED70=0,"",IF(OR(NOT(ISNUMBER(L70)),NOT(ISNUMBER(M70))),"I_APPROXIMATE_NOT_COMPARED",IF(AND(N70&lt;&gt;"",ISNA(MATCH(N70,nLIST_ReportedUnit,0))),"E_INVALID_UNIT",IF(N70="","E_MISSING_INPUT",IF(L70&gt;M70,"E_REVERSED_BOUNDS",IF(OR(N70="weeks",N70="months",N70="years"),"I_APPROXIMATE_NOT_COMPARED",IF(DX70&lt;&gt;"","",IF(EE70=0,"I_APPROXIMATE_NOT_COMPARED",IF(AND(L70*EE70&lt;=IF(DS70="C4",EC70,IF(DS70="C1",DZ70,EA70)),M70*EE70&gt;=IF(DS70="C4",EB70,IF(DS70="C1",DZ70,EA70))),"OVERLAP","W_REPORTED_TIMING_CONFLICT")))))))))</f>
        <v/>
      </c>
      <c r="EG70" s="21" t="str">
        <f t="shared" si="110"/>
        <v/>
      </c>
      <c r="EH70" s="21" t="str">
        <f t="shared" si="111"/>
        <v/>
      </c>
      <c r="EI70" s="22">
        <f t="shared" si="112"/>
        <v>1</v>
      </c>
      <c r="EJ70" s="22">
        <f t="shared" si="113"/>
        <v>0</v>
      </c>
      <c r="EK70" s="22">
        <f t="shared" si="114"/>
        <v>0</v>
      </c>
      <c r="EL70" s="28" t="str">
        <f t="shared" si="115"/>
        <v/>
      </c>
      <c r="EM70" s="28" t="str">
        <f t="shared" si="116"/>
        <v/>
      </c>
      <c r="EN70" s="21" t="str">
        <f t="shared" si="117"/>
        <v/>
      </c>
      <c r="EO70" s="22">
        <f>IF(OR(DT70=0,DX70&lt;&gt;""),0,SUMPRODUCT((nTP_Case_Key=AX70)*(nTP_Record_Type="MILESTONE:INTERVENTION")*(nTP_Err="")*(nTP_HT*DD70*BN70*(nTP_OK*DE70*(nTP_UTC_n&gt;=N(DG70))+(1-nTP_OK*DE70)*(nTP_Loc_n&gt;=N(DF70)))*(nTP_OK*BO70*(nTP_UTC_n&lt;=N(BQ70))+(1-nTP_OK*BO70)*(nTP_Loc_n&lt;=N(BP70)))+(1-nTP_HT*DD70*BN70)*(nTP_Hi_n&gt;=N(DH70))*(nTP_Lo_n&lt;=N(BS70)))))</f>
        <v>0</v>
      </c>
      <c r="EP70" s="22">
        <f>IF(OR(DT70=0,DX70&lt;&gt;""),0,SUMPRODUCT((nTP_Case_Key=AX70)*(nTP_Role="treatment of the event")*((nTP_Record_Type="EXPOSURE_START")+(nTP_Record_Type="ADMINISTRATION"))*(nTP_Err="")*(nTP_HT*DD70*BN70*(nTP_OK*DE70*(nTP_UTC_n&gt;=N(DG70))+(1-nTP_OK*DE70)*(nTP_Loc_n&gt;=N(DF70)))*(nTP_OK*BO70*(nTP_UTC_n&lt;=N(BQ70))+(1-nTP_OK*BO70)*(nTP_Loc_n&lt;=N(BP70)))+(1-nTP_HT*DD70*BN70)*(nTP_Hi_n&gt;=N(DH70))*(nTP_Lo_n&lt;=N(BS70)))))</f>
        <v>0</v>
      </c>
      <c r="EQ70" s="22">
        <f>IF(EO70&lt;1,0,IFERROR(_xlfn.AGGREGATE(15,6,nTP_RowN/((nTP_Case_Key=AX70)*(nTP_Record_Type="MILESTONE:INTERVENTION")*(nTP_Err="")*(nTP_HT*DD70*BN70*(nTP_OK*DE70*(nTP_UTC_n&gt;=N(DG70))+(1-nTP_OK*DE70)*(nTP_Loc_n&gt;=N(DF70)))*(nTP_OK*BO70*(nTP_UTC_n&lt;=N(BQ70))+(1-nTP_OK*BO70)*(nTP_Loc_n&lt;=N(BP70)))+(1-nTP_HT*DD70*BN70)*(nTP_Hi_n&gt;=N(DH70))*(nTP_Lo_n&lt;=N(BS70)))),1),0))</f>
        <v>0</v>
      </c>
      <c r="ER70" s="22">
        <f>IF(EO70&lt;2,0,IFERROR(_xlfn.AGGREGATE(15,6,nTP_RowN/((nTP_Case_Key=AX70)*(nTP_Record_Type="MILESTONE:INTERVENTION")*(nTP_Err="")*(nTP_HT*DD70*BN70*(nTP_OK*DE70*(nTP_UTC_n&gt;=N(DG70))+(1-nTP_OK*DE70)*(nTP_Loc_n&gt;=N(DF70)))*(nTP_OK*BO70*(nTP_UTC_n&lt;=N(BQ70))+(1-nTP_OK*BO70)*(nTP_Loc_n&lt;=N(BP70)))+(1-nTP_HT*DD70*BN70)*(nTP_Hi_n&gt;=N(DH70))*(nTP_Lo_n&lt;=N(BS70)))),2),0))</f>
        <v>0</v>
      </c>
      <c r="ES70" s="22">
        <f>IF(EO70&lt;3,0,IFERROR(_xlfn.AGGREGATE(15,6,nTP_RowN/((nTP_Case_Key=AX70)*(nTP_Record_Type="MILESTONE:INTERVENTION")*(nTP_Err="")*(nTP_HT*DD70*BN70*(nTP_OK*DE70*(nTP_UTC_n&gt;=N(DG70))+(1-nTP_OK*DE70)*(nTP_Loc_n&gt;=N(DF70)))*(nTP_OK*BO70*(nTP_UTC_n&lt;=N(BQ70))+(1-nTP_OK*BO70)*(nTP_Loc_n&lt;=N(BP70)))+(1-nTP_HT*DD70*BN70)*(nTP_Hi_n&gt;=N(DH70))*(nTP_Lo_n&lt;=N(BS70)))),3),0))</f>
        <v>0</v>
      </c>
      <c r="ET70" s="22">
        <f>IF(EP70&lt;1,0,IFERROR(_xlfn.AGGREGATE(15,6,nTP_RowN/((nTP_Case_Key=AX70)*(nTP_Role="treatment of the event")*((nTP_Record_Type="EXPOSURE_START")+(nTP_Record_Type="ADMINISTRATION"))*(nTP_Err="")*(nTP_HT*DD70*BN70*(nTP_OK*DE70*(nTP_UTC_n&gt;=N(DG70))+(1-nTP_OK*DE70)*(nTP_Loc_n&gt;=N(DF70)))*(nTP_OK*BO70*(nTP_UTC_n&lt;=N(BQ70))+(1-nTP_OK*BO70)*(nTP_Loc_n&lt;=N(BP70)))+(1-nTP_HT*DD70*BN70)*(nTP_Hi_n&gt;=N(DH70))*(nTP_Lo_n&lt;=N(BS70)))),1),0))</f>
        <v>0</v>
      </c>
      <c r="EU70" s="22">
        <f>IF(EP70&lt;2,0,IFERROR(_xlfn.AGGREGATE(15,6,nTP_RowN/((nTP_Case_Key=AX70)*(nTP_Role="treatment of the event")*((nTP_Record_Type="EXPOSURE_START")+(nTP_Record_Type="ADMINISTRATION"))*(nTP_Err="")*(nTP_HT*DD70*BN70*(nTP_OK*DE70*(nTP_UTC_n&gt;=N(DG70))+(1-nTP_OK*DE70)*(nTP_Loc_n&gt;=N(DF70)))*(nTP_OK*BO70*(nTP_UTC_n&lt;=N(BQ70))+(1-nTP_OK*BO70)*(nTP_Loc_n&lt;=N(BP70)))+(1-nTP_HT*DD70*BN70)*(nTP_Hi_n&gt;=N(DH70))*(nTP_Lo_n&lt;=N(BS70)))),2),0))</f>
        <v>0</v>
      </c>
      <c r="EV70" s="22">
        <f>IF(EP70&lt;3,0,IFERROR(_xlfn.AGGREGATE(15,6,nTP_RowN/((nTP_Case_Key=AX70)*(nTP_Role="treatment of the event")*((nTP_Record_Type="EXPOSURE_START")+(nTP_Record_Type="ADMINISTRATION"))*(nTP_Err="")*(nTP_HT*DD70*BN70*(nTP_OK*DE70*(nTP_UTC_n&gt;=N(DG70))+(1-nTP_OK*DE70)*(nTP_Loc_n&gt;=N(DF70)))*(nTP_OK*BO70*(nTP_UTC_n&lt;=N(BQ70))+(1-nTP_OK*BO70)*(nTP_Loc_n&lt;=N(BP70)))+(1-nTP_HT*DD70*BN70)*(nTP_Hi_n&gt;=N(DH70))*(nTP_Lo_n&lt;=N(BS70)))),3),0))</f>
        <v>0</v>
      </c>
      <c r="EW70" s="22">
        <f>IF(CE70&lt;1,0,IFERROR(_xlfn.AGGREGATE(15,6,nTP_RowN/((nTP_CandKey=BX70)*(nTP_Err="")*(1-nTP_Exact)*((nTP_HT*BN70*((nTP_OK*BO70*(nTP_UTC_n-N(BQ70))+(1-nTP_OK*BO70)*(nTP_Loc_n-N(BP70)))&lt;=0)+(1-nTP_HT*BN70)*(nTP_Hi_n&lt;N(BR70)))+((1-nTP_HT*BN70)*(nTP_Lo_n=nTP_Hi_n)*(nTP_Lo_n=N(BR70))*(N(BR70)=N(BS70))))),1),0))</f>
        <v>0</v>
      </c>
      <c r="EX70" s="22">
        <f>IF(CE70&lt;2,0,IFERROR(_xlfn.AGGREGATE(15,6,nTP_RowN/((nTP_CandKey=BX70)*(nTP_Err="")*(1-nTP_Exact)*((nTP_HT*BN70*((nTP_OK*BO70*(nTP_UTC_n-N(BQ70))+(1-nTP_OK*BO70)*(nTP_Loc_n-N(BP70)))&lt;=0)+(1-nTP_HT*BN70)*(nTP_Hi_n&lt;N(BR70)))+((1-nTP_HT*BN70)*(nTP_Lo_n=nTP_Hi_n)*(nTP_Lo_n=N(BR70))*(N(BR70)=N(BS70))))),2),0))</f>
        <v>0</v>
      </c>
      <c r="EY70" s="22">
        <f>IF(CE70&lt;3,0,IFERROR(_xlfn.AGGREGATE(15,6,nTP_RowN/((nTP_CandKey=BX70)*(nTP_Err="")*(1-nTP_Exact)*((nTP_HT*BN70*((nTP_OK*BO70*(nTP_UTC_n-N(BQ70))+(1-nTP_OK*BO70)*(nTP_Loc_n-N(BP70)))&lt;=0)+(1-nTP_HT*BN70)*(nTP_Hi_n&lt;N(BR70)))+((1-nTP_HT*BN70)*(nTP_Lo_n=nTP_Hi_n)*(nTP_Lo_n=N(BR70))*(N(BR70)=N(BS70))))),3),0))</f>
        <v>0</v>
      </c>
      <c r="EZ70" s="21" t="str">
        <f>IF(EO70=0,"",MID(IF(EQ70&gt;0,"; "&amp;INDEX(nTP_Record_ID,EQ70)&amp;IF(INDEX(nTP_Label,EQ70)="",""," ("&amp;INDEX(nTP_Label,EQ70)&amp;")"),"")&amp;IF(ER70&gt;0,"; "&amp;INDEX(nTP_Record_ID,ER70)&amp;IF(INDEX(nTP_Label,ER70)="",""," ("&amp;INDEX(nTP_Label,ER70)&amp;")"),"")&amp;IF(ES70&gt;0,"; "&amp;INDEX(nTP_Record_ID,ES70)&amp;IF(INDEX(nTP_Label,ES70)="",""," ("&amp;INDEX(nTP_Label,ES70)&amp;")"),"")&amp;IF(EO70&gt;3,"; and "&amp;(EO70-3)&amp;" more",""),3,999))</f>
        <v/>
      </c>
      <c r="FA70" s="21" t="str">
        <f>IF(EO70=0,"",MID(IF(EQ70&gt;0,"; "&amp;INDEX(nTP_Record_ID,EQ70),"")&amp;IF(ER70&gt;0,"; "&amp;INDEX(nTP_Record_ID,ER70),"")&amp;IF(ES70&gt;0,"; "&amp;INDEX(nTP_Record_ID,ES70),"")&amp;IF(EO70&gt;3,"; and "&amp;(EO70-3)&amp;" more",""),3,999))</f>
        <v/>
      </c>
      <c r="FB70" s="21" t="str">
        <f>IF(EP70=0,"",MID(IF(ET70&gt;0,"; "&amp;INDEX(nTP_Record_ID,ET70)&amp;IF(INDEX(nTP_Label,ET70)="",""," ("&amp;INDEX(nTP_Label,ET70)&amp;")"),"")&amp;IF(EU70&gt;0,"; "&amp;INDEX(nTP_Record_ID,EU70)&amp;IF(INDEX(nTP_Label,EU70)="",""," ("&amp;INDEX(nTP_Label,EU70)&amp;")"),"")&amp;IF(EV70&gt;0,"; "&amp;INDEX(nTP_Record_ID,EV70)&amp;IF(INDEX(nTP_Label,EV70)="",""," ("&amp;INDEX(nTP_Label,EV70)&amp;")"),"")&amp;IF(EP70&gt;3,"; and "&amp;(EP70-3)&amp;" more",""),3,999))</f>
        <v/>
      </c>
      <c r="FC70" s="21" t="str">
        <f>IF(CE70=0,"",MID(IF(EW70&gt;0,"; "&amp;INDEX(nTP_Record_ID,EW70),"")&amp;IF(EX70&gt;0,"; "&amp;INDEX(nTP_Record_ID,EX70),"")&amp;IF(EY70&gt;0,"; "&amp;INDEX(nTP_Record_ID,EY70),"")&amp;IF(CE70&gt;3,"; and "&amp;(CE70-3)&amp;" more",""),3,999))</f>
        <v/>
      </c>
      <c r="FD70" s="22">
        <f t="shared" si="118"/>
        <v>0</v>
      </c>
      <c r="FE70" s="22">
        <f t="shared" si="119"/>
        <v>0</v>
      </c>
      <c r="FF70" s="22">
        <f t="shared" si="120"/>
        <v>0</v>
      </c>
      <c r="FG70" s="22">
        <f t="shared" si="121"/>
        <v>0</v>
      </c>
      <c r="FH70" s="22">
        <f t="shared" si="122"/>
        <v>0</v>
      </c>
      <c r="FI70" s="22">
        <f t="shared" si="123"/>
        <v>0</v>
      </c>
      <c r="FJ70" s="22">
        <f t="shared" si="124"/>
        <v>0</v>
      </c>
      <c r="FK70" s="22">
        <f t="shared" si="125"/>
        <v>0</v>
      </c>
    </row>
    <row r="71" spans="1:167" x14ac:dyDescent="0.2">
      <c r="A71" s="9" t="s">
        <v>1140</v>
      </c>
      <c r="B71" s="9" t="s">
        <v>305</v>
      </c>
      <c r="C71" s="11">
        <v>2</v>
      </c>
      <c r="D71" s="9" t="s">
        <v>896</v>
      </c>
      <c r="E71" s="16" t="s">
        <v>55</v>
      </c>
      <c r="F71" s="9" t="s">
        <v>1171</v>
      </c>
      <c r="G71" s="9" t="s">
        <v>1170</v>
      </c>
      <c r="H71" s="9" t="s">
        <v>1168</v>
      </c>
      <c r="I71" s="16" t="s">
        <v>61</v>
      </c>
      <c r="J71" s="16"/>
      <c r="K71" s="9"/>
      <c r="L71" s="16"/>
      <c r="M71" s="16"/>
      <c r="N71" s="16"/>
      <c r="O71" s="9"/>
      <c r="P71" s="14"/>
      <c r="Q71" s="14"/>
      <c r="R71" s="9"/>
      <c r="S71" s="9"/>
      <c r="T71" s="21" t="str">
        <f t="shared" si="63"/>
        <v>159 to 251 calendar days</v>
      </c>
      <c r="U71" s="21" t="str">
        <f t="shared" si="64"/>
        <v>159 to 251 calendar days</v>
      </c>
      <c r="V71" s="21" t="str">
        <f t="shared" si="65"/>
        <v/>
      </c>
      <c r="W71" s="21">
        <f t="shared" si="66"/>
        <v>159</v>
      </c>
      <c r="X71" s="21">
        <f t="shared" si="67"/>
        <v>251</v>
      </c>
      <c r="Y71" s="21" t="str">
        <f t="shared" si="68"/>
        <v>calendar days</v>
      </c>
      <c r="Z71" s="21" t="str">
        <f t="shared" si="69"/>
        <v>C4</v>
      </c>
      <c r="AA71" s="21" t="str">
        <f t="shared" si="70"/>
        <v>AFTER</v>
      </c>
      <c r="AB71" s="21" t="str">
        <f t="shared" si="71"/>
        <v/>
      </c>
      <c r="AC71" s="21" t="str">
        <f t="shared" si="72"/>
        <v/>
      </c>
      <c r="AD71" s="21" t="str">
        <f>IF(AW71=1,"",MID(IF(ISNUMBER(SEARCH("E_INVALID_DATE",EG71))," | E_INVALID_DATE: "&amp;SUBSTITUTE(IFERROR(INDEX(nMSG_Text,MATCH("E_INVALID_DATE",nMSG_Code,0)),""),"[input]",""),"")&amp;IF(ISNUMBER(SEARCH("E_REVERSED_BOUNDS",EG71))," | E_REVERSED_BOUNDS: "&amp;SUBSTITUTE(IFERROR(INDEX(nMSG_Text,MATCH("E_REVERSED_BOUNDS",nMSG_Code,0)),""),"[input]",""),"")&amp;IF(ISNUMBER(SEARCH("E_DUPLICATE_ID",EG71))," | E_DUPLICATE_ID: "&amp;SUBSTITUTE(IFERROR(INDEX(nMSG_Text,MATCH("E_DUPLICATE_ID",nMSG_Code,0)),""),"[input]",""),"")&amp;IF(ISNUMBER(SEARCH("E_MISSING_LINK",EG71))," | E_MISSING_LINK: "&amp;SUBSTITUTE(IFERROR(INDEX(nMSG_Text,MATCH("E_MISSING_LINK",nMSG_Code,0)),""),"[input]",""),"")&amp;IF(ISNUMBER(SEARCH("E_MISSING_INPUT",EG71))," | E_MISSING_INPUT: "&amp;SUBSTITUTE(IFERROR(INDEX(nMSG_Text,MATCH("E_MISSING_INPUT",nMSG_Code,0)),""),"[input]",IF(EH71="","an input",EH71)),"")&amp;IF(ISNUMBER(SEARCH("E_INVALID_UNIT",EG71))," | E_INVALID_UNIT: "&amp;SUBSTITUTE(IFERROR(INDEX(nMSG_Text,MATCH("E_INVALID_UNIT",nMSG_Code,0)),""),"[input]",""),"")&amp;IF(FD71=1," | W_TZ_UNKNOWN: "&amp;SUBSTITUTE(IFERROR(INDEX(nMSG_Text,MATCH("W_TZ_UNKNOWN",nMSG_Code,0)),""),"[input]",""),"")&amp;IF(FE71=1," | W_SAME_DATE_ORDER_UNKNOWN: "&amp;SUBSTITUTE(IFERROR(INDEX(nMSG_Text,MATCH("W_SAME_DATE_ORDER_UNKNOWN",nMSG_Code,0)),""),"[input]",""),"")&amp;IF(FF71=1," | W_SEQUENCE_UNCERTAIN: "&amp;SUBSTITUTE(IFERROR(INDEX(nMSG_Text,MATCH("W_SEQUENCE_UNCERTAIN",nMSG_Code,0)),""),"[input]",""),"")&amp;IF(FG71=1," | W_ADMIN_SAME_DATE_AS_ONSET: "&amp;SUBSTITUTE(IFERROR(INDEX(nMSG_Text,MATCH("W_ADMIN_SAME_DATE_AS_ONSET",nMSG_Code,0)),""),"[input]",""),"")&amp;IF(FH71=1," | W_REPORTED_TIMING_CONFLICT: "&amp;SUBSTITUTE(IFERROR(INDEX(nMSG_Text,MATCH("W_REPORTED_TIMING_CONFLICT",nMSG_Code,0)),""),"[input]",""),"")&amp;IF(FI71=1," | W_INTERVENTION_BEFORE_RECOVERY: "&amp;SUBSTITUTE(IFERROR(INDEX(nMSG_Text,MATCH("W_INTERVENTION_BEFORE_RECOVERY",nMSG_Code,0)),""),"[input]",""),"")&amp;IF(FJ71=1," | I_TREATMENT_DAY_UNDEFINED: "&amp;SUBSTITUTE(IFERROR(INDEX(nMSG_Text,MATCH("I_TREATMENT_DAY_UNDEFINED",nMSG_Code,0)),""),"[input]",""),"")&amp;IF(FK71=1," | I_APPROXIMATE_NOT_COMPARED: "&amp;SUBSTITUTE(IFERROR(INDEX(nMSG_Text,MATCH("I_APPROXIMATE_NOT_COMPARED",nMSG_Code,0)),""),"[input]",""),""),4,9999))</f>
        <v/>
      </c>
      <c r="AE71" s="21" t="str">
        <f t="shared" si="73"/>
        <v/>
      </c>
      <c r="AF71" s="21" t="str">
        <f t="shared" si="74"/>
        <v/>
      </c>
      <c r="AG71" s="21" t="str">
        <f>IF(EN71="","",MID(IF(ISNUMBER(SEARCH("E_REVERSED_BOUNDS",EN71))," | E_REVERSED_BOUNDS: "&amp;SUBSTITUTE(IFERROR(INDEX(nMSG_Text,MATCH("E_REVERSED_BOUNDS",nMSG_Code,0)),""),"[input]",""),"")&amp;IF(ISNUMBER(SEARCH("E_MISSING_INPUT",EN71))," | E_MISSING_INPUT: "&amp;SUBSTITUTE(IFERROR(INDEX(nMSG_Text,MATCH("E_MISSING_INPUT",nMSG_Code,0)),""),"[input]",IF("the source of the constraint"="","an input","the source of the constraint")),""),4,999))</f>
        <v/>
      </c>
      <c r="AH71" s="21" t="str">
        <f t="shared" si="75"/>
        <v/>
      </c>
      <c r="AI71" s="21" t="str">
        <f t="shared" si="76"/>
        <v>EX-AVA/STOP → EV-HBV/ONSET</v>
      </c>
      <c r="AJ71" s="21" t="str">
        <f t="shared" si="77"/>
        <v>EX-AVA/STOP</v>
      </c>
      <c r="AK71" s="21" t="str">
        <f t="shared" si="78"/>
        <v>EV-HBV/ONSET</v>
      </c>
      <c r="AL71" s="21" t="str">
        <f>IF(CY71=0,"",INDEX(nTP_ISO,CY71))</f>
        <v>2025-09-03</v>
      </c>
      <c r="AM71" s="21" t="str">
        <f>IF(CY71=0,"",INDEX(nTP_Display,CY71))</f>
        <v>3 September 2025</v>
      </c>
      <c r="AN71" s="21" t="str">
        <f>IF(BI71=0,"",INDEX(nTP_ISO,BI71))</f>
        <v>2026-02-09/2026-05-12</v>
      </c>
      <c r="AO71" s="21" t="str">
        <f>IF(BI71=0,"",INDEX(nTP_Display,BI71))</f>
        <v>9 February 2026 to 12 May 2026 (laboratory-defined)</v>
      </c>
      <c r="AP71" s="21" t="str">
        <f>IF(BA71=0,"",INDEX(nLNK_Exposure_Episode_ID,BA71)&amp;"")</f>
        <v>EX-AVA</v>
      </c>
      <c r="AQ71" s="21" t="str">
        <f>IF(BA71=0,"",INDEX(nLNK_Event_Episode_ID,BA71)&amp;"")</f>
        <v>EV-HBV</v>
      </c>
      <c r="AR71" s="21" t="str">
        <f t="shared" si="79"/>
        <v>Anchor (CONCOMITANT_CHANGE) EX-AVA/STOP: 2025-09-03 [day; case measurement; original: "prophylaxis to 03/09/2025"; source: Hematology summary] | End point EV-HBV/ONSET: 2026-02-09/2026-05-12 [laboratory-defined range; case measurement; original: "Between the last undetectable HBV DNA (9 February 2026) and the first positive result (12 May 2026)"; source: Laboratory-defined onset (CALC-SPEC 1.1 C4): test records M-HBV3 (last normal) and M-HBV4 (first abnormal)]</v>
      </c>
      <c r="AS71" s="21" t="str">
        <f>IF(EI71=0,"",MID(IF(DT71=1," | Recovery interval (C7) computed with "&amp;DS71&amp;".","")&amp;IF(BG71=1," | Anchor selected under C5 (CALC-SPEC 1.1): latest administration with an exact date or time at or before "&amp;IF(BH71=1,"onset","the end point")&amp;" ("&amp;AJ71&amp;"), ordered in UTC when offsets are known; later administrations are never selected.","")&amp;IF(AND(BG71=1,CE71&gt;0)," | Partial-date administrations wholly before the selected one were not candidates: "&amp;FC71&amp;".","")&amp;IF(BV71&lt;&gt;""," | "&amp;BV71,"")&amp;IF(AND(DS71="C2",EA71=0,DZ71&lt;&gt;"")," | Same calendar date; both times are known, so C1 decides the order ("&amp;AA71&amp;").","")&amp;IF(AND(DS71="C2",DD71*BN71=1,DT71=0)," | Calendar-date difference from the recorded local dates; it is never described as elapsed days.","")&amp;IF(AND(DS71="C4",DT71=0)," | Bounds are treated as independent; no single date is imputed from them.","")&amp;IF(EJ71=1," | Treatment day under the inclusive convention (C3); never written to E2B fields automatically.","")&amp;IF(AND(DS71="C4",DT71=0,EK71=0)," | No constraint applied.","")&amp;IF(AND(DS71="C4",EK71=1)," | Constraint applied to the anchor bounds: "&amp;IF(ISNUMBER(P71),"not before "&amp;DAY(P71)&amp;" "&amp;INDEX(nLIST_Months,MONTH(P71))&amp;" "&amp;YEAR(P71),"")&amp;IF(AND(ISNUMBER(P71),ISNUMBER(Q71)),", ","")&amp;IF(ISNUMBER(Q71),"not after "&amp;DAY(Q71)&amp;" "&amp;INDEX(nLIST_Months,MONTH(Q71))&amp;" "&amp;YEAR(Q71),"")&amp;". Source: "&amp;IF(R71="","not recorded",R71)&amp;IF(EN71="",". Constrained result shown beside the unconstrained one.",". Constrained result blocked ("&amp;EN71&amp;")."),"")&amp;IF(DT71=1,IF(EO71&gt;0," | Intervention recorded between cessation and recovery (ends included): "&amp;EZ71&amp;"."," | No intervention is recorded between cessation and recovery; absence of a record is not evidence that none was given."),"")&amp;IF(AND(DT71=1,DV71&gt;0)," | Intervention recorded without a date, so whether it came before recovery is unknown: "&amp;INDEX(nMS_Milestone_ID,MATCH(1,INDEX((nMS_CaseKey=AX71)*(nMS_Type="INTERVENTION")*nMS_Undated,0),0))&amp;IF(DV71&gt;1," and "&amp;(DV71-1)&amp;" more","")&amp;".","")&amp;IF(AND(DT71=1,EP71&gt;0)," | Not counted as interventions, because they are recorded as exposures rather than as intervention milestones (nothing is inferred): "&amp;FB71&amp;". If treatment was given, record it as an intervention milestone.",""),4,9999))</f>
        <v>Onset is laboratory-defined (CALC-SPEC 1.1, C4): lower bound = date of the last normal test (M-HBV3), upper bound = date of the first abnormal test (M-HBV4). The reviewer decides which results are normal. | Bounds are treated as independent; no single date is imputed from them. | No constraint applied.</v>
      </c>
      <c r="AT71" s="21" t="str">
        <f t="shared" si="80"/>
        <v>The interval describes the sequence and spacing of recorded times; it is not evidence of causation. The true interval lies between the bounds; no single date is imputed.</v>
      </c>
      <c r="AU71" s="21" t="str">
        <f t="shared" si="81"/>
        <v/>
      </c>
      <c r="AV71" s="21" t="str">
        <f t="shared" si="82"/>
        <v>CALC-SPEC 1.1</v>
      </c>
      <c r="AW71" s="22">
        <f t="shared" si="83"/>
        <v>0</v>
      </c>
      <c r="AX71" s="21" t="str">
        <f t="shared" si="84"/>
        <v>EX-C28|2</v>
      </c>
      <c r="AY71" s="21" t="str">
        <f t="shared" si="85"/>
        <v>EX-C28|2|I06</v>
      </c>
      <c r="AZ71" s="22">
        <f>IF(AY71="",0,COUNTIF(nINT_Key,AY71))</f>
        <v>1</v>
      </c>
      <c r="BA71" s="22">
        <f>IF(D71="",0,IFERROR(MATCH(AX71&amp;"|"&amp;D71,nLNK_Key,0),0))</f>
        <v>28</v>
      </c>
      <c r="BB71" s="22">
        <f>IF(BA71=0,1,INDEX(nLNK_Exp_Found,BA71))</f>
        <v>1</v>
      </c>
      <c r="BC71" s="22">
        <f>IF(BA71=0,1,INDEX(nLNK_Evt_Found,BA71))</f>
        <v>1</v>
      </c>
      <c r="BD71" s="22">
        <f>IF(AP71="",0,COUNTIF(nEXP_Key,AX71&amp;"|"&amp;AP71))</f>
        <v>1</v>
      </c>
      <c r="BE71" s="22">
        <f>IF(AQ71="",0,COUNTIF(nEVT_Key,AX71&amp;"|"&amp;AQ71))</f>
        <v>1</v>
      </c>
      <c r="BF71" s="22">
        <f>IF(ISNA(MATCH(E71,nLIST_AnchorType,0)),0,1)</f>
        <v>1</v>
      </c>
      <c r="BG71" s="22">
        <f t="shared" si="86"/>
        <v>0</v>
      </c>
      <c r="BH71" s="22">
        <f t="shared" si="87"/>
        <v>1</v>
      </c>
      <c r="BI71" s="22">
        <f>IF(OR(AW71=1,AK71=""),0,IFERROR(MATCH(AX71&amp;"|"&amp;AK71,nTP_Key,0),0))</f>
        <v>314</v>
      </c>
      <c r="BJ71" s="21">
        <f>IF(BI71=0,0,INDEX(nTP_Dup,BI71))</f>
        <v>1</v>
      </c>
      <c r="BK71" s="21" t="str">
        <f>IF(BI71=0,"",INDEX(nTP_Record_Type,BI71))</f>
        <v>EVENT_ONSET</v>
      </c>
      <c r="BL71" s="21" t="str">
        <f>IF(BI71=0,"",INDEX(nTP_Precision,BI71))</f>
        <v>LAB</v>
      </c>
      <c r="BM71" s="21" t="str">
        <f>IF(BI71=0,"",INDEX(nTP_Err,BI71))</f>
        <v/>
      </c>
      <c r="BN71" s="21">
        <f>IF(BI71=0,0,INDEX(nTP_HT,BI71))</f>
        <v>0</v>
      </c>
      <c r="BO71" s="21">
        <f>IF(BI71=0,0,INDEX(nTP_OK,BI71))</f>
        <v>0</v>
      </c>
      <c r="BP71" s="21" t="str">
        <f>IF(BI71=0,"",INDEX(nTP_Loc,BI71))</f>
        <v/>
      </c>
      <c r="BQ71" s="21" t="str">
        <f>IF(BI71=0,"",INDEX(nTP_UTC,BI71))</f>
        <v/>
      </c>
      <c r="BR71" s="21">
        <f>IF(BI71=0,"",INDEX(nTP_Lo,BI71))</f>
        <v>46062</v>
      </c>
      <c r="BS71" s="21">
        <f>IF(BI71=0,"",INDEX(nTP_Hi,BI71))</f>
        <v>46154</v>
      </c>
      <c r="BT71" s="21" t="str">
        <f>IF(BI71=0,"",INDEX(nTP_Original_Text,BI71))</f>
        <v>Between the last undetectable HBV DNA (9 February 2026) and the first positive result (12 May 2026)</v>
      </c>
      <c r="BU71" s="21" t="str">
        <f>IF(BI71=0,"",INDEX(nTP_Source,BI71))</f>
        <v>Laboratory-defined onset (CALC-SPEC 1.1 C4): test records M-HBV3 (last normal) and M-HBV4 (first abnormal)</v>
      </c>
      <c r="BV71" s="21" t="str">
        <f>IF(BI71=0,"",INDEX(nTP_Lab_Note,BI71))</f>
        <v>Onset is laboratory-defined (CALC-SPEC 1.1, C4): lower bound = date of the last normal test (M-HBV3), upper bound = date of the first abnormal test (M-HBV4). The reviewer decides which results are normal.</v>
      </c>
      <c r="BW71" s="22">
        <f t="shared" si="88"/>
        <v>1</v>
      </c>
      <c r="BX71" s="21" t="str">
        <f t="shared" si="89"/>
        <v>EX-C28|2|EX-AVA</v>
      </c>
      <c r="BY71" s="22">
        <f>IF(BG71=0,0,COUNTIF(nTP_CandKey,BX71))</f>
        <v>0</v>
      </c>
      <c r="BZ71" s="22">
        <f>IF(BG71=0,0,COUNTIFS(nTP_CandKey,BX71,nTP_Err,""))</f>
        <v>0</v>
      </c>
      <c r="CA71" s="21" t="str">
        <f>IF(BY71=BZ71,"",IF(COUNTIFS(nTP_CandKey,BX71,nTP_Err,"E_INVALID_DATE")&gt;0,"; E_INVALID_DATE","")&amp;IF(COUNTIFS(nTP_CandKey,BX71,nTP_Err,"E_REVERSED_BOUNDS")&gt;0,"; E_REVERSED_BOUNDS","")&amp;IF(COUNTIFS(nTP_CandKey,BX71,nTP_Err,"E_MISSING_INPUT")&gt;0,"; E_MISSING_INPUT","")&amp;IF(COUNTIFS(nTP_CandKey,BX71,nTP_Err,"E_INVALID_UNIT")&gt;0,"; E_INVALID_UNIT",""))</f>
        <v/>
      </c>
      <c r="CB71" s="22">
        <f t="shared" si="90"/>
        <v>0</v>
      </c>
      <c r="CC71" s="22">
        <f>IF(CB71=0,0,SUMPRODUCT((nTP_CandKey=BX71)*(nTP_Err="")*(1-(nTP_HT*BN71*((nTP_OK*BO71*(nTP_UTC_n-N(BQ71))+(1-nTP_OK*BO71)*(nTP_Loc_n-N(BP71)))&lt;=0)+(1-nTP_HT*BN71)*(nTP_Hi_n&lt;N(BR71)))-(nTP_HT*BN71*((nTP_OK*BO71*(nTP_UTC_n-N(BQ71))+(1-nTP_OK*BO71)*(nTP_Loc_n-N(BP71)))&gt;0)+(1-nTP_HT*BN71)*(nTP_Lo_n&gt;N(BS71)))-((1-nTP_HT*BN71)*(nTP_Lo_n=nTP_Hi_n)*(nTP_Lo_n=N(BR71))*(N(BR71)=N(BS71))))))</f>
        <v>0</v>
      </c>
      <c r="CD71" s="22">
        <f>IF(CB71=0,0,SUMPRODUCT((nTP_CandKey=BX71)*nTP_Exact*((nTP_HT*BN71*((nTP_OK*BO71*(nTP_UTC_n-N(BQ71))+(1-nTP_OK*BO71)*(nTP_Loc_n-N(BP71)))&lt;=0)+(1-nTP_HT*BN71)*(nTP_Hi_n&lt;N(BR71)))+((1-nTP_HT*BN71)*(nTP_Lo_n=nTP_Hi_n)*(nTP_Lo_n=N(BR71))*(N(BR71)=N(BS71))))))</f>
        <v>0</v>
      </c>
      <c r="CE71" s="22">
        <f>IF(CB71=0,0,SUMPRODUCT((nTP_CandKey=BX71)*(nTP_Err="")*(1-nTP_Exact)*((nTP_HT*BN71*((nTP_OK*BO71*(nTP_UTC_n-N(BQ71))+(1-nTP_OK*BO71)*(nTP_Loc_n-N(BP71)))&lt;=0)+(1-nTP_HT*BN71)*(nTP_Hi_n&lt;N(BR71)))+((1-nTP_HT*BN71)*(nTP_Lo_n=nTP_Hi_n)*(nTP_Lo_n=N(BR71))*(N(BR71)=N(BS71))))))</f>
        <v>0</v>
      </c>
      <c r="CF71" s="22">
        <f>IF(CD71=0,0,SUMPRODUCT(MAX((nTP_CandKey=BX71)*nTP_Exact*((nTP_HT*BN71*((nTP_OK*BO71*(nTP_UTC_n-N(BQ71))+(1-nTP_OK*BO71)*(nTP_Loc_n-N(BP71)))&lt;=0)+(1-nTP_HT*BN71)*(nTP_Hi_n&lt;N(BR71)))+((1-nTP_HT*BN71)*(nTP_Lo_n=nTP_Hi_n)*(nTP_Lo_n=N(BR71))*(N(BR71)=N(BS71))))*nTP_Lo_n)))</f>
        <v>0</v>
      </c>
      <c r="CG71" s="22">
        <f>IF(CD71=0,0,SUMPRODUCT((nTP_CandKey=BX71)*nTP_Exact*((nTP_HT*BN71*((nTP_OK*BO71*(nTP_UTC_n-N(BQ71))+(1-nTP_OK*BO71)*(nTP_Loc_n-N(BP71)))&lt;=0)+(1-nTP_HT*BN71)*(nTP_Hi_n&lt;N(BR71)))+((1-nTP_HT*BN71)*(nTP_Lo_n=nTP_Hi_n)*(nTP_Lo_n=N(BR71))*(N(BR71)=N(BS71))))*(nTP_Lo_n=CF71)))</f>
        <v>0</v>
      </c>
      <c r="CH71" s="22">
        <f>IF(CD71=0,0,SUMPRODUCT((nTP_CandKey=BX71)*nTP_Exact*((nTP_HT*BN71*((nTP_OK*BO71*(nTP_UTC_n-N(BQ71))+(1-nTP_OK*BO71)*(nTP_Loc_n-N(BP71)))&lt;=0)+(1-nTP_HT*BN71)*(nTP_Hi_n&lt;N(BR71)))+((1-nTP_HT*BN71)*(nTP_Lo_n=nTP_Hi_n)*(nTP_Lo_n=N(BR71))*(N(BR71)=N(BS71))))*(1-nTP_HT)*(nTP_Lo_n=CF71)))</f>
        <v>0</v>
      </c>
      <c r="CI71" s="22">
        <f>IF(CD71=0,0,SUMPRODUCT(MAX((nTP_CandKey=BX71)*nTP_Exact*((nTP_HT*BN71*((nTP_OK*BO71*(nTP_UTC_n-N(BQ71))+(1-nTP_OK*BO71)*(nTP_Loc_n-N(BP71)))&lt;=0)+(1-nTP_HT*BN71)*(nTP_Hi_n&lt;N(BR71)))+((1-nTP_HT*BN71)*(nTP_Lo_n=nTP_Hi_n)*(nTP_Lo_n=N(BR71))*(N(BR71)=N(BS71))))*(1-nTP_HT)*nTP_Lo_n)))</f>
        <v>0</v>
      </c>
      <c r="CJ71" s="22">
        <f>IF(CD71=0,0,SUMPRODUCT(MAX((nTP_CandKey=BX71)*nTP_Exact*((nTP_HT*BN71*((nTP_OK*BO71*(nTP_UTC_n-N(BQ71))+(1-nTP_OK*BO71)*(nTP_Loc_n-N(BP71)))&lt;=0)+(1-nTP_HT*BN71)*(nTP_Hi_n&lt;N(BR71)))+((1-nTP_HT*BN71)*(nTP_Lo_n=nTP_Hi_n)*(nTP_Lo_n=N(BR71))*(N(BR71)=N(BS71))))*nTP_HT*nTP_OK*nTP_UTC_n)))</f>
        <v>0</v>
      </c>
      <c r="CK71" s="22">
        <f>IF(CJ71=0,0,SUMPRODUCT((nTP_CandKey=BX71)*nTP_Exact*((nTP_HT*BN71*((nTP_OK*BO71*(nTP_UTC_n-N(BQ71))+(1-nTP_OK*BO71)*(nTP_Loc_n-N(BP71)))&lt;=0)+(1-nTP_HT*BN71)*(nTP_Hi_n&lt;N(BR71)))+((1-nTP_HT*BN71)*(nTP_Lo_n=nTP_Hi_n)*(nTP_Lo_n=N(BR71))*(N(BR71)=N(BS71))))*nTP_HT*nTP_OK*(nTP_UTC_n=CJ71)))</f>
        <v>0</v>
      </c>
      <c r="CL71" s="22">
        <f>IF(CK71&lt;&gt;1,0,SUMPRODUCT((nTP_CandKey=BX71)*nTP_Exact*((nTP_HT*BN71*((nTP_OK*BO71*(nTP_UTC_n-N(BQ71))+(1-nTP_OK*BO71)*(nTP_Loc_n-N(BP71)))&lt;=0)+(1-nTP_HT*BN71)*(nTP_Hi_n&lt;N(BR71)))+((1-nTP_HT*BN71)*(nTP_Lo_n=nTP_Hi_n)*(nTP_Lo_n=N(BR71))*(N(BR71)=N(BS71))))*nTP_HT*nTP_OK*(nTP_UTC_n=CJ71)*nTP_Loc_n))</f>
        <v>0</v>
      </c>
      <c r="CM71" s="22">
        <f>IF(CK71&lt;&gt;1,0,SUMPRODUCT((nTP_CandKey=BX71)*nTP_Exact*((nTP_HT*BN71*((nTP_OK*BO71*(nTP_UTC_n-N(BQ71))+(1-nTP_OK*BO71)*(nTP_Loc_n-N(BP71)))&lt;=0)+(1-nTP_HT*BN71)*(nTP_Hi_n&lt;N(BR71)))+((1-nTP_HT*BN71)*(nTP_Lo_n=nTP_Hi_n)*(nTP_Lo_n=N(BR71))*(N(BR71)=N(BS71))))*nTP_HT*nTP_OK*(nTP_UTC_n=CJ71)*nTP_Lo_n))</f>
        <v>0</v>
      </c>
      <c r="CN71" s="22">
        <f>IF(CD71=0,0,SUMPRODUCT(MAX((nTP_CandKey=BX71)*nTP_Exact*((nTP_HT*BN71*((nTP_OK*BO71*(nTP_UTC_n-N(BQ71))+(1-nTP_OK*BO71)*(nTP_Loc_n-N(BP71)))&lt;=0)+(1-nTP_HT*BN71)*(nTP_Hi_n&lt;N(BR71)))+((1-nTP_HT*BN71)*(nTP_Lo_n=nTP_Hi_n)*(nTP_Lo_n=N(BR71))*(N(BR71)=N(BS71))))*nTP_HT*(1-nTP_OK)*nTP_Loc_n)))</f>
        <v>0</v>
      </c>
      <c r="CO71" s="22">
        <f>IF(CN71=0,0,SUMPRODUCT((nTP_CandKey=BX71)*nTP_Exact*((nTP_HT*BN71*((nTP_OK*BO71*(nTP_UTC_n-N(BQ71))+(1-nTP_OK*BO71)*(nTP_Loc_n-N(BP71)))&lt;=0)+(1-nTP_HT*BN71)*(nTP_Hi_n&lt;N(BR71)))+((1-nTP_HT*BN71)*(nTP_Lo_n=nTP_Hi_n)*(nTP_Lo_n=N(BR71))*(N(BR71)=N(BS71))))*nTP_HT*(1-nTP_OK)*(nTP_Loc_n=CN71)))</f>
        <v>0</v>
      </c>
      <c r="CP71" s="22">
        <f>IF(CO71&lt;&gt;1,0,SUMPRODUCT((nTP_CandKey=BX71)*nTP_Exact*((nTP_HT*BN71*((nTP_OK*BO71*(nTP_UTC_n-N(BQ71))+(1-nTP_OK*BO71)*(nTP_Loc_n-N(BP71)))&lt;=0)+(1-nTP_HT*BN71)*(nTP_Hi_n&lt;N(BR71)))+((1-nTP_HT*BN71)*(nTP_Lo_n=nTP_Hi_n)*(nTP_Lo_n=N(BR71))*(N(BR71)=N(BS71))))*nTP_HT*(1-nTP_OK)*(nTP_Loc_n=CN71)*nTP_Lo_n))</f>
        <v>0</v>
      </c>
      <c r="CQ71" s="22">
        <f>IF(CD71=0,0,SUMPRODUCT(MAX((nTP_CandKey=BX71)*nTP_Exact*((nTP_HT*BN71*((nTP_OK*BO71*(nTP_UTC_n-N(BQ71))+(1-nTP_OK*BO71)*(nTP_Loc_n-N(BP71)))&lt;=0)+(1-nTP_HT*BN71)*(nTP_Hi_n&lt;N(BR71)))+((1-nTP_HT*BN71)*(nTP_Lo_n=nTP_Hi_n)*(nTP_Lo_n=N(BR71))*(N(BR71)=N(BS71))))*nTP_HT*nTP_OK*nTP_Loc_n)))</f>
        <v>0</v>
      </c>
      <c r="CR71" s="22">
        <f t="shared" si="91"/>
        <v>0</v>
      </c>
      <c r="CS71" s="22">
        <f>IF(CR71=0,0,IF(CR71=1,MATCH(1,INDEX((nTP_CandKey=BX71)*nTP_Exact*((nTP_HT*BN71*((nTP_OK*BO71*(nTP_UTC_n-N(BQ71))+(1-nTP_OK*BO71)*(nTP_Loc_n-N(BP71)))&lt;=0)+(1-nTP_HT*BN71)*(nTP_Hi_n&lt;N(BR71)))+((1-nTP_HT*BN71)*(nTP_Lo_n=nTP_Hi_n)*(nTP_Lo_n=N(BR71))*(N(BR71)=N(BS71))))*(1-nTP_HT)*(nTP_Lo_n=CF71),0),0),IF(CR71=2,MATCH(1,INDEX((nTP_CandKey=BX71)*nTP_Exact*((nTP_HT*BN71*((nTP_OK*BO71*(nTP_UTC_n-N(BQ71))+(1-nTP_OK*BO71)*(nTP_Loc_n-N(BP71)))&lt;=0)+(1-nTP_HT*BN71)*(nTP_Hi_n&lt;N(BR71)))+((1-nTP_HT*BN71)*(nTP_Lo_n=nTP_Hi_n)*(nTP_Lo_n=N(BR71))*(N(BR71)=N(BS71))))*nTP_HT*nTP_OK*(nTP_UTC_n=CJ71),0),0),MATCH(1,INDEX((nTP_CandKey=BX71)*nTP_Exact*((nTP_HT*BN71*((nTP_OK*BO71*(nTP_UTC_n-N(BQ71))+(1-nTP_OK*BO71)*(nTP_Loc_n-N(BP71)))&lt;=0)+(1-nTP_HT*BN71)*(nTP_Hi_n&lt;N(BR71)))+((1-nTP_HT*BN71)*(nTP_Lo_n=nTP_Hi_n)*(nTP_Lo_n=N(BR71))*(N(BR71)=N(BS71))))*nTP_HT*(1-nTP_OK)*(nTP_Loc_n=CN71),0),0))))</f>
        <v>0</v>
      </c>
      <c r="CT71" s="22">
        <f>IF(CS71=0,0,INDEX(nTP_Lo_n,CS71))</f>
        <v>0</v>
      </c>
      <c r="CU71" s="22">
        <f>IF(CS71=0,0,SUMPRODUCT((nTP_CandKey=BX71)*(nTP_Err="")*(1-nTP_Exact)*((nTP_HT*BN71*((nTP_OK*BO71*(nTP_UTC_n-N(BQ71))+(1-nTP_OK*BO71)*(nTP_Loc_n-N(BP71)))&lt;=0)+(1-nTP_HT*BN71)*(nTP_Hi_n&lt;N(BR71)))+((1-nTP_HT*BN71)*(nTP_Lo_n=nTP_Hi_n)*(nTP_Lo_n=N(BR71))*(N(BR71)=N(BS71))))*(nTP_Hi_n&gt;=CT71)))</f>
        <v>0</v>
      </c>
      <c r="CV71" s="21" t="str">
        <f t="shared" si="92"/>
        <v/>
      </c>
      <c r="CW71" s="21" t="str">
        <f>IF(AND(BG71=1,CB71=1,CV71="",CS71&gt;0),INDEX(nTP_Record_ID,CS71)&amp;"","")</f>
        <v/>
      </c>
      <c r="CX71" s="21" t="str">
        <f>IF(OR(CV71="",BG71=0),"",IF(CV71="none","an administration record (last dose before onset)",IF(CV71="uncertain","the anchor record: "&amp;INDEX(nTP_Record_ID,MATCH(1,INDEX((nTP_CandKey=BX71)*(nTP_Err="")*(1-(nTP_HT*BN71*((nTP_OK*BO71*(nTP_UTC_n-N(BQ71))+(1-nTP_OK*BO71)*(nTP_Loc_n-N(BP71)))&lt;=0)+(1-nTP_HT*BN71)*(nTP_Hi_n&lt;N(BR71)))-(nTP_HT*BN71*((nTP_OK*BO71*(nTP_UTC_n-N(BQ71))+(1-nTP_OK*BO71)*(nTP_Loc_n-N(BP71)))&gt;0)+(1-nTP_HT*BN71)*(nTP_Lo_n&gt;N(BS71)))-((1-nTP_HT*BN71)*(nTP_Lo_n=nTP_Hi_n)*(nTP_Lo_n=N(BR71))*(N(BR71)=N(BS71)))),0),0))&amp;IF(CC71&gt;1," and "&amp;(CC71-1)&amp;" more","")&amp;" may fall before or after the end point, so the last dose cannot be identified from the recorded dates",IF(CV71="noneligible","the anchor record: no administration with an exact date is recorded at or before the end point",IF(CV71="tie","the anchor record: the order of the latest administrations cannot be told from the recorded dates and times","the anchor record: partial-date administration "&amp;INDEX(nTP_Record_ID,MATCH(1,INDEX((nTP_CandKey=BX71)*(nTP_Err="")*(1-nTP_Exact)*((nTP_HT*BN71*((nTP_OK*BO71*(nTP_UTC_n-N(BQ71))+(1-nTP_OK*BO71)*(nTP_Loc_n-N(BP71)))&lt;=0)+(1-nTP_HT*BN71)*(nTP_Hi_n&lt;N(BR71)))+((1-nTP_HT*BN71)*(nTP_Lo_n=nTP_Hi_n)*(nTP_Lo_n=N(BR71))*(N(BR71)=N(BS71))))*(nTP_Hi_n&gt;=CT71),0),0))&amp;" could be the last dose before the end point")))))</f>
        <v/>
      </c>
      <c r="CY71" s="22">
        <f>IF(OR(AW71=1,AJ71=""),0,IFERROR(MATCH(AX71&amp;"|"&amp;AJ71,nTP_Key,0),0))</f>
        <v>112</v>
      </c>
      <c r="CZ71" s="21">
        <f>IF(CY71=0,0,INDEX(nTP_Dup,CY71))</f>
        <v>1</v>
      </c>
      <c r="DA71" s="21" t="str">
        <f>IF(CY71=0,"",INDEX(nTP_Record_Type,CY71))</f>
        <v>EXPOSURE_STOP</v>
      </c>
      <c r="DB71" s="21" t="str">
        <f>IF(CY71=0,"",INDEX(nTP_Precision,CY71))</f>
        <v>DATE</v>
      </c>
      <c r="DC71" s="21" t="str">
        <f>IF(CY71=0,"",INDEX(nTP_Err,CY71))</f>
        <v/>
      </c>
      <c r="DD71" s="21">
        <f>IF(CY71=0,0,INDEX(nTP_HT,CY71))</f>
        <v>0</v>
      </c>
      <c r="DE71" s="21">
        <f>IF(CY71=0,0,INDEX(nTP_OK,CY71))</f>
        <v>0</v>
      </c>
      <c r="DF71" s="21" t="str">
        <f>IF(CY71=0,"",INDEX(nTP_Loc,CY71))</f>
        <v/>
      </c>
      <c r="DG71" s="21" t="str">
        <f>IF(CY71=0,"",INDEX(nTP_UTC,CY71))</f>
        <v/>
      </c>
      <c r="DH71" s="21">
        <f>IF(CY71=0,"",INDEX(nTP_Lo,CY71))</f>
        <v>45903</v>
      </c>
      <c r="DI71" s="21">
        <f>IF(CY71=0,"",INDEX(nTP_Hi,CY71))</f>
        <v>45903</v>
      </c>
      <c r="DJ71" s="21" t="str">
        <f>IF(CY71=0,"",INDEX(nTP_Original_Text,CY71))</f>
        <v>prophylaxis to 03/09/2025</v>
      </c>
      <c r="DK71" s="21" t="str">
        <f>IF(CY71=0,"",INDEX(nTP_Source,CY71))</f>
        <v>Hematology summary</v>
      </c>
      <c r="DL71" s="22">
        <f t="shared" si="93"/>
        <v>1</v>
      </c>
      <c r="DM71" s="21" t="str">
        <f t="shared" si="94"/>
        <v/>
      </c>
      <c r="DN71" s="21" t="str">
        <f t="shared" si="95"/>
        <v/>
      </c>
      <c r="DO71" s="21" t="str">
        <f t="shared" si="96"/>
        <v/>
      </c>
      <c r="DP71" s="21" t="str">
        <f t="shared" si="97"/>
        <v/>
      </c>
      <c r="DQ71" s="21" t="str">
        <f t="shared" si="98"/>
        <v>C4</v>
      </c>
      <c r="DR71" s="22">
        <f>IF(OR(DQ71="",I71=""),0,IF(ISNA(MATCH(I71,nLIST_Mode,0)),1,IF(AND(I71="C1",DQ71&lt;&gt;"C1"),1,IF(AND(I71="C2",DQ71="C4"),1,0))))</f>
        <v>0</v>
      </c>
      <c r="DS71" s="21" t="str">
        <f t="shared" si="99"/>
        <v>C4</v>
      </c>
      <c r="DT71" s="22">
        <f t="shared" si="100"/>
        <v>0</v>
      </c>
      <c r="DU71" s="21" t="str">
        <f>IF(DT71=0,"",IF(COUNTIFS(nTP_Case_Key,AX71,nTP_Record_Type,"MILESTONE:INTERVENTION",nTP_Err,"E_INVALID_DATE")&gt;0,"; E_INVALID_DATE","")&amp;IF(COUNTIFS(nTP_Case_Key,AX71,nTP_Record_Type,"MILESTONE:INTERVENTION",nTP_Err,"E_REVERSED_BOUNDS")&gt;0,"; E_REVERSED_BOUNDS","")&amp;IF(COUNTIFS(nTP_Case_Key,AX71,nTP_Record_Type,"MILESTONE:INTERVENTION",nTP_Err,"E_MISSING_INPUT")&gt;0,"; E_MISSING_INPUT","")&amp;IF(COUNTIFS(nTP_Case_Key,AX71,nTP_Record_Type,"MILESTONE:INTERVENTION",nTP_Err,"E_INVALID_UNIT")&gt;0,"; E_INVALID_UNIT",""))</f>
        <v/>
      </c>
      <c r="DV71" s="22">
        <f>IF(DT71=0,0,SUMPRODUCT((nMS_CaseKey=AX71)*(nMS_Type="INTERVENTION")*nMS_Undated))</f>
        <v>0</v>
      </c>
      <c r="DW71" s="21" t="str">
        <f t="shared" si="101"/>
        <v/>
      </c>
      <c r="DX71" s="21" t="str">
        <f t="shared" si="102"/>
        <v/>
      </c>
      <c r="DY71" s="22">
        <f t="shared" si="103"/>
        <v>1</v>
      </c>
      <c r="DZ71" s="21" t="str">
        <f t="shared" si="104"/>
        <v/>
      </c>
      <c r="EA71" s="21" t="str">
        <f t="shared" si="105"/>
        <v/>
      </c>
      <c r="EB71" s="21">
        <f t="shared" si="106"/>
        <v>159</v>
      </c>
      <c r="EC71" s="21">
        <f t="shared" si="107"/>
        <v>251</v>
      </c>
      <c r="ED71" s="22">
        <f t="shared" si="108"/>
        <v>0</v>
      </c>
      <c r="EE71" s="22">
        <f t="shared" si="109"/>
        <v>0</v>
      </c>
      <c r="EF71" s="21" t="str">
        <f>IF(ED71=0,"",IF(OR(NOT(ISNUMBER(L71)),NOT(ISNUMBER(M71))),"I_APPROXIMATE_NOT_COMPARED",IF(AND(N71&lt;&gt;"",ISNA(MATCH(N71,nLIST_ReportedUnit,0))),"E_INVALID_UNIT",IF(N71="","E_MISSING_INPUT",IF(L71&gt;M71,"E_REVERSED_BOUNDS",IF(OR(N71="weeks",N71="months",N71="years"),"I_APPROXIMATE_NOT_COMPARED",IF(DX71&lt;&gt;"","",IF(EE71=0,"I_APPROXIMATE_NOT_COMPARED",IF(AND(L71*EE71&lt;=IF(DS71="C4",EC71,IF(DS71="C1",DZ71,EA71)),M71*EE71&gt;=IF(DS71="C4",EB71,IF(DS71="C1",DZ71,EA71))),"OVERLAP","W_REPORTED_TIMING_CONFLICT")))))))))</f>
        <v/>
      </c>
      <c r="EG71" s="21" t="str">
        <f t="shared" si="110"/>
        <v/>
      </c>
      <c r="EH71" s="21" t="str">
        <f t="shared" si="111"/>
        <v/>
      </c>
      <c r="EI71" s="22">
        <f t="shared" si="112"/>
        <v>1</v>
      </c>
      <c r="EJ71" s="22">
        <f t="shared" si="113"/>
        <v>0</v>
      </c>
      <c r="EK71" s="22">
        <f t="shared" si="114"/>
        <v>0</v>
      </c>
      <c r="EL71" s="28" t="str">
        <f t="shared" si="115"/>
        <v/>
      </c>
      <c r="EM71" s="28" t="str">
        <f t="shared" si="116"/>
        <v/>
      </c>
      <c r="EN71" s="21" t="str">
        <f t="shared" si="117"/>
        <v/>
      </c>
      <c r="EO71" s="22">
        <f>IF(OR(DT71=0,DX71&lt;&gt;""),0,SUMPRODUCT((nTP_Case_Key=AX71)*(nTP_Record_Type="MILESTONE:INTERVENTION")*(nTP_Err="")*(nTP_HT*DD71*BN71*(nTP_OK*DE71*(nTP_UTC_n&gt;=N(DG71))+(1-nTP_OK*DE71)*(nTP_Loc_n&gt;=N(DF71)))*(nTP_OK*BO71*(nTP_UTC_n&lt;=N(BQ71))+(1-nTP_OK*BO71)*(nTP_Loc_n&lt;=N(BP71)))+(1-nTP_HT*DD71*BN71)*(nTP_Hi_n&gt;=N(DH71))*(nTP_Lo_n&lt;=N(BS71)))))</f>
        <v>0</v>
      </c>
      <c r="EP71" s="22">
        <f>IF(OR(DT71=0,DX71&lt;&gt;""),0,SUMPRODUCT((nTP_Case_Key=AX71)*(nTP_Role="treatment of the event")*((nTP_Record_Type="EXPOSURE_START")+(nTP_Record_Type="ADMINISTRATION"))*(nTP_Err="")*(nTP_HT*DD71*BN71*(nTP_OK*DE71*(nTP_UTC_n&gt;=N(DG71))+(1-nTP_OK*DE71)*(nTP_Loc_n&gt;=N(DF71)))*(nTP_OK*BO71*(nTP_UTC_n&lt;=N(BQ71))+(1-nTP_OK*BO71)*(nTP_Loc_n&lt;=N(BP71)))+(1-nTP_HT*DD71*BN71)*(nTP_Hi_n&gt;=N(DH71))*(nTP_Lo_n&lt;=N(BS71)))))</f>
        <v>0</v>
      </c>
      <c r="EQ71" s="22">
        <f>IF(EO71&lt;1,0,IFERROR(_xlfn.AGGREGATE(15,6,nTP_RowN/((nTP_Case_Key=AX71)*(nTP_Record_Type="MILESTONE:INTERVENTION")*(nTP_Err="")*(nTP_HT*DD71*BN71*(nTP_OK*DE71*(nTP_UTC_n&gt;=N(DG71))+(1-nTP_OK*DE71)*(nTP_Loc_n&gt;=N(DF71)))*(nTP_OK*BO71*(nTP_UTC_n&lt;=N(BQ71))+(1-nTP_OK*BO71)*(nTP_Loc_n&lt;=N(BP71)))+(1-nTP_HT*DD71*BN71)*(nTP_Hi_n&gt;=N(DH71))*(nTP_Lo_n&lt;=N(BS71)))),1),0))</f>
        <v>0</v>
      </c>
      <c r="ER71" s="22">
        <f>IF(EO71&lt;2,0,IFERROR(_xlfn.AGGREGATE(15,6,nTP_RowN/((nTP_Case_Key=AX71)*(nTP_Record_Type="MILESTONE:INTERVENTION")*(nTP_Err="")*(nTP_HT*DD71*BN71*(nTP_OK*DE71*(nTP_UTC_n&gt;=N(DG71))+(1-nTP_OK*DE71)*(nTP_Loc_n&gt;=N(DF71)))*(nTP_OK*BO71*(nTP_UTC_n&lt;=N(BQ71))+(1-nTP_OK*BO71)*(nTP_Loc_n&lt;=N(BP71)))+(1-nTP_HT*DD71*BN71)*(nTP_Hi_n&gt;=N(DH71))*(nTP_Lo_n&lt;=N(BS71)))),2),0))</f>
        <v>0</v>
      </c>
      <c r="ES71" s="22">
        <f>IF(EO71&lt;3,0,IFERROR(_xlfn.AGGREGATE(15,6,nTP_RowN/((nTP_Case_Key=AX71)*(nTP_Record_Type="MILESTONE:INTERVENTION")*(nTP_Err="")*(nTP_HT*DD71*BN71*(nTP_OK*DE71*(nTP_UTC_n&gt;=N(DG71))+(1-nTP_OK*DE71)*(nTP_Loc_n&gt;=N(DF71)))*(nTP_OK*BO71*(nTP_UTC_n&lt;=N(BQ71))+(1-nTP_OK*BO71)*(nTP_Loc_n&lt;=N(BP71)))+(1-nTP_HT*DD71*BN71)*(nTP_Hi_n&gt;=N(DH71))*(nTP_Lo_n&lt;=N(BS71)))),3),0))</f>
        <v>0</v>
      </c>
      <c r="ET71" s="22">
        <f>IF(EP71&lt;1,0,IFERROR(_xlfn.AGGREGATE(15,6,nTP_RowN/((nTP_Case_Key=AX71)*(nTP_Role="treatment of the event")*((nTP_Record_Type="EXPOSURE_START")+(nTP_Record_Type="ADMINISTRATION"))*(nTP_Err="")*(nTP_HT*DD71*BN71*(nTP_OK*DE71*(nTP_UTC_n&gt;=N(DG71))+(1-nTP_OK*DE71)*(nTP_Loc_n&gt;=N(DF71)))*(nTP_OK*BO71*(nTP_UTC_n&lt;=N(BQ71))+(1-nTP_OK*BO71)*(nTP_Loc_n&lt;=N(BP71)))+(1-nTP_HT*DD71*BN71)*(nTP_Hi_n&gt;=N(DH71))*(nTP_Lo_n&lt;=N(BS71)))),1),0))</f>
        <v>0</v>
      </c>
      <c r="EU71" s="22">
        <f>IF(EP71&lt;2,0,IFERROR(_xlfn.AGGREGATE(15,6,nTP_RowN/((nTP_Case_Key=AX71)*(nTP_Role="treatment of the event")*((nTP_Record_Type="EXPOSURE_START")+(nTP_Record_Type="ADMINISTRATION"))*(nTP_Err="")*(nTP_HT*DD71*BN71*(nTP_OK*DE71*(nTP_UTC_n&gt;=N(DG71))+(1-nTP_OK*DE71)*(nTP_Loc_n&gt;=N(DF71)))*(nTP_OK*BO71*(nTP_UTC_n&lt;=N(BQ71))+(1-nTP_OK*BO71)*(nTP_Loc_n&lt;=N(BP71)))+(1-nTP_HT*DD71*BN71)*(nTP_Hi_n&gt;=N(DH71))*(nTP_Lo_n&lt;=N(BS71)))),2),0))</f>
        <v>0</v>
      </c>
      <c r="EV71" s="22">
        <f>IF(EP71&lt;3,0,IFERROR(_xlfn.AGGREGATE(15,6,nTP_RowN/((nTP_Case_Key=AX71)*(nTP_Role="treatment of the event")*((nTP_Record_Type="EXPOSURE_START")+(nTP_Record_Type="ADMINISTRATION"))*(nTP_Err="")*(nTP_HT*DD71*BN71*(nTP_OK*DE71*(nTP_UTC_n&gt;=N(DG71))+(1-nTP_OK*DE71)*(nTP_Loc_n&gt;=N(DF71)))*(nTP_OK*BO71*(nTP_UTC_n&lt;=N(BQ71))+(1-nTP_OK*BO71)*(nTP_Loc_n&lt;=N(BP71)))+(1-nTP_HT*DD71*BN71)*(nTP_Hi_n&gt;=N(DH71))*(nTP_Lo_n&lt;=N(BS71)))),3),0))</f>
        <v>0</v>
      </c>
      <c r="EW71" s="22">
        <f>IF(CE71&lt;1,0,IFERROR(_xlfn.AGGREGATE(15,6,nTP_RowN/((nTP_CandKey=BX71)*(nTP_Err="")*(1-nTP_Exact)*((nTP_HT*BN71*((nTP_OK*BO71*(nTP_UTC_n-N(BQ71))+(1-nTP_OK*BO71)*(nTP_Loc_n-N(BP71)))&lt;=0)+(1-nTP_HT*BN71)*(nTP_Hi_n&lt;N(BR71)))+((1-nTP_HT*BN71)*(nTP_Lo_n=nTP_Hi_n)*(nTP_Lo_n=N(BR71))*(N(BR71)=N(BS71))))),1),0))</f>
        <v>0</v>
      </c>
      <c r="EX71" s="22">
        <f>IF(CE71&lt;2,0,IFERROR(_xlfn.AGGREGATE(15,6,nTP_RowN/((nTP_CandKey=BX71)*(nTP_Err="")*(1-nTP_Exact)*((nTP_HT*BN71*((nTP_OK*BO71*(nTP_UTC_n-N(BQ71))+(1-nTP_OK*BO71)*(nTP_Loc_n-N(BP71)))&lt;=0)+(1-nTP_HT*BN71)*(nTP_Hi_n&lt;N(BR71)))+((1-nTP_HT*BN71)*(nTP_Lo_n=nTP_Hi_n)*(nTP_Lo_n=N(BR71))*(N(BR71)=N(BS71))))),2),0))</f>
        <v>0</v>
      </c>
      <c r="EY71" s="22">
        <f>IF(CE71&lt;3,0,IFERROR(_xlfn.AGGREGATE(15,6,nTP_RowN/((nTP_CandKey=BX71)*(nTP_Err="")*(1-nTP_Exact)*((nTP_HT*BN71*((nTP_OK*BO71*(nTP_UTC_n-N(BQ71))+(1-nTP_OK*BO71)*(nTP_Loc_n-N(BP71)))&lt;=0)+(1-nTP_HT*BN71)*(nTP_Hi_n&lt;N(BR71)))+((1-nTP_HT*BN71)*(nTP_Lo_n=nTP_Hi_n)*(nTP_Lo_n=N(BR71))*(N(BR71)=N(BS71))))),3),0))</f>
        <v>0</v>
      </c>
      <c r="EZ71" s="21" t="str">
        <f>IF(EO71=0,"",MID(IF(EQ71&gt;0,"; "&amp;INDEX(nTP_Record_ID,EQ71)&amp;IF(INDEX(nTP_Label,EQ71)="",""," ("&amp;INDEX(nTP_Label,EQ71)&amp;")"),"")&amp;IF(ER71&gt;0,"; "&amp;INDEX(nTP_Record_ID,ER71)&amp;IF(INDEX(nTP_Label,ER71)="",""," ("&amp;INDEX(nTP_Label,ER71)&amp;")"),"")&amp;IF(ES71&gt;0,"; "&amp;INDEX(nTP_Record_ID,ES71)&amp;IF(INDEX(nTP_Label,ES71)="",""," ("&amp;INDEX(nTP_Label,ES71)&amp;")"),"")&amp;IF(EO71&gt;3,"; and "&amp;(EO71-3)&amp;" more",""),3,999))</f>
        <v/>
      </c>
      <c r="FA71" s="21" t="str">
        <f>IF(EO71=0,"",MID(IF(EQ71&gt;0,"; "&amp;INDEX(nTP_Record_ID,EQ71),"")&amp;IF(ER71&gt;0,"; "&amp;INDEX(nTP_Record_ID,ER71),"")&amp;IF(ES71&gt;0,"; "&amp;INDEX(nTP_Record_ID,ES71),"")&amp;IF(EO71&gt;3,"; and "&amp;(EO71-3)&amp;" more",""),3,999))</f>
        <v/>
      </c>
      <c r="FB71" s="21" t="str">
        <f>IF(EP71=0,"",MID(IF(ET71&gt;0,"; "&amp;INDEX(nTP_Record_ID,ET71)&amp;IF(INDEX(nTP_Label,ET71)="",""," ("&amp;INDEX(nTP_Label,ET71)&amp;")"),"")&amp;IF(EU71&gt;0,"; "&amp;INDEX(nTP_Record_ID,EU71)&amp;IF(INDEX(nTP_Label,EU71)="",""," ("&amp;INDEX(nTP_Label,EU71)&amp;")"),"")&amp;IF(EV71&gt;0,"; "&amp;INDEX(nTP_Record_ID,EV71)&amp;IF(INDEX(nTP_Label,EV71)="",""," ("&amp;INDEX(nTP_Label,EV71)&amp;")"),"")&amp;IF(EP71&gt;3,"; and "&amp;(EP71-3)&amp;" more",""),3,999))</f>
        <v/>
      </c>
      <c r="FC71" s="21" t="str">
        <f>IF(CE71=0,"",MID(IF(EW71&gt;0,"; "&amp;INDEX(nTP_Record_ID,EW71),"")&amp;IF(EX71&gt;0,"; "&amp;INDEX(nTP_Record_ID,EX71),"")&amp;IF(EY71&gt;0,"; "&amp;INDEX(nTP_Record_ID,EY71),"")&amp;IF(CE71&gt;3,"; and "&amp;(CE71-3)&amp;" more",""),3,999))</f>
        <v/>
      </c>
      <c r="FD71" s="22">
        <f t="shared" si="118"/>
        <v>0</v>
      </c>
      <c r="FE71" s="22">
        <f t="shared" si="119"/>
        <v>0</v>
      </c>
      <c r="FF71" s="22">
        <f t="shared" si="120"/>
        <v>0</v>
      </c>
      <c r="FG71" s="22">
        <f t="shared" si="121"/>
        <v>0</v>
      </c>
      <c r="FH71" s="22">
        <f t="shared" si="122"/>
        <v>0</v>
      </c>
      <c r="FI71" s="22">
        <f t="shared" si="123"/>
        <v>0</v>
      </c>
      <c r="FJ71" s="22">
        <f t="shared" si="124"/>
        <v>0</v>
      </c>
      <c r="FK71" s="22">
        <f t="shared" si="125"/>
        <v>0</v>
      </c>
    </row>
    <row r="72" spans="1:167" x14ac:dyDescent="0.2">
      <c r="A72" s="9" t="s">
        <v>1142</v>
      </c>
      <c r="B72" s="9" t="s">
        <v>305</v>
      </c>
      <c r="C72" s="11">
        <v>2</v>
      </c>
      <c r="D72" s="9" t="s">
        <v>898</v>
      </c>
      <c r="E72" s="16" t="s">
        <v>55</v>
      </c>
      <c r="F72" s="9" t="s">
        <v>1173</v>
      </c>
      <c r="G72" s="9" t="s">
        <v>1172</v>
      </c>
      <c r="H72" s="9" t="s">
        <v>1165</v>
      </c>
      <c r="I72" s="16" t="s">
        <v>60</v>
      </c>
      <c r="J72" s="16"/>
      <c r="K72" s="9"/>
      <c r="L72" s="16"/>
      <c r="M72" s="16"/>
      <c r="N72" s="16"/>
      <c r="O72" s="9"/>
      <c r="P72" s="14"/>
      <c r="Q72" s="14"/>
      <c r="R72" s="9"/>
      <c r="S72" s="9"/>
      <c r="T72" s="21" t="str">
        <f t="shared" si="63"/>
        <v>71 calendar days</v>
      </c>
      <c r="U72" s="21" t="str">
        <f t="shared" si="64"/>
        <v>71 calendar days</v>
      </c>
      <c r="V72" s="21">
        <f t="shared" si="65"/>
        <v>71</v>
      </c>
      <c r="W72" s="21" t="str">
        <f t="shared" si="66"/>
        <v/>
      </c>
      <c r="X72" s="21" t="str">
        <f t="shared" si="67"/>
        <v/>
      </c>
      <c r="Y72" s="21" t="str">
        <f t="shared" si="68"/>
        <v>calendar days</v>
      </c>
      <c r="Z72" s="21" t="str">
        <f t="shared" si="69"/>
        <v>C2</v>
      </c>
      <c r="AA72" s="21" t="str">
        <f t="shared" si="70"/>
        <v>AFTER</v>
      </c>
      <c r="AB72" s="21" t="str">
        <f t="shared" si="71"/>
        <v/>
      </c>
      <c r="AC72" s="21" t="str">
        <f t="shared" si="72"/>
        <v/>
      </c>
      <c r="AD72" s="21" t="str">
        <f>IF(AW72=1,"",MID(IF(ISNUMBER(SEARCH("E_INVALID_DATE",EG72))," | E_INVALID_DATE: "&amp;SUBSTITUTE(IFERROR(INDEX(nMSG_Text,MATCH("E_INVALID_DATE",nMSG_Code,0)),""),"[input]",""),"")&amp;IF(ISNUMBER(SEARCH("E_REVERSED_BOUNDS",EG72))," | E_REVERSED_BOUNDS: "&amp;SUBSTITUTE(IFERROR(INDEX(nMSG_Text,MATCH("E_REVERSED_BOUNDS",nMSG_Code,0)),""),"[input]",""),"")&amp;IF(ISNUMBER(SEARCH("E_DUPLICATE_ID",EG72))," | E_DUPLICATE_ID: "&amp;SUBSTITUTE(IFERROR(INDEX(nMSG_Text,MATCH("E_DUPLICATE_ID",nMSG_Code,0)),""),"[input]",""),"")&amp;IF(ISNUMBER(SEARCH("E_MISSING_LINK",EG72))," | E_MISSING_LINK: "&amp;SUBSTITUTE(IFERROR(INDEX(nMSG_Text,MATCH("E_MISSING_LINK",nMSG_Code,0)),""),"[input]",""),"")&amp;IF(ISNUMBER(SEARCH("E_MISSING_INPUT",EG72))," | E_MISSING_INPUT: "&amp;SUBSTITUTE(IFERROR(INDEX(nMSG_Text,MATCH("E_MISSING_INPUT",nMSG_Code,0)),""),"[input]",IF(EH72="","an input",EH72)),"")&amp;IF(ISNUMBER(SEARCH("E_INVALID_UNIT",EG72))," | E_INVALID_UNIT: "&amp;SUBSTITUTE(IFERROR(INDEX(nMSG_Text,MATCH("E_INVALID_UNIT",nMSG_Code,0)),""),"[input]",""),"")&amp;IF(FD72=1," | W_TZ_UNKNOWN: "&amp;SUBSTITUTE(IFERROR(INDEX(nMSG_Text,MATCH("W_TZ_UNKNOWN",nMSG_Code,0)),""),"[input]",""),"")&amp;IF(FE72=1," | W_SAME_DATE_ORDER_UNKNOWN: "&amp;SUBSTITUTE(IFERROR(INDEX(nMSG_Text,MATCH("W_SAME_DATE_ORDER_UNKNOWN",nMSG_Code,0)),""),"[input]",""),"")&amp;IF(FF72=1," | W_SEQUENCE_UNCERTAIN: "&amp;SUBSTITUTE(IFERROR(INDEX(nMSG_Text,MATCH("W_SEQUENCE_UNCERTAIN",nMSG_Code,0)),""),"[input]",""),"")&amp;IF(FG72=1," | W_ADMIN_SAME_DATE_AS_ONSET: "&amp;SUBSTITUTE(IFERROR(INDEX(nMSG_Text,MATCH("W_ADMIN_SAME_DATE_AS_ONSET",nMSG_Code,0)),""),"[input]",""),"")&amp;IF(FH72=1," | W_REPORTED_TIMING_CONFLICT: "&amp;SUBSTITUTE(IFERROR(INDEX(nMSG_Text,MATCH("W_REPORTED_TIMING_CONFLICT",nMSG_Code,0)),""),"[input]",""),"")&amp;IF(FI72=1," | W_INTERVENTION_BEFORE_RECOVERY: "&amp;SUBSTITUTE(IFERROR(INDEX(nMSG_Text,MATCH("W_INTERVENTION_BEFORE_RECOVERY",nMSG_Code,0)),""),"[input]",""),"")&amp;IF(FJ72=1," | I_TREATMENT_DAY_UNDEFINED: "&amp;SUBSTITUTE(IFERROR(INDEX(nMSG_Text,MATCH("I_TREATMENT_DAY_UNDEFINED",nMSG_Code,0)),""),"[input]",""),"")&amp;IF(FK72=1," | I_APPROXIMATE_NOT_COMPARED: "&amp;SUBSTITUTE(IFERROR(INDEX(nMSG_Text,MATCH("I_APPROXIMATE_NOT_COMPARED",nMSG_Code,0)),""),"[input]",""),""),4,9999))</f>
        <v/>
      </c>
      <c r="AE72" s="21" t="str">
        <f t="shared" si="73"/>
        <v/>
      </c>
      <c r="AF72" s="21" t="str">
        <f t="shared" si="74"/>
        <v/>
      </c>
      <c r="AG72" s="21" t="str">
        <f>IF(EN72="","",MID(IF(ISNUMBER(SEARCH("E_REVERSED_BOUNDS",EN72))," | E_REVERSED_BOUNDS: "&amp;SUBSTITUTE(IFERROR(INDEX(nMSG_Text,MATCH("E_REVERSED_BOUNDS",nMSG_Code,0)),""),"[input]",""),"")&amp;IF(ISNUMBER(SEARCH("E_MISSING_INPUT",EN72))," | E_MISSING_INPUT: "&amp;SUBSTITUTE(IFERROR(INDEX(nMSG_Text,MATCH("E_MISSING_INPUT",nMSG_Code,0)),""),"[input]",IF("the source of the constraint"="","an input","the source of the constraint")),""),4,999))</f>
        <v/>
      </c>
      <c r="AH72" s="21" t="str">
        <f t="shared" si="75"/>
        <v/>
      </c>
      <c r="AI72" s="21" t="str">
        <f t="shared" si="76"/>
        <v>EX-PRED/START → EV-HBV/DETECTION</v>
      </c>
      <c r="AJ72" s="21" t="str">
        <f t="shared" si="77"/>
        <v>EX-PRED/START</v>
      </c>
      <c r="AK72" s="21" t="str">
        <f t="shared" si="78"/>
        <v>EV-HBV/DETECTION</v>
      </c>
      <c r="AL72" s="21" t="str">
        <f>IF(CY72=0,"",INDEX(nTP_ISO,CY72))</f>
        <v>2026-03-02</v>
      </c>
      <c r="AM72" s="21" t="str">
        <f>IF(CY72=0,"",INDEX(nTP_Display,CY72))</f>
        <v>2 March 2026</v>
      </c>
      <c r="AN72" s="21" t="str">
        <f>IF(BI72=0,"",INDEX(nTP_ISO,BI72))</f>
        <v>2026-05-12</v>
      </c>
      <c r="AO72" s="21" t="str">
        <f>IF(BI72=0,"",INDEX(nTP_Display,BI72))</f>
        <v>12 May 2026</v>
      </c>
      <c r="AP72" s="21" t="str">
        <f>IF(BA72=0,"",INDEX(nLNK_Exposure_Episode_ID,BA72)&amp;"")</f>
        <v>EX-PRED</v>
      </c>
      <c r="AQ72" s="21" t="str">
        <f>IF(BA72=0,"",INDEX(nLNK_Event_Episode_ID,BA72)&amp;"")</f>
        <v>EV-HBV</v>
      </c>
      <c r="AR72" s="21" t="str">
        <f t="shared" si="79"/>
        <v>Anchor (CONCOMITANT_CHANGE) EX-PRED/START: 2026-03-02 [day; case measurement; original: "10-day oral prednisolone course 02-11/03/2026"; source: Hepatology letter] | End point EV-HBV/DETECTION: 2026-05-12 [day; case measurement; original: "12/05/2026 HBV DNA 1,850 IU/mL"; source: Hepatology letter]</v>
      </c>
      <c r="AS72" s="21" t="str">
        <f>IF(EI72=0,"",MID(IF(DT72=1," | Recovery interval (C7) computed with "&amp;DS72&amp;".","")&amp;IF(BG72=1," | Anchor selected under C5 (CALC-SPEC 1.1): latest administration with an exact date or time at or before "&amp;IF(BH72=1,"onset","the end point")&amp;" ("&amp;AJ72&amp;"), ordered in UTC when offsets are known; later administrations are never selected.","")&amp;IF(AND(BG72=1,CE72&gt;0)," | Partial-date administrations wholly before the selected one were not candidates: "&amp;FC72&amp;".","")&amp;IF(BV72&lt;&gt;""," | "&amp;BV72,"")&amp;IF(AND(DS72="C2",EA72=0,DZ72&lt;&gt;"")," | Same calendar date; both times are known, so C1 decides the order ("&amp;AA72&amp;").","")&amp;IF(AND(DS72="C2",DD72*BN72=1,DT72=0)," | Calendar-date difference from the recorded local dates; it is never described as elapsed days.","")&amp;IF(AND(DS72="C4",DT72=0)," | Bounds are treated as independent; no single date is imputed from them.","")&amp;IF(EJ72=1," | Treatment day under the inclusive convention (C3); never written to E2B fields automatically.","")&amp;IF(AND(DS72="C4",DT72=0,EK72=0)," | No constraint applied.","")&amp;IF(AND(DS72="C4",EK72=1)," | Constraint applied to the anchor bounds: "&amp;IF(ISNUMBER(P72),"not before "&amp;DAY(P72)&amp;" "&amp;INDEX(nLIST_Months,MONTH(P72))&amp;" "&amp;YEAR(P72),"")&amp;IF(AND(ISNUMBER(P72),ISNUMBER(Q72)),", ","")&amp;IF(ISNUMBER(Q72),"not after "&amp;DAY(Q72)&amp;" "&amp;INDEX(nLIST_Months,MONTH(Q72))&amp;" "&amp;YEAR(Q72),"")&amp;". Source: "&amp;IF(R72="","not recorded",R72)&amp;IF(EN72="",". Constrained result shown beside the unconstrained one.",". Constrained result blocked ("&amp;EN72&amp;")."),"")&amp;IF(DT72=1,IF(EO72&gt;0," | Intervention recorded between cessation and recovery (ends included): "&amp;EZ72&amp;"."," | No intervention is recorded between cessation and recovery; absence of a record is not evidence that none was given."),"")&amp;IF(AND(DT72=1,DV72&gt;0)," | Intervention recorded without a date, so whether it came before recovery is unknown: "&amp;INDEX(nMS_Milestone_ID,MATCH(1,INDEX((nMS_CaseKey=AX72)*(nMS_Type="INTERVENTION")*nMS_Undated,0),0))&amp;IF(DV72&gt;1," and "&amp;(DV72-1)&amp;" more","")&amp;".","")&amp;IF(AND(DT72=1,EP72&gt;0)," | Not counted as interventions, because they are recorded as exposures rather than as intervention milestones (nothing is inferred): "&amp;FB72&amp;". If treatment was given, record it as an intervention milestone.",""),4,9999))</f>
        <v/>
      </c>
      <c r="AT72" s="21" t="str">
        <f t="shared" si="80"/>
        <v>The interval describes the sequence and spacing of recorded times; it is not evidence of causation.</v>
      </c>
      <c r="AU72" s="21" t="str">
        <f t="shared" si="81"/>
        <v/>
      </c>
      <c r="AV72" s="21" t="str">
        <f t="shared" si="82"/>
        <v>CALC-SPEC 1.1</v>
      </c>
      <c r="AW72" s="22">
        <f t="shared" si="83"/>
        <v>0</v>
      </c>
      <c r="AX72" s="21" t="str">
        <f t="shared" si="84"/>
        <v>EX-C28|2</v>
      </c>
      <c r="AY72" s="21" t="str">
        <f t="shared" si="85"/>
        <v>EX-C28|2|I07</v>
      </c>
      <c r="AZ72" s="22">
        <f>IF(AY72="",0,COUNTIF(nINT_Key,AY72))</f>
        <v>1</v>
      </c>
      <c r="BA72" s="22">
        <f>IF(D72="",0,IFERROR(MATCH(AX72&amp;"|"&amp;D72,nLNK_Key,0),0))</f>
        <v>29</v>
      </c>
      <c r="BB72" s="22">
        <f>IF(BA72=0,1,INDEX(nLNK_Exp_Found,BA72))</f>
        <v>1</v>
      </c>
      <c r="BC72" s="22">
        <f>IF(BA72=0,1,INDEX(nLNK_Evt_Found,BA72))</f>
        <v>1</v>
      </c>
      <c r="BD72" s="22">
        <f>IF(AP72="",0,COUNTIF(nEXP_Key,AX72&amp;"|"&amp;AP72))</f>
        <v>1</v>
      </c>
      <c r="BE72" s="22">
        <f>IF(AQ72="",0,COUNTIF(nEVT_Key,AX72&amp;"|"&amp;AQ72))</f>
        <v>1</v>
      </c>
      <c r="BF72" s="22">
        <f>IF(ISNA(MATCH(E72,nLIST_AnchorType,0)),0,1)</f>
        <v>1</v>
      </c>
      <c r="BG72" s="22">
        <f t="shared" si="86"/>
        <v>0</v>
      </c>
      <c r="BH72" s="22">
        <f t="shared" si="87"/>
        <v>0</v>
      </c>
      <c r="BI72" s="22">
        <f>IF(OR(AW72=1,AK72=""),0,IFERROR(MATCH(AX72&amp;"|"&amp;AK72,nTP_Key,0),0))</f>
        <v>358</v>
      </c>
      <c r="BJ72" s="21">
        <f>IF(BI72=0,0,INDEX(nTP_Dup,BI72))</f>
        <v>1</v>
      </c>
      <c r="BK72" s="21" t="str">
        <f>IF(BI72=0,"",INDEX(nTP_Record_Type,BI72))</f>
        <v>EVENT_DETECTION</v>
      </c>
      <c r="BL72" s="21" t="str">
        <f>IF(BI72=0,"",INDEX(nTP_Precision,BI72))</f>
        <v>DATE</v>
      </c>
      <c r="BM72" s="21" t="str">
        <f>IF(BI72=0,"",INDEX(nTP_Err,BI72))</f>
        <v/>
      </c>
      <c r="BN72" s="21">
        <f>IF(BI72=0,0,INDEX(nTP_HT,BI72))</f>
        <v>0</v>
      </c>
      <c r="BO72" s="21">
        <f>IF(BI72=0,0,INDEX(nTP_OK,BI72))</f>
        <v>0</v>
      </c>
      <c r="BP72" s="21" t="str">
        <f>IF(BI72=0,"",INDEX(nTP_Loc,BI72))</f>
        <v/>
      </c>
      <c r="BQ72" s="21" t="str">
        <f>IF(BI72=0,"",INDEX(nTP_UTC,BI72))</f>
        <v/>
      </c>
      <c r="BR72" s="21">
        <f>IF(BI72=0,"",INDEX(nTP_Lo,BI72))</f>
        <v>46154</v>
      </c>
      <c r="BS72" s="21">
        <f>IF(BI72=0,"",INDEX(nTP_Hi,BI72))</f>
        <v>46154</v>
      </c>
      <c r="BT72" s="21" t="str">
        <f>IF(BI72=0,"",INDEX(nTP_Original_Text,BI72))</f>
        <v>12/05/2026 HBV DNA 1,850 IU/mL</v>
      </c>
      <c r="BU72" s="21" t="str">
        <f>IF(BI72=0,"",INDEX(nTP_Source,BI72))</f>
        <v>Hepatology letter</v>
      </c>
      <c r="BV72" s="21" t="str">
        <f>IF(BI72=0,"",INDEX(nTP_Lab_Note,BI72))</f>
        <v/>
      </c>
      <c r="BW72" s="22">
        <f t="shared" si="88"/>
        <v>1</v>
      </c>
      <c r="BX72" s="21" t="str">
        <f t="shared" si="89"/>
        <v>EX-C28|2|EX-PRED</v>
      </c>
      <c r="BY72" s="22">
        <f>IF(BG72=0,0,COUNTIF(nTP_CandKey,BX72))</f>
        <v>0</v>
      </c>
      <c r="BZ72" s="22">
        <f>IF(BG72=0,0,COUNTIFS(nTP_CandKey,BX72,nTP_Err,""))</f>
        <v>0</v>
      </c>
      <c r="CA72" s="21" t="str">
        <f>IF(BY72=BZ72,"",IF(COUNTIFS(nTP_CandKey,BX72,nTP_Err,"E_INVALID_DATE")&gt;0,"; E_INVALID_DATE","")&amp;IF(COUNTIFS(nTP_CandKey,BX72,nTP_Err,"E_REVERSED_BOUNDS")&gt;0,"; E_REVERSED_BOUNDS","")&amp;IF(COUNTIFS(nTP_CandKey,BX72,nTP_Err,"E_MISSING_INPUT")&gt;0,"; E_MISSING_INPUT","")&amp;IF(COUNTIFS(nTP_CandKey,BX72,nTP_Err,"E_INVALID_UNIT")&gt;0,"; E_INVALID_UNIT",""))</f>
        <v/>
      </c>
      <c r="CB72" s="22">
        <f t="shared" si="90"/>
        <v>0</v>
      </c>
      <c r="CC72" s="22">
        <f>IF(CB72=0,0,SUMPRODUCT((nTP_CandKey=BX72)*(nTP_Err="")*(1-(nTP_HT*BN72*((nTP_OK*BO72*(nTP_UTC_n-N(BQ72))+(1-nTP_OK*BO72)*(nTP_Loc_n-N(BP72)))&lt;=0)+(1-nTP_HT*BN72)*(nTP_Hi_n&lt;N(BR72)))-(nTP_HT*BN72*((nTP_OK*BO72*(nTP_UTC_n-N(BQ72))+(1-nTP_OK*BO72)*(nTP_Loc_n-N(BP72)))&gt;0)+(1-nTP_HT*BN72)*(nTP_Lo_n&gt;N(BS72)))-((1-nTP_HT*BN72)*(nTP_Lo_n=nTP_Hi_n)*(nTP_Lo_n=N(BR72))*(N(BR72)=N(BS72))))))</f>
        <v>0</v>
      </c>
      <c r="CD72" s="22">
        <f>IF(CB72=0,0,SUMPRODUCT((nTP_CandKey=BX72)*nTP_Exact*((nTP_HT*BN72*((nTP_OK*BO72*(nTP_UTC_n-N(BQ72))+(1-nTP_OK*BO72)*(nTP_Loc_n-N(BP72)))&lt;=0)+(1-nTP_HT*BN72)*(nTP_Hi_n&lt;N(BR72)))+((1-nTP_HT*BN72)*(nTP_Lo_n=nTP_Hi_n)*(nTP_Lo_n=N(BR72))*(N(BR72)=N(BS72))))))</f>
        <v>0</v>
      </c>
      <c r="CE72" s="22">
        <f>IF(CB72=0,0,SUMPRODUCT((nTP_CandKey=BX72)*(nTP_Err="")*(1-nTP_Exact)*((nTP_HT*BN72*((nTP_OK*BO72*(nTP_UTC_n-N(BQ72))+(1-nTP_OK*BO72)*(nTP_Loc_n-N(BP72)))&lt;=0)+(1-nTP_HT*BN72)*(nTP_Hi_n&lt;N(BR72)))+((1-nTP_HT*BN72)*(nTP_Lo_n=nTP_Hi_n)*(nTP_Lo_n=N(BR72))*(N(BR72)=N(BS72))))))</f>
        <v>0</v>
      </c>
      <c r="CF72" s="22">
        <f>IF(CD72=0,0,SUMPRODUCT(MAX((nTP_CandKey=BX72)*nTP_Exact*((nTP_HT*BN72*((nTP_OK*BO72*(nTP_UTC_n-N(BQ72))+(1-nTP_OK*BO72)*(nTP_Loc_n-N(BP72)))&lt;=0)+(1-nTP_HT*BN72)*(nTP_Hi_n&lt;N(BR72)))+((1-nTP_HT*BN72)*(nTP_Lo_n=nTP_Hi_n)*(nTP_Lo_n=N(BR72))*(N(BR72)=N(BS72))))*nTP_Lo_n)))</f>
        <v>0</v>
      </c>
      <c r="CG72" s="22">
        <f>IF(CD72=0,0,SUMPRODUCT((nTP_CandKey=BX72)*nTP_Exact*((nTP_HT*BN72*((nTP_OK*BO72*(nTP_UTC_n-N(BQ72))+(1-nTP_OK*BO72)*(nTP_Loc_n-N(BP72)))&lt;=0)+(1-nTP_HT*BN72)*(nTP_Hi_n&lt;N(BR72)))+((1-nTP_HT*BN72)*(nTP_Lo_n=nTP_Hi_n)*(nTP_Lo_n=N(BR72))*(N(BR72)=N(BS72))))*(nTP_Lo_n=CF72)))</f>
        <v>0</v>
      </c>
      <c r="CH72" s="22">
        <f>IF(CD72=0,0,SUMPRODUCT((nTP_CandKey=BX72)*nTP_Exact*((nTP_HT*BN72*((nTP_OK*BO72*(nTP_UTC_n-N(BQ72))+(1-nTP_OK*BO72)*(nTP_Loc_n-N(BP72)))&lt;=0)+(1-nTP_HT*BN72)*(nTP_Hi_n&lt;N(BR72)))+((1-nTP_HT*BN72)*(nTP_Lo_n=nTP_Hi_n)*(nTP_Lo_n=N(BR72))*(N(BR72)=N(BS72))))*(1-nTP_HT)*(nTP_Lo_n=CF72)))</f>
        <v>0</v>
      </c>
      <c r="CI72" s="22">
        <f>IF(CD72=0,0,SUMPRODUCT(MAX((nTP_CandKey=BX72)*nTP_Exact*((nTP_HT*BN72*((nTP_OK*BO72*(nTP_UTC_n-N(BQ72))+(1-nTP_OK*BO72)*(nTP_Loc_n-N(BP72)))&lt;=0)+(1-nTP_HT*BN72)*(nTP_Hi_n&lt;N(BR72)))+((1-nTP_HT*BN72)*(nTP_Lo_n=nTP_Hi_n)*(nTP_Lo_n=N(BR72))*(N(BR72)=N(BS72))))*(1-nTP_HT)*nTP_Lo_n)))</f>
        <v>0</v>
      </c>
      <c r="CJ72" s="22">
        <f>IF(CD72=0,0,SUMPRODUCT(MAX((nTP_CandKey=BX72)*nTP_Exact*((nTP_HT*BN72*((nTP_OK*BO72*(nTP_UTC_n-N(BQ72))+(1-nTP_OK*BO72)*(nTP_Loc_n-N(BP72)))&lt;=0)+(1-nTP_HT*BN72)*(nTP_Hi_n&lt;N(BR72)))+((1-nTP_HT*BN72)*(nTP_Lo_n=nTP_Hi_n)*(nTP_Lo_n=N(BR72))*(N(BR72)=N(BS72))))*nTP_HT*nTP_OK*nTP_UTC_n)))</f>
        <v>0</v>
      </c>
      <c r="CK72" s="22">
        <f>IF(CJ72=0,0,SUMPRODUCT((nTP_CandKey=BX72)*nTP_Exact*((nTP_HT*BN72*((nTP_OK*BO72*(nTP_UTC_n-N(BQ72))+(1-nTP_OK*BO72)*(nTP_Loc_n-N(BP72)))&lt;=0)+(1-nTP_HT*BN72)*(nTP_Hi_n&lt;N(BR72)))+((1-nTP_HT*BN72)*(nTP_Lo_n=nTP_Hi_n)*(nTP_Lo_n=N(BR72))*(N(BR72)=N(BS72))))*nTP_HT*nTP_OK*(nTP_UTC_n=CJ72)))</f>
        <v>0</v>
      </c>
      <c r="CL72" s="22">
        <f>IF(CK72&lt;&gt;1,0,SUMPRODUCT((nTP_CandKey=BX72)*nTP_Exact*((nTP_HT*BN72*((nTP_OK*BO72*(nTP_UTC_n-N(BQ72))+(1-nTP_OK*BO72)*(nTP_Loc_n-N(BP72)))&lt;=0)+(1-nTP_HT*BN72)*(nTP_Hi_n&lt;N(BR72)))+((1-nTP_HT*BN72)*(nTP_Lo_n=nTP_Hi_n)*(nTP_Lo_n=N(BR72))*(N(BR72)=N(BS72))))*nTP_HT*nTP_OK*(nTP_UTC_n=CJ72)*nTP_Loc_n))</f>
        <v>0</v>
      </c>
      <c r="CM72" s="22">
        <f>IF(CK72&lt;&gt;1,0,SUMPRODUCT((nTP_CandKey=BX72)*nTP_Exact*((nTP_HT*BN72*((nTP_OK*BO72*(nTP_UTC_n-N(BQ72))+(1-nTP_OK*BO72)*(nTP_Loc_n-N(BP72)))&lt;=0)+(1-nTP_HT*BN72)*(nTP_Hi_n&lt;N(BR72)))+((1-nTP_HT*BN72)*(nTP_Lo_n=nTP_Hi_n)*(nTP_Lo_n=N(BR72))*(N(BR72)=N(BS72))))*nTP_HT*nTP_OK*(nTP_UTC_n=CJ72)*nTP_Lo_n))</f>
        <v>0</v>
      </c>
      <c r="CN72" s="22">
        <f>IF(CD72=0,0,SUMPRODUCT(MAX((nTP_CandKey=BX72)*nTP_Exact*((nTP_HT*BN72*((nTP_OK*BO72*(nTP_UTC_n-N(BQ72))+(1-nTP_OK*BO72)*(nTP_Loc_n-N(BP72)))&lt;=0)+(1-nTP_HT*BN72)*(nTP_Hi_n&lt;N(BR72)))+((1-nTP_HT*BN72)*(nTP_Lo_n=nTP_Hi_n)*(nTP_Lo_n=N(BR72))*(N(BR72)=N(BS72))))*nTP_HT*(1-nTP_OK)*nTP_Loc_n)))</f>
        <v>0</v>
      </c>
      <c r="CO72" s="22">
        <f>IF(CN72=0,0,SUMPRODUCT((nTP_CandKey=BX72)*nTP_Exact*((nTP_HT*BN72*((nTP_OK*BO72*(nTP_UTC_n-N(BQ72))+(1-nTP_OK*BO72)*(nTP_Loc_n-N(BP72)))&lt;=0)+(1-nTP_HT*BN72)*(nTP_Hi_n&lt;N(BR72)))+((1-nTP_HT*BN72)*(nTP_Lo_n=nTP_Hi_n)*(nTP_Lo_n=N(BR72))*(N(BR72)=N(BS72))))*nTP_HT*(1-nTP_OK)*(nTP_Loc_n=CN72)))</f>
        <v>0</v>
      </c>
      <c r="CP72" s="22">
        <f>IF(CO72&lt;&gt;1,0,SUMPRODUCT((nTP_CandKey=BX72)*nTP_Exact*((nTP_HT*BN72*((nTP_OK*BO72*(nTP_UTC_n-N(BQ72))+(1-nTP_OK*BO72)*(nTP_Loc_n-N(BP72)))&lt;=0)+(1-nTP_HT*BN72)*(nTP_Hi_n&lt;N(BR72)))+((1-nTP_HT*BN72)*(nTP_Lo_n=nTP_Hi_n)*(nTP_Lo_n=N(BR72))*(N(BR72)=N(BS72))))*nTP_HT*(1-nTP_OK)*(nTP_Loc_n=CN72)*nTP_Lo_n))</f>
        <v>0</v>
      </c>
      <c r="CQ72" s="22">
        <f>IF(CD72=0,0,SUMPRODUCT(MAX((nTP_CandKey=BX72)*nTP_Exact*((nTP_HT*BN72*((nTP_OK*BO72*(nTP_UTC_n-N(BQ72))+(1-nTP_OK*BO72)*(nTP_Loc_n-N(BP72)))&lt;=0)+(1-nTP_HT*BN72)*(nTP_Hi_n&lt;N(BR72)))+((1-nTP_HT*BN72)*(nTP_Lo_n=nTP_Hi_n)*(nTP_Lo_n=N(BR72))*(N(BR72)=N(BS72))))*nTP_HT*nTP_OK*nTP_Loc_n)))</f>
        <v>0</v>
      </c>
      <c r="CR72" s="22">
        <f t="shared" si="91"/>
        <v>0</v>
      </c>
      <c r="CS72" s="22">
        <f>IF(CR72=0,0,IF(CR72=1,MATCH(1,INDEX((nTP_CandKey=BX72)*nTP_Exact*((nTP_HT*BN72*((nTP_OK*BO72*(nTP_UTC_n-N(BQ72))+(1-nTP_OK*BO72)*(nTP_Loc_n-N(BP72)))&lt;=0)+(1-nTP_HT*BN72)*(nTP_Hi_n&lt;N(BR72)))+((1-nTP_HT*BN72)*(nTP_Lo_n=nTP_Hi_n)*(nTP_Lo_n=N(BR72))*(N(BR72)=N(BS72))))*(1-nTP_HT)*(nTP_Lo_n=CF72),0),0),IF(CR72=2,MATCH(1,INDEX((nTP_CandKey=BX72)*nTP_Exact*((nTP_HT*BN72*((nTP_OK*BO72*(nTP_UTC_n-N(BQ72))+(1-nTP_OK*BO72)*(nTP_Loc_n-N(BP72)))&lt;=0)+(1-nTP_HT*BN72)*(nTP_Hi_n&lt;N(BR72)))+((1-nTP_HT*BN72)*(nTP_Lo_n=nTP_Hi_n)*(nTP_Lo_n=N(BR72))*(N(BR72)=N(BS72))))*nTP_HT*nTP_OK*(nTP_UTC_n=CJ72),0),0),MATCH(1,INDEX((nTP_CandKey=BX72)*nTP_Exact*((nTP_HT*BN72*((nTP_OK*BO72*(nTP_UTC_n-N(BQ72))+(1-nTP_OK*BO72)*(nTP_Loc_n-N(BP72)))&lt;=0)+(1-nTP_HT*BN72)*(nTP_Hi_n&lt;N(BR72)))+((1-nTP_HT*BN72)*(nTP_Lo_n=nTP_Hi_n)*(nTP_Lo_n=N(BR72))*(N(BR72)=N(BS72))))*nTP_HT*(1-nTP_OK)*(nTP_Loc_n=CN72),0),0))))</f>
        <v>0</v>
      </c>
      <c r="CT72" s="22">
        <f>IF(CS72=0,0,INDEX(nTP_Lo_n,CS72))</f>
        <v>0</v>
      </c>
      <c r="CU72" s="22">
        <f>IF(CS72=0,0,SUMPRODUCT((nTP_CandKey=BX72)*(nTP_Err="")*(1-nTP_Exact)*((nTP_HT*BN72*((nTP_OK*BO72*(nTP_UTC_n-N(BQ72))+(1-nTP_OK*BO72)*(nTP_Loc_n-N(BP72)))&lt;=0)+(1-nTP_HT*BN72)*(nTP_Hi_n&lt;N(BR72)))+((1-nTP_HT*BN72)*(nTP_Lo_n=nTP_Hi_n)*(nTP_Lo_n=N(BR72))*(N(BR72)=N(BS72))))*(nTP_Hi_n&gt;=CT72)))</f>
        <v>0</v>
      </c>
      <c r="CV72" s="21" t="str">
        <f t="shared" si="92"/>
        <v/>
      </c>
      <c r="CW72" s="21" t="str">
        <f>IF(AND(BG72=1,CB72=1,CV72="",CS72&gt;0),INDEX(nTP_Record_ID,CS72)&amp;"","")</f>
        <v/>
      </c>
      <c r="CX72" s="21" t="str">
        <f>IF(OR(CV72="",BG72=0),"",IF(CV72="none","an administration record (last dose before onset)",IF(CV72="uncertain","the anchor record: "&amp;INDEX(nTP_Record_ID,MATCH(1,INDEX((nTP_CandKey=BX72)*(nTP_Err="")*(1-(nTP_HT*BN72*((nTP_OK*BO72*(nTP_UTC_n-N(BQ72))+(1-nTP_OK*BO72)*(nTP_Loc_n-N(BP72)))&lt;=0)+(1-nTP_HT*BN72)*(nTP_Hi_n&lt;N(BR72)))-(nTP_HT*BN72*((nTP_OK*BO72*(nTP_UTC_n-N(BQ72))+(1-nTP_OK*BO72)*(nTP_Loc_n-N(BP72)))&gt;0)+(1-nTP_HT*BN72)*(nTP_Lo_n&gt;N(BS72)))-((1-nTP_HT*BN72)*(nTP_Lo_n=nTP_Hi_n)*(nTP_Lo_n=N(BR72))*(N(BR72)=N(BS72)))),0),0))&amp;IF(CC72&gt;1," and "&amp;(CC72-1)&amp;" more","")&amp;" may fall before or after the end point, so the last dose cannot be identified from the recorded dates",IF(CV72="noneligible","the anchor record: no administration with an exact date is recorded at or before the end point",IF(CV72="tie","the anchor record: the order of the latest administrations cannot be told from the recorded dates and times","the anchor record: partial-date administration "&amp;INDEX(nTP_Record_ID,MATCH(1,INDEX((nTP_CandKey=BX72)*(nTP_Err="")*(1-nTP_Exact)*((nTP_HT*BN72*((nTP_OK*BO72*(nTP_UTC_n-N(BQ72))+(1-nTP_OK*BO72)*(nTP_Loc_n-N(BP72)))&lt;=0)+(1-nTP_HT*BN72)*(nTP_Hi_n&lt;N(BR72)))+((1-nTP_HT*BN72)*(nTP_Lo_n=nTP_Hi_n)*(nTP_Lo_n=N(BR72))*(N(BR72)=N(BS72))))*(nTP_Hi_n&gt;=CT72),0),0))&amp;" could be the last dose before the end point")))))</f>
        <v/>
      </c>
      <c r="CY72" s="22">
        <f>IF(OR(AW72=1,AJ72=""),0,IFERROR(MATCH(AX72&amp;"|"&amp;AJ72,nTP_Key,0),0))</f>
        <v>41</v>
      </c>
      <c r="CZ72" s="21">
        <f>IF(CY72=0,0,INDEX(nTP_Dup,CY72))</f>
        <v>1</v>
      </c>
      <c r="DA72" s="21" t="str">
        <f>IF(CY72=0,"",INDEX(nTP_Record_Type,CY72))</f>
        <v>EXPOSURE_START</v>
      </c>
      <c r="DB72" s="21" t="str">
        <f>IF(CY72=0,"",INDEX(nTP_Precision,CY72))</f>
        <v>DATE</v>
      </c>
      <c r="DC72" s="21" t="str">
        <f>IF(CY72=0,"",INDEX(nTP_Err,CY72))</f>
        <v/>
      </c>
      <c r="DD72" s="21">
        <f>IF(CY72=0,0,INDEX(nTP_HT,CY72))</f>
        <v>0</v>
      </c>
      <c r="DE72" s="21">
        <f>IF(CY72=0,0,INDEX(nTP_OK,CY72))</f>
        <v>0</v>
      </c>
      <c r="DF72" s="21" t="str">
        <f>IF(CY72=0,"",INDEX(nTP_Loc,CY72))</f>
        <v/>
      </c>
      <c r="DG72" s="21" t="str">
        <f>IF(CY72=0,"",INDEX(nTP_UTC,CY72))</f>
        <v/>
      </c>
      <c r="DH72" s="21">
        <f>IF(CY72=0,"",INDEX(nTP_Lo,CY72))</f>
        <v>46083</v>
      </c>
      <c r="DI72" s="21">
        <f>IF(CY72=0,"",INDEX(nTP_Hi,CY72))</f>
        <v>46083</v>
      </c>
      <c r="DJ72" s="21" t="str">
        <f>IF(CY72=0,"",INDEX(nTP_Original_Text,CY72))</f>
        <v>10-day oral prednisolone course 02-11/03/2026</v>
      </c>
      <c r="DK72" s="21" t="str">
        <f>IF(CY72=0,"",INDEX(nTP_Source,CY72))</f>
        <v>Hepatology letter</v>
      </c>
      <c r="DL72" s="22">
        <f t="shared" si="93"/>
        <v>1</v>
      </c>
      <c r="DM72" s="21" t="str">
        <f t="shared" si="94"/>
        <v/>
      </c>
      <c r="DN72" s="21" t="str">
        <f t="shared" si="95"/>
        <v/>
      </c>
      <c r="DO72" s="21" t="str">
        <f t="shared" si="96"/>
        <v/>
      </c>
      <c r="DP72" s="21" t="str">
        <f t="shared" si="97"/>
        <v/>
      </c>
      <c r="DQ72" s="21" t="str">
        <f t="shared" si="98"/>
        <v>C2</v>
      </c>
      <c r="DR72" s="22">
        <f>IF(OR(DQ72="",I72=""),0,IF(ISNA(MATCH(I72,nLIST_Mode,0)),1,IF(AND(I72="C1",DQ72&lt;&gt;"C1"),1,IF(AND(I72="C2",DQ72="C4"),1,0))))</f>
        <v>0</v>
      </c>
      <c r="DS72" s="21" t="str">
        <f t="shared" si="99"/>
        <v>C2</v>
      </c>
      <c r="DT72" s="22">
        <f t="shared" si="100"/>
        <v>0</v>
      </c>
      <c r="DU72" s="21" t="str">
        <f>IF(DT72=0,"",IF(COUNTIFS(nTP_Case_Key,AX72,nTP_Record_Type,"MILESTONE:INTERVENTION",nTP_Err,"E_INVALID_DATE")&gt;0,"; E_INVALID_DATE","")&amp;IF(COUNTIFS(nTP_Case_Key,AX72,nTP_Record_Type,"MILESTONE:INTERVENTION",nTP_Err,"E_REVERSED_BOUNDS")&gt;0,"; E_REVERSED_BOUNDS","")&amp;IF(COUNTIFS(nTP_Case_Key,AX72,nTP_Record_Type,"MILESTONE:INTERVENTION",nTP_Err,"E_MISSING_INPUT")&gt;0,"; E_MISSING_INPUT","")&amp;IF(COUNTIFS(nTP_Case_Key,AX72,nTP_Record_Type,"MILESTONE:INTERVENTION",nTP_Err,"E_INVALID_UNIT")&gt;0,"; E_INVALID_UNIT",""))</f>
        <v/>
      </c>
      <c r="DV72" s="22">
        <f>IF(DT72=0,0,SUMPRODUCT((nMS_CaseKey=AX72)*(nMS_Type="INTERVENTION")*nMS_Undated))</f>
        <v>0</v>
      </c>
      <c r="DW72" s="21" t="str">
        <f t="shared" si="101"/>
        <v/>
      </c>
      <c r="DX72" s="21" t="str">
        <f t="shared" si="102"/>
        <v/>
      </c>
      <c r="DY72" s="22">
        <f t="shared" si="103"/>
        <v>1</v>
      </c>
      <c r="DZ72" s="21" t="str">
        <f t="shared" si="104"/>
        <v/>
      </c>
      <c r="EA72" s="21">
        <f t="shared" si="105"/>
        <v>71</v>
      </c>
      <c r="EB72" s="21" t="str">
        <f t="shared" si="106"/>
        <v/>
      </c>
      <c r="EC72" s="21" t="str">
        <f t="shared" si="107"/>
        <v/>
      </c>
      <c r="ED72" s="22">
        <f t="shared" si="108"/>
        <v>0</v>
      </c>
      <c r="EE72" s="22">
        <f t="shared" si="109"/>
        <v>0</v>
      </c>
      <c r="EF72" s="21" t="str">
        <f>IF(ED72=0,"",IF(OR(NOT(ISNUMBER(L72)),NOT(ISNUMBER(M72))),"I_APPROXIMATE_NOT_COMPARED",IF(AND(N72&lt;&gt;"",ISNA(MATCH(N72,nLIST_ReportedUnit,0))),"E_INVALID_UNIT",IF(N72="","E_MISSING_INPUT",IF(L72&gt;M72,"E_REVERSED_BOUNDS",IF(OR(N72="weeks",N72="months",N72="years"),"I_APPROXIMATE_NOT_COMPARED",IF(DX72&lt;&gt;"","",IF(EE72=0,"I_APPROXIMATE_NOT_COMPARED",IF(AND(L72*EE72&lt;=IF(DS72="C4",EC72,IF(DS72="C1",DZ72,EA72)),M72*EE72&gt;=IF(DS72="C4",EB72,IF(DS72="C1",DZ72,EA72))),"OVERLAP","W_REPORTED_TIMING_CONFLICT")))))))))</f>
        <v/>
      </c>
      <c r="EG72" s="21" t="str">
        <f t="shared" si="110"/>
        <v/>
      </c>
      <c r="EH72" s="21" t="str">
        <f t="shared" si="111"/>
        <v/>
      </c>
      <c r="EI72" s="22">
        <f t="shared" si="112"/>
        <v>1</v>
      </c>
      <c r="EJ72" s="22">
        <f t="shared" si="113"/>
        <v>0</v>
      </c>
      <c r="EK72" s="22">
        <f t="shared" si="114"/>
        <v>0</v>
      </c>
      <c r="EL72" s="28" t="str">
        <f t="shared" si="115"/>
        <v/>
      </c>
      <c r="EM72" s="28" t="str">
        <f t="shared" si="116"/>
        <v/>
      </c>
      <c r="EN72" s="21" t="str">
        <f t="shared" si="117"/>
        <v/>
      </c>
      <c r="EO72" s="22">
        <f>IF(OR(DT72=0,DX72&lt;&gt;""),0,SUMPRODUCT((nTP_Case_Key=AX72)*(nTP_Record_Type="MILESTONE:INTERVENTION")*(nTP_Err="")*(nTP_HT*DD72*BN72*(nTP_OK*DE72*(nTP_UTC_n&gt;=N(DG72))+(1-nTP_OK*DE72)*(nTP_Loc_n&gt;=N(DF72)))*(nTP_OK*BO72*(nTP_UTC_n&lt;=N(BQ72))+(1-nTP_OK*BO72)*(nTP_Loc_n&lt;=N(BP72)))+(1-nTP_HT*DD72*BN72)*(nTP_Hi_n&gt;=N(DH72))*(nTP_Lo_n&lt;=N(BS72)))))</f>
        <v>0</v>
      </c>
      <c r="EP72" s="22">
        <f>IF(OR(DT72=0,DX72&lt;&gt;""),0,SUMPRODUCT((nTP_Case_Key=AX72)*(nTP_Role="treatment of the event")*((nTP_Record_Type="EXPOSURE_START")+(nTP_Record_Type="ADMINISTRATION"))*(nTP_Err="")*(nTP_HT*DD72*BN72*(nTP_OK*DE72*(nTP_UTC_n&gt;=N(DG72))+(1-nTP_OK*DE72)*(nTP_Loc_n&gt;=N(DF72)))*(nTP_OK*BO72*(nTP_UTC_n&lt;=N(BQ72))+(1-nTP_OK*BO72)*(nTP_Loc_n&lt;=N(BP72)))+(1-nTP_HT*DD72*BN72)*(nTP_Hi_n&gt;=N(DH72))*(nTP_Lo_n&lt;=N(BS72)))))</f>
        <v>0</v>
      </c>
      <c r="EQ72" s="22">
        <f>IF(EO72&lt;1,0,IFERROR(_xlfn.AGGREGATE(15,6,nTP_RowN/((nTP_Case_Key=AX72)*(nTP_Record_Type="MILESTONE:INTERVENTION")*(nTP_Err="")*(nTP_HT*DD72*BN72*(nTP_OK*DE72*(nTP_UTC_n&gt;=N(DG72))+(1-nTP_OK*DE72)*(nTP_Loc_n&gt;=N(DF72)))*(nTP_OK*BO72*(nTP_UTC_n&lt;=N(BQ72))+(1-nTP_OK*BO72)*(nTP_Loc_n&lt;=N(BP72)))+(1-nTP_HT*DD72*BN72)*(nTP_Hi_n&gt;=N(DH72))*(nTP_Lo_n&lt;=N(BS72)))),1),0))</f>
        <v>0</v>
      </c>
      <c r="ER72" s="22">
        <f>IF(EO72&lt;2,0,IFERROR(_xlfn.AGGREGATE(15,6,nTP_RowN/((nTP_Case_Key=AX72)*(nTP_Record_Type="MILESTONE:INTERVENTION")*(nTP_Err="")*(nTP_HT*DD72*BN72*(nTP_OK*DE72*(nTP_UTC_n&gt;=N(DG72))+(1-nTP_OK*DE72)*(nTP_Loc_n&gt;=N(DF72)))*(nTP_OK*BO72*(nTP_UTC_n&lt;=N(BQ72))+(1-nTP_OK*BO72)*(nTP_Loc_n&lt;=N(BP72)))+(1-nTP_HT*DD72*BN72)*(nTP_Hi_n&gt;=N(DH72))*(nTP_Lo_n&lt;=N(BS72)))),2),0))</f>
        <v>0</v>
      </c>
      <c r="ES72" s="22">
        <f>IF(EO72&lt;3,0,IFERROR(_xlfn.AGGREGATE(15,6,nTP_RowN/((nTP_Case_Key=AX72)*(nTP_Record_Type="MILESTONE:INTERVENTION")*(nTP_Err="")*(nTP_HT*DD72*BN72*(nTP_OK*DE72*(nTP_UTC_n&gt;=N(DG72))+(1-nTP_OK*DE72)*(nTP_Loc_n&gt;=N(DF72)))*(nTP_OK*BO72*(nTP_UTC_n&lt;=N(BQ72))+(1-nTP_OK*BO72)*(nTP_Loc_n&lt;=N(BP72)))+(1-nTP_HT*DD72*BN72)*(nTP_Hi_n&gt;=N(DH72))*(nTP_Lo_n&lt;=N(BS72)))),3),0))</f>
        <v>0</v>
      </c>
      <c r="ET72" s="22">
        <f>IF(EP72&lt;1,0,IFERROR(_xlfn.AGGREGATE(15,6,nTP_RowN/((nTP_Case_Key=AX72)*(nTP_Role="treatment of the event")*((nTP_Record_Type="EXPOSURE_START")+(nTP_Record_Type="ADMINISTRATION"))*(nTP_Err="")*(nTP_HT*DD72*BN72*(nTP_OK*DE72*(nTP_UTC_n&gt;=N(DG72))+(1-nTP_OK*DE72)*(nTP_Loc_n&gt;=N(DF72)))*(nTP_OK*BO72*(nTP_UTC_n&lt;=N(BQ72))+(1-nTP_OK*BO72)*(nTP_Loc_n&lt;=N(BP72)))+(1-nTP_HT*DD72*BN72)*(nTP_Hi_n&gt;=N(DH72))*(nTP_Lo_n&lt;=N(BS72)))),1),0))</f>
        <v>0</v>
      </c>
      <c r="EU72" s="22">
        <f>IF(EP72&lt;2,0,IFERROR(_xlfn.AGGREGATE(15,6,nTP_RowN/((nTP_Case_Key=AX72)*(nTP_Role="treatment of the event")*((nTP_Record_Type="EXPOSURE_START")+(nTP_Record_Type="ADMINISTRATION"))*(nTP_Err="")*(nTP_HT*DD72*BN72*(nTP_OK*DE72*(nTP_UTC_n&gt;=N(DG72))+(1-nTP_OK*DE72)*(nTP_Loc_n&gt;=N(DF72)))*(nTP_OK*BO72*(nTP_UTC_n&lt;=N(BQ72))+(1-nTP_OK*BO72)*(nTP_Loc_n&lt;=N(BP72)))+(1-nTP_HT*DD72*BN72)*(nTP_Hi_n&gt;=N(DH72))*(nTP_Lo_n&lt;=N(BS72)))),2),0))</f>
        <v>0</v>
      </c>
      <c r="EV72" s="22">
        <f>IF(EP72&lt;3,0,IFERROR(_xlfn.AGGREGATE(15,6,nTP_RowN/((nTP_Case_Key=AX72)*(nTP_Role="treatment of the event")*((nTP_Record_Type="EXPOSURE_START")+(nTP_Record_Type="ADMINISTRATION"))*(nTP_Err="")*(nTP_HT*DD72*BN72*(nTP_OK*DE72*(nTP_UTC_n&gt;=N(DG72))+(1-nTP_OK*DE72)*(nTP_Loc_n&gt;=N(DF72)))*(nTP_OK*BO72*(nTP_UTC_n&lt;=N(BQ72))+(1-nTP_OK*BO72)*(nTP_Loc_n&lt;=N(BP72)))+(1-nTP_HT*DD72*BN72)*(nTP_Hi_n&gt;=N(DH72))*(nTP_Lo_n&lt;=N(BS72)))),3),0))</f>
        <v>0</v>
      </c>
      <c r="EW72" s="22">
        <f>IF(CE72&lt;1,0,IFERROR(_xlfn.AGGREGATE(15,6,nTP_RowN/((nTP_CandKey=BX72)*(nTP_Err="")*(1-nTP_Exact)*((nTP_HT*BN72*((nTP_OK*BO72*(nTP_UTC_n-N(BQ72))+(1-nTP_OK*BO72)*(nTP_Loc_n-N(BP72)))&lt;=0)+(1-nTP_HT*BN72)*(nTP_Hi_n&lt;N(BR72)))+((1-nTP_HT*BN72)*(nTP_Lo_n=nTP_Hi_n)*(nTP_Lo_n=N(BR72))*(N(BR72)=N(BS72))))),1),0))</f>
        <v>0</v>
      </c>
      <c r="EX72" s="22">
        <f>IF(CE72&lt;2,0,IFERROR(_xlfn.AGGREGATE(15,6,nTP_RowN/((nTP_CandKey=BX72)*(nTP_Err="")*(1-nTP_Exact)*((nTP_HT*BN72*((nTP_OK*BO72*(nTP_UTC_n-N(BQ72))+(1-nTP_OK*BO72)*(nTP_Loc_n-N(BP72)))&lt;=0)+(1-nTP_HT*BN72)*(nTP_Hi_n&lt;N(BR72)))+((1-nTP_HT*BN72)*(nTP_Lo_n=nTP_Hi_n)*(nTP_Lo_n=N(BR72))*(N(BR72)=N(BS72))))),2),0))</f>
        <v>0</v>
      </c>
      <c r="EY72" s="22">
        <f>IF(CE72&lt;3,0,IFERROR(_xlfn.AGGREGATE(15,6,nTP_RowN/((nTP_CandKey=BX72)*(nTP_Err="")*(1-nTP_Exact)*((nTP_HT*BN72*((nTP_OK*BO72*(nTP_UTC_n-N(BQ72))+(1-nTP_OK*BO72)*(nTP_Loc_n-N(BP72)))&lt;=0)+(1-nTP_HT*BN72)*(nTP_Hi_n&lt;N(BR72)))+((1-nTP_HT*BN72)*(nTP_Lo_n=nTP_Hi_n)*(nTP_Lo_n=N(BR72))*(N(BR72)=N(BS72))))),3),0))</f>
        <v>0</v>
      </c>
      <c r="EZ72" s="21" t="str">
        <f>IF(EO72=0,"",MID(IF(EQ72&gt;0,"; "&amp;INDEX(nTP_Record_ID,EQ72)&amp;IF(INDEX(nTP_Label,EQ72)="",""," ("&amp;INDEX(nTP_Label,EQ72)&amp;")"),"")&amp;IF(ER72&gt;0,"; "&amp;INDEX(nTP_Record_ID,ER72)&amp;IF(INDEX(nTP_Label,ER72)="",""," ("&amp;INDEX(nTP_Label,ER72)&amp;")"),"")&amp;IF(ES72&gt;0,"; "&amp;INDEX(nTP_Record_ID,ES72)&amp;IF(INDEX(nTP_Label,ES72)="",""," ("&amp;INDEX(nTP_Label,ES72)&amp;")"),"")&amp;IF(EO72&gt;3,"; and "&amp;(EO72-3)&amp;" more",""),3,999))</f>
        <v/>
      </c>
      <c r="FA72" s="21" t="str">
        <f>IF(EO72=0,"",MID(IF(EQ72&gt;0,"; "&amp;INDEX(nTP_Record_ID,EQ72),"")&amp;IF(ER72&gt;0,"; "&amp;INDEX(nTP_Record_ID,ER72),"")&amp;IF(ES72&gt;0,"; "&amp;INDEX(nTP_Record_ID,ES72),"")&amp;IF(EO72&gt;3,"; and "&amp;(EO72-3)&amp;" more",""),3,999))</f>
        <v/>
      </c>
      <c r="FB72" s="21" t="str">
        <f>IF(EP72=0,"",MID(IF(ET72&gt;0,"; "&amp;INDEX(nTP_Record_ID,ET72)&amp;IF(INDEX(nTP_Label,ET72)="",""," ("&amp;INDEX(nTP_Label,ET72)&amp;")"),"")&amp;IF(EU72&gt;0,"; "&amp;INDEX(nTP_Record_ID,EU72)&amp;IF(INDEX(nTP_Label,EU72)="",""," ("&amp;INDEX(nTP_Label,EU72)&amp;")"),"")&amp;IF(EV72&gt;0,"; "&amp;INDEX(nTP_Record_ID,EV72)&amp;IF(INDEX(nTP_Label,EV72)="",""," ("&amp;INDEX(nTP_Label,EV72)&amp;")"),"")&amp;IF(EP72&gt;3,"; and "&amp;(EP72-3)&amp;" more",""),3,999))</f>
        <v/>
      </c>
      <c r="FC72" s="21" t="str">
        <f>IF(CE72=0,"",MID(IF(EW72&gt;0,"; "&amp;INDEX(nTP_Record_ID,EW72),"")&amp;IF(EX72&gt;0,"; "&amp;INDEX(nTP_Record_ID,EX72),"")&amp;IF(EY72&gt;0,"; "&amp;INDEX(nTP_Record_ID,EY72),"")&amp;IF(CE72&gt;3,"; and "&amp;(CE72-3)&amp;" more",""),3,999))</f>
        <v/>
      </c>
      <c r="FD72" s="22">
        <f t="shared" si="118"/>
        <v>0</v>
      </c>
      <c r="FE72" s="22">
        <f t="shared" si="119"/>
        <v>0</v>
      </c>
      <c r="FF72" s="22">
        <f t="shared" si="120"/>
        <v>0</v>
      </c>
      <c r="FG72" s="22">
        <f t="shared" si="121"/>
        <v>0</v>
      </c>
      <c r="FH72" s="22">
        <f t="shared" si="122"/>
        <v>0</v>
      </c>
      <c r="FI72" s="22">
        <f t="shared" si="123"/>
        <v>0</v>
      </c>
      <c r="FJ72" s="22">
        <f t="shared" si="124"/>
        <v>0</v>
      </c>
      <c r="FK72" s="22">
        <f t="shared" si="125"/>
        <v>0</v>
      </c>
    </row>
    <row r="73" spans="1:167" x14ac:dyDescent="0.2">
      <c r="A73" s="9" t="s">
        <v>1145</v>
      </c>
      <c r="B73" s="9" t="s">
        <v>305</v>
      </c>
      <c r="C73" s="11">
        <v>2</v>
      </c>
      <c r="D73" s="9" t="s">
        <v>898</v>
      </c>
      <c r="E73" s="16" t="s">
        <v>55</v>
      </c>
      <c r="F73" s="9" t="s">
        <v>1173</v>
      </c>
      <c r="G73" s="9" t="s">
        <v>1172</v>
      </c>
      <c r="H73" s="9" t="s">
        <v>1168</v>
      </c>
      <c r="I73" s="16" t="s">
        <v>61</v>
      </c>
      <c r="J73" s="16"/>
      <c r="K73" s="9"/>
      <c r="L73" s="16"/>
      <c r="M73" s="16"/>
      <c r="N73" s="16"/>
      <c r="O73" s="9"/>
      <c r="P73" s="14"/>
      <c r="Q73" s="14"/>
      <c r="R73" s="9"/>
      <c r="S73" s="9"/>
      <c r="T73" s="21" t="str">
        <f t="shared" si="63"/>
        <v>−21 to +71 calendar days</v>
      </c>
      <c r="U73" s="21" t="str">
        <f t="shared" si="64"/>
        <v>−21 to +71 calendar days</v>
      </c>
      <c r="V73" s="21" t="str">
        <f t="shared" si="65"/>
        <v/>
      </c>
      <c r="W73" s="21">
        <f t="shared" si="66"/>
        <v>-21</v>
      </c>
      <c r="X73" s="21">
        <f t="shared" si="67"/>
        <v>71</v>
      </c>
      <c r="Y73" s="21" t="str">
        <f t="shared" si="68"/>
        <v>calendar days</v>
      </c>
      <c r="Z73" s="21" t="str">
        <f t="shared" si="69"/>
        <v>C4</v>
      </c>
      <c r="AA73" s="21" t="str">
        <f t="shared" si="70"/>
        <v>SEQUENCE_UNCERTAIN</v>
      </c>
      <c r="AB73" s="21" t="str">
        <f t="shared" si="71"/>
        <v/>
      </c>
      <c r="AC73" s="21" t="str">
        <f t="shared" si="72"/>
        <v>W_SEQUENCE_UNCERTAIN</v>
      </c>
      <c r="AD73" s="21" t="str">
        <f>IF(AW73=1,"",MID(IF(ISNUMBER(SEARCH("E_INVALID_DATE",EG73))," | E_INVALID_DATE: "&amp;SUBSTITUTE(IFERROR(INDEX(nMSG_Text,MATCH("E_INVALID_DATE",nMSG_Code,0)),""),"[input]",""),"")&amp;IF(ISNUMBER(SEARCH("E_REVERSED_BOUNDS",EG73))," | E_REVERSED_BOUNDS: "&amp;SUBSTITUTE(IFERROR(INDEX(nMSG_Text,MATCH("E_REVERSED_BOUNDS",nMSG_Code,0)),""),"[input]",""),"")&amp;IF(ISNUMBER(SEARCH("E_DUPLICATE_ID",EG73))," | E_DUPLICATE_ID: "&amp;SUBSTITUTE(IFERROR(INDEX(nMSG_Text,MATCH("E_DUPLICATE_ID",nMSG_Code,0)),""),"[input]",""),"")&amp;IF(ISNUMBER(SEARCH("E_MISSING_LINK",EG73))," | E_MISSING_LINK: "&amp;SUBSTITUTE(IFERROR(INDEX(nMSG_Text,MATCH("E_MISSING_LINK",nMSG_Code,0)),""),"[input]",""),"")&amp;IF(ISNUMBER(SEARCH("E_MISSING_INPUT",EG73))," | E_MISSING_INPUT: "&amp;SUBSTITUTE(IFERROR(INDEX(nMSG_Text,MATCH("E_MISSING_INPUT",nMSG_Code,0)),""),"[input]",IF(EH73="","an input",EH73)),"")&amp;IF(ISNUMBER(SEARCH("E_INVALID_UNIT",EG73))," | E_INVALID_UNIT: "&amp;SUBSTITUTE(IFERROR(INDEX(nMSG_Text,MATCH("E_INVALID_UNIT",nMSG_Code,0)),""),"[input]",""),"")&amp;IF(FD73=1," | W_TZ_UNKNOWN: "&amp;SUBSTITUTE(IFERROR(INDEX(nMSG_Text,MATCH("W_TZ_UNKNOWN",nMSG_Code,0)),""),"[input]",""),"")&amp;IF(FE73=1," | W_SAME_DATE_ORDER_UNKNOWN: "&amp;SUBSTITUTE(IFERROR(INDEX(nMSG_Text,MATCH("W_SAME_DATE_ORDER_UNKNOWN",nMSG_Code,0)),""),"[input]",""),"")&amp;IF(FF73=1," | W_SEQUENCE_UNCERTAIN: "&amp;SUBSTITUTE(IFERROR(INDEX(nMSG_Text,MATCH("W_SEQUENCE_UNCERTAIN",nMSG_Code,0)),""),"[input]",""),"")&amp;IF(FG73=1," | W_ADMIN_SAME_DATE_AS_ONSET: "&amp;SUBSTITUTE(IFERROR(INDEX(nMSG_Text,MATCH("W_ADMIN_SAME_DATE_AS_ONSET",nMSG_Code,0)),""),"[input]",""),"")&amp;IF(FH73=1," | W_REPORTED_TIMING_CONFLICT: "&amp;SUBSTITUTE(IFERROR(INDEX(nMSG_Text,MATCH("W_REPORTED_TIMING_CONFLICT",nMSG_Code,0)),""),"[input]",""),"")&amp;IF(FI73=1," | W_INTERVENTION_BEFORE_RECOVERY: "&amp;SUBSTITUTE(IFERROR(INDEX(nMSG_Text,MATCH("W_INTERVENTION_BEFORE_RECOVERY",nMSG_Code,0)),""),"[input]",""),"")&amp;IF(FJ73=1," | I_TREATMENT_DAY_UNDEFINED: "&amp;SUBSTITUTE(IFERROR(INDEX(nMSG_Text,MATCH("I_TREATMENT_DAY_UNDEFINED",nMSG_Code,0)),""),"[input]",""),"")&amp;IF(FK73=1," | I_APPROXIMATE_NOT_COMPARED: "&amp;SUBSTITUTE(IFERROR(INDEX(nMSG_Text,MATCH("I_APPROXIMATE_NOT_COMPARED",nMSG_Code,0)),""),"[input]",""),""),4,9999))</f>
        <v>W_SEQUENCE_UNCERTAIN: The available dates allow onset before or after this anchor. Sequence is not established.</v>
      </c>
      <c r="AE73" s="21" t="str">
        <f t="shared" si="73"/>
        <v/>
      </c>
      <c r="AF73" s="21" t="str">
        <f t="shared" si="74"/>
        <v/>
      </c>
      <c r="AG73" s="21" t="str">
        <f>IF(EN73="","",MID(IF(ISNUMBER(SEARCH("E_REVERSED_BOUNDS",EN73))," | E_REVERSED_BOUNDS: "&amp;SUBSTITUTE(IFERROR(INDEX(nMSG_Text,MATCH("E_REVERSED_BOUNDS",nMSG_Code,0)),""),"[input]",""),"")&amp;IF(ISNUMBER(SEARCH("E_MISSING_INPUT",EN73))," | E_MISSING_INPUT: "&amp;SUBSTITUTE(IFERROR(INDEX(nMSG_Text,MATCH("E_MISSING_INPUT",nMSG_Code,0)),""),"[input]",IF("the source of the constraint"="","an input","the source of the constraint")),""),4,999))</f>
        <v/>
      </c>
      <c r="AH73" s="21" t="str">
        <f t="shared" si="75"/>
        <v/>
      </c>
      <c r="AI73" s="21" t="str">
        <f t="shared" si="76"/>
        <v>EX-PRED/START → EV-HBV/ONSET</v>
      </c>
      <c r="AJ73" s="21" t="str">
        <f t="shared" si="77"/>
        <v>EX-PRED/START</v>
      </c>
      <c r="AK73" s="21" t="str">
        <f t="shared" si="78"/>
        <v>EV-HBV/ONSET</v>
      </c>
      <c r="AL73" s="21" t="str">
        <f>IF(CY73=0,"",INDEX(nTP_ISO,CY73))</f>
        <v>2026-03-02</v>
      </c>
      <c r="AM73" s="21" t="str">
        <f>IF(CY73=0,"",INDEX(nTP_Display,CY73))</f>
        <v>2 March 2026</v>
      </c>
      <c r="AN73" s="21" t="str">
        <f>IF(BI73=0,"",INDEX(nTP_ISO,BI73))</f>
        <v>2026-02-09/2026-05-12</v>
      </c>
      <c r="AO73" s="21" t="str">
        <f>IF(BI73=0,"",INDEX(nTP_Display,BI73))</f>
        <v>9 February 2026 to 12 May 2026 (laboratory-defined)</v>
      </c>
      <c r="AP73" s="21" t="str">
        <f>IF(BA73=0,"",INDEX(nLNK_Exposure_Episode_ID,BA73)&amp;"")</f>
        <v>EX-PRED</v>
      </c>
      <c r="AQ73" s="21" t="str">
        <f>IF(BA73=0,"",INDEX(nLNK_Event_Episode_ID,BA73)&amp;"")</f>
        <v>EV-HBV</v>
      </c>
      <c r="AR73" s="21" t="str">
        <f t="shared" si="79"/>
        <v>Anchor (CONCOMITANT_CHANGE) EX-PRED/START: 2026-03-02 [day; case measurement; original: "10-day oral prednisolone course 02-11/03/2026"; source: Hepatology letter] | End point EV-HBV/ONSET: 2026-02-09/2026-05-12 [laboratory-defined range; case measurement; original: "Between the last undetectable HBV DNA (9 February 2026) and the first positive result (12 May 2026)"; source: Laboratory-defined onset (CALC-SPEC 1.1 C4): test records M-HBV3 (last normal) and M-HBV4 (first abnormal)]</v>
      </c>
      <c r="AS73" s="21" t="str">
        <f>IF(EI73=0,"",MID(IF(DT73=1," | Recovery interval (C7) computed with "&amp;DS73&amp;".","")&amp;IF(BG73=1," | Anchor selected under C5 (CALC-SPEC 1.1): latest administration with an exact date or time at or before "&amp;IF(BH73=1,"onset","the end point")&amp;" ("&amp;AJ73&amp;"), ordered in UTC when offsets are known; later administrations are never selected.","")&amp;IF(AND(BG73=1,CE73&gt;0)," | Partial-date administrations wholly before the selected one were not candidates: "&amp;FC73&amp;".","")&amp;IF(BV73&lt;&gt;""," | "&amp;BV73,"")&amp;IF(AND(DS73="C2",EA73=0,DZ73&lt;&gt;"")," | Same calendar date; both times are known, so C1 decides the order ("&amp;AA73&amp;").","")&amp;IF(AND(DS73="C2",DD73*BN73=1,DT73=0)," | Calendar-date difference from the recorded local dates; it is never described as elapsed days.","")&amp;IF(AND(DS73="C4",DT73=0)," | Bounds are treated as independent; no single date is imputed from them.","")&amp;IF(EJ73=1," | Treatment day under the inclusive convention (C3); never written to E2B fields automatically.","")&amp;IF(AND(DS73="C4",DT73=0,EK73=0)," | No constraint applied.","")&amp;IF(AND(DS73="C4",EK73=1)," | Constraint applied to the anchor bounds: "&amp;IF(ISNUMBER(P73),"not before "&amp;DAY(P73)&amp;" "&amp;INDEX(nLIST_Months,MONTH(P73))&amp;" "&amp;YEAR(P73),"")&amp;IF(AND(ISNUMBER(P73),ISNUMBER(Q73)),", ","")&amp;IF(ISNUMBER(Q73),"not after "&amp;DAY(Q73)&amp;" "&amp;INDEX(nLIST_Months,MONTH(Q73))&amp;" "&amp;YEAR(Q73),"")&amp;". Source: "&amp;IF(R73="","not recorded",R73)&amp;IF(EN73="",". Constrained result shown beside the unconstrained one.",". Constrained result blocked ("&amp;EN73&amp;")."),"")&amp;IF(DT73=1,IF(EO73&gt;0," | Intervention recorded between cessation and recovery (ends included): "&amp;EZ73&amp;"."," | No intervention is recorded between cessation and recovery; absence of a record is not evidence that none was given."),"")&amp;IF(AND(DT73=1,DV73&gt;0)," | Intervention recorded without a date, so whether it came before recovery is unknown: "&amp;INDEX(nMS_Milestone_ID,MATCH(1,INDEX((nMS_CaseKey=AX73)*(nMS_Type="INTERVENTION")*nMS_Undated,0),0))&amp;IF(DV73&gt;1," and "&amp;(DV73-1)&amp;" more","")&amp;".","")&amp;IF(AND(DT73=1,EP73&gt;0)," | Not counted as interventions, because they are recorded as exposures rather than as intervention milestones (nothing is inferred): "&amp;FB73&amp;". If treatment was given, record it as an intervention milestone.",""),4,9999))</f>
        <v>Onset is laboratory-defined (CALC-SPEC 1.1, C4): lower bound = date of the last normal test (M-HBV3), upper bound = date of the first abnormal test (M-HBV4). The reviewer decides which results are normal. | Bounds are treated as independent; no single date is imputed from them. | No constraint applied.</v>
      </c>
      <c r="AT73" s="21" t="str">
        <f t="shared" si="80"/>
        <v>The interval describes the sequence and spacing of recorded times; it is not evidence of causation. The true interval lies between the bounds; no single date is imputed.</v>
      </c>
      <c r="AU73" s="21" t="str">
        <f t="shared" si="81"/>
        <v/>
      </c>
      <c r="AV73" s="21" t="str">
        <f t="shared" si="82"/>
        <v>CALC-SPEC 1.1</v>
      </c>
      <c r="AW73" s="22">
        <f t="shared" si="83"/>
        <v>0</v>
      </c>
      <c r="AX73" s="21" t="str">
        <f t="shared" si="84"/>
        <v>EX-C28|2</v>
      </c>
      <c r="AY73" s="21" t="str">
        <f t="shared" si="85"/>
        <v>EX-C28|2|I08</v>
      </c>
      <c r="AZ73" s="22">
        <f>IF(AY73="",0,COUNTIF(nINT_Key,AY73))</f>
        <v>1</v>
      </c>
      <c r="BA73" s="22">
        <f>IF(D73="",0,IFERROR(MATCH(AX73&amp;"|"&amp;D73,nLNK_Key,0),0))</f>
        <v>29</v>
      </c>
      <c r="BB73" s="22">
        <f>IF(BA73=0,1,INDEX(nLNK_Exp_Found,BA73))</f>
        <v>1</v>
      </c>
      <c r="BC73" s="22">
        <f>IF(BA73=0,1,INDEX(nLNK_Evt_Found,BA73))</f>
        <v>1</v>
      </c>
      <c r="BD73" s="22">
        <f>IF(AP73="",0,COUNTIF(nEXP_Key,AX73&amp;"|"&amp;AP73))</f>
        <v>1</v>
      </c>
      <c r="BE73" s="22">
        <f>IF(AQ73="",0,COUNTIF(nEVT_Key,AX73&amp;"|"&amp;AQ73))</f>
        <v>1</v>
      </c>
      <c r="BF73" s="22">
        <f>IF(ISNA(MATCH(E73,nLIST_AnchorType,0)),0,1)</f>
        <v>1</v>
      </c>
      <c r="BG73" s="22">
        <f t="shared" si="86"/>
        <v>0</v>
      </c>
      <c r="BH73" s="22">
        <f t="shared" si="87"/>
        <v>1</v>
      </c>
      <c r="BI73" s="22">
        <f>IF(OR(AW73=1,AK73=""),0,IFERROR(MATCH(AX73&amp;"|"&amp;AK73,nTP_Key,0),0))</f>
        <v>314</v>
      </c>
      <c r="BJ73" s="21">
        <f>IF(BI73=0,0,INDEX(nTP_Dup,BI73))</f>
        <v>1</v>
      </c>
      <c r="BK73" s="21" t="str">
        <f>IF(BI73=0,"",INDEX(nTP_Record_Type,BI73))</f>
        <v>EVENT_ONSET</v>
      </c>
      <c r="BL73" s="21" t="str">
        <f>IF(BI73=0,"",INDEX(nTP_Precision,BI73))</f>
        <v>LAB</v>
      </c>
      <c r="BM73" s="21" t="str">
        <f>IF(BI73=0,"",INDEX(nTP_Err,BI73))</f>
        <v/>
      </c>
      <c r="BN73" s="21">
        <f>IF(BI73=0,0,INDEX(nTP_HT,BI73))</f>
        <v>0</v>
      </c>
      <c r="BO73" s="21">
        <f>IF(BI73=0,0,INDEX(nTP_OK,BI73))</f>
        <v>0</v>
      </c>
      <c r="BP73" s="21" t="str">
        <f>IF(BI73=0,"",INDEX(nTP_Loc,BI73))</f>
        <v/>
      </c>
      <c r="BQ73" s="21" t="str">
        <f>IF(BI73=0,"",INDEX(nTP_UTC,BI73))</f>
        <v/>
      </c>
      <c r="BR73" s="21">
        <f>IF(BI73=0,"",INDEX(nTP_Lo,BI73))</f>
        <v>46062</v>
      </c>
      <c r="BS73" s="21">
        <f>IF(BI73=0,"",INDEX(nTP_Hi,BI73))</f>
        <v>46154</v>
      </c>
      <c r="BT73" s="21" t="str">
        <f>IF(BI73=0,"",INDEX(nTP_Original_Text,BI73))</f>
        <v>Between the last undetectable HBV DNA (9 February 2026) and the first positive result (12 May 2026)</v>
      </c>
      <c r="BU73" s="21" t="str">
        <f>IF(BI73=0,"",INDEX(nTP_Source,BI73))</f>
        <v>Laboratory-defined onset (CALC-SPEC 1.1 C4): test records M-HBV3 (last normal) and M-HBV4 (first abnormal)</v>
      </c>
      <c r="BV73" s="21" t="str">
        <f>IF(BI73=0,"",INDEX(nTP_Lab_Note,BI73))</f>
        <v>Onset is laboratory-defined (CALC-SPEC 1.1, C4): lower bound = date of the last normal test (M-HBV3), upper bound = date of the first abnormal test (M-HBV4). The reviewer decides which results are normal.</v>
      </c>
      <c r="BW73" s="22">
        <f t="shared" si="88"/>
        <v>1</v>
      </c>
      <c r="BX73" s="21" t="str">
        <f t="shared" si="89"/>
        <v>EX-C28|2|EX-PRED</v>
      </c>
      <c r="BY73" s="22">
        <f>IF(BG73=0,0,COUNTIF(nTP_CandKey,BX73))</f>
        <v>0</v>
      </c>
      <c r="BZ73" s="22">
        <f>IF(BG73=0,0,COUNTIFS(nTP_CandKey,BX73,nTP_Err,""))</f>
        <v>0</v>
      </c>
      <c r="CA73" s="21" t="str">
        <f>IF(BY73=BZ73,"",IF(COUNTIFS(nTP_CandKey,BX73,nTP_Err,"E_INVALID_DATE")&gt;0,"; E_INVALID_DATE","")&amp;IF(COUNTIFS(nTP_CandKey,BX73,nTP_Err,"E_REVERSED_BOUNDS")&gt;0,"; E_REVERSED_BOUNDS","")&amp;IF(COUNTIFS(nTP_CandKey,BX73,nTP_Err,"E_MISSING_INPUT")&gt;0,"; E_MISSING_INPUT","")&amp;IF(COUNTIFS(nTP_CandKey,BX73,nTP_Err,"E_INVALID_UNIT")&gt;0,"; E_INVALID_UNIT",""))</f>
        <v/>
      </c>
      <c r="CB73" s="22">
        <f t="shared" si="90"/>
        <v>0</v>
      </c>
      <c r="CC73" s="22">
        <f>IF(CB73=0,0,SUMPRODUCT((nTP_CandKey=BX73)*(nTP_Err="")*(1-(nTP_HT*BN73*((nTP_OK*BO73*(nTP_UTC_n-N(BQ73))+(1-nTP_OK*BO73)*(nTP_Loc_n-N(BP73)))&lt;=0)+(1-nTP_HT*BN73)*(nTP_Hi_n&lt;N(BR73)))-(nTP_HT*BN73*((nTP_OK*BO73*(nTP_UTC_n-N(BQ73))+(1-nTP_OK*BO73)*(nTP_Loc_n-N(BP73)))&gt;0)+(1-nTP_HT*BN73)*(nTP_Lo_n&gt;N(BS73)))-((1-nTP_HT*BN73)*(nTP_Lo_n=nTP_Hi_n)*(nTP_Lo_n=N(BR73))*(N(BR73)=N(BS73))))))</f>
        <v>0</v>
      </c>
      <c r="CD73" s="22">
        <f>IF(CB73=0,0,SUMPRODUCT((nTP_CandKey=BX73)*nTP_Exact*((nTP_HT*BN73*((nTP_OK*BO73*(nTP_UTC_n-N(BQ73))+(1-nTP_OK*BO73)*(nTP_Loc_n-N(BP73)))&lt;=0)+(1-nTP_HT*BN73)*(nTP_Hi_n&lt;N(BR73)))+((1-nTP_HT*BN73)*(nTP_Lo_n=nTP_Hi_n)*(nTP_Lo_n=N(BR73))*(N(BR73)=N(BS73))))))</f>
        <v>0</v>
      </c>
      <c r="CE73" s="22">
        <f>IF(CB73=0,0,SUMPRODUCT((nTP_CandKey=BX73)*(nTP_Err="")*(1-nTP_Exact)*((nTP_HT*BN73*((nTP_OK*BO73*(nTP_UTC_n-N(BQ73))+(1-nTP_OK*BO73)*(nTP_Loc_n-N(BP73)))&lt;=0)+(1-nTP_HT*BN73)*(nTP_Hi_n&lt;N(BR73)))+((1-nTP_HT*BN73)*(nTP_Lo_n=nTP_Hi_n)*(nTP_Lo_n=N(BR73))*(N(BR73)=N(BS73))))))</f>
        <v>0</v>
      </c>
      <c r="CF73" s="22">
        <f>IF(CD73=0,0,SUMPRODUCT(MAX((nTP_CandKey=BX73)*nTP_Exact*((nTP_HT*BN73*((nTP_OK*BO73*(nTP_UTC_n-N(BQ73))+(1-nTP_OK*BO73)*(nTP_Loc_n-N(BP73)))&lt;=0)+(1-nTP_HT*BN73)*(nTP_Hi_n&lt;N(BR73)))+((1-nTP_HT*BN73)*(nTP_Lo_n=nTP_Hi_n)*(nTP_Lo_n=N(BR73))*(N(BR73)=N(BS73))))*nTP_Lo_n)))</f>
        <v>0</v>
      </c>
      <c r="CG73" s="22">
        <f>IF(CD73=0,0,SUMPRODUCT((nTP_CandKey=BX73)*nTP_Exact*((nTP_HT*BN73*((nTP_OK*BO73*(nTP_UTC_n-N(BQ73))+(1-nTP_OK*BO73)*(nTP_Loc_n-N(BP73)))&lt;=0)+(1-nTP_HT*BN73)*(nTP_Hi_n&lt;N(BR73)))+((1-nTP_HT*BN73)*(nTP_Lo_n=nTP_Hi_n)*(nTP_Lo_n=N(BR73))*(N(BR73)=N(BS73))))*(nTP_Lo_n=CF73)))</f>
        <v>0</v>
      </c>
      <c r="CH73" s="22">
        <f>IF(CD73=0,0,SUMPRODUCT((nTP_CandKey=BX73)*nTP_Exact*((nTP_HT*BN73*((nTP_OK*BO73*(nTP_UTC_n-N(BQ73))+(1-nTP_OK*BO73)*(nTP_Loc_n-N(BP73)))&lt;=0)+(1-nTP_HT*BN73)*(nTP_Hi_n&lt;N(BR73)))+((1-nTP_HT*BN73)*(nTP_Lo_n=nTP_Hi_n)*(nTP_Lo_n=N(BR73))*(N(BR73)=N(BS73))))*(1-nTP_HT)*(nTP_Lo_n=CF73)))</f>
        <v>0</v>
      </c>
      <c r="CI73" s="22">
        <f>IF(CD73=0,0,SUMPRODUCT(MAX((nTP_CandKey=BX73)*nTP_Exact*((nTP_HT*BN73*((nTP_OK*BO73*(nTP_UTC_n-N(BQ73))+(1-nTP_OK*BO73)*(nTP_Loc_n-N(BP73)))&lt;=0)+(1-nTP_HT*BN73)*(nTP_Hi_n&lt;N(BR73)))+((1-nTP_HT*BN73)*(nTP_Lo_n=nTP_Hi_n)*(nTP_Lo_n=N(BR73))*(N(BR73)=N(BS73))))*(1-nTP_HT)*nTP_Lo_n)))</f>
        <v>0</v>
      </c>
      <c r="CJ73" s="22">
        <f>IF(CD73=0,0,SUMPRODUCT(MAX((nTP_CandKey=BX73)*nTP_Exact*((nTP_HT*BN73*((nTP_OK*BO73*(nTP_UTC_n-N(BQ73))+(1-nTP_OK*BO73)*(nTP_Loc_n-N(BP73)))&lt;=0)+(1-nTP_HT*BN73)*(nTP_Hi_n&lt;N(BR73)))+((1-nTP_HT*BN73)*(nTP_Lo_n=nTP_Hi_n)*(nTP_Lo_n=N(BR73))*(N(BR73)=N(BS73))))*nTP_HT*nTP_OK*nTP_UTC_n)))</f>
        <v>0</v>
      </c>
      <c r="CK73" s="22">
        <f>IF(CJ73=0,0,SUMPRODUCT((nTP_CandKey=BX73)*nTP_Exact*((nTP_HT*BN73*((nTP_OK*BO73*(nTP_UTC_n-N(BQ73))+(1-nTP_OK*BO73)*(nTP_Loc_n-N(BP73)))&lt;=0)+(1-nTP_HT*BN73)*(nTP_Hi_n&lt;N(BR73)))+((1-nTP_HT*BN73)*(nTP_Lo_n=nTP_Hi_n)*(nTP_Lo_n=N(BR73))*(N(BR73)=N(BS73))))*nTP_HT*nTP_OK*(nTP_UTC_n=CJ73)))</f>
        <v>0</v>
      </c>
      <c r="CL73" s="22">
        <f>IF(CK73&lt;&gt;1,0,SUMPRODUCT((nTP_CandKey=BX73)*nTP_Exact*((nTP_HT*BN73*((nTP_OK*BO73*(nTP_UTC_n-N(BQ73))+(1-nTP_OK*BO73)*(nTP_Loc_n-N(BP73)))&lt;=0)+(1-nTP_HT*BN73)*(nTP_Hi_n&lt;N(BR73)))+((1-nTP_HT*BN73)*(nTP_Lo_n=nTP_Hi_n)*(nTP_Lo_n=N(BR73))*(N(BR73)=N(BS73))))*nTP_HT*nTP_OK*(nTP_UTC_n=CJ73)*nTP_Loc_n))</f>
        <v>0</v>
      </c>
      <c r="CM73" s="22">
        <f>IF(CK73&lt;&gt;1,0,SUMPRODUCT((nTP_CandKey=BX73)*nTP_Exact*((nTP_HT*BN73*((nTP_OK*BO73*(nTP_UTC_n-N(BQ73))+(1-nTP_OK*BO73)*(nTP_Loc_n-N(BP73)))&lt;=0)+(1-nTP_HT*BN73)*(nTP_Hi_n&lt;N(BR73)))+((1-nTP_HT*BN73)*(nTP_Lo_n=nTP_Hi_n)*(nTP_Lo_n=N(BR73))*(N(BR73)=N(BS73))))*nTP_HT*nTP_OK*(nTP_UTC_n=CJ73)*nTP_Lo_n))</f>
        <v>0</v>
      </c>
      <c r="CN73" s="22">
        <f>IF(CD73=0,0,SUMPRODUCT(MAX((nTP_CandKey=BX73)*nTP_Exact*((nTP_HT*BN73*((nTP_OK*BO73*(nTP_UTC_n-N(BQ73))+(1-nTP_OK*BO73)*(nTP_Loc_n-N(BP73)))&lt;=0)+(1-nTP_HT*BN73)*(nTP_Hi_n&lt;N(BR73)))+((1-nTP_HT*BN73)*(nTP_Lo_n=nTP_Hi_n)*(nTP_Lo_n=N(BR73))*(N(BR73)=N(BS73))))*nTP_HT*(1-nTP_OK)*nTP_Loc_n)))</f>
        <v>0</v>
      </c>
      <c r="CO73" s="22">
        <f>IF(CN73=0,0,SUMPRODUCT((nTP_CandKey=BX73)*nTP_Exact*((nTP_HT*BN73*((nTP_OK*BO73*(nTP_UTC_n-N(BQ73))+(1-nTP_OK*BO73)*(nTP_Loc_n-N(BP73)))&lt;=0)+(1-nTP_HT*BN73)*(nTP_Hi_n&lt;N(BR73)))+((1-nTP_HT*BN73)*(nTP_Lo_n=nTP_Hi_n)*(nTP_Lo_n=N(BR73))*(N(BR73)=N(BS73))))*nTP_HT*(1-nTP_OK)*(nTP_Loc_n=CN73)))</f>
        <v>0</v>
      </c>
      <c r="CP73" s="22">
        <f>IF(CO73&lt;&gt;1,0,SUMPRODUCT((nTP_CandKey=BX73)*nTP_Exact*((nTP_HT*BN73*((nTP_OK*BO73*(nTP_UTC_n-N(BQ73))+(1-nTP_OK*BO73)*(nTP_Loc_n-N(BP73)))&lt;=0)+(1-nTP_HT*BN73)*(nTP_Hi_n&lt;N(BR73)))+((1-nTP_HT*BN73)*(nTP_Lo_n=nTP_Hi_n)*(nTP_Lo_n=N(BR73))*(N(BR73)=N(BS73))))*nTP_HT*(1-nTP_OK)*(nTP_Loc_n=CN73)*nTP_Lo_n))</f>
        <v>0</v>
      </c>
      <c r="CQ73" s="22">
        <f>IF(CD73=0,0,SUMPRODUCT(MAX((nTP_CandKey=BX73)*nTP_Exact*((nTP_HT*BN73*((nTP_OK*BO73*(nTP_UTC_n-N(BQ73))+(1-nTP_OK*BO73)*(nTP_Loc_n-N(BP73)))&lt;=0)+(1-nTP_HT*BN73)*(nTP_Hi_n&lt;N(BR73)))+((1-nTP_HT*BN73)*(nTP_Lo_n=nTP_Hi_n)*(nTP_Lo_n=N(BR73))*(N(BR73)=N(BS73))))*nTP_HT*nTP_OK*nTP_Loc_n)))</f>
        <v>0</v>
      </c>
      <c r="CR73" s="22">
        <f t="shared" si="91"/>
        <v>0</v>
      </c>
      <c r="CS73" s="22">
        <f>IF(CR73=0,0,IF(CR73=1,MATCH(1,INDEX((nTP_CandKey=BX73)*nTP_Exact*((nTP_HT*BN73*((nTP_OK*BO73*(nTP_UTC_n-N(BQ73))+(1-nTP_OK*BO73)*(nTP_Loc_n-N(BP73)))&lt;=0)+(1-nTP_HT*BN73)*(nTP_Hi_n&lt;N(BR73)))+((1-nTP_HT*BN73)*(nTP_Lo_n=nTP_Hi_n)*(nTP_Lo_n=N(BR73))*(N(BR73)=N(BS73))))*(1-nTP_HT)*(nTP_Lo_n=CF73),0),0),IF(CR73=2,MATCH(1,INDEX((nTP_CandKey=BX73)*nTP_Exact*((nTP_HT*BN73*((nTP_OK*BO73*(nTP_UTC_n-N(BQ73))+(1-nTP_OK*BO73)*(nTP_Loc_n-N(BP73)))&lt;=0)+(1-nTP_HT*BN73)*(nTP_Hi_n&lt;N(BR73)))+((1-nTP_HT*BN73)*(nTP_Lo_n=nTP_Hi_n)*(nTP_Lo_n=N(BR73))*(N(BR73)=N(BS73))))*nTP_HT*nTP_OK*(nTP_UTC_n=CJ73),0),0),MATCH(1,INDEX((nTP_CandKey=BX73)*nTP_Exact*((nTP_HT*BN73*((nTP_OK*BO73*(nTP_UTC_n-N(BQ73))+(1-nTP_OK*BO73)*(nTP_Loc_n-N(BP73)))&lt;=0)+(1-nTP_HT*BN73)*(nTP_Hi_n&lt;N(BR73)))+((1-nTP_HT*BN73)*(nTP_Lo_n=nTP_Hi_n)*(nTP_Lo_n=N(BR73))*(N(BR73)=N(BS73))))*nTP_HT*(1-nTP_OK)*(nTP_Loc_n=CN73),0),0))))</f>
        <v>0</v>
      </c>
      <c r="CT73" s="22">
        <f>IF(CS73=0,0,INDEX(nTP_Lo_n,CS73))</f>
        <v>0</v>
      </c>
      <c r="CU73" s="22">
        <f>IF(CS73=0,0,SUMPRODUCT((nTP_CandKey=BX73)*(nTP_Err="")*(1-nTP_Exact)*((nTP_HT*BN73*((nTP_OK*BO73*(nTP_UTC_n-N(BQ73))+(1-nTP_OK*BO73)*(nTP_Loc_n-N(BP73)))&lt;=0)+(1-nTP_HT*BN73)*(nTP_Hi_n&lt;N(BR73)))+((1-nTP_HT*BN73)*(nTP_Lo_n=nTP_Hi_n)*(nTP_Lo_n=N(BR73))*(N(BR73)=N(BS73))))*(nTP_Hi_n&gt;=CT73)))</f>
        <v>0</v>
      </c>
      <c r="CV73" s="21" t="str">
        <f t="shared" si="92"/>
        <v/>
      </c>
      <c r="CW73" s="21" t="str">
        <f>IF(AND(BG73=1,CB73=1,CV73="",CS73&gt;0),INDEX(nTP_Record_ID,CS73)&amp;"","")</f>
        <v/>
      </c>
      <c r="CX73" s="21" t="str">
        <f>IF(OR(CV73="",BG73=0),"",IF(CV73="none","an administration record (last dose before onset)",IF(CV73="uncertain","the anchor record: "&amp;INDEX(nTP_Record_ID,MATCH(1,INDEX((nTP_CandKey=BX73)*(nTP_Err="")*(1-(nTP_HT*BN73*((nTP_OK*BO73*(nTP_UTC_n-N(BQ73))+(1-nTP_OK*BO73)*(nTP_Loc_n-N(BP73)))&lt;=0)+(1-nTP_HT*BN73)*(nTP_Hi_n&lt;N(BR73)))-(nTP_HT*BN73*((nTP_OK*BO73*(nTP_UTC_n-N(BQ73))+(1-nTP_OK*BO73)*(nTP_Loc_n-N(BP73)))&gt;0)+(1-nTP_HT*BN73)*(nTP_Lo_n&gt;N(BS73)))-((1-nTP_HT*BN73)*(nTP_Lo_n=nTP_Hi_n)*(nTP_Lo_n=N(BR73))*(N(BR73)=N(BS73)))),0),0))&amp;IF(CC73&gt;1," and "&amp;(CC73-1)&amp;" more","")&amp;" may fall before or after the end point, so the last dose cannot be identified from the recorded dates",IF(CV73="noneligible","the anchor record: no administration with an exact date is recorded at or before the end point",IF(CV73="tie","the anchor record: the order of the latest administrations cannot be told from the recorded dates and times","the anchor record: partial-date administration "&amp;INDEX(nTP_Record_ID,MATCH(1,INDEX((nTP_CandKey=BX73)*(nTP_Err="")*(1-nTP_Exact)*((nTP_HT*BN73*((nTP_OK*BO73*(nTP_UTC_n-N(BQ73))+(1-nTP_OK*BO73)*(nTP_Loc_n-N(BP73)))&lt;=0)+(1-nTP_HT*BN73)*(nTP_Hi_n&lt;N(BR73)))+((1-nTP_HT*BN73)*(nTP_Lo_n=nTP_Hi_n)*(nTP_Lo_n=N(BR73))*(N(BR73)=N(BS73))))*(nTP_Hi_n&gt;=CT73),0),0))&amp;" could be the last dose before the end point")))))</f>
        <v/>
      </c>
      <c r="CY73" s="22">
        <f>IF(OR(AW73=1,AJ73=""),0,IFERROR(MATCH(AX73&amp;"|"&amp;AJ73,nTP_Key,0),0))</f>
        <v>41</v>
      </c>
      <c r="CZ73" s="21">
        <f>IF(CY73=0,0,INDEX(nTP_Dup,CY73))</f>
        <v>1</v>
      </c>
      <c r="DA73" s="21" t="str">
        <f>IF(CY73=0,"",INDEX(nTP_Record_Type,CY73))</f>
        <v>EXPOSURE_START</v>
      </c>
      <c r="DB73" s="21" t="str">
        <f>IF(CY73=0,"",INDEX(nTP_Precision,CY73))</f>
        <v>DATE</v>
      </c>
      <c r="DC73" s="21" t="str">
        <f>IF(CY73=0,"",INDEX(nTP_Err,CY73))</f>
        <v/>
      </c>
      <c r="DD73" s="21">
        <f>IF(CY73=0,0,INDEX(nTP_HT,CY73))</f>
        <v>0</v>
      </c>
      <c r="DE73" s="21">
        <f>IF(CY73=0,0,INDEX(nTP_OK,CY73))</f>
        <v>0</v>
      </c>
      <c r="DF73" s="21" t="str">
        <f>IF(CY73=0,"",INDEX(nTP_Loc,CY73))</f>
        <v/>
      </c>
      <c r="DG73" s="21" t="str">
        <f>IF(CY73=0,"",INDEX(nTP_UTC,CY73))</f>
        <v/>
      </c>
      <c r="DH73" s="21">
        <f>IF(CY73=0,"",INDEX(nTP_Lo,CY73))</f>
        <v>46083</v>
      </c>
      <c r="DI73" s="21">
        <f>IF(CY73=0,"",INDEX(nTP_Hi,CY73))</f>
        <v>46083</v>
      </c>
      <c r="DJ73" s="21" t="str">
        <f>IF(CY73=0,"",INDEX(nTP_Original_Text,CY73))</f>
        <v>10-day oral prednisolone course 02-11/03/2026</v>
      </c>
      <c r="DK73" s="21" t="str">
        <f>IF(CY73=0,"",INDEX(nTP_Source,CY73))</f>
        <v>Hepatology letter</v>
      </c>
      <c r="DL73" s="22">
        <f t="shared" si="93"/>
        <v>1</v>
      </c>
      <c r="DM73" s="21" t="str">
        <f t="shared" si="94"/>
        <v/>
      </c>
      <c r="DN73" s="21" t="str">
        <f t="shared" si="95"/>
        <v/>
      </c>
      <c r="DO73" s="21" t="str">
        <f t="shared" si="96"/>
        <v/>
      </c>
      <c r="DP73" s="21" t="str">
        <f t="shared" si="97"/>
        <v/>
      </c>
      <c r="DQ73" s="21" t="str">
        <f t="shared" si="98"/>
        <v>C4</v>
      </c>
      <c r="DR73" s="22">
        <f>IF(OR(DQ73="",I73=""),0,IF(ISNA(MATCH(I73,nLIST_Mode,0)),1,IF(AND(I73="C1",DQ73&lt;&gt;"C1"),1,IF(AND(I73="C2",DQ73="C4"),1,0))))</f>
        <v>0</v>
      </c>
      <c r="DS73" s="21" t="str">
        <f t="shared" si="99"/>
        <v>C4</v>
      </c>
      <c r="DT73" s="22">
        <f t="shared" si="100"/>
        <v>0</v>
      </c>
      <c r="DU73" s="21" t="str">
        <f>IF(DT73=0,"",IF(COUNTIFS(nTP_Case_Key,AX73,nTP_Record_Type,"MILESTONE:INTERVENTION",nTP_Err,"E_INVALID_DATE")&gt;0,"; E_INVALID_DATE","")&amp;IF(COUNTIFS(nTP_Case_Key,AX73,nTP_Record_Type,"MILESTONE:INTERVENTION",nTP_Err,"E_REVERSED_BOUNDS")&gt;0,"; E_REVERSED_BOUNDS","")&amp;IF(COUNTIFS(nTP_Case_Key,AX73,nTP_Record_Type,"MILESTONE:INTERVENTION",nTP_Err,"E_MISSING_INPUT")&gt;0,"; E_MISSING_INPUT","")&amp;IF(COUNTIFS(nTP_Case_Key,AX73,nTP_Record_Type,"MILESTONE:INTERVENTION",nTP_Err,"E_INVALID_UNIT")&gt;0,"; E_INVALID_UNIT",""))</f>
        <v/>
      </c>
      <c r="DV73" s="22">
        <f>IF(DT73=0,0,SUMPRODUCT((nMS_CaseKey=AX73)*(nMS_Type="INTERVENTION")*nMS_Undated))</f>
        <v>0</v>
      </c>
      <c r="DW73" s="21" t="str">
        <f t="shared" si="101"/>
        <v/>
      </c>
      <c r="DX73" s="21" t="str">
        <f t="shared" si="102"/>
        <v/>
      </c>
      <c r="DY73" s="22">
        <f t="shared" si="103"/>
        <v>1</v>
      </c>
      <c r="DZ73" s="21" t="str">
        <f t="shared" si="104"/>
        <v/>
      </c>
      <c r="EA73" s="21" t="str">
        <f t="shared" si="105"/>
        <v/>
      </c>
      <c r="EB73" s="21">
        <f t="shared" si="106"/>
        <v>-21</v>
      </c>
      <c r="EC73" s="21">
        <f t="shared" si="107"/>
        <v>71</v>
      </c>
      <c r="ED73" s="22">
        <f t="shared" si="108"/>
        <v>0</v>
      </c>
      <c r="EE73" s="22">
        <f t="shared" si="109"/>
        <v>0</v>
      </c>
      <c r="EF73" s="21" t="str">
        <f>IF(ED73=0,"",IF(OR(NOT(ISNUMBER(L73)),NOT(ISNUMBER(M73))),"I_APPROXIMATE_NOT_COMPARED",IF(AND(N73&lt;&gt;"",ISNA(MATCH(N73,nLIST_ReportedUnit,0))),"E_INVALID_UNIT",IF(N73="","E_MISSING_INPUT",IF(L73&gt;M73,"E_REVERSED_BOUNDS",IF(OR(N73="weeks",N73="months",N73="years"),"I_APPROXIMATE_NOT_COMPARED",IF(DX73&lt;&gt;"","",IF(EE73=0,"I_APPROXIMATE_NOT_COMPARED",IF(AND(L73*EE73&lt;=IF(DS73="C4",EC73,IF(DS73="C1",DZ73,EA73)),M73*EE73&gt;=IF(DS73="C4",EB73,IF(DS73="C1",DZ73,EA73))),"OVERLAP","W_REPORTED_TIMING_CONFLICT")))))))))</f>
        <v/>
      </c>
      <c r="EG73" s="21" t="str">
        <f t="shared" si="110"/>
        <v/>
      </c>
      <c r="EH73" s="21" t="str">
        <f t="shared" si="111"/>
        <v/>
      </c>
      <c r="EI73" s="22">
        <f t="shared" si="112"/>
        <v>1</v>
      </c>
      <c r="EJ73" s="22">
        <f t="shared" si="113"/>
        <v>0</v>
      </c>
      <c r="EK73" s="22">
        <f t="shared" si="114"/>
        <v>0</v>
      </c>
      <c r="EL73" s="28" t="str">
        <f t="shared" si="115"/>
        <v/>
      </c>
      <c r="EM73" s="28" t="str">
        <f t="shared" si="116"/>
        <v/>
      </c>
      <c r="EN73" s="21" t="str">
        <f t="shared" si="117"/>
        <v/>
      </c>
      <c r="EO73" s="22">
        <f>IF(OR(DT73=0,DX73&lt;&gt;""),0,SUMPRODUCT((nTP_Case_Key=AX73)*(nTP_Record_Type="MILESTONE:INTERVENTION")*(nTP_Err="")*(nTP_HT*DD73*BN73*(nTP_OK*DE73*(nTP_UTC_n&gt;=N(DG73))+(1-nTP_OK*DE73)*(nTP_Loc_n&gt;=N(DF73)))*(nTP_OK*BO73*(nTP_UTC_n&lt;=N(BQ73))+(1-nTP_OK*BO73)*(nTP_Loc_n&lt;=N(BP73)))+(1-nTP_HT*DD73*BN73)*(nTP_Hi_n&gt;=N(DH73))*(nTP_Lo_n&lt;=N(BS73)))))</f>
        <v>0</v>
      </c>
      <c r="EP73" s="22">
        <f>IF(OR(DT73=0,DX73&lt;&gt;""),0,SUMPRODUCT((nTP_Case_Key=AX73)*(nTP_Role="treatment of the event")*((nTP_Record_Type="EXPOSURE_START")+(nTP_Record_Type="ADMINISTRATION"))*(nTP_Err="")*(nTP_HT*DD73*BN73*(nTP_OK*DE73*(nTP_UTC_n&gt;=N(DG73))+(1-nTP_OK*DE73)*(nTP_Loc_n&gt;=N(DF73)))*(nTP_OK*BO73*(nTP_UTC_n&lt;=N(BQ73))+(1-nTP_OK*BO73)*(nTP_Loc_n&lt;=N(BP73)))+(1-nTP_HT*DD73*BN73)*(nTP_Hi_n&gt;=N(DH73))*(nTP_Lo_n&lt;=N(BS73)))))</f>
        <v>0</v>
      </c>
      <c r="EQ73" s="22">
        <f>IF(EO73&lt;1,0,IFERROR(_xlfn.AGGREGATE(15,6,nTP_RowN/((nTP_Case_Key=AX73)*(nTP_Record_Type="MILESTONE:INTERVENTION")*(nTP_Err="")*(nTP_HT*DD73*BN73*(nTP_OK*DE73*(nTP_UTC_n&gt;=N(DG73))+(1-nTP_OK*DE73)*(nTP_Loc_n&gt;=N(DF73)))*(nTP_OK*BO73*(nTP_UTC_n&lt;=N(BQ73))+(1-nTP_OK*BO73)*(nTP_Loc_n&lt;=N(BP73)))+(1-nTP_HT*DD73*BN73)*(nTP_Hi_n&gt;=N(DH73))*(nTP_Lo_n&lt;=N(BS73)))),1),0))</f>
        <v>0</v>
      </c>
      <c r="ER73" s="22">
        <f>IF(EO73&lt;2,0,IFERROR(_xlfn.AGGREGATE(15,6,nTP_RowN/((nTP_Case_Key=AX73)*(nTP_Record_Type="MILESTONE:INTERVENTION")*(nTP_Err="")*(nTP_HT*DD73*BN73*(nTP_OK*DE73*(nTP_UTC_n&gt;=N(DG73))+(1-nTP_OK*DE73)*(nTP_Loc_n&gt;=N(DF73)))*(nTP_OK*BO73*(nTP_UTC_n&lt;=N(BQ73))+(1-nTP_OK*BO73)*(nTP_Loc_n&lt;=N(BP73)))+(1-nTP_HT*DD73*BN73)*(nTP_Hi_n&gt;=N(DH73))*(nTP_Lo_n&lt;=N(BS73)))),2),0))</f>
        <v>0</v>
      </c>
      <c r="ES73" s="22">
        <f>IF(EO73&lt;3,0,IFERROR(_xlfn.AGGREGATE(15,6,nTP_RowN/((nTP_Case_Key=AX73)*(nTP_Record_Type="MILESTONE:INTERVENTION")*(nTP_Err="")*(nTP_HT*DD73*BN73*(nTP_OK*DE73*(nTP_UTC_n&gt;=N(DG73))+(1-nTP_OK*DE73)*(nTP_Loc_n&gt;=N(DF73)))*(nTP_OK*BO73*(nTP_UTC_n&lt;=N(BQ73))+(1-nTP_OK*BO73)*(nTP_Loc_n&lt;=N(BP73)))+(1-nTP_HT*DD73*BN73)*(nTP_Hi_n&gt;=N(DH73))*(nTP_Lo_n&lt;=N(BS73)))),3),0))</f>
        <v>0</v>
      </c>
      <c r="ET73" s="22">
        <f>IF(EP73&lt;1,0,IFERROR(_xlfn.AGGREGATE(15,6,nTP_RowN/((nTP_Case_Key=AX73)*(nTP_Role="treatment of the event")*((nTP_Record_Type="EXPOSURE_START")+(nTP_Record_Type="ADMINISTRATION"))*(nTP_Err="")*(nTP_HT*DD73*BN73*(nTP_OK*DE73*(nTP_UTC_n&gt;=N(DG73))+(1-nTP_OK*DE73)*(nTP_Loc_n&gt;=N(DF73)))*(nTP_OK*BO73*(nTP_UTC_n&lt;=N(BQ73))+(1-nTP_OK*BO73)*(nTP_Loc_n&lt;=N(BP73)))+(1-nTP_HT*DD73*BN73)*(nTP_Hi_n&gt;=N(DH73))*(nTP_Lo_n&lt;=N(BS73)))),1),0))</f>
        <v>0</v>
      </c>
      <c r="EU73" s="22">
        <f>IF(EP73&lt;2,0,IFERROR(_xlfn.AGGREGATE(15,6,nTP_RowN/((nTP_Case_Key=AX73)*(nTP_Role="treatment of the event")*((nTP_Record_Type="EXPOSURE_START")+(nTP_Record_Type="ADMINISTRATION"))*(nTP_Err="")*(nTP_HT*DD73*BN73*(nTP_OK*DE73*(nTP_UTC_n&gt;=N(DG73))+(1-nTP_OK*DE73)*(nTP_Loc_n&gt;=N(DF73)))*(nTP_OK*BO73*(nTP_UTC_n&lt;=N(BQ73))+(1-nTP_OK*BO73)*(nTP_Loc_n&lt;=N(BP73)))+(1-nTP_HT*DD73*BN73)*(nTP_Hi_n&gt;=N(DH73))*(nTP_Lo_n&lt;=N(BS73)))),2),0))</f>
        <v>0</v>
      </c>
      <c r="EV73" s="22">
        <f>IF(EP73&lt;3,0,IFERROR(_xlfn.AGGREGATE(15,6,nTP_RowN/((nTP_Case_Key=AX73)*(nTP_Role="treatment of the event")*((nTP_Record_Type="EXPOSURE_START")+(nTP_Record_Type="ADMINISTRATION"))*(nTP_Err="")*(nTP_HT*DD73*BN73*(nTP_OK*DE73*(nTP_UTC_n&gt;=N(DG73))+(1-nTP_OK*DE73)*(nTP_Loc_n&gt;=N(DF73)))*(nTP_OK*BO73*(nTP_UTC_n&lt;=N(BQ73))+(1-nTP_OK*BO73)*(nTP_Loc_n&lt;=N(BP73)))+(1-nTP_HT*DD73*BN73)*(nTP_Hi_n&gt;=N(DH73))*(nTP_Lo_n&lt;=N(BS73)))),3),0))</f>
        <v>0</v>
      </c>
      <c r="EW73" s="22">
        <f>IF(CE73&lt;1,0,IFERROR(_xlfn.AGGREGATE(15,6,nTP_RowN/((nTP_CandKey=BX73)*(nTP_Err="")*(1-nTP_Exact)*((nTP_HT*BN73*((nTP_OK*BO73*(nTP_UTC_n-N(BQ73))+(1-nTP_OK*BO73)*(nTP_Loc_n-N(BP73)))&lt;=0)+(1-nTP_HT*BN73)*(nTP_Hi_n&lt;N(BR73)))+((1-nTP_HT*BN73)*(nTP_Lo_n=nTP_Hi_n)*(nTP_Lo_n=N(BR73))*(N(BR73)=N(BS73))))),1),0))</f>
        <v>0</v>
      </c>
      <c r="EX73" s="22">
        <f>IF(CE73&lt;2,0,IFERROR(_xlfn.AGGREGATE(15,6,nTP_RowN/((nTP_CandKey=BX73)*(nTP_Err="")*(1-nTP_Exact)*((nTP_HT*BN73*((nTP_OK*BO73*(nTP_UTC_n-N(BQ73))+(1-nTP_OK*BO73)*(nTP_Loc_n-N(BP73)))&lt;=0)+(1-nTP_HT*BN73)*(nTP_Hi_n&lt;N(BR73)))+((1-nTP_HT*BN73)*(nTP_Lo_n=nTP_Hi_n)*(nTP_Lo_n=N(BR73))*(N(BR73)=N(BS73))))),2),0))</f>
        <v>0</v>
      </c>
      <c r="EY73" s="22">
        <f>IF(CE73&lt;3,0,IFERROR(_xlfn.AGGREGATE(15,6,nTP_RowN/((nTP_CandKey=BX73)*(nTP_Err="")*(1-nTP_Exact)*((nTP_HT*BN73*((nTP_OK*BO73*(nTP_UTC_n-N(BQ73))+(1-nTP_OK*BO73)*(nTP_Loc_n-N(BP73)))&lt;=0)+(1-nTP_HT*BN73)*(nTP_Hi_n&lt;N(BR73)))+((1-nTP_HT*BN73)*(nTP_Lo_n=nTP_Hi_n)*(nTP_Lo_n=N(BR73))*(N(BR73)=N(BS73))))),3),0))</f>
        <v>0</v>
      </c>
      <c r="EZ73" s="21" t="str">
        <f>IF(EO73=0,"",MID(IF(EQ73&gt;0,"; "&amp;INDEX(nTP_Record_ID,EQ73)&amp;IF(INDEX(nTP_Label,EQ73)="",""," ("&amp;INDEX(nTP_Label,EQ73)&amp;")"),"")&amp;IF(ER73&gt;0,"; "&amp;INDEX(nTP_Record_ID,ER73)&amp;IF(INDEX(nTP_Label,ER73)="",""," ("&amp;INDEX(nTP_Label,ER73)&amp;")"),"")&amp;IF(ES73&gt;0,"; "&amp;INDEX(nTP_Record_ID,ES73)&amp;IF(INDEX(nTP_Label,ES73)="",""," ("&amp;INDEX(nTP_Label,ES73)&amp;")"),"")&amp;IF(EO73&gt;3,"; and "&amp;(EO73-3)&amp;" more",""),3,999))</f>
        <v/>
      </c>
      <c r="FA73" s="21" t="str">
        <f>IF(EO73=0,"",MID(IF(EQ73&gt;0,"; "&amp;INDEX(nTP_Record_ID,EQ73),"")&amp;IF(ER73&gt;0,"; "&amp;INDEX(nTP_Record_ID,ER73),"")&amp;IF(ES73&gt;0,"; "&amp;INDEX(nTP_Record_ID,ES73),"")&amp;IF(EO73&gt;3,"; and "&amp;(EO73-3)&amp;" more",""),3,999))</f>
        <v/>
      </c>
      <c r="FB73" s="21" t="str">
        <f>IF(EP73=0,"",MID(IF(ET73&gt;0,"; "&amp;INDEX(nTP_Record_ID,ET73)&amp;IF(INDEX(nTP_Label,ET73)="",""," ("&amp;INDEX(nTP_Label,ET73)&amp;")"),"")&amp;IF(EU73&gt;0,"; "&amp;INDEX(nTP_Record_ID,EU73)&amp;IF(INDEX(nTP_Label,EU73)="",""," ("&amp;INDEX(nTP_Label,EU73)&amp;")"),"")&amp;IF(EV73&gt;0,"; "&amp;INDEX(nTP_Record_ID,EV73)&amp;IF(INDEX(nTP_Label,EV73)="",""," ("&amp;INDEX(nTP_Label,EV73)&amp;")"),"")&amp;IF(EP73&gt;3,"; and "&amp;(EP73-3)&amp;" more",""),3,999))</f>
        <v/>
      </c>
      <c r="FC73" s="21" t="str">
        <f>IF(CE73=0,"",MID(IF(EW73&gt;0,"; "&amp;INDEX(nTP_Record_ID,EW73),"")&amp;IF(EX73&gt;0,"; "&amp;INDEX(nTP_Record_ID,EX73),"")&amp;IF(EY73&gt;0,"; "&amp;INDEX(nTP_Record_ID,EY73),"")&amp;IF(CE73&gt;3,"; and "&amp;(CE73-3)&amp;" more",""),3,999))</f>
        <v/>
      </c>
      <c r="FD73" s="22">
        <f t="shared" si="118"/>
        <v>0</v>
      </c>
      <c r="FE73" s="22">
        <f t="shared" si="119"/>
        <v>0</v>
      </c>
      <c r="FF73" s="22">
        <f t="shared" si="120"/>
        <v>1</v>
      </c>
      <c r="FG73" s="22">
        <f t="shared" si="121"/>
        <v>0</v>
      </c>
      <c r="FH73" s="22">
        <f t="shared" si="122"/>
        <v>0</v>
      </c>
      <c r="FI73" s="22">
        <f t="shared" si="123"/>
        <v>0</v>
      </c>
      <c r="FJ73" s="22">
        <f t="shared" si="124"/>
        <v>0</v>
      </c>
      <c r="FK73" s="22">
        <f t="shared" si="125"/>
        <v>0</v>
      </c>
    </row>
    <row r="74" spans="1:167" x14ac:dyDescent="0.2">
      <c r="A74" s="9" t="s">
        <v>1147</v>
      </c>
      <c r="B74" s="9" t="s">
        <v>305</v>
      </c>
      <c r="C74" s="11">
        <v>2</v>
      </c>
      <c r="D74" s="9" t="s">
        <v>894</v>
      </c>
      <c r="E74" s="16" t="s">
        <v>52</v>
      </c>
      <c r="F74" s="9"/>
      <c r="G74" s="9"/>
      <c r="H74" s="9" t="s">
        <v>857</v>
      </c>
      <c r="I74" s="16" t="s">
        <v>60</v>
      </c>
      <c r="J74" s="16"/>
      <c r="K74" s="9"/>
      <c r="L74" s="16"/>
      <c r="M74" s="16"/>
      <c r="N74" s="16"/>
      <c r="O74" s="9"/>
      <c r="P74" s="14"/>
      <c r="Q74" s="14"/>
      <c r="R74" s="9"/>
      <c r="S74" s="9" t="s">
        <v>1174</v>
      </c>
      <c r="T74" s="21" t="str">
        <f t="shared" si="63"/>
        <v>449 calendar days</v>
      </c>
      <c r="U74" s="21" t="str">
        <f t="shared" si="64"/>
        <v>449 calendar days</v>
      </c>
      <c r="V74" s="21">
        <f t="shared" si="65"/>
        <v>449</v>
      </c>
      <c r="W74" s="21" t="str">
        <f t="shared" si="66"/>
        <v/>
      </c>
      <c r="X74" s="21" t="str">
        <f t="shared" si="67"/>
        <v/>
      </c>
      <c r="Y74" s="21" t="str">
        <f t="shared" si="68"/>
        <v>calendar days</v>
      </c>
      <c r="Z74" s="21" t="str">
        <f t="shared" si="69"/>
        <v>C2</v>
      </c>
      <c r="AA74" s="21" t="str">
        <f t="shared" si="70"/>
        <v>AFTER</v>
      </c>
      <c r="AB74" s="21" t="str">
        <f t="shared" si="71"/>
        <v/>
      </c>
      <c r="AC74" s="21" t="str">
        <f t="shared" si="72"/>
        <v/>
      </c>
      <c r="AD74" s="21" t="str">
        <f>IF(AW74=1,"",MID(IF(ISNUMBER(SEARCH("E_INVALID_DATE",EG74))," | E_INVALID_DATE: "&amp;SUBSTITUTE(IFERROR(INDEX(nMSG_Text,MATCH("E_INVALID_DATE",nMSG_Code,0)),""),"[input]",""),"")&amp;IF(ISNUMBER(SEARCH("E_REVERSED_BOUNDS",EG74))," | E_REVERSED_BOUNDS: "&amp;SUBSTITUTE(IFERROR(INDEX(nMSG_Text,MATCH("E_REVERSED_BOUNDS",nMSG_Code,0)),""),"[input]",""),"")&amp;IF(ISNUMBER(SEARCH("E_DUPLICATE_ID",EG74))," | E_DUPLICATE_ID: "&amp;SUBSTITUTE(IFERROR(INDEX(nMSG_Text,MATCH("E_DUPLICATE_ID",nMSG_Code,0)),""),"[input]",""),"")&amp;IF(ISNUMBER(SEARCH("E_MISSING_LINK",EG74))," | E_MISSING_LINK: "&amp;SUBSTITUTE(IFERROR(INDEX(nMSG_Text,MATCH("E_MISSING_LINK",nMSG_Code,0)),""),"[input]",""),"")&amp;IF(ISNUMBER(SEARCH("E_MISSING_INPUT",EG74))," | E_MISSING_INPUT: "&amp;SUBSTITUTE(IFERROR(INDEX(nMSG_Text,MATCH("E_MISSING_INPUT",nMSG_Code,0)),""),"[input]",IF(EH74="","an input",EH74)),"")&amp;IF(ISNUMBER(SEARCH("E_INVALID_UNIT",EG74))," | E_INVALID_UNIT: "&amp;SUBSTITUTE(IFERROR(INDEX(nMSG_Text,MATCH("E_INVALID_UNIT",nMSG_Code,0)),""),"[input]",""),"")&amp;IF(FD74=1," | W_TZ_UNKNOWN: "&amp;SUBSTITUTE(IFERROR(INDEX(nMSG_Text,MATCH("W_TZ_UNKNOWN",nMSG_Code,0)),""),"[input]",""),"")&amp;IF(FE74=1," | W_SAME_DATE_ORDER_UNKNOWN: "&amp;SUBSTITUTE(IFERROR(INDEX(nMSG_Text,MATCH("W_SAME_DATE_ORDER_UNKNOWN",nMSG_Code,0)),""),"[input]",""),"")&amp;IF(FF74=1," | W_SEQUENCE_UNCERTAIN: "&amp;SUBSTITUTE(IFERROR(INDEX(nMSG_Text,MATCH("W_SEQUENCE_UNCERTAIN",nMSG_Code,0)),""),"[input]",""),"")&amp;IF(FG74=1," | W_ADMIN_SAME_DATE_AS_ONSET: "&amp;SUBSTITUTE(IFERROR(INDEX(nMSG_Text,MATCH("W_ADMIN_SAME_DATE_AS_ONSET",nMSG_Code,0)),""),"[input]",""),"")&amp;IF(FH74=1," | W_REPORTED_TIMING_CONFLICT: "&amp;SUBSTITUTE(IFERROR(INDEX(nMSG_Text,MATCH("W_REPORTED_TIMING_CONFLICT",nMSG_Code,0)),""),"[input]",""),"")&amp;IF(FI74=1," | W_INTERVENTION_BEFORE_RECOVERY: "&amp;SUBSTITUTE(IFERROR(INDEX(nMSG_Text,MATCH("W_INTERVENTION_BEFORE_RECOVERY",nMSG_Code,0)),""),"[input]",""),"")&amp;IF(FJ74=1," | I_TREATMENT_DAY_UNDEFINED: "&amp;SUBSTITUTE(IFERROR(INDEX(nMSG_Text,MATCH("I_TREATMENT_DAY_UNDEFINED",nMSG_Code,0)),""),"[input]",""),"")&amp;IF(FK74=1," | I_APPROXIMATE_NOT_COMPARED: "&amp;SUBSTITUTE(IFERROR(INDEX(nMSG_Text,MATCH("I_APPROXIMATE_NOT_COMPARED",nMSG_Code,0)),""),"[input]",""),""),4,9999))</f>
        <v/>
      </c>
      <c r="AE74" s="21" t="str">
        <f t="shared" si="73"/>
        <v/>
      </c>
      <c r="AF74" s="21" t="str">
        <f t="shared" si="74"/>
        <v/>
      </c>
      <c r="AG74" s="21" t="str">
        <f>IF(EN74="","",MID(IF(ISNUMBER(SEARCH("E_REVERSED_BOUNDS",EN74))," | E_REVERSED_BOUNDS: "&amp;SUBSTITUTE(IFERROR(INDEX(nMSG_Text,MATCH("E_REVERSED_BOUNDS",nMSG_Code,0)),""),"[input]",""),"")&amp;IF(ISNUMBER(SEARCH("E_MISSING_INPUT",EN74))," | E_MISSING_INPUT: "&amp;SUBSTITUTE(IFERROR(INDEX(nMSG_Text,MATCH("E_MISSING_INPUT",nMSG_Code,0)),""),"[input]",IF("the source of the constraint"="","an input","the source of the constraint")),""),4,999))</f>
        <v/>
      </c>
      <c r="AH74" s="21" t="str">
        <f t="shared" si="75"/>
        <v/>
      </c>
      <c r="AI74" s="21" t="str">
        <f t="shared" si="76"/>
        <v>ADM-RTX-6 → M-HEP</v>
      </c>
      <c r="AJ74" s="21" t="str">
        <f t="shared" si="77"/>
        <v>ADM-RTX-6</v>
      </c>
      <c r="AK74" s="21" t="str">
        <f t="shared" si="78"/>
        <v>M-HEP</v>
      </c>
      <c r="AL74" s="21" t="str">
        <f>IF(CY74=0,"",INDEX(nTP_ISO,CY74))</f>
        <v>2025-03-03</v>
      </c>
      <c r="AM74" s="21" t="str">
        <f>IF(CY74=0,"",INDEX(nTP_Display,CY74))</f>
        <v>3 March 2025</v>
      </c>
      <c r="AN74" s="21" t="str">
        <f>IF(BI74=0,"",INDEX(nTP_ISO,BI74))</f>
        <v>2026-05-26</v>
      </c>
      <c r="AO74" s="21" t="str">
        <f>IF(BI74=0,"",INDEX(nTP_Display,BI74))</f>
        <v>26 May 2026</v>
      </c>
      <c r="AP74" s="21" t="str">
        <f>IF(BA74=0,"",INDEX(nLNK_Exposure_Episode_ID,BA74)&amp;"")</f>
        <v>EX-RTX</v>
      </c>
      <c r="AQ74" s="21" t="str">
        <f>IF(BA74=0,"",INDEX(nLNK_Event_Episode_ID,BA74)&amp;"")</f>
        <v>EV-HBV</v>
      </c>
      <c r="AR74" s="21" t="str">
        <f t="shared" si="79"/>
        <v>Anchor (LAST_DOSE_BEFORE_ONSET) ADM-RTX-6: 2025-03-03 [day; case measurement; original: "last infusion 03/03/2025"; source: Hematology summary] | End point M-HEP: 2026-05-26 [day; case measurement; original: "26/05/2026 HBV DNA 64,000 IU/mL, HBsAg positive, ALT 142 U/L"; source: Hepatology letter]</v>
      </c>
      <c r="AS74" s="21" t="str">
        <f>IF(EI74=0,"",MID(IF(DT74=1," | Recovery interval (C7) computed with "&amp;DS74&amp;".","")&amp;IF(BG74=1," | Anchor selected under C5 (CALC-SPEC 1.1): latest administration with an exact date or time at or before "&amp;IF(BH74=1,"onset","the end point")&amp;" ("&amp;AJ74&amp;"), ordered in UTC when offsets are known; later administrations are never selected.","")&amp;IF(AND(BG74=1,CE74&gt;0)," | Partial-date administrations wholly before the selected one were not candidates: "&amp;FC74&amp;".","")&amp;IF(BV74&lt;&gt;""," | "&amp;BV74,"")&amp;IF(AND(DS74="C2",EA74=0,DZ74&lt;&gt;"")," | Same calendar date; both times are known, so C1 decides the order ("&amp;AA74&amp;").","")&amp;IF(AND(DS74="C2",DD74*BN74=1,DT74=0)," | Calendar-date difference from the recorded local dates; it is never described as elapsed days.","")&amp;IF(AND(DS74="C4",DT74=0)," | Bounds are treated as independent; no single date is imputed from them.","")&amp;IF(EJ74=1," | Treatment day under the inclusive convention (C3); never written to E2B fields automatically.","")&amp;IF(AND(DS74="C4",DT74=0,EK74=0)," | No constraint applied.","")&amp;IF(AND(DS74="C4",EK74=1)," | Constraint applied to the anchor bounds: "&amp;IF(ISNUMBER(P74),"not before "&amp;DAY(P74)&amp;" "&amp;INDEX(nLIST_Months,MONTH(P74))&amp;" "&amp;YEAR(P74),"")&amp;IF(AND(ISNUMBER(P74),ISNUMBER(Q74)),", ","")&amp;IF(ISNUMBER(Q74),"not after "&amp;DAY(Q74)&amp;" "&amp;INDEX(nLIST_Months,MONTH(Q74))&amp;" "&amp;YEAR(Q74),"")&amp;". Source: "&amp;IF(R74="","not recorded",R74)&amp;IF(EN74="",". Constrained result shown beside the unconstrained one.",". Constrained result blocked ("&amp;EN74&amp;")."),"")&amp;IF(DT74=1,IF(EO74&gt;0," | Intervention recorded between cessation and recovery (ends included): "&amp;EZ74&amp;"."," | No intervention is recorded between cessation and recovery; absence of a record is not evidence that none was given."),"")&amp;IF(AND(DT74=1,DV74&gt;0)," | Intervention recorded without a date, so whether it came before recovery is unknown: "&amp;INDEX(nMS_Milestone_ID,MATCH(1,INDEX((nMS_CaseKey=AX74)*(nMS_Type="INTERVENTION")*nMS_Undated,0),0))&amp;IF(DV74&gt;1," and "&amp;(DV74-1)&amp;" more","")&amp;".","")&amp;IF(AND(DT74=1,EP74&gt;0)," | Not counted as interventions, because they are recorded as exposures rather than as intervention milestones (nothing is inferred): "&amp;FB74&amp;". If treatment was given, record it as an intervention milestone.",""),4,9999))</f>
        <v>Anchor selected under C5 (CALC-SPEC 1.1): latest administration with an exact date or time at or before the end point (ADM-RTX-6), ordered in UTC when offsets are known; later administrations are never selected.</v>
      </c>
      <c r="AT74" s="21" t="str">
        <f t="shared" si="80"/>
        <v>The interval describes the sequence and spacing of recorded times; it is not evidence of causation.</v>
      </c>
      <c r="AU74" s="21" t="str">
        <f t="shared" si="81"/>
        <v/>
      </c>
      <c r="AV74" s="21" t="str">
        <f t="shared" si="82"/>
        <v>CALC-SPEC 1.1</v>
      </c>
      <c r="AW74" s="22">
        <f t="shared" si="83"/>
        <v>0</v>
      </c>
      <c r="AX74" s="21" t="str">
        <f t="shared" si="84"/>
        <v>EX-C28|2</v>
      </c>
      <c r="AY74" s="21" t="str">
        <f t="shared" si="85"/>
        <v>EX-C28|2|I09</v>
      </c>
      <c r="AZ74" s="22">
        <f>IF(AY74="",0,COUNTIF(nINT_Key,AY74))</f>
        <v>1</v>
      </c>
      <c r="BA74" s="22">
        <f>IF(D74="",0,IFERROR(MATCH(AX74&amp;"|"&amp;D74,nLNK_Key,0),0))</f>
        <v>27</v>
      </c>
      <c r="BB74" s="22">
        <f>IF(BA74=0,1,INDEX(nLNK_Exp_Found,BA74))</f>
        <v>1</v>
      </c>
      <c r="BC74" s="22">
        <f>IF(BA74=0,1,INDEX(nLNK_Evt_Found,BA74))</f>
        <v>1</v>
      </c>
      <c r="BD74" s="22">
        <f>IF(AP74="",0,COUNTIF(nEXP_Key,AX74&amp;"|"&amp;AP74))</f>
        <v>1</v>
      </c>
      <c r="BE74" s="22">
        <f>IF(AQ74="",0,COUNTIF(nEVT_Key,AX74&amp;"|"&amp;AQ74))</f>
        <v>1</v>
      </c>
      <c r="BF74" s="22">
        <f>IF(ISNA(MATCH(E74,nLIST_AnchorType,0)),0,1)</f>
        <v>1</v>
      </c>
      <c r="BG74" s="22">
        <f t="shared" si="86"/>
        <v>1</v>
      </c>
      <c r="BH74" s="22">
        <f t="shared" si="87"/>
        <v>0</v>
      </c>
      <c r="BI74" s="22">
        <f>IF(OR(AW74=1,AK74=""),0,IFERROR(MATCH(AX74&amp;"|"&amp;AK74,nTP_Key,0),0))</f>
        <v>444</v>
      </c>
      <c r="BJ74" s="21">
        <f>IF(BI74=0,0,INDEX(nTP_Dup,BI74))</f>
        <v>1</v>
      </c>
      <c r="BK74" s="21" t="str">
        <f>IF(BI74=0,"",INDEX(nTP_Record_Type,BI74))</f>
        <v>MILESTONE:TEST</v>
      </c>
      <c r="BL74" s="21" t="str">
        <f>IF(BI74=0,"",INDEX(nTP_Precision,BI74))</f>
        <v>DATE</v>
      </c>
      <c r="BM74" s="21" t="str">
        <f>IF(BI74=0,"",INDEX(nTP_Err,BI74))</f>
        <v/>
      </c>
      <c r="BN74" s="21">
        <f>IF(BI74=0,0,INDEX(nTP_HT,BI74))</f>
        <v>0</v>
      </c>
      <c r="BO74" s="21">
        <f>IF(BI74=0,0,INDEX(nTP_OK,BI74))</f>
        <v>0</v>
      </c>
      <c r="BP74" s="21" t="str">
        <f>IF(BI74=0,"",INDEX(nTP_Loc,BI74))</f>
        <v/>
      </c>
      <c r="BQ74" s="21" t="str">
        <f>IF(BI74=0,"",INDEX(nTP_UTC,BI74))</f>
        <v/>
      </c>
      <c r="BR74" s="21">
        <f>IF(BI74=0,"",INDEX(nTP_Lo,BI74))</f>
        <v>46168</v>
      </c>
      <c r="BS74" s="21">
        <f>IF(BI74=0,"",INDEX(nTP_Hi,BI74))</f>
        <v>46168</v>
      </c>
      <c r="BT74" s="21" t="str">
        <f>IF(BI74=0,"",INDEX(nTP_Original_Text,BI74))</f>
        <v>26/05/2026 HBV DNA 64,000 IU/mL, HBsAg positive, ALT 142 U/L</v>
      </c>
      <c r="BU74" s="21" t="str">
        <f>IF(BI74=0,"",INDEX(nTP_Source,BI74))</f>
        <v>Hepatology letter</v>
      </c>
      <c r="BV74" s="21" t="str">
        <f>IF(BI74=0,"",INDEX(nTP_Lab_Note,BI74))</f>
        <v/>
      </c>
      <c r="BW74" s="22">
        <f t="shared" si="88"/>
        <v>1</v>
      </c>
      <c r="BX74" s="21" t="str">
        <f t="shared" si="89"/>
        <v>EX-C28|2|EX-RTX</v>
      </c>
      <c r="BY74" s="22">
        <f>IF(BG74=0,0,COUNTIF(nTP_CandKey,BX74))</f>
        <v>3</v>
      </c>
      <c r="BZ74" s="22">
        <f>IF(BG74=0,0,COUNTIFS(nTP_CandKey,BX74,nTP_Err,""))</f>
        <v>3</v>
      </c>
      <c r="CA74" s="21" t="str">
        <f>IF(BY74=BZ74,"",IF(COUNTIFS(nTP_CandKey,BX74,nTP_Err,"E_INVALID_DATE")&gt;0,"; E_INVALID_DATE","")&amp;IF(COUNTIFS(nTP_CandKey,BX74,nTP_Err,"E_REVERSED_BOUNDS")&gt;0,"; E_REVERSED_BOUNDS","")&amp;IF(COUNTIFS(nTP_CandKey,BX74,nTP_Err,"E_MISSING_INPUT")&gt;0,"; E_MISSING_INPUT","")&amp;IF(COUNTIFS(nTP_CandKey,BX74,nTP_Err,"E_INVALID_UNIT")&gt;0,"; E_INVALID_UNIT",""))</f>
        <v/>
      </c>
      <c r="CB74" s="22">
        <f t="shared" si="90"/>
        <v>1</v>
      </c>
      <c r="CC74" s="22">
        <f>IF(CB74=0,0,SUMPRODUCT((nTP_CandKey=BX74)*(nTP_Err="")*(1-(nTP_HT*BN74*((nTP_OK*BO74*(nTP_UTC_n-N(BQ74))+(1-nTP_OK*BO74)*(nTP_Loc_n-N(BP74)))&lt;=0)+(1-nTP_HT*BN74)*(nTP_Hi_n&lt;N(BR74)))-(nTP_HT*BN74*((nTP_OK*BO74*(nTP_UTC_n-N(BQ74))+(1-nTP_OK*BO74)*(nTP_Loc_n-N(BP74)))&gt;0)+(1-nTP_HT*BN74)*(nTP_Lo_n&gt;N(BS74)))-((1-nTP_HT*BN74)*(nTP_Lo_n=nTP_Hi_n)*(nTP_Lo_n=N(BR74))*(N(BR74)=N(BS74))))))</f>
        <v>0</v>
      </c>
      <c r="CD74" s="22">
        <f>IF(CB74=0,0,SUMPRODUCT((nTP_CandKey=BX74)*nTP_Exact*((nTP_HT*BN74*((nTP_OK*BO74*(nTP_UTC_n-N(BQ74))+(1-nTP_OK*BO74)*(nTP_Loc_n-N(BP74)))&lt;=0)+(1-nTP_HT*BN74)*(nTP_Hi_n&lt;N(BR74)))+((1-nTP_HT*BN74)*(nTP_Lo_n=nTP_Hi_n)*(nTP_Lo_n=N(BR74))*(N(BR74)=N(BS74))))))</f>
        <v>3</v>
      </c>
      <c r="CE74" s="22">
        <f>IF(CB74=0,0,SUMPRODUCT((nTP_CandKey=BX74)*(nTP_Err="")*(1-nTP_Exact)*((nTP_HT*BN74*((nTP_OK*BO74*(nTP_UTC_n-N(BQ74))+(1-nTP_OK*BO74)*(nTP_Loc_n-N(BP74)))&lt;=0)+(1-nTP_HT*BN74)*(nTP_Hi_n&lt;N(BR74)))+((1-nTP_HT*BN74)*(nTP_Lo_n=nTP_Hi_n)*(nTP_Lo_n=N(BR74))*(N(BR74)=N(BS74))))))</f>
        <v>0</v>
      </c>
      <c r="CF74" s="22">
        <f>IF(CD74=0,0,SUMPRODUCT(MAX((nTP_CandKey=BX74)*nTP_Exact*((nTP_HT*BN74*((nTP_OK*BO74*(nTP_UTC_n-N(BQ74))+(1-nTP_OK*BO74)*(nTP_Loc_n-N(BP74)))&lt;=0)+(1-nTP_HT*BN74)*(nTP_Hi_n&lt;N(BR74)))+((1-nTP_HT*BN74)*(nTP_Lo_n=nTP_Hi_n)*(nTP_Lo_n=N(BR74))*(N(BR74)=N(BS74))))*nTP_Lo_n)))</f>
        <v>45719</v>
      </c>
      <c r="CG74" s="22">
        <f>IF(CD74=0,0,SUMPRODUCT((nTP_CandKey=BX74)*nTP_Exact*((nTP_HT*BN74*((nTP_OK*BO74*(nTP_UTC_n-N(BQ74))+(1-nTP_OK*BO74)*(nTP_Loc_n-N(BP74)))&lt;=0)+(1-nTP_HT*BN74)*(nTP_Hi_n&lt;N(BR74)))+((1-nTP_HT*BN74)*(nTP_Lo_n=nTP_Hi_n)*(nTP_Lo_n=N(BR74))*(N(BR74)=N(BS74))))*(nTP_Lo_n=CF74)))</f>
        <v>1</v>
      </c>
      <c r="CH74" s="22">
        <f>IF(CD74=0,0,SUMPRODUCT((nTP_CandKey=BX74)*nTP_Exact*((nTP_HT*BN74*((nTP_OK*BO74*(nTP_UTC_n-N(BQ74))+(1-nTP_OK*BO74)*(nTP_Loc_n-N(BP74)))&lt;=0)+(1-nTP_HT*BN74)*(nTP_Hi_n&lt;N(BR74)))+((1-nTP_HT*BN74)*(nTP_Lo_n=nTP_Hi_n)*(nTP_Lo_n=N(BR74))*(N(BR74)=N(BS74))))*(1-nTP_HT)*(nTP_Lo_n=CF74)))</f>
        <v>1</v>
      </c>
      <c r="CI74" s="22">
        <f>IF(CD74=0,0,SUMPRODUCT(MAX((nTP_CandKey=BX74)*nTP_Exact*((nTP_HT*BN74*((nTP_OK*BO74*(nTP_UTC_n-N(BQ74))+(1-nTP_OK*BO74)*(nTP_Loc_n-N(BP74)))&lt;=0)+(1-nTP_HT*BN74)*(nTP_Hi_n&lt;N(BR74)))+((1-nTP_HT*BN74)*(nTP_Lo_n=nTP_Hi_n)*(nTP_Lo_n=N(BR74))*(N(BR74)=N(BS74))))*(1-nTP_HT)*nTP_Lo_n)))</f>
        <v>45719</v>
      </c>
      <c r="CJ74" s="22">
        <f>IF(CD74=0,0,SUMPRODUCT(MAX((nTP_CandKey=BX74)*nTP_Exact*((nTP_HT*BN74*((nTP_OK*BO74*(nTP_UTC_n-N(BQ74))+(1-nTP_OK*BO74)*(nTP_Loc_n-N(BP74)))&lt;=0)+(1-nTP_HT*BN74)*(nTP_Hi_n&lt;N(BR74)))+((1-nTP_HT*BN74)*(nTP_Lo_n=nTP_Hi_n)*(nTP_Lo_n=N(BR74))*(N(BR74)=N(BS74))))*nTP_HT*nTP_OK*nTP_UTC_n)))</f>
        <v>0</v>
      </c>
      <c r="CK74" s="22">
        <f>IF(CJ74=0,0,SUMPRODUCT((nTP_CandKey=BX74)*nTP_Exact*((nTP_HT*BN74*((nTP_OK*BO74*(nTP_UTC_n-N(BQ74))+(1-nTP_OK*BO74)*(nTP_Loc_n-N(BP74)))&lt;=0)+(1-nTP_HT*BN74)*(nTP_Hi_n&lt;N(BR74)))+((1-nTP_HT*BN74)*(nTP_Lo_n=nTP_Hi_n)*(nTP_Lo_n=N(BR74))*(N(BR74)=N(BS74))))*nTP_HT*nTP_OK*(nTP_UTC_n=CJ74)))</f>
        <v>0</v>
      </c>
      <c r="CL74" s="22">
        <f>IF(CK74&lt;&gt;1,0,SUMPRODUCT((nTP_CandKey=BX74)*nTP_Exact*((nTP_HT*BN74*((nTP_OK*BO74*(nTP_UTC_n-N(BQ74))+(1-nTP_OK*BO74)*(nTP_Loc_n-N(BP74)))&lt;=0)+(1-nTP_HT*BN74)*(nTP_Hi_n&lt;N(BR74)))+((1-nTP_HT*BN74)*(nTP_Lo_n=nTP_Hi_n)*(nTP_Lo_n=N(BR74))*(N(BR74)=N(BS74))))*nTP_HT*nTP_OK*(nTP_UTC_n=CJ74)*nTP_Loc_n))</f>
        <v>0</v>
      </c>
      <c r="CM74" s="22">
        <f>IF(CK74&lt;&gt;1,0,SUMPRODUCT((nTP_CandKey=BX74)*nTP_Exact*((nTP_HT*BN74*((nTP_OK*BO74*(nTP_UTC_n-N(BQ74))+(1-nTP_OK*BO74)*(nTP_Loc_n-N(BP74)))&lt;=0)+(1-nTP_HT*BN74)*(nTP_Hi_n&lt;N(BR74)))+((1-nTP_HT*BN74)*(nTP_Lo_n=nTP_Hi_n)*(nTP_Lo_n=N(BR74))*(N(BR74)=N(BS74))))*nTP_HT*nTP_OK*(nTP_UTC_n=CJ74)*nTP_Lo_n))</f>
        <v>0</v>
      </c>
      <c r="CN74" s="22">
        <f>IF(CD74=0,0,SUMPRODUCT(MAX((nTP_CandKey=BX74)*nTP_Exact*((nTP_HT*BN74*((nTP_OK*BO74*(nTP_UTC_n-N(BQ74))+(1-nTP_OK*BO74)*(nTP_Loc_n-N(BP74)))&lt;=0)+(1-nTP_HT*BN74)*(nTP_Hi_n&lt;N(BR74)))+((1-nTP_HT*BN74)*(nTP_Lo_n=nTP_Hi_n)*(nTP_Lo_n=N(BR74))*(N(BR74)=N(BS74))))*nTP_HT*(1-nTP_OK)*nTP_Loc_n)))</f>
        <v>0</v>
      </c>
      <c r="CO74" s="22">
        <f>IF(CN74=0,0,SUMPRODUCT((nTP_CandKey=BX74)*nTP_Exact*((nTP_HT*BN74*((nTP_OK*BO74*(nTP_UTC_n-N(BQ74))+(1-nTP_OK*BO74)*(nTP_Loc_n-N(BP74)))&lt;=0)+(1-nTP_HT*BN74)*(nTP_Hi_n&lt;N(BR74)))+((1-nTP_HT*BN74)*(nTP_Lo_n=nTP_Hi_n)*(nTP_Lo_n=N(BR74))*(N(BR74)=N(BS74))))*nTP_HT*(1-nTP_OK)*(nTP_Loc_n=CN74)))</f>
        <v>0</v>
      </c>
      <c r="CP74" s="22">
        <f>IF(CO74&lt;&gt;1,0,SUMPRODUCT((nTP_CandKey=BX74)*nTP_Exact*((nTP_HT*BN74*((nTP_OK*BO74*(nTP_UTC_n-N(BQ74))+(1-nTP_OK*BO74)*(nTP_Loc_n-N(BP74)))&lt;=0)+(1-nTP_HT*BN74)*(nTP_Hi_n&lt;N(BR74)))+((1-nTP_HT*BN74)*(nTP_Lo_n=nTP_Hi_n)*(nTP_Lo_n=N(BR74))*(N(BR74)=N(BS74))))*nTP_HT*(1-nTP_OK)*(nTP_Loc_n=CN74)*nTP_Lo_n))</f>
        <v>0</v>
      </c>
      <c r="CQ74" s="22">
        <f>IF(CD74=0,0,SUMPRODUCT(MAX((nTP_CandKey=BX74)*nTP_Exact*((nTP_HT*BN74*((nTP_OK*BO74*(nTP_UTC_n-N(BQ74))+(1-nTP_OK*BO74)*(nTP_Loc_n-N(BP74)))&lt;=0)+(1-nTP_HT*BN74)*(nTP_Hi_n&lt;N(BR74)))+((1-nTP_HT*BN74)*(nTP_Lo_n=nTP_Hi_n)*(nTP_Lo_n=N(BR74))*(N(BR74)=N(BS74))))*nTP_HT*nTP_OK*nTP_Loc_n)))</f>
        <v>0</v>
      </c>
      <c r="CR74" s="22">
        <f t="shared" si="91"/>
        <v>1</v>
      </c>
      <c r="CS74" s="22">
        <f>IF(CR74=0,0,IF(CR74=1,MATCH(1,INDEX((nTP_CandKey=BX74)*nTP_Exact*((nTP_HT*BN74*((nTP_OK*BO74*(nTP_UTC_n-N(BQ74))+(1-nTP_OK*BO74)*(nTP_Loc_n-N(BP74)))&lt;=0)+(1-nTP_HT*BN74)*(nTP_Hi_n&lt;N(BR74)))+((1-nTP_HT*BN74)*(nTP_Lo_n=nTP_Hi_n)*(nTP_Lo_n=N(BR74))*(N(BR74)=N(BS74))))*(1-nTP_HT)*(nTP_Lo_n=CF74),0),0),IF(CR74=2,MATCH(1,INDEX((nTP_CandKey=BX74)*nTP_Exact*((nTP_HT*BN74*((nTP_OK*BO74*(nTP_UTC_n-N(BQ74))+(1-nTP_OK*BO74)*(nTP_Loc_n-N(BP74)))&lt;=0)+(1-nTP_HT*BN74)*(nTP_Hi_n&lt;N(BR74)))+((1-nTP_HT*BN74)*(nTP_Lo_n=nTP_Hi_n)*(nTP_Lo_n=N(BR74))*(N(BR74)=N(BS74))))*nTP_HT*nTP_OK*(nTP_UTC_n=CJ74),0),0),MATCH(1,INDEX((nTP_CandKey=BX74)*nTP_Exact*((nTP_HT*BN74*((nTP_OK*BO74*(nTP_UTC_n-N(BQ74))+(1-nTP_OK*BO74)*(nTP_Loc_n-N(BP74)))&lt;=0)+(1-nTP_HT*BN74)*(nTP_Hi_n&lt;N(BR74)))+((1-nTP_HT*BN74)*(nTP_Lo_n=nTP_Hi_n)*(nTP_Lo_n=N(BR74))*(N(BR74)=N(BS74))))*nTP_HT*(1-nTP_OK)*(nTP_Loc_n=CN74),0),0))))</f>
        <v>281</v>
      </c>
      <c r="CT74" s="22">
        <f>IF(CS74=0,0,INDEX(nTP_Lo_n,CS74))</f>
        <v>45719</v>
      </c>
      <c r="CU74" s="22">
        <f>IF(CS74=0,0,SUMPRODUCT((nTP_CandKey=BX74)*(nTP_Err="")*(1-nTP_Exact)*((nTP_HT*BN74*((nTP_OK*BO74*(nTP_UTC_n-N(BQ74))+(1-nTP_OK*BO74)*(nTP_Loc_n-N(BP74)))&lt;=0)+(1-nTP_HT*BN74)*(nTP_Hi_n&lt;N(BR74)))+((1-nTP_HT*BN74)*(nTP_Lo_n=nTP_Hi_n)*(nTP_Lo_n=N(BR74))*(N(BR74)=N(BS74))))*(nTP_Hi_n&gt;=CT74)))</f>
        <v>0</v>
      </c>
      <c r="CV74" s="21" t="str">
        <f t="shared" si="92"/>
        <v/>
      </c>
      <c r="CW74" s="21" t="str">
        <f>IF(AND(BG74=1,CB74=1,CV74="",CS74&gt;0),INDEX(nTP_Record_ID,CS74)&amp;"","")</f>
        <v>ADM-RTX-6</v>
      </c>
      <c r="CX74" s="21" t="str">
        <f>IF(OR(CV74="",BG74=0),"",IF(CV74="none","an administration record (last dose before onset)",IF(CV74="uncertain","the anchor record: "&amp;INDEX(nTP_Record_ID,MATCH(1,INDEX((nTP_CandKey=BX74)*(nTP_Err="")*(1-(nTP_HT*BN74*((nTP_OK*BO74*(nTP_UTC_n-N(BQ74))+(1-nTP_OK*BO74)*(nTP_Loc_n-N(BP74)))&lt;=0)+(1-nTP_HT*BN74)*(nTP_Hi_n&lt;N(BR74)))-(nTP_HT*BN74*((nTP_OK*BO74*(nTP_UTC_n-N(BQ74))+(1-nTP_OK*BO74)*(nTP_Loc_n-N(BP74)))&gt;0)+(1-nTP_HT*BN74)*(nTP_Lo_n&gt;N(BS74)))-((1-nTP_HT*BN74)*(nTP_Lo_n=nTP_Hi_n)*(nTP_Lo_n=N(BR74))*(N(BR74)=N(BS74)))),0),0))&amp;IF(CC74&gt;1," and "&amp;(CC74-1)&amp;" more","")&amp;" may fall before or after the end point, so the last dose cannot be identified from the recorded dates",IF(CV74="noneligible","the anchor record: no administration with an exact date is recorded at or before the end point",IF(CV74="tie","the anchor record: the order of the latest administrations cannot be told from the recorded dates and times","the anchor record: partial-date administration "&amp;INDEX(nTP_Record_ID,MATCH(1,INDEX((nTP_CandKey=BX74)*(nTP_Err="")*(1-nTP_Exact)*((nTP_HT*BN74*((nTP_OK*BO74*(nTP_UTC_n-N(BQ74))+(1-nTP_OK*BO74)*(nTP_Loc_n-N(BP74)))&lt;=0)+(1-nTP_HT*BN74)*(nTP_Hi_n&lt;N(BR74)))+((1-nTP_HT*BN74)*(nTP_Lo_n=nTP_Hi_n)*(nTP_Lo_n=N(BR74))*(N(BR74)=N(BS74))))*(nTP_Hi_n&gt;=CT74),0),0))&amp;" could be the last dose before the end point")))))</f>
        <v/>
      </c>
      <c r="CY74" s="22">
        <f>IF(OR(AW74=1,AJ74=""),0,IFERROR(MATCH(AX74&amp;"|"&amp;AJ74,nTP_Key,0),0))</f>
        <v>281</v>
      </c>
      <c r="CZ74" s="21">
        <f>IF(CY74=0,0,INDEX(nTP_Dup,CY74))</f>
        <v>1</v>
      </c>
      <c r="DA74" s="21" t="str">
        <f>IF(CY74=0,"",INDEX(nTP_Record_Type,CY74))</f>
        <v>ADMINISTRATION</v>
      </c>
      <c r="DB74" s="21" t="str">
        <f>IF(CY74=0,"",INDEX(nTP_Precision,CY74))</f>
        <v>DATE</v>
      </c>
      <c r="DC74" s="21" t="str">
        <f>IF(CY74=0,"",INDEX(nTP_Err,CY74))</f>
        <v/>
      </c>
      <c r="DD74" s="21">
        <f>IF(CY74=0,0,INDEX(nTP_HT,CY74))</f>
        <v>0</v>
      </c>
      <c r="DE74" s="21">
        <f>IF(CY74=0,0,INDEX(nTP_OK,CY74))</f>
        <v>0</v>
      </c>
      <c r="DF74" s="21" t="str">
        <f>IF(CY74=0,"",INDEX(nTP_Loc,CY74))</f>
        <v/>
      </c>
      <c r="DG74" s="21" t="str">
        <f>IF(CY74=0,"",INDEX(nTP_UTC,CY74))</f>
        <v/>
      </c>
      <c r="DH74" s="21">
        <f>IF(CY74=0,"",INDEX(nTP_Lo,CY74))</f>
        <v>45719</v>
      </c>
      <c r="DI74" s="21">
        <f>IF(CY74=0,"",INDEX(nTP_Hi,CY74))</f>
        <v>45719</v>
      </c>
      <c r="DJ74" s="21" t="str">
        <f>IF(CY74=0,"",INDEX(nTP_Original_Text,CY74))</f>
        <v>last infusion 03/03/2025</v>
      </c>
      <c r="DK74" s="21" t="str">
        <f>IF(CY74=0,"",INDEX(nTP_Source,CY74))</f>
        <v>Hematology summary</v>
      </c>
      <c r="DL74" s="22">
        <f t="shared" si="93"/>
        <v>1</v>
      </c>
      <c r="DM74" s="21" t="str">
        <f t="shared" si="94"/>
        <v/>
      </c>
      <c r="DN74" s="21" t="str">
        <f t="shared" si="95"/>
        <v/>
      </c>
      <c r="DO74" s="21" t="str">
        <f t="shared" si="96"/>
        <v/>
      </c>
      <c r="DP74" s="21" t="str">
        <f t="shared" si="97"/>
        <v/>
      </c>
      <c r="DQ74" s="21" t="str">
        <f t="shared" si="98"/>
        <v>C2</v>
      </c>
      <c r="DR74" s="22">
        <f>IF(OR(DQ74="",I74=""),0,IF(ISNA(MATCH(I74,nLIST_Mode,0)),1,IF(AND(I74="C1",DQ74&lt;&gt;"C1"),1,IF(AND(I74="C2",DQ74="C4"),1,0))))</f>
        <v>0</v>
      </c>
      <c r="DS74" s="21" t="str">
        <f t="shared" si="99"/>
        <v>C2</v>
      </c>
      <c r="DT74" s="22">
        <f t="shared" si="100"/>
        <v>0</v>
      </c>
      <c r="DU74" s="21" t="str">
        <f>IF(DT74=0,"",IF(COUNTIFS(nTP_Case_Key,AX74,nTP_Record_Type,"MILESTONE:INTERVENTION",nTP_Err,"E_INVALID_DATE")&gt;0,"; E_INVALID_DATE","")&amp;IF(COUNTIFS(nTP_Case_Key,AX74,nTP_Record_Type,"MILESTONE:INTERVENTION",nTP_Err,"E_REVERSED_BOUNDS")&gt;0,"; E_REVERSED_BOUNDS","")&amp;IF(COUNTIFS(nTP_Case_Key,AX74,nTP_Record_Type,"MILESTONE:INTERVENTION",nTP_Err,"E_MISSING_INPUT")&gt;0,"; E_MISSING_INPUT","")&amp;IF(COUNTIFS(nTP_Case_Key,AX74,nTP_Record_Type,"MILESTONE:INTERVENTION",nTP_Err,"E_INVALID_UNIT")&gt;0,"; E_INVALID_UNIT",""))</f>
        <v/>
      </c>
      <c r="DV74" s="22">
        <f>IF(DT74=0,0,SUMPRODUCT((nMS_CaseKey=AX74)*(nMS_Type="INTERVENTION")*nMS_Undated))</f>
        <v>0</v>
      </c>
      <c r="DW74" s="21" t="str">
        <f t="shared" si="101"/>
        <v/>
      </c>
      <c r="DX74" s="21" t="str">
        <f t="shared" si="102"/>
        <v/>
      </c>
      <c r="DY74" s="22">
        <f t="shared" si="103"/>
        <v>1</v>
      </c>
      <c r="DZ74" s="21" t="str">
        <f t="shared" si="104"/>
        <v/>
      </c>
      <c r="EA74" s="21">
        <f t="shared" si="105"/>
        <v>449</v>
      </c>
      <c r="EB74" s="21" t="str">
        <f t="shared" si="106"/>
        <v/>
      </c>
      <c r="EC74" s="21" t="str">
        <f t="shared" si="107"/>
        <v/>
      </c>
      <c r="ED74" s="22">
        <f t="shared" si="108"/>
        <v>0</v>
      </c>
      <c r="EE74" s="22">
        <f t="shared" si="109"/>
        <v>0</v>
      </c>
      <c r="EF74" s="21" t="str">
        <f>IF(ED74=0,"",IF(OR(NOT(ISNUMBER(L74)),NOT(ISNUMBER(M74))),"I_APPROXIMATE_NOT_COMPARED",IF(AND(N74&lt;&gt;"",ISNA(MATCH(N74,nLIST_ReportedUnit,0))),"E_INVALID_UNIT",IF(N74="","E_MISSING_INPUT",IF(L74&gt;M74,"E_REVERSED_BOUNDS",IF(OR(N74="weeks",N74="months",N74="years"),"I_APPROXIMATE_NOT_COMPARED",IF(DX74&lt;&gt;"","",IF(EE74=0,"I_APPROXIMATE_NOT_COMPARED",IF(AND(L74*EE74&lt;=IF(DS74="C4",EC74,IF(DS74="C1",DZ74,EA74)),M74*EE74&gt;=IF(DS74="C4",EB74,IF(DS74="C1",DZ74,EA74))),"OVERLAP","W_REPORTED_TIMING_CONFLICT")))))))))</f>
        <v/>
      </c>
      <c r="EG74" s="21" t="str">
        <f t="shared" si="110"/>
        <v/>
      </c>
      <c r="EH74" s="21" t="str">
        <f t="shared" si="111"/>
        <v/>
      </c>
      <c r="EI74" s="22">
        <f t="shared" si="112"/>
        <v>1</v>
      </c>
      <c r="EJ74" s="22">
        <f t="shared" si="113"/>
        <v>0</v>
      </c>
      <c r="EK74" s="22">
        <f t="shared" si="114"/>
        <v>0</v>
      </c>
      <c r="EL74" s="28" t="str">
        <f t="shared" si="115"/>
        <v/>
      </c>
      <c r="EM74" s="28" t="str">
        <f t="shared" si="116"/>
        <v/>
      </c>
      <c r="EN74" s="21" t="str">
        <f t="shared" si="117"/>
        <v/>
      </c>
      <c r="EO74" s="22">
        <f>IF(OR(DT74=0,DX74&lt;&gt;""),0,SUMPRODUCT((nTP_Case_Key=AX74)*(nTP_Record_Type="MILESTONE:INTERVENTION")*(nTP_Err="")*(nTP_HT*DD74*BN74*(nTP_OK*DE74*(nTP_UTC_n&gt;=N(DG74))+(1-nTP_OK*DE74)*(nTP_Loc_n&gt;=N(DF74)))*(nTP_OK*BO74*(nTP_UTC_n&lt;=N(BQ74))+(1-nTP_OK*BO74)*(nTP_Loc_n&lt;=N(BP74)))+(1-nTP_HT*DD74*BN74)*(nTP_Hi_n&gt;=N(DH74))*(nTP_Lo_n&lt;=N(BS74)))))</f>
        <v>0</v>
      </c>
      <c r="EP74" s="22">
        <f>IF(OR(DT74=0,DX74&lt;&gt;""),0,SUMPRODUCT((nTP_Case_Key=AX74)*(nTP_Role="treatment of the event")*((nTP_Record_Type="EXPOSURE_START")+(nTP_Record_Type="ADMINISTRATION"))*(nTP_Err="")*(nTP_HT*DD74*BN74*(nTP_OK*DE74*(nTP_UTC_n&gt;=N(DG74))+(1-nTP_OK*DE74)*(nTP_Loc_n&gt;=N(DF74)))*(nTP_OK*BO74*(nTP_UTC_n&lt;=N(BQ74))+(1-nTP_OK*BO74)*(nTP_Loc_n&lt;=N(BP74)))+(1-nTP_HT*DD74*BN74)*(nTP_Hi_n&gt;=N(DH74))*(nTP_Lo_n&lt;=N(BS74)))))</f>
        <v>0</v>
      </c>
      <c r="EQ74" s="22">
        <f>IF(EO74&lt;1,0,IFERROR(_xlfn.AGGREGATE(15,6,nTP_RowN/((nTP_Case_Key=AX74)*(nTP_Record_Type="MILESTONE:INTERVENTION")*(nTP_Err="")*(nTP_HT*DD74*BN74*(nTP_OK*DE74*(nTP_UTC_n&gt;=N(DG74))+(1-nTP_OK*DE74)*(nTP_Loc_n&gt;=N(DF74)))*(nTP_OK*BO74*(nTP_UTC_n&lt;=N(BQ74))+(1-nTP_OK*BO74)*(nTP_Loc_n&lt;=N(BP74)))+(1-nTP_HT*DD74*BN74)*(nTP_Hi_n&gt;=N(DH74))*(nTP_Lo_n&lt;=N(BS74)))),1),0))</f>
        <v>0</v>
      </c>
      <c r="ER74" s="22">
        <f>IF(EO74&lt;2,0,IFERROR(_xlfn.AGGREGATE(15,6,nTP_RowN/((nTP_Case_Key=AX74)*(nTP_Record_Type="MILESTONE:INTERVENTION")*(nTP_Err="")*(nTP_HT*DD74*BN74*(nTP_OK*DE74*(nTP_UTC_n&gt;=N(DG74))+(1-nTP_OK*DE74)*(nTP_Loc_n&gt;=N(DF74)))*(nTP_OK*BO74*(nTP_UTC_n&lt;=N(BQ74))+(1-nTP_OK*BO74)*(nTP_Loc_n&lt;=N(BP74)))+(1-nTP_HT*DD74*BN74)*(nTP_Hi_n&gt;=N(DH74))*(nTP_Lo_n&lt;=N(BS74)))),2),0))</f>
        <v>0</v>
      </c>
      <c r="ES74" s="22">
        <f>IF(EO74&lt;3,0,IFERROR(_xlfn.AGGREGATE(15,6,nTP_RowN/((nTP_Case_Key=AX74)*(nTP_Record_Type="MILESTONE:INTERVENTION")*(nTP_Err="")*(nTP_HT*DD74*BN74*(nTP_OK*DE74*(nTP_UTC_n&gt;=N(DG74))+(1-nTP_OK*DE74)*(nTP_Loc_n&gt;=N(DF74)))*(nTP_OK*BO74*(nTP_UTC_n&lt;=N(BQ74))+(1-nTP_OK*BO74)*(nTP_Loc_n&lt;=N(BP74)))+(1-nTP_HT*DD74*BN74)*(nTP_Hi_n&gt;=N(DH74))*(nTP_Lo_n&lt;=N(BS74)))),3),0))</f>
        <v>0</v>
      </c>
      <c r="ET74" s="22">
        <f>IF(EP74&lt;1,0,IFERROR(_xlfn.AGGREGATE(15,6,nTP_RowN/((nTP_Case_Key=AX74)*(nTP_Role="treatment of the event")*((nTP_Record_Type="EXPOSURE_START")+(nTP_Record_Type="ADMINISTRATION"))*(nTP_Err="")*(nTP_HT*DD74*BN74*(nTP_OK*DE74*(nTP_UTC_n&gt;=N(DG74))+(1-nTP_OK*DE74)*(nTP_Loc_n&gt;=N(DF74)))*(nTP_OK*BO74*(nTP_UTC_n&lt;=N(BQ74))+(1-nTP_OK*BO74)*(nTP_Loc_n&lt;=N(BP74)))+(1-nTP_HT*DD74*BN74)*(nTP_Hi_n&gt;=N(DH74))*(nTP_Lo_n&lt;=N(BS74)))),1),0))</f>
        <v>0</v>
      </c>
      <c r="EU74" s="22">
        <f>IF(EP74&lt;2,0,IFERROR(_xlfn.AGGREGATE(15,6,nTP_RowN/((nTP_Case_Key=AX74)*(nTP_Role="treatment of the event")*((nTP_Record_Type="EXPOSURE_START")+(nTP_Record_Type="ADMINISTRATION"))*(nTP_Err="")*(nTP_HT*DD74*BN74*(nTP_OK*DE74*(nTP_UTC_n&gt;=N(DG74))+(1-nTP_OK*DE74)*(nTP_Loc_n&gt;=N(DF74)))*(nTP_OK*BO74*(nTP_UTC_n&lt;=N(BQ74))+(1-nTP_OK*BO74)*(nTP_Loc_n&lt;=N(BP74)))+(1-nTP_HT*DD74*BN74)*(nTP_Hi_n&gt;=N(DH74))*(nTP_Lo_n&lt;=N(BS74)))),2),0))</f>
        <v>0</v>
      </c>
      <c r="EV74" s="22">
        <f>IF(EP74&lt;3,0,IFERROR(_xlfn.AGGREGATE(15,6,nTP_RowN/((nTP_Case_Key=AX74)*(nTP_Role="treatment of the event")*((nTP_Record_Type="EXPOSURE_START")+(nTP_Record_Type="ADMINISTRATION"))*(nTP_Err="")*(nTP_HT*DD74*BN74*(nTP_OK*DE74*(nTP_UTC_n&gt;=N(DG74))+(1-nTP_OK*DE74)*(nTP_Loc_n&gt;=N(DF74)))*(nTP_OK*BO74*(nTP_UTC_n&lt;=N(BQ74))+(1-nTP_OK*BO74)*(nTP_Loc_n&lt;=N(BP74)))+(1-nTP_HT*DD74*BN74)*(nTP_Hi_n&gt;=N(DH74))*(nTP_Lo_n&lt;=N(BS74)))),3),0))</f>
        <v>0</v>
      </c>
      <c r="EW74" s="22">
        <f>IF(CE74&lt;1,0,IFERROR(_xlfn.AGGREGATE(15,6,nTP_RowN/((nTP_CandKey=BX74)*(nTP_Err="")*(1-nTP_Exact)*((nTP_HT*BN74*((nTP_OK*BO74*(nTP_UTC_n-N(BQ74))+(1-nTP_OK*BO74)*(nTP_Loc_n-N(BP74)))&lt;=0)+(1-nTP_HT*BN74)*(nTP_Hi_n&lt;N(BR74)))+((1-nTP_HT*BN74)*(nTP_Lo_n=nTP_Hi_n)*(nTP_Lo_n=N(BR74))*(N(BR74)=N(BS74))))),1),0))</f>
        <v>0</v>
      </c>
      <c r="EX74" s="22">
        <f>IF(CE74&lt;2,0,IFERROR(_xlfn.AGGREGATE(15,6,nTP_RowN/((nTP_CandKey=BX74)*(nTP_Err="")*(1-nTP_Exact)*((nTP_HT*BN74*((nTP_OK*BO74*(nTP_UTC_n-N(BQ74))+(1-nTP_OK*BO74)*(nTP_Loc_n-N(BP74)))&lt;=0)+(1-nTP_HT*BN74)*(nTP_Hi_n&lt;N(BR74)))+((1-nTP_HT*BN74)*(nTP_Lo_n=nTP_Hi_n)*(nTP_Lo_n=N(BR74))*(N(BR74)=N(BS74))))),2),0))</f>
        <v>0</v>
      </c>
      <c r="EY74" s="22">
        <f>IF(CE74&lt;3,0,IFERROR(_xlfn.AGGREGATE(15,6,nTP_RowN/((nTP_CandKey=BX74)*(nTP_Err="")*(1-nTP_Exact)*((nTP_HT*BN74*((nTP_OK*BO74*(nTP_UTC_n-N(BQ74))+(1-nTP_OK*BO74)*(nTP_Loc_n-N(BP74)))&lt;=0)+(1-nTP_HT*BN74)*(nTP_Hi_n&lt;N(BR74)))+((1-nTP_HT*BN74)*(nTP_Lo_n=nTP_Hi_n)*(nTP_Lo_n=N(BR74))*(N(BR74)=N(BS74))))),3),0))</f>
        <v>0</v>
      </c>
      <c r="EZ74" s="21" t="str">
        <f>IF(EO74=0,"",MID(IF(EQ74&gt;0,"; "&amp;INDEX(nTP_Record_ID,EQ74)&amp;IF(INDEX(nTP_Label,EQ74)="",""," ("&amp;INDEX(nTP_Label,EQ74)&amp;")"),"")&amp;IF(ER74&gt;0,"; "&amp;INDEX(nTP_Record_ID,ER74)&amp;IF(INDEX(nTP_Label,ER74)="",""," ("&amp;INDEX(nTP_Label,ER74)&amp;")"),"")&amp;IF(ES74&gt;0,"; "&amp;INDEX(nTP_Record_ID,ES74)&amp;IF(INDEX(nTP_Label,ES74)="",""," ("&amp;INDEX(nTP_Label,ES74)&amp;")"),"")&amp;IF(EO74&gt;3,"; and "&amp;(EO74-3)&amp;" more",""),3,999))</f>
        <v/>
      </c>
      <c r="FA74" s="21" t="str">
        <f>IF(EO74=0,"",MID(IF(EQ74&gt;0,"; "&amp;INDEX(nTP_Record_ID,EQ74),"")&amp;IF(ER74&gt;0,"; "&amp;INDEX(nTP_Record_ID,ER74),"")&amp;IF(ES74&gt;0,"; "&amp;INDEX(nTP_Record_ID,ES74),"")&amp;IF(EO74&gt;3,"; and "&amp;(EO74-3)&amp;" more",""),3,999))</f>
        <v/>
      </c>
      <c r="FB74" s="21" t="str">
        <f>IF(EP74=0,"",MID(IF(ET74&gt;0,"; "&amp;INDEX(nTP_Record_ID,ET74)&amp;IF(INDEX(nTP_Label,ET74)="",""," ("&amp;INDEX(nTP_Label,ET74)&amp;")"),"")&amp;IF(EU74&gt;0,"; "&amp;INDEX(nTP_Record_ID,EU74)&amp;IF(INDEX(nTP_Label,EU74)="",""," ("&amp;INDEX(nTP_Label,EU74)&amp;")"),"")&amp;IF(EV74&gt;0,"; "&amp;INDEX(nTP_Record_ID,EV74)&amp;IF(INDEX(nTP_Label,EV74)="",""," ("&amp;INDEX(nTP_Label,EV74)&amp;")"),"")&amp;IF(EP74&gt;3,"; and "&amp;(EP74-3)&amp;" more",""),3,999))</f>
        <v/>
      </c>
      <c r="FC74" s="21" t="str">
        <f>IF(CE74=0,"",MID(IF(EW74&gt;0,"; "&amp;INDEX(nTP_Record_ID,EW74),"")&amp;IF(EX74&gt;0,"; "&amp;INDEX(nTP_Record_ID,EX74),"")&amp;IF(EY74&gt;0,"; "&amp;INDEX(nTP_Record_ID,EY74),"")&amp;IF(CE74&gt;3,"; and "&amp;(CE74-3)&amp;" more",""),3,999))</f>
        <v/>
      </c>
      <c r="FD74" s="22">
        <f t="shared" si="118"/>
        <v>0</v>
      </c>
      <c r="FE74" s="22">
        <f t="shared" si="119"/>
        <v>0</v>
      </c>
      <c r="FF74" s="22">
        <f t="shared" si="120"/>
        <v>0</v>
      </c>
      <c r="FG74" s="22">
        <f t="shared" si="121"/>
        <v>0</v>
      </c>
      <c r="FH74" s="22">
        <f t="shared" si="122"/>
        <v>0</v>
      </c>
      <c r="FI74" s="22">
        <f t="shared" si="123"/>
        <v>0</v>
      </c>
      <c r="FJ74" s="22">
        <f t="shared" si="124"/>
        <v>0</v>
      </c>
      <c r="FK74" s="22">
        <f t="shared" si="125"/>
        <v>0</v>
      </c>
    </row>
    <row r="75" spans="1:167" x14ac:dyDescent="0.2">
      <c r="A75" s="9" t="s">
        <v>1149</v>
      </c>
      <c r="B75" s="9" t="s">
        <v>305</v>
      </c>
      <c r="C75" s="11">
        <v>2</v>
      </c>
      <c r="D75" s="9" t="s">
        <v>894</v>
      </c>
      <c r="E75" s="16" t="s">
        <v>57</v>
      </c>
      <c r="F75" s="9" t="s">
        <v>1175</v>
      </c>
      <c r="G75" s="9" t="s">
        <v>740</v>
      </c>
      <c r="H75" s="9" t="s">
        <v>1165</v>
      </c>
      <c r="I75" s="16" t="s">
        <v>60</v>
      </c>
      <c r="J75" s="16"/>
      <c r="K75" s="9"/>
      <c r="L75" s="16"/>
      <c r="M75" s="16"/>
      <c r="N75" s="16"/>
      <c r="O75" s="9"/>
      <c r="P75" s="14"/>
      <c r="Q75" s="14"/>
      <c r="R75" s="9"/>
      <c r="S75" s="9" t="s">
        <v>1176</v>
      </c>
      <c r="T75" s="21" t="str">
        <f t="shared" si="63"/>
        <v>92 calendar days</v>
      </c>
      <c r="U75" s="21" t="str">
        <f t="shared" si="64"/>
        <v>92 calendar days</v>
      </c>
      <c r="V75" s="21">
        <f t="shared" si="65"/>
        <v>92</v>
      </c>
      <c r="W75" s="21" t="str">
        <f t="shared" si="66"/>
        <v/>
      </c>
      <c r="X75" s="21" t="str">
        <f t="shared" si="67"/>
        <v/>
      </c>
      <c r="Y75" s="21" t="str">
        <f t="shared" si="68"/>
        <v>calendar days</v>
      </c>
      <c r="Z75" s="21" t="str">
        <f t="shared" si="69"/>
        <v>C2</v>
      </c>
      <c r="AA75" s="21" t="str">
        <f t="shared" si="70"/>
        <v>AFTER</v>
      </c>
      <c r="AB75" s="21" t="str">
        <f t="shared" si="71"/>
        <v/>
      </c>
      <c r="AC75" s="21" t="str">
        <f t="shared" si="72"/>
        <v/>
      </c>
      <c r="AD75" s="21" t="str">
        <f>IF(AW75=1,"",MID(IF(ISNUMBER(SEARCH("E_INVALID_DATE",EG75))," | E_INVALID_DATE: "&amp;SUBSTITUTE(IFERROR(INDEX(nMSG_Text,MATCH("E_INVALID_DATE",nMSG_Code,0)),""),"[input]",""),"")&amp;IF(ISNUMBER(SEARCH("E_REVERSED_BOUNDS",EG75))," | E_REVERSED_BOUNDS: "&amp;SUBSTITUTE(IFERROR(INDEX(nMSG_Text,MATCH("E_REVERSED_BOUNDS",nMSG_Code,0)),""),"[input]",""),"")&amp;IF(ISNUMBER(SEARCH("E_DUPLICATE_ID",EG75))," | E_DUPLICATE_ID: "&amp;SUBSTITUTE(IFERROR(INDEX(nMSG_Text,MATCH("E_DUPLICATE_ID",nMSG_Code,0)),""),"[input]",""),"")&amp;IF(ISNUMBER(SEARCH("E_MISSING_LINK",EG75))," | E_MISSING_LINK: "&amp;SUBSTITUTE(IFERROR(INDEX(nMSG_Text,MATCH("E_MISSING_LINK",nMSG_Code,0)),""),"[input]",""),"")&amp;IF(ISNUMBER(SEARCH("E_MISSING_INPUT",EG75))," | E_MISSING_INPUT: "&amp;SUBSTITUTE(IFERROR(INDEX(nMSG_Text,MATCH("E_MISSING_INPUT",nMSG_Code,0)),""),"[input]",IF(EH75="","an input",EH75)),"")&amp;IF(ISNUMBER(SEARCH("E_INVALID_UNIT",EG75))," | E_INVALID_UNIT: "&amp;SUBSTITUTE(IFERROR(INDEX(nMSG_Text,MATCH("E_INVALID_UNIT",nMSG_Code,0)),""),"[input]",""),"")&amp;IF(FD75=1," | W_TZ_UNKNOWN: "&amp;SUBSTITUTE(IFERROR(INDEX(nMSG_Text,MATCH("W_TZ_UNKNOWN",nMSG_Code,0)),""),"[input]",""),"")&amp;IF(FE75=1," | W_SAME_DATE_ORDER_UNKNOWN: "&amp;SUBSTITUTE(IFERROR(INDEX(nMSG_Text,MATCH("W_SAME_DATE_ORDER_UNKNOWN",nMSG_Code,0)),""),"[input]",""),"")&amp;IF(FF75=1," | W_SEQUENCE_UNCERTAIN: "&amp;SUBSTITUTE(IFERROR(INDEX(nMSG_Text,MATCH("W_SEQUENCE_UNCERTAIN",nMSG_Code,0)),""),"[input]",""),"")&amp;IF(FG75=1," | W_ADMIN_SAME_DATE_AS_ONSET: "&amp;SUBSTITUTE(IFERROR(INDEX(nMSG_Text,MATCH("W_ADMIN_SAME_DATE_AS_ONSET",nMSG_Code,0)),""),"[input]",""),"")&amp;IF(FH75=1," | W_REPORTED_TIMING_CONFLICT: "&amp;SUBSTITUTE(IFERROR(INDEX(nMSG_Text,MATCH("W_REPORTED_TIMING_CONFLICT",nMSG_Code,0)),""),"[input]",""),"")&amp;IF(FI75=1," | W_INTERVENTION_BEFORE_RECOVERY: "&amp;SUBSTITUTE(IFERROR(INDEX(nMSG_Text,MATCH("W_INTERVENTION_BEFORE_RECOVERY",nMSG_Code,0)),""),"[input]",""),"")&amp;IF(FJ75=1," | I_TREATMENT_DAY_UNDEFINED: "&amp;SUBSTITUTE(IFERROR(INDEX(nMSG_Text,MATCH("I_TREATMENT_DAY_UNDEFINED",nMSG_Code,0)),""),"[input]",""),"")&amp;IF(FK75=1," | I_APPROXIMATE_NOT_COMPARED: "&amp;SUBSTITUTE(IFERROR(INDEX(nMSG_Text,MATCH("I_APPROXIMATE_NOT_COMPARED",nMSG_Code,0)),""),"[input]",""),""),4,9999))</f>
        <v/>
      </c>
      <c r="AE75" s="21" t="str">
        <f t="shared" si="73"/>
        <v/>
      </c>
      <c r="AF75" s="21" t="str">
        <f t="shared" si="74"/>
        <v/>
      </c>
      <c r="AG75" s="21" t="str">
        <f>IF(EN75="","",MID(IF(ISNUMBER(SEARCH("E_REVERSED_BOUNDS",EN75))," | E_REVERSED_BOUNDS: "&amp;SUBSTITUTE(IFERROR(INDEX(nMSG_Text,MATCH("E_REVERSED_BOUNDS",nMSG_Code,0)),""),"[input]",""),"")&amp;IF(ISNUMBER(SEARCH("E_MISSING_INPUT",EN75))," | E_MISSING_INPUT: "&amp;SUBSTITUTE(IFERROR(INDEX(nMSG_Text,MATCH("E_MISSING_INPUT",nMSG_Code,0)),""),"[input]",IF("the source of the constraint"="","an input","the source of the constraint")),""),4,999))</f>
        <v/>
      </c>
      <c r="AH75" s="21" t="str">
        <f t="shared" si="75"/>
        <v/>
      </c>
      <c r="AI75" s="21" t="str">
        <f t="shared" si="76"/>
        <v>M-HBV3 → EV-HBV/DETECTION</v>
      </c>
      <c r="AJ75" s="21" t="str">
        <f t="shared" si="77"/>
        <v>M-HBV3</v>
      </c>
      <c r="AK75" s="21" t="str">
        <f t="shared" si="78"/>
        <v>EV-HBV/DETECTION</v>
      </c>
      <c r="AL75" s="21" t="str">
        <f>IF(CY75=0,"",INDEX(nTP_ISO,CY75))</f>
        <v>2026-02-09</v>
      </c>
      <c r="AM75" s="21" t="str">
        <f>IF(CY75=0,"",INDEX(nTP_Display,CY75))</f>
        <v>9 February 2026</v>
      </c>
      <c r="AN75" s="21" t="str">
        <f>IF(BI75=0,"",INDEX(nTP_ISO,BI75))</f>
        <v>2026-05-12</v>
      </c>
      <c r="AO75" s="21" t="str">
        <f>IF(BI75=0,"",INDEX(nTP_Display,BI75))</f>
        <v>12 May 2026</v>
      </c>
      <c r="AP75" s="21" t="str">
        <f>IF(BA75=0,"",INDEX(nLNK_Exposure_Episode_ID,BA75)&amp;"")</f>
        <v>EX-RTX</v>
      </c>
      <c r="AQ75" s="21" t="str">
        <f>IF(BA75=0,"",INDEX(nLNK_Event_Episode_ID,BA75)&amp;"")</f>
        <v>EV-HBV</v>
      </c>
      <c r="AR75" s="21" t="str">
        <f t="shared" si="79"/>
        <v>Anchor (OTHER) M-HBV3: 2026-02-09 [day; case measurement; original: "not detected 09/02/2026"; source: Hematology summary] | End point EV-HBV/DETECTION: 2026-05-12 [day; case measurement; original: "12/05/2026 HBV DNA 1,850 IU/mL"; source: Hepatology letter]</v>
      </c>
      <c r="AS75" s="21" t="str">
        <f>IF(EI75=0,"",MID(IF(DT75=1," | Recovery interval (C7) computed with "&amp;DS75&amp;".","")&amp;IF(BG75=1," | Anchor selected under C5 (CALC-SPEC 1.1): latest administration with an exact date or time at or before "&amp;IF(BH75=1,"onset","the end point")&amp;" ("&amp;AJ75&amp;"), ordered in UTC when offsets are known; later administrations are never selected.","")&amp;IF(AND(BG75=1,CE75&gt;0)," | Partial-date administrations wholly before the selected one were not candidates: "&amp;FC75&amp;".","")&amp;IF(BV75&lt;&gt;""," | "&amp;BV75,"")&amp;IF(AND(DS75="C2",EA75=0,DZ75&lt;&gt;"")," | Same calendar date; both times are known, so C1 decides the order ("&amp;AA75&amp;").","")&amp;IF(AND(DS75="C2",DD75*BN75=1,DT75=0)," | Calendar-date difference from the recorded local dates; it is never described as elapsed days.","")&amp;IF(AND(DS75="C4",DT75=0)," | Bounds are treated as independent; no single date is imputed from them.","")&amp;IF(EJ75=1," | Treatment day under the inclusive convention (C3); never written to E2B fields automatically.","")&amp;IF(AND(DS75="C4",DT75=0,EK75=0)," | No constraint applied.","")&amp;IF(AND(DS75="C4",EK75=1)," | Constraint applied to the anchor bounds: "&amp;IF(ISNUMBER(P75),"not before "&amp;DAY(P75)&amp;" "&amp;INDEX(nLIST_Months,MONTH(P75))&amp;" "&amp;YEAR(P75),"")&amp;IF(AND(ISNUMBER(P75),ISNUMBER(Q75)),", ","")&amp;IF(ISNUMBER(Q75),"not after "&amp;DAY(Q75)&amp;" "&amp;INDEX(nLIST_Months,MONTH(Q75))&amp;" "&amp;YEAR(Q75),"")&amp;". Source: "&amp;IF(R75="","not recorded",R75)&amp;IF(EN75="",". Constrained result shown beside the unconstrained one.",". Constrained result blocked ("&amp;EN75&amp;")."),"")&amp;IF(DT75=1,IF(EO75&gt;0," | Intervention recorded between cessation and recovery (ends included): "&amp;EZ75&amp;"."," | No intervention is recorded between cessation and recovery; absence of a record is not evidence that none was given."),"")&amp;IF(AND(DT75=1,DV75&gt;0)," | Intervention recorded without a date, so whether it came before recovery is unknown: "&amp;INDEX(nMS_Milestone_ID,MATCH(1,INDEX((nMS_CaseKey=AX75)*(nMS_Type="INTERVENTION")*nMS_Undated,0),0))&amp;IF(DV75&gt;1," and "&amp;(DV75-1)&amp;" more","")&amp;".","")&amp;IF(AND(DT75=1,EP75&gt;0)," | Not counted as interventions, because they are recorded as exposures rather than as intervention milestones (nothing is inferred): "&amp;FB75&amp;". If treatment was given, record it as an intervention milestone.",""),4,9999))</f>
        <v/>
      </c>
      <c r="AT75" s="21" t="str">
        <f t="shared" si="80"/>
        <v>The interval describes the sequence and spacing of recorded times; it is not evidence of causation.</v>
      </c>
      <c r="AU75" s="21" t="str">
        <f t="shared" si="81"/>
        <v/>
      </c>
      <c r="AV75" s="21" t="str">
        <f t="shared" si="82"/>
        <v>CALC-SPEC 1.1</v>
      </c>
      <c r="AW75" s="22">
        <f t="shared" si="83"/>
        <v>0</v>
      </c>
      <c r="AX75" s="21" t="str">
        <f t="shared" si="84"/>
        <v>EX-C28|2</v>
      </c>
      <c r="AY75" s="21" t="str">
        <f t="shared" si="85"/>
        <v>EX-C28|2|I10</v>
      </c>
      <c r="AZ75" s="22">
        <f>IF(AY75="",0,COUNTIF(nINT_Key,AY75))</f>
        <v>1</v>
      </c>
      <c r="BA75" s="22">
        <f>IF(D75="",0,IFERROR(MATCH(AX75&amp;"|"&amp;D75,nLNK_Key,0),0))</f>
        <v>27</v>
      </c>
      <c r="BB75" s="22">
        <f>IF(BA75=0,1,INDEX(nLNK_Exp_Found,BA75))</f>
        <v>1</v>
      </c>
      <c r="BC75" s="22">
        <f>IF(BA75=0,1,INDEX(nLNK_Evt_Found,BA75))</f>
        <v>1</v>
      </c>
      <c r="BD75" s="22">
        <f>IF(AP75="",0,COUNTIF(nEXP_Key,AX75&amp;"|"&amp;AP75))</f>
        <v>1</v>
      </c>
      <c r="BE75" s="22">
        <f>IF(AQ75="",0,COUNTIF(nEVT_Key,AX75&amp;"|"&amp;AQ75))</f>
        <v>1</v>
      </c>
      <c r="BF75" s="22">
        <f>IF(ISNA(MATCH(E75,nLIST_AnchorType,0)),0,1)</f>
        <v>1</v>
      </c>
      <c r="BG75" s="22">
        <f t="shared" si="86"/>
        <v>0</v>
      </c>
      <c r="BH75" s="22">
        <f t="shared" si="87"/>
        <v>0</v>
      </c>
      <c r="BI75" s="22">
        <f>IF(OR(AW75=1,AK75=""),0,IFERROR(MATCH(AX75&amp;"|"&amp;AK75,nTP_Key,0),0))</f>
        <v>358</v>
      </c>
      <c r="BJ75" s="21">
        <f>IF(BI75=0,0,INDEX(nTP_Dup,BI75))</f>
        <v>1</v>
      </c>
      <c r="BK75" s="21" t="str">
        <f>IF(BI75=0,"",INDEX(nTP_Record_Type,BI75))</f>
        <v>EVENT_DETECTION</v>
      </c>
      <c r="BL75" s="21" t="str">
        <f>IF(BI75=0,"",INDEX(nTP_Precision,BI75))</f>
        <v>DATE</v>
      </c>
      <c r="BM75" s="21" t="str">
        <f>IF(BI75=0,"",INDEX(nTP_Err,BI75))</f>
        <v/>
      </c>
      <c r="BN75" s="21">
        <f>IF(BI75=0,0,INDEX(nTP_HT,BI75))</f>
        <v>0</v>
      </c>
      <c r="BO75" s="21">
        <f>IF(BI75=0,0,INDEX(nTP_OK,BI75))</f>
        <v>0</v>
      </c>
      <c r="BP75" s="21" t="str">
        <f>IF(BI75=0,"",INDEX(nTP_Loc,BI75))</f>
        <v/>
      </c>
      <c r="BQ75" s="21" t="str">
        <f>IF(BI75=0,"",INDEX(nTP_UTC,BI75))</f>
        <v/>
      </c>
      <c r="BR75" s="21">
        <f>IF(BI75=0,"",INDEX(nTP_Lo,BI75))</f>
        <v>46154</v>
      </c>
      <c r="BS75" s="21">
        <f>IF(BI75=0,"",INDEX(nTP_Hi,BI75))</f>
        <v>46154</v>
      </c>
      <c r="BT75" s="21" t="str">
        <f>IF(BI75=0,"",INDEX(nTP_Original_Text,BI75))</f>
        <v>12/05/2026 HBV DNA 1,850 IU/mL</v>
      </c>
      <c r="BU75" s="21" t="str">
        <f>IF(BI75=0,"",INDEX(nTP_Source,BI75))</f>
        <v>Hepatology letter</v>
      </c>
      <c r="BV75" s="21" t="str">
        <f>IF(BI75=0,"",INDEX(nTP_Lab_Note,BI75))</f>
        <v/>
      </c>
      <c r="BW75" s="22">
        <f t="shared" si="88"/>
        <v>1</v>
      </c>
      <c r="BX75" s="21" t="str">
        <f t="shared" si="89"/>
        <v>EX-C28|2|EX-RTX</v>
      </c>
      <c r="BY75" s="22">
        <f>IF(BG75=0,0,COUNTIF(nTP_CandKey,BX75))</f>
        <v>0</v>
      </c>
      <c r="BZ75" s="22">
        <f>IF(BG75=0,0,COUNTIFS(nTP_CandKey,BX75,nTP_Err,""))</f>
        <v>0</v>
      </c>
      <c r="CA75" s="21" t="str">
        <f>IF(BY75=BZ75,"",IF(COUNTIFS(nTP_CandKey,BX75,nTP_Err,"E_INVALID_DATE")&gt;0,"; E_INVALID_DATE","")&amp;IF(COUNTIFS(nTP_CandKey,BX75,nTP_Err,"E_REVERSED_BOUNDS")&gt;0,"; E_REVERSED_BOUNDS","")&amp;IF(COUNTIFS(nTP_CandKey,BX75,nTP_Err,"E_MISSING_INPUT")&gt;0,"; E_MISSING_INPUT","")&amp;IF(COUNTIFS(nTP_CandKey,BX75,nTP_Err,"E_INVALID_UNIT")&gt;0,"; E_INVALID_UNIT",""))</f>
        <v/>
      </c>
      <c r="CB75" s="22">
        <f t="shared" si="90"/>
        <v>0</v>
      </c>
      <c r="CC75" s="22">
        <f>IF(CB75=0,0,SUMPRODUCT((nTP_CandKey=BX75)*(nTP_Err="")*(1-(nTP_HT*BN75*((nTP_OK*BO75*(nTP_UTC_n-N(BQ75))+(1-nTP_OK*BO75)*(nTP_Loc_n-N(BP75)))&lt;=0)+(1-nTP_HT*BN75)*(nTP_Hi_n&lt;N(BR75)))-(nTP_HT*BN75*((nTP_OK*BO75*(nTP_UTC_n-N(BQ75))+(1-nTP_OK*BO75)*(nTP_Loc_n-N(BP75)))&gt;0)+(1-nTP_HT*BN75)*(nTP_Lo_n&gt;N(BS75)))-((1-nTP_HT*BN75)*(nTP_Lo_n=nTP_Hi_n)*(nTP_Lo_n=N(BR75))*(N(BR75)=N(BS75))))))</f>
        <v>0</v>
      </c>
      <c r="CD75" s="22">
        <f>IF(CB75=0,0,SUMPRODUCT((nTP_CandKey=BX75)*nTP_Exact*((nTP_HT*BN75*((nTP_OK*BO75*(nTP_UTC_n-N(BQ75))+(1-nTP_OK*BO75)*(nTP_Loc_n-N(BP75)))&lt;=0)+(1-nTP_HT*BN75)*(nTP_Hi_n&lt;N(BR75)))+((1-nTP_HT*BN75)*(nTP_Lo_n=nTP_Hi_n)*(nTP_Lo_n=N(BR75))*(N(BR75)=N(BS75))))))</f>
        <v>0</v>
      </c>
      <c r="CE75" s="22">
        <f>IF(CB75=0,0,SUMPRODUCT((nTP_CandKey=BX75)*(nTP_Err="")*(1-nTP_Exact)*((nTP_HT*BN75*((nTP_OK*BO75*(nTP_UTC_n-N(BQ75))+(1-nTP_OK*BO75)*(nTP_Loc_n-N(BP75)))&lt;=0)+(1-nTP_HT*BN75)*(nTP_Hi_n&lt;N(BR75)))+((1-nTP_HT*BN75)*(nTP_Lo_n=nTP_Hi_n)*(nTP_Lo_n=N(BR75))*(N(BR75)=N(BS75))))))</f>
        <v>0</v>
      </c>
      <c r="CF75" s="22">
        <f>IF(CD75=0,0,SUMPRODUCT(MAX((nTP_CandKey=BX75)*nTP_Exact*((nTP_HT*BN75*((nTP_OK*BO75*(nTP_UTC_n-N(BQ75))+(1-nTP_OK*BO75)*(nTP_Loc_n-N(BP75)))&lt;=0)+(1-nTP_HT*BN75)*(nTP_Hi_n&lt;N(BR75)))+((1-nTP_HT*BN75)*(nTP_Lo_n=nTP_Hi_n)*(nTP_Lo_n=N(BR75))*(N(BR75)=N(BS75))))*nTP_Lo_n)))</f>
        <v>0</v>
      </c>
      <c r="CG75" s="22">
        <f>IF(CD75=0,0,SUMPRODUCT((nTP_CandKey=BX75)*nTP_Exact*((nTP_HT*BN75*((nTP_OK*BO75*(nTP_UTC_n-N(BQ75))+(1-nTP_OK*BO75)*(nTP_Loc_n-N(BP75)))&lt;=0)+(1-nTP_HT*BN75)*(nTP_Hi_n&lt;N(BR75)))+((1-nTP_HT*BN75)*(nTP_Lo_n=nTP_Hi_n)*(nTP_Lo_n=N(BR75))*(N(BR75)=N(BS75))))*(nTP_Lo_n=CF75)))</f>
        <v>0</v>
      </c>
      <c r="CH75" s="22">
        <f>IF(CD75=0,0,SUMPRODUCT((nTP_CandKey=BX75)*nTP_Exact*((nTP_HT*BN75*((nTP_OK*BO75*(nTP_UTC_n-N(BQ75))+(1-nTP_OK*BO75)*(nTP_Loc_n-N(BP75)))&lt;=0)+(1-nTP_HT*BN75)*(nTP_Hi_n&lt;N(BR75)))+((1-nTP_HT*BN75)*(nTP_Lo_n=nTP_Hi_n)*(nTP_Lo_n=N(BR75))*(N(BR75)=N(BS75))))*(1-nTP_HT)*(nTP_Lo_n=CF75)))</f>
        <v>0</v>
      </c>
      <c r="CI75" s="22">
        <f>IF(CD75=0,0,SUMPRODUCT(MAX((nTP_CandKey=BX75)*nTP_Exact*((nTP_HT*BN75*((nTP_OK*BO75*(nTP_UTC_n-N(BQ75))+(1-nTP_OK*BO75)*(nTP_Loc_n-N(BP75)))&lt;=0)+(1-nTP_HT*BN75)*(nTP_Hi_n&lt;N(BR75)))+((1-nTP_HT*BN75)*(nTP_Lo_n=nTP_Hi_n)*(nTP_Lo_n=N(BR75))*(N(BR75)=N(BS75))))*(1-nTP_HT)*nTP_Lo_n)))</f>
        <v>0</v>
      </c>
      <c r="CJ75" s="22">
        <f>IF(CD75=0,0,SUMPRODUCT(MAX((nTP_CandKey=BX75)*nTP_Exact*((nTP_HT*BN75*((nTP_OK*BO75*(nTP_UTC_n-N(BQ75))+(1-nTP_OK*BO75)*(nTP_Loc_n-N(BP75)))&lt;=0)+(1-nTP_HT*BN75)*(nTP_Hi_n&lt;N(BR75)))+((1-nTP_HT*BN75)*(nTP_Lo_n=nTP_Hi_n)*(nTP_Lo_n=N(BR75))*(N(BR75)=N(BS75))))*nTP_HT*nTP_OK*nTP_UTC_n)))</f>
        <v>0</v>
      </c>
      <c r="CK75" s="22">
        <f>IF(CJ75=0,0,SUMPRODUCT((nTP_CandKey=BX75)*nTP_Exact*((nTP_HT*BN75*((nTP_OK*BO75*(nTP_UTC_n-N(BQ75))+(1-nTP_OK*BO75)*(nTP_Loc_n-N(BP75)))&lt;=0)+(1-nTP_HT*BN75)*(nTP_Hi_n&lt;N(BR75)))+((1-nTP_HT*BN75)*(nTP_Lo_n=nTP_Hi_n)*(nTP_Lo_n=N(BR75))*(N(BR75)=N(BS75))))*nTP_HT*nTP_OK*(nTP_UTC_n=CJ75)))</f>
        <v>0</v>
      </c>
      <c r="CL75" s="22">
        <f>IF(CK75&lt;&gt;1,0,SUMPRODUCT((nTP_CandKey=BX75)*nTP_Exact*((nTP_HT*BN75*((nTP_OK*BO75*(nTP_UTC_n-N(BQ75))+(1-nTP_OK*BO75)*(nTP_Loc_n-N(BP75)))&lt;=0)+(1-nTP_HT*BN75)*(nTP_Hi_n&lt;N(BR75)))+((1-nTP_HT*BN75)*(nTP_Lo_n=nTP_Hi_n)*(nTP_Lo_n=N(BR75))*(N(BR75)=N(BS75))))*nTP_HT*nTP_OK*(nTP_UTC_n=CJ75)*nTP_Loc_n))</f>
        <v>0</v>
      </c>
      <c r="CM75" s="22">
        <f>IF(CK75&lt;&gt;1,0,SUMPRODUCT((nTP_CandKey=BX75)*nTP_Exact*((nTP_HT*BN75*((nTP_OK*BO75*(nTP_UTC_n-N(BQ75))+(1-nTP_OK*BO75)*(nTP_Loc_n-N(BP75)))&lt;=0)+(1-nTP_HT*BN75)*(nTP_Hi_n&lt;N(BR75)))+((1-nTP_HT*BN75)*(nTP_Lo_n=nTP_Hi_n)*(nTP_Lo_n=N(BR75))*(N(BR75)=N(BS75))))*nTP_HT*nTP_OK*(nTP_UTC_n=CJ75)*nTP_Lo_n))</f>
        <v>0</v>
      </c>
      <c r="CN75" s="22">
        <f>IF(CD75=0,0,SUMPRODUCT(MAX((nTP_CandKey=BX75)*nTP_Exact*((nTP_HT*BN75*((nTP_OK*BO75*(nTP_UTC_n-N(BQ75))+(1-nTP_OK*BO75)*(nTP_Loc_n-N(BP75)))&lt;=0)+(1-nTP_HT*BN75)*(nTP_Hi_n&lt;N(BR75)))+((1-nTP_HT*BN75)*(nTP_Lo_n=nTP_Hi_n)*(nTP_Lo_n=N(BR75))*(N(BR75)=N(BS75))))*nTP_HT*(1-nTP_OK)*nTP_Loc_n)))</f>
        <v>0</v>
      </c>
      <c r="CO75" s="22">
        <f>IF(CN75=0,0,SUMPRODUCT((nTP_CandKey=BX75)*nTP_Exact*((nTP_HT*BN75*((nTP_OK*BO75*(nTP_UTC_n-N(BQ75))+(1-nTP_OK*BO75)*(nTP_Loc_n-N(BP75)))&lt;=0)+(1-nTP_HT*BN75)*(nTP_Hi_n&lt;N(BR75)))+((1-nTP_HT*BN75)*(nTP_Lo_n=nTP_Hi_n)*(nTP_Lo_n=N(BR75))*(N(BR75)=N(BS75))))*nTP_HT*(1-nTP_OK)*(nTP_Loc_n=CN75)))</f>
        <v>0</v>
      </c>
      <c r="CP75" s="22">
        <f>IF(CO75&lt;&gt;1,0,SUMPRODUCT((nTP_CandKey=BX75)*nTP_Exact*((nTP_HT*BN75*((nTP_OK*BO75*(nTP_UTC_n-N(BQ75))+(1-nTP_OK*BO75)*(nTP_Loc_n-N(BP75)))&lt;=0)+(1-nTP_HT*BN75)*(nTP_Hi_n&lt;N(BR75)))+((1-nTP_HT*BN75)*(nTP_Lo_n=nTP_Hi_n)*(nTP_Lo_n=N(BR75))*(N(BR75)=N(BS75))))*nTP_HT*(1-nTP_OK)*(nTP_Loc_n=CN75)*nTP_Lo_n))</f>
        <v>0</v>
      </c>
      <c r="CQ75" s="22">
        <f>IF(CD75=0,0,SUMPRODUCT(MAX((nTP_CandKey=BX75)*nTP_Exact*((nTP_HT*BN75*((nTP_OK*BO75*(nTP_UTC_n-N(BQ75))+(1-nTP_OK*BO75)*(nTP_Loc_n-N(BP75)))&lt;=0)+(1-nTP_HT*BN75)*(nTP_Hi_n&lt;N(BR75)))+((1-nTP_HT*BN75)*(nTP_Lo_n=nTP_Hi_n)*(nTP_Lo_n=N(BR75))*(N(BR75)=N(BS75))))*nTP_HT*nTP_OK*nTP_Loc_n)))</f>
        <v>0</v>
      </c>
      <c r="CR75" s="22">
        <f t="shared" si="91"/>
        <v>0</v>
      </c>
      <c r="CS75" s="22">
        <f>IF(CR75=0,0,IF(CR75=1,MATCH(1,INDEX((nTP_CandKey=BX75)*nTP_Exact*((nTP_HT*BN75*((nTP_OK*BO75*(nTP_UTC_n-N(BQ75))+(1-nTP_OK*BO75)*(nTP_Loc_n-N(BP75)))&lt;=0)+(1-nTP_HT*BN75)*(nTP_Hi_n&lt;N(BR75)))+((1-nTP_HT*BN75)*(nTP_Lo_n=nTP_Hi_n)*(nTP_Lo_n=N(BR75))*(N(BR75)=N(BS75))))*(1-nTP_HT)*(nTP_Lo_n=CF75),0),0),IF(CR75=2,MATCH(1,INDEX((nTP_CandKey=BX75)*nTP_Exact*((nTP_HT*BN75*((nTP_OK*BO75*(nTP_UTC_n-N(BQ75))+(1-nTP_OK*BO75)*(nTP_Loc_n-N(BP75)))&lt;=0)+(1-nTP_HT*BN75)*(nTP_Hi_n&lt;N(BR75)))+((1-nTP_HT*BN75)*(nTP_Lo_n=nTP_Hi_n)*(nTP_Lo_n=N(BR75))*(N(BR75)=N(BS75))))*nTP_HT*nTP_OK*(nTP_UTC_n=CJ75),0),0),MATCH(1,INDEX((nTP_CandKey=BX75)*nTP_Exact*((nTP_HT*BN75*((nTP_OK*BO75*(nTP_UTC_n-N(BQ75))+(1-nTP_OK*BO75)*(nTP_Loc_n-N(BP75)))&lt;=0)+(1-nTP_HT*BN75)*(nTP_Hi_n&lt;N(BR75)))+((1-nTP_HT*BN75)*(nTP_Lo_n=nTP_Hi_n)*(nTP_Lo_n=N(BR75))*(N(BR75)=N(BS75))))*nTP_HT*(1-nTP_OK)*(nTP_Loc_n=CN75),0),0))))</f>
        <v>0</v>
      </c>
      <c r="CT75" s="22">
        <f>IF(CS75=0,0,INDEX(nTP_Lo_n,CS75))</f>
        <v>0</v>
      </c>
      <c r="CU75" s="22">
        <f>IF(CS75=0,0,SUMPRODUCT((nTP_CandKey=BX75)*(nTP_Err="")*(1-nTP_Exact)*((nTP_HT*BN75*((nTP_OK*BO75*(nTP_UTC_n-N(BQ75))+(1-nTP_OK*BO75)*(nTP_Loc_n-N(BP75)))&lt;=0)+(1-nTP_HT*BN75)*(nTP_Hi_n&lt;N(BR75)))+((1-nTP_HT*BN75)*(nTP_Lo_n=nTP_Hi_n)*(nTP_Lo_n=N(BR75))*(N(BR75)=N(BS75))))*(nTP_Hi_n&gt;=CT75)))</f>
        <v>0</v>
      </c>
      <c r="CV75" s="21" t="str">
        <f t="shared" si="92"/>
        <v/>
      </c>
      <c r="CW75" s="21" t="str">
        <f>IF(AND(BG75=1,CB75=1,CV75="",CS75&gt;0),INDEX(nTP_Record_ID,CS75)&amp;"","")</f>
        <v/>
      </c>
      <c r="CX75" s="21" t="str">
        <f>IF(OR(CV75="",BG75=0),"",IF(CV75="none","an administration record (last dose before onset)",IF(CV75="uncertain","the anchor record: "&amp;INDEX(nTP_Record_ID,MATCH(1,INDEX((nTP_CandKey=BX75)*(nTP_Err="")*(1-(nTP_HT*BN75*((nTP_OK*BO75*(nTP_UTC_n-N(BQ75))+(1-nTP_OK*BO75)*(nTP_Loc_n-N(BP75)))&lt;=0)+(1-nTP_HT*BN75)*(nTP_Hi_n&lt;N(BR75)))-(nTP_HT*BN75*((nTP_OK*BO75*(nTP_UTC_n-N(BQ75))+(1-nTP_OK*BO75)*(nTP_Loc_n-N(BP75)))&gt;0)+(1-nTP_HT*BN75)*(nTP_Lo_n&gt;N(BS75)))-((1-nTP_HT*BN75)*(nTP_Lo_n=nTP_Hi_n)*(nTP_Lo_n=N(BR75))*(N(BR75)=N(BS75)))),0),0))&amp;IF(CC75&gt;1," and "&amp;(CC75-1)&amp;" more","")&amp;" may fall before or after the end point, so the last dose cannot be identified from the recorded dates",IF(CV75="noneligible","the anchor record: no administration with an exact date is recorded at or before the end point",IF(CV75="tie","the anchor record: the order of the latest administrations cannot be told from the recorded dates and times","the anchor record: partial-date administration "&amp;INDEX(nTP_Record_ID,MATCH(1,INDEX((nTP_CandKey=BX75)*(nTP_Err="")*(1-nTP_Exact)*((nTP_HT*BN75*((nTP_OK*BO75*(nTP_UTC_n-N(BQ75))+(1-nTP_OK*BO75)*(nTP_Loc_n-N(BP75)))&lt;=0)+(1-nTP_HT*BN75)*(nTP_Hi_n&lt;N(BR75)))+((1-nTP_HT*BN75)*(nTP_Lo_n=nTP_Hi_n)*(nTP_Lo_n=N(BR75))*(N(BR75)=N(BS75))))*(nTP_Hi_n&gt;=CT75),0),0))&amp;" could be the last dose before the end point")))))</f>
        <v/>
      </c>
      <c r="CY75" s="22">
        <f>IF(OR(AW75=1,AJ75=""),0,IFERROR(MATCH(AX75&amp;"|"&amp;AJ75,nTP_Key,0),0))</f>
        <v>441</v>
      </c>
      <c r="CZ75" s="21">
        <f>IF(CY75=0,0,INDEX(nTP_Dup,CY75))</f>
        <v>1</v>
      </c>
      <c r="DA75" s="21" t="str">
        <f>IF(CY75=0,"",INDEX(nTP_Record_Type,CY75))</f>
        <v>MILESTONE:TEST</v>
      </c>
      <c r="DB75" s="21" t="str">
        <f>IF(CY75=0,"",INDEX(nTP_Precision,CY75))</f>
        <v>DATE</v>
      </c>
      <c r="DC75" s="21" t="str">
        <f>IF(CY75=0,"",INDEX(nTP_Err,CY75))</f>
        <v/>
      </c>
      <c r="DD75" s="21">
        <f>IF(CY75=0,0,INDEX(nTP_HT,CY75))</f>
        <v>0</v>
      </c>
      <c r="DE75" s="21">
        <f>IF(CY75=0,0,INDEX(nTP_OK,CY75))</f>
        <v>0</v>
      </c>
      <c r="DF75" s="21" t="str">
        <f>IF(CY75=0,"",INDEX(nTP_Loc,CY75))</f>
        <v/>
      </c>
      <c r="DG75" s="21" t="str">
        <f>IF(CY75=0,"",INDEX(nTP_UTC,CY75))</f>
        <v/>
      </c>
      <c r="DH75" s="21">
        <f>IF(CY75=0,"",INDEX(nTP_Lo,CY75))</f>
        <v>46062</v>
      </c>
      <c r="DI75" s="21">
        <f>IF(CY75=0,"",INDEX(nTP_Hi,CY75))</f>
        <v>46062</v>
      </c>
      <c r="DJ75" s="21" t="str">
        <f>IF(CY75=0,"",INDEX(nTP_Original_Text,CY75))</f>
        <v>not detected 09/02/2026</v>
      </c>
      <c r="DK75" s="21" t="str">
        <f>IF(CY75=0,"",INDEX(nTP_Source,CY75))</f>
        <v>Hematology summary</v>
      </c>
      <c r="DL75" s="22">
        <f t="shared" si="93"/>
        <v>1</v>
      </c>
      <c r="DM75" s="21" t="str">
        <f t="shared" si="94"/>
        <v/>
      </c>
      <c r="DN75" s="21" t="str">
        <f t="shared" si="95"/>
        <v/>
      </c>
      <c r="DO75" s="21" t="str">
        <f t="shared" si="96"/>
        <v/>
      </c>
      <c r="DP75" s="21" t="str">
        <f t="shared" si="97"/>
        <v/>
      </c>
      <c r="DQ75" s="21" t="str">
        <f t="shared" si="98"/>
        <v>C2</v>
      </c>
      <c r="DR75" s="22">
        <f>IF(OR(DQ75="",I75=""),0,IF(ISNA(MATCH(I75,nLIST_Mode,0)),1,IF(AND(I75="C1",DQ75&lt;&gt;"C1"),1,IF(AND(I75="C2",DQ75="C4"),1,0))))</f>
        <v>0</v>
      </c>
      <c r="DS75" s="21" t="str">
        <f t="shared" si="99"/>
        <v>C2</v>
      </c>
      <c r="DT75" s="22">
        <f t="shared" si="100"/>
        <v>0</v>
      </c>
      <c r="DU75" s="21" t="str">
        <f>IF(DT75=0,"",IF(COUNTIFS(nTP_Case_Key,AX75,nTP_Record_Type,"MILESTONE:INTERVENTION",nTP_Err,"E_INVALID_DATE")&gt;0,"; E_INVALID_DATE","")&amp;IF(COUNTIFS(nTP_Case_Key,AX75,nTP_Record_Type,"MILESTONE:INTERVENTION",nTP_Err,"E_REVERSED_BOUNDS")&gt;0,"; E_REVERSED_BOUNDS","")&amp;IF(COUNTIFS(nTP_Case_Key,AX75,nTP_Record_Type,"MILESTONE:INTERVENTION",nTP_Err,"E_MISSING_INPUT")&gt;0,"; E_MISSING_INPUT","")&amp;IF(COUNTIFS(nTP_Case_Key,AX75,nTP_Record_Type,"MILESTONE:INTERVENTION",nTP_Err,"E_INVALID_UNIT")&gt;0,"; E_INVALID_UNIT",""))</f>
        <v/>
      </c>
      <c r="DV75" s="22">
        <f>IF(DT75=0,0,SUMPRODUCT((nMS_CaseKey=AX75)*(nMS_Type="INTERVENTION")*nMS_Undated))</f>
        <v>0</v>
      </c>
      <c r="DW75" s="21" t="str">
        <f t="shared" si="101"/>
        <v/>
      </c>
      <c r="DX75" s="21" t="str">
        <f t="shared" si="102"/>
        <v/>
      </c>
      <c r="DY75" s="22">
        <f t="shared" si="103"/>
        <v>1</v>
      </c>
      <c r="DZ75" s="21" t="str">
        <f t="shared" si="104"/>
        <v/>
      </c>
      <c r="EA75" s="21">
        <f t="shared" si="105"/>
        <v>92</v>
      </c>
      <c r="EB75" s="21" t="str">
        <f t="shared" si="106"/>
        <v/>
      </c>
      <c r="EC75" s="21" t="str">
        <f t="shared" si="107"/>
        <v/>
      </c>
      <c r="ED75" s="22">
        <f t="shared" si="108"/>
        <v>0</v>
      </c>
      <c r="EE75" s="22">
        <f t="shared" si="109"/>
        <v>0</v>
      </c>
      <c r="EF75" s="21" t="str">
        <f>IF(ED75=0,"",IF(OR(NOT(ISNUMBER(L75)),NOT(ISNUMBER(M75))),"I_APPROXIMATE_NOT_COMPARED",IF(AND(N75&lt;&gt;"",ISNA(MATCH(N75,nLIST_ReportedUnit,0))),"E_INVALID_UNIT",IF(N75="","E_MISSING_INPUT",IF(L75&gt;M75,"E_REVERSED_BOUNDS",IF(OR(N75="weeks",N75="months",N75="years"),"I_APPROXIMATE_NOT_COMPARED",IF(DX75&lt;&gt;"","",IF(EE75=0,"I_APPROXIMATE_NOT_COMPARED",IF(AND(L75*EE75&lt;=IF(DS75="C4",EC75,IF(DS75="C1",DZ75,EA75)),M75*EE75&gt;=IF(DS75="C4",EB75,IF(DS75="C1",DZ75,EA75))),"OVERLAP","W_REPORTED_TIMING_CONFLICT")))))))))</f>
        <v/>
      </c>
      <c r="EG75" s="21" t="str">
        <f t="shared" si="110"/>
        <v/>
      </c>
      <c r="EH75" s="21" t="str">
        <f t="shared" si="111"/>
        <v/>
      </c>
      <c r="EI75" s="22">
        <f t="shared" si="112"/>
        <v>1</v>
      </c>
      <c r="EJ75" s="22">
        <f t="shared" si="113"/>
        <v>0</v>
      </c>
      <c r="EK75" s="22">
        <f t="shared" si="114"/>
        <v>0</v>
      </c>
      <c r="EL75" s="28" t="str">
        <f t="shared" si="115"/>
        <v/>
      </c>
      <c r="EM75" s="28" t="str">
        <f t="shared" si="116"/>
        <v/>
      </c>
      <c r="EN75" s="21" t="str">
        <f t="shared" si="117"/>
        <v/>
      </c>
      <c r="EO75" s="22">
        <f>IF(OR(DT75=0,DX75&lt;&gt;""),0,SUMPRODUCT((nTP_Case_Key=AX75)*(nTP_Record_Type="MILESTONE:INTERVENTION")*(nTP_Err="")*(nTP_HT*DD75*BN75*(nTP_OK*DE75*(nTP_UTC_n&gt;=N(DG75))+(1-nTP_OK*DE75)*(nTP_Loc_n&gt;=N(DF75)))*(nTP_OK*BO75*(nTP_UTC_n&lt;=N(BQ75))+(1-nTP_OK*BO75)*(nTP_Loc_n&lt;=N(BP75)))+(1-nTP_HT*DD75*BN75)*(nTP_Hi_n&gt;=N(DH75))*(nTP_Lo_n&lt;=N(BS75)))))</f>
        <v>0</v>
      </c>
      <c r="EP75" s="22">
        <f>IF(OR(DT75=0,DX75&lt;&gt;""),0,SUMPRODUCT((nTP_Case_Key=AX75)*(nTP_Role="treatment of the event")*((nTP_Record_Type="EXPOSURE_START")+(nTP_Record_Type="ADMINISTRATION"))*(nTP_Err="")*(nTP_HT*DD75*BN75*(nTP_OK*DE75*(nTP_UTC_n&gt;=N(DG75))+(1-nTP_OK*DE75)*(nTP_Loc_n&gt;=N(DF75)))*(nTP_OK*BO75*(nTP_UTC_n&lt;=N(BQ75))+(1-nTP_OK*BO75)*(nTP_Loc_n&lt;=N(BP75)))+(1-nTP_HT*DD75*BN75)*(nTP_Hi_n&gt;=N(DH75))*(nTP_Lo_n&lt;=N(BS75)))))</f>
        <v>0</v>
      </c>
      <c r="EQ75" s="22">
        <f>IF(EO75&lt;1,0,IFERROR(_xlfn.AGGREGATE(15,6,nTP_RowN/((nTP_Case_Key=AX75)*(nTP_Record_Type="MILESTONE:INTERVENTION")*(nTP_Err="")*(nTP_HT*DD75*BN75*(nTP_OK*DE75*(nTP_UTC_n&gt;=N(DG75))+(1-nTP_OK*DE75)*(nTP_Loc_n&gt;=N(DF75)))*(nTP_OK*BO75*(nTP_UTC_n&lt;=N(BQ75))+(1-nTP_OK*BO75)*(nTP_Loc_n&lt;=N(BP75)))+(1-nTP_HT*DD75*BN75)*(nTP_Hi_n&gt;=N(DH75))*(nTP_Lo_n&lt;=N(BS75)))),1),0))</f>
        <v>0</v>
      </c>
      <c r="ER75" s="22">
        <f>IF(EO75&lt;2,0,IFERROR(_xlfn.AGGREGATE(15,6,nTP_RowN/((nTP_Case_Key=AX75)*(nTP_Record_Type="MILESTONE:INTERVENTION")*(nTP_Err="")*(nTP_HT*DD75*BN75*(nTP_OK*DE75*(nTP_UTC_n&gt;=N(DG75))+(1-nTP_OK*DE75)*(nTP_Loc_n&gt;=N(DF75)))*(nTP_OK*BO75*(nTP_UTC_n&lt;=N(BQ75))+(1-nTP_OK*BO75)*(nTP_Loc_n&lt;=N(BP75)))+(1-nTP_HT*DD75*BN75)*(nTP_Hi_n&gt;=N(DH75))*(nTP_Lo_n&lt;=N(BS75)))),2),0))</f>
        <v>0</v>
      </c>
      <c r="ES75" s="22">
        <f>IF(EO75&lt;3,0,IFERROR(_xlfn.AGGREGATE(15,6,nTP_RowN/((nTP_Case_Key=AX75)*(nTP_Record_Type="MILESTONE:INTERVENTION")*(nTP_Err="")*(nTP_HT*DD75*BN75*(nTP_OK*DE75*(nTP_UTC_n&gt;=N(DG75))+(1-nTP_OK*DE75)*(nTP_Loc_n&gt;=N(DF75)))*(nTP_OK*BO75*(nTP_UTC_n&lt;=N(BQ75))+(1-nTP_OK*BO75)*(nTP_Loc_n&lt;=N(BP75)))+(1-nTP_HT*DD75*BN75)*(nTP_Hi_n&gt;=N(DH75))*(nTP_Lo_n&lt;=N(BS75)))),3),0))</f>
        <v>0</v>
      </c>
      <c r="ET75" s="22">
        <f>IF(EP75&lt;1,0,IFERROR(_xlfn.AGGREGATE(15,6,nTP_RowN/((nTP_Case_Key=AX75)*(nTP_Role="treatment of the event")*((nTP_Record_Type="EXPOSURE_START")+(nTP_Record_Type="ADMINISTRATION"))*(nTP_Err="")*(nTP_HT*DD75*BN75*(nTP_OK*DE75*(nTP_UTC_n&gt;=N(DG75))+(1-nTP_OK*DE75)*(nTP_Loc_n&gt;=N(DF75)))*(nTP_OK*BO75*(nTP_UTC_n&lt;=N(BQ75))+(1-nTP_OK*BO75)*(nTP_Loc_n&lt;=N(BP75)))+(1-nTP_HT*DD75*BN75)*(nTP_Hi_n&gt;=N(DH75))*(nTP_Lo_n&lt;=N(BS75)))),1),0))</f>
        <v>0</v>
      </c>
      <c r="EU75" s="22">
        <f>IF(EP75&lt;2,0,IFERROR(_xlfn.AGGREGATE(15,6,nTP_RowN/((nTP_Case_Key=AX75)*(nTP_Role="treatment of the event")*((nTP_Record_Type="EXPOSURE_START")+(nTP_Record_Type="ADMINISTRATION"))*(nTP_Err="")*(nTP_HT*DD75*BN75*(nTP_OK*DE75*(nTP_UTC_n&gt;=N(DG75))+(1-nTP_OK*DE75)*(nTP_Loc_n&gt;=N(DF75)))*(nTP_OK*BO75*(nTP_UTC_n&lt;=N(BQ75))+(1-nTP_OK*BO75)*(nTP_Loc_n&lt;=N(BP75)))+(1-nTP_HT*DD75*BN75)*(nTP_Hi_n&gt;=N(DH75))*(nTP_Lo_n&lt;=N(BS75)))),2),0))</f>
        <v>0</v>
      </c>
      <c r="EV75" s="22">
        <f>IF(EP75&lt;3,0,IFERROR(_xlfn.AGGREGATE(15,6,nTP_RowN/((nTP_Case_Key=AX75)*(nTP_Role="treatment of the event")*((nTP_Record_Type="EXPOSURE_START")+(nTP_Record_Type="ADMINISTRATION"))*(nTP_Err="")*(nTP_HT*DD75*BN75*(nTP_OK*DE75*(nTP_UTC_n&gt;=N(DG75))+(1-nTP_OK*DE75)*(nTP_Loc_n&gt;=N(DF75)))*(nTP_OK*BO75*(nTP_UTC_n&lt;=N(BQ75))+(1-nTP_OK*BO75)*(nTP_Loc_n&lt;=N(BP75)))+(1-nTP_HT*DD75*BN75)*(nTP_Hi_n&gt;=N(DH75))*(nTP_Lo_n&lt;=N(BS75)))),3),0))</f>
        <v>0</v>
      </c>
      <c r="EW75" s="22">
        <f>IF(CE75&lt;1,0,IFERROR(_xlfn.AGGREGATE(15,6,nTP_RowN/((nTP_CandKey=BX75)*(nTP_Err="")*(1-nTP_Exact)*((nTP_HT*BN75*((nTP_OK*BO75*(nTP_UTC_n-N(BQ75))+(1-nTP_OK*BO75)*(nTP_Loc_n-N(BP75)))&lt;=0)+(1-nTP_HT*BN75)*(nTP_Hi_n&lt;N(BR75)))+((1-nTP_HT*BN75)*(nTP_Lo_n=nTP_Hi_n)*(nTP_Lo_n=N(BR75))*(N(BR75)=N(BS75))))),1),0))</f>
        <v>0</v>
      </c>
      <c r="EX75" s="22">
        <f>IF(CE75&lt;2,0,IFERROR(_xlfn.AGGREGATE(15,6,nTP_RowN/((nTP_CandKey=BX75)*(nTP_Err="")*(1-nTP_Exact)*((nTP_HT*BN75*((nTP_OK*BO75*(nTP_UTC_n-N(BQ75))+(1-nTP_OK*BO75)*(nTP_Loc_n-N(BP75)))&lt;=0)+(1-nTP_HT*BN75)*(nTP_Hi_n&lt;N(BR75)))+((1-nTP_HT*BN75)*(nTP_Lo_n=nTP_Hi_n)*(nTP_Lo_n=N(BR75))*(N(BR75)=N(BS75))))),2),0))</f>
        <v>0</v>
      </c>
      <c r="EY75" s="22">
        <f>IF(CE75&lt;3,0,IFERROR(_xlfn.AGGREGATE(15,6,nTP_RowN/((nTP_CandKey=BX75)*(nTP_Err="")*(1-nTP_Exact)*((nTP_HT*BN75*((nTP_OK*BO75*(nTP_UTC_n-N(BQ75))+(1-nTP_OK*BO75)*(nTP_Loc_n-N(BP75)))&lt;=0)+(1-nTP_HT*BN75)*(nTP_Hi_n&lt;N(BR75)))+((1-nTP_HT*BN75)*(nTP_Lo_n=nTP_Hi_n)*(nTP_Lo_n=N(BR75))*(N(BR75)=N(BS75))))),3),0))</f>
        <v>0</v>
      </c>
      <c r="EZ75" s="21" t="str">
        <f>IF(EO75=0,"",MID(IF(EQ75&gt;0,"; "&amp;INDEX(nTP_Record_ID,EQ75)&amp;IF(INDEX(nTP_Label,EQ75)="",""," ("&amp;INDEX(nTP_Label,EQ75)&amp;")"),"")&amp;IF(ER75&gt;0,"; "&amp;INDEX(nTP_Record_ID,ER75)&amp;IF(INDEX(nTP_Label,ER75)="",""," ("&amp;INDEX(nTP_Label,ER75)&amp;")"),"")&amp;IF(ES75&gt;0,"; "&amp;INDEX(nTP_Record_ID,ES75)&amp;IF(INDEX(nTP_Label,ES75)="",""," ("&amp;INDEX(nTP_Label,ES75)&amp;")"),"")&amp;IF(EO75&gt;3,"; and "&amp;(EO75-3)&amp;" more",""),3,999))</f>
        <v/>
      </c>
      <c r="FA75" s="21" t="str">
        <f>IF(EO75=0,"",MID(IF(EQ75&gt;0,"; "&amp;INDEX(nTP_Record_ID,EQ75),"")&amp;IF(ER75&gt;0,"; "&amp;INDEX(nTP_Record_ID,ER75),"")&amp;IF(ES75&gt;0,"; "&amp;INDEX(nTP_Record_ID,ES75),"")&amp;IF(EO75&gt;3,"; and "&amp;(EO75-3)&amp;" more",""),3,999))</f>
        <v/>
      </c>
      <c r="FB75" s="21" t="str">
        <f>IF(EP75=0,"",MID(IF(ET75&gt;0,"; "&amp;INDEX(nTP_Record_ID,ET75)&amp;IF(INDEX(nTP_Label,ET75)="",""," ("&amp;INDEX(nTP_Label,ET75)&amp;")"),"")&amp;IF(EU75&gt;0,"; "&amp;INDEX(nTP_Record_ID,EU75)&amp;IF(INDEX(nTP_Label,EU75)="",""," ("&amp;INDEX(nTP_Label,EU75)&amp;")"),"")&amp;IF(EV75&gt;0,"; "&amp;INDEX(nTP_Record_ID,EV75)&amp;IF(INDEX(nTP_Label,EV75)="",""," ("&amp;INDEX(nTP_Label,EV75)&amp;")"),"")&amp;IF(EP75&gt;3,"; and "&amp;(EP75-3)&amp;" more",""),3,999))</f>
        <v/>
      </c>
      <c r="FC75" s="21" t="str">
        <f>IF(CE75=0,"",MID(IF(EW75&gt;0,"; "&amp;INDEX(nTP_Record_ID,EW75),"")&amp;IF(EX75&gt;0,"; "&amp;INDEX(nTP_Record_ID,EX75),"")&amp;IF(EY75&gt;0,"; "&amp;INDEX(nTP_Record_ID,EY75),"")&amp;IF(CE75&gt;3,"; and "&amp;(CE75-3)&amp;" more",""),3,999))</f>
        <v/>
      </c>
      <c r="FD75" s="22">
        <f t="shared" si="118"/>
        <v>0</v>
      </c>
      <c r="FE75" s="22">
        <f t="shared" si="119"/>
        <v>0</v>
      </c>
      <c r="FF75" s="22">
        <f t="shared" si="120"/>
        <v>0</v>
      </c>
      <c r="FG75" s="22">
        <f t="shared" si="121"/>
        <v>0</v>
      </c>
      <c r="FH75" s="22">
        <f t="shared" si="122"/>
        <v>0</v>
      </c>
      <c r="FI75" s="22">
        <f t="shared" si="123"/>
        <v>0</v>
      </c>
      <c r="FJ75" s="22">
        <f t="shared" si="124"/>
        <v>0</v>
      </c>
      <c r="FK75" s="22">
        <f t="shared" si="125"/>
        <v>0</v>
      </c>
    </row>
    <row r="76" spans="1:167" x14ac:dyDescent="0.2">
      <c r="A76" s="9" t="s">
        <v>1151</v>
      </c>
      <c r="B76" s="9" t="s">
        <v>305</v>
      </c>
      <c r="C76" s="11">
        <v>2</v>
      </c>
      <c r="D76" s="9" t="s">
        <v>894</v>
      </c>
      <c r="E76" s="16" t="s">
        <v>57</v>
      </c>
      <c r="F76" s="9" t="s">
        <v>1177</v>
      </c>
      <c r="G76" s="9" t="s">
        <v>659</v>
      </c>
      <c r="H76" s="9" t="s">
        <v>1170</v>
      </c>
      <c r="I76" s="16" t="s">
        <v>60</v>
      </c>
      <c r="J76" s="16"/>
      <c r="K76" s="9"/>
      <c r="L76" s="16"/>
      <c r="M76" s="16"/>
      <c r="N76" s="16"/>
      <c r="O76" s="9"/>
      <c r="P76" s="14"/>
      <c r="Q76" s="14"/>
      <c r="R76" s="9"/>
      <c r="S76" s="9" t="s">
        <v>1178</v>
      </c>
      <c r="T76" s="21" t="str">
        <f t="shared" si="63"/>
        <v>184 calendar days</v>
      </c>
      <c r="U76" s="21" t="str">
        <f t="shared" si="64"/>
        <v>184 calendar days</v>
      </c>
      <c r="V76" s="21">
        <f t="shared" si="65"/>
        <v>184</v>
      </c>
      <c r="W76" s="21" t="str">
        <f t="shared" si="66"/>
        <v/>
      </c>
      <c r="X76" s="21" t="str">
        <f t="shared" si="67"/>
        <v/>
      </c>
      <c r="Y76" s="21" t="str">
        <f t="shared" si="68"/>
        <v>calendar days</v>
      </c>
      <c r="Z76" s="21" t="str">
        <f t="shared" si="69"/>
        <v>C2</v>
      </c>
      <c r="AA76" s="21" t="str">
        <f t="shared" si="70"/>
        <v>AFTER</v>
      </c>
      <c r="AB76" s="21" t="str">
        <f t="shared" si="71"/>
        <v/>
      </c>
      <c r="AC76" s="21" t="str">
        <f t="shared" si="72"/>
        <v/>
      </c>
      <c r="AD76" s="21" t="str">
        <f>IF(AW76=1,"",MID(IF(ISNUMBER(SEARCH("E_INVALID_DATE",EG76))," | E_INVALID_DATE: "&amp;SUBSTITUTE(IFERROR(INDEX(nMSG_Text,MATCH("E_INVALID_DATE",nMSG_Code,0)),""),"[input]",""),"")&amp;IF(ISNUMBER(SEARCH("E_REVERSED_BOUNDS",EG76))," | E_REVERSED_BOUNDS: "&amp;SUBSTITUTE(IFERROR(INDEX(nMSG_Text,MATCH("E_REVERSED_BOUNDS",nMSG_Code,0)),""),"[input]",""),"")&amp;IF(ISNUMBER(SEARCH("E_DUPLICATE_ID",EG76))," | E_DUPLICATE_ID: "&amp;SUBSTITUTE(IFERROR(INDEX(nMSG_Text,MATCH("E_DUPLICATE_ID",nMSG_Code,0)),""),"[input]",""),"")&amp;IF(ISNUMBER(SEARCH("E_MISSING_LINK",EG76))," | E_MISSING_LINK: "&amp;SUBSTITUTE(IFERROR(INDEX(nMSG_Text,MATCH("E_MISSING_LINK",nMSG_Code,0)),""),"[input]",""),"")&amp;IF(ISNUMBER(SEARCH("E_MISSING_INPUT",EG76))," | E_MISSING_INPUT: "&amp;SUBSTITUTE(IFERROR(INDEX(nMSG_Text,MATCH("E_MISSING_INPUT",nMSG_Code,0)),""),"[input]",IF(EH76="","an input",EH76)),"")&amp;IF(ISNUMBER(SEARCH("E_INVALID_UNIT",EG76))," | E_INVALID_UNIT: "&amp;SUBSTITUTE(IFERROR(INDEX(nMSG_Text,MATCH("E_INVALID_UNIT",nMSG_Code,0)),""),"[input]",""),"")&amp;IF(FD76=1," | W_TZ_UNKNOWN: "&amp;SUBSTITUTE(IFERROR(INDEX(nMSG_Text,MATCH("W_TZ_UNKNOWN",nMSG_Code,0)),""),"[input]",""),"")&amp;IF(FE76=1," | W_SAME_DATE_ORDER_UNKNOWN: "&amp;SUBSTITUTE(IFERROR(INDEX(nMSG_Text,MATCH("W_SAME_DATE_ORDER_UNKNOWN",nMSG_Code,0)),""),"[input]",""),"")&amp;IF(FF76=1," | W_SEQUENCE_UNCERTAIN: "&amp;SUBSTITUTE(IFERROR(INDEX(nMSG_Text,MATCH("W_SEQUENCE_UNCERTAIN",nMSG_Code,0)),""),"[input]",""),"")&amp;IF(FG76=1," | W_ADMIN_SAME_DATE_AS_ONSET: "&amp;SUBSTITUTE(IFERROR(INDEX(nMSG_Text,MATCH("W_ADMIN_SAME_DATE_AS_ONSET",nMSG_Code,0)),""),"[input]",""),"")&amp;IF(FH76=1," | W_REPORTED_TIMING_CONFLICT: "&amp;SUBSTITUTE(IFERROR(INDEX(nMSG_Text,MATCH("W_REPORTED_TIMING_CONFLICT",nMSG_Code,0)),""),"[input]",""),"")&amp;IF(FI76=1," | W_INTERVENTION_BEFORE_RECOVERY: "&amp;SUBSTITUTE(IFERROR(INDEX(nMSG_Text,MATCH("W_INTERVENTION_BEFORE_RECOVERY",nMSG_Code,0)),""),"[input]",""),"")&amp;IF(FJ76=1," | I_TREATMENT_DAY_UNDEFINED: "&amp;SUBSTITUTE(IFERROR(INDEX(nMSG_Text,MATCH("I_TREATMENT_DAY_UNDEFINED",nMSG_Code,0)),""),"[input]",""),"")&amp;IF(FK76=1," | I_APPROXIMATE_NOT_COMPARED: "&amp;SUBSTITUTE(IFERROR(INDEX(nMSG_Text,MATCH("I_APPROXIMATE_NOT_COMPARED",nMSG_Code,0)),""),"[input]",""),""),4,9999))</f>
        <v/>
      </c>
      <c r="AE76" s="21" t="str">
        <f t="shared" si="73"/>
        <v/>
      </c>
      <c r="AF76" s="21" t="str">
        <f t="shared" si="74"/>
        <v/>
      </c>
      <c r="AG76" s="21" t="str">
        <f>IF(EN76="","",MID(IF(ISNUMBER(SEARCH("E_REVERSED_BOUNDS",EN76))," | E_REVERSED_BOUNDS: "&amp;SUBSTITUTE(IFERROR(INDEX(nMSG_Text,MATCH("E_REVERSED_BOUNDS",nMSG_Code,0)),""),"[input]",""),"")&amp;IF(ISNUMBER(SEARCH("E_MISSING_INPUT",EN76))," | E_MISSING_INPUT: "&amp;SUBSTITUTE(IFERROR(INDEX(nMSG_Text,MATCH("E_MISSING_INPUT",nMSG_Code,0)),""),"[input]",IF("the source of the constraint"="","an input","the source of the constraint")),""),4,999))</f>
        <v/>
      </c>
      <c r="AH76" s="21" t="str">
        <f t="shared" si="75"/>
        <v/>
      </c>
      <c r="AI76" s="21" t="str">
        <f t="shared" si="76"/>
        <v>ADM-RTX-6 → EX-AVA/STOP</v>
      </c>
      <c r="AJ76" s="21" t="str">
        <f t="shared" si="77"/>
        <v>ADM-RTX-6</v>
      </c>
      <c r="AK76" s="21" t="str">
        <f t="shared" si="78"/>
        <v>EX-AVA/STOP</v>
      </c>
      <c r="AL76" s="21" t="str">
        <f>IF(CY76=0,"",INDEX(nTP_ISO,CY76))</f>
        <v>2025-03-03</v>
      </c>
      <c r="AM76" s="21" t="str">
        <f>IF(CY76=0,"",INDEX(nTP_Display,CY76))</f>
        <v>3 March 2025</v>
      </c>
      <c r="AN76" s="21" t="str">
        <f>IF(BI76=0,"",INDEX(nTP_ISO,BI76))</f>
        <v>2025-09-03</v>
      </c>
      <c r="AO76" s="21" t="str">
        <f>IF(BI76=0,"",INDEX(nTP_Display,BI76))</f>
        <v>3 September 2025</v>
      </c>
      <c r="AP76" s="21" t="str">
        <f>IF(BA76=0,"",INDEX(nLNK_Exposure_Episode_ID,BA76)&amp;"")</f>
        <v>EX-RTX</v>
      </c>
      <c r="AQ76" s="21" t="str">
        <f>IF(BA76=0,"",INDEX(nLNK_Event_Episode_ID,BA76)&amp;"")</f>
        <v>EV-HBV</v>
      </c>
      <c r="AR76" s="21" t="str">
        <f t="shared" si="79"/>
        <v>Anchor (OTHER) ADM-RTX-6: 2025-03-03 [day; case measurement; original: "last infusion 03/03/2025"; source: Hematology summary] | End point EX-AVA/STOP: 2025-09-03 [day; case measurement; original: "prophylaxis to 03/09/2025"; source: Hematology summary]</v>
      </c>
      <c r="AS76" s="21" t="str">
        <f>IF(EI76=0,"",MID(IF(DT76=1," | Recovery interval (C7) computed with "&amp;DS76&amp;".","")&amp;IF(BG76=1," | Anchor selected under C5 (CALC-SPEC 1.1): latest administration with an exact date or time at or before "&amp;IF(BH76=1,"onset","the end point")&amp;" ("&amp;AJ76&amp;"), ordered in UTC when offsets are known; later administrations are never selected.","")&amp;IF(AND(BG76=1,CE76&gt;0)," | Partial-date administrations wholly before the selected one were not candidates: "&amp;FC76&amp;".","")&amp;IF(BV76&lt;&gt;""," | "&amp;BV76,"")&amp;IF(AND(DS76="C2",EA76=0,DZ76&lt;&gt;"")," | Same calendar date; both times are known, so C1 decides the order ("&amp;AA76&amp;").","")&amp;IF(AND(DS76="C2",DD76*BN76=1,DT76=0)," | Calendar-date difference from the recorded local dates; it is never described as elapsed days.","")&amp;IF(AND(DS76="C4",DT76=0)," | Bounds are treated as independent; no single date is imputed from them.","")&amp;IF(EJ76=1," | Treatment day under the inclusive convention (C3); never written to E2B fields automatically.","")&amp;IF(AND(DS76="C4",DT76=0,EK76=0)," | No constraint applied.","")&amp;IF(AND(DS76="C4",EK76=1)," | Constraint applied to the anchor bounds: "&amp;IF(ISNUMBER(P76),"not before "&amp;DAY(P76)&amp;" "&amp;INDEX(nLIST_Months,MONTH(P76))&amp;" "&amp;YEAR(P76),"")&amp;IF(AND(ISNUMBER(P76),ISNUMBER(Q76)),", ","")&amp;IF(ISNUMBER(Q76),"not after "&amp;DAY(Q76)&amp;" "&amp;INDEX(nLIST_Months,MONTH(Q76))&amp;" "&amp;YEAR(Q76),"")&amp;". Source: "&amp;IF(R76="","not recorded",R76)&amp;IF(EN76="",". Constrained result shown beside the unconstrained one.",". Constrained result blocked ("&amp;EN76&amp;")."),"")&amp;IF(DT76=1,IF(EO76&gt;0," | Intervention recorded between cessation and recovery (ends included): "&amp;EZ76&amp;"."," | No intervention is recorded between cessation and recovery; absence of a record is not evidence that none was given."),"")&amp;IF(AND(DT76=1,DV76&gt;0)," | Intervention recorded without a date, so whether it came before recovery is unknown: "&amp;INDEX(nMS_Milestone_ID,MATCH(1,INDEX((nMS_CaseKey=AX76)*(nMS_Type="INTERVENTION")*nMS_Undated,0),0))&amp;IF(DV76&gt;1," and "&amp;(DV76-1)&amp;" more","")&amp;".","")&amp;IF(AND(DT76=1,EP76&gt;0)," | Not counted as interventions, because they are recorded as exposures rather than as intervention milestones (nothing is inferred): "&amp;FB76&amp;". If treatment was given, record it as an intervention milestone.",""),4,9999))</f>
        <v/>
      </c>
      <c r="AT76" s="21" t="str">
        <f t="shared" si="80"/>
        <v>The interval describes the sequence and spacing of recorded times; it is not evidence of causation.</v>
      </c>
      <c r="AU76" s="21" t="str">
        <f t="shared" si="81"/>
        <v/>
      </c>
      <c r="AV76" s="21" t="str">
        <f t="shared" si="82"/>
        <v>CALC-SPEC 1.1</v>
      </c>
      <c r="AW76" s="22">
        <f t="shared" si="83"/>
        <v>0</v>
      </c>
      <c r="AX76" s="21" t="str">
        <f t="shared" si="84"/>
        <v>EX-C28|2</v>
      </c>
      <c r="AY76" s="21" t="str">
        <f t="shared" si="85"/>
        <v>EX-C28|2|I11</v>
      </c>
      <c r="AZ76" s="22">
        <f>IF(AY76="",0,COUNTIF(nINT_Key,AY76))</f>
        <v>1</v>
      </c>
      <c r="BA76" s="22">
        <f>IF(D76="",0,IFERROR(MATCH(AX76&amp;"|"&amp;D76,nLNK_Key,0),0))</f>
        <v>27</v>
      </c>
      <c r="BB76" s="22">
        <f>IF(BA76=0,1,INDEX(nLNK_Exp_Found,BA76))</f>
        <v>1</v>
      </c>
      <c r="BC76" s="22">
        <f>IF(BA76=0,1,INDEX(nLNK_Evt_Found,BA76))</f>
        <v>1</v>
      </c>
      <c r="BD76" s="22">
        <f>IF(AP76="",0,COUNTIF(nEXP_Key,AX76&amp;"|"&amp;AP76))</f>
        <v>1</v>
      </c>
      <c r="BE76" s="22">
        <f>IF(AQ76="",0,COUNTIF(nEVT_Key,AX76&amp;"|"&amp;AQ76))</f>
        <v>1</v>
      </c>
      <c r="BF76" s="22">
        <f>IF(ISNA(MATCH(E76,nLIST_AnchorType,0)),0,1)</f>
        <v>1</v>
      </c>
      <c r="BG76" s="22">
        <f t="shared" si="86"/>
        <v>0</v>
      </c>
      <c r="BH76" s="22">
        <f t="shared" si="87"/>
        <v>0</v>
      </c>
      <c r="BI76" s="22">
        <f>IF(OR(AW76=1,AK76=""),0,IFERROR(MATCH(AX76&amp;"|"&amp;AK76,nTP_Key,0),0))</f>
        <v>112</v>
      </c>
      <c r="BJ76" s="21">
        <f>IF(BI76=0,0,INDEX(nTP_Dup,BI76))</f>
        <v>1</v>
      </c>
      <c r="BK76" s="21" t="str">
        <f>IF(BI76=0,"",INDEX(nTP_Record_Type,BI76))</f>
        <v>EXPOSURE_STOP</v>
      </c>
      <c r="BL76" s="21" t="str">
        <f>IF(BI76=0,"",INDEX(nTP_Precision,BI76))</f>
        <v>DATE</v>
      </c>
      <c r="BM76" s="21" t="str">
        <f>IF(BI76=0,"",INDEX(nTP_Err,BI76))</f>
        <v/>
      </c>
      <c r="BN76" s="21">
        <f>IF(BI76=0,0,INDEX(nTP_HT,BI76))</f>
        <v>0</v>
      </c>
      <c r="BO76" s="21">
        <f>IF(BI76=0,0,INDEX(nTP_OK,BI76))</f>
        <v>0</v>
      </c>
      <c r="BP76" s="21" t="str">
        <f>IF(BI76=0,"",INDEX(nTP_Loc,BI76))</f>
        <v/>
      </c>
      <c r="BQ76" s="21" t="str">
        <f>IF(BI76=0,"",INDEX(nTP_UTC,BI76))</f>
        <v/>
      </c>
      <c r="BR76" s="21">
        <f>IF(BI76=0,"",INDEX(nTP_Lo,BI76))</f>
        <v>45903</v>
      </c>
      <c r="BS76" s="21">
        <f>IF(BI76=0,"",INDEX(nTP_Hi,BI76))</f>
        <v>45903</v>
      </c>
      <c r="BT76" s="21" t="str">
        <f>IF(BI76=0,"",INDEX(nTP_Original_Text,BI76))</f>
        <v>prophylaxis to 03/09/2025</v>
      </c>
      <c r="BU76" s="21" t="str">
        <f>IF(BI76=0,"",INDEX(nTP_Source,BI76))</f>
        <v>Hematology summary</v>
      </c>
      <c r="BV76" s="21" t="str">
        <f>IF(BI76=0,"",INDEX(nTP_Lab_Note,BI76))</f>
        <v/>
      </c>
      <c r="BW76" s="22">
        <f t="shared" si="88"/>
        <v>1</v>
      </c>
      <c r="BX76" s="21" t="str">
        <f t="shared" si="89"/>
        <v>EX-C28|2|EX-RTX</v>
      </c>
      <c r="BY76" s="22">
        <f>IF(BG76=0,0,COUNTIF(nTP_CandKey,BX76))</f>
        <v>0</v>
      </c>
      <c r="BZ76" s="22">
        <f>IF(BG76=0,0,COUNTIFS(nTP_CandKey,BX76,nTP_Err,""))</f>
        <v>0</v>
      </c>
      <c r="CA76" s="21" t="str">
        <f>IF(BY76=BZ76,"",IF(COUNTIFS(nTP_CandKey,BX76,nTP_Err,"E_INVALID_DATE")&gt;0,"; E_INVALID_DATE","")&amp;IF(COUNTIFS(nTP_CandKey,BX76,nTP_Err,"E_REVERSED_BOUNDS")&gt;0,"; E_REVERSED_BOUNDS","")&amp;IF(COUNTIFS(nTP_CandKey,BX76,nTP_Err,"E_MISSING_INPUT")&gt;0,"; E_MISSING_INPUT","")&amp;IF(COUNTIFS(nTP_CandKey,BX76,nTP_Err,"E_INVALID_UNIT")&gt;0,"; E_INVALID_UNIT",""))</f>
        <v/>
      </c>
      <c r="CB76" s="22">
        <f t="shared" si="90"/>
        <v>0</v>
      </c>
      <c r="CC76" s="22">
        <f>IF(CB76=0,0,SUMPRODUCT((nTP_CandKey=BX76)*(nTP_Err="")*(1-(nTP_HT*BN76*((nTP_OK*BO76*(nTP_UTC_n-N(BQ76))+(1-nTP_OK*BO76)*(nTP_Loc_n-N(BP76)))&lt;=0)+(1-nTP_HT*BN76)*(nTP_Hi_n&lt;N(BR76)))-(nTP_HT*BN76*((nTP_OK*BO76*(nTP_UTC_n-N(BQ76))+(1-nTP_OK*BO76)*(nTP_Loc_n-N(BP76)))&gt;0)+(1-nTP_HT*BN76)*(nTP_Lo_n&gt;N(BS76)))-((1-nTP_HT*BN76)*(nTP_Lo_n=nTP_Hi_n)*(nTP_Lo_n=N(BR76))*(N(BR76)=N(BS76))))))</f>
        <v>0</v>
      </c>
      <c r="CD76" s="22">
        <f>IF(CB76=0,0,SUMPRODUCT((nTP_CandKey=BX76)*nTP_Exact*((nTP_HT*BN76*((nTP_OK*BO76*(nTP_UTC_n-N(BQ76))+(1-nTP_OK*BO76)*(nTP_Loc_n-N(BP76)))&lt;=0)+(1-nTP_HT*BN76)*(nTP_Hi_n&lt;N(BR76)))+((1-nTP_HT*BN76)*(nTP_Lo_n=nTP_Hi_n)*(nTP_Lo_n=N(BR76))*(N(BR76)=N(BS76))))))</f>
        <v>0</v>
      </c>
      <c r="CE76" s="22">
        <f>IF(CB76=0,0,SUMPRODUCT((nTP_CandKey=BX76)*(nTP_Err="")*(1-nTP_Exact)*((nTP_HT*BN76*((nTP_OK*BO76*(nTP_UTC_n-N(BQ76))+(1-nTP_OK*BO76)*(nTP_Loc_n-N(BP76)))&lt;=0)+(1-nTP_HT*BN76)*(nTP_Hi_n&lt;N(BR76)))+((1-nTP_HT*BN76)*(nTP_Lo_n=nTP_Hi_n)*(nTP_Lo_n=N(BR76))*(N(BR76)=N(BS76))))))</f>
        <v>0</v>
      </c>
      <c r="CF76" s="22">
        <f>IF(CD76=0,0,SUMPRODUCT(MAX((nTP_CandKey=BX76)*nTP_Exact*((nTP_HT*BN76*((nTP_OK*BO76*(nTP_UTC_n-N(BQ76))+(1-nTP_OK*BO76)*(nTP_Loc_n-N(BP76)))&lt;=0)+(1-nTP_HT*BN76)*(nTP_Hi_n&lt;N(BR76)))+((1-nTP_HT*BN76)*(nTP_Lo_n=nTP_Hi_n)*(nTP_Lo_n=N(BR76))*(N(BR76)=N(BS76))))*nTP_Lo_n)))</f>
        <v>0</v>
      </c>
      <c r="CG76" s="22">
        <f>IF(CD76=0,0,SUMPRODUCT((nTP_CandKey=BX76)*nTP_Exact*((nTP_HT*BN76*((nTP_OK*BO76*(nTP_UTC_n-N(BQ76))+(1-nTP_OK*BO76)*(nTP_Loc_n-N(BP76)))&lt;=0)+(1-nTP_HT*BN76)*(nTP_Hi_n&lt;N(BR76)))+((1-nTP_HT*BN76)*(nTP_Lo_n=nTP_Hi_n)*(nTP_Lo_n=N(BR76))*(N(BR76)=N(BS76))))*(nTP_Lo_n=CF76)))</f>
        <v>0</v>
      </c>
      <c r="CH76" s="22">
        <f>IF(CD76=0,0,SUMPRODUCT((nTP_CandKey=BX76)*nTP_Exact*((nTP_HT*BN76*((nTP_OK*BO76*(nTP_UTC_n-N(BQ76))+(1-nTP_OK*BO76)*(nTP_Loc_n-N(BP76)))&lt;=0)+(1-nTP_HT*BN76)*(nTP_Hi_n&lt;N(BR76)))+((1-nTP_HT*BN76)*(nTP_Lo_n=nTP_Hi_n)*(nTP_Lo_n=N(BR76))*(N(BR76)=N(BS76))))*(1-nTP_HT)*(nTP_Lo_n=CF76)))</f>
        <v>0</v>
      </c>
      <c r="CI76" s="22">
        <f>IF(CD76=0,0,SUMPRODUCT(MAX((nTP_CandKey=BX76)*nTP_Exact*((nTP_HT*BN76*((nTP_OK*BO76*(nTP_UTC_n-N(BQ76))+(1-nTP_OK*BO76)*(nTP_Loc_n-N(BP76)))&lt;=0)+(1-nTP_HT*BN76)*(nTP_Hi_n&lt;N(BR76)))+((1-nTP_HT*BN76)*(nTP_Lo_n=nTP_Hi_n)*(nTP_Lo_n=N(BR76))*(N(BR76)=N(BS76))))*(1-nTP_HT)*nTP_Lo_n)))</f>
        <v>0</v>
      </c>
      <c r="CJ76" s="22">
        <f>IF(CD76=0,0,SUMPRODUCT(MAX((nTP_CandKey=BX76)*nTP_Exact*((nTP_HT*BN76*((nTP_OK*BO76*(nTP_UTC_n-N(BQ76))+(1-nTP_OK*BO76)*(nTP_Loc_n-N(BP76)))&lt;=0)+(1-nTP_HT*BN76)*(nTP_Hi_n&lt;N(BR76)))+((1-nTP_HT*BN76)*(nTP_Lo_n=nTP_Hi_n)*(nTP_Lo_n=N(BR76))*(N(BR76)=N(BS76))))*nTP_HT*nTP_OK*nTP_UTC_n)))</f>
        <v>0</v>
      </c>
      <c r="CK76" s="22">
        <f>IF(CJ76=0,0,SUMPRODUCT((nTP_CandKey=BX76)*nTP_Exact*((nTP_HT*BN76*((nTP_OK*BO76*(nTP_UTC_n-N(BQ76))+(1-nTP_OK*BO76)*(nTP_Loc_n-N(BP76)))&lt;=0)+(1-nTP_HT*BN76)*(nTP_Hi_n&lt;N(BR76)))+((1-nTP_HT*BN76)*(nTP_Lo_n=nTP_Hi_n)*(nTP_Lo_n=N(BR76))*(N(BR76)=N(BS76))))*nTP_HT*nTP_OK*(nTP_UTC_n=CJ76)))</f>
        <v>0</v>
      </c>
      <c r="CL76" s="22">
        <f>IF(CK76&lt;&gt;1,0,SUMPRODUCT((nTP_CandKey=BX76)*nTP_Exact*((nTP_HT*BN76*((nTP_OK*BO76*(nTP_UTC_n-N(BQ76))+(1-nTP_OK*BO76)*(nTP_Loc_n-N(BP76)))&lt;=0)+(1-nTP_HT*BN76)*(nTP_Hi_n&lt;N(BR76)))+((1-nTP_HT*BN76)*(nTP_Lo_n=nTP_Hi_n)*(nTP_Lo_n=N(BR76))*(N(BR76)=N(BS76))))*nTP_HT*nTP_OK*(nTP_UTC_n=CJ76)*nTP_Loc_n))</f>
        <v>0</v>
      </c>
      <c r="CM76" s="22">
        <f>IF(CK76&lt;&gt;1,0,SUMPRODUCT((nTP_CandKey=BX76)*nTP_Exact*((nTP_HT*BN76*((nTP_OK*BO76*(nTP_UTC_n-N(BQ76))+(1-nTP_OK*BO76)*(nTP_Loc_n-N(BP76)))&lt;=0)+(1-nTP_HT*BN76)*(nTP_Hi_n&lt;N(BR76)))+((1-nTP_HT*BN76)*(nTP_Lo_n=nTP_Hi_n)*(nTP_Lo_n=N(BR76))*(N(BR76)=N(BS76))))*nTP_HT*nTP_OK*(nTP_UTC_n=CJ76)*nTP_Lo_n))</f>
        <v>0</v>
      </c>
      <c r="CN76" s="22">
        <f>IF(CD76=0,0,SUMPRODUCT(MAX((nTP_CandKey=BX76)*nTP_Exact*((nTP_HT*BN76*((nTP_OK*BO76*(nTP_UTC_n-N(BQ76))+(1-nTP_OK*BO76)*(nTP_Loc_n-N(BP76)))&lt;=0)+(1-nTP_HT*BN76)*(nTP_Hi_n&lt;N(BR76)))+((1-nTP_HT*BN76)*(nTP_Lo_n=nTP_Hi_n)*(nTP_Lo_n=N(BR76))*(N(BR76)=N(BS76))))*nTP_HT*(1-nTP_OK)*nTP_Loc_n)))</f>
        <v>0</v>
      </c>
      <c r="CO76" s="22">
        <f>IF(CN76=0,0,SUMPRODUCT((nTP_CandKey=BX76)*nTP_Exact*((nTP_HT*BN76*((nTP_OK*BO76*(nTP_UTC_n-N(BQ76))+(1-nTP_OK*BO76)*(nTP_Loc_n-N(BP76)))&lt;=0)+(1-nTP_HT*BN76)*(nTP_Hi_n&lt;N(BR76)))+((1-nTP_HT*BN76)*(nTP_Lo_n=nTP_Hi_n)*(nTP_Lo_n=N(BR76))*(N(BR76)=N(BS76))))*nTP_HT*(1-nTP_OK)*(nTP_Loc_n=CN76)))</f>
        <v>0</v>
      </c>
      <c r="CP76" s="22">
        <f>IF(CO76&lt;&gt;1,0,SUMPRODUCT((nTP_CandKey=BX76)*nTP_Exact*((nTP_HT*BN76*((nTP_OK*BO76*(nTP_UTC_n-N(BQ76))+(1-nTP_OK*BO76)*(nTP_Loc_n-N(BP76)))&lt;=0)+(1-nTP_HT*BN76)*(nTP_Hi_n&lt;N(BR76)))+((1-nTP_HT*BN76)*(nTP_Lo_n=nTP_Hi_n)*(nTP_Lo_n=N(BR76))*(N(BR76)=N(BS76))))*nTP_HT*(1-nTP_OK)*(nTP_Loc_n=CN76)*nTP_Lo_n))</f>
        <v>0</v>
      </c>
      <c r="CQ76" s="22">
        <f>IF(CD76=0,0,SUMPRODUCT(MAX((nTP_CandKey=BX76)*nTP_Exact*((nTP_HT*BN76*((nTP_OK*BO76*(nTP_UTC_n-N(BQ76))+(1-nTP_OK*BO76)*(nTP_Loc_n-N(BP76)))&lt;=0)+(1-nTP_HT*BN76)*(nTP_Hi_n&lt;N(BR76)))+((1-nTP_HT*BN76)*(nTP_Lo_n=nTP_Hi_n)*(nTP_Lo_n=N(BR76))*(N(BR76)=N(BS76))))*nTP_HT*nTP_OK*nTP_Loc_n)))</f>
        <v>0</v>
      </c>
      <c r="CR76" s="22">
        <f t="shared" si="91"/>
        <v>0</v>
      </c>
      <c r="CS76" s="22">
        <f>IF(CR76=0,0,IF(CR76=1,MATCH(1,INDEX((nTP_CandKey=BX76)*nTP_Exact*((nTP_HT*BN76*((nTP_OK*BO76*(nTP_UTC_n-N(BQ76))+(1-nTP_OK*BO76)*(nTP_Loc_n-N(BP76)))&lt;=0)+(1-nTP_HT*BN76)*(nTP_Hi_n&lt;N(BR76)))+((1-nTP_HT*BN76)*(nTP_Lo_n=nTP_Hi_n)*(nTP_Lo_n=N(BR76))*(N(BR76)=N(BS76))))*(1-nTP_HT)*(nTP_Lo_n=CF76),0),0),IF(CR76=2,MATCH(1,INDEX((nTP_CandKey=BX76)*nTP_Exact*((nTP_HT*BN76*((nTP_OK*BO76*(nTP_UTC_n-N(BQ76))+(1-nTP_OK*BO76)*(nTP_Loc_n-N(BP76)))&lt;=0)+(1-nTP_HT*BN76)*(nTP_Hi_n&lt;N(BR76)))+((1-nTP_HT*BN76)*(nTP_Lo_n=nTP_Hi_n)*(nTP_Lo_n=N(BR76))*(N(BR76)=N(BS76))))*nTP_HT*nTP_OK*(nTP_UTC_n=CJ76),0),0),MATCH(1,INDEX((nTP_CandKey=BX76)*nTP_Exact*((nTP_HT*BN76*((nTP_OK*BO76*(nTP_UTC_n-N(BQ76))+(1-nTP_OK*BO76)*(nTP_Loc_n-N(BP76)))&lt;=0)+(1-nTP_HT*BN76)*(nTP_Hi_n&lt;N(BR76)))+((1-nTP_HT*BN76)*(nTP_Lo_n=nTP_Hi_n)*(nTP_Lo_n=N(BR76))*(N(BR76)=N(BS76))))*nTP_HT*(1-nTP_OK)*(nTP_Loc_n=CN76),0),0))))</f>
        <v>0</v>
      </c>
      <c r="CT76" s="22">
        <f>IF(CS76=0,0,INDEX(nTP_Lo_n,CS76))</f>
        <v>0</v>
      </c>
      <c r="CU76" s="22">
        <f>IF(CS76=0,0,SUMPRODUCT((nTP_CandKey=BX76)*(nTP_Err="")*(1-nTP_Exact)*((nTP_HT*BN76*((nTP_OK*BO76*(nTP_UTC_n-N(BQ76))+(1-nTP_OK*BO76)*(nTP_Loc_n-N(BP76)))&lt;=0)+(1-nTP_HT*BN76)*(nTP_Hi_n&lt;N(BR76)))+((1-nTP_HT*BN76)*(nTP_Lo_n=nTP_Hi_n)*(nTP_Lo_n=N(BR76))*(N(BR76)=N(BS76))))*(nTP_Hi_n&gt;=CT76)))</f>
        <v>0</v>
      </c>
      <c r="CV76" s="21" t="str">
        <f t="shared" si="92"/>
        <v/>
      </c>
      <c r="CW76" s="21" t="str">
        <f>IF(AND(BG76=1,CB76=1,CV76="",CS76&gt;0),INDEX(nTP_Record_ID,CS76)&amp;"","")</f>
        <v/>
      </c>
      <c r="CX76" s="21" t="str">
        <f>IF(OR(CV76="",BG76=0),"",IF(CV76="none","an administration record (last dose before onset)",IF(CV76="uncertain","the anchor record: "&amp;INDEX(nTP_Record_ID,MATCH(1,INDEX((nTP_CandKey=BX76)*(nTP_Err="")*(1-(nTP_HT*BN76*((nTP_OK*BO76*(nTP_UTC_n-N(BQ76))+(1-nTP_OK*BO76)*(nTP_Loc_n-N(BP76)))&lt;=0)+(1-nTP_HT*BN76)*(nTP_Hi_n&lt;N(BR76)))-(nTP_HT*BN76*((nTP_OK*BO76*(nTP_UTC_n-N(BQ76))+(1-nTP_OK*BO76)*(nTP_Loc_n-N(BP76)))&gt;0)+(1-nTP_HT*BN76)*(nTP_Lo_n&gt;N(BS76)))-((1-nTP_HT*BN76)*(nTP_Lo_n=nTP_Hi_n)*(nTP_Lo_n=N(BR76))*(N(BR76)=N(BS76)))),0),0))&amp;IF(CC76&gt;1," and "&amp;(CC76-1)&amp;" more","")&amp;" may fall before or after the end point, so the last dose cannot be identified from the recorded dates",IF(CV76="noneligible","the anchor record: no administration with an exact date is recorded at or before the end point",IF(CV76="tie","the anchor record: the order of the latest administrations cannot be told from the recorded dates and times","the anchor record: partial-date administration "&amp;INDEX(nTP_Record_ID,MATCH(1,INDEX((nTP_CandKey=BX76)*(nTP_Err="")*(1-nTP_Exact)*((nTP_HT*BN76*((nTP_OK*BO76*(nTP_UTC_n-N(BQ76))+(1-nTP_OK*BO76)*(nTP_Loc_n-N(BP76)))&lt;=0)+(1-nTP_HT*BN76)*(nTP_Hi_n&lt;N(BR76)))+((1-nTP_HT*BN76)*(nTP_Lo_n=nTP_Hi_n)*(nTP_Lo_n=N(BR76))*(N(BR76)=N(BS76))))*(nTP_Hi_n&gt;=CT76),0),0))&amp;" could be the last dose before the end point")))))</f>
        <v/>
      </c>
      <c r="CY76" s="22">
        <f>IF(OR(AW76=1,AJ76=""),0,IFERROR(MATCH(AX76&amp;"|"&amp;AJ76,nTP_Key,0),0))</f>
        <v>281</v>
      </c>
      <c r="CZ76" s="21">
        <f>IF(CY76=0,0,INDEX(nTP_Dup,CY76))</f>
        <v>1</v>
      </c>
      <c r="DA76" s="21" t="str">
        <f>IF(CY76=0,"",INDEX(nTP_Record_Type,CY76))</f>
        <v>ADMINISTRATION</v>
      </c>
      <c r="DB76" s="21" t="str">
        <f>IF(CY76=0,"",INDEX(nTP_Precision,CY76))</f>
        <v>DATE</v>
      </c>
      <c r="DC76" s="21" t="str">
        <f>IF(CY76=0,"",INDEX(nTP_Err,CY76))</f>
        <v/>
      </c>
      <c r="DD76" s="21">
        <f>IF(CY76=0,0,INDEX(nTP_HT,CY76))</f>
        <v>0</v>
      </c>
      <c r="DE76" s="21">
        <f>IF(CY76=0,0,INDEX(nTP_OK,CY76))</f>
        <v>0</v>
      </c>
      <c r="DF76" s="21" t="str">
        <f>IF(CY76=0,"",INDEX(nTP_Loc,CY76))</f>
        <v/>
      </c>
      <c r="DG76" s="21" t="str">
        <f>IF(CY76=0,"",INDEX(nTP_UTC,CY76))</f>
        <v/>
      </c>
      <c r="DH76" s="21">
        <f>IF(CY76=0,"",INDEX(nTP_Lo,CY76))</f>
        <v>45719</v>
      </c>
      <c r="DI76" s="21">
        <f>IF(CY76=0,"",INDEX(nTP_Hi,CY76))</f>
        <v>45719</v>
      </c>
      <c r="DJ76" s="21" t="str">
        <f>IF(CY76=0,"",INDEX(nTP_Original_Text,CY76))</f>
        <v>last infusion 03/03/2025</v>
      </c>
      <c r="DK76" s="21" t="str">
        <f>IF(CY76=0,"",INDEX(nTP_Source,CY76))</f>
        <v>Hematology summary</v>
      </c>
      <c r="DL76" s="22">
        <f t="shared" si="93"/>
        <v>1</v>
      </c>
      <c r="DM76" s="21" t="str">
        <f t="shared" si="94"/>
        <v/>
      </c>
      <c r="DN76" s="21" t="str">
        <f t="shared" si="95"/>
        <v/>
      </c>
      <c r="DO76" s="21" t="str">
        <f t="shared" si="96"/>
        <v/>
      </c>
      <c r="DP76" s="21" t="str">
        <f t="shared" si="97"/>
        <v/>
      </c>
      <c r="DQ76" s="21" t="str">
        <f t="shared" si="98"/>
        <v>C2</v>
      </c>
      <c r="DR76" s="22">
        <f>IF(OR(DQ76="",I76=""),0,IF(ISNA(MATCH(I76,nLIST_Mode,0)),1,IF(AND(I76="C1",DQ76&lt;&gt;"C1"),1,IF(AND(I76="C2",DQ76="C4"),1,0))))</f>
        <v>0</v>
      </c>
      <c r="DS76" s="21" t="str">
        <f t="shared" si="99"/>
        <v>C2</v>
      </c>
      <c r="DT76" s="22">
        <f t="shared" si="100"/>
        <v>0</v>
      </c>
      <c r="DU76" s="21" t="str">
        <f>IF(DT76=0,"",IF(COUNTIFS(nTP_Case_Key,AX76,nTP_Record_Type,"MILESTONE:INTERVENTION",nTP_Err,"E_INVALID_DATE")&gt;0,"; E_INVALID_DATE","")&amp;IF(COUNTIFS(nTP_Case_Key,AX76,nTP_Record_Type,"MILESTONE:INTERVENTION",nTP_Err,"E_REVERSED_BOUNDS")&gt;0,"; E_REVERSED_BOUNDS","")&amp;IF(COUNTIFS(nTP_Case_Key,AX76,nTP_Record_Type,"MILESTONE:INTERVENTION",nTP_Err,"E_MISSING_INPUT")&gt;0,"; E_MISSING_INPUT","")&amp;IF(COUNTIFS(nTP_Case_Key,AX76,nTP_Record_Type,"MILESTONE:INTERVENTION",nTP_Err,"E_INVALID_UNIT")&gt;0,"; E_INVALID_UNIT",""))</f>
        <v/>
      </c>
      <c r="DV76" s="22">
        <f>IF(DT76=0,0,SUMPRODUCT((nMS_CaseKey=AX76)*(nMS_Type="INTERVENTION")*nMS_Undated))</f>
        <v>0</v>
      </c>
      <c r="DW76" s="21" t="str">
        <f t="shared" si="101"/>
        <v/>
      </c>
      <c r="DX76" s="21" t="str">
        <f t="shared" si="102"/>
        <v/>
      </c>
      <c r="DY76" s="22">
        <f t="shared" si="103"/>
        <v>1</v>
      </c>
      <c r="DZ76" s="21" t="str">
        <f t="shared" si="104"/>
        <v/>
      </c>
      <c r="EA76" s="21">
        <f t="shared" si="105"/>
        <v>184</v>
      </c>
      <c r="EB76" s="21" t="str">
        <f t="shared" si="106"/>
        <v/>
      </c>
      <c r="EC76" s="21" t="str">
        <f t="shared" si="107"/>
        <v/>
      </c>
      <c r="ED76" s="22">
        <f t="shared" si="108"/>
        <v>0</v>
      </c>
      <c r="EE76" s="22">
        <f t="shared" si="109"/>
        <v>0</v>
      </c>
      <c r="EF76" s="21" t="str">
        <f>IF(ED76=0,"",IF(OR(NOT(ISNUMBER(L76)),NOT(ISNUMBER(M76))),"I_APPROXIMATE_NOT_COMPARED",IF(AND(N76&lt;&gt;"",ISNA(MATCH(N76,nLIST_ReportedUnit,0))),"E_INVALID_UNIT",IF(N76="","E_MISSING_INPUT",IF(L76&gt;M76,"E_REVERSED_BOUNDS",IF(OR(N76="weeks",N76="months",N76="years"),"I_APPROXIMATE_NOT_COMPARED",IF(DX76&lt;&gt;"","",IF(EE76=0,"I_APPROXIMATE_NOT_COMPARED",IF(AND(L76*EE76&lt;=IF(DS76="C4",EC76,IF(DS76="C1",DZ76,EA76)),M76*EE76&gt;=IF(DS76="C4",EB76,IF(DS76="C1",DZ76,EA76))),"OVERLAP","W_REPORTED_TIMING_CONFLICT")))))))))</f>
        <v/>
      </c>
      <c r="EG76" s="21" t="str">
        <f t="shared" si="110"/>
        <v/>
      </c>
      <c r="EH76" s="21" t="str">
        <f t="shared" si="111"/>
        <v/>
      </c>
      <c r="EI76" s="22">
        <f t="shared" si="112"/>
        <v>1</v>
      </c>
      <c r="EJ76" s="22">
        <f t="shared" si="113"/>
        <v>0</v>
      </c>
      <c r="EK76" s="22">
        <f t="shared" si="114"/>
        <v>0</v>
      </c>
      <c r="EL76" s="28" t="str">
        <f t="shared" si="115"/>
        <v/>
      </c>
      <c r="EM76" s="28" t="str">
        <f t="shared" si="116"/>
        <v/>
      </c>
      <c r="EN76" s="21" t="str">
        <f t="shared" si="117"/>
        <v/>
      </c>
      <c r="EO76" s="22">
        <f>IF(OR(DT76=0,DX76&lt;&gt;""),0,SUMPRODUCT((nTP_Case_Key=AX76)*(nTP_Record_Type="MILESTONE:INTERVENTION")*(nTP_Err="")*(nTP_HT*DD76*BN76*(nTP_OK*DE76*(nTP_UTC_n&gt;=N(DG76))+(1-nTP_OK*DE76)*(nTP_Loc_n&gt;=N(DF76)))*(nTP_OK*BO76*(nTP_UTC_n&lt;=N(BQ76))+(1-nTP_OK*BO76)*(nTP_Loc_n&lt;=N(BP76)))+(1-nTP_HT*DD76*BN76)*(nTP_Hi_n&gt;=N(DH76))*(nTP_Lo_n&lt;=N(BS76)))))</f>
        <v>0</v>
      </c>
      <c r="EP76" s="22">
        <f>IF(OR(DT76=0,DX76&lt;&gt;""),0,SUMPRODUCT((nTP_Case_Key=AX76)*(nTP_Role="treatment of the event")*((nTP_Record_Type="EXPOSURE_START")+(nTP_Record_Type="ADMINISTRATION"))*(nTP_Err="")*(nTP_HT*DD76*BN76*(nTP_OK*DE76*(nTP_UTC_n&gt;=N(DG76))+(1-nTP_OK*DE76)*(nTP_Loc_n&gt;=N(DF76)))*(nTP_OK*BO76*(nTP_UTC_n&lt;=N(BQ76))+(1-nTP_OK*BO76)*(nTP_Loc_n&lt;=N(BP76)))+(1-nTP_HT*DD76*BN76)*(nTP_Hi_n&gt;=N(DH76))*(nTP_Lo_n&lt;=N(BS76)))))</f>
        <v>0</v>
      </c>
      <c r="EQ76" s="22">
        <f>IF(EO76&lt;1,0,IFERROR(_xlfn.AGGREGATE(15,6,nTP_RowN/((nTP_Case_Key=AX76)*(nTP_Record_Type="MILESTONE:INTERVENTION")*(nTP_Err="")*(nTP_HT*DD76*BN76*(nTP_OK*DE76*(nTP_UTC_n&gt;=N(DG76))+(1-nTP_OK*DE76)*(nTP_Loc_n&gt;=N(DF76)))*(nTP_OK*BO76*(nTP_UTC_n&lt;=N(BQ76))+(1-nTP_OK*BO76)*(nTP_Loc_n&lt;=N(BP76)))+(1-nTP_HT*DD76*BN76)*(nTP_Hi_n&gt;=N(DH76))*(nTP_Lo_n&lt;=N(BS76)))),1),0))</f>
        <v>0</v>
      </c>
      <c r="ER76" s="22">
        <f>IF(EO76&lt;2,0,IFERROR(_xlfn.AGGREGATE(15,6,nTP_RowN/((nTP_Case_Key=AX76)*(nTP_Record_Type="MILESTONE:INTERVENTION")*(nTP_Err="")*(nTP_HT*DD76*BN76*(nTP_OK*DE76*(nTP_UTC_n&gt;=N(DG76))+(1-nTP_OK*DE76)*(nTP_Loc_n&gt;=N(DF76)))*(nTP_OK*BO76*(nTP_UTC_n&lt;=N(BQ76))+(1-nTP_OK*BO76)*(nTP_Loc_n&lt;=N(BP76)))+(1-nTP_HT*DD76*BN76)*(nTP_Hi_n&gt;=N(DH76))*(nTP_Lo_n&lt;=N(BS76)))),2),0))</f>
        <v>0</v>
      </c>
      <c r="ES76" s="22">
        <f>IF(EO76&lt;3,0,IFERROR(_xlfn.AGGREGATE(15,6,nTP_RowN/((nTP_Case_Key=AX76)*(nTP_Record_Type="MILESTONE:INTERVENTION")*(nTP_Err="")*(nTP_HT*DD76*BN76*(nTP_OK*DE76*(nTP_UTC_n&gt;=N(DG76))+(1-nTP_OK*DE76)*(nTP_Loc_n&gt;=N(DF76)))*(nTP_OK*BO76*(nTP_UTC_n&lt;=N(BQ76))+(1-nTP_OK*BO76)*(nTP_Loc_n&lt;=N(BP76)))+(1-nTP_HT*DD76*BN76)*(nTP_Hi_n&gt;=N(DH76))*(nTP_Lo_n&lt;=N(BS76)))),3),0))</f>
        <v>0</v>
      </c>
      <c r="ET76" s="22">
        <f>IF(EP76&lt;1,0,IFERROR(_xlfn.AGGREGATE(15,6,nTP_RowN/((nTP_Case_Key=AX76)*(nTP_Role="treatment of the event")*((nTP_Record_Type="EXPOSURE_START")+(nTP_Record_Type="ADMINISTRATION"))*(nTP_Err="")*(nTP_HT*DD76*BN76*(nTP_OK*DE76*(nTP_UTC_n&gt;=N(DG76))+(1-nTP_OK*DE76)*(nTP_Loc_n&gt;=N(DF76)))*(nTP_OK*BO76*(nTP_UTC_n&lt;=N(BQ76))+(1-nTP_OK*BO76)*(nTP_Loc_n&lt;=N(BP76)))+(1-nTP_HT*DD76*BN76)*(nTP_Hi_n&gt;=N(DH76))*(nTP_Lo_n&lt;=N(BS76)))),1),0))</f>
        <v>0</v>
      </c>
      <c r="EU76" s="22">
        <f>IF(EP76&lt;2,0,IFERROR(_xlfn.AGGREGATE(15,6,nTP_RowN/((nTP_Case_Key=AX76)*(nTP_Role="treatment of the event")*((nTP_Record_Type="EXPOSURE_START")+(nTP_Record_Type="ADMINISTRATION"))*(nTP_Err="")*(nTP_HT*DD76*BN76*(nTP_OK*DE76*(nTP_UTC_n&gt;=N(DG76))+(1-nTP_OK*DE76)*(nTP_Loc_n&gt;=N(DF76)))*(nTP_OK*BO76*(nTP_UTC_n&lt;=N(BQ76))+(1-nTP_OK*BO76)*(nTP_Loc_n&lt;=N(BP76)))+(1-nTP_HT*DD76*BN76)*(nTP_Hi_n&gt;=N(DH76))*(nTP_Lo_n&lt;=N(BS76)))),2),0))</f>
        <v>0</v>
      </c>
      <c r="EV76" s="22">
        <f>IF(EP76&lt;3,0,IFERROR(_xlfn.AGGREGATE(15,6,nTP_RowN/((nTP_Case_Key=AX76)*(nTP_Role="treatment of the event")*((nTP_Record_Type="EXPOSURE_START")+(nTP_Record_Type="ADMINISTRATION"))*(nTP_Err="")*(nTP_HT*DD76*BN76*(nTP_OK*DE76*(nTP_UTC_n&gt;=N(DG76))+(1-nTP_OK*DE76)*(nTP_Loc_n&gt;=N(DF76)))*(nTP_OK*BO76*(nTP_UTC_n&lt;=N(BQ76))+(1-nTP_OK*BO76)*(nTP_Loc_n&lt;=N(BP76)))+(1-nTP_HT*DD76*BN76)*(nTP_Hi_n&gt;=N(DH76))*(nTP_Lo_n&lt;=N(BS76)))),3),0))</f>
        <v>0</v>
      </c>
      <c r="EW76" s="22">
        <f>IF(CE76&lt;1,0,IFERROR(_xlfn.AGGREGATE(15,6,nTP_RowN/((nTP_CandKey=BX76)*(nTP_Err="")*(1-nTP_Exact)*((nTP_HT*BN76*((nTP_OK*BO76*(nTP_UTC_n-N(BQ76))+(1-nTP_OK*BO76)*(nTP_Loc_n-N(BP76)))&lt;=0)+(1-nTP_HT*BN76)*(nTP_Hi_n&lt;N(BR76)))+((1-nTP_HT*BN76)*(nTP_Lo_n=nTP_Hi_n)*(nTP_Lo_n=N(BR76))*(N(BR76)=N(BS76))))),1),0))</f>
        <v>0</v>
      </c>
      <c r="EX76" s="22">
        <f>IF(CE76&lt;2,0,IFERROR(_xlfn.AGGREGATE(15,6,nTP_RowN/((nTP_CandKey=BX76)*(nTP_Err="")*(1-nTP_Exact)*((nTP_HT*BN76*((nTP_OK*BO76*(nTP_UTC_n-N(BQ76))+(1-nTP_OK*BO76)*(nTP_Loc_n-N(BP76)))&lt;=0)+(1-nTP_HT*BN76)*(nTP_Hi_n&lt;N(BR76)))+((1-nTP_HT*BN76)*(nTP_Lo_n=nTP_Hi_n)*(nTP_Lo_n=N(BR76))*(N(BR76)=N(BS76))))),2),0))</f>
        <v>0</v>
      </c>
      <c r="EY76" s="22">
        <f>IF(CE76&lt;3,0,IFERROR(_xlfn.AGGREGATE(15,6,nTP_RowN/((nTP_CandKey=BX76)*(nTP_Err="")*(1-nTP_Exact)*((nTP_HT*BN76*((nTP_OK*BO76*(nTP_UTC_n-N(BQ76))+(1-nTP_OK*BO76)*(nTP_Loc_n-N(BP76)))&lt;=0)+(1-nTP_HT*BN76)*(nTP_Hi_n&lt;N(BR76)))+((1-nTP_HT*BN76)*(nTP_Lo_n=nTP_Hi_n)*(nTP_Lo_n=N(BR76))*(N(BR76)=N(BS76))))),3),0))</f>
        <v>0</v>
      </c>
      <c r="EZ76" s="21" t="str">
        <f>IF(EO76=0,"",MID(IF(EQ76&gt;0,"; "&amp;INDEX(nTP_Record_ID,EQ76)&amp;IF(INDEX(nTP_Label,EQ76)="",""," ("&amp;INDEX(nTP_Label,EQ76)&amp;")"),"")&amp;IF(ER76&gt;0,"; "&amp;INDEX(nTP_Record_ID,ER76)&amp;IF(INDEX(nTP_Label,ER76)="",""," ("&amp;INDEX(nTP_Label,ER76)&amp;")"),"")&amp;IF(ES76&gt;0,"; "&amp;INDEX(nTP_Record_ID,ES76)&amp;IF(INDEX(nTP_Label,ES76)="",""," ("&amp;INDEX(nTP_Label,ES76)&amp;")"),"")&amp;IF(EO76&gt;3,"; and "&amp;(EO76-3)&amp;" more",""),3,999))</f>
        <v/>
      </c>
      <c r="FA76" s="21" t="str">
        <f>IF(EO76=0,"",MID(IF(EQ76&gt;0,"; "&amp;INDEX(nTP_Record_ID,EQ76),"")&amp;IF(ER76&gt;0,"; "&amp;INDEX(nTP_Record_ID,ER76),"")&amp;IF(ES76&gt;0,"; "&amp;INDEX(nTP_Record_ID,ES76),"")&amp;IF(EO76&gt;3,"; and "&amp;(EO76-3)&amp;" more",""),3,999))</f>
        <v/>
      </c>
      <c r="FB76" s="21" t="str">
        <f>IF(EP76=0,"",MID(IF(ET76&gt;0,"; "&amp;INDEX(nTP_Record_ID,ET76)&amp;IF(INDEX(nTP_Label,ET76)="",""," ("&amp;INDEX(nTP_Label,ET76)&amp;")"),"")&amp;IF(EU76&gt;0,"; "&amp;INDEX(nTP_Record_ID,EU76)&amp;IF(INDEX(nTP_Label,EU76)="",""," ("&amp;INDEX(nTP_Label,EU76)&amp;")"),"")&amp;IF(EV76&gt;0,"; "&amp;INDEX(nTP_Record_ID,EV76)&amp;IF(INDEX(nTP_Label,EV76)="",""," ("&amp;INDEX(nTP_Label,EV76)&amp;")"),"")&amp;IF(EP76&gt;3,"; and "&amp;(EP76-3)&amp;" more",""),3,999))</f>
        <v/>
      </c>
      <c r="FC76" s="21" t="str">
        <f>IF(CE76=0,"",MID(IF(EW76&gt;0,"; "&amp;INDEX(nTP_Record_ID,EW76),"")&amp;IF(EX76&gt;0,"; "&amp;INDEX(nTP_Record_ID,EX76),"")&amp;IF(EY76&gt;0,"; "&amp;INDEX(nTP_Record_ID,EY76),"")&amp;IF(CE76&gt;3,"; and "&amp;(CE76-3)&amp;" more",""),3,999))</f>
        <v/>
      </c>
      <c r="FD76" s="22">
        <f t="shared" si="118"/>
        <v>0</v>
      </c>
      <c r="FE76" s="22">
        <f t="shared" si="119"/>
        <v>0</v>
      </c>
      <c r="FF76" s="22">
        <f t="shared" si="120"/>
        <v>0</v>
      </c>
      <c r="FG76" s="22">
        <f t="shared" si="121"/>
        <v>0</v>
      </c>
      <c r="FH76" s="22">
        <f t="shared" si="122"/>
        <v>0</v>
      </c>
      <c r="FI76" s="22">
        <f t="shared" si="123"/>
        <v>0</v>
      </c>
      <c r="FJ76" s="22">
        <f t="shared" si="124"/>
        <v>0</v>
      </c>
      <c r="FK76" s="22">
        <f t="shared" si="125"/>
        <v>0</v>
      </c>
    </row>
    <row r="77" spans="1:167" x14ac:dyDescent="0.2">
      <c r="A77" s="24" t="s">
        <v>295</v>
      </c>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c r="DK77" s="23"/>
      <c r="DL77" s="23"/>
      <c r="DM77" s="23"/>
      <c r="DN77" s="23"/>
      <c r="DO77" s="23"/>
      <c r="DP77" s="23"/>
      <c r="DQ77" s="23"/>
      <c r="DR77" s="23"/>
      <c r="DS77" s="23"/>
      <c r="DT77" s="23"/>
      <c r="DU77" s="23"/>
      <c r="DV77" s="23"/>
      <c r="DW77" s="23"/>
      <c r="DX77" s="23"/>
      <c r="DY77" s="23"/>
      <c r="DZ77" s="23"/>
      <c r="EA77" s="23"/>
      <c r="EB77" s="23"/>
      <c r="EC77" s="23"/>
      <c r="ED77" s="23"/>
      <c r="EE77" s="23"/>
      <c r="EF77" s="23"/>
      <c r="EG77" s="23"/>
      <c r="EH77" s="23"/>
      <c r="EI77" s="23"/>
      <c r="EJ77" s="23"/>
      <c r="EK77" s="23"/>
      <c r="EL77" s="23"/>
      <c r="EM77" s="23"/>
      <c r="EN77" s="23"/>
      <c r="EO77" s="23"/>
      <c r="EP77" s="23"/>
      <c r="EQ77" s="23"/>
      <c r="ER77" s="23"/>
      <c r="ES77" s="23"/>
      <c r="ET77" s="23"/>
      <c r="EU77" s="23"/>
      <c r="EV77" s="23"/>
      <c r="EW77" s="23"/>
      <c r="EX77" s="23"/>
      <c r="EY77" s="23"/>
      <c r="EZ77" s="23"/>
      <c r="FA77" s="23"/>
      <c r="FB77" s="23"/>
      <c r="FC77" s="23"/>
      <c r="FD77" s="23"/>
      <c r="FE77" s="23"/>
      <c r="FF77" s="23"/>
      <c r="FG77" s="23"/>
      <c r="FH77" s="23"/>
      <c r="FI77" s="23"/>
      <c r="FJ77" s="23"/>
      <c r="FK77" s="23"/>
    </row>
    <row r="78" spans="1:167" x14ac:dyDescent="0.2">
      <c r="A78" s="9" t="s">
        <v>1180</v>
      </c>
      <c r="B78" s="9" t="s">
        <v>308</v>
      </c>
      <c r="C78" s="11">
        <v>1</v>
      </c>
      <c r="D78" s="9" t="s">
        <v>894</v>
      </c>
      <c r="E78" s="16" t="s">
        <v>51</v>
      </c>
      <c r="F78" s="9"/>
      <c r="G78" s="9" t="s">
        <v>1179</v>
      </c>
      <c r="H78" s="9" t="s">
        <v>1181</v>
      </c>
      <c r="I78" s="16" t="s">
        <v>59</v>
      </c>
      <c r="J78" s="16"/>
      <c r="K78" s="9"/>
      <c r="L78" s="16"/>
      <c r="M78" s="16"/>
      <c r="N78" s="16"/>
      <c r="O78" s="9"/>
      <c r="P78" s="14"/>
      <c r="Q78" s="14"/>
      <c r="R78" s="9"/>
      <c r="S78" s="9"/>
      <c r="T78" s="21" t="str">
        <f t="shared" ref="T78:T103" si="126">IF(AW78=1,"",IF(EI78=0,EG78&amp;": no result is shown",U78&amp;IF(DS78="C1",IF(ABS(DZ78)&gt;=60," ("&amp;FIXED(DZ78/60,1,FALSE)&amp;" hours)",""),"")&amp;IF(AND(DS78="C2",EA78=0,DZ78&lt;&gt;"")," (order within the day from C1: "&amp;AA78&amp;")","")&amp;IF(AB78&lt;&gt;"","; treatment Day "&amp;AB78,"")&amp;IF(AE78&lt;&gt;"","; with constraint "&amp;SUBSTITUTE(AE78&amp;"","-","−")&amp;" to "&amp;SUBSTITUTE(AF78&amp;"","-","−")&amp;" calendar days",IF(EN78&lt;&gt;"","; constraint: "&amp;EN78,""))))</f>
        <v>15 minutes</v>
      </c>
      <c r="U78" s="21" t="str">
        <f t="shared" ref="U78:U103" si="127">IF(AW78=1,"",IF(EI78=0,"Not calculable",IF(DS78="C1",SUBSTITUTE(FIXED(DZ78,0,FALSE),"-","−")&amp;" "&amp;IF(ABS(DZ78)=1,SUBSTITUTE(Y78,"minutes","minute"),Y78),IF(DS78="C2",SUBSTITUTE(EA78&amp;"","-","−")&amp;" calendar "&amp;IF(ABS(EA78)=1,"day","days"),IF(AND(EB78&lt;0,EC78&gt;0,EB78&gt;0),"+","")&amp;SUBSTITUTE(EB78&amp;"","-","−")&amp;" to "&amp;IF(AND(EB78&lt;0,EC78&gt;0,EC78&gt;0),"+","")&amp;SUBSTITUTE(EC78&amp;"","-","−")&amp;" calendar days"))))</f>
        <v>15 minutes</v>
      </c>
      <c r="V78" s="21">
        <f t="shared" ref="V78:V103" si="128">IF(EI78=0,"",IF(DS78="C1",DZ78,IF(DS78="C2",EA78,"")))</f>
        <v>15</v>
      </c>
      <c r="W78" s="21" t="str">
        <f t="shared" ref="W78:W103" si="129">IF(AND(EI78=1,DS78="C4"),EB78,"")</f>
        <v/>
      </c>
      <c r="X78" s="21" t="str">
        <f t="shared" ref="X78:X103" si="130">IF(AND(EI78=1,DS78="C4"),EC78,"")</f>
        <v/>
      </c>
      <c r="Y78" s="21" t="str">
        <f t="shared" ref="Y78:Y103" si="131">IF(EI78=0,"",IF(DS78="C1",IF(DY78=1,"minutes (local clock)","minutes"),"calendar days"))</f>
        <v>minutes</v>
      </c>
      <c r="Z78" s="21" t="str">
        <f t="shared" ref="Z78:Z103" si="132">IF(AW78=1,"",IF(EI78=0,IF(DT78=1,"C7","C1–C6"),IF(DT78=1,"C7 ("&amp;DS78&amp;")",DS78&amp;IF(EJ78=1,"; C3","")&amp;IF(ED78=1,"; C6",""))))</f>
        <v>C1</v>
      </c>
      <c r="AA78" s="21" t="str">
        <f t="shared" ref="AA78:AA103" si="133">IF(EI78=0,"",IF(DS78="C1",IF(DZ78&gt;0,"AFTER",IF(DZ78&lt;0,"BEFORE","SIMULTANEOUS")),IF(DS78="C2",IF(EA78&gt;0,"AFTER",IF(EA78&lt;0,"BEFORE",IF(DZ78&lt;&gt;"",IF(DZ78&gt;0,"AFTER",IF(DZ78&lt;0,"BEFORE","SIMULTANEOUS")),"SAME_DATE_ORDER_UNKNOWN"))),IF(EB78&gt;0,"AFTER",IF(EC78&lt;0,"BEFORE",IF(AND(EB78=0,EC78=0),"SAME_DATE_ORDER_UNKNOWN","SEQUENCE_UNCERTAIN"))))))</f>
        <v>AFTER</v>
      </c>
      <c r="AB78" s="21" t="str">
        <f t="shared" ref="AB78:AB103" si="134">IF(AND(EJ78=1,EA78&gt;=0),EA78+1,"")</f>
        <v/>
      </c>
      <c r="AC78" s="21" t="str">
        <f t="shared" ref="AC78:AC103" si="135">IF(AW78=1,"",IF(EG78&lt;&gt;"",EG78,MID(IF(FD78=1,"; W_TZ_UNKNOWN","")&amp;IF(FE78=1,"; W_SAME_DATE_ORDER_UNKNOWN","")&amp;IF(FF78=1,"; W_SEQUENCE_UNCERTAIN","")&amp;IF(FG78=1,"; W_ADMIN_SAME_DATE_AS_ONSET","")&amp;IF(FH78=1,"; W_REPORTED_TIMING_CONFLICT","")&amp;IF(FI78=1,"; W_INTERVENTION_BEFORE_RECOVERY","")&amp;IF(FJ78=1,"; I_TREATMENT_DAY_UNDEFINED","")&amp;IF(FK78=1,"; I_APPROXIMATE_NOT_COMPARED",""),3,999)))</f>
        <v/>
      </c>
      <c r="AD78" s="21" t="str">
        <f>IF(AW78=1,"",MID(IF(ISNUMBER(SEARCH("E_INVALID_DATE",EG78))," | E_INVALID_DATE: "&amp;SUBSTITUTE(IFERROR(INDEX(nMSG_Text,MATCH("E_INVALID_DATE",nMSG_Code,0)),""),"[input]",""),"")&amp;IF(ISNUMBER(SEARCH("E_REVERSED_BOUNDS",EG78))," | E_REVERSED_BOUNDS: "&amp;SUBSTITUTE(IFERROR(INDEX(nMSG_Text,MATCH("E_REVERSED_BOUNDS",nMSG_Code,0)),""),"[input]",""),"")&amp;IF(ISNUMBER(SEARCH("E_DUPLICATE_ID",EG78))," | E_DUPLICATE_ID: "&amp;SUBSTITUTE(IFERROR(INDEX(nMSG_Text,MATCH("E_DUPLICATE_ID",nMSG_Code,0)),""),"[input]",""),"")&amp;IF(ISNUMBER(SEARCH("E_MISSING_LINK",EG78))," | E_MISSING_LINK: "&amp;SUBSTITUTE(IFERROR(INDEX(nMSG_Text,MATCH("E_MISSING_LINK",nMSG_Code,0)),""),"[input]",""),"")&amp;IF(ISNUMBER(SEARCH("E_MISSING_INPUT",EG78))," | E_MISSING_INPUT: "&amp;SUBSTITUTE(IFERROR(INDEX(nMSG_Text,MATCH("E_MISSING_INPUT",nMSG_Code,0)),""),"[input]",IF(EH78="","an input",EH78)),"")&amp;IF(ISNUMBER(SEARCH("E_INVALID_UNIT",EG78))," | E_INVALID_UNIT: "&amp;SUBSTITUTE(IFERROR(INDEX(nMSG_Text,MATCH("E_INVALID_UNIT",nMSG_Code,0)),""),"[input]",""),"")&amp;IF(FD78=1," | W_TZ_UNKNOWN: "&amp;SUBSTITUTE(IFERROR(INDEX(nMSG_Text,MATCH("W_TZ_UNKNOWN",nMSG_Code,0)),""),"[input]",""),"")&amp;IF(FE78=1," | W_SAME_DATE_ORDER_UNKNOWN: "&amp;SUBSTITUTE(IFERROR(INDEX(nMSG_Text,MATCH("W_SAME_DATE_ORDER_UNKNOWN",nMSG_Code,0)),""),"[input]",""),"")&amp;IF(FF78=1," | W_SEQUENCE_UNCERTAIN: "&amp;SUBSTITUTE(IFERROR(INDEX(nMSG_Text,MATCH("W_SEQUENCE_UNCERTAIN",nMSG_Code,0)),""),"[input]",""),"")&amp;IF(FG78=1," | W_ADMIN_SAME_DATE_AS_ONSET: "&amp;SUBSTITUTE(IFERROR(INDEX(nMSG_Text,MATCH("W_ADMIN_SAME_DATE_AS_ONSET",nMSG_Code,0)),""),"[input]",""),"")&amp;IF(FH78=1," | W_REPORTED_TIMING_CONFLICT: "&amp;SUBSTITUTE(IFERROR(INDEX(nMSG_Text,MATCH("W_REPORTED_TIMING_CONFLICT",nMSG_Code,0)),""),"[input]",""),"")&amp;IF(FI78=1," | W_INTERVENTION_BEFORE_RECOVERY: "&amp;SUBSTITUTE(IFERROR(INDEX(nMSG_Text,MATCH("W_INTERVENTION_BEFORE_RECOVERY",nMSG_Code,0)),""),"[input]",""),"")&amp;IF(FJ78=1," | I_TREATMENT_DAY_UNDEFINED: "&amp;SUBSTITUTE(IFERROR(INDEX(nMSG_Text,MATCH("I_TREATMENT_DAY_UNDEFINED",nMSG_Code,0)),""),"[input]",""),"")&amp;IF(FK78=1," | I_APPROXIMATE_NOT_COMPARED: "&amp;SUBSTITUTE(IFERROR(INDEX(nMSG_Text,MATCH("I_APPROXIMATE_NOT_COMPARED",nMSG_Code,0)),""),"[input]",""),""),4,9999))</f>
        <v/>
      </c>
      <c r="AE78" s="21" t="str">
        <f t="shared" ref="AE78:AE103" si="136">IF(OR(EL78="",EN78&lt;&gt;""),"",BR78-EM78)</f>
        <v/>
      </c>
      <c r="AF78" s="21" t="str">
        <f t="shared" ref="AF78:AF103" si="137">IF(OR(EL78="",EN78&lt;&gt;""),"",BS78-EL78)</f>
        <v/>
      </c>
      <c r="AG78" s="21" t="str">
        <f>IF(EN78="","",MID(IF(ISNUMBER(SEARCH("E_REVERSED_BOUNDS",EN78))," | E_REVERSED_BOUNDS: "&amp;SUBSTITUTE(IFERROR(INDEX(nMSG_Text,MATCH("E_REVERSED_BOUNDS",nMSG_Code,0)),""),"[input]",""),"")&amp;IF(ISNUMBER(SEARCH("E_MISSING_INPUT",EN78))," | E_MISSING_INPUT: "&amp;SUBSTITUTE(IFERROR(INDEX(nMSG_Text,MATCH("E_MISSING_INPUT",nMSG_Code,0)),""),"[input]",IF("the source of the constraint"="","an input","the source of the constraint")),""),4,999))</f>
        <v/>
      </c>
      <c r="AH78" s="21" t="str">
        <f t="shared" ref="AH78:AH103" si="138">IF(ED78=0,"",IF(EF78="OVERLAP","Overlaps the computed interval. ",IF(EF78="W_REPORTED_TIMING_CONFLICT","Conflicts with the computed interval; both kept. ",IF(EF78="I_APPROXIMATE_NOT_COMPARED","Not compared. ",IF(EF78="","Not compared (no computed interval). ",EF78&amp;": not compared. "))))&amp;"Reported: "&amp;CHAR(34)&amp;K78&amp;CHAR(34)&amp;IF(AND(ISNUMBER(L78),ISNUMBER(M78))," ["&amp;L78&amp;" to "&amp;M78&amp;" "&amp;N78&amp;"]",""))</f>
        <v/>
      </c>
      <c r="AI78" s="21" t="str">
        <f t="shared" ref="AI78:AI103" si="139">IF(AW78=1,"",IF(EI78=0,"Interval "&amp;A78,AJ78&amp;" → "&amp;AK78&amp;IF(DT78=1," (recovery)","")))</f>
        <v>EX1/START → EV1/ONSET</v>
      </c>
      <c r="AJ78" s="21" t="str">
        <f t="shared" ref="AJ78:AJ103" si="140">IF(BG78=1,CW78,IF(AND(E78="FIRST_ADMIN",G78=""),IF(AP78="","",AP78&amp;"/START"),G78&amp;""))</f>
        <v>EX1/START</v>
      </c>
      <c r="AK78" s="21" t="str">
        <f t="shared" ref="AK78:AK103" si="141">IF(H78&lt;&gt;"",H78&amp;"",IF(AQ78&lt;&gt;"",AQ78&amp;"/ONSET",""))</f>
        <v>EV1/ONSET</v>
      </c>
      <c r="AL78" s="21" t="str">
        <f>IF(CY78=0,"",INDEX(nTP_ISO,CY78))</f>
        <v>2026-01-10T09:00-05:00</v>
      </c>
      <c r="AM78" s="21" t="str">
        <f>IF(CY78=0,"",INDEX(nTP_Display,CY78))</f>
        <v>10 January 2026 09:00 (UTC-05:00)</v>
      </c>
      <c r="AN78" s="21" t="str">
        <f>IF(BI78=0,"",INDEX(nTP_ISO,BI78))</f>
        <v>2026-01-10T09:15-05:00</v>
      </c>
      <c r="AO78" s="21" t="str">
        <f>IF(BI78=0,"",INDEX(nTP_Display,BI78))</f>
        <v>10 January 2026 09:15 (UTC-05:00)</v>
      </c>
      <c r="AP78" s="21" t="str">
        <f>IF(BA78=0,"",INDEX(nLNK_Exposure_Episode_ID,BA78)&amp;"")</f>
        <v>EX1</v>
      </c>
      <c r="AQ78" s="21" t="str">
        <f>IF(BA78=0,"",INDEX(nLNK_Event_Episode_ID,BA78)&amp;"")</f>
        <v>EV1</v>
      </c>
      <c r="AR78" s="21" t="str">
        <f t="shared" ref="AR78:AR103" si="142">IF(EI78=0,"","Anchor ("&amp;E78&amp;") "&amp;AJ78&amp;": "&amp;AL78&amp;" ["&amp;IF(DB78="TIMESTAMP",IF(DE78=1,"timestamp with UTC offset","timestamp, offset unknown"),IF(DB78="DATE","day",IF(DB78="MONTH","month",IF(DB78="YEAR","year",IF(DB78="LAB","laboratory-defined range","range")))))&amp;"; case measurement; original: "&amp;CHAR(34)&amp;DJ78&amp;CHAR(34)&amp;IF(DK78&lt;&gt;"","; source: "&amp;DK78,"")&amp;"] | End point "&amp;AK78&amp;": "&amp;AN78&amp;" ["&amp;IF(BL78="TIMESTAMP",IF(BO78=1,"timestamp with UTC offset","timestamp, offset unknown"),IF(BL78="DATE","day",IF(BL78="MONTH","month",IF(BL78="YEAR","year",IF(BL78="LAB","laboratory-defined range","range")))))&amp;"; case measurement; original: "&amp;CHAR(34)&amp;BT78&amp;CHAR(34)&amp;IF(BU78&lt;&gt;"","; source: "&amp;BU78,"")&amp;"]")</f>
        <v>Anchor (FIRST_ADMIN) EX1/START: 2026-01-10T09:00-05:00 [timestamp with UTC offset; case measurement; original: "2026-01-10T09:00-05:00"; source: tto_calc_test_vectors_v1.1.json V01] | End point EV1/ONSET: 2026-01-10T09:15-05:00 [timestamp with UTC offset; case measurement; original: "2026-01-10T09:15-05:00"; source: tto_calc_test_vectors_v1.1.json V01]</v>
      </c>
      <c r="AS78" s="21" t="str">
        <f>IF(EI78=0,"",MID(IF(DT78=1," | Recovery interval (C7) computed with "&amp;DS78&amp;".","")&amp;IF(BG78=1," | Anchor selected under C5 (CALC-SPEC 1.1): latest administration with an exact date or time at or before "&amp;IF(BH78=1,"onset","the end point")&amp;" ("&amp;AJ78&amp;"), ordered in UTC when offsets are known; later administrations are never selected.","")&amp;IF(AND(BG78=1,CE78&gt;0)," | Partial-date administrations wholly before the selected one were not candidates: "&amp;FC78&amp;".","")&amp;IF(BV78&lt;&gt;""," | "&amp;BV78,"")&amp;IF(AND(DS78="C2",EA78=0,DZ78&lt;&gt;"")," | Same calendar date; both times are known, so C1 decides the order ("&amp;AA78&amp;").","")&amp;IF(AND(DS78="C2",DD78*BN78=1,DT78=0)," | Calendar-date difference from the recorded local dates; it is never described as elapsed days.","")&amp;IF(AND(DS78="C4",DT78=0)," | Bounds are treated as independent; no single date is imputed from them.","")&amp;IF(EJ78=1," | Treatment day under the inclusive convention (C3); never written to E2B fields automatically.","")&amp;IF(AND(DS78="C4",DT78=0,EK78=0)," | No constraint applied.","")&amp;IF(AND(DS78="C4",EK78=1)," | Constraint applied to the anchor bounds: "&amp;IF(ISNUMBER(P78),"not before "&amp;DAY(P78)&amp;" "&amp;INDEX(nLIST_Months,MONTH(P78))&amp;" "&amp;YEAR(P78),"")&amp;IF(AND(ISNUMBER(P78),ISNUMBER(Q78)),", ","")&amp;IF(ISNUMBER(Q78),"not after "&amp;DAY(Q78)&amp;" "&amp;INDEX(nLIST_Months,MONTH(Q78))&amp;" "&amp;YEAR(Q78),"")&amp;". Source: "&amp;IF(R78="","not recorded",R78)&amp;IF(EN78="",". Constrained result shown beside the unconstrained one.",". Constrained result blocked ("&amp;EN78&amp;")."),"")&amp;IF(DT78=1,IF(EO78&gt;0," | Intervention recorded between cessation and recovery (ends included): "&amp;EZ78&amp;"."," | No intervention is recorded between cessation and recovery; absence of a record is not evidence that none was given."),"")&amp;IF(AND(DT78=1,DV78&gt;0)," | Intervention recorded without a date, so whether it came before recovery is unknown: "&amp;INDEX(nMS_Milestone_ID,MATCH(1,INDEX((nMS_CaseKey=AX78)*(nMS_Type="INTERVENTION")*nMS_Undated,0),0))&amp;IF(DV78&gt;1," and "&amp;(DV78-1)&amp;" more","")&amp;".","")&amp;IF(AND(DT78=1,EP78&gt;0)," | Not counted as interventions, because they are recorded as exposures rather than as intervention milestones (nothing is inferred): "&amp;FB78&amp;". If treatment was given, record it as an intervention milestone.",""),4,9999))</f>
        <v/>
      </c>
      <c r="AT78" s="21" t="str">
        <f t="shared" ref="AT78:AT103" si="143">IF(EI78=0,"","The interval describes the sequence and spacing of recorded times; it is not evidence of causation."&amp;IF(DS78="C4"," The true interval lies between the bounds; no single date is imputed.","")&amp;IF(DT78=1," A recovery interval is not, by itself, evidence of positive dechallenge.",""))</f>
        <v>The interval describes the sequence and spacing of recorded times; it is not evidence of causation.</v>
      </c>
      <c r="AU78" s="21" t="str">
        <f t="shared" ref="AU78:AU103" si="144">IF(OR(EI78=0,DT78=0,EO78=0),"",FA78)</f>
        <v/>
      </c>
      <c r="AV78" s="21" t="str">
        <f t="shared" ref="AV78:AV103" si="145">IF(AW78=1,"","CALC-SPEC 1.1")</f>
        <v>CALC-SPEC 1.1</v>
      </c>
      <c r="AW78" s="22">
        <f t="shared" ref="AW78:AW103" si="146">IF(AND(A78="",D78="",E78="",H78=""),1,0)</f>
        <v>0</v>
      </c>
      <c r="AX78" s="21" t="str">
        <f t="shared" ref="AX78:AX103" si="147">B78&amp;"|"&amp;C78</f>
        <v>VEC-V01|1</v>
      </c>
      <c r="AY78" s="21" t="str">
        <f t="shared" ref="AY78:AY103" si="148">IF(A78="","",AX78&amp;"|"&amp;A78)</f>
        <v>VEC-V01|1|I1</v>
      </c>
      <c r="AZ78" s="22">
        <f>IF(AY78="",0,COUNTIF(nINT_Key,AY78))</f>
        <v>1</v>
      </c>
      <c r="BA78" s="22">
        <f>IF(D78="",0,IFERROR(MATCH(AX78&amp;"|"&amp;D78,nLNK_Key,0),0))</f>
        <v>32</v>
      </c>
      <c r="BB78" s="22">
        <f>IF(BA78=0,1,INDEX(nLNK_Exp_Found,BA78))</f>
        <v>1</v>
      </c>
      <c r="BC78" s="22">
        <f>IF(BA78=0,1,INDEX(nLNK_Evt_Found,BA78))</f>
        <v>1</v>
      </c>
      <c r="BD78" s="22">
        <f>IF(AP78="",0,COUNTIF(nEXP_Key,AX78&amp;"|"&amp;AP78))</f>
        <v>1</v>
      </c>
      <c r="BE78" s="22">
        <f>IF(AQ78="",0,COUNTIF(nEVT_Key,AX78&amp;"|"&amp;AQ78))</f>
        <v>1</v>
      </c>
      <c r="BF78" s="22">
        <f>IF(ISNA(MATCH(E78,nLIST_AnchorType,0)),0,1)</f>
        <v>1</v>
      </c>
      <c r="BG78" s="22">
        <f t="shared" ref="BG78:BG103" si="149">IF(AND(BF78=1,E78="LAST_DOSE_BEFORE_ONSET",G78=""),1,0)</f>
        <v>0</v>
      </c>
      <c r="BH78" s="22">
        <f t="shared" ref="BH78:BH103" si="150">IF(RIGHT(AK78,6)="/ONSET",1,0)</f>
        <v>1</v>
      </c>
      <c r="BI78" s="22">
        <f>IF(OR(AW78=1,AK78=""),0,IFERROR(MATCH(AX78&amp;"|"&amp;AK78,nTP_Key,0),0))</f>
        <v>316</v>
      </c>
      <c r="BJ78" s="21">
        <f>IF(BI78=0,0,INDEX(nTP_Dup,BI78))</f>
        <v>1</v>
      </c>
      <c r="BK78" s="21" t="str">
        <f>IF(BI78=0,"",INDEX(nTP_Record_Type,BI78))</f>
        <v>EVENT_ONSET</v>
      </c>
      <c r="BL78" s="21" t="str">
        <f>IF(BI78=0,"",INDEX(nTP_Precision,BI78))</f>
        <v>TIMESTAMP</v>
      </c>
      <c r="BM78" s="21" t="str">
        <f>IF(BI78=0,"",INDEX(nTP_Err,BI78))</f>
        <v/>
      </c>
      <c r="BN78" s="21">
        <f>IF(BI78=0,0,INDEX(nTP_HT,BI78))</f>
        <v>1</v>
      </c>
      <c r="BO78" s="21">
        <f>IF(BI78=0,0,INDEX(nTP_OK,BI78))</f>
        <v>1</v>
      </c>
      <c r="BP78" s="21">
        <f>IF(BI78=0,"",INDEX(nTP_Loc,BI78))</f>
        <v>66286635</v>
      </c>
      <c r="BQ78" s="21">
        <f>IF(BI78=0,"",INDEX(nTP_UTC,BI78))</f>
        <v>66286935</v>
      </c>
      <c r="BR78" s="21">
        <f>IF(BI78=0,"",INDEX(nTP_Lo,BI78))</f>
        <v>46032</v>
      </c>
      <c r="BS78" s="21">
        <f>IF(BI78=0,"",INDEX(nTP_Hi,BI78))</f>
        <v>46032</v>
      </c>
      <c r="BT78" s="21" t="str">
        <f>IF(BI78=0,"",INDEX(nTP_Original_Text,BI78))</f>
        <v>2026-01-10T09:15-05:00</v>
      </c>
      <c r="BU78" s="21" t="str">
        <f>IF(BI78=0,"",INDEX(nTP_Source,BI78))</f>
        <v>tto_calc_test_vectors_v1.1.json V01</v>
      </c>
      <c r="BV78" s="21" t="str">
        <f>IF(BI78=0,"",INDEX(nTP_Lab_Note,BI78))</f>
        <v/>
      </c>
      <c r="BW78" s="22">
        <f t="shared" ref="BW78:BW103" si="151">IF(AND(BI78&gt;0,BM78=""),1,0)</f>
        <v>1</v>
      </c>
      <c r="BX78" s="21" t="str">
        <f t="shared" ref="BX78:BX103" si="152">AX78&amp;"|"&amp;AP78</f>
        <v>VEC-V01|1|EX1</v>
      </c>
      <c r="BY78" s="22">
        <f>IF(BG78=0,0,COUNTIF(nTP_CandKey,BX78))</f>
        <v>0</v>
      </c>
      <c r="BZ78" s="22">
        <f>IF(BG78=0,0,COUNTIFS(nTP_CandKey,BX78,nTP_Err,""))</f>
        <v>0</v>
      </c>
      <c r="CA78" s="21" t="str">
        <f>IF(BY78=BZ78,"",IF(COUNTIFS(nTP_CandKey,BX78,nTP_Err,"E_INVALID_DATE")&gt;0,"; E_INVALID_DATE","")&amp;IF(COUNTIFS(nTP_CandKey,BX78,nTP_Err,"E_REVERSED_BOUNDS")&gt;0,"; E_REVERSED_BOUNDS","")&amp;IF(COUNTIFS(nTP_CandKey,BX78,nTP_Err,"E_MISSING_INPUT")&gt;0,"; E_MISSING_INPUT","")&amp;IF(COUNTIFS(nTP_CandKey,BX78,nTP_Err,"E_INVALID_UNIT")&gt;0,"; E_INVALID_UNIT",""))</f>
        <v/>
      </c>
      <c r="CB78" s="22">
        <f t="shared" ref="CB78:CB103" si="153">IF(AND(BG78=1,BZ78&gt;0,BW78=1),1,0)</f>
        <v>0</v>
      </c>
      <c r="CC78" s="22">
        <f>IF(CB78=0,0,SUMPRODUCT((nTP_CandKey=BX78)*(nTP_Err="")*(1-(nTP_HT*BN78*((nTP_OK*BO78*(nTP_UTC_n-N(BQ78))+(1-nTP_OK*BO78)*(nTP_Loc_n-N(BP78)))&lt;=0)+(1-nTP_HT*BN78)*(nTP_Hi_n&lt;N(BR78)))-(nTP_HT*BN78*((nTP_OK*BO78*(nTP_UTC_n-N(BQ78))+(1-nTP_OK*BO78)*(nTP_Loc_n-N(BP78)))&gt;0)+(1-nTP_HT*BN78)*(nTP_Lo_n&gt;N(BS78)))-((1-nTP_HT*BN78)*(nTP_Lo_n=nTP_Hi_n)*(nTP_Lo_n=N(BR78))*(N(BR78)=N(BS78))))))</f>
        <v>0</v>
      </c>
      <c r="CD78" s="22">
        <f>IF(CB78=0,0,SUMPRODUCT((nTP_CandKey=BX78)*nTP_Exact*((nTP_HT*BN78*((nTP_OK*BO78*(nTP_UTC_n-N(BQ78))+(1-nTP_OK*BO78)*(nTP_Loc_n-N(BP78)))&lt;=0)+(1-nTP_HT*BN78)*(nTP_Hi_n&lt;N(BR78)))+((1-nTP_HT*BN78)*(nTP_Lo_n=nTP_Hi_n)*(nTP_Lo_n=N(BR78))*(N(BR78)=N(BS78))))))</f>
        <v>0</v>
      </c>
      <c r="CE78" s="22">
        <f>IF(CB78=0,0,SUMPRODUCT((nTP_CandKey=BX78)*(nTP_Err="")*(1-nTP_Exact)*((nTP_HT*BN78*((nTP_OK*BO78*(nTP_UTC_n-N(BQ78))+(1-nTP_OK*BO78)*(nTP_Loc_n-N(BP78)))&lt;=0)+(1-nTP_HT*BN78)*(nTP_Hi_n&lt;N(BR78)))+((1-nTP_HT*BN78)*(nTP_Lo_n=nTP_Hi_n)*(nTP_Lo_n=N(BR78))*(N(BR78)=N(BS78))))))</f>
        <v>0</v>
      </c>
      <c r="CF78" s="22">
        <f>IF(CD78=0,0,SUMPRODUCT(MAX((nTP_CandKey=BX78)*nTP_Exact*((nTP_HT*BN78*((nTP_OK*BO78*(nTP_UTC_n-N(BQ78))+(1-nTP_OK*BO78)*(nTP_Loc_n-N(BP78)))&lt;=0)+(1-nTP_HT*BN78)*(nTP_Hi_n&lt;N(BR78)))+((1-nTP_HT*BN78)*(nTP_Lo_n=nTP_Hi_n)*(nTP_Lo_n=N(BR78))*(N(BR78)=N(BS78))))*nTP_Lo_n)))</f>
        <v>0</v>
      </c>
      <c r="CG78" s="22">
        <f>IF(CD78=0,0,SUMPRODUCT((nTP_CandKey=BX78)*nTP_Exact*((nTP_HT*BN78*((nTP_OK*BO78*(nTP_UTC_n-N(BQ78))+(1-nTP_OK*BO78)*(nTP_Loc_n-N(BP78)))&lt;=0)+(1-nTP_HT*BN78)*(nTP_Hi_n&lt;N(BR78)))+((1-nTP_HT*BN78)*(nTP_Lo_n=nTP_Hi_n)*(nTP_Lo_n=N(BR78))*(N(BR78)=N(BS78))))*(nTP_Lo_n=CF78)))</f>
        <v>0</v>
      </c>
      <c r="CH78" s="22">
        <f>IF(CD78=0,0,SUMPRODUCT((nTP_CandKey=BX78)*nTP_Exact*((nTP_HT*BN78*((nTP_OK*BO78*(nTP_UTC_n-N(BQ78))+(1-nTP_OK*BO78)*(nTP_Loc_n-N(BP78)))&lt;=0)+(1-nTP_HT*BN78)*(nTP_Hi_n&lt;N(BR78)))+((1-nTP_HT*BN78)*(nTP_Lo_n=nTP_Hi_n)*(nTP_Lo_n=N(BR78))*(N(BR78)=N(BS78))))*(1-nTP_HT)*(nTP_Lo_n=CF78)))</f>
        <v>0</v>
      </c>
      <c r="CI78" s="22">
        <f>IF(CD78=0,0,SUMPRODUCT(MAX((nTP_CandKey=BX78)*nTP_Exact*((nTP_HT*BN78*((nTP_OK*BO78*(nTP_UTC_n-N(BQ78))+(1-nTP_OK*BO78)*(nTP_Loc_n-N(BP78)))&lt;=0)+(1-nTP_HT*BN78)*(nTP_Hi_n&lt;N(BR78)))+((1-nTP_HT*BN78)*(nTP_Lo_n=nTP_Hi_n)*(nTP_Lo_n=N(BR78))*(N(BR78)=N(BS78))))*(1-nTP_HT)*nTP_Lo_n)))</f>
        <v>0</v>
      </c>
      <c r="CJ78" s="22">
        <f>IF(CD78=0,0,SUMPRODUCT(MAX((nTP_CandKey=BX78)*nTP_Exact*((nTP_HT*BN78*((nTP_OK*BO78*(nTP_UTC_n-N(BQ78))+(1-nTP_OK*BO78)*(nTP_Loc_n-N(BP78)))&lt;=0)+(1-nTP_HT*BN78)*(nTP_Hi_n&lt;N(BR78)))+((1-nTP_HT*BN78)*(nTP_Lo_n=nTP_Hi_n)*(nTP_Lo_n=N(BR78))*(N(BR78)=N(BS78))))*nTP_HT*nTP_OK*nTP_UTC_n)))</f>
        <v>0</v>
      </c>
      <c r="CK78" s="22">
        <f>IF(CJ78=0,0,SUMPRODUCT((nTP_CandKey=BX78)*nTP_Exact*((nTP_HT*BN78*((nTP_OK*BO78*(nTP_UTC_n-N(BQ78))+(1-nTP_OK*BO78)*(nTP_Loc_n-N(BP78)))&lt;=0)+(1-nTP_HT*BN78)*(nTP_Hi_n&lt;N(BR78)))+((1-nTP_HT*BN78)*(nTP_Lo_n=nTP_Hi_n)*(nTP_Lo_n=N(BR78))*(N(BR78)=N(BS78))))*nTP_HT*nTP_OK*(nTP_UTC_n=CJ78)))</f>
        <v>0</v>
      </c>
      <c r="CL78" s="22">
        <f>IF(CK78&lt;&gt;1,0,SUMPRODUCT((nTP_CandKey=BX78)*nTP_Exact*((nTP_HT*BN78*((nTP_OK*BO78*(nTP_UTC_n-N(BQ78))+(1-nTP_OK*BO78)*(nTP_Loc_n-N(BP78)))&lt;=0)+(1-nTP_HT*BN78)*(nTP_Hi_n&lt;N(BR78)))+((1-nTP_HT*BN78)*(nTP_Lo_n=nTP_Hi_n)*(nTP_Lo_n=N(BR78))*(N(BR78)=N(BS78))))*nTP_HT*nTP_OK*(nTP_UTC_n=CJ78)*nTP_Loc_n))</f>
        <v>0</v>
      </c>
      <c r="CM78" s="22">
        <f>IF(CK78&lt;&gt;1,0,SUMPRODUCT((nTP_CandKey=BX78)*nTP_Exact*((nTP_HT*BN78*((nTP_OK*BO78*(nTP_UTC_n-N(BQ78))+(1-nTP_OK*BO78)*(nTP_Loc_n-N(BP78)))&lt;=0)+(1-nTP_HT*BN78)*(nTP_Hi_n&lt;N(BR78)))+((1-nTP_HT*BN78)*(nTP_Lo_n=nTP_Hi_n)*(nTP_Lo_n=N(BR78))*(N(BR78)=N(BS78))))*nTP_HT*nTP_OK*(nTP_UTC_n=CJ78)*nTP_Lo_n))</f>
        <v>0</v>
      </c>
      <c r="CN78" s="22">
        <f>IF(CD78=0,0,SUMPRODUCT(MAX((nTP_CandKey=BX78)*nTP_Exact*((nTP_HT*BN78*((nTP_OK*BO78*(nTP_UTC_n-N(BQ78))+(1-nTP_OK*BO78)*(nTP_Loc_n-N(BP78)))&lt;=0)+(1-nTP_HT*BN78)*(nTP_Hi_n&lt;N(BR78)))+((1-nTP_HT*BN78)*(nTP_Lo_n=nTP_Hi_n)*(nTP_Lo_n=N(BR78))*(N(BR78)=N(BS78))))*nTP_HT*(1-nTP_OK)*nTP_Loc_n)))</f>
        <v>0</v>
      </c>
      <c r="CO78" s="22">
        <f>IF(CN78=0,0,SUMPRODUCT((nTP_CandKey=BX78)*nTP_Exact*((nTP_HT*BN78*((nTP_OK*BO78*(nTP_UTC_n-N(BQ78))+(1-nTP_OK*BO78)*(nTP_Loc_n-N(BP78)))&lt;=0)+(1-nTP_HT*BN78)*(nTP_Hi_n&lt;N(BR78)))+((1-nTP_HT*BN78)*(nTP_Lo_n=nTP_Hi_n)*(nTP_Lo_n=N(BR78))*(N(BR78)=N(BS78))))*nTP_HT*(1-nTP_OK)*(nTP_Loc_n=CN78)))</f>
        <v>0</v>
      </c>
      <c r="CP78" s="22">
        <f>IF(CO78&lt;&gt;1,0,SUMPRODUCT((nTP_CandKey=BX78)*nTP_Exact*((nTP_HT*BN78*((nTP_OK*BO78*(nTP_UTC_n-N(BQ78))+(1-nTP_OK*BO78)*(nTP_Loc_n-N(BP78)))&lt;=0)+(1-nTP_HT*BN78)*(nTP_Hi_n&lt;N(BR78)))+((1-nTP_HT*BN78)*(nTP_Lo_n=nTP_Hi_n)*(nTP_Lo_n=N(BR78))*(N(BR78)=N(BS78))))*nTP_HT*(1-nTP_OK)*(nTP_Loc_n=CN78)*nTP_Lo_n))</f>
        <v>0</v>
      </c>
      <c r="CQ78" s="22">
        <f>IF(CD78=0,0,SUMPRODUCT(MAX((nTP_CandKey=BX78)*nTP_Exact*((nTP_HT*BN78*((nTP_OK*BO78*(nTP_UTC_n-N(BQ78))+(1-nTP_OK*BO78)*(nTP_Loc_n-N(BP78)))&lt;=0)+(1-nTP_HT*BN78)*(nTP_Hi_n&lt;N(BR78)))+((1-nTP_HT*BN78)*(nTP_Lo_n=nTP_Hi_n)*(nTP_Lo_n=N(BR78))*(N(BR78)=N(BS78))))*nTP_HT*nTP_OK*nTP_Loc_n)))</f>
        <v>0</v>
      </c>
      <c r="CR78" s="22">
        <f t="shared" ref="CR78:CR103" si="154">IF(CD78=0,0,IF(CH78&gt;0,IF(CG78=1,1,0),IF(AND(CJ78&gt;0,CK78=1,CL78&gt;CN78,CM78&gt;CI78),2,IF(AND(CN78&gt;0,CO78=1,CN78&gt;CQ78,CP78&gt;CI78),3,0))))</f>
        <v>0</v>
      </c>
      <c r="CS78" s="22">
        <f>IF(CR78=0,0,IF(CR78=1,MATCH(1,INDEX((nTP_CandKey=BX78)*nTP_Exact*((nTP_HT*BN78*((nTP_OK*BO78*(nTP_UTC_n-N(BQ78))+(1-nTP_OK*BO78)*(nTP_Loc_n-N(BP78)))&lt;=0)+(1-nTP_HT*BN78)*(nTP_Hi_n&lt;N(BR78)))+((1-nTP_HT*BN78)*(nTP_Lo_n=nTP_Hi_n)*(nTP_Lo_n=N(BR78))*(N(BR78)=N(BS78))))*(1-nTP_HT)*(nTP_Lo_n=CF78),0),0),IF(CR78=2,MATCH(1,INDEX((nTP_CandKey=BX78)*nTP_Exact*((nTP_HT*BN78*((nTP_OK*BO78*(nTP_UTC_n-N(BQ78))+(1-nTP_OK*BO78)*(nTP_Loc_n-N(BP78)))&lt;=0)+(1-nTP_HT*BN78)*(nTP_Hi_n&lt;N(BR78)))+((1-nTP_HT*BN78)*(nTP_Lo_n=nTP_Hi_n)*(nTP_Lo_n=N(BR78))*(N(BR78)=N(BS78))))*nTP_HT*nTP_OK*(nTP_UTC_n=CJ78),0),0),MATCH(1,INDEX((nTP_CandKey=BX78)*nTP_Exact*((nTP_HT*BN78*((nTP_OK*BO78*(nTP_UTC_n-N(BQ78))+(1-nTP_OK*BO78)*(nTP_Loc_n-N(BP78)))&lt;=0)+(1-nTP_HT*BN78)*(nTP_Hi_n&lt;N(BR78)))+((1-nTP_HT*BN78)*(nTP_Lo_n=nTP_Hi_n)*(nTP_Lo_n=N(BR78))*(N(BR78)=N(BS78))))*nTP_HT*(1-nTP_OK)*(nTP_Loc_n=CN78),0),0))))</f>
        <v>0</v>
      </c>
      <c r="CT78" s="22">
        <f>IF(CS78=0,0,INDEX(nTP_Lo_n,CS78))</f>
        <v>0</v>
      </c>
      <c r="CU78" s="22">
        <f>IF(CS78=0,0,SUMPRODUCT((nTP_CandKey=BX78)*(nTP_Err="")*(1-nTP_Exact)*((nTP_HT*BN78*((nTP_OK*BO78*(nTP_UTC_n-N(BQ78))+(1-nTP_OK*BO78)*(nTP_Loc_n-N(BP78)))&lt;=0)+(1-nTP_HT*BN78)*(nTP_Hi_n&lt;N(BR78)))+((1-nTP_HT*BN78)*(nTP_Lo_n=nTP_Hi_n)*(nTP_Lo_n=N(BR78))*(N(BR78)=N(BS78))))*(nTP_Hi_n&gt;=CT78)))</f>
        <v>0</v>
      </c>
      <c r="CV78" s="21" t="str">
        <f t="shared" ref="CV78:CV103" si="155">IF(BG78=0,"",IF(BZ78=0,"none",IF(CB78=0,"",IF(CC78&gt;0,"uncertain",IF(CD78=0,"noneligible",IF(CR78=0,"tie",IF(CU78&gt;0,"partial","")))))))</f>
        <v/>
      </c>
      <c r="CW78" s="21" t="str">
        <f>IF(AND(BG78=1,CB78=1,CV78="",CS78&gt;0),INDEX(nTP_Record_ID,CS78)&amp;"","")</f>
        <v/>
      </c>
      <c r="CX78" s="21" t="str">
        <f>IF(OR(CV78="",BG78=0),"",IF(CV78="none","an administration record (last dose before onset)",IF(CV78="uncertain","the anchor record: "&amp;INDEX(nTP_Record_ID,MATCH(1,INDEX((nTP_CandKey=BX78)*(nTP_Err="")*(1-(nTP_HT*BN78*((nTP_OK*BO78*(nTP_UTC_n-N(BQ78))+(1-nTP_OK*BO78)*(nTP_Loc_n-N(BP78)))&lt;=0)+(1-nTP_HT*BN78)*(nTP_Hi_n&lt;N(BR78)))-(nTP_HT*BN78*((nTP_OK*BO78*(nTP_UTC_n-N(BQ78))+(1-nTP_OK*BO78)*(nTP_Loc_n-N(BP78)))&gt;0)+(1-nTP_HT*BN78)*(nTP_Lo_n&gt;N(BS78)))-((1-nTP_HT*BN78)*(nTP_Lo_n=nTP_Hi_n)*(nTP_Lo_n=N(BR78))*(N(BR78)=N(BS78)))),0),0))&amp;IF(CC78&gt;1," and "&amp;(CC78-1)&amp;" more","")&amp;" may fall before or after the end point, so the last dose cannot be identified from the recorded dates",IF(CV78="noneligible","the anchor record: no administration with an exact date is recorded at or before the end point",IF(CV78="tie","the anchor record: the order of the latest administrations cannot be told from the recorded dates and times","the anchor record: partial-date administration "&amp;INDEX(nTP_Record_ID,MATCH(1,INDEX((nTP_CandKey=BX78)*(nTP_Err="")*(1-nTP_Exact)*((nTP_HT*BN78*((nTP_OK*BO78*(nTP_UTC_n-N(BQ78))+(1-nTP_OK*BO78)*(nTP_Loc_n-N(BP78)))&lt;=0)+(1-nTP_HT*BN78)*(nTP_Hi_n&lt;N(BR78)))+((1-nTP_HT*BN78)*(nTP_Lo_n=nTP_Hi_n)*(nTP_Lo_n=N(BR78))*(N(BR78)=N(BS78))))*(nTP_Hi_n&gt;=CT78),0),0))&amp;" could be the last dose before the end point")))))</f>
        <v/>
      </c>
      <c r="CY78" s="22">
        <f>IF(OR(AW78=1,AJ78=""),0,IFERROR(MATCH(AX78&amp;"|"&amp;AJ78,nTP_Key,0),0))</f>
        <v>44</v>
      </c>
      <c r="CZ78" s="21">
        <f>IF(CY78=0,0,INDEX(nTP_Dup,CY78))</f>
        <v>1</v>
      </c>
      <c r="DA78" s="21" t="str">
        <f>IF(CY78=0,"",INDEX(nTP_Record_Type,CY78))</f>
        <v>EXPOSURE_START</v>
      </c>
      <c r="DB78" s="21" t="str">
        <f>IF(CY78=0,"",INDEX(nTP_Precision,CY78))</f>
        <v>TIMESTAMP</v>
      </c>
      <c r="DC78" s="21" t="str">
        <f>IF(CY78=0,"",INDEX(nTP_Err,CY78))</f>
        <v/>
      </c>
      <c r="DD78" s="21">
        <f>IF(CY78=0,0,INDEX(nTP_HT,CY78))</f>
        <v>1</v>
      </c>
      <c r="DE78" s="21">
        <f>IF(CY78=0,0,INDEX(nTP_OK,CY78))</f>
        <v>1</v>
      </c>
      <c r="DF78" s="21">
        <f>IF(CY78=0,"",INDEX(nTP_Loc,CY78))</f>
        <v>66286620</v>
      </c>
      <c r="DG78" s="21">
        <f>IF(CY78=0,"",INDEX(nTP_UTC,CY78))</f>
        <v>66286920</v>
      </c>
      <c r="DH78" s="21">
        <f>IF(CY78=0,"",INDEX(nTP_Lo,CY78))</f>
        <v>46032</v>
      </c>
      <c r="DI78" s="21">
        <f>IF(CY78=0,"",INDEX(nTP_Hi,CY78))</f>
        <v>46032</v>
      </c>
      <c r="DJ78" s="21" t="str">
        <f>IF(CY78=0,"",INDEX(nTP_Original_Text,CY78))</f>
        <v>2026-01-10T09:00-05:00</v>
      </c>
      <c r="DK78" s="21" t="str">
        <f>IF(CY78=0,"",INDEX(nTP_Source,CY78))</f>
        <v>tto_calc_test_vectors_v1.1.json V01</v>
      </c>
      <c r="DL78" s="22">
        <f t="shared" ref="DL78:DL103" si="156">IF(AND(CY78&gt;0,DC78=""),1,0)</f>
        <v>1</v>
      </c>
      <c r="DM78" s="21" t="str">
        <f t="shared" ref="DM78:DM103" si="157">IF(OR(AW78=1,BF78=0),"",IF(BG78=1,IF(BA78=0,"",CA78&amp;IF(CV78="","","; E_MISSING_INPUT")),IF(CY78=0,IF(AND(BA78=0,G78="",E78="FIRST_ADMIN"),"","; E_MISSING_INPUT"),IF(CZ78&gt;1,"; E_DUPLICATE_ID","")&amp;IF(DC78&lt;&gt;"","; "&amp;DC78,""))))</f>
        <v/>
      </c>
      <c r="DN78" s="21" t="str">
        <f t="shared" ref="DN78:DN103" si="158">IF(OR(AW78=1,BF78=0),"",IF(BG78=1,IF(BA78=0,"",CX78),IF(CY78=0,IF(AJ78="",IF(E78="FIRST_ADMIN",IF(BA78=0,"","the first administration (the Start of the linked exposure episode)"),"the anchor record"),"an existing, dated anchor record ("&amp;AJ78&amp;")"),IF(ISNUMBER(SEARCH("E_MISSING_INPUT",DC78)),"the date fields required by the precision of anchor record "&amp;AJ78,""))))</f>
        <v/>
      </c>
      <c r="DO78" s="21" t="str">
        <f t="shared" ref="DO78:DO103" si="159">IF(AW78=1,"",IF(BI78=0,IF(AND(BA78=0,H78=""),"","; E_MISSING_INPUT"),IF(BJ78&gt;1,"; E_DUPLICATE_ID","")&amp;IF(BM78&lt;&gt;"","; "&amp;BM78,"")))</f>
        <v/>
      </c>
      <c r="DP78" s="21" t="str">
        <f t="shared" ref="DP78:DP103" si="160">IF(AW78=1,"",IF(BI78=0,IF(AND(BA78=0,H78=""),"",IF(AK78="","an end-point record (End_Record_ID, or a link to an event episode)","an existing, dated end-point record ("&amp;AK78&amp;")")),IF(ISNUMBER(SEARCH("E_MISSING_INPUT",BM78)),IF(BL78="LAB","the dated last normal and first abnormal tests of the laboratory-defined onset ("&amp;AK78&amp;"); no other date is used in their place","the date fields required by the precision of end-point record "&amp;AK78),"")))</f>
        <v/>
      </c>
      <c r="DQ78" s="21" t="str">
        <f t="shared" ref="DQ78:DQ103" si="161">IF(OR(DL78=0,BW78=0),"",IF(DD78*BN78=1,"C1",IF(AND(OR(DB78="TIMESTAMP",DB78="DATE"),OR(BL78="TIMESTAMP",BL78="DATE")),"C2","C4")))</f>
        <v>C1</v>
      </c>
      <c r="DR78" s="22">
        <f>IF(OR(DQ78="",I78=""),0,IF(ISNA(MATCH(I78,nLIST_Mode,0)),1,IF(AND(I78="C1",DQ78&lt;&gt;"C1"),1,IF(AND(I78="C2",DQ78="C4"),1,0))))</f>
        <v>0</v>
      </c>
      <c r="DS78" s="21" t="str">
        <f t="shared" ref="DS78:DS103" si="162">IF(OR(DQ78="",DR78=1),"",IF(I78="",DQ78,I78&amp;""))</f>
        <v>C1</v>
      </c>
      <c r="DT78" s="22">
        <f t="shared" ref="DT78:DT103" si="163">IF(AND(E78="CESSATION",BK78="MILESTONE:RECOVERY"),1,0)</f>
        <v>0</v>
      </c>
      <c r="DU78" s="21" t="str">
        <f>IF(DT78=0,"",IF(COUNTIFS(nTP_Case_Key,AX78,nTP_Record_Type,"MILESTONE:INTERVENTION",nTP_Err,"E_INVALID_DATE")&gt;0,"; E_INVALID_DATE","")&amp;IF(COUNTIFS(nTP_Case_Key,AX78,nTP_Record_Type,"MILESTONE:INTERVENTION",nTP_Err,"E_REVERSED_BOUNDS")&gt;0,"; E_REVERSED_BOUNDS","")&amp;IF(COUNTIFS(nTP_Case_Key,AX78,nTP_Record_Type,"MILESTONE:INTERVENTION",nTP_Err,"E_MISSING_INPUT")&gt;0,"; E_MISSING_INPUT","")&amp;IF(COUNTIFS(nTP_Case_Key,AX78,nTP_Record_Type,"MILESTONE:INTERVENTION",nTP_Err,"E_INVALID_UNIT")&gt;0,"; E_INVALID_UNIT",""))</f>
        <v/>
      </c>
      <c r="DV78" s="22">
        <f>IF(DT78=0,0,SUMPRODUCT((nMS_CaseKey=AX78)*(nMS_Type="INTERVENTION")*nMS_Undated))</f>
        <v>0</v>
      </c>
      <c r="DW78" s="21" t="str">
        <f t="shared" ref="DW78:DW103" si="164">IF(AW78=1,"",IF(A78="","; E_MISSING_INPUT","")&amp;IF(AZ78&gt;1,"; E_DUPLICATE_ID","")&amp;IF(BA78=0,"; E_MISSING_LINK",IF(OR(BB78=0,BC78=0),"; E_MISSING_INPUT",""))&amp;IF(OR(BD78&gt;1,BE78&gt;1),"; E_DUPLICATE_ID","")&amp;IF(BF78=0,"; E_MISSING_INPUT",IF(AND(E78="OTHER",TRIM(F78&amp;"")=""),"; E_MISSING_INPUT",""))&amp;DO78&amp;DM78&amp;DU78&amp;IF(DR78=1,"; E_MISSING_INPUT",""))</f>
        <v/>
      </c>
      <c r="DX78" s="21" t="str">
        <f t="shared" ref="DX78:DX103" si="165">IF(AW78=1,"",MID(IF(ISNUMBER(SEARCH("E_INVALID_DATE",DW78)),"; E_INVALID_DATE","")&amp;IF(ISNUMBER(SEARCH("E_REVERSED_BOUNDS",DW78)),"; E_REVERSED_BOUNDS","")&amp;IF(ISNUMBER(SEARCH("E_DUPLICATE_ID",DW78)),"; E_DUPLICATE_ID","")&amp;IF(ISNUMBER(SEARCH("E_MISSING_LINK",DW78)),"; E_MISSING_LINK","")&amp;IF(ISNUMBER(SEARCH("E_MISSING_INPUT",DW78)),"; E_MISSING_INPUT","")&amp;IF(ISNUMBER(SEARCH("E_INVALID_UNIT",DW78)),"; E_INVALID_UNIT",""),3,999))</f>
        <v/>
      </c>
      <c r="DY78" s="22">
        <f t="shared" ref="DY78:DY103" si="166">IF(DE78*BO78=1,0,1)</f>
        <v>0</v>
      </c>
      <c r="DZ78" s="21">
        <f t="shared" ref="DZ78:DZ103" si="167">IF(AND(DX78="",DL78=1,BW78=1,DD78*BN78=1),IF(DY78=0,BQ78-DG78,BP78-DF78),"")</f>
        <v>15</v>
      </c>
      <c r="EA78" s="21" t="str">
        <f t="shared" ref="EA78:EA103" si="168">IF(AND(DX78="",DS78="C2"),BR78-DH78,"")</f>
        <v/>
      </c>
      <c r="EB78" s="21" t="str">
        <f t="shared" ref="EB78:EB103" si="169">IF(AND(DX78="",DS78="C4"),BR78-DI78,"")</f>
        <v/>
      </c>
      <c r="EC78" s="21" t="str">
        <f t="shared" ref="EC78:EC103" si="170">IF(AND(DX78="",DS78="C4"),BS78-DH78,"")</f>
        <v/>
      </c>
      <c r="ED78" s="22">
        <f t="shared" ref="ED78:ED103" si="171">IF(AND(DT78=0,OR(TRIM(K78&amp;"")&lt;&gt;"",L78&lt;&gt;"")),1,0)</f>
        <v>0</v>
      </c>
      <c r="EE78" s="22">
        <f t="shared" ref="EE78:EE103" si="172">IF(DS78="C1",IF(N78="minutes",1,IF(N78="hours",60,IF(N78="days",1440,0))),IF(OR(DS78="C2",DS78="C4"),IF(N78="calendar days",1,0),0))</f>
        <v>0</v>
      </c>
      <c r="EF78" s="21" t="str">
        <f>IF(ED78=0,"",IF(OR(NOT(ISNUMBER(L78)),NOT(ISNUMBER(M78))),"I_APPROXIMATE_NOT_COMPARED",IF(AND(N78&lt;&gt;"",ISNA(MATCH(N78,nLIST_ReportedUnit,0))),"E_INVALID_UNIT",IF(N78="","E_MISSING_INPUT",IF(L78&gt;M78,"E_REVERSED_BOUNDS",IF(OR(N78="weeks",N78="months",N78="years"),"I_APPROXIMATE_NOT_COMPARED",IF(DX78&lt;&gt;"","",IF(EE78=0,"I_APPROXIMATE_NOT_COMPARED",IF(AND(L78*EE78&lt;=IF(DS78="C4",EC78,IF(DS78="C1",DZ78,EA78)),M78*EE78&gt;=IF(DS78="C4",EB78,IF(DS78="C1",DZ78,EA78))),"OVERLAP","W_REPORTED_TIMING_CONFLICT")))))))))</f>
        <v/>
      </c>
      <c r="EG78" s="21" t="str">
        <f t="shared" ref="EG78:EG103" si="173">IF(AW78=1,"",IF(DX78&lt;&gt;"",DX78,IF(LEFT(EF78,2)="E_",EF78,"")))</f>
        <v/>
      </c>
      <c r="EH78" s="21" t="str">
        <f t="shared" ref="EH78:EH103" si="174">IF(ISERROR(SEARCH("E_MISSING_INPUT",EG78)),"",MID(IF(A78="",", an Interval_ID","")&amp;IF(AND(BA78&gt;0,BB78=0),", an existing drug exposure episode for link "&amp;D78,"")&amp;IF(AND(BA78&gt;0,BC78=0),", an existing event episode for link "&amp;D78,"")&amp;IF(BF78=0,", an anchor type",IF(AND(E78="OTHER",TRIM(F78&amp;"")=""),", a description of the OTHER anchor",""))&amp;IF(DP78&lt;&gt;"",", "&amp;DP78,"")&amp;IF(DN78&lt;&gt;"",", "&amp;DN78,"")&amp;IF(ISNUMBER(SEARCH("E_MISSING_INPUT",DU78)),", a complete date for every recorded intervention of the case version","")&amp;IF(DR78=1,IF(I78="C1",", a time of day and UTC offset (or unknown) on both records: C1 needs two timestamps; leave the rule blank or choose C2 or C4",IF(I78="C2",", an exact date on both records: C2 needs two exact dates; leave the rule blank or choose C4",", a listed rule (C1, C2 or C4), or blank for the finest")),"")&amp;IF(AND(DX78="",EF78="E_MISSING_INPUT"),", the unit of the reported timing",""),3,999))</f>
        <v/>
      </c>
      <c r="EI78" s="22">
        <f t="shared" ref="EI78:EI103" si="175">IF(AND(AW78=0,EG78=""),1,0)</f>
        <v>1</v>
      </c>
      <c r="EJ78" s="22">
        <f t="shared" ref="EJ78:EJ103" si="176">IF(AND(EI78=1,DS78="C2",J78="inclusive",DT78=0),1,0)</f>
        <v>0</v>
      </c>
      <c r="EK78" s="22">
        <f t="shared" ref="EK78:EK103" si="177">IF(AND(EI78=1,DS78="C4",OR(ISNUMBER(P78),ISNUMBER(Q78))),1,0)</f>
        <v>0</v>
      </c>
      <c r="EL78" s="28" t="str">
        <f t="shared" ref="EL78:EL103" si="178">IF(EK78=0,"",IF(ISNUMBER(P78),MAX(DH78,P78),DH78))</f>
        <v/>
      </c>
      <c r="EM78" s="28" t="str">
        <f t="shared" ref="EM78:EM103" si="179">IF(EK78=0,"",IF(ISNUMBER(Q78),MIN(DI78,Q78),DI78))</f>
        <v/>
      </c>
      <c r="EN78" s="21" t="str">
        <f t="shared" ref="EN78:EN103" si="180">IF(EL78="","",MID(IF(EL78&gt;EM78,"; E_REVERSED_BOUNDS","")&amp;IF(TRIM(R78&amp;"")="","; E_MISSING_INPUT",""),3,99))</f>
        <v/>
      </c>
      <c r="EO78" s="22">
        <f>IF(OR(DT78=0,DX78&lt;&gt;""),0,SUMPRODUCT((nTP_Case_Key=AX78)*(nTP_Record_Type="MILESTONE:INTERVENTION")*(nTP_Err="")*(nTP_HT*DD78*BN78*(nTP_OK*DE78*(nTP_UTC_n&gt;=N(DG78))+(1-nTP_OK*DE78)*(nTP_Loc_n&gt;=N(DF78)))*(nTP_OK*BO78*(nTP_UTC_n&lt;=N(BQ78))+(1-nTP_OK*BO78)*(nTP_Loc_n&lt;=N(BP78)))+(1-nTP_HT*DD78*BN78)*(nTP_Hi_n&gt;=N(DH78))*(nTP_Lo_n&lt;=N(BS78)))))</f>
        <v>0</v>
      </c>
      <c r="EP78" s="22">
        <f>IF(OR(DT78=0,DX78&lt;&gt;""),0,SUMPRODUCT((nTP_Case_Key=AX78)*(nTP_Role="treatment of the event")*((nTP_Record_Type="EXPOSURE_START")+(nTP_Record_Type="ADMINISTRATION"))*(nTP_Err="")*(nTP_HT*DD78*BN78*(nTP_OK*DE78*(nTP_UTC_n&gt;=N(DG78))+(1-nTP_OK*DE78)*(nTP_Loc_n&gt;=N(DF78)))*(nTP_OK*BO78*(nTP_UTC_n&lt;=N(BQ78))+(1-nTP_OK*BO78)*(nTP_Loc_n&lt;=N(BP78)))+(1-nTP_HT*DD78*BN78)*(nTP_Hi_n&gt;=N(DH78))*(nTP_Lo_n&lt;=N(BS78)))))</f>
        <v>0</v>
      </c>
      <c r="EQ78" s="22">
        <f>IF(EO78&lt;1,0,IFERROR(_xlfn.AGGREGATE(15,6,nTP_RowN/((nTP_Case_Key=AX78)*(nTP_Record_Type="MILESTONE:INTERVENTION")*(nTP_Err="")*(nTP_HT*DD78*BN78*(nTP_OK*DE78*(nTP_UTC_n&gt;=N(DG78))+(1-nTP_OK*DE78)*(nTP_Loc_n&gt;=N(DF78)))*(nTP_OK*BO78*(nTP_UTC_n&lt;=N(BQ78))+(1-nTP_OK*BO78)*(nTP_Loc_n&lt;=N(BP78)))+(1-nTP_HT*DD78*BN78)*(nTP_Hi_n&gt;=N(DH78))*(nTP_Lo_n&lt;=N(BS78)))),1),0))</f>
        <v>0</v>
      </c>
      <c r="ER78" s="22">
        <f>IF(EO78&lt;2,0,IFERROR(_xlfn.AGGREGATE(15,6,nTP_RowN/((nTP_Case_Key=AX78)*(nTP_Record_Type="MILESTONE:INTERVENTION")*(nTP_Err="")*(nTP_HT*DD78*BN78*(nTP_OK*DE78*(nTP_UTC_n&gt;=N(DG78))+(1-nTP_OK*DE78)*(nTP_Loc_n&gt;=N(DF78)))*(nTP_OK*BO78*(nTP_UTC_n&lt;=N(BQ78))+(1-nTP_OK*BO78)*(nTP_Loc_n&lt;=N(BP78)))+(1-nTP_HT*DD78*BN78)*(nTP_Hi_n&gt;=N(DH78))*(nTP_Lo_n&lt;=N(BS78)))),2),0))</f>
        <v>0</v>
      </c>
      <c r="ES78" s="22">
        <f>IF(EO78&lt;3,0,IFERROR(_xlfn.AGGREGATE(15,6,nTP_RowN/((nTP_Case_Key=AX78)*(nTP_Record_Type="MILESTONE:INTERVENTION")*(nTP_Err="")*(nTP_HT*DD78*BN78*(nTP_OK*DE78*(nTP_UTC_n&gt;=N(DG78))+(1-nTP_OK*DE78)*(nTP_Loc_n&gt;=N(DF78)))*(nTP_OK*BO78*(nTP_UTC_n&lt;=N(BQ78))+(1-nTP_OK*BO78)*(nTP_Loc_n&lt;=N(BP78)))+(1-nTP_HT*DD78*BN78)*(nTP_Hi_n&gt;=N(DH78))*(nTP_Lo_n&lt;=N(BS78)))),3),0))</f>
        <v>0</v>
      </c>
      <c r="ET78" s="22">
        <f>IF(EP78&lt;1,0,IFERROR(_xlfn.AGGREGATE(15,6,nTP_RowN/((nTP_Case_Key=AX78)*(nTP_Role="treatment of the event")*((nTP_Record_Type="EXPOSURE_START")+(nTP_Record_Type="ADMINISTRATION"))*(nTP_Err="")*(nTP_HT*DD78*BN78*(nTP_OK*DE78*(nTP_UTC_n&gt;=N(DG78))+(1-nTP_OK*DE78)*(nTP_Loc_n&gt;=N(DF78)))*(nTP_OK*BO78*(nTP_UTC_n&lt;=N(BQ78))+(1-nTP_OK*BO78)*(nTP_Loc_n&lt;=N(BP78)))+(1-nTP_HT*DD78*BN78)*(nTP_Hi_n&gt;=N(DH78))*(nTP_Lo_n&lt;=N(BS78)))),1),0))</f>
        <v>0</v>
      </c>
      <c r="EU78" s="22">
        <f>IF(EP78&lt;2,0,IFERROR(_xlfn.AGGREGATE(15,6,nTP_RowN/((nTP_Case_Key=AX78)*(nTP_Role="treatment of the event")*((nTP_Record_Type="EXPOSURE_START")+(nTP_Record_Type="ADMINISTRATION"))*(nTP_Err="")*(nTP_HT*DD78*BN78*(nTP_OK*DE78*(nTP_UTC_n&gt;=N(DG78))+(1-nTP_OK*DE78)*(nTP_Loc_n&gt;=N(DF78)))*(nTP_OK*BO78*(nTP_UTC_n&lt;=N(BQ78))+(1-nTP_OK*BO78)*(nTP_Loc_n&lt;=N(BP78)))+(1-nTP_HT*DD78*BN78)*(nTP_Hi_n&gt;=N(DH78))*(nTP_Lo_n&lt;=N(BS78)))),2),0))</f>
        <v>0</v>
      </c>
      <c r="EV78" s="22">
        <f>IF(EP78&lt;3,0,IFERROR(_xlfn.AGGREGATE(15,6,nTP_RowN/((nTP_Case_Key=AX78)*(nTP_Role="treatment of the event")*((nTP_Record_Type="EXPOSURE_START")+(nTP_Record_Type="ADMINISTRATION"))*(nTP_Err="")*(nTP_HT*DD78*BN78*(nTP_OK*DE78*(nTP_UTC_n&gt;=N(DG78))+(1-nTP_OK*DE78)*(nTP_Loc_n&gt;=N(DF78)))*(nTP_OK*BO78*(nTP_UTC_n&lt;=N(BQ78))+(1-nTP_OK*BO78)*(nTP_Loc_n&lt;=N(BP78)))+(1-nTP_HT*DD78*BN78)*(nTP_Hi_n&gt;=N(DH78))*(nTP_Lo_n&lt;=N(BS78)))),3),0))</f>
        <v>0</v>
      </c>
      <c r="EW78" s="22">
        <f>IF(CE78&lt;1,0,IFERROR(_xlfn.AGGREGATE(15,6,nTP_RowN/((nTP_CandKey=BX78)*(nTP_Err="")*(1-nTP_Exact)*((nTP_HT*BN78*((nTP_OK*BO78*(nTP_UTC_n-N(BQ78))+(1-nTP_OK*BO78)*(nTP_Loc_n-N(BP78)))&lt;=0)+(1-nTP_HT*BN78)*(nTP_Hi_n&lt;N(BR78)))+((1-nTP_HT*BN78)*(nTP_Lo_n=nTP_Hi_n)*(nTP_Lo_n=N(BR78))*(N(BR78)=N(BS78))))),1),0))</f>
        <v>0</v>
      </c>
      <c r="EX78" s="22">
        <f>IF(CE78&lt;2,0,IFERROR(_xlfn.AGGREGATE(15,6,nTP_RowN/((nTP_CandKey=BX78)*(nTP_Err="")*(1-nTP_Exact)*((nTP_HT*BN78*((nTP_OK*BO78*(nTP_UTC_n-N(BQ78))+(1-nTP_OK*BO78)*(nTP_Loc_n-N(BP78)))&lt;=0)+(1-nTP_HT*BN78)*(nTP_Hi_n&lt;N(BR78)))+((1-nTP_HT*BN78)*(nTP_Lo_n=nTP_Hi_n)*(nTP_Lo_n=N(BR78))*(N(BR78)=N(BS78))))),2),0))</f>
        <v>0</v>
      </c>
      <c r="EY78" s="22">
        <f>IF(CE78&lt;3,0,IFERROR(_xlfn.AGGREGATE(15,6,nTP_RowN/((nTP_CandKey=BX78)*(nTP_Err="")*(1-nTP_Exact)*((nTP_HT*BN78*((nTP_OK*BO78*(nTP_UTC_n-N(BQ78))+(1-nTP_OK*BO78)*(nTP_Loc_n-N(BP78)))&lt;=0)+(1-nTP_HT*BN78)*(nTP_Hi_n&lt;N(BR78)))+((1-nTP_HT*BN78)*(nTP_Lo_n=nTP_Hi_n)*(nTP_Lo_n=N(BR78))*(N(BR78)=N(BS78))))),3),0))</f>
        <v>0</v>
      </c>
      <c r="EZ78" s="21" t="str">
        <f>IF(EO78=0,"",MID(IF(EQ78&gt;0,"; "&amp;INDEX(nTP_Record_ID,EQ78)&amp;IF(INDEX(nTP_Label,EQ78)="",""," ("&amp;INDEX(nTP_Label,EQ78)&amp;")"),"")&amp;IF(ER78&gt;0,"; "&amp;INDEX(nTP_Record_ID,ER78)&amp;IF(INDEX(nTP_Label,ER78)="",""," ("&amp;INDEX(nTP_Label,ER78)&amp;")"),"")&amp;IF(ES78&gt;0,"; "&amp;INDEX(nTP_Record_ID,ES78)&amp;IF(INDEX(nTP_Label,ES78)="",""," ("&amp;INDEX(nTP_Label,ES78)&amp;")"),"")&amp;IF(EO78&gt;3,"; and "&amp;(EO78-3)&amp;" more",""),3,999))</f>
        <v/>
      </c>
      <c r="FA78" s="21" t="str">
        <f>IF(EO78=0,"",MID(IF(EQ78&gt;0,"; "&amp;INDEX(nTP_Record_ID,EQ78),"")&amp;IF(ER78&gt;0,"; "&amp;INDEX(nTP_Record_ID,ER78),"")&amp;IF(ES78&gt;0,"; "&amp;INDEX(nTP_Record_ID,ES78),"")&amp;IF(EO78&gt;3,"; and "&amp;(EO78-3)&amp;" more",""),3,999))</f>
        <v/>
      </c>
      <c r="FB78" s="21" t="str">
        <f>IF(EP78=0,"",MID(IF(ET78&gt;0,"; "&amp;INDEX(nTP_Record_ID,ET78)&amp;IF(INDEX(nTP_Label,ET78)="",""," ("&amp;INDEX(nTP_Label,ET78)&amp;")"),"")&amp;IF(EU78&gt;0,"; "&amp;INDEX(nTP_Record_ID,EU78)&amp;IF(INDEX(nTP_Label,EU78)="",""," ("&amp;INDEX(nTP_Label,EU78)&amp;")"),"")&amp;IF(EV78&gt;0,"; "&amp;INDEX(nTP_Record_ID,EV78)&amp;IF(INDEX(nTP_Label,EV78)="",""," ("&amp;INDEX(nTP_Label,EV78)&amp;")"),"")&amp;IF(EP78&gt;3,"; and "&amp;(EP78-3)&amp;" more",""),3,999))</f>
        <v/>
      </c>
      <c r="FC78" s="21" t="str">
        <f>IF(CE78=0,"",MID(IF(EW78&gt;0,"; "&amp;INDEX(nTP_Record_ID,EW78),"")&amp;IF(EX78&gt;0,"; "&amp;INDEX(nTP_Record_ID,EX78),"")&amp;IF(EY78&gt;0,"; "&amp;INDEX(nTP_Record_ID,EY78),"")&amp;IF(CE78&gt;3,"; and "&amp;(CE78-3)&amp;" more",""),3,999))</f>
        <v/>
      </c>
      <c r="FD78" s="22">
        <f t="shared" ref="FD78:FD103" si="181">IF(AND(EI78=1,DY78=1,DZ78&lt;&gt;"",OR(DS78="C1",AND(DS78="C2",EA78=0))),1,0)</f>
        <v>0</v>
      </c>
      <c r="FE78" s="22">
        <f t="shared" ref="FE78:FE103" si="182">IF(AND(EI78=1,OR(AND(DS78="C2",EA78=0,DZ78=""),AND(DS78="C4",EB78=0,EC78=0))),1,0)</f>
        <v>0</v>
      </c>
      <c r="FF78" s="22">
        <f t="shared" ref="FF78:FF103" si="183">IF(AA78="SEQUENCE_UNCERTAIN",1,0)</f>
        <v>0</v>
      </c>
      <c r="FG78" s="22">
        <f t="shared" ref="FG78:FG103" si="184">IF(AND(EI78=1,BG78=1,DD78*BN78=0,DH78=BR78,BR78=BS78),1,0)</f>
        <v>0</v>
      </c>
      <c r="FH78" s="22">
        <f t="shared" ref="FH78:FH103" si="185">IF(AND(EI78=1,EF78="W_REPORTED_TIMING_CONFLICT"),1,0)</f>
        <v>0</v>
      </c>
      <c r="FI78" s="22">
        <f t="shared" ref="FI78:FI103" si="186">IF(AND(EI78=1,DT78=1,EO78&gt;0),1,0)</f>
        <v>0</v>
      </c>
      <c r="FJ78" s="22">
        <f t="shared" ref="FJ78:FJ103" si="187">IF(AND(EJ78=1,EA78&lt;0),1,0)</f>
        <v>0</v>
      </c>
      <c r="FK78" s="22">
        <f t="shared" ref="FK78:FK103" si="188">IF(AND(EI78=1,EF78="I_APPROXIMATE_NOT_COMPARED"),1,0)</f>
        <v>0</v>
      </c>
    </row>
    <row r="79" spans="1:167" x14ac:dyDescent="0.2">
      <c r="A79" s="9" t="s">
        <v>1180</v>
      </c>
      <c r="B79" s="9" t="s">
        <v>311</v>
      </c>
      <c r="C79" s="11">
        <v>1</v>
      </c>
      <c r="D79" s="9" t="s">
        <v>894</v>
      </c>
      <c r="E79" s="16" t="s">
        <v>51</v>
      </c>
      <c r="F79" s="9"/>
      <c r="G79" s="9" t="s">
        <v>1179</v>
      </c>
      <c r="H79" s="9" t="s">
        <v>1181</v>
      </c>
      <c r="I79" s="16" t="s">
        <v>60</v>
      </c>
      <c r="J79" s="16" t="s">
        <v>63</v>
      </c>
      <c r="K79" s="9"/>
      <c r="L79" s="16"/>
      <c r="M79" s="16"/>
      <c r="N79" s="16"/>
      <c r="O79" s="9"/>
      <c r="P79" s="14"/>
      <c r="Q79" s="14"/>
      <c r="R79" s="9"/>
      <c r="S79" s="9"/>
      <c r="T79" s="21" t="str">
        <f t="shared" si="126"/>
        <v>5 calendar days; treatment Day 6</v>
      </c>
      <c r="U79" s="21" t="str">
        <f t="shared" si="127"/>
        <v>5 calendar days</v>
      </c>
      <c r="V79" s="21">
        <f t="shared" si="128"/>
        <v>5</v>
      </c>
      <c r="W79" s="21" t="str">
        <f t="shared" si="129"/>
        <v/>
      </c>
      <c r="X79" s="21" t="str">
        <f t="shared" si="130"/>
        <v/>
      </c>
      <c r="Y79" s="21" t="str">
        <f t="shared" si="131"/>
        <v>calendar days</v>
      </c>
      <c r="Z79" s="21" t="str">
        <f t="shared" si="132"/>
        <v>C2; C3</v>
      </c>
      <c r="AA79" s="21" t="str">
        <f t="shared" si="133"/>
        <v>AFTER</v>
      </c>
      <c r="AB79" s="21">
        <f t="shared" si="134"/>
        <v>6</v>
      </c>
      <c r="AC79" s="21" t="str">
        <f t="shared" si="135"/>
        <v/>
      </c>
      <c r="AD79" s="21" t="str">
        <f>IF(AW79=1,"",MID(IF(ISNUMBER(SEARCH("E_INVALID_DATE",EG79))," | E_INVALID_DATE: "&amp;SUBSTITUTE(IFERROR(INDEX(nMSG_Text,MATCH("E_INVALID_DATE",nMSG_Code,0)),""),"[input]",""),"")&amp;IF(ISNUMBER(SEARCH("E_REVERSED_BOUNDS",EG79))," | E_REVERSED_BOUNDS: "&amp;SUBSTITUTE(IFERROR(INDEX(nMSG_Text,MATCH("E_REVERSED_BOUNDS",nMSG_Code,0)),""),"[input]",""),"")&amp;IF(ISNUMBER(SEARCH("E_DUPLICATE_ID",EG79))," | E_DUPLICATE_ID: "&amp;SUBSTITUTE(IFERROR(INDEX(nMSG_Text,MATCH("E_DUPLICATE_ID",nMSG_Code,0)),""),"[input]",""),"")&amp;IF(ISNUMBER(SEARCH("E_MISSING_LINK",EG79))," | E_MISSING_LINK: "&amp;SUBSTITUTE(IFERROR(INDEX(nMSG_Text,MATCH("E_MISSING_LINK",nMSG_Code,0)),""),"[input]",""),"")&amp;IF(ISNUMBER(SEARCH("E_MISSING_INPUT",EG79))," | E_MISSING_INPUT: "&amp;SUBSTITUTE(IFERROR(INDEX(nMSG_Text,MATCH("E_MISSING_INPUT",nMSG_Code,0)),""),"[input]",IF(EH79="","an input",EH79)),"")&amp;IF(ISNUMBER(SEARCH("E_INVALID_UNIT",EG79))," | E_INVALID_UNIT: "&amp;SUBSTITUTE(IFERROR(INDEX(nMSG_Text,MATCH("E_INVALID_UNIT",nMSG_Code,0)),""),"[input]",""),"")&amp;IF(FD79=1," | W_TZ_UNKNOWN: "&amp;SUBSTITUTE(IFERROR(INDEX(nMSG_Text,MATCH("W_TZ_UNKNOWN",nMSG_Code,0)),""),"[input]",""),"")&amp;IF(FE79=1," | W_SAME_DATE_ORDER_UNKNOWN: "&amp;SUBSTITUTE(IFERROR(INDEX(nMSG_Text,MATCH("W_SAME_DATE_ORDER_UNKNOWN",nMSG_Code,0)),""),"[input]",""),"")&amp;IF(FF79=1," | W_SEQUENCE_UNCERTAIN: "&amp;SUBSTITUTE(IFERROR(INDEX(nMSG_Text,MATCH("W_SEQUENCE_UNCERTAIN",nMSG_Code,0)),""),"[input]",""),"")&amp;IF(FG79=1," | W_ADMIN_SAME_DATE_AS_ONSET: "&amp;SUBSTITUTE(IFERROR(INDEX(nMSG_Text,MATCH("W_ADMIN_SAME_DATE_AS_ONSET",nMSG_Code,0)),""),"[input]",""),"")&amp;IF(FH79=1," | W_REPORTED_TIMING_CONFLICT: "&amp;SUBSTITUTE(IFERROR(INDEX(nMSG_Text,MATCH("W_REPORTED_TIMING_CONFLICT",nMSG_Code,0)),""),"[input]",""),"")&amp;IF(FI79=1," | W_INTERVENTION_BEFORE_RECOVERY: "&amp;SUBSTITUTE(IFERROR(INDEX(nMSG_Text,MATCH("W_INTERVENTION_BEFORE_RECOVERY",nMSG_Code,0)),""),"[input]",""),"")&amp;IF(FJ79=1," | I_TREATMENT_DAY_UNDEFINED: "&amp;SUBSTITUTE(IFERROR(INDEX(nMSG_Text,MATCH("I_TREATMENT_DAY_UNDEFINED",nMSG_Code,0)),""),"[input]",""),"")&amp;IF(FK79=1," | I_APPROXIMATE_NOT_COMPARED: "&amp;SUBSTITUTE(IFERROR(INDEX(nMSG_Text,MATCH("I_APPROXIMATE_NOT_COMPARED",nMSG_Code,0)),""),"[input]",""),""),4,9999))</f>
        <v/>
      </c>
      <c r="AE79" s="21" t="str">
        <f t="shared" si="136"/>
        <v/>
      </c>
      <c r="AF79" s="21" t="str">
        <f t="shared" si="137"/>
        <v/>
      </c>
      <c r="AG79" s="21" t="str">
        <f>IF(EN79="","",MID(IF(ISNUMBER(SEARCH("E_REVERSED_BOUNDS",EN79))," | E_REVERSED_BOUNDS: "&amp;SUBSTITUTE(IFERROR(INDEX(nMSG_Text,MATCH("E_REVERSED_BOUNDS",nMSG_Code,0)),""),"[input]",""),"")&amp;IF(ISNUMBER(SEARCH("E_MISSING_INPUT",EN79))," | E_MISSING_INPUT: "&amp;SUBSTITUTE(IFERROR(INDEX(nMSG_Text,MATCH("E_MISSING_INPUT",nMSG_Code,0)),""),"[input]",IF("the source of the constraint"="","an input","the source of the constraint")),""),4,999))</f>
        <v/>
      </c>
      <c r="AH79" s="21" t="str">
        <f t="shared" si="138"/>
        <v/>
      </c>
      <c r="AI79" s="21" t="str">
        <f t="shared" si="139"/>
        <v>EX1/START → EV1/ONSET</v>
      </c>
      <c r="AJ79" s="21" t="str">
        <f t="shared" si="140"/>
        <v>EX1/START</v>
      </c>
      <c r="AK79" s="21" t="str">
        <f t="shared" si="141"/>
        <v>EV1/ONSET</v>
      </c>
      <c r="AL79" s="21" t="str">
        <f>IF(CY79=0,"",INDEX(nTP_ISO,CY79))</f>
        <v>2026-01-01</v>
      </c>
      <c r="AM79" s="21" t="str">
        <f>IF(CY79=0,"",INDEX(nTP_Display,CY79))</f>
        <v>1 January 2026</v>
      </c>
      <c r="AN79" s="21" t="str">
        <f>IF(BI79=0,"",INDEX(nTP_ISO,BI79))</f>
        <v>2026-01-06</v>
      </c>
      <c r="AO79" s="21" t="str">
        <f>IF(BI79=0,"",INDEX(nTP_Display,BI79))</f>
        <v>6 January 2026</v>
      </c>
      <c r="AP79" s="21" t="str">
        <f>IF(BA79=0,"",INDEX(nLNK_Exposure_Episode_ID,BA79)&amp;"")</f>
        <v>EX1</v>
      </c>
      <c r="AQ79" s="21" t="str">
        <f>IF(BA79=0,"",INDEX(nLNK_Event_Episode_ID,BA79)&amp;"")</f>
        <v>EV1</v>
      </c>
      <c r="AR79" s="21" t="str">
        <f t="shared" si="142"/>
        <v>Anchor (FIRST_ADMIN) EX1/START: 2026-01-01 [day; case measurement; original: "2026-01-01"; source: tto_calc_test_vectors_v1.1.json V02] | End point EV1/ONSET: 2026-01-06 [day; case measurement; original: "2026-01-06"; source: tto_calc_test_vectors_v1.1.json V02]</v>
      </c>
      <c r="AS79" s="21" t="str">
        <f>IF(EI79=0,"",MID(IF(DT79=1," | Recovery interval (C7) computed with "&amp;DS79&amp;".","")&amp;IF(BG79=1," | Anchor selected under C5 (CALC-SPEC 1.1): latest administration with an exact date or time at or before "&amp;IF(BH79=1,"onset","the end point")&amp;" ("&amp;AJ79&amp;"), ordered in UTC when offsets are known; later administrations are never selected.","")&amp;IF(AND(BG79=1,CE79&gt;0)," | Partial-date administrations wholly before the selected one were not candidates: "&amp;FC79&amp;".","")&amp;IF(BV79&lt;&gt;""," | "&amp;BV79,"")&amp;IF(AND(DS79="C2",EA79=0,DZ79&lt;&gt;"")," | Same calendar date; both times are known, so C1 decides the order ("&amp;AA79&amp;").","")&amp;IF(AND(DS79="C2",DD79*BN79=1,DT79=0)," | Calendar-date difference from the recorded local dates; it is never described as elapsed days.","")&amp;IF(AND(DS79="C4",DT79=0)," | Bounds are treated as independent; no single date is imputed from them.","")&amp;IF(EJ79=1," | Treatment day under the inclusive convention (C3); never written to E2B fields automatically.","")&amp;IF(AND(DS79="C4",DT79=0,EK79=0)," | No constraint applied.","")&amp;IF(AND(DS79="C4",EK79=1)," | Constraint applied to the anchor bounds: "&amp;IF(ISNUMBER(P79),"not before "&amp;DAY(P79)&amp;" "&amp;INDEX(nLIST_Months,MONTH(P79))&amp;" "&amp;YEAR(P79),"")&amp;IF(AND(ISNUMBER(P79),ISNUMBER(Q79)),", ","")&amp;IF(ISNUMBER(Q79),"not after "&amp;DAY(Q79)&amp;" "&amp;INDEX(nLIST_Months,MONTH(Q79))&amp;" "&amp;YEAR(Q79),"")&amp;". Source: "&amp;IF(R79="","not recorded",R79)&amp;IF(EN79="",". Constrained result shown beside the unconstrained one.",". Constrained result blocked ("&amp;EN79&amp;")."),"")&amp;IF(DT79=1,IF(EO79&gt;0," | Intervention recorded between cessation and recovery (ends included): "&amp;EZ79&amp;"."," | No intervention is recorded between cessation and recovery; absence of a record is not evidence that none was given."),"")&amp;IF(AND(DT79=1,DV79&gt;0)," | Intervention recorded without a date, so whether it came before recovery is unknown: "&amp;INDEX(nMS_Milestone_ID,MATCH(1,INDEX((nMS_CaseKey=AX79)*(nMS_Type="INTERVENTION")*nMS_Undated,0),0))&amp;IF(DV79&gt;1," and "&amp;(DV79-1)&amp;" more","")&amp;".","")&amp;IF(AND(DT79=1,EP79&gt;0)," | Not counted as interventions, because they are recorded as exposures rather than as intervention milestones (nothing is inferred): "&amp;FB79&amp;". If treatment was given, record it as an intervention milestone.",""),4,9999))</f>
        <v>Treatment day under the inclusive convention (C3); never written to E2B fields automatically.</v>
      </c>
      <c r="AT79" s="21" t="str">
        <f t="shared" si="143"/>
        <v>The interval describes the sequence and spacing of recorded times; it is not evidence of causation.</v>
      </c>
      <c r="AU79" s="21" t="str">
        <f t="shared" si="144"/>
        <v/>
      </c>
      <c r="AV79" s="21" t="str">
        <f t="shared" si="145"/>
        <v>CALC-SPEC 1.1</v>
      </c>
      <c r="AW79" s="22">
        <f t="shared" si="146"/>
        <v>0</v>
      </c>
      <c r="AX79" s="21" t="str">
        <f t="shared" si="147"/>
        <v>VEC-V02|1</v>
      </c>
      <c r="AY79" s="21" t="str">
        <f t="shared" si="148"/>
        <v>VEC-V02|1|I1</v>
      </c>
      <c r="AZ79" s="22">
        <f>IF(AY79="",0,COUNTIF(nINT_Key,AY79))</f>
        <v>1</v>
      </c>
      <c r="BA79" s="22">
        <f>IF(D79="",0,IFERROR(MATCH(AX79&amp;"|"&amp;D79,nLNK_Key,0),0))</f>
        <v>33</v>
      </c>
      <c r="BB79" s="22">
        <f>IF(BA79=0,1,INDEX(nLNK_Exp_Found,BA79))</f>
        <v>1</v>
      </c>
      <c r="BC79" s="22">
        <f>IF(BA79=0,1,INDEX(nLNK_Evt_Found,BA79))</f>
        <v>1</v>
      </c>
      <c r="BD79" s="22">
        <f>IF(AP79="",0,COUNTIF(nEXP_Key,AX79&amp;"|"&amp;AP79))</f>
        <v>1</v>
      </c>
      <c r="BE79" s="22">
        <f>IF(AQ79="",0,COUNTIF(nEVT_Key,AX79&amp;"|"&amp;AQ79))</f>
        <v>1</v>
      </c>
      <c r="BF79" s="22">
        <f>IF(ISNA(MATCH(E79,nLIST_AnchorType,0)),0,1)</f>
        <v>1</v>
      </c>
      <c r="BG79" s="22">
        <f t="shared" si="149"/>
        <v>0</v>
      </c>
      <c r="BH79" s="22">
        <f t="shared" si="150"/>
        <v>1</v>
      </c>
      <c r="BI79" s="22">
        <f>IF(OR(AW79=1,AK79=""),0,IFERROR(MATCH(AX79&amp;"|"&amp;AK79,nTP_Key,0),0))</f>
        <v>317</v>
      </c>
      <c r="BJ79" s="21">
        <f>IF(BI79=0,0,INDEX(nTP_Dup,BI79))</f>
        <v>1</v>
      </c>
      <c r="BK79" s="21" t="str">
        <f>IF(BI79=0,"",INDEX(nTP_Record_Type,BI79))</f>
        <v>EVENT_ONSET</v>
      </c>
      <c r="BL79" s="21" t="str">
        <f>IF(BI79=0,"",INDEX(nTP_Precision,BI79))</f>
        <v>DATE</v>
      </c>
      <c r="BM79" s="21" t="str">
        <f>IF(BI79=0,"",INDEX(nTP_Err,BI79))</f>
        <v/>
      </c>
      <c r="BN79" s="21">
        <f>IF(BI79=0,0,INDEX(nTP_HT,BI79))</f>
        <v>0</v>
      </c>
      <c r="BO79" s="21">
        <f>IF(BI79=0,0,INDEX(nTP_OK,BI79))</f>
        <v>0</v>
      </c>
      <c r="BP79" s="21" t="str">
        <f>IF(BI79=0,"",INDEX(nTP_Loc,BI79))</f>
        <v/>
      </c>
      <c r="BQ79" s="21" t="str">
        <f>IF(BI79=0,"",INDEX(nTP_UTC,BI79))</f>
        <v/>
      </c>
      <c r="BR79" s="21">
        <f>IF(BI79=0,"",INDEX(nTP_Lo,BI79))</f>
        <v>46028</v>
      </c>
      <c r="BS79" s="21">
        <f>IF(BI79=0,"",INDEX(nTP_Hi,BI79))</f>
        <v>46028</v>
      </c>
      <c r="BT79" s="21" t="str">
        <f>IF(BI79=0,"",INDEX(nTP_Original_Text,BI79))</f>
        <v>2026-01-06</v>
      </c>
      <c r="BU79" s="21" t="str">
        <f>IF(BI79=0,"",INDEX(nTP_Source,BI79))</f>
        <v>tto_calc_test_vectors_v1.1.json V02</v>
      </c>
      <c r="BV79" s="21" t="str">
        <f>IF(BI79=0,"",INDEX(nTP_Lab_Note,BI79))</f>
        <v/>
      </c>
      <c r="BW79" s="22">
        <f t="shared" si="151"/>
        <v>1</v>
      </c>
      <c r="BX79" s="21" t="str">
        <f t="shared" si="152"/>
        <v>VEC-V02|1|EX1</v>
      </c>
      <c r="BY79" s="22">
        <f>IF(BG79=0,0,COUNTIF(nTP_CandKey,BX79))</f>
        <v>0</v>
      </c>
      <c r="BZ79" s="22">
        <f>IF(BG79=0,0,COUNTIFS(nTP_CandKey,BX79,nTP_Err,""))</f>
        <v>0</v>
      </c>
      <c r="CA79" s="21" t="str">
        <f>IF(BY79=BZ79,"",IF(COUNTIFS(nTP_CandKey,BX79,nTP_Err,"E_INVALID_DATE")&gt;0,"; E_INVALID_DATE","")&amp;IF(COUNTIFS(nTP_CandKey,BX79,nTP_Err,"E_REVERSED_BOUNDS")&gt;0,"; E_REVERSED_BOUNDS","")&amp;IF(COUNTIFS(nTP_CandKey,BX79,nTP_Err,"E_MISSING_INPUT")&gt;0,"; E_MISSING_INPUT","")&amp;IF(COUNTIFS(nTP_CandKey,BX79,nTP_Err,"E_INVALID_UNIT")&gt;0,"; E_INVALID_UNIT",""))</f>
        <v/>
      </c>
      <c r="CB79" s="22">
        <f t="shared" si="153"/>
        <v>0</v>
      </c>
      <c r="CC79" s="22">
        <f>IF(CB79=0,0,SUMPRODUCT((nTP_CandKey=BX79)*(nTP_Err="")*(1-(nTP_HT*BN79*((nTP_OK*BO79*(nTP_UTC_n-N(BQ79))+(1-nTP_OK*BO79)*(nTP_Loc_n-N(BP79)))&lt;=0)+(1-nTP_HT*BN79)*(nTP_Hi_n&lt;N(BR79)))-(nTP_HT*BN79*((nTP_OK*BO79*(nTP_UTC_n-N(BQ79))+(1-nTP_OK*BO79)*(nTP_Loc_n-N(BP79)))&gt;0)+(1-nTP_HT*BN79)*(nTP_Lo_n&gt;N(BS79)))-((1-nTP_HT*BN79)*(nTP_Lo_n=nTP_Hi_n)*(nTP_Lo_n=N(BR79))*(N(BR79)=N(BS79))))))</f>
        <v>0</v>
      </c>
      <c r="CD79" s="22">
        <f>IF(CB79=0,0,SUMPRODUCT((nTP_CandKey=BX79)*nTP_Exact*((nTP_HT*BN79*((nTP_OK*BO79*(nTP_UTC_n-N(BQ79))+(1-nTP_OK*BO79)*(nTP_Loc_n-N(BP79)))&lt;=0)+(1-nTP_HT*BN79)*(nTP_Hi_n&lt;N(BR79)))+((1-nTP_HT*BN79)*(nTP_Lo_n=nTP_Hi_n)*(nTP_Lo_n=N(BR79))*(N(BR79)=N(BS79))))))</f>
        <v>0</v>
      </c>
      <c r="CE79" s="22">
        <f>IF(CB79=0,0,SUMPRODUCT((nTP_CandKey=BX79)*(nTP_Err="")*(1-nTP_Exact)*((nTP_HT*BN79*((nTP_OK*BO79*(nTP_UTC_n-N(BQ79))+(1-nTP_OK*BO79)*(nTP_Loc_n-N(BP79)))&lt;=0)+(1-nTP_HT*BN79)*(nTP_Hi_n&lt;N(BR79)))+((1-nTP_HT*BN79)*(nTP_Lo_n=nTP_Hi_n)*(nTP_Lo_n=N(BR79))*(N(BR79)=N(BS79))))))</f>
        <v>0</v>
      </c>
      <c r="CF79" s="22">
        <f>IF(CD79=0,0,SUMPRODUCT(MAX((nTP_CandKey=BX79)*nTP_Exact*((nTP_HT*BN79*((nTP_OK*BO79*(nTP_UTC_n-N(BQ79))+(1-nTP_OK*BO79)*(nTP_Loc_n-N(BP79)))&lt;=0)+(1-nTP_HT*BN79)*(nTP_Hi_n&lt;N(BR79)))+((1-nTP_HT*BN79)*(nTP_Lo_n=nTP_Hi_n)*(nTP_Lo_n=N(BR79))*(N(BR79)=N(BS79))))*nTP_Lo_n)))</f>
        <v>0</v>
      </c>
      <c r="CG79" s="22">
        <f>IF(CD79=0,0,SUMPRODUCT((nTP_CandKey=BX79)*nTP_Exact*((nTP_HT*BN79*((nTP_OK*BO79*(nTP_UTC_n-N(BQ79))+(1-nTP_OK*BO79)*(nTP_Loc_n-N(BP79)))&lt;=0)+(1-nTP_HT*BN79)*(nTP_Hi_n&lt;N(BR79)))+((1-nTP_HT*BN79)*(nTP_Lo_n=nTP_Hi_n)*(nTP_Lo_n=N(BR79))*(N(BR79)=N(BS79))))*(nTP_Lo_n=CF79)))</f>
        <v>0</v>
      </c>
      <c r="CH79" s="22">
        <f>IF(CD79=0,0,SUMPRODUCT((nTP_CandKey=BX79)*nTP_Exact*((nTP_HT*BN79*((nTP_OK*BO79*(nTP_UTC_n-N(BQ79))+(1-nTP_OK*BO79)*(nTP_Loc_n-N(BP79)))&lt;=0)+(1-nTP_HT*BN79)*(nTP_Hi_n&lt;N(BR79)))+((1-nTP_HT*BN79)*(nTP_Lo_n=nTP_Hi_n)*(nTP_Lo_n=N(BR79))*(N(BR79)=N(BS79))))*(1-nTP_HT)*(nTP_Lo_n=CF79)))</f>
        <v>0</v>
      </c>
      <c r="CI79" s="22">
        <f>IF(CD79=0,0,SUMPRODUCT(MAX((nTP_CandKey=BX79)*nTP_Exact*((nTP_HT*BN79*((nTP_OK*BO79*(nTP_UTC_n-N(BQ79))+(1-nTP_OK*BO79)*(nTP_Loc_n-N(BP79)))&lt;=0)+(1-nTP_HT*BN79)*(nTP_Hi_n&lt;N(BR79)))+((1-nTP_HT*BN79)*(nTP_Lo_n=nTP_Hi_n)*(nTP_Lo_n=N(BR79))*(N(BR79)=N(BS79))))*(1-nTP_HT)*nTP_Lo_n)))</f>
        <v>0</v>
      </c>
      <c r="CJ79" s="22">
        <f>IF(CD79=0,0,SUMPRODUCT(MAX((nTP_CandKey=BX79)*nTP_Exact*((nTP_HT*BN79*((nTP_OK*BO79*(nTP_UTC_n-N(BQ79))+(1-nTP_OK*BO79)*(nTP_Loc_n-N(BP79)))&lt;=0)+(1-nTP_HT*BN79)*(nTP_Hi_n&lt;N(BR79)))+((1-nTP_HT*BN79)*(nTP_Lo_n=nTP_Hi_n)*(nTP_Lo_n=N(BR79))*(N(BR79)=N(BS79))))*nTP_HT*nTP_OK*nTP_UTC_n)))</f>
        <v>0</v>
      </c>
      <c r="CK79" s="22">
        <f>IF(CJ79=0,0,SUMPRODUCT((nTP_CandKey=BX79)*nTP_Exact*((nTP_HT*BN79*((nTP_OK*BO79*(nTP_UTC_n-N(BQ79))+(1-nTP_OK*BO79)*(nTP_Loc_n-N(BP79)))&lt;=0)+(1-nTP_HT*BN79)*(nTP_Hi_n&lt;N(BR79)))+((1-nTP_HT*BN79)*(nTP_Lo_n=nTP_Hi_n)*(nTP_Lo_n=N(BR79))*(N(BR79)=N(BS79))))*nTP_HT*nTP_OK*(nTP_UTC_n=CJ79)))</f>
        <v>0</v>
      </c>
      <c r="CL79" s="22">
        <f>IF(CK79&lt;&gt;1,0,SUMPRODUCT((nTP_CandKey=BX79)*nTP_Exact*((nTP_HT*BN79*((nTP_OK*BO79*(nTP_UTC_n-N(BQ79))+(1-nTP_OK*BO79)*(nTP_Loc_n-N(BP79)))&lt;=0)+(1-nTP_HT*BN79)*(nTP_Hi_n&lt;N(BR79)))+((1-nTP_HT*BN79)*(nTP_Lo_n=nTP_Hi_n)*(nTP_Lo_n=N(BR79))*(N(BR79)=N(BS79))))*nTP_HT*nTP_OK*(nTP_UTC_n=CJ79)*nTP_Loc_n))</f>
        <v>0</v>
      </c>
      <c r="CM79" s="22">
        <f>IF(CK79&lt;&gt;1,0,SUMPRODUCT((nTP_CandKey=BX79)*nTP_Exact*((nTP_HT*BN79*((nTP_OK*BO79*(nTP_UTC_n-N(BQ79))+(1-nTP_OK*BO79)*(nTP_Loc_n-N(BP79)))&lt;=0)+(1-nTP_HT*BN79)*(nTP_Hi_n&lt;N(BR79)))+((1-nTP_HT*BN79)*(nTP_Lo_n=nTP_Hi_n)*(nTP_Lo_n=N(BR79))*(N(BR79)=N(BS79))))*nTP_HT*nTP_OK*(nTP_UTC_n=CJ79)*nTP_Lo_n))</f>
        <v>0</v>
      </c>
      <c r="CN79" s="22">
        <f>IF(CD79=0,0,SUMPRODUCT(MAX((nTP_CandKey=BX79)*nTP_Exact*((nTP_HT*BN79*((nTP_OK*BO79*(nTP_UTC_n-N(BQ79))+(1-nTP_OK*BO79)*(nTP_Loc_n-N(BP79)))&lt;=0)+(1-nTP_HT*BN79)*(nTP_Hi_n&lt;N(BR79)))+((1-nTP_HT*BN79)*(nTP_Lo_n=nTP_Hi_n)*(nTP_Lo_n=N(BR79))*(N(BR79)=N(BS79))))*nTP_HT*(1-nTP_OK)*nTP_Loc_n)))</f>
        <v>0</v>
      </c>
      <c r="CO79" s="22">
        <f>IF(CN79=0,0,SUMPRODUCT((nTP_CandKey=BX79)*nTP_Exact*((nTP_HT*BN79*((nTP_OK*BO79*(nTP_UTC_n-N(BQ79))+(1-nTP_OK*BO79)*(nTP_Loc_n-N(BP79)))&lt;=0)+(1-nTP_HT*BN79)*(nTP_Hi_n&lt;N(BR79)))+((1-nTP_HT*BN79)*(nTP_Lo_n=nTP_Hi_n)*(nTP_Lo_n=N(BR79))*(N(BR79)=N(BS79))))*nTP_HT*(1-nTP_OK)*(nTP_Loc_n=CN79)))</f>
        <v>0</v>
      </c>
      <c r="CP79" s="22">
        <f>IF(CO79&lt;&gt;1,0,SUMPRODUCT((nTP_CandKey=BX79)*nTP_Exact*((nTP_HT*BN79*((nTP_OK*BO79*(nTP_UTC_n-N(BQ79))+(1-nTP_OK*BO79)*(nTP_Loc_n-N(BP79)))&lt;=0)+(1-nTP_HT*BN79)*(nTP_Hi_n&lt;N(BR79)))+((1-nTP_HT*BN79)*(nTP_Lo_n=nTP_Hi_n)*(nTP_Lo_n=N(BR79))*(N(BR79)=N(BS79))))*nTP_HT*(1-nTP_OK)*(nTP_Loc_n=CN79)*nTP_Lo_n))</f>
        <v>0</v>
      </c>
      <c r="CQ79" s="22">
        <f>IF(CD79=0,0,SUMPRODUCT(MAX((nTP_CandKey=BX79)*nTP_Exact*((nTP_HT*BN79*((nTP_OK*BO79*(nTP_UTC_n-N(BQ79))+(1-nTP_OK*BO79)*(nTP_Loc_n-N(BP79)))&lt;=0)+(1-nTP_HT*BN79)*(nTP_Hi_n&lt;N(BR79)))+((1-nTP_HT*BN79)*(nTP_Lo_n=nTP_Hi_n)*(nTP_Lo_n=N(BR79))*(N(BR79)=N(BS79))))*nTP_HT*nTP_OK*nTP_Loc_n)))</f>
        <v>0</v>
      </c>
      <c r="CR79" s="22">
        <f t="shared" si="154"/>
        <v>0</v>
      </c>
      <c r="CS79" s="22">
        <f>IF(CR79=0,0,IF(CR79=1,MATCH(1,INDEX((nTP_CandKey=BX79)*nTP_Exact*((nTP_HT*BN79*((nTP_OK*BO79*(nTP_UTC_n-N(BQ79))+(1-nTP_OK*BO79)*(nTP_Loc_n-N(BP79)))&lt;=0)+(1-nTP_HT*BN79)*(nTP_Hi_n&lt;N(BR79)))+((1-nTP_HT*BN79)*(nTP_Lo_n=nTP_Hi_n)*(nTP_Lo_n=N(BR79))*(N(BR79)=N(BS79))))*(1-nTP_HT)*(nTP_Lo_n=CF79),0),0),IF(CR79=2,MATCH(1,INDEX((nTP_CandKey=BX79)*nTP_Exact*((nTP_HT*BN79*((nTP_OK*BO79*(nTP_UTC_n-N(BQ79))+(1-nTP_OK*BO79)*(nTP_Loc_n-N(BP79)))&lt;=0)+(1-nTP_HT*BN79)*(nTP_Hi_n&lt;N(BR79)))+((1-nTP_HT*BN79)*(nTP_Lo_n=nTP_Hi_n)*(nTP_Lo_n=N(BR79))*(N(BR79)=N(BS79))))*nTP_HT*nTP_OK*(nTP_UTC_n=CJ79),0),0),MATCH(1,INDEX((nTP_CandKey=BX79)*nTP_Exact*((nTP_HT*BN79*((nTP_OK*BO79*(nTP_UTC_n-N(BQ79))+(1-nTP_OK*BO79)*(nTP_Loc_n-N(BP79)))&lt;=0)+(1-nTP_HT*BN79)*(nTP_Hi_n&lt;N(BR79)))+((1-nTP_HT*BN79)*(nTP_Lo_n=nTP_Hi_n)*(nTP_Lo_n=N(BR79))*(N(BR79)=N(BS79))))*nTP_HT*(1-nTP_OK)*(nTP_Loc_n=CN79),0),0))))</f>
        <v>0</v>
      </c>
      <c r="CT79" s="22">
        <f>IF(CS79=0,0,INDEX(nTP_Lo_n,CS79))</f>
        <v>0</v>
      </c>
      <c r="CU79" s="22">
        <f>IF(CS79=0,0,SUMPRODUCT((nTP_CandKey=BX79)*(nTP_Err="")*(1-nTP_Exact)*((nTP_HT*BN79*((nTP_OK*BO79*(nTP_UTC_n-N(BQ79))+(1-nTP_OK*BO79)*(nTP_Loc_n-N(BP79)))&lt;=0)+(1-nTP_HT*BN79)*(nTP_Hi_n&lt;N(BR79)))+((1-nTP_HT*BN79)*(nTP_Lo_n=nTP_Hi_n)*(nTP_Lo_n=N(BR79))*(N(BR79)=N(BS79))))*(nTP_Hi_n&gt;=CT79)))</f>
        <v>0</v>
      </c>
      <c r="CV79" s="21" t="str">
        <f t="shared" si="155"/>
        <v/>
      </c>
      <c r="CW79" s="21" t="str">
        <f>IF(AND(BG79=1,CB79=1,CV79="",CS79&gt;0),INDEX(nTP_Record_ID,CS79)&amp;"","")</f>
        <v/>
      </c>
      <c r="CX79" s="21" t="str">
        <f>IF(OR(CV79="",BG79=0),"",IF(CV79="none","an administration record (last dose before onset)",IF(CV79="uncertain","the anchor record: "&amp;INDEX(nTP_Record_ID,MATCH(1,INDEX((nTP_CandKey=BX79)*(nTP_Err="")*(1-(nTP_HT*BN79*((nTP_OK*BO79*(nTP_UTC_n-N(BQ79))+(1-nTP_OK*BO79)*(nTP_Loc_n-N(BP79)))&lt;=0)+(1-nTP_HT*BN79)*(nTP_Hi_n&lt;N(BR79)))-(nTP_HT*BN79*((nTP_OK*BO79*(nTP_UTC_n-N(BQ79))+(1-nTP_OK*BO79)*(nTP_Loc_n-N(BP79)))&gt;0)+(1-nTP_HT*BN79)*(nTP_Lo_n&gt;N(BS79)))-((1-nTP_HT*BN79)*(nTP_Lo_n=nTP_Hi_n)*(nTP_Lo_n=N(BR79))*(N(BR79)=N(BS79)))),0),0))&amp;IF(CC79&gt;1," and "&amp;(CC79-1)&amp;" more","")&amp;" may fall before or after the end point, so the last dose cannot be identified from the recorded dates",IF(CV79="noneligible","the anchor record: no administration with an exact date is recorded at or before the end point",IF(CV79="tie","the anchor record: the order of the latest administrations cannot be told from the recorded dates and times","the anchor record: partial-date administration "&amp;INDEX(nTP_Record_ID,MATCH(1,INDEX((nTP_CandKey=BX79)*(nTP_Err="")*(1-nTP_Exact)*((nTP_HT*BN79*((nTP_OK*BO79*(nTP_UTC_n-N(BQ79))+(1-nTP_OK*BO79)*(nTP_Loc_n-N(BP79)))&lt;=0)+(1-nTP_HT*BN79)*(nTP_Hi_n&lt;N(BR79)))+((1-nTP_HT*BN79)*(nTP_Lo_n=nTP_Hi_n)*(nTP_Lo_n=N(BR79))*(N(BR79)=N(BS79))))*(nTP_Hi_n&gt;=CT79),0),0))&amp;" could be the last dose before the end point")))))</f>
        <v/>
      </c>
      <c r="CY79" s="22">
        <f>IF(OR(AW79=1,AJ79=""),0,IFERROR(MATCH(AX79&amp;"|"&amp;AJ79,nTP_Key,0),0))</f>
        <v>45</v>
      </c>
      <c r="CZ79" s="21">
        <f>IF(CY79=0,0,INDEX(nTP_Dup,CY79))</f>
        <v>1</v>
      </c>
      <c r="DA79" s="21" t="str">
        <f>IF(CY79=0,"",INDEX(nTP_Record_Type,CY79))</f>
        <v>EXPOSURE_START</v>
      </c>
      <c r="DB79" s="21" t="str">
        <f>IF(CY79=0,"",INDEX(nTP_Precision,CY79))</f>
        <v>DATE</v>
      </c>
      <c r="DC79" s="21" t="str">
        <f>IF(CY79=0,"",INDEX(nTP_Err,CY79))</f>
        <v/>
      </c>
      <c r="DD79" s="21">
        <f>IF(CY79=0,0,INDEX(nTP_HT,CY79))</f>
        <v>0</v>
      </c>
      <c r="DE79" s="21">
        <f>IF(CY79=0,0,INDEX(nTP_OK,CY79))</f>
        <v>0</v>
      </c>
      <c r="DF79" s="21" t="str">
        <f>IF(CY79=0,"",INDEX(nTP_Loc,CY79))</f>
        <v/>
      </c>
      <c r="DG79" s="21" t="str">
        <f>IF(CY79=0,"",INDEX(nTP_UTC,CY79))</f>
        <v/>
      </c>
      <c r="DH79" s="21">
        <f>IF(CY79=0,"",INDEX(nTP_Lo,CY79))</f>
        <v>46023</v>
      </c>
      <c r="DI79" s="21">
        <f>IF(CY79=0,"",INDEX(nTP_Hi,CY79))</f>
        <v>46023</v>
      </c>
      <c r="DJ79" s="21" t="str">
        <f>IF(CY79=0,"",INDEX(nTP_Original_Text,CY79))</f>
        <v>2026-01-01</v>
      </c>
      <c r="DK79" s="21" t="str">
        <f>IF(CY79=0,"",INDEX(nTP_Source,CY79))</f>
        <v>tto_calc_test_vectors_v1.1.json V02</v>
      </c>
      <c r="DL79" s="22">
        <f t="shared" si="156"/>
        <v>1</v>
      </c>
      <c r="DM79" s="21" t="str">
        <f t="shared" si="157"/>
        <v/>
      </c>
      <c r="DN79" s="21" t="str">
        <f t="shared" si="158"/>
        <v/>
      </c>
      <c r="DO79" s="21" t="str">
        <f t="shared" si="159"/>
        <v/>
      </c>
      <c r="DP79" s="21" t="str">
        <f t="shared" si="160"/>
        <v/>
      </c>
      <c r="DQ79" s="21" t="str">
        <f t="shared" si="161"/>
        <v>C2</v>
      </c>
      <c r="DR79" s="22">
        <f>IF(OR(DQ79="",I79=""),0,IF(ISNA(MATCH(I79,nLIST_Mode,0)),1,IF(AND(I79="C1",DQ79&lt;&gt;"C1"),1,IF(AND(I79="C2",DQ79="C4"),1,0))))</f>
        <v>0</v>
      </c>
      <c r="DS79" s="21" t="str">
        <f t="shared" si="162"/>
        <v>C2</v>
      </c>
      <c r="DT79" s="22">
        <f t="shared" si="163"/>
        <v>0</v>
      </c>
      <c r="DU79" s="21" t="str">
        <f>IF(DT79=0,"",IF(COUNTIFS(nTP_Case_Key,AX79,nTP_Record_Type,"MILESTONE:INTERVENTION",nTP_Err,"E_INVALID_DATE")&gt;0,"; E_INVALID_DATE","")&amp;IF(COUNTIFS(nTP_Case_Key,AX79,nTP_Record_Type,"MILESTONE:INTERVENTION",nTP_Err,"E_REVERSED_BOUNDS")&gt;0,"; E_REVERSED_BOUNDS","")&amp;IF(COUNTIFS(nTP_Case_Key,AX79,nTP_Record_Type,"MILESTONE:INTERVENTION",nTP_Err,"E_MISSING_INPUT")&gt;0,"; E_MISSING_INPUT","")&amp;IF(COUNTIFS(nTP_Case_Key,AX79,nTP_Record_Type,"MILESTONE:INTERVENTION",nTP_Err,"E_INVALID_UNIT")&gt;0,"; E_INVALID_UNIT",""))</f>
        <v/>
      </c>
      <c r="DV79" s="22">
        <f>IF(DT79=0,0,SUMPRODUCT((nMS_CaseKey=AX79)*(nMS_Type="INTERVENTION")*nMS_Undated))</f>
        <v>0</v>
      </c>
      <c r="DW79" s="21" t="str">
        <f t="shared" si="164"/>
        <v/>
      </c>
      <c r="DX79" s="21" t="str">
        <f t="shared" si="165"/>
        <v/>
      </c>
      <c r="DY79" s="22">
        <f t="shared" si="166"/>
        <v>1</v>
      </c>
      <c r="DZ79" s="21" t="str">
        <f t="shared" si="167"/>
        <v/>
      </c>
      <c r="EA79" s="21">
        <f t="shared" si="168"/>
        <v>5</v>
      </c>
      <c r="EB79" s="21" t="str">
        <f t="shared" si="169"/>
        <v/>
      </c>
      <c r="EC79" s="21" t="str">
        <f t="shared" si="170"/>
        <v/>
      </c>
      <c r="ED79" s="22">
        <f t="shared" si="171"/>
        <v>0</v>
      </c>
      <c r="EE79" s="22">
        <f t="shared" si="172"/>
        <v>0</v>
      </c>
      <c r="EF79" s="21" t="str">
        <f>IF(ED79=0,"",IF(OR(NOT(ISNUMBER(L79)),NOT(ISNUMBER(M79))),"I_APPROXIMATE_NOT_COMPARED",IF(AND(N79&lt;&gt;"",ISNA(MATCH(N79,nLIST_ReportedUnit,0))),"E_INVALID_UNIT",IF(N79="","E_MISSING_INPUT",IF(L79&gt;M79,"E_REVERSED_BOUNDS",IF(OR(N79="weeks",N79="months",N79="years"),"I_APPROXIMATE_NOT_COMPARED",IF(DX79&lt;&gt;"","",IF(EE79=0,"I_APPROXIMATE_NOT_COMPARED",IF(AND(L79*EE79&lt;=IF(DS79="C4",EC79,IF(DS79="C1",DZ79,EA79)),M79*EE79&gt;=IF(DS79="C4",EB79,IF(DS79="C1",DZ79,EA79))),"OVERLAP","W_REPORTED_TIMING_CONFLICT")))))))))</f>
        <v/>
      </c>
      <c r="EG79" s="21" t="str">
        <f t="shared" si="173"/>
        <v/>
      </c>
      <c r="EH79" s="21" t="str">
        <f t="shared" si="174"/>
        <v/>
      </c>
      <c r="EI79" s="22">
        <f t="shared" si="175"/>
        <v>1</v>
      </c>
      <c r="EJ79" s="22">
        <f t="shared" si="176"/>
        <v>1</v>
      </c>
      <c r="EK79" s="22">
        <f t="shared" si="177"/>
        <v>0</v>
      </c>
      <c r="EL79" s="28" t="str">
        <f t="shared" si="178"/>
        <v/>
      </c>
      <c r="EM79" s="28" t="str">
        <f t="shared" si="179"/>
        <v/>
      </c>
      <c r="EN79" s="21" t="str">
        <f t="shared" si="180"/>
        <v/>
      </c>
      <c r="EO79" s="22">
        <f>IF(OR(DT79=0,DX79&lt;&gt;""),0,SUMPRODUCT((nTP_Case_Key=AX79)*(nTP_Record_Type="MILESTONE:INTERVENTION")*(nTP_Err="")*(nTP_HT*DD79*BN79*(nTP_OK*DE79*(nTP_UTC_n&gt;=N(DG79))+(1-nTP_OK*DE79)*(nTP_Loc_n&gt;=N(DF79)))*(nTP_OK*BO79*(nTP_UTC_n&lt;=N(BQ79))+(1-nTP_OK*BO79)*(nTP_Loc_n&lt;=N(BP79)))+(1-nTP_HT*DD79*BN79)*(nTP_Hi_n&gt;=N(DH79))*(nTP_Lo_n&lt;=N(BS79)))))</f>
        <v>0</v>
      </c>
      <c r="EP79" s="22">
        <f>IF(OR(DT79=0,DX79&lt;&gt;""),0,SUMPRODUCT((nTP_Case_Key=AX79)*(nTP_Role="treatment of the event")*((nTP_Record_Type="EXPOSURE_START")+(nTP_Record_Type="ADMINISTRATION"))*(nTP_Err="")*(nTP_HT*DD79*BN79*(nTP_OK*DE79*(nTP_UTC_n&gt;=N(DG79))+(1-nTP_OK*DE79)*(nTP_Loc_n&gt;=N(DF79)))*(nTP_OK*BO79*(nTP_UTC_n&lt;=N(BQ79))+(1-nTP_OK*BO79)*(nTP_Loc_n&lt;=N(BP79)))+(1-nTP_HT*DD79*BN79)*(nTP_Hi_n&gt;=N(DH79))*(nTP_Lo_n&lt;=N(BS79)))))</f>
        <v>0</v>
      </c>
      <c r="EQ79" s="22">
        <f>IF(EO79&lt;1,0,IFERROR(_xlfn.AGGREGATE(15,6,nTP_RowN/((nTP_Case_Key=AX79)*(nTP_Record_Type="MILESTONE:INTERVENTION")*(nTP_Err="")*(nTP_HT*DD79*BN79*(nTP_OK*DE79*(nTP_UTC_n&gt;=N(DG79))+(1-nTP_OK*DE79)*(nTP_Loc_n&gt;=N(DF79)))*(nTP_OK*BO79*(nTP_UTC_n&lt;=N(BQ79))+(1-nTP_OK*BO79)*(nTP_Loc_n&lt;=N(BP79)))+(1-nTP_HT*DD79*BN79)*(nTP_Hi_n&gt;=N(DH79))*(nTP_Lo_n&lt;=N(BS79)))),1),0))</f>
        <v>0</v>
      </c>
      <c r="ER79" s="22">
        <f>IF(EO79&lt;2,0,IFERROR(_xlfn.AGGREGATE(15,6,nTP_RowN/((nTP_Case_Key=AX79)*(nTP_Record_Type="MILESTONE:INTERVENTION")*(nTP_Err="")*(nTP_HT*DD79*BN79*(nTP_OK*DE79*(nTP_UTC_n&gt;=N(DG79))+(1-nTP_OK*DE79)*(nTP_Loc_n&gt;=N(DF79)))*(nTP_OK*BO79*(nTP_UTC_n&lt;=N(BQ79))+(1-nTP_OK*BO79)*(nTP_Loc_n&lt;=N(BP79)))+(1-nTP_HT*DD79*BN79)*(nTP_Hi_n&gt;=N(DH79))*(nTP_Lo_n&lt;=N(BS79)))),2),0))</f>
        <v>0</v>
      </c>
      <c r="ES79" s="22">
        <f>IF(EO79&lt;3,0,IFERROR(_xlfn.AGGREGATE(15,6,nTP_RowN/((nTP_Case_Key=AX79)*(nTP_Record_Type="MILESTONE:INTERVENTION")*(nTP_Err="")*(nTP_HT*DD79*BN79*(nTP_OK*DE79*(nTP_UTC_n&gt;=N(DG79))+(1-nTP_OK*DE79)*(nTP_Loc_n&gt;=N(DF79)))*(nTP_OK*BO79*(nTP_UTC_n&lt;=N(BQ79))+(1-nTP_OK*BO79)*(nTP_Loc_n&lt;=N(BP79)))+(1-nTP_HT*DD79*BN79)*(nTP_Hi_n&gt;=N(DH79))*(nTP_Lo_n&lt;=N(BS79)))),3),0))</f>
        <v>0</v>
      </c>
      <c r="ET79" s="22">
        <f>IF(EP79&lt;1,0,IFERROR(_xlfn.AGGREGATE(15,6,nTP_RowN/((nTP_Case_Key=AX79)*(nTP_Role="treatment of the event")*((nTP_Record_Type="EXPOSURE_START")+(nTP_Record_Type="ADMINISTRATION"))*(nTP_Err="")*(nTP_HT*DD79*BN79*(nTP_OK*DE79*(nTP_UTC_n&gt;=N(DG79))+(1-nTP_OK*DE79)*(nTP_Loc_n&gt;=N(DF79)))*(nTP_OK*BO79*(nTP_UTC_n&lt;=N(BQ79))+(1-nTP_OK*BO79)*(nTP_Loc_n&lt;=N(BP79)))+(1-nTP_HT*DD79*BN79)*(nTP_Hi_n&gt;=N(DH79))*(nTP_Lo_n&lt;=N(BS79)))),1),0))</f>
        <v>0</v>
      </c>
      <c r="EU79" s="22">
        <f>IF(EP79&lt;2,0,IFERROR(_xlfn.AGGREGATE(15,6,nTP_RowN/((nTP_Case_Key=AX79)*(nTP_Role="treatment of the event")*((nTP_Record_Type="EXPOSURE_START")+(nTP_Record_Type="ADMINISTRATION"))*(nTP_Err="")*(nTP_HT*DD79*BN79*(nTP_OK*DE79*(nTP_UTC_n&gt;=N(DG79))+(1-nTP_OK*DE79)*(nTP_Loc_n&gt;=N(DF79)))*(nTP_OK*BO79*(nTP_UTC_n&lt;=N(BQ79))+(1-nTP_OK*BO79)*(nTP_Loc_n&lt;=N(BP79)))+(1-nTP_HT*DD79*BN79)*(nTP_Hi_n&gt;=N(DH79))*(nTP_Lo_n&lt;=N(BS79)))),2),0))</f>
        <v>0</v>
      </c>
      <c r="EV79" s="22">
        <f>IF(EP79&lt;3,0,IFERROR(_xlfn.AGGREGATE(15,6,nTP_RowN/((nTP_Case_Key=AX79)*(nTP_Role="treatment of the event")*((nTP_Record_Type="EXPOSURE_START")+(nTP_Record_Type="ADMINISTRATION"))*(nTP_Err="")*(nTP_HT*DD79*BN79*(nTP_OK*DE79*(nTP_UTC_n&gt;=N(DG79))+(1-nTP_OK*DE79)*(nTP_Loc_n&gt;=N(DF79)))*(nTP_OK*BO79*(nTP_UTC_n&lt;=N(BQ79))+(1-nTP_OK*BO79)*(nTP_Loc_n&lt;=N(BP79)))+(1-nTP_HT*DD79*BN79)*(nTP_Hi_n&gt;=N(DH79))*(nTP_Lo_n&lt;=N(BS79)))),3),0))</f>
        <v>0</v>
      </c>
      <c r="EW79" s="22">
        <f>IF(CE79&lt;1,0,IFERROR(_xlfn.AGGREGATE(15,6,nTP_RowN/((nTP_CandKey=BX79)*(nTP_Err="")*(1-nTP_Exact)*((nTP_HT*BN79*((nTP_OK*BO79*(nTP_UTC_n-N(BQ79))+(1-nTP_OK*BO79)*(nTP_Loc_n-N(BP79)))&lt;=0)+(1-nTP_HT*BN79)*(nTP_Hi_n&lt;N(BR79)))+((1-nTP_HT*BN79)*(nTP_Lo_n=nTP_Hi_n)*(nTP_Lo_n=N(BR79))*(N(BR79)=N(BS79))))),1),0))</f>
        <v>0</v>
      </c>
      <c r="EX79" s="22">
        <f>IF(CE79&lt;2,0,IFERROR(_xlfn.AGGREGATE(15,6,nTP_RowN/((nTP_CandKey=BX79)*(nTP_Err="")*(1-nTP_Exact)*((nTP_HT*BN79*((nTP_OK*BO79*(nTP_UTC_n-N(BQ79))+(1-nTP_OK*BO79)*(nTP_Loc_n-N(BP79)))&lt;=0)+(1-nTP_HT*BN79)*(nTP_Hi_n&lt;N(BR79)))+((1-nTP_HT*BN79)*(nTP_Lo_n=nTP_Hi_n)*(nTP_Lo_n=N(BR79))*(N(BR79)=N(BS79))))),2),0))</f>
        <v>0</v>
      </c>
      <c r="EY79" s="22">
        <f>IF(CE79&lt;3,0,IFERROR(_xlfn.AGGREGATE(15,6,nTP_RowN/((nTP_CandKey=BX79)*(nTP_Err="")*(1-nTP_Exact)*((nTP_HT*BN79*((nTP_OK*BO79*(nTP_UTC_n-N(BQ79))+(1-nTP_OK*BO79)*(nTP_Loc_n-N(BP79)))&lt;=0)+(1-nTP_HT*BN79)*(nTP_Hi_n&lt;N(BR79)))+((1-nTP_HT*BN79)*(nTP_Lo_n=nTP_Hi_n)*(nTP_Lo_n=N(BR79))*(N(BR79)=N(BS79))))),3),0))</f>
        <v>0</v>
      </c>
      <c r="EZ79" s="21" t="str">
        <f>IF(EO79=0,"",MID(IF(EQ79&gt;0,"; "&amp;INDEX(nTP_Record_ID,EQ79)&amp;IF(INDEX(nTP_Label,EQ79)="",""," ("&amp;INDEX(nTP_Label,EQ79)&amp;")"),"")&amp;IF(ER79&gt;0,"; "&amp;INDEX(nTP_Record_ID,ER79)&amp;IF(INDEX(nTP_Label,ER79)="",""," ("&amp;INDEX(nTP_Label,ER79)&amp;")"),"")&amp;IF(ES79&gt;0,"; "&amp;INDEX(nTP_Record_ID,ES79)&amp;IF(INDEX(nTP_Label,ES79)="",""," ("&amp;INDEX(nTP_Label,ES79)&amp;")"),"")&amp;IF(EO79&gt;3,"; and "&amp;(EO79-3)&amp;" more",""),3,999))</f>
        <v/>
      </c>
      <c r="FA79" s="21" t="str">
        <f>IF(EO79=0,"",MID(IF(EQ79&gt;0,"; "&amp;INDEX(nTP_Record_ID,EQ79),"")&amp;IF(ER79&gt;0,"; "&amp;INDEX(nTP_Record_ID,ER79),"")&amp;IF(ES79&gt;0,"; "&amp;INDEX(nTP_Record_ID,ES79),"")&amp;IF(EO79&gt;3,"; and "&amp;(EO79-3)&amp;" more",""),3,999))</f>
        <v/>
      </c>
      <c r="FB79" s="21" t="str">
        <f>IF(EP79=0,"",MID(IF(ET79&gt;0,"; "&amp;INDEX(nTP_Record_ID,ET79)&amp;IF(INDEX(nTP_Label,ET79)="",""," ("&amp;INDEX(nTP_Label,ET79)&amp;")"),"")&amp;IF(EU79&gt;0,"; "&amp;INDEX(nTP_Record_ID,EU79)&amp;IF(INDEX(nTP_Label,EU79)="",""," ("&amp;INDEX(nTP_Label,EU79)&amp;")"),"")&amp;IF(EV79&gt;0,"; "&amp;INDEX(nTP_Record_ID,EV79)&amp;IF(INDEX(nTP_Label,EV79)="",""," ("&amp;INDEX(nTP_Label,EV79)&amp;")"),"")&amp;IF(EP79&gt;3,"; and "&amp;(EP79-3)&amp;" more",""),3,999))</f>
        <v/>
      </c>
      <c r="FC79" s="21" t="str">
        <f>IF(CE79=0,"",MID(IF(EW79&gt;0,"; "&amp;INDEX(nTP_Record_ID,EW79),"")&amp;IF(EX79&gt;0,"; "&amp;INDEX(nTP_Record_ID,EX79),"")&amp;IF(EY79&gt;0,"; "&amp;INDEX(nTP_Record_ID,EY79),"")&amp;IF(CE79&gt;3,"; and "&amp;(CE79-3)&amp;" more",""),3,999))</f>
        <v/>
      </c>
      <c r="FD79" s="22">
        <f t="shared" si="181"/>
        <v>0</v>
      </c>
      <c r="FE79" s="22">
        <f t="shared" si="182"/>
        <v>0</v>
      </c>
      <c r="FF79" s="22">
        <f t="shared" si="183"/>
        <v>0</v>
      </c>
      <c r="FG79" s="22">
        <f t="shared" si="184"/>
        <v>0</v>
      </c>
      <c r="FH79" s="22">
        <f t="shared" si="185"/>
        <v>0</v>
      </c>
      <c r="FI79" s="22">
        <f t="shared" si="186"/>
        <v>0</v>
      </c>
      <c r="FJ79" s="22">
        <f t="shared" si="187"/>
        <v>0</v>
      </c>
      <c r="FK79" s="22">
        <f t="shared" si="188"/>
        <v>0</v>
      </c>
    </row>
    <row r="80" spans="1:167" x14ac:dyDescent="0.2">
      <c r="A80" s="9" t="s">
        <v>1180</v>
      </c>
      <c r="B80" s="9" t="s">
        <v>313</v>
      </c>
      <c r="C80" s="11">
        <v>1</v>
      </c>
      <c r="D80" s="9" t="s">
        <v>894</v>
      </c>
      <c r="E80" s="16" t="s">
        <v>51</v>
      </c>
      <c r="F80" s="9"/>
      <c r="G80" s="9" t="s">
        <v>1179</v>
      </c>
      <c r="H80" s="9" t="s">
        <v>1181</v>
      </c>
      <c r="I80" s="16" t="s">
        <v>60</v>
      </c>
      <c r="J80" s="16"/>
      <c r="K80" s="9"/>
      <c r="L80" s="16"/>
      <c r="M80" s="16"/>
      <c r="N80" s="16"/>
      <c r="O80" s="9"/>
      <c r="P80" s="14"/>
      <c r="Q80" s="14"/>
      <c r="R80" s="9"/>
      <c r="S80" s="9"/>
      <c r="T80" s="21" t="str">
        <f t="shared" si="126"/>
        <v>0 calendar days</v>
      </c>
      <c r="U80" s="21" t="str">
        <f t="shared" si="127"/>
        <v>0 calendar days</v>
      </c>
      <c r="V80" s="21">
        <f t="shared" si="128"/>
        <v>0</v>
      </c>
      <c r="W80" s="21" t="str">
        <f t="shared" si="129"/>
        <v/>
      </c>
      <c r="X80" s="21" t="str">
        <f t="shared" si="130"/>
        <v/>
      </c>
      <c r="Y80" s="21" t="str">
        <f t="shared" si="131"/>
        <v>calendar days</v>
      </c>
      <c r="Z80" s="21" t="str">
        <f t="shared" si="132"/>
        <v>C2</v>
      </c>
      <c r="AA80" s="21" t="str">
        <f t="shared" si="133"/>
        <v>SAME_DATE_ORDER_UNKNOWN</v>
      </c>
      <c r="AB80" s="21" t="str">
        <f t="shared" si="134"/>
        <v/>
      </c>
      <c r="AC80" s="21" t="str">
        <f t="shared" si="135"/>
        <v>W_SAME_DATE_ORDER_UNKNOWN</v>
      </c>
      <c r="AD80" s="21" t="str">
        <f>IF(AW80=1,"",MID(IF(ISNUMBER(SEARCH("E_INVALID_DATE",EG80))," | E_INVALID_DATE: "&amp;SUBSTITUTE(IFERROR(INDEX(nMSG_Text,MATCH("E_INVALID_DATE",nMSG_Code,0)),""),"[input]",""),"")&amp;IF(ISNUMBER(SEARCH("E_REVERSED_BOUNDS",EG80))," | E_REVERSED_BOUNDS: "&amp;SUBSTITUTE(IFERROR(INDEX(nMSG_Text,MATCH("E_REVERSED_BOUNDS",nMSG_Code,0)),""),"[input]",""),"")&amp;IF(ISNUMBER(SEARCH("E_DUPLICATE_ID",EG80))," | E_DUPLICATE_ID: "&amp;SUBSTITUTE(IFERROR(INDEX(nMSG_Text,MATCH("E_DUPLICATE_ID",nMSG_Code,0)),""),"[input]",""),"")&amp;IF(ISNUMBER(SEARCH("E_MISSING_LINK",EG80))," | E_MISSING_LINK: "&amp;SUBSTITUTE(IFERROR(INDEX(nMSG_Text,MATCH("E_MISSING_LINK",nMSG_Code,0)),""),"[input]",""),"")&amp;IF(ISNUMBER(SEARCH("E_MISSING_INPUT",EG80))," | E_MISSING_INPUT: "&amp;SUBSTITUTE(IFERROR(INDEX(nMSG_Text,MATCH("E_MISSING_INPUT",nMSG_Code,0)),""),"[input]",IF(EH80="","an input",EH80)),"")&amp;IF(ISNUMBER(SEARCH("E_INVALID_UNIT",EG80))," | E_INVALID_UNIT: "&amp;SUBSTITUTE(IFERROR(INDEX(nMSG_Text,MATCH("E_INVALID_UNIT",nMSG_Code,0)),""),"[input]",""),"")&amp;IF(FD80=1," | W_TZ_UNKNOWN: "&amp;SUBSTITUTE(IFERROR(INDEX(nMSG_Text,MATCH("W_TZ_UNKNOWN",nMSG_Code,0)),""),"[input]",""),"")&amp;IF(FE80=1," | W_SAME_DATE_ORDER_UNKNOWN: "&amp;SUBSTITUTE(IFERROR(INDEX(nMSG_Text,MATCH("W_SAME_DATE_ORDER_UNKNOWN",nMSG_Code,0)),""),"[input]",""),"")&amp;IF(FF80=1," | W_SEQUENCE_UNCERTAIN: "&amp;SUBSTITUTE(IFERROR(INDEX(nMSG_Text,MATCH("W_SEQUENCE_UNCERTAIN",nMSG_Code,0)),""),"[input]",""),"")&amp;IF(FG80=1," | W_ADMIN_SAME_DATE_AS_ONSET: "&amp;SUBSTITUTE(IFERROR(INDEX(nMSG_Text,MATCH("W_ADMIN_SAME_DATE_AS_ONSET",nMSG_Code,0)),""),"[input]",""),"")&amp;IF(FH80=1," | W_REPORTED_TIMING_CONFLICT: "&amp;SUBSTITUTE(IFERROR(INDEX(nMSG_Text,MATCH("W_REPORTED_TIMING_CONFLICT",nMSG_Code,0)),""),"[input]",""),"")&amp;IF(FI80=1," | W_INTERVENTION_BEFORE_RECOVERY: "&amp;SUBSTITUTE(IFERROR(INDEX(nMSG_Text,MATCH("W_INTERVENTION_BEFORE_RECOVERY",nMSG_Code,0)),""),"[input]",""),"")&amp;IF(FJ80=1," | I_TREATMENT_DAY_UNDEFINED: "&amp;SUBSTITUTE(IFERROR(INDEX(nMSG_Text,MATCH("I_TREATMENT_DAY_UNDEFINED",nMSG_Code,0)),""),"[input]",""),"")&amp;IF(FK80=1," | I_APPROXIMATE_NOT_COMPARED: "&amp;SUBSTITUTE(IFERROR(INDEX(nMSG_Text,MATCH("I_APPROXIMATE_NOT_COMPARED",nMSG_Code,0)),""),"[input]",""),""),4,9999))</f>
        <v>W_SAME_DATE_ORDER_UNKNOWN: Same calendar date: the order within the day is unknown.</v>
      </c>
      <c r="AE80" s="21" t="str">
        <f t="shared" si="136"/>
        <v/>
      </c>
      <c r="AF80" s="21" t="str">
        <f t="shared" si="137"/>
        <v/>
      </c>
      <c r="AG80" s="21" t="str">
        <f>IF(EN80="","",MID(IF(ISNUMBER(SEARCH("E_REVERSED_BOUNDS",EN80))," | E_REVERSED_BOUNDS: "&amp;SUBSTITUTE(IFERROR(INDEX(nMSG_Text,MATCH("E_REVERSED_BOUNDS",nMSG_Code,0)),""),"[input]",""),"")&amp;IF(ISNUMBER(SEARCH("E_MISSING_INPUT",EN80))," | E_MISSING_INPUT: "&amp;SUBSTITUTE(IFERROR(INDEX(nMSG_Text,MATCH("E_MISSING_INPUT",nMSG_Code,0)),""),"[input]",IF("the source of the constraint"="","an input","the source of the constraint")),""),4,999))</f>
        <v/>
      </c>
      <c r="AH80" s="21" t="str">
        <f t="shared" si="138"/>
        <v/>
      </c>
      <c r="AI80" s="21" t="str">
        <f t="shared" si="139"/>
        <v>EX1/START → EV1/ONSET</v>
      </c>
      <c r="AJ80" s="21" t="str">
        <f t="shared" si="140"/>
        <v>EX1/START</v>
      </c>
      <c r="AK80" s="21" t="str">
        <f t="shared" si="141"/>
        <v>EV1/ONSET</v>
      </c>
      <c r="AL80" s="21" t="str">
        <f>IF(CY80=0,"",INDEX(nTP_ISO,CY80))</f>
        <v>2026-01-05</v>
      </c>
      <c r="AM80" s="21" t="str">
        <f>IF(CY80=0,"",INDEX(nTP_Display,CY80))</f>
        <v>5 January 2026</v>
      </c>
      <c r="AN80" s="21" t="str">
        <f>IF(BI80=0,"",INDEX(nTP_ISO,BI80))</f>
        <v>2026-01-05</v>
      </c>
      <c r="AO80" s="21" t="str">
        <f>IF(BI80=0,"",INDEX(nTP_Display,BI80))</f>
        <v>5 January 2026</v>
      </c>
      <c r="AP80" s="21" t="str">
        <f>IF(BA80=0,"",INDEX(nLNK_Exposure_Episode_ID,BA80)&amp;"")</f>
        <v>EX1</v>
      </c>
      <c r="AQ80" s="21" t="str">
        <f>IF(BA80=0,"",INDEX(nLNK_Event_Episode_ID,BA80)&amp;"")</f>
        <v>EV1</v>
      </c>
      <c r="AR80" s="21" t="str">
        <f t="shared" si="142"/>
        <v>Anchor (FIRST_ADMIN) EX1/START: 2026-01-05 [day; case measurement; original: "2026-01-05"; source: tto_calc_test_vectors_v1.1.json V03] | End point EV1/ONSET: 2026-01-05 [day; case measurement; original: "2026-01-05"; source: tto_calc_test_vectors_v1.1.json V03]</v>
      </c>
      <c r="AS80" s="21" t="str">
        <f>IF(EI80=0,"",MID(IF(DT80=1," | Recovery interval (C7) computed with "&amp;DS80&amp;".","")&amp;IF(BG80=1," | Anchor selected under C5 (CALC-SPEC 1.1): latest administration with an exact date or time at or before "&amp;IF(BH80=1,"onset","the end point")&amp;" ("&amp;AJ80&amp;"), ordered in UTC when offsets are known; later administrations are never selected.","")&amp;IF(AND(BG80=1,CE80&gt;0)," | Partial-date administrations wholly before the selected one were not candidates: "&amp;FC80&amp;".","")&amp;IF(BV80&lt;&gt;""," | "&amp;BV80,"")&amp;IF(AND(DS80="C2",EA80=0,DZ80&lt;&gt;"")," | Same calendar date; both times are known, so C1 decides the order ("&amp;AA80&amp;").","")&amp;IF(AND(DS80="C2",DD80*BN80=1,DT80=0)," | Calendar-date difference from the recorded local dates; it is never described as elapsed days.","")&amp;IF(AND(DS80="C4",DT80=0)," | Bounds are treated as independent; no single date is imputed from them.","")&amp;IF(EJ80=1," | Treatment day under the inclusive convention (C3); never written to E2B fields automatically.","")&amp;IF(AND(DS80="C4",DT80=0,EK80=0)," | No constraint applied.","")&amp;IF(AND(DS80="C4",EK80=1)," | Constraint applied to the anchor bounds: "&amp;IF(ISNUMBER(P80),"not before "&amp;DAY(P80)&amp;" "&amp;INDEX(nLIST_Months,MONTH(P80))&amp;" "&amp;YEAR(P80),"")&amp;IF(AND(ISNUMBER(P80),ISNUMBER(Q80)),", ","")&amp;IF(ISNUMBER(Q80),"not after "&amp;DAY(Q80)&amp;" "&amp;INDEX(nLIST_Months,MONTH(Q80))&amp;" "&amp;YEAR(Q80),"")&amp;". Source: "&amp;IF(R80="","not recorded",R80)&amp;IF(EN80="",". Constrained result shown beside the unconstrained one.",". Constrained result blocked ("&amp;EN80&amp;")."),"")&amp;IF(DT80=1,IF(EO80&gt;0," | Intervention recorded between cessation and recovery (ends included): "&amp;EZ80&amp;"."," | No intervention is recorded between cessation and recovery; absence of a record is not evidence that none was given."),"")&amp;IF(AND(DT80=1,DV80&gt;0)," | Intervention recorded without a date, so whether it came before recovery is unknown: "&amp;INDEX(nMS_Milestone_ID,MATCH(1,INDEX((nMS_CaseKey=AX80)*(nMS_Type="INTERVENTION")*nMS_Undated,0),0))&amp;IF(DV80&gt;1," and "&amp;(DV80-1)&amp;" more","")&amp;".","")&amp;IF(AND(DT80=1,EP80&gt;0)," | Not counted as interventions, because they are recorded as exposures rather than as intervention milestones (nothing is inferred): "&amp;FB80&amp;". If treatment was given, record it as an intervention milestone.",""),4,9999))</f>
        <v/>
      </c>
      <c r="AT80" s="21" t="str">
        <f t="shared" si="143"/>
        <v>The interval describes the sequence and spacing of recorded times; it is not evidence of causation.</v>
      </c>
      <c r="AU80" s="21" t="str">
        <f t="shared" si="144"/>
        <v/>
      </c>
      <c r="AV80" s="21" t="str">
        <f t="shared" si="145"/>
        <v>CALC-SPEC 1.1</v>
      </c>
      <c r="AW80" s="22">
        <f t="shared" si="146"/>
        <v>0</v>
      </c>
      <c r="AX80" s="21" t="str">
        <f t="shared" si="147"/>
        <v>VEC-V03|1</v>
      </c>
      <c r="AY80" s="21" t="str">
        <f t="shared" si="148"/>
        <v>VEC-V03|1|I1</v>
      </c>
      <c r="AZ80" s="22">
        <f>IF(AY80="",0,COUNTIF(nINT_Key,AY80))</f>
        <v>1</v>
      </c>
      <c r="BA80" s="22">
        <f>IF(D80="",0,IFERROR(MATCH(AX80&amp;"|"&amp;D80,nLNK_Key,0),0))</f>
        <v>34</v>
      </c>
      <c r="BB80" s="22">
        <f>IF(BA80=0,1,INDEX(nLNK_Exp_Found,BA80))</f>
        <v>1</v>
      </c>
      <c r="BC80" s="22">
        <f>IF(BA80=0,1,INDEX(nLNK_Evt_Found,BA80))</f>
        <v>1</v>
      </c>
      <c r="BD80" s="22">
        <f>IF(AP80="",0,COUNTIF(nEXP_Key,AX80&amp;"|"&amp;AP80))</f>
        <v>1</v>
      </c>
      <c r="BE80" s="22">
        <f>IF(AQ80="",0,COUNTIF(nEVT_Key,AX80&amp;"|"&amp;AQ80))</f>
        <v>1</v>
      </c>
      <c r="BF80" s="22">
        <f>IF(ISNA(MATCH(E80,nLIST_AnchorType,0)),0,1)</f>
        <v>1</v>
      </c>
      <c r="BG80" s="22">
        <f t="shared" si="149"/>
        <v>0</v>
      </c>
      <c r="BH80" s="22">
        <f t="shared" si="150"/>
        <v>1</v>
      </c>
      <c r="BI80" s="22">
        <f>IF(OR(AW80=1,AK80=""),0,IFERROR(MATCH(AX80&amp;"|"&amp;AK80,nTP_Key,0),0))</f>
        <v>318</v>
      </c>
      <c r="BJ80" s="21">
        <f>IF(BI80=0,0,INDEX(nTP_Dup,BI80))</f>
        <v>1</v>
      </c>
      <c r="BK80" s="21" t="str">
        <f>IF(BI80=0,"",INDEX(nTP_Record_Type,BI80))</f>
        <v>EVENT_ONSET</v>
      </c>
      <c r="BL80" s="21" t="str">
        <f>IF(BI80=0,"",INDEX(nTP_Precision,BI80))</f>
        <v>DATE</v>
      </c>
      <c r="BM80" s="21" t="str">
        <f>IF(BI80=0,"",INDEX(nTP_Err,BI80))</f>
        <v/>
      </c>
      <c r="BN80" s="21">
        <f>IF(BI80=0,0,INDEX(nTP_HT,BI80))</f>
        <v>0</v>
      </c>
      <c r="BO80" s="21">
        <f>IF(BI80=0,0,INDEX(nTP_OK,BI80))</f>
        <v>0</v>
      </c>
      <c r="BP80" s="21" t="str">
        <f>IF(BI80=0,"",INDEX(nTP_Loc,BI80))</f>
        <v/>
      </c>
      <c r="BQ80" s="21" t="str">
        <f>IF(BI80=0,"",INDEX(nTP_UTC,BI80))</f>
        <v/>
      </c>
      <c r="BR80" s="21">
        <f>IF(BI80=0,"",INDEX(nTP_Lo,BI80))</f>
        <v>46027</v>
      </c>
      <c r="BS80" s="21">
        <f>IF(BI80=0,"",INDEX(nTP_Hi,BI80))</f>
        <v>46027</v>
      </c>
      <c r="BT80" s="21" t="str">
        <f>IF(BI80=0,"",INDEX(nTP_Original_Text,BI80))</f>
        <v>2026-01-05</v>
      </c>
      <c r="BU80" s="21" t="str">
        <f>IF(BI80=0,"",INDEX(nTP_Source,BI80))</f>
        <v>tto_calc_test_vectors_v1.1.json V03</v>
      </c>
      <c r="BV80" s="21" t="str">
        <f>IF(BI80=0,"",INDEX(nTP_Lab_Note,BI80))</f>
        <v/>
      </c>
      <c r="BW80" s="22">
        <f t="shared" si="151"/>
        <v>1</v>
      </c>
      <c r="BX80" s="21" t="str">
        <f t="shared" si="152"/>
        <v>VEC-V03|1|EX1</v>
      </c>
      <c r="BY80" s="22">
        <f>IF(BG80=0,0,COUNTIF(nTP_CandKey,BX80))</f>
        <v>0</v>
      </c>
      <c r="BZ80" s="22">
        <f>IF(BG80=0,0,COUNTIFS(nTP_CandKey,BX80,nTP_Err,""))</f>
        <v>0</v>
      </c>
      <c r="CA80" s="21" t="str">
        <f>IF(BY80=BZ80,"",IF(COUNTIFS(nTP_CandKey,BX80,nTP_Err,"E_INVALID_DATE")&gt;0,"; E_INVALID_DATE","")&amp;IF(COUNTIFS(nTP_CandKey,BX80,nTP_Err,"E_REVERSED_BOUNDS")&gt;0,"; E_REVERSED_BOUNDS","")&amp;IF(COUNTIFS(nTP_CandKey,BX80,nTP_Err,"E_MISSING_INPUT")&gt;0,"; E_MISSING_INPUT","")&amp;IF(COUNTIFS(nTP_CandKey,BX80,nTP_Err,"E_INVALID_UNIT")&gt;0,"; E_INVALID_UNIT",""))</f>
        <v/>
      </c>
      <c r="CB80" s="22">
        <f t="shared" si="153"/>
        <v>0</v>
      </c>
      <c r="CC80" s="22">
        <f>IF(CB80=0,0,SUMPRODUCT((nTP_CandKey=BX80)*(nTP_Err="")*(1-(nTP_HT*BN80*((nTP_OK*BO80*(nTP_UTC_n-N(BQ80))+(1-nTP_OK*BO80)*(nTP_Loc_n-N(BP80)))&lt;=0)+(1-nTP_HT*BN80)*(nTP_Hi_n&lt;N(BR80)))-(nTP_HT*BN80*((nTP_OK*BO80*(nTP_UTC_n-N(BQ80))+(1-nTP_OK*BO80)*(nTP_Loc_n-N(BP80)))&gt;0)+(1-nTP_HT*BN80)*(nTP_Lo_n&gt;N(BS80)))-((1-nTP_HT*BN80)*(nTP_Lo_n=nTP_Hi_n)*(nTP_Lo_n=N(BR80))*(N(BR80)=N(BS80))))))</f>
        <v>0</v>
      </c>
      <c r="CD80" s="22">
        <f>IF(CB80=0,0,SUMPRODUCT((nTP_CandKey=BX80)*nTP_Exact*((nTP_HT*BN80*((nTP_OK*BO80*(nTP_UTC_n-N(BQ80))+(1-nTP_OK*BO80)*(nTP_Loc_n-N(BP80)))&lt;=0)+(1-nTP_HT*BN80)*(nTP_Hi_n&lt;N(BR80)))+((1-nTP_HT*BN80)*(nTP_Lo_n=nTP_Hi_n)*(nTP_Lo_n=N(BR80))*(N(BR80)=N(BS80))))))</f>
        <v>0</v>
      </c>
      <c r="CE80" s="22">
        <f>IF(CB80=0,0,SUMPRODUCT((nTP_CandKey=BX80)*(nTP_Err="")*(1-nTP_Exact)*((nTP_HT*BN80*((nTP_OK*BO80*(nTP_UTC_n-N(BQ80))+(1-nTP_OK*BO80)*(nTP_Loc_n-N(BP80)))&lt;=0)+(1-nTP_HT*BN80)*(nTP_Hi_n&lt;N(BR80)))+((1-nTP_HT*BN80)*(nTP_Lo_n=nTP_Hi_n)*(nTP_Lo_n=N(BR80))*(N(BR80)=N(BS80))))))</f>
        <v>0</v>
      </c>
      <c r="CF80" s="22">
        <f>IF(CD80=0,0,SUMPRODUCT(MAX((nTP_CandKey=BX80)*nTP_Exact*((nTP_HT*BN80*((nTP_OK*BO80*(nTP_UTC_n-N(BQ80))+(1-nTP_OK*BO80)*(nTP_Loc_n-N(BP80)))&lt;=0)+(1-nTP_HT*BN80)*(nTP_Hi_n&lt;N(BR80)))+((1-nTP_HT*BN80)*(nTP_Lo_n=nTP_Hi_n)*(nTP_Lo_n=N(BR80))*(N(BR80)=N(BS80))))*nTP_Lo_n)))</f>
        <v>0</v>
      </c>
      <c r="CG80" s="22">
        <f>IF(CD80=0,0,SUMPRODUCT((nTP_CandKey=BX80)*nTP_Exact*((nTP_HT*BN80*((nTP_OK*BO80*(nTP_UTC_n-N(BQ80))+(1-nTP_OK*BO80)*(nTP_Loc_n-N(BP80)))&lt;=0)+(1-nTP_HT*BN80)*(nTP_Hi_n&lt;N(BR80)))+((1-nTP_HT*BN80)*(nTP_Lo_n=nTP_Hi_n)*(nTP_Lo_n=N(BR80))*(N(BR80)=N(BS80))))*(nTP_Lo_n=CF80)))</f>
        <v>0</v>
      </c>
      <c r="CH80" s="22">
        <f>IF(CD80=0,0,SUMPRODUCT((nTP_CandKey=BX80)*nTP_Exact*((nTP_HT*BN80*((nTP_OK*BO80*(nTP_UTC_n-N(BQ80))+(1-nTP_OK*BO80)*(nTP_Loc_n-N(BP80)))&lt;=0)+(1-nTP_HT*BN80)*(nTP_Hi_n&lt;N(BR80)))+((1-nTP_HT*BN80)*(nTP_Lo_n=nTP_Hi_n)*(nTP_Lo_n=N(BR80))*(N(BR80)=N(BS80))))*(1-nTP_HT)*(nTP_Lo_n=CF80)))</f>
        <v>0</v>
      </c>
      <c r="CI80" s="22">
        <f>IF(CD80=0,0,SUMPRODUCT(MAX((nTP_CandKey=BX80)*nTP_Exact*((nTP_HT*BN80*((nTP_OK*BO80*(nTP_UTC_n-N(BQ80))+(1-nTP_OK*BO80)*(nTP_Loc_n-N(BP80)))&lt;=0)+(1-nTP_HT*BN80)*(nTP_Hi_n&lt;N(BR80)))+((1-nTP_HT*BN80)*(nTP_Lo_n=nTP_Hi_n)*(nTP_Lo_n=N(BR80))*(N(BR80)=N(BS80))))*(1-nTP_HT)*nTP_Lo_n)))</f>
        <v>0</v>
      </c>
      <c r="CJ80" s="22">
        <f>IF(CD80=0,0,SUMPRODUCT(MAX((nTP_CandKey=BX80)*nTP_Exact*((nTP_HT*BN80*((nTP_OK*BO80*(nTP_UTC_n-N(BQ80))+(1-nTP_OK*BO80)*(nTP_Loc_n-N(BP80)))&lt;=0)+(1-nTP_HT*BN80)*(nTP_Hi_n&lt;N(BR80)))+((1-nTP_HT*BN80)*(nTP_Lo_n=nTP_Hi_n)*(nTP_Lo_n=N(BR80))*(N(BR80)=N(BS80))))*nTP_HT*nTP_OK*nTP_UTC_n)))</f>
        <v>0</v>
      </c>
      <c r="CK80" s="22">
        <f>IF(CJ80=0,0,SUMPRODUCT((nTP_CandKey=BX80)*nTP_Exact*((nTP_HT*BN80*((nTP_OK*BO80*(nTP_UTC_n-N(BQ80))+(1-nTP_OK*BO80)*(nTP_Loc_n-N(BP80)))&lt;=0)+(1-nTP_HT*BN80)*(nTP_Hi_n&lt;N(BR80)))+((1-nTP_HT*BN80)*(nTP_Lo_n=nTP_Hi_n)*(nTP_Lo_n=N(BR80))*(N(BR80)=N(BS80))))*nTP_HT*nTP_OK*(nTP_UTC_n=CJ80)))</f>
        <v>0</v>
      </c>
      <c r="CL80" s="22">
        <f>IF(CK80&lt;&gt;1,0,SUMPRODUCT((nTP_CandKey=BX80)*nTP_Exact*((nTP_HT*BN80*((nTP_OK*BO80*(nTP_UTC_n-N(BQ80))+(1-nTP_OK*BO80)*(nTP_Loc_n-N(BP80)))&lt;=0)+(1-nTP_HT*BN80)*(nTP_Hi_n&lt;N(BR80)))+((1-nTP_HT*BN80)*(nTP_Lo_n=nTP_Hi_n)*(nTP_Lo_n=N(BR80))*(N(BR80)=N(BS80))))*nTP_HT*nTP_OK*(nTP_UTC_n=CJ80)*nTP_Loc_n))</f>
        <v>0</v>
      </c>
      <c r="CM80" s="22">
        <f>IF(CK80&lt;&gt;1,0,SUMPRODUCT((nTP_CandKey=BX80)*nTP_Exact*((nTP_HT*BN80*((nTP_OK*BO80*(nTP_UTC_n-N(BQ80))+(1-nTP_OK*BO80)*(nTP_Loc_n-N(BP80)))&lt;=0)+(1-nTP_HT*BN80)*(nTP_Hi_n&lt;N(BR80)))+((1-nTP_HT*BN80)*(nTP_Lo_n=nTP_Hi_n)*(nTP_Lo_n=N(BR80))*(N(BR80)=N(BS80))))*nTP_HT*nTP_OK*(nTP_UTC_n=CJ80)*nTP_Lo_n))</f>
        <v>0</v>
      </c>
      <c r="CN80" s="22">
        <f>IF(CD80=0,0,SUMPRODUCT(MAX((nTP_CandKey=BX80)*nTP_Exact*((nTP_HT*BN80*((nTP_OK*BO80*(nTP_UTC_n-N(BQ80))+(1-nTP_OK*BO80)*(nTP_Loc_n-N(BP80)))&lt;=0)+(1-nTP_HT*BN80)*(nTP_Hi_n&lt;N(BR80)))+((1-nTP_HT*BN80)*(nTP_Lo_n=nTP_Hi_n)*(nTP_Lo_n=N(BR80))*(N(BR80)=N(BS80))))*nTP_HT*(1-nTP_OK)*nTP_Loc_n)))</f>
        <v>0</v>
      </c>
      <c r="CO80" s="22">
        <f>IF(CN80=0,0,SUMPRODUCT((nTP_CandKey=BX80)*nTP_Exact*((nTP_HT*BN80*((nTP_OK*BO80*(nTP_UTC_n-N(BQ80))+(1-nTP_OK*BO80)*(nTP_Loc_n-N(BP80)))&lt;=0)+(1-nTP_HT*BN80)*(nTP_Hi_n&lt;N(BR80)))+((1-nTP_HT*BN80)*(nTP_Lo_n=nTP_Hi_n)*(nTP_Lo_n=N(BR80))*(N(BR80)=N(BS80))))*nTP_HT*(1-nTP_OK)*(nTP_Loc_n=CN80)))</f>
        <v>0</v>
      </c>
      <c r="CP80" s="22">
        <f>IF(CO80&lt;&gt;1,0,SUMPRODUCT((nTP_CandKey=BX80)*nTP_Exact*((nTP_HT*BN80*((nTP_OK*BO80*(nTP_UTC_n-N(BQ80))+(1-nTP_OK*BO80)*(nTP_Loc_n-N(BP80)))&lt;=0)+(1-nTP_HT*BN80)*(nTP_Hi_n&lt;N(BR80)))+((1-nTP_HT*BN80)*(nTP_Lo_n=nTP_Hi_n)*(nTP_Lo_n=N(BR80))*(N(BR80)=N(BS80))))*nTP_HT*(1-nTP_OK)*(nTP_Loc_n=CN80)*nTP_Lo_n))</f>
        <v>0</v>
      </c>
      <c r="CQ80" s="22">
        <f>IF(CD80=0,0,SUMPRODUCT(MAX((nTP_CandKey=BX80)*nTP_Exact*((nTP_HT*BN80*((nTP_OK*BO80*(nTP_UTC_n-N(BQ80))+(1-nTP_OK*BO80)*(nTP_Loc_n-N(BP80)))&lt;=0)+(1-nTP_HT*BN80)*(nTP_Hi_n&lt;N(BR80)))+((1-nTP_HT*BN80)*(nTP_Lo_n=nTP_Hi_n)*(nTP_Lo_n=N(BR80))*(N(BR80)=N(BS80))))*nTP_HT*nTP_OK*nTP_Loc_n)))</f>
        <v>0</v>
      </c>
      <c r="CR80" s="22">
        <f t="shared" si="154"/>
        <v>0</v>
      </c>
      <c r="CS80" s="22">
        <f>IF(CR80=0,0,IF(CR80=1,MATCH(1,INDEX((nTP_CandKey=BX80)*nTP_Exact*((nTP_HT*BN80*((nTP_OK*BO80*(nTP_UTC_n-N(BQ80))+(1-nTP_OK*BO80)*(nTP_Loc_n-N(BP80)))&lt;=0)+(1-nTP_HT*BN80)*(nTP_Hi_n&lt;N(BR80)))+((1-nTP_HT*BN80)*(nTP_Lo_n=nTP_Hi_n)*(nTP_Lo_n=N(BR80))*(N(BR80)=N(BS80))))*(1-nTP_HT)*(nTP_Lo_n=CF80),0),0),IF(CR80=2,MATCH(1,INDEX((nTP_CandKey=BX80)*nTP_Exact*((nTP_HT*BN80*((nTP_OK*BO80*(nTP_UTC_n-N(BQ80))+(1-nTP_OK*BO80)*(nTP_Loc_n-N(BP80)))&lt;=0)+(1-nTP_HT*BN80)*(nTP_Hi_n&lt;N(BR80)))+((1-nTP_HT*BN80)*(nTP_Lo_n=nTP_Hi_n)*(nTP_Lo_n=N(BR80))*(N(BR80)=N(BS80))))*nTP_HT*nTP_OK*(nTP_UTC_n=CJ80),0),0),MATCH(1,INDEX((nTP_CandKey=BX80)*nTP_Exact*((nTP_HT*BN80*((nTP_OK*BO80*(nTP_UTC_n-N(BQ80))+(1-nTP_OK*BO80)*(nTP_Loc_n-N(BP80)))&lt;=0)+(1-nTP_HT*BN80)*(nTP_Hi_n&lt;N(BR80)))+((1-nTP_HT*BN80)*(nTP_Lo_n=nTP_Hi_n)*(nTP_Lo_n=N(BR80))*(N(BR80)=N(BS80))))*nTP_HT*(1-nTP_OK)*(nTP_Loc_n=CN80),0),0))))</f>
        <v>0</v>
      </c>
      <c r="CT80" s="22">
        <f>IF(CS80=0,0,INDEX(nTP_Lo_n,CS80))</f>
        <v>0</v>
      </c>
      <c r="CU80" s="22">
        <f>IF(CS80=0,0,SUMPRODUCT((nTP_CandKey=BX80)*(nTP_Err="")*(1-nTP_Exact)*((nTP_HT*BN80*((nTP_OK*BO80*(nTP_UTC_n-N(BQ80))+(1-nTP_OK*BO80)*(nTP_Loc_n-N(BP80)))&lt;=0)+(1-nTP_HT*BN80)*(nTP_Hi_n&lt;N(BR80)))+((1-nTP_HT*BN80)*(nTP_Lo_n=nTP_Hi_n)*(nTP_Lo_n=N(BR80))*(N(BR80)=N(BS80))))*(nTP_Hi_n&gt;=CT80)))</f>
        <v>0</v>
      </c>
      <c r="CV80" s="21" t="str">
        <f t="shared" si="155"/>
        <v/>
      </c>
      <c r="CW80" s="21" t="str">
        <f>IF(AND(BG80=1,CB80=1,CV80="",CS80&gt;0),INDEX(nTP_Record_ID,CS80)&amp;"","")</f>
        <v/>
      </c>
      <c r="CX80" s="21" t="str">
        <f>IF(OR(CV80="",BG80=0),"",IF(CV80="none","an administration record (last dose before onset)",IF(CV80="uncertain","the anchor record: "&amp;INDEX(nTP_Record_ID,MATCH(1,INDEX((nTP_CandKey=BX80)*(nTP_Err="")*(1-(nTP_HT*BN80*((nTP_OK*BO80*(nTP_UTC_n-N(BQ80))+(1-nTP_OK*BO80)*(nTP_Loc_n-N(BP80)))&lt;=0)+(1-nTP_HT*BN80)*(nTP_Hi_n&lt;N(BR80)))-(nTP_HT*BN80*((nTP_OK*BO80*(nTP_UTC_n-N(BQ80))+(1-nTP_OK*BO80)*(nTP_Loc_n-N(BP80)))&gt;0)+(1-nTP_HT*BN80)*(nTP_Lo_n&gt;N(BS80)))-((1-nTP_HT*BN80)*(nTP_Lo_n=nTP_Hi_n)*(nTP_Lo_n=N(BR80))*(N(BR80)=N(BS80)))),0),0))&amp;IF(CC80&gt;1," and "&amp;(CC80-1)&amp;" more","")&amp;" may fall before or after the end point, so the last dose cannot be identified from the recorded dates",IF(CV80="noneligible","the anchor record: no administration with an exact date is recorded at or before the end point",IF(CV80="tie","the anchor record: the order of the latest administrations cannot be told from the recorded dates and times","the anchor record: partial-date administration "&amp;INDEX(nTP_Record_ID,MATCH(1,INDEX((nTP_CandKey=BX80)*(nTP_Err="")*(1-nTP_Exact)*((nTP_HT*BN80*((nTP_OK*BO80*(nTP_UTC_n-N(BQ80))+(1-nTP_OK*BO80)*(nTP_Loc_n-N(BP80)))&lt;=0)+(1-nTP_HT*BN80)*(nTP_Hi_n&lt;N(BR80)))+((1-nTP_HT*BN80)*(nTP_Lo_n=nTP_Hi_n)*(nTP_Lo_n=N(BR80))*(N(BR80)=N(BS80))))*(nTP_Hi_n&gt;=CT80),0),0))&amp;" could be the last dose before the end point")))))</f>
        <v/>
      </c>
      <c r="CY80" s="22">
        <f>IF(OR(AW80=1,AJ80=""),0,IFERROR(MATCH(AX80&amp;"|"&amp;AJ80,nTP_Key,0),0))</f>
        <v>46</v>
      </c>
      <c r="CZ80" s="21">
        <f>IF(CY80=0,0,INDEX(nTP_Dup,CY80))</f>
        <v>1</v>
      </c>
      <c r="DA80" s="21" t="str">
        <f>IF(CY80=0,"",INDEX(nTP_Record_Type,CY80))</f>
        <v>EXPOSURE_START</v>
      </c>
      <c r="DB80" s="21" t="str">
        <f>IF(CY80=0,"",INDEX(nTP_Precision,CY80))</f>
        <v>DATE</v>
      </c>
      <c r="DC80" s="21" t="str">
        <f>IF(CY80=0,"",INDEX(nTP_Err,CY80))</f>
        <v/>
      </c>
      <c r="DD80" s="21">
        <f>IF(CY80=0,0,INDEX(nTP_HT,CY80))</f>
        <v>0</v>
      </c>
      <c r="DE80" s="21">
        <f>IF(CY80=0,0,INDEX(nTP_OK,CY80))</f>
        <v>0</v>
      </c>
      <c r="DF80" s="21" t="str">
        <f>IF(CY80=0,"",INDEX(nTP_Loc,CY80))</f>
        <v/>
      </c>
      <c r="DG80" s="21" t="str">
        <f>IF(CY80=0,"",INDEX(nTP_UTC,CY80))</f>
        <v/>
      </c>
      <c r="DH80" s="21">
        <f>IF(CY80=0,"",INDEX(nTP_Lo,CY80))</f>
        <v>46027</v>
      </c>
      <c r="DI80" s="21">
        <f>IF(CY80=0,"",INDEX(nTP_Hi,CY80))</f>
        <v>46027</v>
      </c>
      <c r="DJ80" s="21" t="str">
        <f>IF(CY80=0,"",INDEX(nTP_Original_Text,CY80))</f>
        <v>2026-01-05</v>
      </c>
      <c r="DK80" s="21" t="str">
        <f>IF(CY80=0,"",INDEX(nTP_Source,CY80))</f>
        <v>tto_calc_test_vectors_v1.1.json V03</v>
      </c>
      <c r="DL80" s="22">
        <f t="shared" si="156"/>
        <v>1</v>
      </c>
      <c r="DM80" s="21" t="str">
        <f t="shared" si="157"/>
        <v/>
      </c>
      <c r="DN80" s="21" t="str">
        <f t="shared" si="158"/>
        <v/>
      </c>
      <c r="DO80" s="21" t="str">
        <f t="shared" si="159"/>
        <v/>
      </c>
      <c r="DP80" s="21" t="str">
        <f t="shared" si="160"/>
        <v/>
      </c>
      <c r="DQ80" s="21" t="str">
        <f t="shared" si="161"/>
        <v>C2</v>
      </c>
      <c r="DR80" s="22">
        <f>IF(OR(DQ80="",I80=""),0,IF(ISNA(MATCH(I80,nLIST_Mode,0)),1,IF(AND(I80="C1",DQ80&lt;&gt;"C1"),1,IF(AND(I80="C2",DQ80="C4"),1,0))))</f>
        <v>0</v>
      </c>
      <c r="DS80" s="21" t="str">
        <f t="shared" si="162"/>
        <v>C2</v>
      </c>
      <c r="DT80" s="22">
        <f t="shared" si="163"/>
        <v>0</v>
      </c>
      <c r="DU80" s="21" t="str">
        <f>IF(DT80=0,"",IF(COUNTIFS(nTP_Case_Key,AX80,nTP_Record_Type,"MILESTONE:INTERVENTION",nTP_Err,"E_INVALID_DATE")&gt;0,"; E_INVALID_DATE","")&amp;IF(COUNTIFS(nTP_Case_Key,AX80,nTP_Record_Type,"MILESTONE:INTERVENTION",nTP_Err,"E_REVERSED_BOUNDS")&gt;0,"; E_REVERSED_BOUNDS","")&amp;IF(COUNTIFS(nTP_Case_Key,AX80,nTP_Record_Type,"MILESTONE:INTERVENTION",nTP_Err,"E_MISSING_INPUT")&gt;0,"; E_MISSING_INPUT","")&amp;IF(COUNTIFS(nTP_Case_Key,AX80,nTP_Record_Type,"MILESTONE:INTERVENTION",nTP_Err,"E_INVALID_UNIT")&gt;0,"; E_INVALID_UNIT",""))</f>
        <v/>
      </c>
      <c r="DV80" s="22">
        <f>IF(DT80=0,0,SUMPRODUCT((nMS_CaseKey=AX80)*(nMS_Type="INTERVENTION")*nMS_Undated))</f>
        <v>0</v>
      </c>
      <c r="DW80" s="21" t="str">
        <f t="shared" si="164"/>
        <v/>
      </c>
      <c r="DX80" s="21" t="str">
        <f t="shared" si="165"/>
        <v/>
      </c>
      <c r="DY80" s="22">
        <f t="shared" si="166"/>
        <v>1</v>
      </c>
      <c r="DZ80" s="21" t="str">
        <f t="shared" si="167"/>
        <v/>
      </c>
      <c r="EA80" s="21">
        <f t="shared" si="168"/>
        <v>0</v>
      </c>
      <c r="EB80" s="21" t="str">
        <f t="shared" si="169"/>
        <v/>
      </c>
      <c r="EC80" s="21" t="str">
        <f t="shared" si="170"/>
        <v/>
      </c>
      <c r="ED80" s="22">
        <f t="shared" si="171"/>
        <v>0</v>
      </c>
      <c r="EE80" s="22">
        <f t="shared" si="172"/>
        <v>0</v>
      </c>
      <c r="EF80" s="21" t="str">
        <f>IF(ED80=0,"",IF(OR(NOT(ISNUMBER(L80)),NOT(ISNUMBER(M80))),"I_APPROXIMATE_NOT_COMPARED",IF(AND(N80&lt;&gt;"",ISNA(MATCH(N80,nLIST_ReportedUnit,0))),"E_INVALID_UNIT",IF(N80="","E_MISSING_INPUT",IF(L80&gt;M80,"E_REVERSED_BOUNDS",IF(OR(N80="weeks",N80="months",N80="years"),"I_APPROXIMATE_NOT_COMPARED",IF(DX80&lt;&gt;"","",IF(EE80=0,"I_APPROXIMATE_NOT_COMPARED",IF(AND(L80*EE80&lt;=IF(DS80="C4",EC80,IF(DS80="C1",DZ80,EA80)),M80*EE80&gt;=IF(DS80="C4",EB80,IF(DS80="C1",DZ80,EA80))),"OVERLAP","W_REPORTED_TIMING_CONFLICT")))))))))</f>
        <v/>
      </c>
      <c r="EG80" s="21" t="str">
        <f t="shared" si="173"/>
        <v/>
      </c>
      <c r="EH80" s="21" t="str">
        <f t="shared" si="174"/>
        <v/>
      </c>
      <c r="EI80" s="22">
        <f t="shared" si="175"/>
        <v>1</v>
      </c>
      <c r="EJ80" s="22">
        <f t="shared" si="176"/>
        <v>0</v>
      </c>
      <c r="EK80" s="22">
        <f t="shared" si="177"/>
        <v>0</v>
      </c>
      <c r="EL80" s="28" t="str">
        <f t="shared" si="178"/>
        <v/>
      </c>
      <c r="EM80" s="28" t="str">
        <f t="shared" si="179"/>
        <v/>
      </c>
      <c r="EN80" s="21" t="str">
        <f t="shared" si="180"/>
        <v/>
      </c>
      <c r="EO80" s="22">
        <f>IF(OR(DT80=0,DX80&lt;&gt;""),0,SUMPRODUCT((nTP_Case_Key=AX80)*(nTP_Record_Type="MILESTONE:INTERVENTION")*(nTP_Err="")*(nTP_HT*DD80*BN80*(nTP_OK*DE80*(nTP_UTC_n&gt;=N(DG80))+(1-nTP_OK*DE80)*(nTP_Loc_n&gt;=N(DF80)))*(nTP_OK*BO80*(nTP_UTC_n&lt;=N(BQ80))+(1-nTP_OK*BO80)*(nTP_Loc_n&lt;=N(BP80)))+(1-nTP_HT*DD80*BN80)*(nTP_Hi_n&gt;=N(DH80))*(nTP_Lo_n&lt;=N(BS80)))))</f>
        <v>0</v>
      </c>
      <c r="EP80" s="22">
        <f>IF(OR(DT80=0,DX80&lt;&gt;""),0,SUMPRODUCT((nTP_Case_Key=AX80)*(nTP_Role="treatment of the event")*((nTP_Record_Type="EXPOSURE_START")+(nTP_Record_Type="ADMINISTRATION"))*(nTP_Err="")*(nTP_HT*DD80*BN80*(nTP_OK*DE80*(nTP_UTC_n&gt;=N(DG80))+(1-nTP_OK*DE80)*(nTP_Loc_n&gt;=N(DF80)))*(nTP_OK*BO80*(nTP_UTC_n&lt;=N(BQ80))+(1-nTP_OK*BO80)*(nTP_Loc_n&lt;=N(BP80)))+(1-nTP_HT*DD80*BN80)*(nTP_Hi_n&gt;=N(DH80))*(nTP_Lo_n&lt;=N(BS80)))))</f>
        <v>0</v>
      </c>
      <c r="EQ80" s="22">
        <f>IF(EO80&lt;1,0,IFERROR(_xlfn.AGGREGATE(15,6,nTP_RowN/((nTP_Case_Key=AX80)*(nTP_Record_Type="MILESTONE:INTERVENTION")*(nTP_Err="")*(nTP_HT*DD80*BN80*(nTP_OK*DE80*(nTP_UTC_n&gt;=N(DG80))+(1-nTP_OK*DE80)*(nTP_Loc_n&gt;=N(DF80)))*(nTP_OK*BO80*(nTP_UTC_n&lt;=N(BQ80))+(1-nTP_OK*BO80)*(nTP_Loc_n&lt;=N(BP80)))+(1-nTP_HT*DD80*BN80)*(nTP_Hi_n&gt;=N(DH80))*(nTP_Lo_n&lt;=N(BS80)))),1),0))</f>
        <v>0</v>
      </c>
      <c r="ER80" s="22">
        <f>IF(EO80&lt;2,0,IFERROR(_xlfn.AGGREGATE(15,6,nTP_RowN/((nTP_Case_Key=AX80)*(nTP_Record_Type="MILESTONE:INTERVENTION")*(nTP_Err="")*(nTP_HT*DD80*BN80*(nTP_OK*DE80*(nTP_UTC_n&gt;=N(DG80))+(1-nTP_OK*DE80)*(nTP_Loc_n&gt;=N(DF80)))*(nTP_OK*BO80*(nTP_UTC_n&lt;=N(BQ80))+(1-nTP_OK*BO80)*(nTP_Loc_n&lt;=N(BP80)))+(1-nTP_HT*DD80*BN80)*(nTP_Hi_n&gt;=N(DH80))*(nTP_Lo_n&lt;=N(BS80)))),2),0))</f>
        <v>0</v>
      </c>
      <c r="ES80" s="22">
        <f>IF(EO80&lt;3,0,IFERROR(_xlfn.AGGREGATE(15,6,nTP_RowN/((nTP_Case_Key=AX80)*(nTP_Record_Type="MILESTONE:INTERVENTION")*(nTP_Err="")*(nTP_HT*DD80*BN80*(nTP_OK*DE80*(nTP_UTC_n&gt;=N(DG80))+(1-nTP_OK*DE80)*(nTP_Loc_n&gt;=N(DF80)))*(nTP_OK*BO80*(nTP_UTC_n&lt;=N(BQ80))+(1-nTP_OK*BO80)*(nTP_Loc_n&lt;=N(BP80)))+(1-nTP_HT*DD80*BN80)*(nTP_Hi_n&gt;=N(DH80))*(nTP_Lo_n&lt;=N(BS80)))),3),0))</f>
        <v>0</v>
      </c>
      <c r="ET80" s="22">
        <f>IF(EP80&lt;1,0,IFERROR(_xlfn.AGGREGATE(15,6,nTP_RowN/((nTP_Case_Key=AX80)*(nTP_Role="treatment of the event")*((nTP_Record_Type="EXPOSURE_START")+(nTP_Record_Type="ADMINISTRATION"))*(nTP_Err="")*(nTP_HT*DD80*BN80*(nTP_OK*DE80*(nTP_UTC_n&gt;=N(DG80))+(1-nTP_OK*DE80)*(nTP_Loc_n&gt;=N(DF80)))*(nTP_OK*BO80*(nTP_UTC_n&lt;=N(BQ80))+(1-nTP_OK*BO80)*(nTP_Loc_n&lt;=N(BP80)))+(1-nTP_HT*DD80*BN80)*(nTP_Hi_n&gt;=N(DH80))*(nTP_Lo_n&lt;=N(BS80)))),1),0))</f>
        <v>0</v>
      </c>
      <c r="EU80" s="22">
        <f>IF(EP80&lt;2,0,IFERROR(_xlfn.AGGREGATE(15,6,nTP_RowN/((nTP_Case_Key=AX80)*(nTP_Role="treatment of the event")*((nTP_Record_Type="EXPOSURE_START")+(nTP_Record_Type="ADMINISTRATION"))*(nTP_Err="")*(nTP_HT*DD80*BN80*(nTP_OK*DE80*(nTP_UTC_n&gt;=N(DG80))+(1-nTP_OK*DE80)*(nTP_Loc_n&gt;=N(DF80)))*(nTP_OK*BO80*(nTP_UTC_n&lt;=N(BQ80))+(1-nTP_OK*BO80)*(nTP_Loc_n&lt;=N(BP80)))+(1-nTP_HT*DD80*BN80)*(nTP_Hi_n&gt;=N(DH80))*(nTP_Lo_n&lt;=N(BS80)))),2),0))</f>
        <v>0</v>
      </c>
      <c r="EV80" s="22">
        <f>IF(EP80&lt;3,0,IFERROR(_xlfn.AGGREGATE(15,6,nTP_RowN/((nTP_Case_Key=AX80)*(nTP_Role="treatment of the event")*((nTP_Record_Type="EXPOSURE_START")+(nTP_Record_Type="ADMINISTRATION"))*(nTP_Err="")*(nTP_HT*DD80*BN80*(nTP_OK*DE80*(nTP_UTC_n&gt;=N(DG80))+(1-nTP_OK*DE80)*(nTP_Loc_n&gt;=N(DF80)))*(nTP_OK*BO80*(nTP_UTC_n&lt;=N(BQ80))+(1-nTP_OK*BO80)*(nTP_Loc_n&lt;=N(BP80)))+(1-nTP_HT*DD80*BN80)*(nTP_Hi_n&gt;=N(DH80))*(nTP_Lo_n&lt;=N(BS80)))),3),0))</f>
        <v>0</v>
      </c>
      <c r="EW80" s="22">
        <f>IF(CE80&lt;1,0,IFERROR(_xlfn.AGGREGATE(15,6,nTP_RowN/((nTP_CandKey=BX80)*(nTP_Err="")*(1-nTP_Exact)*((nTP_HT*BN80*((nTP_OK*BO80*(nTP_UTC_n-N(BQ80))+(1-nTP_OK*BO80)*(nTP_Loc_n-N(BP80)))&lt;=0)+(1-nTP_HT*BN80)*(nTP_Hi_n&lt;N(BR80)))+((1-nTP_HT*BN80)*(nTP_Lo_n=nTP_Hi_n)*(nTP_Lo_n=N(BR80))*(N(BR80)=N(BS80))))),1),0))</f>
        <v>0</v>
      </c>
      <c r="EX80" s="22">
        <f>IF(CE80&lt;2,0,IFERROR(_xlfn.AGGREGATE(15,6,nTP_RowN/((nTP_CandKey=BX80)*(nTP_Err="")*(1-nTP_Exact)*((nTP_HT*BN80*((nTP_OK*BO80*(nTP_UTC_n-N(BQ80))+(1-nTP_OK*BO80)*(nTP_Loc_n-N(BP80)))&lt;=0)+(1-nTP_HT*BN80)*(nTP_Hi_n&lt;N(BR80)))+((1-nTP_HT*BN80)*(nTP_Lo_n=nTP_Hi_n)*(nTP_Lo_n=N(BR80))*(N(BR80)=N(BS80))))),2),0))</f>
        <v>0</v>
      </c>
      <c r="EY80" s="22">
        <f>IF(CE80&lt;3,0,IFERROR(_xlfn.AGGREGATE(15,6,nTP_RowN/((nTP_CandKey=BX80)*(nTP_Err="")*(1-nTP_Exact)*((nTP_HT*BN80*((nTP_OK*BO80*(nTP_UTC_n-N(BQ80))+(1-nTP_OK*BO80)*(nTP_Loc_n-N(BP80)))&lt;=0)+(1-nTP_HT*BN80)*(nTP_Hi_n&lt;N(BR80)))+((1-nTP_HT*BN80)*(nTP_Lo_n=nTP_Hi_n)*(nTP_Lo_n=N(BR80))*(N(BR80)=N(BS80))))),3),0))</f>
        <v>0</v>
      </c>
      <c r="EZ80" s="21" t="str">
        <f>IF(EO80=0,"",MID(IF(EQ80&gt;0,"; "&amp;INDEX(nTP_Record_ID,EQ80)&amp;IF(INDEX(nTP_Label,EQ80)="",""," ("&amp;INDEX(nTP_Label,EQ80)&amp;")"),"")&amp;IF(ER80&gt;0,"; "&amp;INDEX(nTP_Record_ID,ER80)&amp;IF(INDEX(nTP_Label,ER80)="",""," ("&amp;INDEX(nTP_Label,ER80)&amp;")"),"")&amp;IF(ES80&gt;0,"; "&amp;INDEX(nTP_Record_ID,ES80)&amp;IF(INDEX(nTP_Label,ES80)="",""," ("&amp;INDEX(nTP_Label,ES80)&amp;")"),"")&amp;IF(EO80&gt;3,"; and "&amp;(EO80-3)&amp;" more",""),3,999))</f>
        <v/>
      </c>
      <c r="FA80" s="21" t="str">
        <f>IF(EO80=0,"",MID(IF(EQ80&gt;0,"; "&amp;INDEX(nTP_Record_ID,EQ80),"")&amp;IF(ER80&gt;0,"; "&amp;INDEX(nTP_Record_ID,ER80),"")&amp;IF(ES80&gt;0,"; "&amp;INDEX(nTP_Record_ID,ES80),"")&amp;IF(EO80&gt;3,"; and "&amp;(EO80-3)&amp;" more",""),3,999))</f>
        <v/>
      </c>
      <c r="FB80" s="21" t="str">
        <f>IF(EP80=0,"",MID(IF(ET80&gt;0,"; "&amp;INDEX(nTP_Record_ID,ET80)&amp;IF(INDEX(nTP_Label,ET80)="",""," ("&amp;INDEX(nTP_Label,ET80)&amp;")"),"")&amp;IF(EU80&gt;0,"; "&amp;INDEX(nTP_Record_ID,EU80)&amp;IF(INDEX(nTP_Label,EU80)="",""," ("&amp;INDEX(nTP_Label,EU80)&amp;")"),"")&amp;IF(EV80&gt;0,"; "&amp;INDEX(nTP_Record_ID,EV80)&amp;IF(INDEX(nTP_Label,EV80)="",""," ("&amp;INDEX(nTP_Label,EV80)&amp;")"),"")&amp;IF(EP80&gt;3,"; and "&amp;(EP80-3)&amp;" more",""),3,999))</f>
        <v/>
      </c>
      <c r="FC80" s="21" t="str">
        <f>IF(CE80=0,"",MID(IF(EW80&gt;0,"; "&amp;INDEX(nTP_Record_ID,EW80),"")&amp;IF(EX80&gt;0,"; "&amp;INDEX(nTP_Record_ID,EX80),"")&amp;IF(EY80&gt;0,"; "&amp;INDEX(nTP_Record_ID,EY80),"")&amp;IF(CE80&gt;3,"; and "&amp;(CE80-3)&amp;" more",""),3,999))</f>
        <v/>
      </c>
      <c r="FD80" s="22">
        <f t="shared" si="181"/>
        <v>0</v>
      </c>
      <c r="FE80" s="22">
        <f t="shared" si="182"/>
        <v>1</v>
      </c>
      <c r="FF80" s="22">
        <f t="shared" si="183"/>
        <v>0</v>
      </c>
      <c r="FG80" s="22">
        <f t="shared" si="184"/>
        <v>0</v>
      </c>
      <c r="FH80" s="22">
        <f t="shared" si="185"/>
        <v>0</v>
      </c>
      <c r="FI80" s="22">
        <f t="shared" si="186"/>
        <v>0</v>
      </c>
      <c r="FJ80" s="22">
        <f t="shared" si="187"/>
        <v>0</v>
      </c>
      <c r="FK80" s="22">
        <f t="shared" si="188"/>
        <v>0</v>
      </c>
    </row>
    <row r="81" spans="1:167" x14ac:dyDescent="0.2">
      <c r="A81" s="9" t="s">
        <v>1180</v>
      </c>
      <c r="B81" s="9" t="s">
        <v>315</v>
      </c>
      <c r="C81" s="11">
        <v>1</v>
      </c>
      <c r="D81" s="9" t="s">
        <v>894</v>
      </c>
      <c r="E81" s="16" t="s">
        <v>51</v>
      </c>
      <c r="F81" s="9"/>
      <c r="G81" s="9" t="s">
        <v>1179</v>
      </c>
      <c r="H81" s="9" t="s">
        <v>1181</v>
      </c>
      <c r="I81" s="16" t="s">
        <v>60</v>
      </c>
      <c r="J81" s="16"/>
      <c r="K81" s="9"/>
      <c r="L81" s="16"/>
      <c r="M81" s="16"/>
      <c r="N81" s="16"/>
      <c r="O81" s="9"/>
      <c r="P81" s="14"/>
      <c r="Q81" s="14"/>
      <c r="R81" s="9"/>
      <c r="S81" s="9"/>
      <c r="T81" s="21" t="str">
        <f t="shared" si="126"/>
        <v>2 calendar days</v>
      </c>
      <c r="U81" s="21" t="str">
        <f t="shared" si="127"/>
        <v>2 calendar days</v>
      </c>
      <c r="V81" s="21">
        <f t="shared" si="128"/>
        <v>2</v>
      </c>
      <c r="W81" s="21" t="str">
        <f t="shared" si="129"/>
        <v/>
      </c>
      <c r="X81" s="21" t="str">
        <f t="shared" si="130"/>
        <v/>
      </c>
      <c r="Y81" s="21" t="str">
        <f t="shared" si="131"/>
        <v>calendar days</v>
      </c>
      <c r="Z81" s="21" t="str">
        <f t="shared" si="132"/>
        <v>C2</v>
      </c>
      <c r="AA81" s="21" t="str">
        <f t="shared" si="133"/>
        <v>AFTER</v>
      </c>
      <c r="AB81" s="21" t="str">
        <f t="shared" si="134"/>
        <v/>
      </c>
      <c r="AC81" s="21" t="str">
        <f t="shared" si="135"/>
        <v/>
      </c>
      <c r="AD81" s="21" t="str">
        <f>IF(AW81=1,"",MID(IF(ISNUMBER(SEARCH("E_INVALID_DATE",EG81))," | E_INVALID_DATE: "&amp;SUBSTITUTE(IFERROR(INDEX(nMSG_Text,MATCH("E_INVALID_DATE",nMSG_Code,0)),""),"[input]",""),"")&amp;IF(ISNUMBER(SEARCH("E_REVERSED_BOUNDS",EG81))," | E_REVERSED_BOUNDS: "&amp;SUBSTITUTE(IFERROR(INDEX(nMSG_Text,MATCH("E_REVERSED_BOUNDS",nMSG_Code,0)),""),"[input]",""),"")&amp;IF(ISNUMBER(SEARCH("E_DUPLICATE_ID",EG81))," | E_DUPLICATE_ID: "&amp;SUBSTITUTE(IFERROR(INDEX(nMSG_Text,MATCH("E_DUPLICATE_ID",nMSG_Code,0)),""),"[input]",""),"")&amp;IF(ISNUMBER(SEARCH("E_MISSING_LINK",EG81))," | E_MISSING_LINK: "&amp;SUBSTITUTE(IFERROR(INDEX(nMSG_Text,MATCH("E_MISSING_LINK",nMSG_Code,0)),""),"[input]",""),"")&amp;IF(ISNUMBER(SEARCH("E_MISSING_INPUT",EG81))," | E_MISSING_INPUT: "&amp;SUBSTITUTE(IFERROR(INDEX(nMSG_Text,MATCH("E_MISSING_INPUT",nMSG_Code,0)),""),"[input]",IF(EH81="","an input",EH81)),"")&amp;IF(ISNUMBER(SEARCH("E_INVALID_UNIT",EG81))," | E_INVALID_UNIT: "&amp;SUBSTITUTE(IFERROR(INDEX(nMSG_Text,MATCH("E_INVALID_UNIT",nMSG_Code,0)),""),"[input]",""),"")&amp;IF(FD81=1," | W_TZ_UNKNOWN: "&amp;SUBSTITUTE(IFERROR(INDEX(nMSG_Text,MATCH("W_TZ_UNKNOWN",nMSG_Code,0)),""),"[input]",""),"")&amp;IF(FE81=1," | W_SAME_DATE_ORDER_UNKNOWN: "&amp;SUBSTITUTE(IFERROR(INDEX(nMSG_Text,MATCH("W_SAME_DATE_ORDER_UNKNOWN",nMSG_Code,0)),""),"[input]",""),"")&amp;IF(FF81=1," | W_SEQUENCE_UNCERTAIN: "&amp;SUBSTITUTE(IFERROR(INDEX(nMSG_Text,MATCH("W_SEQUENCE_UNCERTAIN",nMSG_Code,0)),""),"[input]",""),"")&amp;IF(FG81=1," | W_ADMIN_SAME_DATE_AS_ONSET: "&amp;SUBSTITUTE(IFERROR(INDEX(nMSG_Text,MATCH("W_ADMIN_SAME_DATE_AS_ONSET",nMSG_Code,0)),""),"[input]",""),"")&amp;IF(FH81=1," | W_REPORTED_TIMING_CONFLICT: "&amp;SUBSTITUTE(IFERROR(INDEX(nMSG_Text,MATCH("W_REPORTED_TIMING_CONFLICT",nMSG_Code,0)),""),"[input]",""),"")&amp;IF(FI81=1," | W_INTERVENTION_BEFORE_RECOVERY: "&amp;SUBSTITUTE(IFERROR(INDEX(nMSG_Text,MATCH("W_INTERVENTION_BEFORE_RECOVERY",nMSG_Code,0)),""),"[input]",""),"")&amp;IF(FJ81=1," | I_TREATMENT_DAY_UNDEFINED: "&amp;SUBSTITUTE(IFERROR(INDEX(nMSG_Text,MATCH("I_TREATMENT_DAY_UNDEFINED",nMSG_Code,0)),""),"[input]",""),"")&amp;IF(FK81=1," | I_APPROXIMATE_NOT_COMPARED: "&amp;SUBSTITUTE(IFERROR(INDEX(nMSG_Text,MATCH("I_APPROXIMATE_NOT_COMPARED",nMSG_Code,0)),""),"[input]",""),""),4,9999))</f>
        <v/>
      </c>
      <c r="AE81" s="21" t="str">
        <f t="shared" si="136"/>
        <v/>
      </c>
      <c r="AF81" s="21" t="str">
        <f t="shared" si="137"/>
        <v/>
      </c>
      <c r="AG81" s="21" t="str">
        <f>IF(EN81="","",MID(IF(ISNUMBER(SEARCH("E_REVERSED_BOUNDS",EN81))," | E_REVERSED_BOUNDS: "&amp;SUBSTITUTE(IFERROR(INDEX(nMSG_Text,MATCH("E_REVERSED_BOUNDS",nMSG_Code,0)),""),"[input]",""),"")&amp;IF(ISNUMBER(SEARCH("E_MISSING_INPUT",EN81))," | E_MISSING_INPUT: "&amp;SUBSTITUTE(IFERROR(INDEX(nMSG_Text,MATCH("E_MISSING_INPUT",nMSG_Code,0)),""),"[input]",IF("the source of the constraint"="","an input","the source of the constraint")),""),4,999))</f>
        <v/>
      </c>
      <c r="AH81" s="21" t="str">
        <f t="shared" si="138"/>
        <v/>
      </c>
      <c r="AI81" s="21" t="str">
        <f t="shared" si="139"/>
        <v>EX1/START → EV1/ONSET</v>
      </c>
      <c r="AJ81" s="21" t="str">
        <f t="shared" si="140"/>
        <v>EX1/START</v>
      </c>
      <c r="AK81" s="21" t="str">
        <f t="shared" si="141"/>
        <v>EV1/ONSET</v>
      </c>
      <c r="AL81" s="21" t="str">
        <f>IF(CY81=0,"",INDEX(nTP_ISO,CY81))</f>
        <v>2024-02-28</v>
      </c>
      <c r="AM81" s="21" t="str">
        <f>IF(CY81=0,"",INDEX(nTP_Display,CY81))</f>
        <v>28 February 2024</v>
      </c>
      <c r="AN81" s="21" t="str">
        <f>IF(BI81=0,"",INDEX(nTP_ISO,BI81))</f>
        <v>2024-03-01</v>
      </c>
      <c r="AO81" s="21" t="str">
        <f>IF(BI81=0,"",INDEX(nTP_Display,BI81))</f>
        <v>1 March 2024</v>
      </c>
      <c r="AP81" s="21" t="str">
        <f>IF(BA81=0,"",INDEX(nLNK_Exposure_Episode_ID,BA81)&amp;"")</f>
        <v>EX1</v>
      </c>
      <c r="AQ81" s="21" t="str">
        <f>IF(BA81=0,"",INDEX(nLNK_Event_Episode_ID,BA81)&amp;"")</f>
        <v>EV1</v>
      </c>
      <c r="AR81" s="21" t="str">
        <f t="shared" si="142"/>
        <v>Anchor (FIRST_ADMIN) EX1/START: 2024-02-28 [day; case measurement; original: "2024-02-28"; source: tto_calc_test_vectors_v1.1.json V04] | End point EV1/ONSET: 2024-03-01 [day; case measurement; original: "2024-03-01"; source: tto_calc_test_vectors_v1.1.json V04]</v>
      </c>
      <c r="AS81" s="21" t="str">
        <f>IF(EI81=0,"",MID(IF(DT81=1," | Recovery interval (C7) computed with "&amp;DS81&amp;".","")&amp;IF(BG81=1," | Anchor selected under C5 (CALC-SPEC 1.1): latest administration with an exact date or time at or before "&amp;IF(BH81=1,"onset","the end point")&amp;" ("&amp;AJ81&amp;"), ordered in UTC when offsets are known; later administrations are never selected.","")&amp;IF(AND(BG81=1,CE81&gt;0)," | Partial-date administrations wholly before the selected one were not candidates: "&amp;FC81&amp;".","")&amp;IF(BV81&lt;&gt;""," | "&amp;BV81,"")&amp;IF(AND(DS81="C2",EA81=0,DZ81&lt;&gt;"")," | Same calendar date; both times are known, so C1 decides the order ("&amp;AA81&amp;").","")&amp;IF(AND(DS81="C2",DD81*BN81=1,DT81=0)," | Calendar-date difference from the recorded local dates; it is never described as elapsed days.","")&amp;IF(AND(DS81="C4",DT81=0)," | Bounds are treated as independent; no single date is imputed from them.","")&amp;IF(EJ81=1," | Treatment day under the inclusive convention (C3); never written to E2B fields automatically.","")&amp;IF(AND(DS81="C4",DT81=0,EK81=0)," | No constraint applied.","")&amp;IF(AND(DS81="C4",EK81=1)," | Constraint applied to the anchor bounds: "&amp;IF(ISNUMBER(P81),"not before "&amp;DAY(P81)&amp;" "&amp;INDEX(nLIST_Months,MONTH(P81))&amp;" "&amp;YEAR(P81),"")&amp;IF(AND(ISNUMBER(P81),ISNUMBER(Q81)),", ","")&amp;IF(ISNUMBER(Q81),"not after "&amp;DAY(Q81)&amp;" "&amp;INDEX(nLIST_Months,MONTH(Q81))&amp;" "&amp;YEAR(Q81),"")&amp;". Source: "&amp;IF(R81="","not recorded",R81)&amp;IF(EN81="",". Constrained result shown beside the unconstrained one.",". Constrained result blocked ("&amp;EN81&amp;")."),"")&amp;IF(DT81=1,IF(EO81&gt;0," | Intervention recorded between cessation and recovery (ends included): "&amp;EZ81&amp;"."," | No intervention is recorded between cessation and recovery; absence of a record is not evidence that none was given."),"")&amp;IF(AND(DT81=1,DV81&gt;0)," | Intervention recorded without a date, so whether it came before recovery is unknown: "&amp;INDEX(nMS_Milestone_ID,MATCH(1,INDEX((nMS_CaseKey=AX81)*(nMS_Type="INTERVENTION")*nMS_Undated,0),0))&amp;IF(DV81&gt;1," and "&amp;(DV81-1)&amp;" more","")&amp;".","")&amp;IF(AND(DT81=1,EP81&gt;0)," | Not counted as interventions, because they are recorded as exposures rather than as intervention milestones (nothing is inferred): "&amp;FB81&amp;". If treatment was given, record it as an intervention milestone.",""),4,9999))</f>
        <v/>
      </c>
      <c r="AT81" s="21" t="str">
        <f t="shared" si="143"/>
        <v>The interval describes the sequence and spacing of recorded times; it is not evidence of causation.</v>
      </c>
      <c r="AU81" s="21" t="str">
        <f t="shared" si="144"/>
        <v/>
      </c>
      <c r="AV81" s="21" t="str">
        <f t="shared" si="145"/>
        <v>CALC-SPEC 1.1</v>
      </c>
      <c r="AW81" s="22">
        <f t="shared" si="146"/>
        <v>0</v>
      </c>
      <c r="AX81" s="21" t="str">
        <f t="shared" si="147"/>
        <v>VEC-V04|1</v>
      </c>
      <c r="AY81" s="21" t="str">
        <f t="shared" si="148"/>
        <v>VEC-V04|1|I1</v>
      </c>
      <c r="AZ81" s="22">
        <f>IF(AY81="",0,COUNTIF(nINT_Key,AY81))</f>
        <v>1</v>
      </c>
      <c r="BA81" s="22">
        <f>IF(D81="",0,IFERROR(MATCH(AX81&amp;"|"&amp;D81,nLNK_Key,0),0))</f>
        <v>35</v>
      </c>
      <c r="BB81" s="22">
        <f>IF(BA81=0,1,INDEX(nLNK_Exp_Found,BA81))</f>
        <v>1</v>
      </c>
      <c r="BC81" s="22">
        <f>IF(BA81=0,1,INDEX(nLNK_Evt_Found,BA81))</f>
        <v>1</v>
      </c>
      <c r="BD81" s="22">
        <f>IF(AP81="",0,COUNTIF(nEXP_Key,AX81&amp;"|"&amp;AP81))</f>
        <v>1</v>
      </c>
      <c r="BE81" s="22">
        <f>IF(AQ81="",0,COUNTIF(nEVT_Key,AX81&amp;"|"&amp;AQ81))</f>
        <v>1</v>
      </c>
      <c r="BF81" s="22">
        <f>IF(ISNA(MATCH(E81,nLIST_AnchorType,0)),0,1)</f>
        <v>1</v>
      </c>
      <c r="BG81" s="22">
        <f t="shared" si="149"/>
        <v>0</v>
      </c>
      <c r="BH81" s="22">
        <f t="shared" si="150"/>
        <v>1</v>
      </c>
      <c r="BI81" s="22">
        <f>IF(OR(AW81=1,AK81=""),0,IFERROR(MATCH(AX81&amp;"|"&amp;AK81,nTP_Key,0),0))</f>
        <v>319</v>
      </c>
      <c r="BJ81" s="21">
        <f>IF(BI81=0,0,INDEX(nTP_Dup,BI81))</f>
        <v>1</v>
      </c>
      <c r="BK81" s="21" t="str">
        <f>IF(BI81=0,"",INDEX(nTP_Record_Type,BI81))</f>
        <v>EVENT_ONSET</v>
      </c>
      <c r="BL81" s="21" t="str">
        <f>IF(BI81=0,"",INDEX(nTP_Precision,BI81))</f>
        <v>DATE</v>
      </c>
      <c r="BM81" s="21" t="str">
        <f>IF(BI81=0,"",INDEX(nTP_Err,BI81))</f>
        <v/>
      </c>
      <c r="BN81" s="21">
        <f>IF(BI81=0,0,INDEX(nTP_HT,BI81))</f>
        <v>0</v>
      </c>
      <c r="BO81" s="21">
        <f>IF(BI81=0,0,INDEX(nTP_OK,BI81))</f>
        <v>0</v>
      </c>
      <c r="BP81" s="21" t="str">
        <f>IF(BI81=0,"",INDEX(nTP_Loc,BI81))</f>
        <v/>
      </c>
      <c r="BQ81" s="21" t="str">
        <f>IF(BI81=0,"",INDEX(nTP_UTC,BI81))</f>
        <v/>
      </c>
      <c r="BR81" s="21">
        <f>IF(BI81=0,"",INDEX(nTP_Lo,BI81))</f>
        <v>45352</v>
      </c>
      <c r="BS81" s="21">
        <f>IF(BI81=0,"",INDEX(nTP_Hi,BI81))</f>
        <v>45352</v>
      </c>
      <c r="BT81" s="21" t="str">
        <f>IF(BI81=0,"",INDEX(nTP_Original_Text,BI81))</f>
        <v>2024-03-01</v>
      </c>
      <c r="BU81" s="21" t="str">
        <f>IF(BI81=0,"",INDEX(nTP_Source,BI81))</f>
        <v>tto_calc_test_vectors_v1.1.json V04</v>
      </c>
      <c r="BV81" s="21" t="str">
        <f>IF(BI81=0,"",INDEX(nTP_Lab_Note,BI81))</f>
        <v/>
      </c>
      <c r="BW81" s="22">
        <f t="shared" si="151"/>
        <v>1</v>
      </c>
      <c r="BX81" s="21" t="str">
        <f t="shared" si="152"/>
        <v>VEC-V04|1|EX1</v>
      </c>
      <c r="BY81" s="22">
        <f>IF(BG81=0,0,COUNTIF(nTP_CandKey,BX81))</f>
        <v>0</v>
      </c>
      <c r="BZ81" s="22">
        <f>IF(BG81=0,0,COUNTIFS(nTP_CandKey,BX81,nTP_Err,""))</f>
        <v>0</v>
      </c>
      <c r="CA81" s="21" t="str">
        <f>IF(BY81=BZ81,"",IF(COUNTIFS(nTP_CandKey,BX81,nTP_Err,"E_INVALID_DATE")&gt;0,"; E_INVALID_DATE","")&amp;IF(COUNTIFS(nTP_CandKey,BX81,nTP_Err,"E_REVERSED_BOUNDS")&gt;0,"; E_REVERSED_BOUNDS","")&amp;IF(COUNTIFS(nTP_CandKey,BX81,nTP_Err,"E_MISSING_INPUT")&gt;0,"; E_MISSING_INPUT","")&amp;IF(COUNTIFS(nTP_CandKey,BX81,nTP_Err,"E_INVALID_UNIT")&gt;0,"; E_INVALID_UNIT",""))</f>
        <v/>
      </c>
      <c r="CB81" s="22">
        <f t="shared" si="153"/>
        <v>0</v>
      </c>
      <c r="CC81" s="22">
        <f>IF(CB81=0,0,SUMPRODUCT((nTP_CandKey=BX81)*(nTP_Err="")*(1-(nTP_HT*BN81*((nTP_OK*BO81*(nTP_UTC_n-N(BQ81))+(1-nTP_OK*BO81)*(nTP_Loc_n-N(BP81)))&lt;=0)+(1-nTP_HT*BN81)*(nTP_Hi_n&lt;N(BR81)))-(nTP_HT*BN81*((nTP_OK*BO81*(nTP_UTC_n-N(BQ81))+(1-nTP_OK*BO81)*(nTP_Loc_n-N(BP81)))&gt;0)+(1-nTP_HT*BN81)*(nTP_Lo_n&gt;N(BS81)))-((1-nTP_HT*BN81)*(nTP_Lo_n=nTP_Hi_n)*(nTP_Lo_n=N(BR81))*(N(BR81)=N(BS81))))))</f>
        <v>0</v>
      </c>
      <c r="CD81" s="22">
        <f>IF(CB81=0,0,SUMPRODUCT((nTP_CandKey=BX81)*nTP_Exact*((nTP_HT*BN81*((nTP_OK*BO81*(nTP_UTC_n-N(BQ81))+(1-nTP_OK*BO81)*(nTP_Loc_n-N(BP81)))&lt;=0)+(1-nTP_HT*BN81)*(nTP_Hi_n&lt;N(BR81)))+((1-nTP_HT*BN81)*(nTP_Lo_n=nTP_Hi_n)*(nTP_Lo_n=N(BR81))*(N(BR81)=N(BS81))))))</f>
        <v>0</v>
      </c>
      <c r="CE81" s="22">
        <f>IF(CB81=0,0,SUMPRODUCT((nTP_CandKey=BX81)*(nTP_Err="")*(1-nTP_Exact)*((nTP_HT*BN81*((nTP_OK*BO81*(nTP_UTC_n-N(BQ81))+(1-nTP_OK*BO81)*(nTP_Loc_n-N(BP81)))&lt;=0)+(1-nTP_HT*BN81)*(nTP_Hi_n&lt;N(BR81)))+((1-nTP_HT*BN81)*(nTP_Lo_n=nTP_Hi_n)*(nTP_Lo_n=N(BR81))*(N(BR81)=N(BS81))))))</f>
        <v>0</v>
      </c>
      <c r="CF81" s="22">
        <f>IF(CD81=0,0,SUMPRODUCT(MAX((nTP_CandKey=BX81)*nTP_Exact*((nTP_HT*BN81*((nTP_OK*BO81*(nTP_UTC_n-N(BQ81))+(1-nTP_OK*BO81)*(nTP_Loc_n-N(BP81)))&lt;=0)+(1-nTP_HT*BN81)*(nTP_Hi_n&lt;N(BR81)))+((1-nTP_HT*BN81)*(nTP_Lo_n=nTP_Hi_n)*(nTP_Lo_n=N(BR81))*(N(BR81)=N(BS81))))*nTP_Lo_n)))</f>
        <v>0</v>
      </c>
      <c r="CG81" s="22">
        <f>IF(CD81=0,0,SUMPRODUCT((nTP_CandKey=BX81)*nTP_Exact*((nTP_HT*BN81*((nTP_OK*BO81*(nTP_UTC_n-N(BQ81))+(1-nTP_OK*BO81)*(nTP_Loc_n-N(BP81)))&lt;=0)+(1-nTP_HT*BN81)*(nTP_Hi_n&lt;N(BR81)))+((1-nTP_HT*BN81)*(nTP_Lo_n=nTP_Hi_n)*(nTP_Lo_n=N(BR81))*(N(BR81)=N(BS81))))*(nTP_Lo_n=CF81)))</f>
        <v>0</v>
      </c>
      <c r="CH81" s="22">
        <f>IF(CD81=0,0,SUMPRODUCT((nTP_CandKey=BX81)*nTP_Exact*((nTP_HT*BN81*((nTP_OK*BO81*(nTP_UTC_n-N(BQ81))+(1-nTP_OK*BO81)*(nTP_Loc_n-N(BP81)))&lt;=0)+(1-nTP_HT*BN81)*(nTP_Hi_n&lt;N(BR81)))+((1-nTP_HT*BN81)*(nTP_Lo_n=nTP_Hi_n)*(nTP_Lo_n=N(BR81))*(N(BR81)=N(BS81))))*(1-nTP_HT)*(nTP_Lo_n=CF81)))</f>
        <v>0</v>
      </c>
      <c r="CI81" s="22">
        <f>IF(CD81=0,0,SUMPRODUCT(MAX((nTP_CandKey=BX81)*nTP_Exact*((nTP_HT*BN81*((nTP_OK*BO81*(nTP_UTC_n-N(BQ81))+(1-nTP_OK*BO81)*(nTP_Loc_n-N(BP81)))&lt;=0)+(1-nTP_HT*BN81)*(nTP_Hi_n&lt;N(BR81)))+((1-nTP_HT*BN81)*(nTP_Lo_n=nTP_Hi_n)*(nTP_Lo_n=N(BR81))*(N(BR81)=N(BS81))))*(1-nTP_HT)*nTP_Lo_n)))</f>
        <v>0</v>
      </c>
      <c r="CJ81" s="22">
        <f>IF(CD81=0,0,SUMPRODUCT(MAX((nTP_CandKey=BX81)*nTP_Exact*((nTP_HT*BN81*((nTP_OK*BO81*(nTP_UTC_n-N(BQ81))+(1-nTP_OK*BO81)*(nTP_Loc_n-N(BP81)))&lt;=0)+(1-nTP_HT*BN81)*(nTP_Hi_n&lt;N(BR81)))+((1-nTP_HT*BN81)*(nTP_Lo_n=nTP_Hi_n)*(nTP_Lo_n=N(BR81))*(N(BR81)=N(BS81))))*nTP_HT*nTP_OK*nTP_UTC_n)))</f>
        <v>0</v>
      </c>
      <c r="CK81" s="22">
        <f>IF(CJ81=0,0,SUMPRODUCT((nTP_CandKey=BX81)*nTP_Exact*((nTP_HT*BN81*((nTP_OK*BO81*(nTP_UTC_n-N(BQ81))+(1-nTP_OK*BO81)*(nTP_Loc_n-N(BP81)))&lt;=0)+(1-nTP_HT*BN81)*(nTP_Hi_n&lt;N(BR81)))+((1-nTP_HT*BN81)*(nTP_Lo_n=nTP_Hi_n)*(nTP_Lo_n=N(BR81))*(N(BR81)=N(BS81))))*nTP_HT*nTP_OK*(nTP_UTC_n=CJ81)))</f>
        <v>0</v>
      </c>
      <c r="CL81" s="22">
        <f>IF(CK81&lt;&gt;1,0,SUMPRODUCT((nTP_CandKey=BX81)*nTP_Exact*((nTP_HT*BN81*((nTP_OK*BO81*(nTP_UTC_n-N(BQ81))+(1-nTP_OK*BO81)*(nTP_Loc_n-N(BP81)))&lt;=0)+(1-nTP_HT*BN81)*(nTP_Hi_n&lt;N(BR81)))+((1-nTP_HT*BN81)*(nTP_Lo_n=nTP_Hi_n)*(nTP_Lo_n=N(BR81))*(N(BR81)=N(BS81))))*nTP_HT*nTP_OK*(nTP_UTC_n=CJ81)*nTP_Loc_n))</f>
        <v>0</v>
      </c>
      <c r="CM81" s="22">
        <f>IF(CK81&lt;&gt;1,0,SUMPRODUCT((nTP_CandKey=BX81)*nTP_Exact*((nTP_HT*BN81*((nTP_OK*BO81*(nTP_UTC_n-N(BQ81))+(1-nTP_OK*BO81)*(nTP_Loc_n-N(BP81)))&lt;=0)+(1-nTP_HT*BN81)*(nTP_Hi_n&lt;N(BR81)))+((1-nTP_HT*BN81)*(nTP_Lo_n=nTP_Hi_n)*(nTP_Lo_n=N(BR81))*(N(BR81)=N(BS81))))*nTP_HT*nTP_OK*(nTP_UTC_n=CJ81)*nTP_Lo_n))</f>
        <v>0</v>
      </c>
      <c r="CN81" s="22">
        <f>IF(CD81=0,0,SUMPRODUCT(MAX((nTP_CandKey=BX81)*nTP_Exact*((nTP_HT*BN81*((nTP_OK*BO81*(nTP_UTC_n-N(BQ81))+(1-nTP_OK*BO81)*(nTP_Loc_n-N(BP81)))&lt;=0)+(1-nTP_HT*BN81)*(nTP_Hi_n&lt;N(BR81)))+((1-nTP_HT*BN81)*(nTP_Lo_n=nTP_Hi_n)*(nTP_Lo_n=N(BR81))*(N(BR81)=N(BS81))))*nTP_HT*(1-nTP_OK)*nTP_Loc_n)))</f>
        <v>0</v>
      </c>
      <c r="CO81" s="22">
        <f>IF(CN81=0,0,SUMPRODUCT((nTP_CandKey=BX81)*nTP_Exact*((nTP_HT*BN81*((nTP_OK*BO81*(nTP_UTC_n-N(BQ81))+(1-nTP_OK*BO81)*(nTP_Loc_n-N(BP81)))&lt;=0)+(1-nTP_HT*BN81)*(nTP_Hi_n&lt;N(BR81)))+((1-nTP_HT*BN81)*(nTP_Lo_n=nTP_Hi_n)*(nTP_Lo_n=N(BR81))*(N(BR81)=N(BS81))))*nTP_HT*(1-nTP_OK)*(nTP_Loc_n=CN81)))</f>
        <v>0</v>
      </c>
      <c r="CP81" s="22">
        <f>IF(CO81&lt;&gt;1,0,SUMPRODUCT((nTP_CandKey=BX81)*nTP_Exact*((nTP_HT*BN81*((nTP_OK*BO81*(nTP_UTC_n-N(BQ81))+(1-nTP_OK*BO81)*(nTP_Loc_n-N(BP81)))&lt;=0)+(1-nTP_HT*BN81)*(nTP_Hi_n&lt;N(BR81)))+((1-nTP_HT*BN81)*(nTP_Lo_n=nTP_Hi_n)*(nTP_Lo_n=N(BR81))*(N(BR81)=N(BS81))))*nTP_HT*(1-nTP_OK)*(nTP_Loc_n=CN81)*nTP_Lo_n))</f>
        <v>0</v>
      </c>
      <c r="CQ81" s="22">
        <f>IF(CD81=0,0,SUMPRODUCT(MAX((nTP_CandKey=BX81)*nTP_Exact*((nTP_HT*BN81*((nTP_OK*BO81*(nTP_UTC_n-N(BQ81))+(1-nTP_OK*BO81)*(nTP_Loc_n-N(BP81)))&lt;=0)+(1-nTP_HT*BN81)*(nTP_Hi_n&lt;N(BR81)))+((1-nTP_HT*BN81)*(nTP_Lo_n=nTP_Hi_n)*(nTP_Lo_n=N(BR81))*(N(BR81)=N(BS81))))*nTP_HT*nTP_OK*nTP_Loc_n)))</f>
        <v>0</v>
      </c>
      <c r="CR81" s="22">
        <f t="shared" si="154"/>
        <v>0</v>
      </c>
      <c r="CS81" s="22">
        <f>IF(CR81=0,0,IF(CR81=1,MATCH(1,INDEX((nTP_CandKey=BX81)*nTP_Exact*((nTP_HT*BN81*((nTP_OK*BO81*(nTP_UTC_n-N(BQ81))+(1-nTP_OK*BO81)*(nTP_Loc_n-N(BP81)))&lt;=0)+(1-nTP_HT*BN81)*(nTP_Hi_n&lt;N(BR81)))+((1-nTP_HT*BN81)*(nTP_Lo_n=nTP_Hi_n)*(nTP_Lo_n=N(BR81))*(N(BR81)=N(BS81))))*(1-nTP_HT)*(nTP_Lo_n=CF81),0),0),IF(CR81=2,MATCH(1,INDEX((nTP_CandKey=BX81)*nTP_Exact*((nTP_HT*BN81*((nTP_OK*BO81*(nTP_UTC_n-N(BQ81))+(1-nTP_OK*BO81)*(nTP_Loc_n-N(BP81)))&lt;=0)+(1-nTP_HT*BN81)*(nTP_Hi_n&lt;N(BR81)))+((1-nTP_HT*BN81)*(nTP_Lo_n=nTP_Hi_n)*(nTP_Lo_n=N(BR81))*(N(BR81)=N(BS81))))*nTP_HT*nTP_OK*(nTP_UTC_n=CJ81),0),0),MATCH(1,INDEX((nTP_CandKey=BX81)*nTP_Exact*((nTP_HT*BN81*((nTP_OK*BO81*(nTP_UTC_n-N(BQ81))+(1-nTP_OK*BO81)*(nTP_Loc_n-N(BP81)))&lt;=0)+(1-nTP_HT*BN81)*(nTP_Hi_n&lt;N(BR81)))+((1-nTP_HT*BN81)*(nTP_Lo_n=nTP_Hi_n)*(nTP_Lo_n=N(BR81))*(N(BR81)=N(BS81))))*nTP_HT*(1-nTP_OK)*(nTP_Loc_n=CN81),0),0))))</f>
        <v>0</v>
      </c>
      <c r="CT81" s="22">
        <f>IF(CS81=0,0,INDEX(nTP_Lo_n,CS81))</f>
        <v>0</v>
      </c>
      <c r="CU81" s="22">
        <f>IF(CS81=0,0,SUMPRODUCT((nTP_CandKey=BX81)*(nTP_Err="")*(1-nTP_Exact)*((nTP_HT*BN81*((nTP_OK*BO81*(nTP_UTC_n-N(BQ81))+(1-nTP_OK*BO81)*(nTP_Loc_n-N(BP81)))&lt;=0)+(1-nTP_HT*BN81)*(nTP_Hi_n&lt;N(BR81)))+((1-nTP_HT*BN81)*(nTP_Lo_n=nTP_Hi_n)*(nTP_Lo_n=N(BR81))*(N(BR81)=N(BS81))))*(nTP_Hi_n&gt;=CT81)))</f>
        <v>0</v>
      </c>
      <c r="CV81" s="21" t="str">
        <f t="shared" si="155"/>
        <v/>
      </c>
      <c r="CW81" s="21" t="str">
        <f>IF(AND(BG81=1,CB81=1,CV81="",CS81&gt;0),INDEX(nTP_Record_ID,CS81)&amp;"","")</f>
        <v/>
      </c>
      <c r="CX81" s="21" t="str">
        <f>IF(OR(CV81="",BG81=0),"",IF(CV81="none","an administration record (last dose before onset)",IF(CV81="uncertain","the anchor record: "&amp;INDEX(nTP_Record_ID,MATCH(1,INDEX((nTP_CandKey=BX81)*(nTP_Err="")*(1-(nTP_HT*BN81*((nTP_OK*BO81*(nTP_UTC_n-N(BQ81))+(1-nTP_OK*BO81)*(nTP_Loc_n-N(BP81)))&lt;=0)+(1-nTP_HT*BN81)*(nTP_Hi_n&lt;N(BR81)))-(nTP_HT*BN81*((nTP_OK*BO81*(nTP_UTC_n-N(BQ81))+(1-nTP_OK*BO81)*(nTP_Loc_n-N(BP81)))&gt;0)+(1-nTP_HT*BN81)*(nTP_Lo_n&gt;N(BS81)))-((1-nTP_HT*BN81)*(nTP_Lo_n=nTP_Hi_n)*(nTP_Lo_n=N(BR81))*(N(BR81)=N(BS81)))),0),0))&amp;IF(CC81&gt;1," and "&amp;(CC81-1)&amp;" more","")&amp;" may fall before or after the end point, so the last dose cannot be identified from the recorded dates",IF(CV81="noneligible","the anchor record: no administration with an exact date is recorded at or before the end point",IF(CV81="tie","the anchor record: the order of the latest administrations cannot be told from the recorded dates and times","the anchor record: partial-date administration "&amp;INDEX(nTP_Record_ID,MATCH(1,INDEX((nTP_CandKey=BX81)*(nTP_Err="")*(1-nTP_Exact)*((nTP_HT*BN81*((nTP_OK*BO81*(nTP_UTC_n-N(BQ81))+(1-nTP_OK*BO81)*(nTP_Loc_n-N(BP81)))&lt;=0)+(1-nTP_HT*BN81)*(nTP_Hi_n&lt;N(BR81)))+((1-nTP_HT*BN81)*(nTP_Lo_n=nTP_Hi_n)*(nTP_Lo_n=N(BR81))*(N(BR81)=N(BS81))))*(nTP_Hi_n&gt;=CT81),0),0))&amp;" could be the last dose before the end point")))))</f>
        <v/>
      </c>
      <c r="CY81" s="22">
        <f>IF(OR(AW81=1,AJ81=""),0,IFERROR(MATCH(AX81&amp;"|"&amp;AJ81,nTP_Key,0),0))</f>
        <v>47</v>
      </c>
      <c r="CZ81" s="21">
        <f>IF(CY81=0,0,INDEX(nTP_Dup,CY81))</f>
        <v>1</v>
      </c>
      <c r="DA81" s="21" t="str">
        <f>IF(CY81=0,"",INDEX(nTP_Record_Type,CY81))</f>
        <v>EXPOSURE_START</v>
      </c>
      <c r="DB81" s="21" t="str">
        <f>IF(CY81=0,"",INDEX(nTP_Precision,CY81))</f>
        <v>DATE</v>
      </c>
      <c r="DC81" s="21" t="str">
        <f>IF(CY81=0,"",INDEX(nTP_Err,CY81))</f>
        <v/>
      </c>
      <c r="DD81" s="21">
        <f>IF(CY81=0,0,INDEX(nTP_HT,CY81))</f>
        <v>0</v>
      </c>
      <c r="DE81" s="21">
        <f>IF(CY81=0,0,INDEX(nTP_OK,CY81))</f>
        <v>0</v>
      </c>
      <c r="DF81" s="21" t="str">
        <f>IF(CY81=0,"",INDEX(nTP_Loc,CY81))</f>
        <v/>
      </c>
      <c r="DG81" s="21" t="str">
        <f>IF(CY81=0,"",INDEX(nTP_UTC,CY81))</f>
        <v/>
      </c>
      <c r="DH81" s="21">
        <f>IF(CY81=0,"",INDEX(nTP_Lo,CY81))</f>
        <v>45350</v>
      </c>
      <c r="DI81" s="21">
        <f>IF(CY81=0,"",INDEX(nTP_Hi,CY81))</f>
        <v>45350</v>
      </c>
      <c r="DJ81" s="21" t="str">
        <f>IF(CY81=0,"",INDEX(nTP_Original_Text,CY81))</f>
        <v>2024-02-28</v>
      </c>
      <c r="DK81" s="21" t="str">
        <f>IF(CY81=0,"",INDEX(nTP_Source,CY81))</f>
        <v>tto_calc_test_vectors_v1.1.json V04</v>
      </c>
      <c r="DL81" s="22">
        <f t="shared" si="156"/>
        <v>1</v>
      </c>
      <c r="DM81" s="21" t="str">
        <f t="shared" si="157"/>
        <v/>
      </c>
      <c r="DN81" s="21" t="str">
        <f t="shared" si="158"/>
        <v/>
      </c>
      <c r="DO81" s="21" t="str">
        <f t="shared" si="159"/>
        <v/>
      </c>
      <c r="DP81" s="21" t="str">
        <f t="shared" si="160"/>
        <v/>
      </c>
      <c r="DQ81" s="21" t="str">
        <f t="shared" si="161"/>
        <v>C2</v>
      </c>
      <c r="DR81" s="22">
        <f>IF(OR(DQ81="",I81=""),0,IF(ISNA(MATCH(I81,nLIST_Mode,0)),1,IF(AND(I81="C1",DQ81&lt;&gt;"C1"),1,IF(AND(I81="C2",DQ81="C4"),1,0))))</f>
        <v>0</v>
      </c>
      <c r="DS81" s="21" t="str">
        <f t="shared" si="162"/>
        <v>C2</v>
      </c>
      <c r="DT81" s="22">
        <f t="shared" si="163"/>
        <v>0</v>
      </c>
      <c r="DU81" s="21" t="str">
        <f>IF(DT81=0,"",IF(COUNTIFS(nTP_Case_Key,AX81,nTP_Record_Type,"MILESTONE:INTERVENTION",nTP_Err,"E_INVALID_DATE")&gt;0,"; E_INVALID_DATE","")&amp;IF(COUNTIFS(nTP_Case_Key,AX81,nTP_Record_Type,"MILESTONE:INTERVENTION",nTP_Err,"E_REVERSED_BOUNDS")&gt;0,"; E_REVERSED_BOUNDS","")&amp;IF(COUNTIFS(nTP_Case_Key,AX81,nTP_Record_Type,"MILESTONE:INTERVENTION",nTP_Err,"E_MISSING_INPUT")&gt;0,"; E_MISSING_INPUT","")&amp;IF(COUNTIFS(nTP_Case_Key,AX81,nTP_Record_Type,"MILESTONE:INTERVENTION",nTP_Err,"E_INVALID_UNIT")&gt;0,"; E_INVALID_UNIT",""))</f>
        <v/>
      </c>
      <c r="DV81" s="22">
        <f>IF(DT81=0,0,SUMPRODUCT((nMS_CaseKey=AX81)*(nMS_Type="INTERVENTION")*nMS_Undated))</f>
        <v>0</v>
      </c>
      <c r="DW81" s="21" t="str">
        <f t="shared" si="164"/>
        <v/>
      </c>
      <c r="DX81" s="21" t="str">
        <f t="shared" si="165"/>
        <v/>
      </c>
      <c r="DY81" s="22">
        <f t="shared" si="166"/>
        <v>1</v>
      </c>
      <c r="DZ81" s="21" t="str">
        <f t="shared" si="167"/>
        <v/>
      </c>
      <c r="EA81" s="21">
        <f t="shared" si="168"/>
        <v>2</v>
      </c>
      <c r="EB81" s="21" t="str">
        <f t="shared" si="169"/>
        <v/>
      </c>
      <c r="EC81" s="21" t="str">
        <f t="shared" si="170"/>
        <v/>
      </c>
      <c r="ED81" s="22">
        <f t="shared" si="171"/>
        <v>0</v>
      </c>
      <c r="EE81" s="22">
        <f t="shared" si="172"/>
        <v>0</v>
      </c>
      <c r="EF81" s="21" t="str">
        <f>IF(ED81=0,"",IF(OR(NOT(ISNUMBER(L81)),NOT(ISNUMBER(M81))),"I_APPROXIMATE_NOT_COMPARED",IF(AND(N81&lt;&gt;"",ISNA(MATCH(N81,nLIST_ReportedUnit,0))),"E_INVALID_UNIT",IF(N81="","E_MISSING_INPUT",IF(L81&gt;M81,"E_REVERSED_BOUNDS",IF(OR(N81="weeks",N81="months",N81="years"),"I_APPROXIMATE_NOT_COMPARED",IF(DX81&lt;&gt;"","",IF(EE81=0,"I_APPROXIMATE_NOT_COMPARED",IF(AND(L81*EE81&lt;=IF(DS81="C4",EC81,IF(DS81="C1",DZ81,EA81)),M81*EE81&gt;=IF(DS81="C4",EB81,IF(DS81="C1",DZ81,EA81))),"OVERLAP","W_REPORTED_TIMING_CONFLICT")))))))))</f>
        <v/>
      </c>
      <c r="EG81" s="21" t="str">
        <f t="shared" si="173"/>
        <v/>
      </c>
      <c r="EH81" s="21" t="str">
        <f t="shared" si="174"/>
        <v/>
      </c>
      <c r="EI81" s="22">
        <f t="shared" si="175"/>
        <v>1</v>
      </c>
      <c r="EJ81" s="22">
        <f t="shared" si="176"/>
        <v>0</v>
      </c>
      <c r="EK81" s="22">
        <f t="shared" si="177"/>
        <v>0</v>
      </c>
      <c r="EL81" s="28" t="str">
        <f t="shared" si="178"/>
        <v/>
      </c>
      <c r="EM81" s="28" t="str">
        <f t="shared" si="179"/>
        <v/>
      </c>
      <c r="EN81" s="21" t="str">
        <f t="shared" si="180"/>
        <v/>
      </c>
      <c r="EO81" s="22">
        <f>IF(OR(DT81=0,DX81&lt;&gt;""),0,SUMPRODUCT((nTP_Case_Key=AX81)*(nTP_Record_Type="MILESTONE:INTERVENTION")*(nTP_Err="")*(nTP_HT*DD81*BN81*(nTP_OK*DE81*(nTP_UTC_n&gt;=N(DG81))+(1-nTP_OK*DE81)*(nTP_Loc_n&gt;=N(DF81)))*(nTP_OK*BO81*(nTP_UTC_n&lt;=N(BQ81))+(1-nTP_OK*BO81)*(nTP_Loc_n&lt;=N(BP81)))+(1-nTP_HT*DD81*BN81)*(nTP_Hi_n&gt;=N(DH81))*(nTP_Lo_n&lt;=N(BS81)))))</f>
        <v>0</v>
      </c>
      <c r="EP81" s="22">
        <f>IF(OR(DT81=0,DX81&lt;&gt;""),0,SUMPRODUCT((nTP_Case_Key=AX81)*(nTP_Role="treatment of the event")*((nTP_Record_Type="EXPOSURE_START")+(nTP_Record_Type="ADMINISTRATION"))*(nTP_Err="")*(nTP_HT*DD81*BN81*(nTP_OK*DE81*(nTP_UTC_n&gt;=N(DG81))+(1-nTP_OK*DE81)*(nTP_Loc_n&gt;=N(DF81)))*(nTP_OK*BO81*(nTP_UTC_n&lt;=N(BQ81))+(1-nTP_OK*BO81)*(nTP_Loc_n&lt;=N(BP81)))+(1-nTP_HT*DD81*BN81)*(nTP_Hi_n&gt;=N(DH81))*(nTP_Lo_n&lt;=N(BS81)))))</f>
        <v>0</v>
      </c>
      <c r="EQ81" s="22">
        <f>IF(EO81&lt;1,0,IFERROR(_xlfn.AGGREGATE(15,6,nTP_RowN/((nTP_Case_Key=AX81)*(nTP_Record_Type="MILESTONE:INTERVENTION")*(nTP_Err="")*(nTP_HT*DD81*BN81*(nTP_OK*DE81*(nTP_UTC_n&gt;=N(DG81))+(1-nTP_OK*DE81)*(nTP_Loc_n&gt;=N(DF81)))*(nTP_OK*BO81*(nTP_UTC_n&lt;=N(BQ81))+(1-nTP_OK*BO81)*(nTP_Loc_n&lt;=N(BP81)))+(1-nTP_HT*DD81*BN81)*(nTP_Hi_n&gt;=N(DH81))*(nTP_Lo_n&lt;=N(BS81)))),1),0))</f>
        <v>0</v>
      </c>
      <c r="ER81" s="22">
        <f>IF(EO81&lt;2,0,IFERROR(_xlfn.AGGREGATE(15,6,nTP_RowN/((nTP_Case_Key=AX81)*(nTP_Record_Type="MILESTONE:INTERVENTION")*(nTP_Err="")*(nTP_HT*DD81*BN81*(nTP_OK*DE81*(nTP_UTC_n&gt;=N(DG81))+(1-nTP_OK*DE81)*(nTP_Loc_n&gt;=N(DF81)))*(nTP_OK*BO81*(nTP_UTC_n&lt;=N(BQ81))+(1-nTP_OK*BO81)*(nTP_Loc_n&lt;=N(BP81)))+(1-nTP_HT*DD81*BN81)*(nTP_Hi_n&gt;=N(DH81))*(nTP_Lo_n&lt;=N(BS81)))),2),0))</f>
        <v>0</v>
      </c>
      <c r="ES81" s="22">
        <f>IF(EO81&lt;3,0,IFERROR(_xlfn.AGGREGATE(15,6,nTP_RowN/((nTP_Case_Key=AX81)*(nTP_Record_Type="MILESTONE:INTERVENTION")*(nTP_Err="")*(nTP_HT*DD81*BN81*(nTP_OK*DE81*(nTP_UTC_n&gt;=N(DG81))+(1-nTP_OK*DE81)*(nTP_Loc_n&gt;=N(DF81)))*(nTP_OK*BO81*(nTP_UTC_n&lt;=N(BQ81))+(1-nTP_OK*BO81)*(nTP_Loc_n&lt;=N(BP81)))+(1-nTP_HT*DD81*BN81)*(nTP_Hi_n&gt;=N(DH81))*(nTP_Lo_n&lt;=N(BS81)))),3),0))</f>
        <v>0</v>
      </c>
      <c r="ET81" s="22">
        <f>IF(EP81&lt;1,0,IFERROR(_xlfn.AGGREGATE(15,6,nTP_RowN/((nTP_Case_Key=AX81)*(nTP_Role="treatment of the event")*((nTP_Record_Type="EXPOSURE_START")+(nTP_Record_Type="ADMINISTRATION"))*(nTP_Err="")*(nTP_HT*DD81*BN81*(nTP_OK*DE81*(nTP_UTC_n&gt;=N(DG81))+(1-nTP_OK*DE81)*(nTP_Loc_n&gt;=N(DF81)))*(nTP_OK*BO81*(nTP_UTC_n&lt;=N(BQ81))+(1-nTP_OK*BO81)*(nTP_Loc_n&lt;=N(BP81)))+(1-nTP_HT*DD81*BN81)*(nTP_Hi_n&gt;=N(DH81))*(nTP_Lo_n&lt;=N(BS81)))),1),0))</f>
        <v>0</v>
      </c>
      <c r="EU81" s="22">
        <f>IF(EP81&lt;2,0,IFERROR(_xlfn.AGGREGATE(15,6,nTP_RowN/((nTP_Case_Key=AX81)*(nTP_Role="treatment of the event")*((nTP_Record_Type="EXPOSURE_START")+(nTP_Record_Type="ADMINISTRATION"))*(nTP_Err="")*(nTP_HT*DD81*BN81*(nTP_OK*DE81*(nTP_UTC_n&gt;=N(DG81))+(1-nTP_OK*DE81)*(nTP_Loc_n&gt;=N(DF81)))*(nTP_OK*BO81*(nTP_UTC_n&lt;=N(BQ81))+(1-nTP_OK*BO81)*(nTP_Loc_n&lt;=N(BP81)))+(1-nTP_HT*DD81*BN81)*(nTP_Hi_n&gt;=N(DH81))*(nTP_Lo_n&lt;=N(BS81)))),2),0))</f>
        <v>0</v>
      </c>
      <c r="EV81" s="22">
        <f>IF(EP81&lt;3,0,IFERROR(_xlfn.AGGREGATE(15,6,nTP_RowN/((nTP_Case_Key=AX81)*(nTP_Role="treatment of the event")*((nTP_Record_Type="EXPOSURE_START")+(nTP_Record_Type="ADMINISTRATION"))*(nTP_Err="")*(nTP_HT*DD81*BN81*(nTP_OK*DE81*(nTP_UTC_n&gt;=N(DG81))+(1-nTP_OK*DE81)*(nTP_Loc_n&gt;=N(DF81)))*(nTP_OK*BO81*(nTP_UTC_n&lt;=N(BQ81))+(1-nTP_OK*BO81)*(nTP_Loc_n&lt;=N(BP81)))+(1-nTP_HT*DD81*BN81)*(nTP_Hi_n&gt;=N(DH81))*(nTP_Lo_n&lt;=N(BS81)))),3),0))</f>
        <v>0</v>
      </c>
      <c r="EW81" s="22">
        <f>IF(CE81&lt;1,0,IFERROR(_xlfn.AGGREGATE(15,6,nTP_RowN/((nTP_CandKey=BX81)*(nTP_Err="")*(1-nTP_Exact)*((nTP_HT*BN81*((nTP_OK*BO81*(nTP_UTC_n-N(BQ81))+(1-nTP_OK*BO81)*(nTP_Loc_n-N(BP81)))&lt;=0)+(1-nTP_HT*BN81)*(nTP_Hi_n&lt;N(BR81)))+((1-nTP_HT*BN81)*(nTP_Lo_n=nTP_Hi_n)*(nTP_Lo_n=N(BR81))*(N(BR81)=N(BS81))))),1),0))</f>
        <v>0</v>
      </c>
      <c r="EX81" s="22">
        <f>IF(CE81&lt;2,0,IFERROR(_xlfn.AGGREGATE(15,6,nTP_RowN/((nTP_CandKey=BX81)*(nTP_Err="")*(1-nTP_Exact)*((nTP_HT*BN81*((nTP_OK*BO81*(nTP_UTC_n-N(BQ81))+(1-nTP_OK*BO81)*(nTP_Loc_n-N(BP81)))&lt;=0)+(1-nTP_HT*BN81)*(nTP_Hi_n&lt;N(BR81)))+((1-nTP_HT*BN81)*(nTP_Lo_n=nTP_Hi_n)*(nTP_Lo_n=N(BR81))*(N(BR81)=N(BS81))))),2),0))</f>
        <v>0</v>
      </c>
      <c r="EY81" s="22">
        <f>IF(CE81&lt;3,0,IFERROR(_xlfn.AGGREGATE(15,6,nTP_RowN/((nTP_CandKey=BX81)*(nTP_Err="")*(1-nTP_Exact)*((nTP_HT*BN81*((nTP_OK*BO81*(nTP_UTC_n-N(BQ81))+(1-nTP_OK*BO81)*(nTP_Loc_n-N(BP81)))&lt;=0)+(1-nTP_HT*BN81)*(nTP_Hi_n&lt;N(BR81)))+((1-nTP_HT*BN81)*(nTP_Lo_n=nTP_Hi_n)*(nTP_Lo_n=N(BR81))*(N(BR81)=N(BS81))))),3),0))</f>
        <v>0</v>
      </c>
      <c r="EZ81" s="21" t="str">
        <f>IF(EO81=0,"",MID(IF(EQ81&gt;0,"; "&amp;INDEX(nTP_Record_ID,EQ81)&amp;IF(INDEX(nTP_Label,EQ81)="",""," ("&amp;INDEX(nTP_Label,EQ81)&amp;")"),"")&amp;IF(ER81&gt;0,"; "&amp;INDEX(nTP_Record_ID,ER81)&amp;IF(INDEX(nTP_Label,ER81)="",""," ("&amp;INDEX(nTP_Label,ER81)&amp;")"),"")&amp;IF(ES81&gt;0,"; "&amp;INDEX(nTP_Record_ID,ES81)&amp;IF(INDEX(nTP_Label,ES81)="",""," ("&amp;INDEX(nTP_Label,ES81)&amp;")"),"")&amp;IF(EO81&gt;3,"; and "&amp;(EO81-3)&amp;" more",""),3,999))</f>
        <v/>
      </c>
      <c r="FA81" s="21" t="str">
        <f>IF(EO81=0,"",MID(IF(EQ81&gt;0,"; "&amp;INDEX(nTP_Record_ID,EQ81),"")&amp;IF(ER81&gt;0,"; "&amp;INDEX(nTP_Record_ID,ER81),"")&amp;IF(ES81&gt;0,"; "&amp;INDEX(nTP_Record_ID,ES81),"")&amp;IF(EO81&gt;3,"; and "&amp;(EO81-3)&amp;" more",""),3,999))</f>
        <v/>
      </c>
      <c r="FB81" s="21" t="str">
        <f>IF(EP81=0,"",MID(IF(ET81&gt;0,"; "&amp;INDEX(nTP_Record_ID,ET81)&amp;IF(INDEX(nTP_Label,ET81)="",""," ("&amp;INDEX(nTP_Label,ET81)&amp;")"),"")&amp;IF(EU81&gt;0,"; "&amp;INDEX(nTP_Record_ID,EU81)&amp;IF(INDEX(nTP_Label,EU81)="",""," ("&amp;INDEX(nTP_Label,EU81)&amp;")"),"")&amp;IF(EV81&gt;0,"; "&amp;INDEX(nTP_Record_ID,EV81)&amp;IF(INDEX(nTP_Label,EV81)="",""," ("&amp;INDEX(nTP_Label,EV81)&amp;")"),"")&amp;IF(EP81&gt;3,"; and "&amp;(EP81-3)&amp;" more",""),3,999))</f>
        <v/>
      </c>
      <c r="FC81" s="21" t="str">
        <f>IF(CE81=0,"",MID(IF(EW81&gt;0,"; "&amp;INDEX(nTP_Record_ID,EW81),"")&amp;IF(EX81&gt;0,"; "&amp;INDEX(nTP_Record_ID,EX81),"")&amp;IF(EY81&gt;0,"; "&amp;INDEX(nTP_Record_ID,EY81),"")&amp;IF(CE81&gt;3,"; and "&amp;(CE81-3)&amp;" more",""),3,999))</f>
        <v/>
      </c>
      <c r="FD81" s="22">
        <f t="shared" si="181"/>
        <v>0</v>
      </c>
      <c r="FE81" s="22">
        <f t="shared" si="182"/>
        <v>0</v>
      </c>
      <c r="FF81" s="22">
        <f t="shared" si="183"/>
        <v>0</v>
      </c>
      <c r="FG81" s="22">
        <f t="shared" si="184"/>
        <v>0</v>
      </c>
      <c r="FH81" s="22">
        <f t="shared" si="185"/>
        <v>0</v>
      </c>
      <c r="FI81" s="22">
        <f t="shared" si="186"/>
        <v>0</v>
      </c>
      <c r="FJ81" s="22">
        <f t="shared" si="187"/>
        <v>0</v>
      </c>
      <c r="FK81" s="22">
        <f t="shared" si="188"/>
        <v>0</v>
      </c>
    </row>
    <row r="82" spans="1:167" x14ac:dyDescent="0.2">
      <c r="A82" s="9" t="s">
        <v>1180</v>
      </c>
      <c r="B82" s="9" t="s">
        <v>317</v>
      </c>
      <c r="C82" s="11">
        <v>1</v>
      </c>
      <c r="D82" s="9" t="s">
        <v>894</v>
      </c>
      <c r="E82" s="16" t="s">
        <v>51</v>
      </c>
      <c r="F82" s="9"/>
      <c r="G82" s="9" t="s">
        <v>1179</v>
      </c>
      <c r="H82" s="9" t="s">
        <v>1181</v>
      </c>
      <c r="I82" s="16" t="s">
        <v>61</v>
      </c>
      <c r="J82" s="16"/>
      <c r="K82" s="9"/>
      <c r="L82" s="16"/>
      <c r="M82" s="16"/>
      <c r="N82" s="16"/>
      <c r="O82" s="9"/>
      <c r="P82" s="14"/>
      <c r="Q82" s="14"/>
      <c r="R82" s="9"/>
      <c r="S82" s="9"/>
      <c r="T82" s="21" t="str">
        <f t="shared" si="126"/>
        <v>5 to 14 calendar days</v>
      </c>
      <c r="U82" s="21" t="str">
        <f t="shared" si="127"/>
        <v>5 to 14 calendar days</v>
      </c>
      <c r="V82" s="21" t="str">
        <f t="shared" si="128"/>
        <v/>
      </c>
      <c r="W82" s="21">
        <f t="shared" si="129"/>
        <v>5</v>
      </c>
      <c r="X82" s="21">
        <f t="shared" si="130"/>
        <v>14</v>
      </c>
      <c r="Y82" s="21" t="str">
        <f t="shared" si="131"/>
        <v>calendar days</v>
      </c>
      <c r="Z82" s="21" t="str">
        <f t="shared" si="132"/>
        <v>C4</v>
      </c>
      <c r="AA82" s="21" t="str">
        <f t="shared" si="133"/>
        <v>AFTER</v>
      </c>
      <c r="AB82" s="21" t="str">
        <f t="shared" si="134"/>
        <v/>
      </c>
      <c r="AC82" s="21" t="str">
        <f t="shared" si="135"/>
        <v/>
      </c>
      <c r="AD82" s="21" t="str">
        <f>IF(AW82=1,"",MID(IF(ISNUMBER(SEARCH("E_INVALID_DATE",EG82))," | E_INVALID_DATE: "&amp;SUBSTITUTE(IFERROR(INDEX(nMSG_Text,MATCH("E_INVALID_DATE",nMSG_Code,0)),""),"[input]",""),"")&amp;IF(ISNUMBER(SEARCH("E_REVERSED_BOUNDS",EG82))," | E_REVERSED_BOUNDS: "&amp;SUBSTITUTE(IFERROR(INDEX(nMSG_Text,MATCH("E_REVERSED_BOUNDS",nMSG_Code,0)),""),"[input]",""),"")&amp;IF(ISNUMBER(SEARCH("E_DUPLICATE_ID",EG82))," | E_DUPLICATE_ID: "&amp;SUBSTITUTE(IFERROR(INDEX(nMSG_Text,MATCH("E_DUPLICATE_ID",nMSG_Code,0)),""),"[input]",""),"")&amp;IF(ISNUMBER(SEARCH("E_MISSING_LINK",EG82))," | E_MISSING_LINK: "&amp;SUBSTITUTE(IFERROR(INDEX(nMSG_Text,MATCH("E_MISSING_LINK",nMSG_Code,0)),""),"[input]",""),"")&amp;IF(ISNUMBER(SEARCH("E_MISSING_INPUT",EG82))," | E_MISSING_INPUT: "&amp;SUBSTITUTE(IFERROR(INDEX(nMSG_Text,MATCH("E_MISSING_INPUT",nMSG_Code,0)),""),"[input]",IF(EH82="","an input",EH82)),"")&amp;IF(ISNUMBER(SEARCH("E_INVALID_UNIT",EG82))," | E_INVALID_UNIT: "&amp;SUBSTITUTE(IFERROR(INDEX(nMSG_Text,MATCH("E_INVALID_UNIT",nMSG_Code,0)),""),"[input]",""),"")&amp;IF(FD82=1," | W_TZ_UNKNOWN: "&amp;SUBSTITUTE(IFERROR(INDEX(nMSG_Text,MATCH("W_TZ_UNKNOWN",nMSG_Code,0)),""),"[input]",""),"")&amp;IF(FE82=1," | W_SAME_DATE_ORDER_UNKNOWN: "&amp;SUBSTITUTE(IFERROR(INDEX(nMSG_Text,MATCH("W_SAME_DATE_ORDER_UNKNOWN",nMSG_Code,0)),""),"[input]",""),"")&amp;IF(FF82=1," | W_SEQUENCE_UNCERTAIN: "&amp;SUBSTITUTE(IFERROR(INDEX(nMSG_Text,MATCH("W_SEQUENCE_UNCERTAIN",nMSG_Code,0)),""),"[input]",""),"")&amp;IF(FG82=1," | W_ADMIN_SAME_DATE_AS_ONSET: "&amp;SUBSTITUTE(IFERROR(INDEX(nMSG_Text,MATCH("W_ADMIN_SAME_DATE_AS_ONSET",nMSG_Code,0)),""),"[input]",""),"")&amp;IF(FH82=1," | W_REPORTED_TIMING_CONFLICT: "&amp;SUBSTITUTE(IFERROR(INDEX(nMSG_Text,MATCH("W_REPORTED_TIMING_CONFLICT",nMSG_Code,0)),""),"[input]",""),"")&amp;IF(FI82=1," | W_INTERVENTION_BEFORE_RECOVERY: "&amp;SUBSTITUTE(IFERROR(INDEX(nMSG_Text,MATCH("W_INTERVENTION_BEFORE_RECOVERY",nMSG_Code,0)),""),"[input]",""),"")&amp;IF(FJ82=1," | I_TREATMENT_DAY_UNDEFINED: "&amp;SUBSTITUTE(IFERROR(INDEX(nMSG_Text,MATCH("I_TREATMENT_DAY_UNDEFINED",nMSG_Code,0)),""),"[input]",""),"")&amp;IF(FK82=1," | I_APPROXIMATE_NOT_COMPARED: "&amp;SUBSTITUTE(IFERROR(INDEX(nMSG_Text,MATCH("I_APPROXIMATE_NOT_COMPARED",nMSG_Code,0)),""),"[input]",""),""),4,9999))</f>
        <v/>
      </c>
      <c r="AE82" s="21" t="str">
        <f t="shared" si="136"/>
        <v/>
      </c>
      <c r="AF82" s="21" t="str">
        <f t="shared" si="137"/>
        <v/>
      </c>
      <c r="AG82" s="21" t="str">
        <f>IF(EN82="","",MID(IF(ISNUMBER(SEARCH("E_REVERSED_BOUNDS",EN82))," | E_REVERSED_BOUNDS: "&amp;SUBSTITUTE(IFERROR(INDEX(nMSG_Text,MATCH("E_REVERSED_BOUNDS",nMSG_Code,0)),""),"[input]",""),"")&amp;IF(ISNUMBER(SEARCH("E_MISSING_INPUT",EN82))," | E_MISSING_INPUT: "&amp;SUBSTITUTE(IFERROR(INDEX(nMSG_Text,MATCH("E_MISSING_INPUT",nMSG_Code,0)),""),"[input]",IF("the source of the constraint"="","an input","the source of the constraint")),""),4,999))</f>
        <v/>
      </c>
      <c r="AH82" s="21" t="str">
        <f t="shared" si="138"/>
        <v/>
      </c>
      <c r="AI82" s="21" t="str">
        <f t="shared" si="139"/>
        <v>EX1/START → EV1/ONSET</v>
      </c>
      <c r="AJ82" s="21" t="str">
        <f t="shared" si="140"/>
        <v>EX1/START</v>
      </c>
      <c r="AK82" s="21" t="str">
        <f t="shared" si="141"/>
        <v>EV1/ONSET</v>
      </c>
      <c r="AL82" s="21" t="str">
        <f>IF(CY82=0,"",INDEX(nTP_ISO,CY82))</f>
        <v>2026-01-01/2026-01-10</v>
      </c>
      <c r="AM82" s="21" t="str">
        <f>IF(CY82=0,"",INDEX(nTP_Display,CY82))</f>
        <v>1 January 2026 to 10 January 2026</v>
      </c>
      <c r="AN82" s="21" t="str">
        <f>IF(BI82=0,"",INDEX(nTP_ISO,BI82))</f>
        <v>2026-01-15</v>
      </c>
      <c r="AO82" s="21" t="str">
        <f>IF(BI82=0,"",INDEX(nTP_Display,BI82))</f>
        <v>15 January 2026</v>
      </c>
      <c r="AP82" s="21" t="str">
        <f>IF(BA82=0,"",INDEX(nLNK_Exposure_Episode_ID,BA82)&amp;"")</f>
        <v>EX1</v>
      </c>
      <c r="AQ82" s="21" t="str">
        <f>IF(BA82=0,"",INDEX(nLNK_Event_Episode_ID,BA82)&amp;"")</f>
        <v>EV1</v>
      </c>
      <c r="AR82" s="21" t="str">
        <f t="shared" si="142"/>
        <v>Anchor (FIRST_ADMIN) EX1/START: 2026-01-01/2026-01-10 [range; case measurement; original: "start 1-10 January 2026"; source: tto_calc_test_vectors_v1.1.json V05] | End point EV1/ONSET: 2026-01-15 [day; case measurement; original: "2026-01-15"; source: tto_calc_test_vectors_v1.1.json V05]</v>
      </c>
      <c r="AS82" s="21" t="str">
        <f>IF(EI82=0,"",MID(IF(DT82=1," | Recovery interval (C7) computed with "&amp;DS82&amp;".","")&amp;IF(BG82=1," | Anchor selected under C5 (CALC-SPEC 1.1): latest administration with an exact date or time at or before "&amp;IF(BH82=1,"onset","the end point")&amp;" ("&amp;AJ82&amp;"), ordered in UTC when offsets are known; later administrations are never selected.","")&amp;IF(AND(BG82=1,CE82&gt;0)," | Partial-date administrations wholly before the selected one were not candidates: "&amp;FC82&amp;".","")&amp;IF(BV82&lt;&gt;""," | "&amp;BV82,"")&amp;IF(AND(DS82="C2",EA82=0,DZ82&lt;&gt;"")," | Same calendar date; both times are known, so C1 decides the order ("&amp;AA82&amp;").","")&amp;IF(AND(DS82="C2",DD82*BN82=1,DT82=0)," | Calendar-date difference from the recorded local dates; it is never described as elapsed days.","")&amp;IF(AND(DS82="C4",DT82=0)," | Bounds are treated as independent; no single date is imputed from them.","")&amp;IF(EJ82=1," | Treatment day under the inclusive convention (C3); never written to E2B fields automatically.","")&amp;IF(AND(DS82="C4",DT82=0,EK82=0)," | No constraint applied.","")&amp;IF(AND(DS82="C4",EK82=1)," | Constraint applied to the anchor bounds: "&amp;IF(ISNUMBER(P82),"not before "&amp;DAY(P82)&amp;" "&amp;INDEX(nLIST_Months,MONTH(P82))&amp;" "&amp;YEAR(P82),"")&amp;IF(AND(ISNUMBER(P82),ISNUMBER(Q82)),", ","")&amp;IF(ISNUMBER(Q82),"not after "&amp;DAY(Q82)&amp;" "&amp;INDEX(nLIST_Months,MONTH(Q82))&amp;" "&amp;YEAR(Q82),"")&amp;". Source: "&amp;IF(R82="","not recorded",R82)&amp;IF(EN82="",". Constrained result shown beside the unconstrained one.",". Constrained result blocked ("&amp;EN82&amp;")."),"")&amp;IF(DT82=1,IF(EO82&gt;0," | Intervention recorded between cessation and recovery (ends included): "&amp;EZ82&amp;"."," | No intervention is recorded between cessation and recovery; absence of a record is not evidence that none was given."),"")&amp;IF(AND(DT82=1,DV82&gt;0)," | Intervention recorded without a date, so whether it came before recovery is unknown: "&amp;INDEX(nMS_Milestone_ID,MATCH(1,INDEX((nMS_CaseKey=AX82)*(nMS_Type="INTERVENTION")*nMS_Undated,0),0))&amp;IF(DV82&gt;1," and "&amp;(DV82-1)&amp;" more","")&amp;".","")&amp;IF(AND(DT82=1,EP82&gt;0)," | Not counted as interventions, because they are recorded as exposures rather than as intervention milestones (nothing is inferred): "&amp;FB82&amp;". If treatment was given, record it as an intervention milestone.",""),4,9999))</f>
        <v>Bounds are treated as independent; no single date is imputed from them. | No constraint applied.</v>
      </c>
      <c r="AT82" s="21" t="str">
        <f t="shared" si="143"/>
        <v>The interval describes the sequence and spacing of recorded times; it is not evidence of causation. The true interval lies between the bounds; no single date is imputed.</v>
      </c>
      <c r="AU82" s="21" t="str">
        <f t="shared" si="144"/>
        <v/>
      </c>
      <c r="AV82" s="21" t="str">
        <f t="shared" si="145"/>
        <v>CALC-SPEC 1.1</v>
      </c>
      <c r="AW82" s="22">
        <f t="shared" si="146"/>
        <v>0</v>
      </c>
      <c r="AX82" s="21" t="str">
        <f t="shared" si="147"/>
        <v>VEC-V05|1</v>
      </c>
      <c r="AY82" s="21" t="str">
        <f t="shared" si="148"/>
        <v>VEC-V05|1|I1</v>
      </c>
      <c r="AZ82" s="22">
        <f>IF(AY82="",0,COUNTIF(nINT_Key,AY82))</f>
        <v>1</v>
      </c>
      <c r="BA82" s="22">
        <f>IF(D82="",0,IFERROR(MATCH(AX82&amp;"|"&amp;D82,nLNK_Key,0),0))</f>
        <v>36</v>
      </c>
      <c r="BB82" s="22">
        <f>IF(BA82=0,1,INDEX(nLNK_Exp_Found,BA82))</f>
        <v>1</v>
      </c>
      <c r="BC82" s="22">
        <f>IF(BA82=0,1,INDEX(nLNK_Evt_Found,BA82))</f>
        <v>1</v>
      </c>
      <c r="BD82" s="22">
        <f>IF(AP82="",0,COUNTIF(nEXP_Key,AX82&amp;"|"&amp;AP82))</f>
        <v>1</v>
      </c>
      <c r="BE82" s="22">
        <f>IF(AQ82="",0,COUNTIF(nEVT_Key,AX82&amp;"|"&amp;AQ82))</f>
        <v>1</v>
      </c>
      <c r="BF82" s="22">
        <f>IF(ISNA(MATCH(E82,nLIST_AnchorType,0)),0,1)</f>
        <v>1</v>
      </c>
      <c r="BG82" s="22">
        <f t="shared" si="149"/>
        <v>0</v>
      </c>
      <c r="BH82" s="22">
        <f t="shared" si="150"/>
        <v>1</v>
      </c>
      <c r="BI82" s="22">
        <f>IF(OR(AW82=1,AK82=""),0,IFERROR(MATCH(AX82&amp;"|"&amp;AK82,nTP_Key,0),0))</f>
        <v>320</v>
      </c>
      <c r="BJ82" s="21">
        <f>IF(BI82=0,0,INDEX(nTP_Dup,BI82))</f>
        <v>1</v>
      </c>
      <c r="BK82" s="21" t="str">
        <f>IF(BI82=0,"",INDEX(nTP_Record_Type,BI82))</f>
        <v>EVENT_ONSET</v>
      </c>
      <c r="BL82" s="21" t="str">
        <f>IF(BI82=0,"",INDEX(nTP_Precision,BI82))</f>
        <v>DATE</v>
      </c>
      <c r="BM82" s="21" t="str">
        <f>IF(BI82=0,"",INDEX(nTP_Err,BI82))</f>
        <v/>
      </c>
      <c r="BN82" s="21">
        <f>IF(BI82=0,0,INDEX(nTP_HT,BI82))</f>
        <v>0</v>
      </c>
      <c r="BO82" s="21">
        <f>IF(BI82=0,0,INDEX(nTP_OK,BI82))</f>
        <v>0</v>
      </c>
      <c r="BP82" s="21" t="str">
        <f>IF(BI82=0,"",INDEX(nTP_Loc,BI82))</f>
        <v/>
      </c>
      <c r="BQ82" s="21" t="str">
        <f>IF(BI82=0,"",INDEX(nTP_UTC,BI82))</f>
        <v/>
      </c>
      <c r="BR82" s="21">
        <f>IF(BI82=0,"",INDEX(nTP_Lo,BI82))</f>
        <v>46037</v>
      </c>
      <c r="BS82" s="21">
        <f>IF(BI82=0,"",INDEX(nTP_Hi,BI82))</f>
        <v>46037</v>
      </c>
      <c r="BT82" s="21" t="str">
        <f>IF(BI82=0,"",INDEX(nTP_Original_Text,BI82))</f>
        <v>2026-01-15</v>
      </c>
      <c r="BU82" s="21" t="str">
        <f>IF(BI82=0,"",INDEX(nTP_Source,BI82))</f>
        <v>tto_calc_test_vectors_v1.1.json V05</v>
      </c>
      <c r="BV82" s="21" t="str">
        <f>IF(BI82=0,"",INDEX(nTP_Lab_Note,BI82))</f>
        <v/>
      </c>
      <c r="BW82" s="22">
        <f t="shared" si="151"/>
        <v>1</v>
      </c>
      <c r="BX82" s="21" t="str">
        <f t="shared" si="152"/>
        <v>VEC-V05|1|EX1</v>
      </c>
      <c r="BY82" s="22">
        <f>IF(BG82=0,0,COUNTIF(nTP_CandKey,BX82))</f>
        <v>0</v>
      </c>
      <c r="BZ82" s="22">
        <f>IF(BG82=0,0,COUNTIFS(nTP_CandKey,BX82,nTP_Err,""))</f>
        <v>0</v>
      </c>
      <c r="CA82" s="21" t="str">
        <f>IF(BY82=BZ82,"",IF(COUNTIFS(nTP_CandKey,BX82,nTP_Err,"E_INVALID_DATE")&gt;0,"; E_INVALID_DATE","")&amp;IF(COUNTIFS(nTP_CandKey,BX82,nTP_Err,"E_REVERSED_BOUNDS")&gt;0,"; E_REVERSED_BOUNDS","")&amp;IF(COUNTIFS(nTP_CandKey,BX82,nTP_Err,"E_MISSING_INPUT")&gt;0,"; E_MISSING_INPUT","")&amp;IF(COUNTIFS(nTP_CandKey,BX82,nTP_Err,"E_INVALID_UNIT")&gt;0,"; E_INVALID_UNIT",""))</f>
        <v/>
      </c>
      <c r="CB82" s="22">
        <f t="shared" si="153"/>
        <v>0</v>
      </c>
      <c r="CC82" s="22">
        <f>IF(CB82=0,0,SUMPRODUCT((nTP_CandKey=BX82)*(nTP_Err="")*(1-(nTP_HT*BN82*((nTP_OK*BO82*(nTP_UTC_n-N(BQ82))+(1-nTP_OK*BO82)*(nTP_Loc_n-N(BP82)))&lt;=0)+(1-nTP_HT*BN82)*(nTP_Hi_n&lt;N(BR82)))-(nTP_HT*BN82*((nTP_OK*BO82*(nTP_UTC_n-N(BQ82))+(1-nTP_OK*BO82)*(nTP_Loc_n-N(BP82)))&gt;0)+(1-nTP_HT*BN82)*(nTP_Lo_n&gt;N(BS82)))-((1-nTP_HT*BN82)*(nTP_Lo_n=nTP_Hi_n)*(nTP_Lo_n=N(BR82))*(N(BR82)=N(BS82))))))</f>
        <v>0</v>
      </c>
      <c r="CD82" s="22">
        <f>IF(CB82=0,0,SUMPRODUCT((nTP_CandKey=BX82)*nTP_Exact*((nTP_HT*BN82*((nTP_OK*BO82*(nTP_UTC_n-N(BQ82))+(1-nTP_OK*BO82)*(nTP_Loc_n-N(BP82)))&lt;=0)+(1-nTP_HT*BN82)*(nTP_Hi_n&lt;N(BR82)))+((1-nTP_HT*BN82)*(nTP_Lo_n=nTP_Hi_n)*(nTP_Lo_n=N(BR82))*(N(BR82)=N(BS82))))))</f>
        <v>0</v>
      </c>
      <c r="CE82" s="22">
        <f>IF(CB82=0,0,SUMPRODUCT((nTP_CandKey=BX82)*(nTP_Err="")*(1-nTP_Exact)*((nTP_HT*BN82*((nTP_OK*BO82*(nTP_UTC_n-N(BQ82))+(1-nTP_OK*BO82)*(nTP_Loc_n-N(BP82)))&lt;=0)+(1-nTP_HT*BN82)*(nTP_Hi_n&lt;N(BR82)))+((1-nTP_HT*BN82)*(nTP_Lo_n=nTP_Hi_n)*(nTP_Lo_n=N(BR82))*(N(BR82)=N(BS82))))))</f>
        <v>0</v>
      </c>
      <c r="CF82" s="22">
        <f>IF(CD82=0,0,SUMPRODUCT(MAX((nTP_CandKey=BX82)*nTP_Exact*((nTP_HT*BN82*((nTP_OK*BO82*(nTP_UTC_n-N(BQ82))+(1-nTP_OK*BO82)*(nTP_Loc_n-N(BP82)))&lt;=0)+(1-nTP_HT*BN82)*(nTP_Hi_n&lt;N(BR82)))+((1-nTP_HT*BN82)*(nTP_Lo_n=nTP_Hi_n)*(nTP_Lo_n=N(BR82))*(N(BR82)=N(BS82))))*nTP_Lo_n)))</f>
        <v>0</v>
      </c>
      <c r="CG82" s="22">
        <f>IF(CD82=0,0,SUMPRODUCT((nTP_CandKey=BX82)*nTP_Exact*((nTP_HT*BN82*((nTP_OK*BO82*(nTP_UTC_n-N(BQ82))+(1-nTP_OK*BO82)*(nTP_Loc_n-N(BP82)))&lt;=0)+(1-nTP_HT*BN82)*(nTP_Hi_n&lt;N(BR82)))+((1-nTP_HT*BN82)*(nTP_Lo_n=nTP_Hi_n)*(nTP_Lo_n=N(BR82))*(N(BR82)=N(BS82))))*(nTP_Lo_n=CF82)))</f>
        <v>0</v>
      </c>
      <c r="CH82" s="22">
        <f>IF(CD82=0,0,SUMPRODUCT((nTP_CandKey=BX82)*nTP_Exact*((nTP_HT*BN82*((nTP_OK*BO82*(nTP_UTC_n-N(BQ82))+(1-nTP_OK*BO82)*(nTP_Loc_n-N(BP82)))&lt;=0)+(1-nTP_HT*BN82)*(nTP_Hi_n&lt;N(BR82)))+((1-nTP_HT*BN82)*(nTP_Lo_n=nTP_Hi_n)*(nTP_Lo_n=N(BR82))*(N(BR82)=N(BS82))))*(1-nTP_HT)*(nTP_Lo_n=CF82)))</f>
        <v>0</v>
      </c>
      <c r="CI82" s="22">
        <f>IF(CD82=0,0,SUMPRODUCT(MAX((nTP_CandKey=BX82)*nTP_Exact*((nTP_HT*BN82*((nTP_OK*BO82*(nTP_UTC_n-N(BQ82))+(1-nTP_OK*BO82)*(nTP_Loc_n-N(BP82)))&lt;=0)+(1-nTP_HT*BN82)*(nTP_Hi_n&lt;N(BR82)))+((1-nTP_HT*BN82)*(nTP_Lo_n=nTP_Hi_n)*(nTP_Lo_n=N(BR82))*(N(BR82)=N(BS82))))*(1-nTP_HT)*nTP_Lo_n)))</f>
        <v>0</v>
      </c>
      <c r="CJ82" s="22">
        <f>IF(CD82=0,0,SUMPRODUCT(MAX((nTP_CandKey=BX82)*nTP_Exact*((nTP_HT*BN82*((nTP_OK*BO82*(nTP_UTC_n-N(BQ82))+(1-nTP_OK*BO82)*(nTP_Loc_n-N(BP82)))&lt;=0)+(1-nTP_HT*BN82)*(nTP_Hi_n&lt;N(BR82)))+((1-nTP_HT*BN82)*(nTP_Lo_n=nTP_Hi_n)*(nTP_Lo_n=N(BR82))*(N(BR82)=N(BS82))))*nTP_HT*nTP_OK*nTP_UTC_n)))</f>
        <v>0</v>
      </c>
      <c r="CK82" s="22">
        <f>IF(CJ82=0,0,SUMPRODUCT((nTP_CandKey=BX82)*nTP_Exact*((nTP_HT*BN82*((nTP_OK*BO82*(nTP_UTC_n-N(BQ82))+(1-nTP_OK*BO82)*(nTP_Loc_n-N(BP82)))&lt;=0)+(1-nTP_HT*BN82)*(nTP_Hi_n&lt;N(BR82)))+((1-nTP_HT*BN82)*(nTP_Lo_n=nTP_Hi_n)*(nTP_Lo_n=N(BR82))*(N(BR82)=N(BS82))))*nTP_HT*nTP_OK*(nTP_UTC_n=CJ82)))</f>
        <v>0</v>
      </c>
      <c r="CL82" s="22">
        <f>IF(CK82&lt;&gt;1,0,SUMPRODUCT((nTP_CandKey=BX82)*nTP_Exact*((nTP_HT*BN82*((nTP_OK*BO82*(nTP_UTC_n-N(BQ82))+(1-nTP_OK*BO82)*(nTP_Loc_n-N(BP82)))&lt;=0)+(1-nTP_HT*BN82)*(nTP_Hi_n&lt;N(BR82)))+((1-nTP_HT*BN82)*(nTP_Lo_n=nTP_Hi_n)*(nTP_Lo_n=N(BR82))*(N(BR82)=N(BS82))))*nTP_HT*nTP_OK*(nTP_UTC_n=CJ82)*nTP_Loc_n))</f>
        <v>0</v>
      </c>
      <c r="CM82" s="22">
        <f>IF(CK82&lt;&gt;1,0,SUMPRODUCT((nTP_CandKey=BX82)*nTP_Exact*((nTP_HT*BN82*((nTP_OK*BO82*(nTP_UTC_n-N(BQ82))+(1-nTP_OK*BO82)*(nTP_Loc_n-N(BP82)))&lt;=0)+(1-nTP_HT*BN82)*(nTP_Hi_n&lt;N(BR82)))+((1-nTP_HT*BN82)*(nTP_Lo_n=nTP_Hi_n)*(nTP_Lo_n=N(BR82))*(N(BR82)=N(BS82))))*nTP_HT*nTP_OK*(nTP_UTC_n=CJ82)*nTP_Lo_n))</f>
        <v>0</v>
      </c>
      <c r="CN82" s="22">
        <f>IF(CD82=0,0,SUMPRODUCT(MAX((nTP_CandKey=BX82)*nTP_Exact*((nTP_HT*BN82*((nTP_OK*BO82*(nTP_UTC_n-N(BQ82))+(1-nTP_OK*BO82)*(nTP_Loc_n-N(BP82)))&lt;=0)+(1-nTP_HT*BN82)*(nTP_Hi_n&lt;N(BR82)))+((1-nTP_HT*BN82)*(nTP_Lo_n=nTP_Hi_n)*(nTP_Lo_n=N(BR82))*(N(BR82)=N(BS82))))*nTP_HT*(1-nTP_OK)*nTP_Loc_n)))</f>
        <v>0</v>
      </c>
      <c r="CO82" s="22">
        <f>IF(CN82=0,0,SUMPRODUCT((nTP_CandKey=BX82)*nTP_Exact*((nTP_HT*BN82*((nTP_OK*BO82*(nTP_UTC_n-N(BQ82))+(1-nTP_OK*BO82)*(nTP_Loc_n-N(BP82)))&lt;=0)+(1-nTP_HT*BN82)*(nTP_Hi_n&lt;N(BR82)))+((1-nTP_HT*BN82)*(nTP_Lo_n=nTP_Hi_n)*(nTP_Lo_n=N(BR82))*(N(BR82)=N(BS82))))*nTP_HT*(1-nTP_OK)*(nTP_Loc_n=CN82)))</f>
        <v>0</v>
      </c>
      <c r="CP82" s="22">
        <f>IF(CO82&lt;&gt;1,0,SUMPRODUCT((nTP_CandKey=BX82)*nTP_Exact*((nTP_HT*BN82*((nTP_OK*BO82*(nTP_UTC_n-N(BQ82))+(1-nTP_OK*BO82)*(nTP_Loc_n-N(BP82)))&lt;=0)+(1-nTP_HT*BN82)*(nTP_Hi_n&lt;N(BR82)))+((1-nTP_HT*BN82)*(nTP_Lo_n=nTP_Hi_n)*(nTP_Lo_n=N(BR82))*(N(BR82)=N(BS82))))*nTP_HT*(1-nTP_OK)*(nTP_Loc_n=CN82)*nTP_Lo_n))</f>
        <v>0</v>
      </c>
      <c r="CQ82" s="22">
        <f>IF(CD82=0,0,SUMPRODUCT(MAX((nTP_CandKey=BX82)*nTP_Exact*((nTP_HT*BN82*((nTP_OK*BO82*(nTP_UTC_n-N(BQ82))+(1-nTP_OK*BO82)*(nTP_Loc_n-N(BP82)))&lt;=0)+(1-nTP_HT*BN82)*(nTP_Hi_n&lt;N(BR82)))+((1-nTP_HT*BN82)*(nTP_Lo_n=nTP_Hi_n)*(nTP_Lo_n=N(BR82))*(N(BR82)=N(BS82))))*nTP_HT*nTP_OK*nTP_Loc_n)))</f>
        <v>0</v>
      </c>
      <c r="CR82" s="22">
        <f t="shared" si="154"/>
        <v>0</v>
      </c>
      <c r="CS82" s="22">
        <f>IF(CR82=0,0,IF(CR82=1,MATCH(1,INDEX((nTP_CandKey=BX82)*nTP_Exact*((nTP_HT*BN82*((nTP_OK*BO82*(nTP_UTC_n-N(BQ82))+(1-nTP_OK*BO82)*(nTP_Loc_n-N(BP82)))&lt;=0)+(1-nTP_HT*BN82)*(nTP_Hi_n&lt;N(BR82)))+((1-nTP_HT*BN82)*(nTP_Lo_n=nTP_Hi_n)*(nTP_Lo_n=N(BR82))*(N(BR82)=N(BS82))))*(1-nTP_HT)*(nTP_Lo_n=CF82),0),0),IF(CR82=2,MATCH(1,INDEX((nTP_CandKey=BX82)*nTP_Exact*((nTP_HT*BN82*((nTP_OK*BO82*(nTP_UTC_n-N(BQ82))+(1-nTP_OK*BO82)*(nTP_Loc_n-N(BP82)))&lt;=0)+(1-nTP_HT*BN82)*(nTP_Hi_n&lt;N(BR82)))+((1-nTP_HT*BN82)*(nTP_Lo_n=nTP_Hi_n)*(nTP_Lo_n=N(BR82))*(N(BR82)=N(BS82))))*nTP_HT*nTP_OK*(nTP_UTC_n=CJ82),0),0),MATCH(1,INDEX((nTP_CandKey=BX82)*nTP_Exact*((nTP_HT*BN82*((nTP_OK*BO82*(nTP_UTC_n-N(BQ82))+(1-nTP_OK*BO82)*(nTP_Loc_n-N(BP82)))&lt;=0)+(1-nTP_HT*BN82)*(nTP_Hi_n&lt;N(BR82)))+((1-nTP_HT*BN82)*(nTP_Lo_n=nTP_Hi_n)*(nTP_Lo_n=N(BR82))*(N(BR82)=N(BS82))))*nTP_HT*(1-nTP_OK)*(nTP_Loc_n=CN82),0),0))))</f>
        <v>0</v>
      </c>
      <c r="CT82" s="22">
        <f>IF(CS82=0,0,INDEX(nTP_Lo_n,CS82))</f>
        <v>0</v>
      </c>
      <c r="CU82" s="22">
        <f>IF(CS82=0,0,SUMPRODUCT((nTP_CandKey=BX82)*(nTP_Err="")*(1-nTP_Exact)*((nTP_HT*BN82*((nTP_OK*BO82*(nTP_UTC_n-N(BQ82))+(1-nTP_OK*BO82)*(nTP_Loc_n-N(BP82)))&lt;=0)+(1-nTP_HT*BN82)*(nTP_Hi_n&lt;N(BR82)))+((1-nTP_HT*BN82)*(nTP_Lo_n=nTP_Hi_n)*(nTP_Lo_n=N(BR82))*(N(BR82)=N(BS82))))*(nTP_Hi_n&gt;=CT82)))</f>
        <v>0</v>
      </c>
      <c r="CV82" s="21" t="str">
        <f t="shared" si="155"/>
        <v/>
      </c>
      <c r="CW82" s="21" t="str">
        <f>IF(AND(BG82=1,CB82=1,CV82="",CS82&gt;0),INDEX(nTP_Record_ID,CS82)&amp;"","")</f>
        <v/>
      </c>
      <c r="CX82" s="21" t="str">
        <f>IF(OR(CV82="",BG82=0),"",IF(CV82="none","an administration record (last dose before onset)",IF(CV82="uncertain","the anchor record: "&amp;INDEX(nTP_Record_ID,MATCH(1,INDEX((nTP_CandKey=BX82)*(nTP_Err="")*(1-(nTP_HT*BN82*((nTP_OK*BO82*(nTP_UTC_n-N(BQ82))+(1-nTP_OK*BO82)*(nTP_Loc_n-N(BP82)))&lt;=0)+(1-nTP_HT*BN82)*(nTP_Hi_n&lt;N(BR82)))-(nTP_HT*BN82*((nTP_OK*BO82*(nTP_UTC_n-N(BQ82))+(1-nTP_OK*BO82)*(nTP_Loc_n-N(BP82)))&gt;0)+(1-nTP_HT*BN82)*(nTP_Lo_n&gt;N(BS82)))-((1-nTP_HT*BN82)*(nTP_Lo_n=nTP_Hi_n)*(nTP_Lo_n=N(BR82))*(N(BR82)=N(BS82)))),0),0))&amp;IF(CC82&gt;1," and "&amp;(CC82-1)&amp;" more","")&amp;" may fall before or after the end point, so the last dose cannot be identified from the recorded dates",IF(CV82="noneligible","the anchor record: no administration with an exact date is recorded at or before the end point",IF(CV82="tie","the anchor record: the order of the latest administrations cannot be told from the recorded dates and times","the anchor record: partial-date administration "&amp;INDEX(nTP_Record_ID,MATCH(1,INDEX((nTP_CandKey=BX82)*(nTP_Err="")*(1-nTP_Exact)*((nTP_HT*BN82*((nTP_OK*BO82*(nTP_UTC_n-N(BQ82))+(1-nTP_OK*BO82)*(nTP_Loc_n-N(BP82)))&lt;=0)+(1-nTP_HT*BN82)*(nTP_Hi_n&lt;N(BR82)))+((1-nTP_HT*BN82)*(nTP_Lo_n=nTP_Hi_n)*(nTP_Lo_n=N(BR82))*(N(BR82)=N(BS82))))*(nTP_Hi_n&gt;=CT82),0),0))&amp;" could be the last dose before the end point")))))</f>
        <v/>
      </c>
      <c r="CY82" s="22">
        <f>IF(OR(AW82=1,AJ82=""),0,IFERROR(MATCH(AX82&amp;"|"&amp;AJ82,nTP_Key,0),0))</f>
        <v>48</v>
      </c>
      <c r="CZ82" s="21">
        <f>IF(CY82=0,0,INDEX(nTP_Dup,CY82))</f>
        <v>1</v>
      </c>
      <c r="DA82" s="21" t="str">
        <f>IF(CY82=0,"",INDEX(nTP_Record_Type,CY82))</f>
        <v>EXPOSURE_START</v>
      </c>
      <c r="DB82" s="21" t="str">
        <f>IF(CY82=0,"",INDEX(nTP_Precision,CY82))</f>
        <v>RANGE</v>
      </c>
      <c r="DC82" s="21" t="str">
        <f>IF(CY82=0,"",INDEX(nTP_Err,CY82))</f>
        <v/>
      </c>
      <c r="DD82" s="21">
        <f>IF(CY82=0,0,INDEX(nTP_HT,CY82))</f>
        <v>0</v>
      </c>
      <c r="DE82" s="21">
        <f>IF(CY82=0,0,INDEX(nTP_OK,CY82))</f>
        <v>0</v>
      </c>
      <c r="DF82" s="21" t="str">
        <f>IF(CY82=0,"",INDEX(nTP_Loc,CY82))</f>
        <v/>
      </c>
      <c r="DG82" s="21" t="str">
        <f>IF(CY82=0,"",INDEX(nTP_UTC,CY82))</f>
        <v/>
      </c>
      <c r="DH82" s="21">
        <f>IF(CY82=0,"",INDEX(nTP_Lo,CY82))</f>
        <v>46023</v>
      </c>
      <c r="DI82" s="21">
        <f>IF(CY82=0,"",INDEX(nTP_Hi,CY82))</f>
        <v>46032</v>
      </c>
      <c r="DJ82" s="21" t="str">
        <f>IF(CY82=0,"",INDEX(nTP_Original_Text,CY82))</f>
        <v>start 1-10 January 2026</v>
      </c>
      <c r="DK82" s="21" t="str">
        <f>IF(CY82=0,"",INDEX(nTP_Source,CY82))</f>
        <v>tto_calc_test_vectors_v1.1.json V05</v>
      </c>
      <c r="DL82" s="22">
        <f t="shared" si="156"/>
        <v>1</v>
      </c>
      <c r="DM82" s="21" t="str">
        <f t="shared" si="157"/>
        <v/>
      </c>
      <c r="DN82" s="21" t="str">
        <f t="shared" si="158"/>
        <v/>
      </c>
      <c r="DO82" s="21" t="str">
        <f t="shared" si="159"/>
        <v/>
      </c>
      <c r="DP82" s="21" t="str">
        <f t="shared" si="160"/>
        <v/>
      </c>
      <c r="DQ82" s="21" t="str">
        <f t="shared" si="161"/>
        <v>C4</v>
      </c>
      <c r="DR82" s="22">
        <f>IF(OR(DQ82="",I82=""),0,IF(ISNA(MATCH(I82,nLIST_Mode,0)),1,IF(AND(I82="C1",DQ82&lt;&gt;"C1"),1,IF(AND(I82="C2",DQ82="C4"),1,0))))</f>
        <v>0</v>
      </c>
      <c r="DS82" s="21" t="str">
        <f t="shared" si="162"/>
        <v>C4</v>
      </c>
      <c r="DT82" s="22">
        <f t="shared" si="163"/>
        <v>0</v>
      </c>
      <c r="DU82" s="21" t="str">
        <f>IF(DT82=0,"",IF(COUNTIFS(nTP_Case_Key,AX82,nTP_Record_Type,"MILESTONE:INTERVENTION",nTP_Err,"E_INVALID_DATE")&gt;0,"; E_INVALID_DATE","")&amp;IF(COUNTIFS(nTP_Case_Key,AX82,nTP_Record_Type,"MILESTONE:INTERVENTION",nTP_Err,"E_REVERSED_BOUNDS")&gt;0,"; E_REVERSED_BOUNDS","")&amp;IF(COUNTIFS(nTP_Case_Key,AX82,nTP_Record_Type,"MILESTONE:INTERVENTION",nTP_Err,"E_MISSING_INPUT")&gt;0,"; E_MISSING_INPUT","")&amp;IF(COUNTIFS(nTP_Case_Key,AX82,nTP_Record_Type,"MILESTONE:INTERVENTION",nTP_Err,"E_INVALID_UNIT")&gt;0,"; E_INVALID_UNIT",""))</f>
        <v/>
      </c>
      <c r="DV82" s="22">
        <f>IF(DT82=0,0,SUMPRODUCT((nMS_CaseKey=AX82)*(nMS_Type="INTERVENTION")*nMS_Undated))</f>
        <v>0</v>
      </c>
      <c r="DW82" s="21" t="str">
        <f t="shared" si="164"/>
        <v/>
      </c>
      <c r="DX82" s="21" t="str">
        <f t="shared" si="165"/>
        <v/>
      </c>
      <c r="DY82" s="22">
        <f t="shared" si="166"/>
        <v>1</v>
      </c>
      <c r="DZ82" s="21" t="str">
        <f t="shared" si="167"/>
        <v/>
      </c>
      <c r="EA82" s="21" t="str">
        <f t="shared" si="168"/>
        <v/>
      </c>
      <c r="EB82" s="21">
        <f t="shared" si="169"/>
        <v>5</v>
      </c>
      <c r="EC82" s="21">
        <f t="shared" si="170"/>
        <v>14</v>
      </c>
      <c r="ED82" s="22">
        <f t="shared" si="171"/>
        <v>0</v>
      </c>
      <c r="EE82" s="22">
        <f t="shared" si="172"/>
        <v>0</v>
      </c>
      <c r="EF82" s="21" t="str">
        <f>IF(ED82=0,"",IF(OR(NOT(ISNUMBER(L82)),NOT(ISNUMBER(M82))),"I_APPROXIMATE_NOT_COMPARED",IF(AND(N82&lt;&gt;"",ISNA(MATCH(N82,nLIST_ReportedUnit,0))),"E_INVALID_UNIT",IF(N82="","E_MISSING_INPUT",IF(L82&gt;M82,"E_REVERSED_BOUNDS",IF(OR(N82="weeks",N82="months",N82="years"),"I_APPROXIMATE_NOT_COMPARED",IF(DX82&lt;&gt;"","",IF(EE82=0,"I_APPROXIMATE_NOT_COMPARED",IF(AND(L82*EE82&lt;=IF(DS82="C4",EC82,IF(DS82="C1",DZ82,EA82)),M82*EE82&gt;=IF(DS82="C4",EB82,IF(DS82="C1",DZ82,EA82))),"OVERLAP","W_REPORTED_TIMING_CONFLICT")))))))))</f>
        <v/>
      </c>
      <c r="EG82" s="21" t="str">
        <f t="shared" si="173"/>
        <v/>
      </c>
      <c r="EH82" s="21" t="str">
        <f t="shared" si="174"/>
        <v/>
      </c>
      <c r="EI82" s="22">
        <f t="shared" si="175"/>
        <v>1</v>
      </c>
      <c r="EJ82" s="22">
        <f t="shared" si="176"/>
        <v>0</v>
      </c>
      <c r="EK82" s="22">
        <f t="shared" si="177"/>
        <v>0</v>
      </c>
      <c r="EL82" s="28" t="str">
        <f t="shared" si="178"/>
        <v/>
      </c>
      <c r="EM82" s="28" t="str">
        <f t="shared" si="179"/>
        <v/>
      </c>
      <c r="EN82" s="21" t="str">
        <f t="shared" si="180"/>
        <v/>
      </c>
      <c r="EO82" s="22">
        <f>IF(OR(DT82=0,DX82&lt;&gt;""),0,SUMPRODUCT((nTP_Case_Key=AX82)*(nTP_Record_Type="MILESTONE:INTERVENTION")*(nTP_Err="")*(nTP_HT*DD82*BN82*(nTP_OK*DE82*(nTP_UTC_n&gt;=N(DG82))+(1-nTP_OK*DE82)*(nTP_Loc_n&gt;=N(DF82)))*(nTP_OK*BO82*(nTP_UTC_n&lt;=N(BQ82))+(1-nTP_OK*BO82)*(nTP_Loc_n&lt;=N(BP82)))+(1-nTP_HT*DD82*BN82)*(nTP_Hi_n&gt;=N(DH82))*(nTP_Lo_n&lt;=N(BS82)))))</f>
        <v>0</v>
      </c>
      <c r="EP82" s="22">
        <f>IF(OR(DT82=0,DX82&lt;&gt;""),0,SUMPRODUCT((nTP_Case_Key=AX82)*(nTP_Role="treatment of the event")*((nTP_Record_Type="EXPOSURE_START")+(nTP_Record_Type="ADMINISTRATION"))*(nTP_Err="")*(nTP_HT*DD82*BN82*(nTP_OK*DE82*(nTP_UTC_n&gt;=N(DG82))+(1-nTP_OK*DE82)*(nTP_Loc_n&gt;=N(DF82)))*(nTP_OK*BO82*(nTP_UTC_n&lt;=N(BQ82))+(1-nTP_OK*BO82)*(nTP_Loc_n&lt;=N(BP82)))+(1-nTP_HT*DD82*BN82)*(nTP_Hi_n&gt;=N(DH82))*(nTP_Lo_n&lt;=N(BS82)))))</f>
        <v>0</v>
      </c>
      <c r="EQ82" s="22">
        <f>IF(EO82&lt;1,0,IFERROR(_xlfn.AGGREGATE(15,6,nTP_RowN/((nTP_Case_Key=AX82)*(nTP_Record_Type="MILESTONE:INTERVENTION")*(nTP_Err="")*(nTP_HT*DD82*BN82*(nTP_OK*DE82*(nTP_UTC_n&gt;=N(DG82))+(1-nTP_OK*DE82)*(nTP_Loc_n&gt;=N(DF82)))*(nTP_OK*BO82*(nTP_UTC_n&lt;=N(BQ82))+(1-nTP_OK*BO82)*(nTP_Loc_n&lt;=N(BP82)))+(1-nTP_HT*DD82*BN82)*(nTP_Hi_n&gt;=N(DH82))*(nTP_Lo_n&lt;=N(BS82)))),1),0))</f>
        <v>0</v>
      </c>
      <c r="ER82" s="22">
        <f>IF(EO82&lt;2,0,IFERROR(_xlfn.AGGREGATE(15,6,nTP_RowN/((nTP_Case_Key=AX82)*(nTP_Record_Type="MILESTONE:INTERVENTION")*(nTP_Err="")*(nTP_HT*DD82*BN82*(nTP_OK*DE82*(nTP_UTC_n&gt;=N(DG82))+(1-nTP_OK*DE82)*(nTP_Loc_n&gt;=N(DF82)))*(nTP_OK*BO82*(nTP_UTC_n&lt;=N(BQ82))+(1-nTP_OK*BO82)*(nTP_Loc_n&lt;=N(BP82)))+(1-nTP_HT*DD82*BN82)*(nTP_Hi_n&gt;=N(DH82))*(nTP_Lo_n&lt;=N(BS82)))),2),0))</f>
        <v>0</v>
      </c>
      <c r="ES82" s="22">
        <f>IF(EO82&lt;3,0,IFERROR(_xlfn.AGGREGATE(15,6,nTP_RowN/((nTP_Case_Key=AX82)*(nTP_Record_Type="MILESTONE:INTERVENTION")*(nTP_Err="")*(nTP_HT*DD82*BN82*(nTP_OK*DE82*(nTP_UTC_n&gt;=N(DG82))+(1-nTP_OK*DE82)*(nTP_Loc_n&gt;=N(DF82)))*(nTP_OK*BO82*(nTP_UTC_n&lt;=N(BQ82))+(1-nTP_OK*BO82)*(nTP_Loc_n&lt;=N(BP82)))+(1-nTP_HT*DD82*BN82)*(nTP_Hi_n&gt;=N(DH82))*(nTP_Lo_n&lt;=N(BS82)))),3),0))</f>
        <v>0</v>
      </c>
      <c r="ET82" s="22">
        <f>IF(EP82&lt;1,0,IFERROR(_xlfn.AGGREGATE(15,6,nTP_RowN/((nTP_Case_Key=AX82)*(nTP_Role="treatment of the event")*((nTP_Record_Type="EXPOSURE_START")+(nTP_Record_Type="ADMINISTRATION"))*(nTP_Err="")*(nTP_HT*DD82*BN82*(nTP_OK*DE82*(nTP_UTC_n&gt;=N(DG82))+(1-nTP_OK*DE82)*(nTP_Loc_n&gt;=N(DF82)))*(nTP_OK*BO82*(nTP_UTC_n&lt;=N(BQ82))+(1-nTP_OK*BO82)*(nTP_Loc_n&lt;=N(BP82)))+(1-nTP_HT*DD82*BN82)*(nTP_Hi_n&gt;=N(DH82))*(nTP_Lo_n&lt;=N(BS82)))),1),0))</f>
        <v>0</v>
      </c>
      <c r="EU82" s="22">
        <f>IF(EP82&lt;2,0,IFERROR(_xlfn.AGGREGATE(15,6,nTP_RowN/((nTP_Case_Key=AX82)*(nTP_Role="treatment of the event")*((nTP_Record_Type="EXPOSURE_START")+(nTP_Record_Type="ADMINISTRATION"))*(nTP_Err="")*(nTP_HT*DD82*BN82*(nTP_OK*DE82*(nTP_UTC_n&gt;=N(DG82))+(1-nTP_OK*DE82)*(nTP_Loc_n&gt;=N(DF82)))*(nTP_OK*BO82*(nTP_UTC_n&lt;=N(BQ82))+(1-nTP_OK*BO82)*(nTP_Loc_n&lt;=N(BP82)))+(1-nTP_HT*DD82*BN82)*(nTP_Hi_n&gt;=N(DH82))*(nTP_Lo_n&lt;=N(BS82)))),2),0))</f>
        <v>0</v>
      </c>
      <c r="EV82" s="22">
        <f>IF(EP82&lt;3,0,IFERROR(_xlfn.AGGREGATE(15,6,nTP_RowN/((nTP_Case_Key=AX82)*(nTP_Role="treatment of the event")*((nTP_Record_Type="EXPOSURE_START")+(nTP_Record_Type="ADMINISTRATION"))*(nTP_Err="")*(nTP_HT*DD82*BN82*(nTP_OK*DE82*(nTP_UTC_n&gt;=N(DG82))+(1-nTP_OK*DE82)*(nTP_Loc_n&gt;=N(DF82)))*(nTP_OK*BO82*(nTP_UTC_n&lt;=N(BQ82))+(1-nTP_OK*BO82)*(nTP_Loc_n&lt;=N(BP82)))+(1-nTP_HT*DD82*BN82)*(nTP_Hi_n&gt;=N(DH82))*(nTP_Lo_n&lt;=N(BS82)))),3),0))</f>
        <v>0</v>
      </c>
      <c r="EW82" s="22">
        <f>IF(CE82&lt;1,0,IFERROR(_xlfn.AGGREGATE(15,6,nTP_RowN/((nTP_CandKey=BX82)*(nTP_Err="")*(1-nTP_Exact)*((nTP_HT*BN82*((nTP_OK*BO82*(nTP_UTC_n-N(BQ82))+(1-nTP_OK*BO82)*(nTP_Loc_n-N(BP82)))&lt;=0)+(1-nTP_HT*BN82)*(nTP_Hi_n&lt;N(BR82)))+((1-nTP_HT*BN82)*(nTP_Lo_n=nTP_Hi_n)*(nTP_Lo_n=N(BR82))*(N(BR82)=N(BS82))))),1),0))</f>
        <v>0</v>
      </c>
      <c r="EX82" s="22">
        <f>IF(CE82&lt;2,0,IFERROR(_xlfn.AGGREGATE(15,6,nTP_RowN/((nTP_CandKey=BX82)*(nTP_Err="")*(1-nTP_Exact)*((nTP_HT*BN82*((nTP_OK*BO82*(nTP_UTC_n-N(BQ82))+(1-nTP_OK*BO82)*(nTP_Loc_n-N(BP82)))&lt;=0)+(1-nTP_HT*BN82)*(nTP_Hi_n&lt;N(BR82)))+((1-nTP_HT*BN82)*(nTP_Lo_n=nTP_Hi_n)*(nTP_Lo_n=N(BR82))*(N(BR82)=N(BS82))))),2),0))</f>
        <v>0</v>
      </c>
      <c r="EY82" s="22">
        <f>IF(CE82&lt;3,0,IFERROR(_xlfn.AGGREGATE(15,6,nTP_RowN/((nTP_CandKey=BX82)*(nTP_Err="")*(1-nTP_Exact)*((nTP_HT*BN82*((nTP_OK*BO82*(nTP_UTC_n-N(BQ82))+(1-nTP_OK*BO82)*(nTP_Loc_n-N(BP82)))&lt;=0)+(1-nTP_HT*BN82)*(nTP_Hi_n&lt;N(BR82)))+((1-nTP_HT*BN82)*(nTP_Lo_n=nTP_Hi_n)*(nTP_Lo_n=N(BR82))*(N(BR82)=N(BS82))))),3),0))</f>
        <v>0</v>
      </c>
      <c r="EZ82" s="21" t="str">
        <f>IF(EO82=0,"",MID(IF(EQ82&gt;0,"; "&amp;INDEX(nTP_Record_ID,EQ82)&amp;IF(INDEX(nTP_Label,EQ82)="",""," ("&amp;INDEX(nTP_Label,EQ82)&amp;")"),"")&amp;IF(ER82&gt;0,"; "&amp;INDEX(nTP_Record_ID,ER82)&amp;IF(INDEX(nTP_Label,ER82)="",""," ("&amp;INDEX(nTP_Label,ER82)&amp;")"),"")&amp;IF(ES82&gt;0,"; "&amp;INDEX(nTP_Record_ID,ES82)&amp;IF(INDEX(nTP_Label,ES82)="",""," ("&amp;INDEX(nTP_Label,ES82)&amp;")"),"")&amp;IF(EO82&gt;3,"; and "&amp;(EO82-3)&amp;" more",""),3,999))</f>
        <v/>
      </c>
      <c r="FA82" s="21" t="str">
        <f>IF(EO82=0,"",MID(IF(EQ82&gt;0,"; "&amp;INDEX(nTP_Record_ID,EQ82),"")&amp;IF(ER82&gt;0,"; "&amp;INDEX(nTP_Record_ID,ER82),"")&amp;IF(ES82&gt;0,"; "&amp;INDEX(nTP_Record_ID,ES82),"")&amp;IF(EO82&gt;3,"; and "&amp;(EO82-3)&amp;" more",""),3,999))</f>
        <v/>
      </c>
      <c r="FB82" s="21" t="str">
        <f>IF(EP82=0,"",MID(IF(ET82&gt;0,"; "&amp;INDEX(nTP_Record_ID,ET82)&amp;IF(INDEX(nTP_Label,ET82)="",""," ("&amp;INDEX(nTP_Label,ET82)&amp;")"),"")&amp;IF(EU82&gt;0,"; "&amp;INDEX(nTP_Record_ID,EU82)&amp;IF(INDEX(nTP_Label,EU82)="",""," ("&amp;INDEX(nTP_Label,EU82)&amp;")"),"")&amp;IF(EV82&gt;0,"; "&amp;INDEX(nTP_Record_ID,EV82)&amp;IF(INDEX(nTP_Label,EV82)="",""," ("&amp;INDEX(nTP_Label,EV82)&amp;")"),"")&amp;IF(EP82&gt;3,"; and "&amp;(EP82-3)&amp;" more",""),3,999))</f>
        <v/>
      </c>
      <c r="FC82" s="21" t="str">
        <f>IF(CE82=0,"",MID(IF(EW82&gt;0,"; "&amp;INDEX(nTP_Record_ID,EW82),"")&amp;IF(EX82&gt;0,"; "&amp;INDEX(nTP_Record_ID,EX82),"")&amp;IF(EY82&gt;0,"; "&amp;INDEX(nTP_Record_ID,EY82),"")&amp;IF(CE82&gt;3,"; and "&amp;(CE82-3)&amp;" more",""),3,999))</f>
        <v/>
      </c>
      <c r="FD82" s="22">
        <f t="shared" si="181"/>
        <v>0</v>
      </c>
      <c r="FE82" s="22">
        <f t="shared" si="182"/>
        <v>0</v>
      </c>
      <c r="FF82" s="22">
        <f t="shared" si="183"/>
        <v>0</v>
      </c>
      <c r="FG82" s="22">
        <f t="shared" si="184"/>
        <v>0</v>
      </c>
      <c r="FH82" s="22">
        <f t="shared" si="185"/>
        <v>0</v>
      </c>
      <c r="FI82" s="22">
        <f t="shared" si="186"/>
        <v>0</v>
      </c>
      <c r="FJ82" s="22">
        <f t="shared" si="187"/>
        <v>0</v>
      </c>
      <c r="FK82" s="22">
        <f t="shared" si="188"/>
        <v>0</v>
      </c>
    </row>
    <row r="83" spans="1:167" x14ac:dyDescent="0.2">
      <c r="A83" s="9" t="s">
        <v>1180</v>
      </c>
      <c r="B83" s="9" t="s">
        <v>319</v>
      </c>
      <c r="C83" s="11">
        <v>1</v>
      </c>
      <c r="D83" s="9" t="s">
        <v>894</v>
      </c>
      <c r="E83" s="16" t="s">
        <v>51</v>
      </c>
      <c r="F83" s="9"/>
      <c r="G83" s="9" t="s">
        <v>1179</v>
      </c>
      <c r="H83" s="9" t="s">
        <v>1181</v>
      </c>
      <c r="I83" s="16" t="s">
        <v>61</v>
      </c>
      <c r="J83" s="16"/>
      <c r="K83" s="9"/>
      <c r="L83" s="16"/>
      <c r="M83" s="16"/>
      <c r="N83" s="16"/>
      <c r="O83" s="9"/>
      <c r="P83" s="14"/>
      <c r="Q83" s="14"/>
      <c r="R83" s="9"/>
      <c r="S83" s="9"/>
      <c r="T83" s="21" t="str">
        <f t="shared" si="126"/>
        <v>−5 to +4 calendar days</v>
      </c>
      <c r="U83" s="21" t="str">
        <f t="shared" si="127"/>
        <v>−5 to +4 calendar days</v>
      </c>
      <c r="V83" s="21" t="str">
        <f t="shared" si="128"/>
        <v/>
      </c>
      <c r="W83" s="21">
        <f t="shared" si="129"/>
        <v>-5</v>
      </c>
      <c r="X83" s="21">
        <f t="shared" si="130"/>
        <v>4</v>
      </c>
      <c r="Y83" s="21" t="str">
        <f t="shared" si="131"/>
        <v>calendar days</v>
      </c>
      <c r="Z83" s="21" t="str">
        <f t="shared" si="132"/>
        <v>C4</v>
      </c>
      <c r="AA83" s="21" t="str">
        <f t="shared" si="133"/>
        <v>SEQUENCE_UNCERTAIN</v>
      </c>
      <c r="AB83" s="21" t="str">
        <f t="shared" si="134"/>
        <v/>
      </c>
      <c r="AC83" s="21" t="str">
        <f t="shared" si="135"/>
        <v>W_SEQUENCE_UNCERTAIN</v>
      </c>
      <c r="AD83" s="21" t="str">
        <f>IF(AW83=1,"",MID(IF(ISNUMBER(SEARCH("E_INVALID_DATE",EG83))," | E_INVALID_DATE: "&amp;SUBSTITUTE(IFERROR(INDEX(nMSG_Text,MATCH("E_INVALID_DATE",nMSG_Code,0)),""),"[input]",""),"")&amp;IF(ISNUMBER(SEARCH("E_REVERSED_BOUNDS",EG83))," | E_REVERSED_BOUNDS: "&amp;SUBSTITUTE(IFERROR(INDEX(nMSG_Text,MATCH("E_REVERSED_BOUNDS",nMSG_Code,0)),""),"[input]",""),"")&amp;IF(ISNUMBER(SEARCH("E_DUPLICATE_ID",EG83))," | E_DUPLICATE_ID: "&amp;SUBSTITUTE(IFERROR(INDEX(nMSG_Text,MATCH("E_DUPLICATE_ID",nMSG_Code,0)),""),"[input]",""),"")&amp;IF(ISNUMBER(SEARCH("E_MISSING_LINK",EG83))," | E_MISSING_LINK: "&amp;SUBSTITUTE(IFERROR(INDEX(nMSG_Text,MATCH("E_MISSING_LINK",nMSG_Code,0)),""),"[input]",""),"")&amp;IF(ISNUMBER(SEARCH("E_MISSING_INPUT",EG83))," | E_MISSING_INPUT: "&amp;SUBSTITUTE(IFERROR(INDEX(nMSG_Text,MATCH("E_MISSING_INPUT",nMSG_Code,0)),""),"[input]",IF(EH83="","an input",EH83)),"")&amp;IF(ISNUMBER(SEARCH("E_INVALID_UNIT",EG83))," | E_INVALID_UNIT: "&amp;SUBSTITUTE(IFERROR(INDEX(nMSG_Text,MATCH("E_INVALID_UNIT",nMSG_Code,0)),""),"[input]",""),"")&amp;IF(FD83=1," | W_TZ_UNKNOWN: "&amp;SUBSTITUTE(IFERROR(INDEX(nMSG_Text,MATCH("W_TZ_UNKNOWN",nMSG_Code,0)),""),"[input]",""),"")&amp;IF(FE83=1," | W_SAME_DATE_ORDER_UNKNOWN: "&amp;SUBSTITUTE(IFERROR(INDEX(nMSG_Text,MATCH("W_SAME_DATE_ORDER_UNKNOWN",nMSG_Code,0)),""),"[input]",""),"")&amp;IF(FF83=1," | W_SEQUENCE_UNCERTAIN: "&amp;SUBSTITUTE(IFERROR(INDEX(nMSG_Text,MATCH("W_SEQUENCE_UNCERTAIN",nMSG_Code,0)),""),"[input]",""),"")&amp;IF(FG83=1," | W_ADMIN_SAME_DATE_AS_ONSET: "&amp;SUBSTITUTE(IFERROR(INDEX(nMSG_Text,MATCH("W_ADMIN_SAME_DATE_AS_ONSET",nMSG_Code,0)),""),"[input]",""),"")&amp;IF(FH83=1," | W_REPORTED_TIMING_CONFLICT: "&amp;SUBSTITUTE(IFERROR(INDEX(nMSG_Text,MATCH("W_REPORTED_TIMING_CONFLICT",nMSG_Code,0)),""),"[input]",""),"")&amp;IF(FI83=1," | W_INTERVENTION_BEFORE_RECOVERY: "&amp;SUBSTITUTE(IFERROR(INDEX(nMSG_Text,MATCH("W_INTERVENTION_BEFORE_RECOVERY",nMSG_Code,0)),""),"[input]",""),"")&amp;IF(FJ83=1," | I_TREATMENT_DAY_UNDEFINED: "&amp;SUBSTITUTE(IFERROR(INDEX(nMSG_Text,MATCH("I_TREATMENT_DAY_UNDEFINED",nMSG_Code,0)),""),"[input]",""),"")&amp;IF(FK83=1," | I_APPROXIMATE_NOT_COMPARED: "&amp;SUBSTITUTE(IFERROR(INDEX(nMSG_Text,MATCH("I_APPROXIMATE_NOT_COMPARED",nMSG_Code,0)),""),"[input]",""),""),4,9999))</f>
        <v>W_SEQUENCE_UNCERTAIN: The available dates allow onset before or after this anchor. Sequence is not established.</v>
      </c>
      <c r="AE83" s="21" t="str">
        <f t="shared" si="136"/>
        <v/>
      </c>
      <c r="AF83" s="21" t="str">
        <f t="shared" si="137"/>
        <v/>
      </c>
      <c r="AG83" s="21" t="str">
        <f>IF(EN83="","",MID(IF(ISNUMBER(SEARCH("E_REVERSED_BOUNDS",EN83))," | E_REVERSED_BOUNDS: "&amp;SUBSTITUTE(IFERROR(INDEX(nMSG_Text,MATCH("E_REVERSED_BOUNDS",nMSG_Code,0)),""),"[input]",""),"")&amp;IF(ISNUMBER(SEARCH("E_MISSING_INPUT",EN83))," | E_MISSING_INPUT: "&amp;SUBSTITUTE(IFERROR(INDEX(nMSG_Text,MATCH("E_MISSING_INPUT",nMSG_Code,0)),""),"[input]",IF("the source of the constraint"="","an input","the source of the constraint")),""),4,999))</f>
        <v/>
      </c>
      <c r="AH83" s="21" t="str">
        <f t="shared" si="138"/>
        <v/>
      </c>
      <c r="AI83" s="21" t="str">
        <f t="shared" si="139"/>
        <v>EX1/START → EV1/ONSET</v>
      </c>
      <c r="AJ83" s="21" t="str">
        <f t="shared" si="140"/>
        <v>EX1/START</v>
      </c>
      <c r="AK83" s="21" t="str">
        <f t="shared" si="141"/>
        <v>EV1/ONSET</v>
      </c>
      <c r="AL83" s="21" t="str">
        <f>IF(CY83=0,"",INDEX(nTP_ISO,CY83))</f>
        <v>2026-01-01/2026-01-10</v>
      </c>
      <c r="AM83" s="21" t="str">
        <f>IF(CY83=0,"",INDEX(nTP_Display,CY83))</f>
        <v>1 January 2026 to 10 January 2026</v>
      </c>
      <c r="AN83" s="21" t="str">
        <f>IF(BI83=0,"",INDEX(nTP_ISO,BI83))</f>
        <v>2026-01-05</v>
      </c>
      <c r="AO83" s="21" t="str">
        <f>IF(BI83=0,"",INDEX(nTP_Display,BI83))</f>
        <v>5 January 2026</v>
      </c>
      <c r="AP83" s="21" t="str">
        <f>IF(BA83=0,"",INDEX(nLNK_Exposure_Episode_ID,BA83)&amp;"")</f>
        <v>EX1</v>
      </c>
      <c r="AQ83" s="21" t="str">
        <f>IF(BA83=0,"",INDEX(nLNK_Event_Episode_ID,BA83)&amp;"")</f>
        <v>EV1</v>
      </c>
      <c r="AR83" s="21" t="str">
        <f t="shared" si="142"/>
        <v>Anchor (FIRST_ADMIN) EX1/START: 2026-01-01/2026-01-10 [range; case measurement; original: "start 1-10 January 2026"; source: tto_calc_test_vectors_v1.1.json V06] | End point EV1/ONSET: 2026-01-05 [day; case measurement; original: "2026-01-05"; source: tto_calc_test_vectors_v1.1.json V06]</v>
      </c>
      <c r="AS83" s="21" t="str">
        <f>IF(EI83=0,"",MID(IF(DT83=1," | Recovery interval (C7) computed with "&amp;DS83&amp;".","")&amp;IF(BG83=1," | Anchor selected under C5 (CALC-SPEC 1.1): latest administration with an exact date or time at or before "&amp;IF(BH83=1,"onset","the end point")&amp;" ("&amp;AJ83&amp;"), ordered in UTC when offsets are known; later administrations are never selected.","")&amp;IF(AND(BG83=1,CE83&gt;0)," | Partial-date administrations wholly before the selected one were not candidates: "&amp;FC83&amp;".","")&amp;IF(BV83&lt;&gt;""," | "&amp;BV83,"")&amp;IF(AND(DS83="C2",EA83=0,DZ83&lt;&gt;"")," | Same calendar date; both times are known, so C1 decides the order ("&amp;AA83&amp;").","")&amp;IF(AND(DS83="C2",DD83*BN83=1,DT83=0)," | Calendar-date difference from the recorded local dates; it is never described as elapsed days.","")&amp;IF(AND(DS83="C4",DT83=0)," | Bounds are treated as independent; no single date is imputed from them.","")&amp;IF(EJ83=1," | Treatment day under the inclusive convention (C3); never written to E2B fields automatically.","")&amp;IF(AND(DS83="C4",DT83=0,EK83=0)," | No constraint applied.","")&amp;IF(AND(DS83="C4",EK83=1)," | Constraint applied to the anchor bounds: "&amp;IF(ISNUMBER(P83),"not before "&amp;DAY(P83)&amp;" "&amp;INDEX(nLIST_Months,MONTH(P83))&amp;" "&amp;YEAR(P83),"")&amp;IF(AND(ISNUMBER(P83),ISNUMBER(Q83)),", ","")&amp;IF(ISNUMBER(Q83),"not after "&amp;DAY(Q83)&amp;" "&amp;INDEX(nLIST_Months,MONTH(Q83))&amp;" "&amp;YEAR(Q83),"")&amp;". Source: "&amp;IF(R83="","not recorded",R83)&amp;IF(EN83="",". Constrained result shown beside the unconstrained one.",". Constrained result blocked ("&amp;EN83&amp;")."),"")&amp;IF(DT83=1,IF(EO83&gt;0," | Intervention recorded between cessation and recovery (ends included): "&amp;EZ83&amp;"."," | No intervention is recorded between cessation and recovery; absence of a record is not evidence that none was given."),"")&amp;IF(AND(DT83=1,DV83&gt;0)," | Intervention recorded without a date, so whether it came before recovery is unknown: "&amp;INDEX(nMS_Milestone_ID,MATCH(1,INDEX((nMS_CaseKey=AX83)*(nMS_Type="INTERVENTION")*nMS_Undated,0),0))&amp;IF(DV83&gt;1," and "&amp;(DV83-1)&amp;" more","")&amp;".","")&amp;IF(AND(DT83=1,EP83&gt;0)," | Not counted as interventions, because they are recorded as exposures rather than as intervention milestones (nothing is inferred): "&amp;FB83&amp;". If treatment was given, record it as an intervention milestone.",""),4,9999))</f>
        <v>Bounds are treated as independent; no single date is imputed from them. | No constraint applied.</v>
      </c>
      <c r="AT83" s="21" t="str">
        <f t="shared" si="143"/>
        <v>The interval describes the sequence and spacing of recorded times; it is not evidence of causation. The true interval lies between the bounds; no single date is imputed.</v>
      </c>
      <c r="AU83" s="21" t="str">
        <f t="shared" si="144"/>
        <v/>
      </c>
      <c r="AV83" s="21" t="str">
        <f t="shared" si="145"/>
        <v>CALC-SPEC 1.1</v>
      </c>
      <c r="AW83" s="22">
        <f t="shared" si="146"/>
        <v>0</v>
      </c>
      <c r="AX83" s="21" t="str">
        <f t="shared" si="147"/>
        <v>VEC-V06|1</v>
      </c>
      <c r="AY83" s="21" t="str">
        <f t="shared" si="148"/>
        <v>VEC-V06|1|I1</v>
      </c>
      <c r="AZ83" s="22">
        <f>IF(AY83="",0,COUNTIF(nINT_Key,AY83))</f>
        <v>1</v>
      </c>
      <c r="BA83" s="22">
        <f>IF(D83="",0,IFERROR(MATCH(AX83&amp;"|"&amp;D83,nLNK_Key,0),0))</f>
        <v>37</v>
      </c>
      <c r="BB83" s="22">
        <f>IF(BA83=0,1,INDEX(nLNK_Exp_Found,BA83))</f>
        <v>1</v>
      </c>
      <c r="BC83" s="22">
        <f>IF(BA83=0,1,INDEX(nLNK_Evt_Found,BA83))</f>
        <v>1</v>
      </c>
      <c r="BD83" s="22">
        <f>IF(AP83="",0,COUNTIF(nEXP_Key,AX83&amp;"|"&amp;AP83))</f>
        <v>1</v>
      </c>
      <c r="BE83" s="22">
        <f>IF(AQ83="",0,COUNTIF(nEVT_Key,AX83&amp;"|"&amp;AQ83))</f>
        <v>1</v>
      </c>
      <c r="BF83" s="22">
        <f>IF(ISNA(MATCH(E83,nLIST_AnchorType,0)),0,1)</f>
        <v>1</v>
      </c>
      <c r="BG83" s="22">
        <f t="shared" si="149"/>
        <v>0</v>
      </c>
      <c r="BH83" s="22">
        <f t="shared" si="150"/>
        <v>1</v>
      </c>
      <c r="BI83" s="22">
        <f>IF(OR(AW83=1,AK83=""),0,IFERROR(MATCH(AX83&amp;"|"&amp;AK83,nTP_Key,0),0))</f>
        <v>321</v>
      </c>
      <c r="BJ83" s="21">
        <f>IF(BI83=0,0,INDEX(nTP_Dup,BI83))</f>
        <v>1</v>
      </c>
      <c r="BK83" s="21" t="str">
        <f>IF(BI83=0,"",INDEX(nTP_Record_Type,BI83))</f>
        <v>EVENT_ONSET</v>
      </c>
      <c r="BL83" s="21" t="str">
        <f>IF(BI83=0,"",INDEX(nTP_Precision,BI83))</f>
        <v>DATE</v>
      </c>
      <c r="BM83" s="21" t="str">
        <f>IF(BI83=0,"",INDEX(nTP_Err,BI83))</f>
        <v/>
      </c>
      <c r="BN83" s="21">
        <f>IF(BI83=0,0,INDEX(nTP_HT,BI83))</f>
        <v>0</v>
      </c>
      <c r="BO83" s="21">
        <f>IF(BI83=0,0,INDEX(nTP_OK,BI83))</f>
        <v>0</v>
      </c>
      <c r="BP83" s="21" t="str">
        <f>IF(BI83=0,"",INDEX(nTP_Loc,BI83))</f>
        <v/>
      </c>
      <c r="BQ83" s="21" t="str">
        <f>IF(BI83=0,"",INDEX(nTP_UTC,BI83))</f>
        <v/>
      </c>
      <c r="BR83" s="21">
        <f>IF(BI83=0,"",INDEX(nTP_Lo,BI83))</f>
        <v>46027</v>
      </c>
      <c r="BS83" s="21">
        <f>IF(BI83=0,"",INDEX(nTP_Hi,BI83))</f>
        <v>46027</v>
      </c>
      <c r="BT83" s="21" t="str">
        <f>IF(BI83=0,"",INDEX(nTP_Original_Text,BI83))</f>
        <v>2026-01-05</v>
      </c>
      <c r="BU83" s="21" t="str">
        <f>IF(BI83=0,"",INDEX(nTP_Source,BI83))</f>
        <v>tto_calc_test_vectors_v1.1.json V06</v>
      </c>
      <c r="BV83" s="21" t="str">
        <f>IF(BI83=0,"",INDEX(nTP_Lab_Note,BI83))</f>
        <v/>
      </c>
      <c r="BW83" s="22">
        <f t="shared" si="151"/>
        <v>1</v>
      </c>
      <c r="BX83" s="21" t="str">
        <f t="shared" si="152"/>
        <v>VEC-V06|1|EX1</v>
      </c>
      <c r="BY83" s="22">
        <f>IF(BG83=0,0,COUNTIF(nTP_CandKey,BX83))</f>
        <v>0</v>
      </c>
      <c r="BZ83" s="22">
        <f>IF(BG83=0,0,COUNTIFS(nTP_CandKey,BX83,nTP_Err,""))</f>
        <v>0</v>
      </c>
      <c r="CA83" s="21" t="str">
        <f>IF(BY83=BZ83,"",IF(COUNTIFS(nTP_CandKey,BX83,nTP_Err,"E_INVALID_DATE")&gt;0,"; E_INVALID_DATE","")&amp;IF(COUNTIFS(nTP_CandKey,BX83,nTP_Err,"E_REVERSED_BOUNDS")&gt;0,"; E_REVERSED_BOUNDS","")&amp;IF(COUNTIFS(nTP_CandKey,BX83,nTP_Err,"E_MISSING_INPUT")&gt;0,"; E_MISSING_INPUT","")&amp;IF(COUNTIFS(nTP_CandKey,BX83,nTP_Err,"E_INVALID_UNIT")&gt;0,"; E_INVALID_UNIT",""))</f>
        <v/>
      </c>
      <c r="CB83" s="22">
        <f t="shared" si="153"/>
        <v>0</v>
      </c>
      <c r="CC83" s="22">
        <f>IF(CB83=0,0,SUMPRODUCT((nTP_CandKey=BX83)*(nTP_Err="")*(1-(nTP_HT*BN83*((nTP_OK*BO83*(nTP_UTC_n-N(BQ83))+(1-nTP_OK*BO83)*(nTP_Loc_n-N(BP83)))&lt;=0)+(1-nTP_HT*BN83)*(nTP_Hi_n&lt;N(BR83)))-(nTP_HT*BN83*((nTP_OK*BO83*(nTP_UTC_n-N(BQ83))+(1-nTP_OK*BO83)*(nTP_Loc_n-N(BP83)))&gt;0)+(1-nTP_HT*BN83)*(nTP_Lo_n&gt;N(BS83)))-((1-nTP_HT*BN83)*(nTP_Lo_n=nTP_Hi_n)*(nTP_Lo_n=N(BR83))*(N(BR83)=N(BS83))))))</f>
        <v>0</v>
      </c>
      <c r="CD83" s="22">
        <f>IF(CB83=0,0,SUMPRODUCT((nTP_CandKey=BX83)*nTP_Exact*((nTP_HT*BN83*((nTP_OK*BO83*(nTP_UTC_n-N(BQ83))+(1-nTP_OK*BO83)*(nTP_Loc_n-N(BP83)))&lt;=0)+(1-nTP_HT*BN83)*(nTP_Hi_n&lt;N(BR83)))+((1-nTP_HT*BN83)*(nTP_Lo_n=nTP_Hi_n)*(nTP_Lo_n=N(BR83))*(N(BR83)=N(BS83))))))</f>
        <v>0</v>
      </c>
      <c r="CE83" s="22">
        <f>IF(CB83=0,0,SUMPRODUCT((nTP_CandKey=BX83)*(nTP_Err="")*(1-nTP_Exact)*((nTP_HT*BN83*((nTP_OK*BO83*(nTP_UTC_n-N(BQ83))+(1-nTP_OK*BO83)*(nTP_Loc_n-N(BP83)))&lt;=0)+(1-nTP_HT*BN83)*(nTP_Hi_n&lt;N(BR83)))+((1-nTP_HT*BN83)*(nTP_Lo_n=nTP_Hi_n)*(nTP_Lo_n=N(BR83))*(N(BR83)=N(BS83))))))</f>
        <v>0</v>
      </c>
      <c r="CF83" s="22">
        <f>IF(CD83=0,0,SUMPRODUCT(MAX((nTP_CandKey=BX83)*nTP_Exact*((nTP_HT*BN83*((nTP_OK*BO83*(nTP_UTC_n-N(BQ83))+(1-nTP_OK*BO83)*(nTP_Loc_n-N(BP83)))&lt;=0)+(1-nTP_HT*BN83)*(nTP_Hi_n&lt;N(BR83)))+((1-nTP_HT*BN83)*(nTP_Lo_n=nTP_Hi_n)*(nTP_Lo_n=N(BR83))*(N(BR83)=N(BS83))))*nTP_Lo_n)))</f>
        <v>0</v>
      </c>
      <c r="CG83" s="22">
        <f>IF(CD83=0,0,SUMPRODUCT((nTP_CandKey=BX83)*nTP_Exact*((nTP_HT*BN83*((nTP_OK*BO83*(nTP_UTC_n-N(BQ83))+(1-nTP_OK*BO83)*(nTP_Loc_n-N(BP83)))&lt;=0)+(1-nTP_HT*BN83)*(nTP_Hi_n&lt;N(BR83)))+((1-nTP_HT*BN83)*(nTP_Lo_n=nTP_Hi_n)*(nTP_Lo_n=N(BR83))*(N(BR83)=N(BS83))))*(nTP_Lo_n=CF83)))</f>
        <v>0</v>
      </c>
      <c r="CH83" s="22">
        <f>IF(CD83=0,0,SUMPRODUCT((nTP_CandKey=BX83)*nTP_Exact*((nTP_HT*BN83*((nTP_OK*BO83*(nTP_UTC_n-N(BQ83))+(1-nTP_OK*BO83)*(nTP_Loc_n-N(BP83)))&lt;=0)+(1-nTP_HT*BN83)*(nTP_Hi_n&lt;N(BR83)))+((1-nTP_HT*BN83)*(nTP_Lo_n=nTP_Hi_n)*(nTP_Lo_n=N(BR83))*(N(BR83)=N(BS83))))*(1-nTP_HT)*(nTP_Lo_n=CF83)))</f>
        <v>0</v>
      </c>
      <c r="CI83" s="22">
        <f>IF(CD83=0,0,SUMPRODUCT(MAX((nTP_CandKey=BX83)*nTP_Exact*((nTP_HT*BN83*((nTP_OK*BO83*(nTP_UTC_n-N(BQ83))+(1-nTP_OK*BO83)*(nTP_Loc_n-N(BP83)))&lt;=0)+(1-nTP_HT*BN83)*(nTP_Hi_n&lt;N(BR83)))+((1-nTP_HT*BN83)*(nTP_Lo_n=nTP_Hi_n)*(nTP_Lo_n=N(BR83))*(N(BR83)=N(BS83))))*(1-nTP_HT)*nTP_Lo_n)))</f>
        <v>0</v>
      </c>
      <c r="CJ83" s="22">
        <f>IF(CD83=0,0,SUMPRODUCT(MAX((nTP_CandKey=BX83)*nTP_Exact*((nTP_HT*BN83*((nTP_OK*BO83*(nTP_UTC_n-N(BQ83))+(1-nTP_OK*BO83)*(nTP_Loc_n-N(BP83)))&lt;=0)+(1-nTP_HT*BN83)*(nTP_Hi_n&lt;N(BR83)))+((1-nTP_HT*BN83)*(nTP_Lo_n=nTP_Hi_n)*(nTP_Lo_n=N(BR83))*(N(BR83)=N(BS83))))*nTP_HT*nTP_OK*nTP_UTC_n)))</f>
        <v>0</v>
      </c>
      <c r="CK83" s="22">
        <f>IF(CJ83=0,0,SUMPRODUCT((nTP_CandKey=BX83)*nTP_Exact*((nTP_HT*BN83*((nTP_OK*BO83*(nTP_UTC_n-N(BQ83))+(1-nTP_OK*BO83)*(nTP_Loc_n-N(BP83)))&lt;=0)+(1-nTP_HT*BN83)*(nTP_Hi_n&lt;N(BR83)))+((1-nTP_HT*BN83)*(nTP_Lo_n=nTP_Hi_n)*(nTP_Lo_n=N(BR83))*(N(BR83)=N(BS83))))*nTP_HT*nTP_OK*(nTP_UTC_n=CJ83)))</f>
        <v>0</v>
      </c>
      <c r="CL83" s="22">
        <f>IF(CK83&lt;&gt;1,0,SUMPRODUCT((nTP_CandKey=BX83)*nTP_Exact*((nTP_HT*BN83*((nTP_OK*BO83*(nTP_UTC_n-N(BQ83))+(1-nTP_OK*BO83)*(nTP_Loc_n-N(BP83)))&lt;=0)+(1-nTP_HT*BN83)*(nTP_Hi_n&lt;N(BR83)))+((1-nTP_HT*BN83)*(nTP_Lo_n=nTP_Hi_n)*(nTP_Lo_n=N(BR83))*(N(BR83)=N(BS83))))*nTP_HT*nTP_OK*(nTP_UTC_n=CJ83)*nTP_Loc_n))</f>
        <v>0</v>
      </c>
      <c r="CM83" s="22">
        <f>IF(CK83&lt;&gt;1,0,SUMPRODUCT((nTP_CandKey=BX83)*nTP_Exact*((nTP_HT*BN83*((nTP_OK*BO83*(nTP_UTC_n-N(BQ83))+(1-nTP_OK*BO83)*(nTP_Loc_n-N(BP83)))&lt;=0)+(1-nTP_HT*BN83)*(nTP_Hi_n&lt;N(BR83)))+((1-nTP_HT*BN83)*(nTP_Lo_n=nTP_Hi_n)*(nTP_Lo_n=N(BR83))*(N(BR83)=N(BS83))))*nTP_HT*nTP_OK*(nTP_UTC_n=CJ83)*nTP_Lo_n))</f>
        <v>0</v>
      </c>
      <c r="CN83" s="22">
        <f>IF(CD83=0,0,SUMPRODUCT(MAX((nTP_CandKey=BX83)*nTP_Exact*((nTP_HT*BN83*((nTP_OK*BO83*(nTP_UTC_n-N(BQ83))+(1-nTP_OK*BO83)*(nTP_Loc_n-N(BP83)))&lt;=0)+(1-nTP_HT*BN83)*(nTP_Hi_n&lt;N(BR83)))+((1-nTP_HT*BN83)*(nTP_Lo_n=nTP_Hi_n)*(nTP_Lo_n=N(BR83))*(N(BR83)=N(BS83))))*nTP_HT*(1-nTP_OK)*nTP_Loc_n)))</f>
        <v>0</v>
      </c>
      <c r="CO83" s="22">
        <f>IF(CN83=0,0,SUMPRODUCT((nTP_CandKey=BX83)*nTP_Exact*((nTP_HT*BN83*((nTP_OK*BO83*(nTP_UTC_n-N(BQ83))+(1-nTP_OK*BO83)*(nTP_Loc_n-N(BP83)))&lt;=0)+(1-nTP_HT*BN83)*(nTP_Hi_n&lt;N(BR83)))+((1-nTP_HT*BN83)*(nTP_Lo_n=nTP_Hi_n)*(nTP_Lo_n=N(BR83))*(N(BR83)=N(BS83))))*nTP_HT*(1-nTP_OK)*(nTP_Loc_n=CN83)))</f>
        <v>0</v>
      </c>
      <c r="CP83" s="22">
        <f>IF(CO83&lt;&gt;1,0,SUMPRODUCT((nTP_CandKey=BX83)*nTP_Exact*((nTP_HT*BN83*((nTP_OK*BO83*(nTP_UTC_n-N(BQ83))+(1-nTP_OK*BO83)*(nTP_Loc_n-N(BP83)))&lt;=0)+(1-nTP_HT*BN83)*(nTP_Hi_n&lt;N(BR83)))+((1-nTP_HT*BN83)*(nTP_Lo_n=nTP_Hi_n)*(nTP_Lo_n=N(BR83))*(N(BR83)=N(BS83))))*nTP_HT*(1-nTP_OK)*(nTP_Loc_n=CN83)*nTP_Lo_n))</f>
        <v>0</v>
      </c>
      <c r="CQ83" s="22">
        <f>IF(CD83=0,0,SUMPRODUCT(MAX((nTP_CandKey=BX83)*nTP_Exact*((nTP_HT*BN83*((nTP_OK*BO83*(nTP_UTC_n-N(BQ83))+(1-nTP_OK*BO83)*(nTP_Loc_n-N(BP83)))&lt;=0)+(1-nTP_HT*BN83)*(nTP_Hi_n&lt;N(BR83)))+((1-nTP_HT*BN83)*(nTP_Lo_n=nTP_Hi_n)*(nTP_Lo_n=N(BR83))*(N(BR83)=N(BS83))))*nTP_HT*nTP_OK*nTP_Loc_n)))</f>
        <v>0</v>
      </c>
      <c r="CR83" s="22">
        <f t="shared" si="154"/>
        <v>0</v>
      </c>
      <c r="CS83" s="22">
        <f>IF(CR83=0,0,IF(CR83=1,MATCH(1,INDEX((nTP_CandKey=BX83)*nTP_Exact*((nTP_HT*BN83*((nTP_OK*BO83*(nTP_UTC_n-N(BQ83))+(1-nTP_OK*BO83)*(nTP_Loc_n-N(BP83)))&lt;=0)+(1-nTP_HT*BN83)*(nTP_Hi_n&lt;N(BR83)))+((1-nTP_HT*BN83)*(nTP_Lo_n=nTP_Hi_n)*(nTP_Lo_n=N(BR83))*(N(BR83)=N(BS83))))*(1-nTP_HT)*(nTP_Lo_n=CF83),0),0),IF(CR83=2,MATCH(1,INDEX((nTP_CandKey=BX83)*nTP_Exact*((nTP_HT*BN83*((nTP_OK*BO83*(nTP_UTC_n-N(BQ83))+(1-nTP_OK*BO83)*(nTP_Loc_n-N(BP83)))&lt;=0)+(1-nTP_HT*BN83)*(nTP_Hi_n&lt;N(BR83)))+((1-nTP_HT*BN83)*(nTP_Lo_n=nTP_Hi_n)*(nTP_Lo_n=N(BR83))*(N(BR83)=N(BS83))))*nTP_HT*nTP_OK*(nTP_UTC_n=CJ83),0),0),MATCH(1,INDEX((nTP_CandKey=BX83)*nTP_Exact*((nTP_HT*BN83*((nTP_OK*BO83*(nTP_UTC_n-N(BQ83))+(1-nTP_OK*BO83)*(nTP_Loc_n-N(BP83)))&lt;=0)+(1-nTP_HT*BN83)*(nTP_Hi_n&lt;N(BR83)))+((1-nTP_HT*BN83)*(nTP_Lo_n=nTP_Hi_n)*(nTP_Lo_n=N(BR83))*(N(BR83)=N(BS83))))*nTP_HT*(1-nTP_OK)*(nTP_Loc_n=CN83),0),0))))</f>
        <v>0</v>
      </c>
      <c r="CT83" s="22">
        <f>IF(CS83=0,0,INDEX(nTP_Lo_n,CS83))</f>
        <v>0</v>
      </c>
      <c r="CU83" s="22">
        <f>IF(CS83=0,0,SUMPRODUCT((nTP_CandKey=BX83)*(nTP_Err="")*(1-nTP_Exact)*((nTP_HT*BN83*((nTP_OK*BO83*(nTP_UTC_n-N(BQ83))+(1-nTP_OK*BO83)*(nTP_Loc_n-N(BP83)))&lt;=0)+(1-nTP_HT*BN83)*(nTP_Hi_n&lt;N(BR83)))+((1-nTP_HT*BN83)*(nTP_Lo_n=nTP_Hi_n)*(nTP_Lo_n=N(BR83))*(N(BR83)=N(BS83))))*(nTP_Hi_n&gt;=CT83)))</f>
        <v>0</v>
      </c>
      <c r="CV83" s="21" t="str">
        <f t="shared" si="155"/>
        <v/>
      </c>
      <c r="CW83" s="21" t="str">
        <f>IF(AND(BG83=1,CB83=1,CV83="",CS83&gt;0),INDEX(nTP_Record_ID,CS83)&amp;"","")</f>
        <v/>
      </c>
      <c r="CX83" s="21" t="str">
        <f>IF(OR(CV83="",BG83=0),"",IF(CV83="none","an administration record (last dose before onset)",IF(CV83="uncertain","the anchor record: "&amp;INDEX(nTP_Record_ID,MATCH(1,INDEX((nTP_CandKey=BX83)*(nTP_Err="")*(1-(nTP_HT*BN83*((nTP_OK*BO83*(nTP_UTC_n-N(BQ83))+(1-nTP_OK*BO83)*(nTP_Loc_n-N(BP83)))&lt;=0)+(1-nTP_HT*BN83)*(nTP_Hi_n&lt;N(BR83)))-(nTP_HT*BN83*((nTP_OK*BO83*(nTP_UTC_n-N(BQ83))+(1-nTP_OK*BO83)*(nTP_Loc_n-N(BP83)))&gt;0)+(1-nTP_HT*BN83)*(nTP_Lo_n&gt;N(BS83)))-((1-nTP_HT*BN83)*(nTP_Lo_n=nTP_Hi_n)*(nTP_Lo_n=N(BR83))*(N(BR83)=N(BS83)))),0),0))&amp;IF(CC83&gt;1," and "&amp;(CC83-1)&amp;" more","")&amp;" may fall before or after the end point, so the last dose cannot be identified from the recorded dates",IF(CV83="noneligible","the anchor record: no administration with an exact date is recorded at or before the end point",IF(CV83="tie","the anchor record: the order of the latest administrations cannot be told from the recorded dates and times","the anchor record: partial-date administration "&amp;INDEX(nTP_Record_ID,MATCH(1,INDEX((nTP_CandKey=BX83)*(nTP_Err="")*(1-nTP_Exact)*((nTP_HT*BN83*((nTP_OK*BO83*(nTP_UTC_n-N(BQ83))+(1-nTP_OK*BO83)*(nTP_Loc_n-N(BP83)))&lt;=0)+(1-nTP_HT*BN83)*(nTP_Hi_n&lt;N(BR83)))+((1-nTP_HT*BN83)*(nTP_Lo_n=nTP_Hi_n)*(nTP_Lo_n=N(BR83))*(N(BR83)=N(BS83))))*(nTP_Hi_n&gt;=CT83),0),0))&amp;" could be the last dose before the end point")))))</f>
        <v/>
      </c>
      <c r="CY83" s="22">
        <f>IF(OR(AW83=1,AJ83=""),0,IFERROR(MATCH(AX83&amp;"|"&amp;AJ83,nTP_Key,0),0))</f>
        <v>49</v>
      </c>
      <c r="CZ83" s="21">
        <f>IF(CY83=0,0,INDEX(nTP_Dup,CY83))</f>
        <v>1</v>
      </c>
      <c r="DA83" s="21" t="str">
        <f>IF(CY83=0,"",INDEX(nTP_Record_Type,CY83))</f>
        <v>EXPOSURE_START</v>
      </c>
      <c r="DB83" s="21" t="str">
        <f>IF(CY83=0,"",INDEX(nTP_Precision,CY83))</f>
        <v>RANGE</v>
      </c>
      <c r="DC83" s="21" t="str">
        <f>IF(CY83=0,"",INDEX(nTP_Err,CY83))</f>
        <v/>
      </c>
      <c r="DD83" s="21">
        <f>IF(CY83=0,0,INDEX(nTP_HT,CY83))</f>
        <v>0</v>
      </c>
      <c r="DE83" s="21">
        <f>IF(CY83=0,0,INDEX(nTP_OK,CY83))</f>
        <v>0</v>
      </c>
      <c r="DF83" s="21" t="str">
        <f>IF(CY83=0,"",INDEX(nTP_Loc,CY83))</f>
        <v/>
      </c>
      <c r="DG83" s="21" t="str">
        <f>IF(CY83=0,"",INDEX(nTP_UTC,CY83))</f>
        <v/>
      </c>
      <c r="DH83" s="21">
        <f>IF(CY83=0,"",INDEX(nTP_Lo,CY83))</f>
        <v>46023</v>
      </c>
      <c r="DI83" s="21">
        <f>IF(CY83=0,"",INDEX(nTP_Hi,CY83))</f>
        <v>46032</v>
      </c>
      <c r="DJ83" s="21" t="str">
        <f>IF(CY83=0,"",INDEX(nTP_Original_Text,CY83))</f>
        <v>start 1-10 January 2026</v>
      </c>
      <c r="DK83" s="21" t="str">
        <f>IF(CY83=0,"",INDEX(nTP_Source,CY83))</f>
        <v>tto_calc_test_vectors_v1.1.json V06</v>
      </c>
      <c r="DL83" s="22">
        <f t="shared" si="156"/>
        <v>1</v>
      </c>
      <c r="DM83" s="21" t="str">
        <f t="shared" si="157"/>
        <v/>
      </c>
      <c r="DN83" s="21" t="str">
        <f t="shared" si="158"/>
        <v/>
      </c>
      <c r="DO83" s="21" t="str">
        <f t="shared" si="159"/>
        <v/>
      </c>
      <c r="DP83" s="21" t="str">
        <f t="shared" si="160"/>
        <v/>
      </c>
      <c r="DQ83" s="21" t="str">
        <f t="shared" si="161"/>
        <v>C4</v>
      </c>
      <c r="DR83" s="22">
        <f>IF(OR(DQ83="",I83=""),0,IF(ISNA(MATCH(I83,nLIST_Mode,0)),1,IF(AND(I83="C1",DQ83&lt;&gt;"C1"),1,IF(AND(I83="C2",DQ83="C4"),1,0))))</f>
        <v>0</v>
      </c>
      <c r="DS83" s="21" t="str">
        <f t="shared" si="162"/>
        <v>C4</v>
      </c>
      <c r="DT83" s="22">
        <f t="shared" si="163"/>
        <v>0</v>
      </c>
      <c r="DU83" s="21" t="str">
        <f>IF(DT83=0,"",IF(COUNTIFS(nTP_Case_Key,AX83,nTP_Record_Type,"MILESTONE:INTERVENTION",nTP_Err,"E_INVALID_DATE")&gt;0,"; E_INVALID_DATE","")&amp;IF(COUNTIFS(nTP_Case_Key,AX83,nTP_Record_Type,"MILESTONE:INTERVENTION",nTP_Err,"E_REVERSED_BOUNDS")&gt;0,"; E_REVERSED_BOUNDS","")&amp;IF(COUNTIFS(nTP_Case_Key,AX83,nTP_Record_Type,"MILESTONE:INTERVENTION",nTP_Err,"E_MISSING_INPUT")&gt;0,"; E_MISSING_INPUT","")&amp;IF(COUNTIFS(nTP_Case_Key,AX83,nTP_Record_Type,"MILESTONE:INTERVENTION",nTP_Err,"E_INVALID_UNIT")&gt;0,"; E_INVALID_UNIT",""))</f>
        <v/>
      </c>
      <c r="DV83" s="22">
        <f>IF(DT83=0,0,SUMPRODUCT((nMS_CaseKey=AX83)*(nMS_Type="INTERVENTION")*nMS_Undated))</f>
        <v>0</v>
      </c>
      <c r="DW83" s="21" t="str">
        <f t="shared" si="164"/>
        <v/>
      </c>
      <c r="DX83" s="21" t="str">
        <f t="shared" si="165"/>
        <v/>
      </c>
      <c r="DY83" s="22">
        <f t="shared" si="166"/>
        <v>1</v>
      </c>
      <c r="DZ83" s="21" t="str">
        <f t="shared" si="167"/>
        <v/>
      </c>
      <c r="EA83" s="21" t="str">
        <f t="shared" si="168"/>
        <v/>
      </c>
      <c r="EB83" s="21">
        <f t="shared" si="169"/>
        <v>-5</v>
      </c>
      <c r="EC83" s="21">
        <f t="shared" si="170"/>
        <v>4</v>
      </c>
      <c r="ED83" s="22">
        <f t="shared" si="171"/>
        <v>0</v>
      </c>
      <c r="EE83" s="22">
        <f t="shared" si="172"/>
        <v>0</v>
      </c>
      <c r="EF83" s="21" t="str">
        <f>IF(ED83=0,"",IF(OR(NOT(ISNUMBER(L83)),NOT(ISNUMBER(M83))),"I_APPROXIMATE_NOT_COMPARED",IF(AND(N83&lt;&gt;"",ISNA(MATCH(N83,nLIST_ReportedUnit,0))),"E_INVALID_UNIT",IF(N83="","E_MISSING_INPUT",IF(L83&gt;M83,"E_REVERSED_BOUNDS",IF(OR(N83="weeks",N83="months",N83="years"),"I_APPROXIMATE_NOT_COMPARED",IF(DX83&lt;&gt;"","",IF(EE83=0,"I_APPROXIMATE_NOT_COMPARED",IF(AND(L83*EE83&lt;=IF(DS83="C4",EC83,IF(DS83="C1",DZ83,EA83)),M83*EE83&gt;=IF(DS83="C4",EB83,IF(DS83="C1",DZ83,EA83))),"OVERLAP","W_REPORTED_TIMING_CONFLICT")))))))))</f>
        <v/>
      </c>
      <c r="EG83" s="21" t="str">
        <f t="shared" si="173"/>
        <v/>
      </c>
      <c r="EH83" s="21" t="str">
        <f t="shared" si="174"/>
        <v/>
      </c>
      <c r="EI83" s="22">
        <f t="shared" si="175"/>
        <v>1</v>
      </c>
      <c r="EJ83" s="22">
        <f t="shared" si="176"/>
        <v>0</v>
      </c>
      <c r="EK83" s="22">
        <f t="shared" si="177"/>
        <v>0</v>
      </c>
      <c r="EL83" s="28" t="str">
        <f t="shared" si="178"/>
        <v/>
      </c>
      <c r="EM83" s="28" t="str">
        <f t="shared" si="179"/>
        <v/>
      </c>
      <c r="EN83" s="21" t="str">
        <f t="shared" si="180"/>
        <v/>
      </c>
      <c r="EO83" s="22">
        <f>IF(OR(DT83=0,DX83&lt;&gt;""),0,SUMPRODUCT((nTP_Case_Key=AX83)*(nTP_Record_Type="MILESTONE:INTERVENTION")*(nTP_Err="")*(nTP_HT*DD83*BN83*(nTP_OK*DE83*(nTP_UTC_n&gt;=N(DG83))+(1-nTP_OK*DE83)*(nTP_Loc_n&gt;=N(DF83)))*(nTP_OK*BO83*(nTP_UTC_n&lt;=N(BQ83))+(1-nTP_OK*BO83)*(nTP_Loc_n&lt;=N(BP83)))+(1-nTP_HT*DD83*BN83)*(nTP_Hi_n&gt;=N(DH83))*(nTP_Lo_n&lt;=N(BS83)))))</f>
        <v>0</v>
      </c>
      <c r="EP83" s="22">
        <f>IF(OR(DT83=0,DX83&lt;&gt;""),0,SUMPRODUCT((nTP_Case_Key=AX83)*(nTP_Role="treatment of the event")*((nTP_Record_Type="EXPOSURE_START")+(nTP_Record_Type="ADMINISTRATION"))*(nTP_Err="")*(nTP_HT*DD83*BN83*(nTP_OK*DE83*(nTP_UTC_n&gt;=N(DG83))+(1-nTP_OK*DE83)*(nTP_Loc_n&gt;=N(DF83)))*(nTP_OK*BO83*(nTP_UTC_n&lt;=N(BQ83))+(1-nTP_OK*BO83)*(nTP_Loc_n&lt;=N(BP83)))+(1-nTP_HT*DD83*BN83)*(nTP_Hi_n&gt;=N(DH83))*(nTP_Lo_n&lt;=N(BS83)))))</f>
        <v>0</v>
      </c>
      <c r="EQ83" s="22">
        <f>IF(EO83&lt;1,0,IFERROR(_xlfn.AGGREGATE(15,6,nTP_RowN/((nTP_Case_Key=AX83)*(nTP_Record_Type="MILESTONE:INTERVENTION")*(nTP_Err="")*(nTP_HT*DD83*BN83*(nTP_OK*DE83*(nTP_UTC_n&gt;=N(DG83))+(1-nTP_OK*DE83)*(nTP_Loc_n&gt;=N(DF83)))*(nTP_OK*BO83*(nTP_UTC_n&lt;=N(BQ83))+(1-nTP_OK*BO83)*(nTP_Loc_n&lt;=N(BP83)))+(1-nTP_HT*DD83*BN83)*(nTP_Hi_n&gt;=N(DH83))*(nTP_Lo_n&lt;=N(BS83)))),1),0))</f>
        <v>0</v>
      </c>
      <c r="ER83" s="22">
        <f>IF(EO83&lt;2,0,IFERROR(_xlfn.AGGREGATE(15,6,nTP_RowN/((nTP_Case_Key=AX83)*(nTP_Record_Type="MILESTONE:INTERVENTION")*(nTP_Err="")*(nTP_HT*DD83*BN83*(nTP_OK*DE83*(nTP_UTC_n&gt;=N(DG83))+(1-nTP_OK*DE83)*(nTP_Loc_n&gt;=N(DF83)))*(nTP_OK*BO83*(nTP_UTC_n&lt;=N(BQ83))+(1-nTP_OK*BO83)*(nTP_Loc_n&lt;=N(BP83)))+(1-nTP_HT*DD83*BN83)*(nTP_Hi_n&gt;=N(DH83))*(nTP_Lo_n&lt;=N(BS83)))),2),0))</f>
        <v>0</v>
      </c>
      <c r="ES83" s="22">
        <f>IF(EO83&lt;3,0,IFERROR(_xlfn.AGGREGATE(15,6,nTP_RowN/((nTP_Case_Key=AX83)*(nTP_Record_Type="MILESTONE:INTERVENTION")*(nTP_Err="")*(nTP_HT*DD83*BN83*(nTP_OK*DE83*(nTP_UTC_n&gt;=N(DG83))+(1-nTP_OK*DE83)*(nTP_Loc_n&gt;=N(DF83)))*(nTP_OK*BO83*(nTP_UTC_n&lt;=N(BQ83))+(1-nTP_OK*BO83)*(nTP_Loc_n&lt;=N(BP83)))+(1-nTP_HT*DD83*BN83)*(nTP_Hi_n&gt;=N(DH83))*(nTP_Lo_n&lt;=N(BS83)))),3),0))</f>
        <v>0</v>
      </c>
      <c r="ET83" s="22">
        <f>IF(EP83&lt;1,0,IFERROR(_xlfn.AGGREGATE(15,6,nTP_RowN/((nTP_Case_Key=AX83)*(nTP_Role="treatment of the event")*((nTP_Record_Type="EXPOSURE_START")+(nTP_Record_Type="ADMINISTRATION"))*(nTP_Err="")*(nTP_HT*DD83*BN83*(nTP_OK*DE83*(nTP_UTC_n&gt;=N(DG83))+(1-nTP_OK*DE83)*(nTP_Loc_n&gt;=N(DF83)))*(nTP_OK*BO83*(nTP_UTC_n&lt;=N(BQ83))+(1-nTP_OK*BO83)*(nTP_Loc_n&lt;=N(BP83)))+(1-nTP_HT*DD83*BN83)*(nTP_Hi_n&gt;=N(DH83))*(nTP_Lo_n&lt;=N(BS83)))),1),0))</f>
        <v>0</v>
      </c>
      <c r="EU83" s="22">
        <f>IF(EP83&lt;2,0,IFERROR(_xlfn.AGGREGATE(15,6,nTP_RowN/((nTP_Case_Key=AX83)*(nTP_Role="treatment of the event")*((nTP_Record_Type="EXPOSURE_START")+(nTP_Record_Type="ADMINISTRATION"))*(nTP_Err="")*(nTP_HT*DD83*BN83*(nTP_OK*DE83*(nTP_UTC_n&gt;=N(DG83))+(1-nTP_OK*DE83)*(nTP_Loc_n&gt;=N(DF83)))*(nTP_OK*BO83*(nTP_UTC_n&lt;=N(BQ83))+(1-nTP_OK*BO83)*(nTP_Loc_n&lt;=N(BP83)))+(1-nTP_HT*DD83*BN83)*(nTP_Hi_n&gt;=N(DH83))*(nTP_Lo_n&lt;=N(BS83)))),2),0))</f>
        <v>0</v>
      </c>
      <c r="EV83" s="22">
        <f>IF(EP83&lt;3,0,IFERROR(_xlfn.AGGREGATE(15,6,nTP_RowN/((nTP_Case_Key=AX83)*(nTP_Role="treatment of the event")*((nTP_Record_Type="EXPOSURE_START")+(nTP_Record_Type="ADMINISTRATION"))*(nTP_Err="")*(nTP_HT*DD83*BN83*(nTP_OK*DE83*(nTP_UTC_n&gt;=N(DG83))+(1-nTP_OK*DE83)*(nTP_Loc_n&gt;=N(DF83)))*(nTP_OK*BO83*(nTP_UTC_n&lt;=N(BQ83))+(1-nTP_OK*BO83)*(nTP_Loc_n&lt;=N(BP83)))+(1-nTP_HT*DD83*BN83)*(nTP_Hi_n&gt;=N(DH83))*(nTP_Lo_n&lt;=N(BS83)))),3),0))</f>
        <v>0</v>
      </c>
      <c r="EW83" s="22">
        <f>IF(CE83&lt;1,0,IFERROR(_xlfn.AGGREGATE(15,6,nTP_RowN/((nTP_CandKey=BX83)*(nTP_Err="")*(1-nTP_Exact)*((nTP_HT*BN83*((nTP_OK*BO83*(nTP_UTC_n-N(BQ83))+(1-nTP_OK*BO83)*(nTP_Loc_n-N(BP83)))&lt;=0)+(1-nTP_HT*BN83)*(nTP_Hi_n&lt;N(BR83)))+((1-nTP_HT*BN83)*(nTP_Lo_n=nTP_Hi_n)*(nTP_Lo_n=N(BR83))*(N(BR83)=N(BS83))))),1),0))</f>
        <v>0</v>
      </c>
      <c r="EX83" s="22">
        <f>IF(CE83&lt;2,0,IFERROR(_xlfn.AGGREGATE(15,6,nTP_RowN/((nTP_CandKey=BX83)*(nTP_Err="")*(1-nTP_Exact)*((nTP_HT*BN83*((nTP_OK*BO83*(nTP_UTC_n-N(BQ83))+(1-nTP_OK*BO83)*(nTP_Loc_n-N(BP83)))&lt;=0)+(1-nTP_HT*BN83)*(nTP_Hi_n&lt;N(BR83)))+((1-nTP_HT*BN83)*(nTP_Lo_n=nTP_Hi_n)*(nTP_Lo_n=N(BR83))*(N(BR83)=N(BS83))))),2),0))</f>
        <v>0</v>
      </c>
      <c r="EY83" s="22">
        <f>IF(CE83&lt;3,0,IFERROR(_xlfn.AGGREGATE(15,6,nTP_RowN/((nTP_CandKey=BX83)*(nTP_Err="")*(1-nTP_Exact)*((nTP_HT*BN83*((nTP_OK*BO83*(nTP_UTC_n-N(BQ83))+(1-nTP_OK*BO83)*(nTP_Loc_n-N(BP83)))&lt;=0)+(1-nTP_HT*BN83)*(nTP_Hi_n&lt;N(BR83)))+((1-nTP_HT*BN83)*(nTP_Lo_n=nTP_Hi_n)*(nTP_Lo_n=N(BR83))*(N(BR83)=N(BS83))))),3),0))</f>
        <v>0</v>
      </c>
      <c r="EZ83" s="21" t="str">
        <f>IF(EO83=0,"",MID(IF(EQ83&gt;0,"; "&amp;INDEX(nTP_Record_ID,EQ83)&amp;IF(INDEX(nTP_Label,EQ83)="",""," ("&amp;INDEX(nTP_Label,EQ83)&amp;")"),"")&amp;IF(ER83&gt;0,"; "&amp;INDEX(nTP_Record_ID,ER83)&amp;IF(INDEX(nTP_Label,ER83)="",""," ("&amp;INDEX(nTP_Label,ER83)&amp;")"),"")&amp;IF(ES83&gt;0,"; "&amp;INDEX(nTP_Record_ID,ES83)&amp;IF(INDEX(nTP_Label,ES83)="",""," ("&amp;INDEX(nTP_Label,ES83)&amp;")"),"")&amp;IF(EO83&gt;3,"; and "&amp;(EO83-3)&amp;" more",""),3,999))</f>
        <v/>
      </c>
      <c r="FA83" s="21" t="str">
        <f>IF(EO83=0,"",MID(IF(EQ83&gt;0,"; "&amp;INDEX(nTP_Record_ID,EQ83),"")&amp;IF(ER83&gt;0,"; "&amp;INDEX(nTP_Record_ID,ER83),"")&amp;IF(ES83&gt;0,"; "&amp;INDEX(nTP_Record_ID,ES83),"")&amp;IF(EO83&gt;3,"; and "&amp;(EO83-3)&amp;" more",""),3,999))</f>
        <v/>
      </c>
      <c r="FB83" s="21" t="str">
        <f>IF(EP83=0,"",MID(IF(ET83&gt;0,"; "&amp;INDEX(nTP_Record_ID,ET83)&amp;IF(INDEX(nTP_Label,ET83)="",""," ("&amp;INDEX(nTP_Label,ET83)&amp;")"),"")&amp;IF(EU83&gt;0,"; "&amp;INDEX(nTP_Record_ID,EU83)&amp;IF(INDEX(nTP_Label,EU83)="",""," ("&amp;INDEX(nTP_Label,EU83)&amp;")"),"")&amp;IF(EV83&gt;0,"; "&amp;INDEX(nTP_Record_ID,EV83)&amp;IF(INDEX(nTP_Label,EV83)="",""," ("&amp;INDEX(nTP_Label,EV83)&amp;")"),"")&amp;IF(EP83&gt;3,"; and "&amp;(EP83-3)&amp;" more",""),3,999))</f>
        <v/>
      </c>
      <c r="FC83" s="21" t="str">
        <f>IF(CE83=0,"",MID(IF(EW83&gt;0,"; "&amp;INDEX(nTP_Record_ID,EW83),"")&amp;IF(EX83&gt;0,"; "&amp;INDEX(nTP_Record_ID,EX83),"")&amp;IF(EY83&gt;0,"; "&amp;INDEX(nTP_Record_ID,EY83),"")&amp;IF(CE83&gt;3,"; and "&amp;(CE83-3)&amp;" more",""),3,999))</f>
        <v/>
      </c>
      <c r="FD83" s="22">
        <f t="shared" si="181"/>
        <v>0</v>
      </c>
      <c r="FE83" s="22">
        <f t="shared" si="182"/>
        <v>0</v>
      </c>
      <c r="FF83" s="22">
        <f t="shared" si="183"/>
        <v>1</v>
      </c>
      <c r="FG83" s="22">
        <f t="shared" si="184"/>
        <v>0</v>
      </c>
      <c r="FH83" s="22">
        <f t="shared" si="185"/>
        <v>0</v>
      </c>
      <c r="FI83" s="22">
        <f t="shared" si="186"/>
        <v>0</v>
      </c>
      <c r="FJ83" s="22">
        <f t="shared" si="187"/>
        <v>0</v>
      </c>
      <c r="FK83" s="22">
        <f t="shared" si="188"/>
        <v>0</v>
      </c>
    </row>
    <row r="84" spans="1:167" x14ac:dyDescent="0.2">
      <c r="A84" s="9" t="s">
        <v>1180</v>
      </c>
      <c r="B84" s="9" t="s">
        <v>321</v>
      </c>
      <c r="C84" s="11">
        <v>1</v>
      </c>
      <c r="D84" s="9" t="s">
        <v>894</v>
      </c>
      <c r="E84" s="16" t="s">
        <v>52</v>
      </c>
      <c r="F84" s="9"/>
      <c r="G84" s="9"/>
      <c r="H84" s="9" t="s">
        <v>1181</v>
      </c>
      <c r="I84" s="16" t="s">
        <v>59</v>
      </c>
      <c r="J84" s="16"/>
      <c r="K84" s="9"/>
      <c r="L84" s="16"/>
      <c r="M84" s="16"/>
      <c r="N84" s="16"/>
      <c r="O84" s="9"/>
      <c r="P84" s="14"/>
      <c r="Q84" s="14"/>
      <c r="R84" s="9"/>
      <c r="S84" s="9"/>
      <c r="T84" s="21" t="str">
        <f t="shared" si="126"/>
        <v>720 minutes (12.0 hours)</v>
      </c>
      <c r="U84" s="21" t="str">
        <f t="shared" si="127"/>
        <v>720 minutes</v>
      </c>
      <c r="V84" s="21">
        <f t="shared" si="128"/>
        <v>720</v>
      </c>
      <c r="W84" s="21" t="str">
        <f t="shared" si="129"/>
        <v/>
      </c>
      <c r="X84" s="21" t="str">
        <f t="shared" si="130"/>
        <v/>
      </c>
      <c r="Y84" s="21" t="str">
        <f t="shared" si="131"/>
        <v>minutes</v>
      </c>
      <c r="Z84" s="21" t="str">
        <f t="shared" si="132"/>
        <v>C1</v>
      </c>
      <c r="AA84" s="21" t="str">
        <f t="shared" si="133"/>
        <v>AFTER</v>
      </c>
      <c r="AB84" s="21" t="str">
        <f t="shared" si="134"/>
        <v/>
      </c>
      <c r="AC84" s="21" t="str">
        <f t="shared" si="135"/>
        <v/>
      </c>
      <c r="AD84" s="21" t="str">
        <f>IF(AW84=1,"",MID(IF(ISNUMBER(SEARCH("E_INVALID_DATE",EG84))," | E_INVALID_DATE: "&amp;SUBSTITUTE(IFERROR(INDEX(nMSG_Text,MATCH("E_INVALID_DATE",nMSG_Code,0)),""),"[input]",""),"")&amp;IF(ISNUMBER(SEARCH("E_REVERSED_BOUNDS",EG84))," | E_REVERSED_BOUNDS: "&amp;SUBSTITUTE(IFERROR(INDEX(nMSG_Text,MATCH("E_REVERSED_BOUNDS",nMSG_Code,0)),""),"[input]",""),"")&amp;IF(ISNUMBER(SEARCH("E_DUPLICATE_ID",EG84))," | E_DUPLICATE_ID: "&amp;SUBSTITUTE(IFERROR(INDEX(nMSG_Text,MATCH("E_DUPLICATE_ID",nMSG_Code,0)),""),"[input]",""),"")&amp;IF(ISNUMBER(SEARCH("E_MISSING_LINK",EG84))," | E_MISSING_LINK: "&amp;SUBSTITUTE(IFERROR(INDEX(nMSG_Text,MATCH("E_MISSING_LINK",nMSG_Code,0)),""),"[input]",""),"")&amp;IF(ISNUMBER(SEARCH("E_MISSING_INPUT",EG84))," | E_MISSING_INPUT: "&amp;SUBSTITUTE(IFERROR(INDEX(nMSG_Text,MATCH("E_MISSING_INPUT",nMSG_Code,0)),""),"[input]",IF(EH84="","an input",EH84)),"")&amp;IF(ISNUMBER(SEARCH("E_INVALID_UNIT",EG84))," | E_INVALID_UNIT: "&amp;SUBSTITUTE(IFERROR(INDEX(nMSG_Text,MATCH("E_INVALID_UNIT",nMSG_Code,0)),""),"[input]",""),"")&amp;IF(FD84=1," | W_TZ_UNKNOWN: "&amp;SUBSTITUTE(IFERROR(INDEX(nMSG_Text,MATCH("W_TZ_UNKNOWN",nMSG_Code,0)),""),"[input]",""),"")&amp;IF(FE84=1," | W_SAME_DATE_ORDER_UNKNOWN: "&amp;SUBSTITUTE(IFERROR(INDEX(nMSG_Text,MATCH("W_SAME_DATE_ORDER_UNKNOWN",nMSG_Code,0)),""),"[input]",""),"")&amp;IF(FF84=1," | W_SEQUENCE_UNCERTAIN: "&amp;SUBSTITUTE(IFERROR(INDEX(nMSG_Text,MATCH("W_SEQUENCE_UNCERTAIN",nMSG_Code,0)),""),"[input]",""),"")&amp;IF(FG84=1," | W_ADMIN_SAME_DATE_AS_ONSET: "&amp;SUBSTITUTE(IFERROR(INDEX(nMSG_Text,MATCH("W_ADMIN_SAME_DATE_AS_ONSET",nMSG_Code,0)),""),"[input]",""),"")&amp;IF(FH84=1," | W_REPORTED_TIMING_CONFLICT: "&amp;SUBSTITUTE(IFERROR(INDEX(nMSG_Text,MATCH("W_REPORTED_TIMING_CONFLICT",nMSG_Code,0)),""),"[input]",""),"")&amp;IF(FI84=1," | W_INTERVENTION_BEFORE_RECOVERY: "&amp;SUBSTITUTE(IFERROR(INDEX(nMSG_Text,MATCH("W_INTERVENTION_BEFORE_RECOVERY",nMSG_Code,0)),""),"[input]",""),"")&amp;IF(FJ84=1," | I_TREATMENT_DAY_UNDEFINED: "&amp;SUBSTITUTE(IFERROR(INDEX(nMSG_Text,MATCH("I_TREATMENT_DAY_UNDEFINED",nMSG_Code,0)),""),"[input]",""),"")&amp;IF(FK84=1," | I_APPROXIMATE_NOT_COMPARED: "&amp;SUBSTITUTE(IFERROR(INDEX(nMSG_Text,MATCH("I_APPROXIMATE_NOT_COMPARED",nMSG_Code,0)),""),"[input]",""),""),4,9999))</f>
        <v/>
      </c>
      <c r="AE84" s="21" t="str">
        <f t="shared" si="136"/>
        <v/>
      </c>
      <c r="AF84" s="21" t="str">
        <f t="shared" si="137"/>
        <v/>
      </c>
      <c r="AG84" s="21" t="str">
        <f>IF(EN84="","",MID(IF(ISNUMBER(SEARCH("E_REVERSED_BOUNDS",EN84))," | E_REVERSED_BOUNDS: "&amp;SUBSTITUTE(IFERROR(INDEX(nMSG_Text,MATCH("E_REVERSED_BOUNDS",nMSG_Code,0)),""),"[input]",""),"")&amp;IF(ISNUMBER(SEARCH("E_MISSING_INPUT",EN84))," | E_MISSING_INPUT: "&amp;SUBSTITUTE(IFERROR(INDEX(nMSG_Text,MATCH("E_MISSING_INPUT",nMSG_Code,0)),""),"[input]",IF("the source of the constraint"="","an input","the source of the constraint")),""),4,999))</f>
        <v/>
      </c>
      <c r="AH84" s="21" t="str">
        <f t="shared" si="138"/>
        <v/>
      </c>
      <c r="AI84" s="21" t="str">
        <f t="shared" si="139"/>
        <v>A2 → EV1/ONSET</v>
      </c>
      <c r="AJ84" s="21" t="str">
        <f t="shared" si="140"/>
        <v>A2</v>
      </c>
      <c r="AK84" s="21" t="str">
        <f t="shared" si="141"/>
        <v>EV1/ONSET</v>
      </c>
      <c r="AL84" s="21" t="str">
        <f>IF(CY84=0,"",INDEX(nTP_ISO,CY84))</f>
        <v>2026-03-02T08:00-05:00</v>
      </c>
      <c r="AM84" s="21" t="str">
        <f>IF(CY84=0,"",INDEX(nTP_Display,CY84))</f>
        <v>2 March 2026 08:00 (UTC-05:00)</v>
      </c>
      <c r="AN84" s="21" t="str">
        <f>IF(BI84=0,"",INDEX(nTP_ISO,BI84))</f>
        <v>2026-03-02T20:00-05:00</v>
      </c>
      <c r="AO84" s="21" t="str">
        <f>IF(BI84=0,"",INDEX(nTP_Display,BI84))</f>
        <v>2 March 2026 20:00 (UTC-05:00)</v>
      </c>
      <c r="AP84" s="21" t="str">
        <f>IF(BA84=0,"",INDEX(nLNK_Exposure_Episode_ID,BA84)&amp;"")</f>
        <v>EX1</v>
      </c>
      <c r="AQ84" s="21" t="str">
        <f>IF(BA84=0,"",INDEX(nLNK_Event_Episode_ID,BA84)&amp;"")</f>
        <v>EV1</v>
      </c>
      <c r="AR84" s="21" t="str">
        <f t="shared" si="142"/>
        <v>Anchor (LAST_DOSE_BEFORE_ONSET) A2: 2026-03-02T08:00-05:00 [timestamp with UTC offset; case measurement; original: "2026-03-02T08:00-05:00"; source: tto_calc_test_vectors_v1.1.json V07] | End point EV1/ONSET: 2026-03-02T20:00-05:00 [timestamp with UTC offset; case measurement; original: "2026-03-02T20:00-05:00"; source: tto_calc_test_vectors_v1.1.json V07]</v>
      </c>
      <c r="AS84" s="21" t="str">
        <f>IF(EI84=0,"",MID(IF(DT84=1," | Recovery interval (C7) computed with "&amp;DS84&amp;".","")&amp;IF(BG84=1," | Anchor selected under C5 (CALC-SPEC 1.1): latest administration with an exact date or time at or before "&amp;IF(BH84=1,"onset","the end point")&amp;" ("&amp;AJ84&amp;"), ordered in UTC when offsets are known; later administrations are never selected.","")&amp;IF(AND(BG84=1,CE84&gt;0)," | Partial-date administrations wholly before the selected one were not candidates: "&amp;FC84&amp;".","")&amp;IF(BV84&lt;&gt;""," | "&amp;BV84,"")&amp;IF(AND(DS84="C2",EA84=0,DZ84&lt;&gt;"")," | Same calendar date; both times are known, so C1 decides the order ("&amp;AA84&amp;").","")&amp;IF(AND(DS84="C2",DD84*BN84=1,DT84=0)," | Calendar-date difference from the recorded local dates; it is never described as elapsed days.","")&amp;IF(AND(DS84="C4",DT84=0)," | Bounds are treated as independent; no single date is imputed from them.","")&amp;IF(EJ84=1," | Treatment day under the inclusive convention (C3); never written to E2B fields automatically.","")&amp;IF(AND(DS84="C4",DT84=0,EK84=0)," | No constraint applied.","")&amp;IF(AND(DS84="C4",EK84=1)," | Constraint applied to the anchor bounds: "&amp;IF(ISNUMBER(P84),"not before "&amp;DAY(P84)&amp;" "&amp;INDEX(nLIST_Months,MONTH(P84))&amp;" "&amp;YEAR(P84),"")&amp;IF(AND(ISNUMBER(P84),ISNUMBER(Q84)),", ","")&amp;IF(ISNUMBER(Q84),"not after "&amp;DAY(Q84)&amp;" "&amp;INDEX(nLIST_Months,MONTH(Q84))&amp;" "&amp;YEAR(Q84),"")&amp;". Source: "&amp;IF(R84="","not recorded",R84)&amp;IF(EN84="",". Constrained result shown beside the unconstrained one.",". Constrained result blocked ("&amp;EN84&amp;")."),"")&amp;IF(DT84=1,IF(EO84&gt;0," | Intervention recorded between cessation and recovery (ends included): "&amp;EZ84&amp;"."," | No intervention is recorded between cessation and recovery; absence of a record is not evidence that none was given."),"")&amp;IF(AND(DT84=1,DV84&gt;0)," | Intervention recorded without a date, so whether it came before recovery is unknown: "&amp;INDEX(nMS_Milestone_ID,MATCH(1,INDEX((nMS_CaseKey=AX84)*(nMS_Type="INTERVENTION")*nMS_Undated,0),0))&amp;IF(DV84&gt;1," and "&amp;(DV84-1)&amp;" more","")&amp;".","")&amp;IF(AND(DT84=1,EP84&gt;0)," | Not counted as interventions, because they are recorded as exposures rather than as intervention milestones (nothing is inferred): "&amp;FB84&amp;". If treatment was given, record it as an intervention milestone.",""),4,9999))</f>
        <v>Anchor selected under C5 (CALC-SPEC 1.1): latest administration with an exact date or time at or before onset (A2), ordered in UTC when offsets are known; later administrations are never selected.</v>
      </c>
      <c r="AT84" s="21" t="str">
        <f t="shared" si="143"/>
        <v>The interval describes the sequence and spacing of recorded times; it is not evidence of causation.</v>
      </c>
      <c r="AU84" s="21" t="str">
        <f t="shared" si="144"/>
        <v/>
      </c>
      <c r="AV84" s="21" t="str">
        <f t="shared" si="145"/>
        <v>CALC-SPEC 1.1</v>
      </c>
      <c r="AW84" s="22">
        <f t="shared" si="146"/>
        <v>0</v>
      </c>
      <c r="AX84" s="21" t="str">
        <f t="shared" si="147"/>
        <v>VEC-V07|1</v>
      </c>
      <c r="AY84" s="21" t="str">
        <f t="shared" si="148"/>
        <v>VEC-V07|1|I1</v>
      </c>
      <c r="AZ84" s="22">
        <f>IF(AY84="",0,COUNTIF(nINT_Key,AY84))</f>
        <v>1</v>
      </c>
      <c r="BA84" s="22">
        <f>IF(D84="",0,IFERROR(MATCH(AX84&amp;"|"&amp;D84,nLNK_Key,0),0))</f>
        <v>38</v>
      </c>
      <c r="BB84" s="22">
        <f>IF(BA84=0,1,INDEX(nLNK_Exp_Found,BA84))</f>
        <v>1</v>
      </c>
      <c r="BC84" s="22">
        <f>IF(BA84=0,1,INDEX(nLNK_Evt_Found,BA84))</f>
        <v>1</v>
      </c>
      <c r="BD84" s="22">
        <f>IF(AP84="",0,COUNTIF(nEXP_Key,AX84&amp;"|"&amp;AP84))</f>
        <v>1</v>
      </c>
      <c r="BE84" s="22">
        <f>IF(AQ84="",0,COUNTIF(nEVT_Key,AX84&amp;"|"&amp;AQ84))</f>
        <v>1</v>
      </c>
      <c r="BF84" s="22">
        <f>IF(ISNA(MATCH(E84,nLIST_AnchorType,0)),0,1)</f>
        <v>1</v>
      </c>
      <c r="BG84" s="22">
        <f t="shared" si="149"/>
        <v>1</v>
      </c>
      <c r="BH84" s="22">
        <f t="shared" si="150"/>
        <v>1</v>
      </c>
      <c r="BI84" s="22">
        <f>IF(OR(AW84=1,AK84=""),0,IFERROR(MATCH(AX84&amp;"|"&amp;AK84,nTP_Key,0),0))</f>
        <v>322</v>
      </c>
      <c r="BJ84" s="21">
        <f>IF(BI84=0,0,INDEX(nTP_Dup,BI84))</f>
        <v>1</v>
      </c>
      <c r="BK84" s="21" t="str">
        <f>IF(BI84=0,"",INDEX(nTP_Record_Type,BI84))</f>
        <v>EVENT_ONSET</v>
      </c>
      <c r="BL84" s="21" t="str">
        <f>IF(BI84=0,"",INDEX(nTP_Precision,BI84))</f>
        <v>TIMESTAMP</v>
      </c>
      <c r="BM84" s="21" t="str">
        <f>IF(BI84=0,"",INDEX(nTP_Err,BI84))</f>
        <v/>
      </c>
      <c r="BN84" s="21">
        <f>IF(BI84=0,0,INDEX(nTP_HT,BI84))</f>
        <v>1</v>
      </c>
      <c r="BO84" s="21">
        <f>IF(BI84=0,0,INDEX(nTP_OK,BI84))</f>
        <v>1</v>
      </c>
      <c r="BP84" s="21">
        <f>IF(BI84=0,"",INDEX(nTP_Loc,BI84))</f>
        <v>66360720</v>
      </c>
      <c r="BQ84" s="21">
        <f>IF(BI84=0,"",INDEX(nTP_UTC,BI84))</f>
        <v>66361020</v>
      </c>
      <c r="BR84" s="21">
        <f>IF(BI84=0,"",INDEX(nTP_Lo,BI84))</f>
        <v>46083</v>
      </c>
      <c r="BS84" s="21">
        <f>IF(BI84=0,"",INDEX(nTP_Hi,BI84))</f>
        <v>46083</v>
      </c>
      <c r="BT84" s="21" t="str">
        <f>IF(BI84=0,"",INDEX(nTP_Original_Text,BI84))</f>
        <v>2026-03-02T20:00-05:00</v>
      </c>
      <c r="BU84" s="21" t="str">
        <f>IF(BI84=0,"",INDEX(nTP_Source,BI84))</f>
        <v>tto_calc_test_vectors_v1.1.json V07</v>
      </c>
      <c r="BV84" s="21" t="str">
        <f>IF(BI84=0,"",INDEX(nTP_Lab_Note,BI84))</f>
        <v/>
      </c>
      <c r="BW84" s="22">
        <f t="shared" si="151"/>
        <v>1</v>
      </c>
      <c r="BX84" s="21" t="str">
        <f t="shared" si="152"/>
        <v>VEC-V07|1|EX1</v>
      </c>
      <c r="BY84" s="22">
        <f>IF(BG84=0,0,COUNTIF(nTP_CandKey,BX84))</f>
        <v>4</v>
      </c>
      <c r="BZ84" s="22">
        <f>IF(BG84=0,0,COUNTIFS(nTP_CandKey,BX84,nTP_Err,""))</f>
        <v>4</v>
      </c>
      <c r="CA84" s="21" t="str">
        <f>IF(BY84=BZ84,"",IF(COUNTIFS(nTP_CandKey,BX84,nTP_Err,"E_INVALID_DATE")&gt;0,"; E_INVALID_DATE","")&amp;IF(COUNTIFS(nTP_CandKey,BX84,nTP_Err,"E_REVERSED_BOUNDS")&gt;0,"; E_REVERSED_BOUNDS","")&amp;IF(COUNTIFS(nTP_CandKey,BX84,nTP_Err,"E_MISSING_INPUT")&gt;0,"; E_MISSING_INPUT","")&amp;IF(COUNTIFS(nTP_CandKey,BX84,nTP_Err,"E_INVALID_UNIT")&gt;0,"; E_INVALID_UNIT",""))</f>
        <v/>
      </c>
      <c r="CB84" s="22">
        <f t="shared" si="153"/>
        <v>1</v>
      </c>
      <c r="CC84" s="22">
        <f>IF(CB84=0,0,SUMPRODUCT((nTP_CandKey=BX84)*(nTP_Err="")*(1-(nTP_HT*BN84*((nTP_OK*BO84*(nTP_UTC_n-N(BQ84))+(1-nTP_OK*BO84)*(nTP_Loc_n-N(BP84)))&lt;=0)+(1-nTP_HT*BN84)*(nTP_Hi_n&lt;N(BR84)))-(nTP_HT*BN84*((nTP_OK*BO84*(nTP_UTC_n-N(BQ84))+(1-nTP_OK*BO84)*(nTP_Loc_n-N(BP84)))&gt;0)+(1-nTP_HT*BN84)*(nTP_Lo_n&gt;N(BS84)))-((1-nTP_HT*BN84)*(nTP_Lo_n=nTP_Hi_n)*(nTP_Lo_n=N(BR84))*(N(BR84)=N(BS84))))))</f>
        <v>0</v>
      </c>
      <c r="CD84" s="22">
        <f>IF(CB84=0,0,SUMPRODUCT((nTP_CandKey=BX84)*nTP_Exact*((nTP_HT*BN84*((nTP_OK*BO84*(nTP_UTC_n-N(BQ84))+(1-nTP_OK*BO84)*(nTP_Loc_n-N(BP84)))&lt;=0)+(1-nTP_HT*BN84)*(nTP_Hi_n&lt;N(BR84)))+((1-nTP_HT*BN84)*(nTP_Lo_n=nTP_Hi_n)*(nTP_Lo_n=N(BR84))*(N(BR84)=N(BS84))))))</f>
        <v>3</v>
      </c>
      <c r="CE84" s="22">
        <f>IF(CB84=0,0,SUMPRODUCT((nTP_CandKey=BX84)*(nTP_Err="")*(1-nTP_Exact)*((nTP_HT*BN84*((nTP_OK*BO84*(nTP_UTC_n-N(BQ84))+(1-nTP_OK*BO84)*(nTP_Loc_n-N(BP84)))&lt;=0)+(1-nTP_HT*BN84)*(nTP_Hi_n&lt;N(BR84)))+((1-nTP_HT*BN84)*(nTP_Lo_n=nTP_Hi_n)*(nTP_Lo_n=N(BR84))*(N(BR84)=N(BS84))))))</f>
        <v>0</v>
      </c>
      <c r="CF84" s="22">
        <f>IF(CD84=0,0,SUMPRODUCT(MAX((nTP_CandKey=BX84)*nTP_Exact*((nTP_HT*BN84*((nTP_OK*BO84*(nTP_UTC_n-N(BQ84))+(1-nTP_OK*BO84)*(nTP_Loc_n-N(BP84)))&lt;=0)+(1-nTP_HT*BN84)*(nTP_Hi_n&lt;N(BR84)))+((1-nTP_HT*BN84)*(nTP_Lo_n=nTP_Hi_n)*(nTP_Lo_n=N(BR84))*(N(BR84)=N(BS84))))*nTP_Lo_n)))</f>
        <v>46083</v>
      </c>
      <c r="CG84" s="22">
        <f>IF(CD84=0,0,SUMPRODUCT((nTP_CandKey=BX84)*nTP_Exact*((nTP_HT*BN84*((nTP_OK*BO84*(nTP_UTC_n-N(BQ84))+(1-nTP_OK*BO84)*(nTP_Loc_n-N(BP84)))&lt;=0)+(1-nTP_HT*BN84)*(nTP_Hi_n&lt;N(BR84)))+((1-nTP_HT*BN84)*(nTP_Lo_n=nTP_Hi_n)*(nTP_Lo_n=N(BR84))*(N(BR84)=N(BS84))))*(nTP_Lo_n=CF84)))</f>
        <v>1</v>
      </c>
      <c r="CH84" s="22">
        <f>IF(CD84=0,0,SUMPRODUCT((nTP_CandKey=BX84)*nTP_Exact*((nTP_HT*BN84*((nTP_OK*BO84*(nTP_UTC_n-N(BQ84))+(1-nTP_OK*BO84)*(nTP_Loc_n-N(BP84)))&lt;=0)+(1-nTP_HT*BN84)*(nTP_Hi_n&lt;N(BR84)))+((1-nTP_HT*BN84)*(nTP_Lo_n=nTP_Hi_n)*(nTP_Lo_n=N(BR84))*(N(BR84)=N(BS84))))*(1-nTP_HT)*(nTP_Lo_n=CF84)))</f>
        <v>0</v>
      </c>
      <c r="CI84" s="22">
        <f>IF(CD84=0,0,SUMPRODUCT(MAX((nTP_CandKey=BX84)*nTP_Exact*((nTP_HT*BN84*((nTP_OK*BO84*(nTP_UTC_n-N(BQ84))+(1-nTP_OK*BO84)*(nTP_Loc_n-N(BP84)))&lt;=0)+(1-nTP_HT*BN84)*(nTP_Hi_n&lt;N(BR84)))+((1-nTP_HT*BN84)*(nTP_Lo_n=nTP_Hi_n)*(nTP_Lo_n=N(BR84))*(N(BR84)=N(BS84))))*(1-nTP_HT)*nTP_Lo_n)))</f>
        <v>0</v>
      </c>
      <c r="CJ84" s="22">
        <f>IF(CD84=0,0,SUMPRODUCT(MAX((nTP_CandKey=BX84)*nTP_Exact*((nTP_HT*BN84*((nTP_OK*BO84*(nTP_UTC_n-N(BQ84))+(1-nTP_OK*BO84)*(nTP_Loc_n-N(BP84)))&lt;=0)+(1-nTP_HT*BN84)*(nTP_Hi_n&lt;N(BR84)))+((1-nTP_HT*BN84)*(nTP_Lo_n=nTP_Hi_n)*(nTP_Lo_n=N(BR84))*(N(BR84)=N(BS84))))*nTP_HT*nTP_OK*nTP_UTC_n)))</f>
        <v>66360300</v>
      </c>
      <c r="CK84" s="22">
        <f>IF(CJ84=0,0,SUMPRODUCT((nTP_CandKey=BX84)*nTP_Exact*((nTP_HT*BN84*((nTP_OK*BO84*(nTP_UTC_n-N(BQ84))+(1-nTP_OK*BO84)*(nTP_Loc_n-N(BP84)))&lt;=0)+(1-nTP_HT*BN84)*(nTP_Hi_n&lt;N(BR84)))+((1-nTP_HT*BN84)*(nTP_Lo_n=nTP_Hi_n)*(nTP_Lo_n=N(BR84))*(N(BR84)=N(BS84))))*nTP_HT*nTP_OK*(nTP_UTC_n=CJ84)))</f>
        <v>1</v>
      </c>
      <c r="CL84" s="22">
        <f>IF(CK84&lt;&gt;1,0,SUMPRODUCT((nTP_CandKey=BX84)*nTP_Exact*((nTP_HT*BN84*((nTP_OK*BO84*(nTP_UTC_n-N(BQ84))+(1-nTP_OK*BO84)*(nTP_Loc_n-N(BP84)))&lt;=0)+(1-nTP_HT*BN84)*(nTP_Hi_n&lt;N(BR84)))+((1-nTP_HT*BN84)*(nTP_Lo_n=nTP_Hi_n)*(nTP_Lo_n=N(BR84))*(N(BR84)=N(BS84))))*nTP_HT*nTP_OK*(nTP_UTC_n=CJ84)*nTP_Loc_n))</f>
        <v>66360000</v>
      </c>
      <c r="CM84" s="22">
        <f>IF(CK84&lt;&gt;1,0,SUMPRODUCT((nTP_CandKey=BX84)*nTP_Exact*((nTP_HT*BN84*((nTP_OK*BO84*(nTP_UTC_n-N(BQ84))+(1-nTP_OK*BO84)*(nTP_Loc_n-N(BP84)))&lt;=0)+(1-nTP_HT*BN84)*(nTP_Hi_n&lt;N(BR84)))+((1-nTP_HT*BN84)*(nTP_Lo_n=nTP_Hi_n)*(nTP_Lo_n=N(BR84))*(N(BR84)=N(BS84))))*nTP_HT*nTP_OK*(nTP_UTC_n=CJ84)*nTP_Lo_n))</f>
        <v>46083</v>
      </c>
      <c r="CN84" s="22">
        <f>IF(CD84=0,0,SUMPRODUCT(MAX((nTP_CandKey=BX84)*nTP_Exact*((nTP_HT*BN84*((nTP_OK*BO84*(nTP_UTC_n-N(BQ84))+(1-nTP_OK*BO84)*(nTP_Loc_n-N(BP84)))&lt;=0)+(1-nTP_HT*BN84)*(nTP_Hi_n&lt;N(BR84)))+((1-nTP_HT*BN84)*(nTP_Lo_n=nTP_Hi_n)*(nTP_Lo_n=N(BR84))*(N(BR84)=N(BS84))))*nTP_HT*(1-nTP_OK)*nTP_Loc_n)))</f>
        <v>0</v>
      </c>
      <c r="CO84" s="22">
        <f>IF(CN84=0,0,SUMPRODUCT((nTP_CandKey=BX84)*nTP_Exact*((nTP_HT*BN84*((nTP_OK*BO84*(nTP_UTC_n-N(BQ84))+(1-nTP_OK*BO84)*(nTP_Loc_n-N(BP84)))&lt;=0)+(1-nTP_HT*BN84)*(nTP_Hi_n&lt;N(BR84)))+((1-nTP_HT*BN84)*(nTP_Lo_n=nTP_Hi_n)*(nTP_Lo_n=N(BR84))*(N(BR84)=N(BS84))))*nTP_HT*(1-nTP_OK)*(nTP_Loc_n=CN84)))</f>
        <v>0</v>
      </c>
      <c r="CP84" s="22">
        <f>IF(CO84&lt;&gt;1,0,SUMPRODUCT((nTP_CandKey=BX84)*nTP_Exact*((nTP_HT*BN84*((nTP_OK*BO84*(nTP_UTC_n-N(BQ84))+(1-nTP_OK*BO84)*(nTP_Loc_n-N(BP84)))&lt;=0)+(1-nTP_HT*BN84)*(nTP_Hi_n&lt;N(BR84)))+((1-nTP_HT*BN84)*(nTP_Lo_n=nTP_Hi_n)*(nTP_Lo_n=N(BR84))*(N(BR84)=N(BS84))))*nTP_HT*(1-nTP_OK)*(nTP_Loc_n=CN84)*nTP_Lo_n))</f>
        <v>0</v>
      </c>
      <c r="CQ84" s="22">
        <f>IF(CD84=0,0,SUMPRODUCT(MAX((nTP_CandKey=BX84)*nTP_Exact*((nTP_HT*BN84*((nTP_OK*BO84*(nTP_UTC_n-N(BQ84))+(1-nTP_OK*BO84)*(nTP_Loc_n-N(BP84)))&lt;=0)+(1-nTP_HT*BN84)*(nTP_Hi_n&lt;N(BR84)))+((1-nTP_HT*BN84)*(nTP_Lo_n=nTP_Hi_n)*(nTP_Lo_n=N(BR84))*(N(BR84)=N(BS84))))*nTP_HT*nTP_OK*nTP_Loc_n)))</f>
        <v>66360000</v>
      </c>
      <c r="CR84" s="22">
        <f t="shared" si="154"/>
        <v>2</v>
      </c>
      <c r="CS84" s="22">
        <f>IF(CR84=0,0,IF(CR84=1,MATCH(1,INDEX((nTP_CandKey=BX84)*nTP_Exact*((nTP_HT*BN84*((nTP_OK*BO84*(nTP_UTC_n-N(BQ84))+(1-nTP_OK*BO84)*(nTP_Loc_n-N(BP84)))&lt;=0)+(1-nTP_HT*BN84)*(nTP_Hi_n&lt;N(BR84)))+((1-nTP_HT*BN84)*(nTP_Lo_n=nTP_Hi_n)*(nTP_Lo_n=N(BR84))*(N(BR84)=N(BS84))))*(1-nTP_HT)*(nTP_Lo_n=CF84),0),0),IF(CR84=2,MATCH(1,INDEX((nTP_CandKey=BX84)*nTP_Exact*((nTP_HT*BN84*((nTP_OK*BO84*(nTP_UTC_n-N(BQ84))+(1-nTP_OK*BO84)*(nTP_Loc_n-N(BP84)))&lt;=0)+(1-nTP_HT*BN84)*(nTP_Hi_n&lt;N(BR84)))+((1-nTP_HT*BN84)*(nTP_Lo_n=nTP_Hi_n)*(nTP_Lo_n=N(BR84))*(N(BR84)=N(BS84))))*nTP_HT*nTP_OK*(nTP_UTC_n=CJ84),0),0),MATCH(1,INDEX((nTP_CandKey=BX84)*nTP_Exact*((nTP_HT*BN84*((nTP_OK*BO84*(nTP_UTC_n-N(BQ84))+(1-nTP_OK*BO84)*(nTP_Loc_n-N(BP84)))&lt;=0)+(1-nTP_HT*BN84)*(nTP_Hi_n&lt;N(BR84)))+((1-nTP_HT*BN84)*(nTP_Lo_n=nTP_Hi_n)*(nTP_Lo_n=N(BR84))*(N(BR84)=N(BS84))))*nTP_HT*(1-nTP_OK)*(nTP_Loc_n=CN84),0),0))))</f>
        <v>284</v>
      </c>
      <c r="CT84" s="22">
        <f>IF(CS84=0,0,INDEX(nTP_Lo_n,CS84))</f>
        <v>46083</v>
      </c>
      <c r="CU84" s="22">
        <f>IF(CS84=0,0,SUMPRODUCT((nTP_CandKey=BX84)*(nTP_Err="")*(1-nTP_Exact)*((nTP_HT*BN84*((nTP_OK*BO84*(nTP_UTC_n-N(BQ84))+(1-nTP_OK*BO84)*(nTP_Loc_n-N(BP84)))&lt;=0)+(1-nTP_HT*BN84)*(nTP_Hi_n&lt;N(BR84)))+((1-nTP_HT*BN84)*(nTP_Lo_n=nTP_Hi_n)*(nTP_Lo_n=N(BR84))*(N(BR84)=N(BS84))))*(nTP_Hi_n&gt;=CT84)))</f>
        <v>0</v>
      </c>
      <c r="CV84" s="21" t="str">
        <f t="shared" si="155"/>
        <v/>
      </c>
      <c r="CW84" s="21" t="str">
        <f>IF(AND(BG84=1,CB84=1,CV84="",CS84&gt;0),INDEX(nTP_Record_ID,CS84)&amp;"","")</f>
        <v>A2</v>
      </c>
      <c r="CX84" s="21" t="str">
        <f>IF(OR(CV84="",BG84=0),"",IF(CV84="none","an administration record (last dose before onset)",IF(CV84="uncertain","the anchor record: "&amp;INDEX(nTP_Record_ID,MATCH(1,INDEX((nTP_CandKey=BX84)*(nTP_Err="")*(1-(nTP_HT*BN84*((nTP_OK*BO84*(nTP_UTC_n-N(BQ84))+(1-nTP_OK*BO84)*(nTP_Loc_n-N(BP84)))&lt;=0)+(1-nTP_HT*BN84)*(nTP_Hi_n&lt;N(BR84)))-(nTP_HT*BN84*((nTP_OK*BO84*(nTP_UTC_n-N(BQ84))+(1-nTP_OK*BO84)*(nTP_Loc_n-N(BP84)))&gt;0)+(1-nTP_HT*BN84)*(nTP_Lo_n&gt;N(BS84)))-((1-nTP_HT*BN84)*(nTP_Lo_n=nTP_Hi_n)*(nTP_Lo_n=N(BR84))*(N(BR84)=N(BS84)))),0),0))&amp;IF(CC84&gt;1," and "&amp;(CC84-1)&amp;" more","")&amp;" may fall before or after the end point, so the last dose cannot be identified from the recorded dates",IF(CV84="noneligible","the anchor record: no administration with an exact date is recorded at or before the end point",IF(CV84="tie","the anchor record: the order of the latest administrations cannot be told from the recorded dates and times","the anchor record: partial-date administration "&amp;INDEX(nTP_Record_ID,MATCH(1,INDEX((nTP_CandKey=BX84)*(nTP_Err="")*(1-nTP_Exact)*((nTP_HT*BN84*((nTP_OK*BO84*(nTP_UTC_n-N(BQ84))+(1-nTP_OK*BO84)*(nTP_Loc_n-N(BP84)))&lt;=0)+(1-nTP_HT*BN84)*(nTP_Hi_n&lt;N(BR84)))+((1-nTP_HT*BN84)*(nTP_Lo_n=nTP_Hi_n)*(nTP_Lo_n=N(BR84))*(N(BR84)=N(BS84))))*(nTP_Hi_n&gt;=CT84),0),0))&amp;" could be the last dose before the end point")))))</f>
        <v/>
      </c>
      <c r="CY84" s="22">
        <f>IF(OR(AW84=1,AJ84=""),0,IFERROR(MATCH(AX84&amp;"|"&amp;AJ84,nTP_Key,0),0))</f>
        <v>284</v>
      </c>
      <c r="CZ84" s="21">
        <f>IF(CY84=0,0,INDEX(nTP_Dup,CY84))</f>
        <v>1</v>
      </c>
      <c r="DA84" s="21" t="str">
        <f>IF(CY84=0,"",INDEX(nTP_Record_Type,CY84))</f>
        <v>ADMINISTRATION</v>
      </c>
      <c r="DB84" s="21" t="str">
        <f>IF(CY84=0,"",INDEX(nTP_Precision,CY84))</f>
        <v>TIMESTAMP</v>
      </c>
      <c r="DC84" s="21" t="str">
        <f>IF(CY84=0,"",INDEX(nTP_Err,CY84))</f>
        <v/>
      </c>
      <c r="DD84" s="21">
        <f>IF(CY84=0,0,INDEX(nTP_HT,CY84))</f>
        <v>1</v>
      </c>
      <c r="DE84" s="21">
        <f>IF(CY84=0,0,INDEX(nTP_OK,CY84))</f>
        <v>1</v>
      </c>
      <c r="DF84" s="21">
        <f>IF(CY84=0,"",INDEX(nTP_Loc,CY84))</f>
        <v>66360000</v>
      </c>
      <c r="DG84" s="21">
        <f>IF(CY84=0,"",INDEX(nTP_UTC,CY84))</f>
        <v>66360300</v>
      </c>
      <c r="DH84" s="21">
        <f>IF(CY84=0,"",INDEX(nTP_Lo,CY84))</f>
        <v>46083</v>
      </c>
      <c r="DI84" s="21">
        <f>IF(CY84=0,"",INDEX(nTP_Hi,CY84))</f>
        <v>46083</v>
      </c>
      <c r="DJ84" s="21" t="str">
        <f>IF(CY84=0,"",INDEX(nTP_Original_Text,CY84))</f>
        <v>2026-03-02T08:00-05:00</v>
      </c>
      <c r="DK84" s="21" t="str">
        <f>IF(CY84=0,"",INDEX(nTP_Source,CY84))</f>
        <v>tto_calc_test_vectors_v1.1.json V07</v>
      </c>
      <c r="DL84" s="22">
        <f t="shared" si="156"/>
        <v>1</v>
      </c>
      <c r="DM84" s="21" t="str">
        <f t="shared" si="157"/>
        <v/>
      </c>
      <c r="DN84" s="21" t="str">
        <f t="shared" si="158"/>
        <v/>
      </c>
      <c r="DO84" s="21" t="str">
        <f t="shared" si="159"/>
        <v/>
      </c>
      <c r="DP84" s="21" t="str">
        <f t="shared" si="160"/>
        <v/>
      </c>
      <c r="DQ84" s="21" t="str">
        <f t="shared" si="161"/>
        <v>C1</v>
      </c>
      <c r="DR84" s="22">
        <f>IF(OR(DQ84="",I84=""),0,IF(ISNA(MATCH(I84,nLIST_Mode,0)),1,IF(AND(I84="C1",DQ84&lt;&gt;"C1"),1,IF(AND(I84="C2",DQ84="C4"),1,0))))</f>
        <v>0</v>
      </c>
      <c r="DS84" s="21" t="str">
        <f t="shared" si="162"/>
        <v>C1</v>
      </c>
      <c r="DT84" s="22">
        <f t="shared" si="163"/>
        <v>0</v>
      </c>
      <c r="DU84" s="21" t="str">
        <f>IF(DT84=0,"",IF(COUNTIFS(nTP_Case_Key,AX84,nTP_Record_Type,"MILESTONE:INTERVENTION",nTP_Err,"E_INVALID_DATE")&gt;0,"; E_INVALID_DATE","")&amp;IF(COUNTIFS(nTP_Case_Key,AX84,nTP_Record_Type,"MILESTONE:INTERVENTION",nTP_Err,"E_REVERSED_BOUNDS")&gt;0,"; E_REVERSED_BOUNDS","")&amp;IF(COUNTIFS(nTP_Case_Key,AX84,nTP_Record_Type,"MILESTONE:INTERVENTION",nTP_Err,"E_MISSING_INPUT")&gt;0,"; E_MISSING_INPUT","")&amp;IF(COUNTIFS(nTP_Case_Key,AX84,nTP_Record_Type,"MILESTONE:INTERVENTION",nTP_Err,"E_INVALID_UNIT")&gt;0,"; E_INVALID_UNIT",""))</f>
        <v/>
      </c>
      <c r="DV84" s="22">
        <f>IF(DT84=0,0,SUMPRODUCT((nMS_CaseKey=AX84)*(nMS_Type="INTERVENTION")*nMS_Undated))</f>
        <v>0</v>
      </c>
      <c r="DW84" s="21" t="str">
        <f t="shared" si="164"/>
        <v/>
      </c>
      <c r="DX84" s="21" t="str">
        <f t="shared" si="165"/>
        <v/>
      </c>
      <c r="DY84" s="22">
        <f t="shared" si="166"/>
        <v>0</v>
      </c>
      <c r="DZ84" s="21">
        <f t="shared" si="167"/>
        <v>720</v>
      </c>
      <c r="EA84" s="21" t="str">
        <f t="shared" si="168"/>
        <v/>
      </c>
      <c r="EB84" s="21" t="str">
        <f t="shared" si="169"/>
        <v/>
      </c>
      <c r="EC84" s="21" t="str">
        <f t="shared" si="170"/>
        <v/>
      </c>
      <c r="ED84" s="22">
        <f t="shared" si="171"/>
        <v>0</v>
      </c>
      <c r="EE84" s="22">
        <f t="shared" si="172"/>
        <v>0</v>
      </c>
      <c r="EF84" s="21" t="str">
        <f>IF(ED84=0,"",IF(OR(NOT(ISNUMBER(L84)),NOT(ISNUMBER(M84))),"I_APPROXIMATE_NOT_COMPARED",IF(AND(N84&lt;&gt;"",ISNA(MATCH(N84,nLIST_ReportedUnit,0))),"E_INVALID_UNIT",IF(N84="","E_MISSING_INPUT",IF(L84&gt;M84,"E_REVERSED_BOUNDS",IF(OR(N84="weeks",N84="months",N84="years"),"I_APPROXIMATE_NOT_COMPARED",IF(DX84&lt;&gt;"","",IF(EE84=0,"I_APPROXIMATE_NOT_COMPARED",IF(AND(L84*EE84&lt;=IF(DS84="C4",EC84,IF(DS84="C1",DZ84,EA84)),M84*EE84&gt;=IF(DS84="C4",EB84,IF(DS84="C1",DZ84,EA84))),"OVERLAP","W_REPORTED_TIMING_CONFLICT")))))))))</f>
        <v/>
      </c>
      <c r="EG84" s="21" t="str">
        <f t="shared" si="173"/>
        <v/>
      </c>
      <c r="EH84" s="21" t="str">
        <f t="shared" si="174"/>
        <v/>
      </c>
      <c r="EI84" s="22">
        <f t="shared" si="175"/>
        <v>1</v>
      </c>
      <c r="EJ84" s="22">
        <f t="shared" si="176"/>
        <v>0</v>
      </c>
      <c r="EK84" s="22">
        <f t="shared" si="177"/>
        <v>0</v>
      </c>
      <c r="EL84" s="28" t="str">
        <f t="shared" si="178"/>
        <v/>
      </c>
      <c r="EM84" s="28" t="str">
        <f t="shared" si="179"/>
        <v/>
      </c>
      <c r="EN84" s="21" t="str">
        <f t="shared" si="180"/>
        <v/>
      </c>
      <c r="EO84" s="22">
        <f>IF(OR(DT84=0,DX84&lt;&gt;""),0,SUMPRODUCT((nTP_Case_Key=AX84)*(nTP_Record_Type="MILESTONE:INTERVENTION")*(nTP_Err="")*(nTP_HT*DD84*BN84*(nTP_OK*DE84*(nTP_UTC_n&gt;=N(DG84))+(1-nTP_OK*DE84)*(nTP_Loc_n&gt;=N(DF84)))*(nTP_OK*BO84*(nTP_UTC_n&lt;=N(BQ84))+(1-nTP_OK*BO84)*(nTP_Loc_n&lt;=N(BP84)))+(1-nTP_HT*DD84*BN84)*(nTP_Hi_n&gt;=N(DH84))*(nTP_Lo_n&lt;=N(BS84)))))</f>
        <v>0</v>
      </c>
      <c r="EP84" s="22">
        <f>IF(OR(DT84=0,DX84&lt;&gt;""),0,SUMPRODUCT((nTP_Case_Key=AX84)*(nTP_Role="treatment of the event")*((nTP_Record_Type="EXPOSURE_START")+(nTP_Record_Type="ADMINISTRATION"))*(nTP_Err="")*(nTP_HT*DD84*BN84*(nTP_OK*DE84*(nTP_UTC_n&gt;=N(DG84))+(1-nTP_OK*DE84)*(nTP_Loc_n&gt;=N(DF84)))*(nTP_OK*BO84*(nTP_UTC_n&lt;=N(BQ84))+(1-nTP_OK*BO84)*(nTP_Loc_n&lt;=N(BP84)))+(1-nTP_HT*DD84*BN84)*(nTP_Hi_n&gt;=N(DH84))*(nTP_Lo_n&lt;=N(BS84)))))</f>
        <v>0</v>
      </c>
      <c r="EQ84" s="22">
        <f>IF(EO84&lt;1,0,IFERROR(_xlfn.AGGREGATE(15,6,nTP_RowN/((nTP_Case_Key=AX84)*(nTP_Record_Type="MILESTONE:INTERVENTION")*(nTP_Err="")*(nTP_HT*DD84*BN84*(nTP_OK*DE84*(nTP_UTC_n&gt;=N(DG84))+(1-nTP_OK*DE84)*(nTP_Loc_n&gt;=N(DF84)))*(nTP_OK*BO84*(nTP_UTC_n&lt;=N(BQ84))+(1-nTP_OK*BO84)*(nTP_Loc_n&lt;=N(BP84)))+(1-nTP_HT*DD84*BN84)*(nTP_Hi_n&gt;=N(DH84))*(nTP_Lo_n&lt;=N(BS84)))),1),0))</f>
        <v>0</v>
      </c>
      <c r="ER84" s="22">
        <f>IF(EO84&lt;2,0,IFERROR(_xlfn.AGGREGATE(15,6,nTP_RowN/((nTP_Case_Key=AX84)*(nTP_Record_Type="MILESTONE:INTERVENTION")*(nTP_Err="")*(nTP_HT*DD84*BN84*(nTP_OK*DE84*(nTP_UTC_n&gt;=N(DG84))+(1-nTP_OK*DE84)*(nTP_Loc_n&gt;=N(DF84)))*(nTP_OK*BO84*(nTP_UTC_n&lt;=N(BQ84))+(1-nTP_OK*BO84)*(nTP_Loc_n&lt;=N(BP84)))+(1-nTP_HT*DD84*BN84)*(nTP_Hi_n&gt;=N(DH84))*(nTP_Lo_n&lt;=N(BS84)))),2),0))</f>
        <v>0</v>
      </c>
      <c r="ES84" s="22">
        <f>IF(EO84&lt;3,0,IFERROR(_xlfn.AGGREGATE(15,6,nTP_RowN/((nTP_Case_Key=AX84)*(nTP_Record_Type="MILESTONE:INTERVENTION")*(nTP_Err="")*(nTP_HT*DD84*BN84*(nTP_OK*DE84*(nTP_UTC_n&gt;=N(DG84))+(1-nTP_OK*DE84)*(nTP_Loc_n&gt;=N(DF84)))*(nTP_OK*BO84*(nTP_UTC_n&lt;=N(BQ84))+(1-nTP_OK*BO84)*(nTP_Loc_n&lt;=N(BP84)))+(1-nTP_HT*DD84*BN84)*(nTP_Hi_n&gt;=N(DH84))*(nTP_Lo_n&lt;=N(BS84)))),3),0))</f>
        <v>0</v>
      </c>
      <c r="ET84" s="22">
        <f>IF(EP84&lt;1,0,IFERROR(_xlfn.AGGREGATE(15,6,nTP_RowN/((nTP_Case_Key=AX84)*(nTP_Role="treatment of the event")*((nTP_Record_Type="EXPOSURE_START")+(nTP_Record_Type="ADMINISTRATION"))*(nTP_Err="")*(nTP_HT*DD84*BN84*(nTP_OK*DE84*(nTP_UTC_n&gt;=N(DG84))+(1-nTP_OK*DE84)*(nTP_Loc_n&gt;=N(DF84)))*(nTP_OK*BO84*(nTP_UTC_n&lt;=N(BQ84))+(1-nTP_OK*BO84)*(nTP_Loc_n&lt;=N(BP84)))+(1-nTP_HT*DD84*BN84)*(nTP_Hi_n&gt;=N(DH84))*(nTP_Lo_n&lt;=N(BS84)))),1),0))</f>
        <v>0</v>
      </c>
      <c r="EU84" s="22">
        <f>IF(EP84&lt;2,0,IFERROR(_xlfn.AGGREGATE(15,6,nTP_RowN/((nTP_Case_Key=AX84)*(nTP_Role="treatment of the event")*((nTP_Record_Type="EXPOSURE_START")+(nTP_Record_Type="ADMINISTRATION"))*(nTP_Err="")*(nTP_HT*DD84*BN84*(nTP_OK*DE84*(nTP_UTC_n&gt;=N(DG84))+(1-nTP_OK*DE84)*(nTP_Loc_n&gt;=N(DF84)))*(nTP_OK*BO84*(nTP_UTC_n&lt;=N(BQ84))+(1-nTP_OK*BO84)*(nTP_Loc_n&lt;=N(BP84)))+(1-nTP_HT*DD84*BN84)*(nTP_Hi_n&gt;=N(DH84))*(nTP_Lo_n&lt;=N(BS84)))),2),0))</f>
        <v>0</v>
      </c>
      <c r="EV84" s="22">
        <f>IF(EP84&lt;3,0,IFERROR(_xlfn.AGGREGATE(15,6,nTP_RowN/((nTP_Case_Key=AX84)*(nTP_Role="treatment of the event")*((nTP_Record_Type="EXPOSURE_START")+(nTP_Record_Type="ADMINISTRATION"))*(nTP_Err="")*(nTP_HT*DD84*BN84*(nTP_OK*DE84*(nTP_UTC_n&gt;=N(DG84))+(1-nTP_OK*DE84)*(nTP_Loc_n&gt;=N(DF84)))*(nTP_OK*BO84*(nTP_UTC_n&lt;=N(BQ84))+(1-nTP_OK*BO84)*(nTP_Loc_n&lt;=N(BP84)))+(1-nTP_HT*DD84*BN84)*(nTP_Hi_n&gt;=N(DH84))*(nTP_Lo_n&lt;=N(BS84)))),3),0))</f>
        <v>0</v>
      </c>
      <c r="EW84" s="22">
        <f>IF(CE84&lt;1,0,IFERROR(_xlfn.AGGREGATE(15,6,nTP_RowN/((nTP_CandKey=BX84)*(nTP_Err="")*(1-nTP_Exact)*((nTP_HT*BN84*((nTP_OK*BO84*(nTP_UTC_n-N(BQ84))+(1-nTP_OK*BO84)*(nTP_Loc_n-N(BP84)))&lt;=0)+(1-nTP_HT*BN84)*(nTP_Hi_n&lt;N(BR84)))+((1-nTP_HT*BN84)*(nTP_Lo_n=nTP_Hi_n)*(nTP_Lo_n=N(BR84))*(N(BR84)=N(BS84))))),1),0))</f>
        <v>0</v>
      </c>
      <c r="EX84" s="22">
        <f>IF(CE84&lt;2,0,IFERROR(_xlfn.AGGREGATE(15,6,nTP_RowN/((nTP_CandKey=BX84)*(nTP_Err="")*(1-nTP_Exact)*((nTP_HT*BN84*((nTP_OK*BO84*(nTP_UTC_n-N(BQ84))+(1-nTP_OK*BO84)*(nTP_Loc_n-N(BP84)))&lt;=0)+(1-nTP_HT*BN84)*(nTP_Hi_n&lt;N(BR84)))+((1-nTP_HT*BN84)*(nTP_Lo_n=nTP_Hi_n)*(nTP_Lo_n=N(BR84))*(N(BR84)=N(BS84))))),2),0))</f>
        <v>0</v>
      </c>
      <c r="EY84" s="22">
        <f>IF(CE84&lt;3,0,IFERROR(_xlfn.AGGREGATE(15,6,nTP_RowN/((nTP_CandKey=BX84)*(nTP_Err="")*(1-nTP_Exact)*((nTP_HT*BN84*((nTP_OK*BO84*(nTP_UTC_n-N(BQ84))+(1-nTP_OK*BO84)*(nTP_Loc_n-N(BP84)))&lt;=0)+(1-nTP_HT*BN84)*(nTP_Hi_n&lt;N(BR84)))+((1-nTP_HT*BN84)*(nTP_Lo_n=nTP_Hi_n)*(nTP_Lo_n=N(BR84))*(N(BR84)=N(BS84))))),3),0))</f>
        <v>0</v>
      </c>
      <c r="EZ84" s="21" t="str">
        <f>IF(EO84=0,"",MID(IF(EQ84&gt;0,"; "&amp;INDEX(nTP_Record_ID,EQ84)&amp;IF(INDEX(nTP_Label,EQ84)="",""," ("&amp;INDEX(nTP_Label,EQ84)&amp;")"),"")&amp;IF(ER84&gt;0,"; "&amp;INDEX(nTP_Record_ID,ER84)&amp;IF(INDEX(nTP_Label,ER84)="",""," ("&amp;INDEX(nTP_Label,ER84)&amp;")"),"")&amp;IF(ES84&gt;0,"; "&amp;INDEX(nTP_Record_ID,ES84)&amp;IF(INDEX(nTP_Label,ES84)="",""," ("&amp;INDEX(nTP_Label,ES84)&amp;")"),"")&amp;IF(EO84&gt;3,"; and "&amp;(EO84-3)&amp;" more",""),3,999))</f>
        <v/>
      </c>
      <c r="FA84" s="21" t="str">
        <f>IF(EO84=0,"",MID(IF(EQ84&gt;0,"; "&amp;INDEX(nTP_Record_ID,EQ84),"")&amp;IF(ER84&gt;0,"; "&amp;INDEX(nTP_Record_ID,ER84),"")&amp;IF(ES84&gt;0,"; "&amp;INDEX(nTP_Record_ID,ES84),"")&amp;IF(EO84&gt;3,"; and "&amp;(EO84-3)&amp;" more",""),3,999))</f>
        <v/>
      </c>
      <c r="FB84" s="21" t="str">
        <f>IF(EP84=0,"",MID(IF(ET84&gt;0,"; "&amp;INDEX(nTP_Record_ID,ET84)&amp;IF(INDEX(nTP_Label,ET84)="",""," ("&amp;INDEX(nTP_Label,ET84)&amp;")"),"")&amp;IF(EU84&gt;0,"; "&amp;INDEX(nTP_Record_ID,EU84)&amp;IF(INDEX(nTP_Label,EU84)="",""," ("&amp;INDEX(nTP_Label,EU84)&amp;")"),"")&amp;IF(EV84&gt;0,"; "&amp;INDEX(nTP_Record_ID,EV84)&amp;IF(INDEX(nTP_Label,EV84)="",""," ("&amp;INDEX(nTP_Label,EV84)&amp;")"),"")&amp;IF(EP84&gt;3,"; and "&amp;(EP84-3)&amp;" more",""),3,999))</f>
        <v/>
      </c>
      <c r="FC84" s="21" t="str">
        <f>IF(CE84=0,"",MID(IF(EW84&gt;0,"; "&amp;INDEX(nTP_Record_ID,EW84),"")&amp;IF(EX84&gt;0,"; "&amp;INDEX(nTP_Record_ID,EX84),"")&amp;IF(EY84&gt;0,"; "&amp;INDEX(nTP_Record_ID,EY84),"")&amp;IF(CE84&gt;3,"; and "&amp;(CE84-3)&amp;" more",""),3,999))</f>
        <v/>
      </c>
      <c r="FD84" s="22">
        <f t="shared" si="181"/>
        <v>0</v>
      </c>
      <c r="FE84" s="22">
        <f t="shared" si="182"/>
        <v>0</v>
      </c>
      <c r="FF84" s="22">
        <f t="shared" si="183"/>
        <v>0</v>
      </c>
      <c r="FG84" s="22">
        <f t="shared" si="184"/>
        <v>0</v>
      </c>
      <c r="FH84" s="22">
        <f t="shared" si="185"/>
        <v>0</v>
      </c>
      <c r="FI84" s="22">
        <f t="shared" si="186"/>
        <v>0</v>
      </c>
      <c r="FJ84" s="22">
        <f t="shared" si="187"/>
        <v>0</v>
      </c>
      <c r="FK84" s="22">
        <f t="shared" si="188"/>
        <v>0</v>
      </c>
    </row>
    <row r="85" spans="1:167" x14ac:dyDescent="0.2">
      <c r="A85" s="9" t="s">
        <v>1180</v>
      </c>
      <c r="B85" s="9" t="s">
        <v>323</v>
      </c>
      <c r="C85" s="11">
        <v>1</v>
      </c>
      <c r="D85" s="9" t="s">
        <v>894</v>
      </c>
      <c r="E85" s="16" t="s">
        <v>51</v>
      </c>
      <c r="F85" s="9"/>
      <c r="G85" s="9" t="s">
        <v>1179</v>
      </c>
      <c r="H85" s="9" t="s">
        <v>1181</v>
      </c>
      <c r="I85" s="16" t="s">
        <v>60</v>
      </c>
      <c r="J85" s="16"/>
      <c r="K85" s="9"/>
      <c r="L85" s="16"/>
      <c r="M85" s="16"/>
      <c r="N85" s="16"/>
      <c r="O85" s="9"/>
      <c r="P85" s="14"/>
      <c r="Q85" s="14"/>
      <c r="R85" s="9"/>
      <c r="S85" s="9"/>
      <c r="T85" s="21" t="str">
        <f t="shared" si="126"/>
        <v>44 calendar days</v>
      </c>
      <c r="U85" s="21" t="str">
        <f t="shared" si="127"/>
        <v>44 calendar days</v>
      </c>
      <c r="V85" s="21">
        <f t="shared" si="128"/>
        <v>44</v>
      </c>
      <c r="W85" s="21" t="str">
        <f t="shared" si="129"/>
        <v/>
      </c>
      <c r="X85" s="21" t="str">
        <f t="shared" si="130"/>
        <v/>
      </c>
      <c r="Y85" s="21" t="str">
        <f t="shared" si="131"/>
        <v>calendar days</v>
      </c>
      <c r="Z85" s="21" t="str">
        <f t="shared" si="132"/>
        <v>C2</v>
      </c>
      <c r="AA85" s="21" t="str">
        <f t="shared" si="133"/>
        <v>AFTER</v>
      </c>
      <c r="AB85" s="21" t="str">
        <f t="shared" si="134"/>
        <v/>
      </c>
      <c r="AC85" s="21" t="str">
        <f t="shared" si="135"/>
        <v/>
      </c>
      <c r="AD85" s="21" t="str">
        <f>IF(AW85=1,"",MID(IF(ISNUMBER(SEARCH("E_INVALID_DATE",EG85))," | E_INVALID_DATE: "&amp;SUBSTITUTE(IFERROR(INDEX(nMSG_Text,MATCH("E_INVALID_DATE",nMSG_Code,0)),""),"[input]",""),"")&amp;IF(ISNUMBER(SEARCH("E_REVERSED_BOUNDS",EG85))," | E_REVERSED_BOUNDS: "&amp;SUBSTITUTE(IFERROR(INDEX(nMSG_Text,MATCH("E_REVERSED_BOUNDS",nMSG_Code,0)),""),"[input]",""),"")&amp;IF(ISNUMBER(SEARCH("E_DUPLICATE_ID",EG85))," | E_DUPLICATE_ID: "&amp;SUBSTITUTE(IFERROR(INDEX(nMSG_Text,MATCH("E_DUPLICATE_ID",nMSG_Code,0)),""),"[input]",""),"")&amp;IF(ISNUMBER(SEARCH("E_MISSING_LINK",EG85))," | E_MISSING_LINK: "&amp;SUBSTITUTE(IFERROR(INDEX(nMSG_Text,MATCH("E_MISSING_LINK",nMSG_Code,0)),""),"[input]",""),"")&amp;IF(ISNUMBER(SEARCH("E_MISSING_INPUT",EG85))," | E_MISSING_INPUT: "&amp;SUBSTITUTE(IFERROR(INDEX(nMSG_Text,MATCH("E_MISSING_INPUT",nMSG_Code,0)),""),"[input]",IF(EH85="","an input",EH85)),"")&amp;IF(ISNUMBER(SEARCH("E_INVALID_UNIT",EG85))," | E_INVALID_UNIT: "&amp;SUBSTITUTE(IFERROR(INDEX(nMSG_Text,MATCH("E_INVALID_UNIT",nMSG_Code,0)),""),"[input]",""),"")&amp;IF(FD85=1," | W_TZ_UNKNOWN: "&amp;SUBSTITUTE(IFERROR(INDEX(nMSG_Text,MATCH("W_TZ_UNKNOWN",nMSG_Code,0)),""),"[input]",""),"")&amp;IF(FE85=1," | W_SAME_DATE_ORDER_UNKNOWN: "&amp;SUBSTITUTE(IFERROR(INDEX(nMSG_Text,MATCH("W_SAME_DATE_ORDER_UNKNOWN",nMSG_Code,0)),""),"[input]",""),"")&amp;IF(FF85=1," | W_SEQUENCE_UNCERTAIN: "&amp;SUBSTITUTE(IFERROR(INDEX(nMSG_Text,MATCH("W_SEQUENCE_UNCERTAIN",nMSG_Code,0)),""),"[input]",""),"")&amp;IF(FG85=1," | W_ADMIN_SAME_DATE_AS_ONSET: "&amp;SUBSTITUTE(IFERROR(INDEX(nMSG_Text,MATCH("W_ADMIN_SAME_DATE_AS_ONSET",nMSG_Code,0)),""),"[input]",""),"")&amp;IF(FH85=1," | W_REPORTED_TIMING_CONFLICT: "&amp;SUBSTITUTE(IFERROR(INDEX(nMSG_Text,MATCH("W_REPORTED_TIMING_CONFLICT",nMSG_Code,0)),""),"[input]",""),"")&amp;IF(FI85=1," | W_INTERVENTION_BEFORE_RECOVERY: "&amp;SUBSTITUTE(IFERROR(INDEX(nMSG_Text,MATCH("W_INTERVENTION_BEFORE_RECOVERY",nMSG_Code,0)),""),"[input]",""),"")&amp;IF(FJ85=1," | I_TREATMENT_DAY_UNDEFINED: "&amp;SUBSTITUTE(IFERROR(INDEX(nMSG_Text,MATCH("I_TREATMENT_DAY_UNDEFINED",nMSG_Code,0)),""),"[input]",""),"")&amp;IF(FK85=1," | I_APPROXIMATE_NOT_COMPARED: "&amp;SUBSTITUTE(IFERROR(INDEX(nMSG_Text,MATCH("I_APPROXIMATE_NOT_COMPARED",nMSG_Code,0)),""),"[input]",""),""),4,9999))</f>
        <v/>
      </c>
      <c r="AE85" s="21" t="str">
        <f t="shared" si="136"/>
        <v/>
      </c>
      <c r="AF85" s="21" t="str">
        <f t="shared" si="137"/>
        <v/>
      </c>
      <c r="AG85" s="21" t="str">
        <f>IF(EN85="","",MID(IF(ISNUMBER(SEARCH("E_REVERSED_BOUNDS",EN85))," | E_REVERSED_BOUNDS: "&amp;SUBSTITUTE(IFERROR(INDEX(nMSG_Text,MATCH("E_REVERSED_BOUNDS",nMSG_Code,0)),""),"[input]",""),"")&amp;IF(ISNUMBER(SEARCH("E_MISSING_INPUT",EN85))," | E_MISSING_INPUT: "&amp;SUBSTITUTE(IFERROR(INDEX(nMSG_Text,MATCH("E_MISSING_INPUT",nMSG_Code,0)),""),"[input]",IF("the source of the constraint"="","an input","the source of the constraint")),""),4,999))</f>
        <v/>
      </c>
      <c r="AH85" s="21" t="str">
        <f t="shared" si="138"/>
        <v/>
      </c>
      <c r="AI85" s="21" t="str">
        <f t="shared" si="139"/>
        <v>EX1/START → EV1/ONSET</v>
      </c>
      <c r="AJ85" s="21" t="str">
        <f t="shared" si="140"/>
        <v>EX1/START</v>
      </c>
      <c r="AK85" s="21" t="str">
        <f t="shared" si="141"/>
        <v>EV1/ONSET</v>
      </c>
      <c r="AL85" s="21" t="str">
        <f>IF(CY85=0,"",INDEX(nTP_ISO,CY85))</f>
        <v>2026-01-01</v>
      </c>
      <c r="AM85" s="21" t="str">
        <f>IF(CY85=0,"",INDEX(nTP_Display,CY85))</f>
        <v>1 January 2026</v>
      </c>
      <c r="AN85" s="21" t="str">
        <f>IF(BI85=0,"",INDEX(nTP_ISO,BI85))</f>
        <v>2026-02-14</v>
      </c>
      <c r="AO85" s="21" t="str">
        <f>IF(BI85=0,"",INDEX(nTP_Display,BI85))</f>
        <v>14 February 2026</v>
      </c>
      <c r="AP85" s="21" t="str">
        <f>IF(BA85=0,"",INDEX(nLNK_Exposure_Episode_ID,BA85)&amp;"")</f>
        <v>EX1</v>
      </c>
      <c r="AQ85" s="21" t="str">
        <f>IF(BA85=0,"",INDEX(nLNK_Event_Episode_ID,BA85)&amp;"")</f>
        <v>EV1</v>
      </c>
      <c r="AR85" s="21" t="str">
        <f t="shared" si="142"/>
        <v>Anchor (FIRST_ADMIN) EX1/START: 2026-01-01 [day; case measurement; original: "first administration"; source: tto_calc_test_vectors_v1.1.json V08] | End point EV1/ONSET: 2026-02-14 [day; case measurement; original: "2026-02-14"; source: tto_calc_test_vectors_v1.1.json V08]</v>
      </c>
      <c r="AS85" s="21" t="str">
        <f>IF(EI85=0,"",MID(IF(DT85=1," | Recovery interval (C7) computed with "&amp;DS85&amp;".","")&amp;IF(BG85=1," | Anchor selected under C5 (CALC-SPEC 1.1): latest administration with an exact date or time at or before "&amp;IF(BH85=1,"onset","the end point")&amp;" ("&amp;AJ85&amp;"), ordered in UTC when offsets are known; later administrations are never selected.","")&amp;IF(AND(BG85=1,CE85&gt;0)," | Partial-date administrations wholly before the selected one were not candidates: "&amp;FC85&amp;".","")&amp;IF(BV85&lt;&gt;""," | "&amp;BV85,"")&amp;IF(AND(DS85="C2",EA85=0,DZ85&lt;&gt;"")," | Same calendar date; both times are known, so C1 decides the order ("&amp;AA85&amp;").","")&amp;IF(AND(DS85="C2",DD85*BN85=1,DT85=0)," | Calendar-date difference from the recorded local dates; it is never described as elapsed days.","")&amp;IF(AND(DS85="C4",DT85=0)," | Bounds are treated as independent; no single date is imputed from them.","")&amp;IF(EJ85=1," | Treatment day under the inclusive convention (C3); never written to E2B fields automatically.","")&amp;IF(AND(DS85="C4",DT85=0,EK85=0)," | No constraint applied.","")&amp;IF(AND(DS85="C4",EK85=1)," | Constraint applied to the anchor bounds: "&amp;IF(ISNUMBER(P85),"not before "&amp;DAY(P85)&amp;" "&amp;INDEX(nLIST_Months,MONTH(P85))&amp;" "&amp;YEAR(P85),"")&amp;IF(AND(ISNUMBER(P85),ISNUMBER(Q85)),", ","")&amp;IF(ISNUMBER(Q85),"not after "&amp;DAY(Q85)&amp;" "&amp;INDEX(nLIST_Months,MONTH(Q85))&amp;" "&amp;YEAR(Q85),"")&amp;". Source: "&amp;IF(R85="","not recorded",R85)&amp;IF(EN85="",". Constrained result shown beside the unconstrained one.",". Constrained result blocked ("&amp;EN85&amp;")."),"")&amp;IF(DT85=1,IF(EO85&gt;0," | Intervention recorded between cessation and recovery (ends included): "&amp;EZ85&amp;"."," | No intervention is recorded between cessation and recovery; absence of a record is not evidence that none was given."),"")&amp;IF(AND(DT85=1,DV85&gt;0)," | Intervention recorded without a date, so whether it came before recovery is unknown: "&amp;INDEX(nMS_Milestone_ID,MATCH(1,INDEX((nMS_CaseKey=AX85)*(nMS_Type="INTERVENTION")*nMS_Undated,0),0))&amp;IF(DV85&gt;1," and "&amp;(DV85-1)&amp;" more","")&amp;".","")&amp;IF(AND(DT85=1,EP85&gt;0)," | Not counted as interventions, because they are recorded as exposures rather than as intervention milestones (nothing is inferred): "&amp;FB85&amp;". If treatment was given, record it as an intervention milestone.",""),4,9999))</f>
        <v/>
      </c>
      <c r="AT85" s="21" t="str">
        <f t="shared" si="143"/>
        <v>The interval describes the sequence and spacing of recorded times; it is not evidence of causation.</v>
      </c>
      <c r="AU85" s="21" t="str">
        <f t="shared" si="144"/>
        <v/>
      </c>
      <c r="AV85" s="21" t="str">
        <f t="shared" si="145"/>
        <v>CALC-SPEC 1.1</v>
      </c>
      <c r="AW85" s="22">
        <f t="shared" si="146"/>
        <v>0</v>
      </c>
      <c r="AX85" s="21" t="str">
        <f t="shared" si="147"/>
        <v>VEC-V08|1</v>
      </c>
      <c r="AY85" s="21" t="str">
        <f t="shared" si="148"/>
        <v>VEC-V08|1|I1</v>
      </c>
      <c r="AZ85" s="22">
        <f>IF(AY85="",0,COUNTIF(nINT_Key,AY85))</f>
        <v>1</v>
      </c>
      <c r="BA85" s="22">
        <f>IF(D85="",0,IFERROR(MATCH(AX85&amp;"|"&amp;D85,nLNK_Key,0),0))</f>
        <v>39</v>
      </c>
      <c r="BB85" s="22">
        <f>IF(BA85=0,1,INDEX(nLNK_Exp_Found,BA85))</f>
        <v>1</v>
      </c>
      <c r="BC85" s="22">
        <f>IF(BA85=0,1,INDEX(nLNK_Evt_Found,BA85))</f>
        <v>1</v>
      </c>
      <c r="BD85" s="22">
        <f>IF(AP85="",0,COUNTIF(nEXP_Key,AX85&amp;"|"&amp;AP85))</f>
        <v>1</v>
      </c>
      <c r="BE85" s="22">
        <f>IF(AQ85="",0,COUNTIF(nEVT_Key,AX85&amp;"|"&amp;AQ85))</f>
        <v>1</v>
      </c>
      <c r="BF85" s="22">
        <f>IF(ISNA(MATCH(E85,nLIST_AnchorType,0)),0,1)</f>
        <v>1</v>
      </c>
      <c r="BG85" s="22">
        <f t="shared" si="149"/>
        <v>0</v>
      </c>
      <c r="BH85" s="22">
        <f t="shared" si="150"/>
        <v>1</v>
      </c>
      <c r="BI85" s="22">
        <f>IF(OR(AW85=1,AK85=""),0,IFERROR(MATCH(AX85&amp;"|"&amp;AK85,nTP_Key,0),0))</f>
        <v>323</v>
      </c>
      <c r="BJ85" s="21">
        <f>IF(BI85=0,0,INDEX(nTP_Dup,BI85))</f>
        <v>1</v>
      </c>
      <c r="BK85" s="21" t="str">
        <f>IF(BI85=0,"",INDEX(nTP_Record_Type,BI85))</f>
        <v>EVENT_ONSET</v>
      </c>
      <c r="BL85" s="21" t="str">
        <f>IF(BI85=0,"",INDEX(nTP_Precision,BI85))</f>
        <v>DATE</v>
      </c>
      <c r="BM85" s="21" t="str">
        <f>IF(BI85=0,"",INDEX(nTP_Err,BI85))</f>
        <v/>
      </c>
      <c r="BN85" s="21">
        <f>IF(BI85=0,0,INDEX(nTP_HT,BI85))</f>
        <v>0</v>
      </c>
      <c r="BO85" s="21">
        <f>IF(BI85=0,0,INDEX(nTP_OK,BI85))</f>
        <v>0</v>
      </c>
      <c r="BP85" s="21" t="str">
        <f>IF(BI85=0,"",INDEX(nTP_Loc,BI85))</f>
        <v/>
      </c>
      <c r="BQ85" s="21" t="str">
        <f>IF(BI85=0,"",INDEX(nTP_UTC,BI85))</f>
        <v/>
      </c>
      <c r="BR85" s="21">
        <f>IF(BI85=0,"",INDEX(nTP_Lo,BI85))</f>
        <v>46067</v>
      </c>
      <c r="BS85" s="21">
        <f>IF(BI85=0,"",INDEX(nTP_Hi,BI85))</f>
        <v>46067</v>
      </c>
      <c r="BT85" s="21" t="str">
        <f>IF(BI85=0,"",INDEX(nTP_Original_Text,BI85))</f>
        <v>2026-02-14</v>
      </c>
      <c r="BU85" s="21" t="str">
        <f>IF(BI85=0,"",INDEX(nTP_Source,BI85))</f>
        <v>tto_calc_test_vectors_v1.1.json V08</v>
      </c>
      <c r="BV85" s="21" t="str">
        <f>IF(BI85=0,"",INDEX(nTP_Lab_Note,BI85))</f>
        <v/>
      </c>
      <c r="BW85" s="22">
        <f t="shared" si="151"/>
        <v>1</v>
      </c>
      <c r="BX85" s="21" t="str">
        <f t="shared" si="152"/>
        <v>VEC-V08|1|EX1</v>
      </c>
      <c r="BY85" s="22">
        <f>IF(BG85=0,0,COUNTIF(nTP_CandKey,BX85))</f>
        <v>0</v>
      </c>
      <c r="BZ85" s="22">
        <f>IF(BG85=0,0,COUNTIFS(nTP_CandKey,BX85,nTP_Err,""))</f>
        <v>0</v>
      </c>
      <c r="CA85" s="21" t="str">
        <f>IF(BY85=BZ85,"",IF(COUNTIFS(nTP_CandKey,BX85,nTP_Err,"E_INVALID_DATE")&gt;0,"; E_INVALID_DATE","")&amp;IF(COUNTIFS(nTP_CandKey,BX85,nTP_Err,"E_REVERSED_BOUNDS")&gt;0,"; E_REVERSED_BOUNDS","")&amp;IF(COUNTIFS(nTP_CandKey,BX85,nTP_Err,"E_MISSING_INPUT")&gt;0,"; E_MISSING_INPUT","")&amp;IF(COUNTIFS(nTP_CandKey,BX85,nTP_Err,"E_INVALID_UNIT")&gt;0,"; E_INVALID_UNIT",""))</f>
        <v/>
      </c>
      <c r="CB85" s="22">
        <f t="shared" si="153"/>
        <v>0</v>
      </c>
      <c r="CC85" s="22">
        <f>IF(CB85=0,0,SUMPRODUCT((nTP_CandKey=BX85)*(nTP_Err="")*(1-(nTP_HT*BN85*((nTP_OK*BO85*(nTP_UTC_n-N(BQ85))+(1-nTP_OK*BO85)*(nTP_Loc_n-N(BP85)))&lt;=0)+(1-nTP_HT*BN85)*(nTP_Hi_n&lt;N(BR85)))-(nTP_HT*BN85*((nTP_OK*BO85*(nTP_UTC_n-N(BQ85))+(1-nTP_OK*BO85)*(nTP_Loc_n-N(BP85)))&gt;0)+(1-nTP_HT*BN85)*(nTP_Lo_n&gt;N(BS85)))-((1-nTP_HT*BN85)*(nTP_Lo_n=nTP_Hi_n)*(nTP_Lo_n=N(BR85))*(N(BR85)=N(BS85))))))</f>
        <v>0</v>
      </c>
      <c r="CD85" s="22">
        <f>IF(CB85=0,0,SUMPRODUCT((nTP_CandKey=BX85)*nTP_Exact*((nTP_HT*BN85*((nTP_OK*BO85*(nTP_UTC_n-N(BQ85))+(1-nTP_OK*BO85)*(nTP_Loc_n-N(BP85)))&lt;=0)+(1-nTP_HT*BN85)*(nTP_Hi_n&lt;N(BR85)))+((1-nTP_HT*BN85)*(nTP_Lo_n=nTP_Hi_n)*(nTP_Lo_n=N(BR85))*(N(BR85)=N(BS85))))))</f>
        <v>0</v>
      </c>
      <c r="CE85" s="22">
        <f>IF(CB85=0,0,SUMPRODUCT((nTP_CandKey=BX85)*(nTP_Err="")*(1-nTP_Exact)*((nTP_HT*BN85*((nTP_OK*BO85*(nTP_UTC_n-N(BQ85))+(1-nTP_OK*BO85)*(nTP_Loc_n-N(BP85)))&lt;=0)+(1-nTP_HT*BN85)*(nTP_Hi_n&lt;N(BR85)))+((1-nTP_HT*BN85)*(nTP_Lo_n=nTP_Hi_n)*(nTP_Lo_n=N(BR85))*(N(BR85)=N(BS85))))))</f>
        <v>0</v>
      </c>
      <c r="CF85" s="22">
        <f>IF(CD85=0,0,SUMPRODUCT(MAX((nTP_CandKey=BX85)*nTP_Exact*((nTP_HT*BN85*((nTP_OK*BO85*(nTP_UTC_n-N(BQ85))+(1-nTP_OK*BO85)*(nTP_Loc_n-N(BP85)))&lt;=0)+(1-nTP_HT*BN85)*(nTP_Hi_n&lt;N(BR85)))+((1-nTP_HT*BN85)*(nTP_Lo_n=nTP_Hi_n)*(nTP_Lo_n=N(BR85))*(N(BR85)=N(BS85))))*nTP_Lo_n)))</f>
        <v>0</v>
      </c>
      <c r="CG85" s="22">
        <f>IF(CD85=0,0,SUMPRODUCT((nTP_CandKey=BX85)*nTP_Exact*((nTP_HT*BN85*((nTP_OK*BO85*(nTP_UTC_n-N(BQ85))+(1-nTP_OK*BO85)*(nTP_Loc_n-N(BP85)))&lt;=0)+(1-nTP_HT*BN85)*(nTP_Hi_n&lt;N(BR85)))+((1-nTP_HT*BN85)*(nTP_Lo_n=nTP_Hi_n)*(nTP_Lo_n=N(BR85))*(N(BR85)=N(BS85))))*(nTP_Lo_n=CF85)))</f>
        <v>0</v>
      </c>
      <c r="CH85" s="22">
        <f>IF(CD85=0,0,SUMPRODUCT((nTP_CandKey=BX85)*nTP_Exact*((nTP_HT*BN85*((nTP_OK*BO85*(nTP_UTC_n-N(BQ85))+(1-nTP_OK*BO85)*(nTP_Loc_n-N(BP85)))&lt;=0)+(1-nTP_HT*BN85)*(nTP_Hi_n&lt;N(BR85)))+((1-nTP_HT*BN85)*(nTP_Lo_n=nTP_Hi_n)*(nTP_Lo_n=N(BR85))*(N(BR85)=N(BS85))))*(1-nTP_HT)*(nTP_Lo_n=CF85)))</f>
        <v>0</v>
      </c>
      <c r="CI85" s="22">
        <f>IF(CD85=0,0,SUMPRODUCT(MAX((nTP_CandKey=BX85)*nTP_Exact*((nTP_HT*BN85*((nTP_OK*BO85*(nTP_UTC_n-N(BQ85))+(1-nTP_OK*BO85)*(nTP_Loc_n-N(BP85)))&lt;=0)+(1-nTP_HT*BN85)*(nTP_Hi_n&lt;N(BR85)))+((1-nTP_HT*BN85)*(nTP_Lo_n=nTP_Hi_n)*(nTP_Lo_n=N(BR85))*(N(BR85)=N(BS85))))*(1-nTP_HT)*nTP_Lo_n)))</f>
        <v>0</v>
      </c>
      <c r="CJ85" s="22">
        <f>IF(CD85=0,0,SUMPRODUCT(MAX((nTP_CandKey=BX85)*nTP_Exact*((nTP_HT*BN85*((nTP_OK*BO85*(nTP_UTC_n-N(BQ85))+(1-nTP_OK*BO85)*(nTP_Loc_n-N(BP85)))&lt;=0)+(1-nTP_HT*BN85)*(nTP_Hi_n&lt;N(BR85)))+((1-nTP_HT*BN85)*(nTP_Lo_n=nTP_Hi_n)*(nTP_Lo_n=N(BR85))*(N(BR85)=N(BS85))))*nTP_HT*nTP_OK*nTP_UTC_n)))</f>
        <v>0</v>
      </c>
      <c r="CK85" s="22">
        <f>IF(CJ85=0,0,SUMPRODUCT((nTP_CandKey=BX85)*nTP_Exact*((nTP_HT*BN85*((nTP_OK*BO85*(nTP_UTC_n-N(BQ85))+(1-nTP_OK*BO85)*(nTP_Loc_n-N(BP85)))&lt;=0)+(1-nTP_HT*BN85)*(nTP_Hi_n&lt;N(BR85)))+((1-nTP_HT*BN85)*(nTP_Lo_n=nTP_Hi_n)*(nTP_Lo_n=N(BR85))*(N(BR85)=N(BS85))))*nTP_HT*nTP_OK*(nTP_UTC_n=CJ85)))</f>
        <v>0</v>
      </c>
      <c r="CL85" s="22">
        <f>IF(CK85&lt;&gt;1,0,SUMPRODUCT((nTP_CandKey=BX85)*nTP_Exact*((nTP_HT*BN85*((nTP_OK*BO85*(nTP_UTC_n-N(BQ85))+(1-nTP_OK*BO85)*(nTP_Loc_n-N(BP85)))&lt;=0)+(1-nTP_HT*BN85)*(nTP_Hi_n&lt;N(BR85)))+((1-nTP_HT*BN85)*(nTP_Lo_n=nTP_Hi_n)*(nTP_Lo_n=N(BR85))*(N(BR85)=N(BS85))))*nTP_HT*nTP_OK*(nTP_UTC_n=CJ85)*nTP_Loc_n))</f>
        <v>0</v>
      </c>
      <c r="CM85" s="22">
        <f>IF(CK85&lt;&gt;1,0,SUMPRODUCT((nTP_CandKey=BX85)*nTP_Exact*((nTP_HT*BN85*((nTP_OK*BO85*(nTP_UTC_n-N(BQ85))+(1-nTP_OK*BO85)*(nTP_Loc_n-N(BP85)))&lt;=0)+(1-nTP_HT*BN85)*(nTP_Hi_n&lt;N(BR85)))+((1-nTP_HT*BN85)*(nTP_Lo_n=nTP_Hi_n)*(nTP_Lo_n=N(BR85))*(N(BR85)=N(BS85))))*nTP_HT*nTP_OK*(nTP_UTC_n=CJ85)*nTP_Lo_n))</f>
        <v>0</v>
      </c>
      <c r="CN85" s="22">
        <f>IF(CD85=0,0,SUMPRODUCT(MAX((nTP_CandKey=BX85)*nTP_Exact*((nTP_HT*BN85*((nTP_OK*BO85*(nTP_UTC_n-N(BQ85))+(1-nTP_OK*BO85)*(nTP_Loc_n-N(BP85)))&lt;=0)+(1-nTP_HT*BN85)*(nTP_Hi_n&lt;N(BR85)))+((1-nTP_HT*BN85)*(nTP_Lo_n=nTP_Hi_n)*(nTP_Lo_n=N(BR85))*(N(BR85)=N(BS85))))*nTP_HT*(1-nTP_OK)*nTP_Loc_n)))</f>
        <v>0</v>
      </c>
      <c r="CO85" s="22">
        <f>IF(CN85=0,0,SUMPRODUCT((nTP_CandKey=BX85)*nTP_Exact*((nTP_HT*BN85*((nTP_OK*BO85*(nTP_UTC_n-N(BQ85))+(1-nTP_OK*BO85)*(nTP_Loc_n-N(BP85)))&lt;=0)+(1-nTP_HT*BN85)*(nTP_Hi_n&lt;N(BR85)))+((1-nTP_HT*BN85)*(nTP_Lo_n=nTP_Hi_n)*(nTP_Lo_n=N(BR85))*(N(BR85)=N(BS85))))*nTP_HT*(1-nTP_OK)*(nTP_Loc_n=CN85)))</f>
        <v>0</v>
      </c>
      <c r="CP85" s="22">
        <f>IF(CO85&lt;&gt;1,0,SUMPRODUCT((nTP_CandKey=BX85)*nTP_Exact*((nTP_HT*BN85*((nTP_OK*BO85*(nTP_UTC_n-N(BQ85))+(1-nTP_OK*BO85)*(nTP_Loc_n-N(BP85)))&lt;=0)+(1-nTP_HT*BN85)*(nTP_Hi_n&lt;N(BR85)))+((1-nTP_HT*BN85)*(nTP_Lo_n=nTP_Hi_n)*(nTP_Lo_n=N(BR85))*(N(BR85)=N(BS85))))*nTP_HT*(1-nTP_OK)*(nTP_Loc_n=CN85)*nTP_Lo_n))</f>
        <v>0</v>
      </c>
      <c r="CQ85" s="22">
        <f>IF(CD85=0,0,SUMPRODUCT(MAX((nTP_CandKey=BX85)*nTP_Exact*((nTP_HT*BN85*((nTP_OK*BO85*(nTP_UTC_n-N(BQ85))+(1-nTP_OK*BO85)*(nTP_Loc_n-N(BP85)))&lt;=0)+(1-nTP_HT*BN85)*(nTP_Hi_n&lt;N(BR85)))+((1-nTP_HT*BN85)*(nTP_Lo_n=nTP_Hi_n)*(nTP_Lo_n=N(BR85))*(N(BR85)=N(BS85))))*nTP_HT*nTP_OK*nTP_Loc_n)))</f>
        <v>0</v>
      </c>
      <c r="CR85" s="22">
        <f t="shared" si="154"/>
        <v>0</v>
      </c>
      <c r="CS85" s="22">
        <f>IF(CR85=0,0,IF(CR85=1,MATCH(1,INDEX((nTP_CandKey=BX85)*nTP_Exact*((nTP_HT*BN85*((nTP_OK*BO85*(nTP_UTC_n-N(BQ85))+(1-nTP_OK*BO85)*(nTP_Loc_n-N(BP85)))&lt;=0)+(1-nTP_HT*BN85)*(nTP_Hi_n&lt;N(BR85)))+((1-nTP_HT*BN85)*(nTP_Lo_n=nTP_Hi_n)*(nTP_Lo_n=N(BR85))*(N(BR85)=N(BS85))))*(1-nTP_HT)*(nTP_Lo_n=CF85),0),0),IF(CR85=2,MATCH(1,INDEX((nTP_CandKey=BX85)*nTP_Exact*((nTP_HT*BN85*((nTP_OK*BO85*(nTP_UTC_n-N(BQ85))+(1-nTP_OK*BO85)*(nTP_Loc_n-N(BP85)))&lt;=0)+(1-nTP_HT*BN85)*(nTP_Hi_n&lt;N(BR85)))+((1-nTP_HT*BN85)*(nTP_Lo_n=nTP_Hi_n)*(nTP_Lo_n=N(BR85))*(N(BR85)=N(BS85))))*nTP_HT*nTP_OK*(nTP_UTC_n=CJ85),0),0),MATCH(1,INDEX((nTP_CandKey=BX85)*nTP_Exact*((nTP_HT*BN85*((nTP_OK*BO85*(nTP_UTC_n-N(BQ85))+(1-nTP_OK*BO85)*(nTP_Loc_n-N(BP85)))&lt;=0)+(1-nTP_HT*BN85)*(nTP_Hi_n&lt;N(BR85)))+((1-nTP_HT*BN85)*(nTP_Lo_n=nTP_Hi_n)*(nTP_Lo_n=N(BR85))*(N(BR85)=N(BS85))))*nTP_HT*(1-nTP_OK)*(nTP_Loc_n=CN85),0),0))))</f>
        <v>0</v>
      </c>
      <c r="CT85" s="22">
        <f>IF(CS85=0,0,INDEX(nTP_Lo_n,CS85))</f>
        <v>0</v>
      </c>
      <c r="CU85" s="22">
        <f>IF(CS85=0,0,SUMPRODUCT((nTP_CandKey=BX85)*(nTP_Err="")*(1-nTP_Exact)*((nTP_HT*BN85*((nTP_OK*BO85*(nTP_UTC_n-N(BQ85))+(1-nTP_OK*BO85)*(nTP_Loc_n-N(BP85)))&lt;=0)+(1-nTP_HT*BN85)*(nTP_Hi_n&lt;N(BR85)))+((1-nTP_HT*BN85)*(nTP_Lo_n=nTP_Hi_n)*(nTP_Lo_n=N(BR85))*(N(BR85)=N(BS85))))*(nTP_Hi_n&gt;=CT85)))</f>
        <v>0</v>
      </c>
      <c r="CV85" s="21" t="str">
        <f t="shared" si="155"/>
        <v/>
      </c>
      <c r="CW85" s="21" t="str">
        <f>IF(AND(BG85=1,CB85=1,CV85="",CS85&gt;0),INDEX(nTP_Record_ID,CS85)&amp;"","")</f>
        <v/>
      </c>
      <c r="CX85" s="21" t="str">
        <f>IF(OR(CV85="",BG85=0),"",IF(CV85="none","an administration record (last dose before onset)",IF(CV85="uncertain","the anchor record: "&amp;INDEX(nTP_Record_ID,MATCH(1,INDEX((nTP_CandKey=BX85)*(nTP_Err="")*(1-(nTP_HT*BN85*((nTP_OK*BO85*(nTP_UTC_n-N(BQ85))+(1-nTP_OK*BO85)*(nTP_Loc_n-N(BP85)))&lt;=0)+(1-nTP_HT*BN85)*(nTP_Hi_n&lt;N(BR85)))-(nTP_HT*BN85*((nTP_OK*BO85*(nTP_UTC_n-N(BQ85))+(1-nTP_OK*BO85)*(nTP_Loc_n-N(BP85)))&gt;0)+(1-nTP_HT*BN85)*(nTP_Lo_n&gt;N(BS85)))-((1-nTP_HT*BN85)*(nTP_Lo_n=nTP_Hi_n)*(nTP_Lo_n=N(BR85))*(N(BR85)=N(BS85)))),0),0))&amp;IF(CC85&gt;1," and "&amp;(CC85-1)&amp;" more","")&amp;" may fall before or after the end point, so the last dose cannot be identified from the recorded dates",IF(CV85="noneligible","the anchor record: no administration with an exact date is recorded at or before the end point",IF(CV85="tie","the anchor record: the order of the latest administrations cannot be told from the recorded dates and times","the anchor record: partial-date administration "&amp;INDEX(nTP_Record_ID,MATCH(1,INDEX((nTP_CandKey=BX85)*(nTP_Err="")*(1-nTP_Exact)*((nTP_HT*BN85*((nTP_OK*BO85*(nTP_UTC_n-N(BQ85))+(1-nTP_OK*BO85)*(nTP_Loc_n-N(BP85)))&lt;=0)+(1-nTP_HT*BN85)*(nTP_Hi_n&lt;N(BR85)))+((1-nTP_HT*BN85)*(nTP_Lo_n=nTP_Hi_n)*(nTP_Lo_n=N(BR85))*(N(BR85)=N(BS85))))*(nTP_Hi_n&gt;=CT85),0),0))&amp;" could be the last dose before the end point")))))</f>
        <v/>
      </c>
      <c r="CY85" s="22">
        <f>IF(OR(AW85=1,AJ85=""),0,IFERROR(MATCH(AX85&amp;"|"&amp;AJ85,nTP_Key,0),0))</f>
        <v>51</v>
      </c>
      <c r="CZ85" s="21">
        <f>IF(CY85=0,0,INDEX(nTP_Dup,CY85))</f>
        <v>1</v>
      </c>
      <c r="DA85" s="21" t="str">
        <f>IF(CY85=0,"",INDEX(nTP_Record_Type,CY85))</f>
        <v>EXPOSURE_START</v>
      </c>
      <c r="DB85" s="21" t="str">
        <f>IF(CY85=0,"",INDEX(nTP_Precision,CY85))</f>
        <v>DATE</v>
      </c>
      <c r="DC85" s="21" t="str">
        <f>IF(CY85=0,"",INDEX(nTP_Err,CY85))</f>
        <v/>
      </c>
      <c r="DD85" s="21">
        <f>IF(CY85=0,0,INDEX(nTP_HT,CY85))</f>
        <v>0</v>
      </c>
      <c r="DE85" s="21">
        <f>IF(CY85=0,0,INDEX(nTP_OK,CY85))</f>
        <v>0</v>
      </c>
      <c r="DF85" s="21" t="str">
        <f>IF(CY85=0,"",INDEX(nTP_Loc,CY85))</f>
        <v/>
      </c>
      <c r="DG85" s="21" t="str">
        <f>IF(CY85=0,"",INDEX(nTP_UTC,CY85))</f>
        <v/>
      </c>
      <c r="DH85" s="21">
        <f>IF(CY85=0,"",INDEX(nTP_Lo,CY85))</f>
        <v>46023</v>
      </c>
      <c r="DI85" s="21">
        <f>IF(CY85=0,"",INDEX(nTP_Hi,CY85))</f>
        <v>46023</v>
      </c>
      <c r="DJ85" s="21" t="str">
        <f>IF(CY85=0,"",INDEX(nTP_Original_Text,CY85))</f>
        <v>first administration</v>
      </c>
      <c r="DK85" s="21" t="str">
        <f>IF(CY85=0,"",INDEX(nTP_Source,CY85))</f>
        <v>tto_calc_test_vectors_v1.1.json V08</v>
      </c>
      <c r="DL85" s="22">
        <f t="shared" si="156"/>
        <v>1</v>
      </c>
      <c r="DM85" s="21" t="str">
        <f t="shared" si="157"/>
        <v/>
      </c>
      <c r="DN85" s="21" t="str">
        <f t="shared" si="158"/>
        <v/>
      </c>
      <c r="DO85" s="21" t="str">
        <f t="shared" si="159"/>
        <v/>
      </c>
      <c r="DP85" s="21" t="str">
        <f t="shared" si="160"/>
        <v/>
      </c>
      <c r="DQ85" s="21" t="str">
        <f t="shared" si="161"/>
        <v>C2</v>
      </c>
      <c r="DR85" s="22">
        <f>IF(OR(DQ85="",I85=""),0,IF(ISNA(MATCH(I85,nLIST_Mode,0)),1,IF(AND(I85="C1",DQ85&lt;&gt;"C1"),1,IF(AND(I85="C2",DQ85="C4"),1,0))))</f>
        <v>0</v>
      </c>
      <c r="DS85" s="21" t="str">
        <f t="shared" si="162"/>
        <v>C2</v>
      </c>
      <c r="DT85" s="22">
        <f t="shared" si="163"/>
        <v>0</v>
      </c>
      <c r="DU85" s="21" t="str">
        <f>IF(DT85=0,"",IF(COUNTIFS(nTP_Case_Key,AX85,nTP_Record_Type,"MILESTONE:INTERVENTION",nTP_Err,"E_INVALID_DATE")&gt;0,"; E_INVALID_DATE","")&amp;IF(COUNTIFS(nTP_Case_Key,AX85,nTP_Record_Type,"MILESTONE:INTERVENTION",nTP_Err,"E_REVERSED_BOUNDS")&gt;0,"; E_REVERSED_BOUNDS","")&amp;IF(COUNTIFS(nTP_Case_Key,AX85,nTP_Record_Type,"MILESTONE:INTERVENTION",nTP_Err,"E_MISSING_INPUT")&gt;0,"; E_MISSING_INPUT","")&amp;IF(COUNTIFS(nTP_Case_Key,AX85,nTP_Record_Type,"MILESTONE:INTERVENTION",nTP_Err,"E_INVALID_UNIT")&gt;0,"; E_INVALID_UNIT",""))</f>
        <v/>
      </c>
      <c r="DV85" s="22">
        <f>IF(DT85=0,0,SUMPRODUCT((nMS_CaseKey=AX85)*(nMS_Type="INTERVENTION")*nMS_Undated))</f>
        <v>0</v>
      </c>
      <c r="DW85" s="21" t="str">
        <f t="shared" si="164"/>
        <v/>
      </c>
      <c r="DX85" s="21" t="str">
        <f t="shared" si="165"/>
        <v/>
      </c>
      <c r="DY85" s="22">
        <f t="shared" si="166"/>
        <v>1</v>
      </c>
      <c r="DZ85" s="21" t="str">
        <f t="shared" si="167"/>
        <v/>
      </c>
      <c r="EA85" s="21">
        <f t="shared" si="168"/>
        <v>44</v>
      </c>
      <c r="EB85" s="21" t="str">
        <f t="shared" si="169"/>
        <v/>
      </c>
      <c r="EC85" s="21" t="str">
        <f t="shared" si="170"/>
        <v/>
      </c>
      <c r="ED85" s="22">
        <f t="shared" si="171"/>
        <v>0</v>
      </c>
      <c r="EE85" s="22">
        <f t="shared" si="172"/>
        <v>0</v>
      </c>
      <c r="EF85" s="21" t="str">
        <f>IF(ED85=0,"",IF(OR(NOT(ISNUMBER(L85)),NOT(ISNUMBER(M85))),"I_APPROXIMATE_NOT_COMPARED",IF(AND(N85&lt;&gt;"",ISNA(MATCH(N85,nLIST_ReportedUnit,0))),"E_INVALID_UNIT",IF(N85="","E_MISSING_INPUT",IF(L85&gt;M85,"E_REVERSED_BOUNDS",IF(OR(N85="weeks",N85="months",N85="years"),"I_APPROXIMATE_NOT_COMPARED",IF(DX85&lt;&gt;"","",IF(EE85=0,"I_APPROXIMATE_NOT_COMPARED",IF(AND(L85*EE85&lt;=IF(DS85="C4",EC85,IF(DS85="C1",DZ85,EA85)),M85*EE85&gt;=IF(DS85="C4",EB85,IF(DS85="C1",DZ85,EA85))),"OVERLAP","W_REPORTED_TIMING_CONFLICT")))))))))</f>
        <v/>
      </c>
      <c r="EG85" s="21" t="str">
        <f t="shared" si="173"/>
        <v/>
      </c>
      <c r="EH85" s="21" t="str">
        <f t="shared" si="174"/>
        <v/>
      </c>
      <c r="EI85" s="22">
        <f t="shared" si="175"/>
        <v>1</v>
      </c>
      <c r="EJ85" s="22">
        <f t="shared" si="176"/>
        <v>0</v>
      </c>
      <c r="EK85" s="22">
        <f t="shared" si="177"/>
        <v>0</v>
      </c>
      <c r="EL85" s="28" t="str">
        <f t="shared" si="178"/>
        <v/>
      </c>
      <c r="EM85" s="28" t="str">
        <f t="shared" si="179"/>
        <v/>
      </c>
      <c r="EN85" s="21" t="str">
        <f t="shared" si="180"/>
        <v/>
      </c>
      <c r="EO85" s="22">
        <f>IF(OR(DT85=0,DX85&lt;&gt;""),0,SUMPRODUCT((nTP_Case_Key=AX85)*(nTP_Record_Type="MILESTONE:INTERVENTION")*(nTP_Err="")*(nTP_HT*DD85*BN85*(nTP_OK*DE85*(nTP_UTC_n&gt;=N(DG85))+(1-nTP_OK*DE85)*(nTP_Loc_n&gt;=N(DF85)))*(nTP_OK*BO85*(nTP_UTC_n&lt;=N(BQ85))+(1-nTP_OK*BO85)*(nTP_Loc_n&lt;=N(BP85)))+(1-nTP_HT*DD85*BN85)*(nTP_Hi_n&gt;=N(DH85))*(nTP_Lo_n&lt;=N(BS85)))))</f>
        <v>0</v>
      </c>
      <c r="EP85" s="22">
        <f>IF(OR(DT85=0,DX85&lt;&gt;""),0,SUMPRODUCT((nTP_Case_Key=AX85)*(nTP_Role="treatment of the event")*((nTP_Record_Type="EXPOSURE_START")+(nTP_Record_Type="ADMINISTRATION"))*(nTP_Err="")*(nTP_HT*DD85*BN85*(nTP_OK*DE85*(nTP_UTC_n&gt;=N(DG85))+(1-nTP_OK*DE85)*(nTP_Loc_n&gt;=N(DF85)))*(nTP_OK*BO85*(nTP_UTC_n&lt;=N(BQ85))+(1-nTP_OK*BO85)*(nTP_Loc_n&lt;=N(BP85)))+(1-nTP_HT*DD85*BN85)*(nTP_Hi_n&gt;=N(DH85))*(nTP_Lo_n&lt;=N(BS85)))))</f>
        <v>0</v>
      </c>
      <c r="EQ85" s="22">
        <f>IF(EO85&lt;1,0,IFERROR(_xlfn.AGGREGATE(15,6,nTP_RowN/((nTP_Case_Key=AX85)*(nTP_Record_Type="MILESTONE:INTERVENTION")*(nTP_Err="")*(nTP_HT*DD85*BN85*(nTP_OK*DE85*(nTP_UTC_n&gt;=N(DG85))+(1-nTP_OK*DE85)*(nTP_Loc_n&gt;=N(DF85)))*(nTP_OK*BO85*(nTP_UTC_n&lt;=N(BQ85))+(1-nTP_OK*BO85)*(nTP_Loc_n&lt;=N(BP85)))+(1-nTP_HT*DD85*BN85)*(nTP_Hi_n&gt;=N(DH85))*(nTP_Lo_n&lt;=N(BS85)))),1),0))</f>
        <v>0</v>
      </c>
      <c r="ER85" s="22">
        <f>IF(EO85&lt;2,0,IFERROR(_xlfn.AGGREGATE(15,6,nTP_RowN/((nTP_Case_Key=AX85)*(nTP_Record_Type="MILESTONE:INTERVENTION")*(nTP_Err="")*(nTP_HT*DD85*BN85*(nTP_OK*DE85*(nTP_UTC_n&gt;=N(DG85))+(1-nTP_OK*DE85)*(nTP_Loc_n&gt;=N(DF85)))*(nTP_OK*BO85*(nTP_UTC_n&lt;=N(BQ85))+(1-nTP_OK*BO85)*(nTP_Loc_n&lt;=N(BP85)))+(1-nTP_HT*DD85*BN85)*(nTP_Hi_n&gt;=N(DH85))*(nTP_Lo_n&lt;=N(BS85)))),2),0))</f>
        <v>0</v>
      </c>
      <c r="ES85" s="22">
        <f>IF(EO85&lt;3,0,IFERROR(_xlfn.AGGREGATE(15,6,nTP_RowN/((nTP_Case_Key=AX85)*(nTP_Record_Type="MILESTONE:INTERVENTION")*(nTP_Err="")*(nTP_HT*DD85*BN85*(nTP_OK*DE85*(nTP_UTC_n&gt;=N(DG85))+(1-nTP_OK*DE85)*(nTP_Loc_n&gt;=N(DF85)))*(nTP_OK*BO85*(nTP_UTC_n&lt;=N(BQ85))+(1-nTP_OK*BO85)*(nTP_Loc_n&lt;=N(BP85)))+(1-nTP_HT*DD85*BN85)*(nTP_Hi_n&gt;=N(DH85))*(nTP_Lo_n&lt;=N(BS85)))),3),0))</f>
        <v>0</v>
      </c>
      <c r="ET85" s="22">
        <f>IF(EP85&lt;1,0,IFERROR(_xlfn.AGGREGATE(15,6,nTP_RowN/((nTP_Case_Key=AX85)*(nTP_Role="treatment of the event")*((nTP_Record_Type="EXPOSURE_START")+(nTP_Record_Type="ADMINISTRATION"))*(nTP_Err="")*(nTP_HT*DD85*BN85*(nTP_OK*DE85*(nTP_UTC_n&gt;=N(DG85))+(1-nTP_OK*DE85)*(nTP_Loc_n&gt;=N(DF85)))*(nTP_OK*BO85*(nTP_UTC_n&lt;=N(BQ85))+(1-nTP_OK*BO85)*(nTP_Loc_n&lt;=N(BP85)))+(1-nTP_HT*DD85*BN85)*(nTP_Hi_n&gt;=N(DH85))*(nTP_Lo_n&lt;=N(BS85)))),1),0))</f>
        <v>0</v>
      </c>
      <c r="EU85" s="22">
        <f>IF(EP85&lt;2,0,IFERROR(_xlfn.AGGREGATE(15,6,nTP_RowN/((nTP_Case_Key=AX85)*(nTP_Role="treatment of the event")*((nTP_Record_Type="EXPOSURE_START")+(nTP_Record_Type="ADMINISTRATION"))*(nTP_Err="")*(nTP_HT*DD85*BN85*(nTP_OK*DE85*(nTP_UTC_n&gt;=N(DG85))+(1-nTP_OK*DE85)*(nTP_Loc_n&gt;=N(DF85)))*(nTP_OK*BO85*(nTP_UTC_n&lt;=N(BQ85))+(1-nTP_OK*BO85)*(nTP_Loc_n&lt;=N(BP85)))+(1-nTP_HT*DD85*BN85)*(nTP_Hi_n&gt;=N(DH85))*(nTP_Lo_n&lt;=N(BS85)))),2),0))</f>
        <v>0</v>
      </c>
      <c r="EV85" s="22">
        <f>IF(EP85&lt;3,0,IFERROR(_xlfn.AGGREGATE(15,6,nTP_RowN/((nTP_Case_Key=AX85)*(nTP_Role="treatment of the event")*((nTP_Record_Type="EXPOSURE_START")+(nTP_Record_Type="ADMINISTRATION"))*(nTP_Err="")*(nTP_HT*DD85*BN85*(nTP_OK*DE85*(nTP_UTC_n&gt;=N(DG85))+(1-nTP_OK*DE85)*(nTP_Loc_n&gt;=N(DF85)))*(nTP_OK*BO85*(nTP_UTC_n&lt;=N(BQ85))+(1-nTP_OK*BO85)*(nTP_Loc_n&lt;=N(BP85)))+(1-nTP_HT*DD85*BN85)*(nTP_Hi_n&gt;=N(DH85))*(nTP_Lo_n&lt;=N(BS85)))),3),0))</f>
        <v>0</v>
      </c>
      <c r="EW85" s="22">
        <f>IF(CE85&lt;1,0,IFERROR(_xlfn.AGGREGATE(15,6,nTP_RowN/((nTP_CandKey=BX85)*(nTP_Err="")*(1-nTP_Exact)*((nTP_HT*BN85*((nTP_OK*BO85*(nTP_UTC_n-N(BQ85))+(1-nTP_OK*BO85)*(nTP_Loc_n-N(BP85)))&lt;=0)+(1-nTP_HT*BN85)*(nTP_Hi_n&lt;N(BR85)))+((1-nTP_HT*BN85)*(nTP_Lo_n=nTP_Hi_n)*(nTP_Lo_n=N(BR85))*(N(BR85)=N(BS85))))),1),0))</f>
        <v>0</v>
      </c>
      <c r="EX85" s="22">
        <f>IF(CE85&lt;2,0,IFERROR(_xlfn.AGGREGATE(15,6,nTP_RowN/((nTP_CandKey=BX85)*(nTP_Err="")*(1-nTP_Exact)*((nTP_HT*BN85*((nTP_OK*BO85*(nTP_UTC_n-N(BQ85))+(1-nTP_OK*BO85)*(nTP_Loc_n-N(BP85)))&lt;=0)+(1-nTP_HT*BN85)*(nTP_Hi_n&lt;N(BR85)))+((1-nTP_HT*BN85)*(nTP_Lo_n=nTP_Hi_n)*(nTP_Lo_n=N(BR85))*(N(BR85)=N(BS85))))),2),0))</f>
        <v>0</v>
      </c>
      <c r="EY85" s="22">
        <f>IF(CE85&lt;3,0,IFERROR(_xlfn.AGGREGATE(15,6,nTP_RowN/((nTP_CandKey=BX85)*(nTP_Err="")*(1-nTP_Exact)*((nTP_HT*BN85*((nTP_OK*BO85*(nTP_UTC_n-N(BQ85))+(1-nTP_OK*BO85)*(nTP_Loc_n-N(BP85)))&lt;=0)+(1-nTP_HT*BN85)*(nTP_Hi_n&lt;N(BR85)))+((1-nTP_HT*BN85)*(nTP_Lo_n=nTP_Hi_n)*(nTP_Lo_n=N(BR85))*(N(BR85)=N(BS85))))),3),0))</f>
        <v>0</v>
      </c>
      <c r="EZ85" s="21" t="str">
        <f>IF(EO85=0,"",MID(IF(EQ85&gt;0,"; "&amp;INDEX(nTP_Record_ID,EQ85)&amp;IF(INDEX(nTP_Label,EQ85)="",""," ("&amp;INDEX(nTP_Label,EQ85)&amp;")"),"")&amp;IF(ER85&gt;0,"; "&amp;INDEX(nTP_Record_ID,ER85)&amp;IF(INDEX(nTP_Label,ER85)="",""," ("&amp;INDEX(nTP_Label,ER85)&amp;")"),"")&amp;IF(ES85&gt;0,"; "&amp;INDEX(nTP_Record_ID,ES85)&amp;IF(INDEX(nTP_Label,ES85)="",""," ("&amp;INDEX(nTP_Label,ES85)&amp;")"),"")&amp;IF(EO85&gt;3,"; and "&amp;(EO85-3)&amp;" more",""),3,999))</f>
        <v/>
      </c>
      <c r="FA85" s="21" t="str">
        <f>IF(EO85=0,"",MID(IF(EQ85&gt;0,"; "&amp;INDEX(nTP_Record_ID,EQ85),"")&amp;IF(ER85&gt;0,"; "&amp;INDEX(nTP_Record_ID,ER85),"")&amp;IF(ES85&gt;0,"; "&amp;INDEX(nTP_Record_ID,ES85),"")&amp;IF(EO85&gt;3,"; and "&amp;(EO85-3)&amp;" more",""),3,999))</f>
        <v/>
      </c>
      <c r="FB85" s="21" t="str">
        <f>IF(EP85=0,"",MID(IF(ET85&gt;0,"; "&amp;INDEX(nTP_Record_ID,ET85)&amp;IF(INDEX(nTP_Label,ET85)="",""," ("&amp;INDEX(nTP_Label,ET85)&amp;")"),"")&amp;IF(EU85&gt;0,"; "&amp;INDEX(nTP_Record_ID,EU85)&amp;IF(INDEX(nTP_Label,EU85)="",""," ("&amp;INDEX(nTP_Label,EU85)&amp;")"),"")&amp;IF(EV85&gt;0,"; "&amp;INDEX(nTP_Record_ID,EV85)&amp;IF(INDEX(nTP_Label,EV85)="",""," ("&amp;INDEX(nTP_Label,EV85)&amp;")"),"")&amp;IF(EP85&gt;3,"; and "&amp;(EP85-3)&amp;" more",""),3,999))</f>
        <v/>
      </c>
      <c r="FC85" s="21" t="str">
        <f>IF(CE85=0,"",MID(IF(EW85&gt;0,"; "&amp;INDEX(nTP_Record_ID,EW85),"")&amp;IF(EX85&gt;0,"; "&amp;INDEX(nTP_Record_ID,EX85),"")&amp;IF(EY85&gt;0,"; "&amp;INDEX(nTP_Record_ID,EY85),"")&amp;IF(CE85&gt;3,"; and "&amp;(CE85-3)&amp;" more",""),3,999))</f>
        <v/>
      </c>
      <c r="FD85" s="22">
        <f t="shared" si="181"/>
        <v>0</v>
      </c>
      <c r="FE85" s="22">
        <f t="shared" si="182"/>
        <v>0</v>
      </c>
      <c r="FF85" s="22">
        <f t="shared" si="183"/>
        <v>0</v>
      </c>
      <c r="FG85" s="22">
        <f t="shared" si="184"/>
        <v>0</v>
      </c>
      <c r="FH85" s="22">
        <f t="shared" si="185"/>
        <v>0</v>
      </c>
      <c r="FI85" s="22">
        <f t="shared" si="186"/>
        <v>0</v>
      </c>
      <c r="FJ85" s="22">
        <f t="shared" si="187"/>
        <v>0</v>
      </c>
      <c r="FK85" s="22">
        <f t="shared" si="188"/>
        <v>0</v>
      </c>
    </row>
    <row r="86" spans="1:167" x14ac:dyDescent="0.2">
      <c r="A86" s="9" t="s">
        <v>1183</v>
      </c>
      <c r="B86" s="9" t="s">
        <v>323</v>
      </c>
      <c r="C86" s="11">
        <v>1</v>
      </c>
      <c r="D86" s="9" t="s">
        <v>894</v>
      </c>
      <c r="E86" s="16" t="s">
        <v>54</v>
      </c>
      <c r="F86" s="9"/>
      <c r="G86" s="9" t="s">
        <v>1182</v>
      </c>
      <c r="H86" s="9" t="s">
        <v>1181</v>
      </c>
      <c r="I86" s="16" t="s">
        <v>60</v>
      </c>
      <c r="J86" s="16"/>
      <c r="K86" s="9"/>
      <c r="L86" s="16"/>
      <c r="M86" s="16"/>
      <c r="N86" s="16"/>
      <c r="O86" s="9"/>
      <c r="P86" s="14"/>
      <c r="Q86" s="14"/>
      <c r="R86" s="9"/>
      <c r="S86" s="9"/>
      <c r="T86" s="21" t="str">
        <f t="shared" si="126"/>
        <v>4 calendar days</v>
      </c>
      <c r="U86" s="21" t="str">
        <f t="shared" si="127"/>
        <v>4 calendar days</v>
      </c>
      <c r="V86" s="21">
        <f t="shared" si="128"/>
        <v>4</v>
      </c>
      <c r="W86" s="21" t="str">
        <f t="shared" si="129"/>
        <v/>
      </c>
      <c r="X86" s="21" t="str">
        <f t="shared" si="130"/>
        <v/>
      </c>
      <c r="Y86" s="21" t="str">
        <f t="shared" si="131"/>
        <v>calendar days</v>
      </c>
      <c r="Z86" s="21" t="str">
        <f t="shared" si="132"/>
        <v>C2</v>
      </c>
      <c r="AA86" s="21" t="str">
        <f t="shared" si="133"/>
        <v>AFTER</v>
      </c>
      <c r="AB86" s="21" t="str">
        <f t="shared" si="134"/>
        <v/>
      </c>
      <c r="AC86" s="21" t="str">
        <f t="shared" si="135"/>
        <v/>
      </c>
      <c r="AD86" s="21" t="str">
        <f>IF(AW86=1,"",MID(IF(ISNUMBER(SEARCH("E_INVALID_DATE",EG86))," | E_INVALID_DATE: "&amp;SUBSTITUTE(IFERROR(INDEX(nMSG_Text,MATCH("E_INVALID_DATE",nMSG_Code,0)),""),"[input]",""),"")&amp;IF(ISNUMBER(SEARCH("E_REVERSED_BOUNDS",EG86))," | E_REVERSED_BOUNDS: "&amp;SUBSTITUTE(IFERROR(INDEX(nMSG_Text,MATCH("E_REVERSED_BOUNDS",nMSG_Code,0)),""),"[input]",""),"")&amp;IF(ISNUMBER(SEARCH("E_DUPLICATE_ID",EG86))," | E_DUPLICATE_ID: "&amp;SUBSTITUTE(IFERROR(INDEX(nMSG_Text,MATCH("E_DUPLICATE_ID",nMSG_Code,0)),""),"[input]",""),"")&amp;IF(ISNUMBER(SEARCH("E_MISSING_LINK",EG86))," | E_MISSING_LINK: "&amp;SUBSTITUTE(IFERROR(INDEX(nMSG_Text,MATCH("E_MISSING_LINK",nMSG_Code,0)),""),"[input]",""),"")&amp;IF(ISNUMBER(SEARCH("E_MISSING_INPUT",EG86))," | E_MISSING_INPUT: "&amp;SUBSTITUTE(IFERROR(INDEX(nMSG_Text,MATCH("E_MISSING_INPUT",nMSG_Code,0)),""),"[input]",IF(EH86="","an input",EH86)),"")&amp;IF(ISNUMBER(SEARCH("E_INVALID_UNIT",EG86))," | E_INVALID_UNIT: "&amp;SUBSTITUTE(IFERROR(INDEX(nMSG_Text,MATCH("E_INVALID_UNIT",nMSG_Code,0)),""),"[input]",""),"")&amp;IF(FD86=1," | W_TZ_UNKNOWN: "&amp;SUBSTITUTE(IFERROR(INDEX(nMSG_Text,MATCH("W_TZ_UNKNOWN",nMSG_Code,0)),""),"[input]",""),"")&amp;IF(FE86=1," | W_SAME_DATE_ORDER_UNKNOWN: "&amp;SUBSTITUTE(IFERROR(INDEX(nMSG_Text,MATCH("W_SAME_DATE_ORDER_UNKNOWN",nMSG_Code,0)),""),"[input]",""),"")&amp;IF(FF86=1," | W_SEQUENCE_UNCERTAIN: "&amp;SUBSTITUTE(IFERROR(INDEX(nMSG_Text,MATCH("W_SEQUENCE_UNCERTAIN",nMSG_Code,0)),""),"[input]",""),"")&amp;IF(FG86=1," | W_ADMIN_SAME_DATE_AS_ONSET: "&amp;SUBSTITUTE(IFERROR(INDEX(nMSG_Text,MATCH("W_ADMIN_SAME_DATE_AS_ONSET",nMSG_Code,0)),""),"[input]",""),"")&amp;IF(FH86=1," | W_REPORTED_TIMING_CONFLICT: "&amp;SUBSTITUTE(IFERROR(INDEX(nMSG_Text,MATCH("W_REPORTED_TIMING_CONFLICT",nMSG_Code,0)),""),"[input]",""),"")&amp;IF(FI86=1," | W_INTERVENTION_BEFORE_RECOVERY: "&amp;SUBSTITUTE(IFERROR(INDEX(nMSG_Text,MATCH("W_INTERVENTION_BEFORE_RECOVERY",nMSG_Code,0)),""),"[input]",""),"")&amp;IF(FJ86=1," | I_TREATMENT_DAY_UNDEFINED: "&amp;SUBSTITUTE(IFERROR(INDEX(nMSG_Text,MATCH("I_TREATMENT_DAY_UNDEFINED",nMSG_Code,0)),""),"[input]",""),"")&amp;IF(FK86=1," | I_APPROXIMATE_NOT_COMPARED: "&amp;SUBSTITUTE(IFERROR(INDEX(nMSG_Text,MATCH("I_APPROXIMATE_NOT_COMPARED",nMSG_Code,0)),""),"[input]",""),""),4,9999))</f>
        <v/>
      </c>
      <c r="AE86" s="21" t="str">
        <f t="shared" si="136"/>
        <v/>
      </c>
      <c r="AF86" s="21" t="str">
        <f t="shared" si="137"/>
        <v/>
      </c>
      <c r="AG86" s="21" t="str">
        <f>IF(EN86="","",MID(IF(ISNUMBER(SEARCH("E_REVERSED_BOUNDS",EN86))," | E_REVERSED_BOUNDS: "&amp;SUBSTITUTE(IFERROR(INDEX(nMSG_Text,MATCH("E_REVERSED_BOUNDS",nMSG_Code,0)),""),"[input]",""),"")&amp;IF(ISNUMBER(SEARCH("E_MISSING_INPUT",EN86))," | E_MISSING_INPUT: "&amp;SUBSTITUTE(IFERROR(INDEX(nMSG_Text,MATCH("E_MISSING_INPUT",nMSG_Code,0)),""),"[input]",IF("the source of the constraint"="","an input","the source of the constraint")),""),4,999))</f>
        <v/>
      </c>
      <c r="AH86" s="21" t="str">
        <f t="shared" si="138"/>
        <v/>
      </c>
      <c r="AI86" s="21" t="str">
        <f t="shared" si="139"/>
        <v>EX1/RESTART → EV1/ONSET</v>
      </c>
      <c r="AJ86" s="21" t="str">
        <f t="shared" si="140"/>
        <v>EX1/RESTART</v>
      </c>
      <c r="AK86" s="21" t="str">
        <f t="shared" si="141"/>
        <v>EV1/ONSET</v>
      </c>
      <c r="AL86" s="21" t="str">
        <f>IF(CY86=0,"",INDEX(nTP_ISO,CY86))</f>
        <v>2026-02-10</v>
      </c>
      <c r="AM86" s="21" t="str">
        <f>IF(CY86=0,"",INDEX(nTP_Display,CY86))</f>
        <v>10 February 2026</v>
      </c>
      <c r="AN86" s="21" t="str">
        <f>IF(BI86=0,"",INDEX(nTP_ISO,BI86))</f>
        <v>2026-02-14</v>
      </c>
      <c r="AO86" s="21" t="str">
        <f>IF(BI86=0,"",INDEX(nTP_Display,BI86))</f>
        <v>14 February 2026</v>
      </c>
      <c r="AP86" s="21" t="str">
        <f>IF(BA86=0,"",INDEX(nLNK_Exposure_Episode_ID,BA86)&amp;"")</f>
        <v>EX1</v>
      </c>
      <c r="AQ86" s="21" t="str">
        <f>IF(BA86=0,"",INDEX(nLNK_Event_Episode_ID,BA86)&amp;"")</f>
        <v>EV1</v>
      </c>
      <c r="AR86" s="21" t="str">
        <f t="shared" si="142"/>
        <v>Anchor (RESTART) EX1/RESTART: 2026-02-10 [day; case measurement; original: "restart"; source: tto_calc_test_vectors_v1.1.json V08] | End point EV1/ONSET: 2026-02-14 [day; case measurement; original: "2026-02-14"; source: tto_calc_test_vectors_v1.1.json V08]</v>
      </c>
      <c r="AS86" s="21" t="str">
        <f>IF(EI86=0,"",MID(IF(DT86=1," | Recovery interval (C7) computed with "&amp;DS86&amp;".","")&amp;IF(BG86=1," | Anchor selected under C5 (CALC-SPEC 1.1): latest administration with an exact date or time at or before "&amp;IF(BH86=1,"onset","the end point")&amp;" ("&amp;AJ86&amp;"), ordered in UTC when offsets are known; later administrations are never selected.","")&amp;IF(AND(BG86=1,CE86&gt;0)," | Partial-date administrations wholly before the selected one were not candidates: "&amp;FC86&amp;".","")&amp;IF(BV86&lt;&gt;""," | "&amp;BV86,"")&amp;IF(AND(DS86="C2",EA86=0,DZ86&lt;&gt;"")," | Same calendar date; both times are known, so C1 decides the order ("&amp;AA86&amp;").","")&amp;IF(AND(DS86="C2",DD86*BN86=1,DT86=0)," | Calendar-date difference from the recorded local dates; it is never described as elapsed days.","")&amp;IF(AND(DS86="C4",DT86=0)," | Bounds are treated as independent; no single date is imputed from them.","")&amp;IF(EJ86=1," | Treatment day under the inclusive convention (C3); never written to E2B fields automatically.","")&amp;IF(AND(DS86="C4",DT86=0,EK86=0)," | No constraint applied.","")&amp;IF(AND(DS86="C4",EK86=1)," | Constraint applied to the anchor bounds: "&amp;IF(ISNUMBER(P86),"not before "&amp;DAY(P86)&amp;" "&amp;INDEX(nLIST_Months,MONTH(P86))&amp;" "&amp;YEAR(P86),"")&amp;IF(AND(ISNUMBER(P86),ISNUMBER(Q86)),", ","")&amp;IF(ISNUMBER(Q86),"not after "&amp;DAY(Q86)&amp;" "&amp;INDEX(nLIST_Months,MONTH(Q86))&amp;" "&amp;YEAR(Q86),"")&amp;". Source: "&amp;IF(R86="","not recorded",R86)&amp;IF(EN86="",". Constrained result shown beside the unconstrained one.",". Constrained result blocked ("&amp;EN86&amp;")."),"")&amp;IF(DT86=1,IF(EO86&gt;0," | Intervention recorded between cessation and recovery (ends included): "&amp;EZ86&amp;"."," | No intervention is recorded between cessation and recovery; absence of a record is not evidence that none was given."),"")&amp;IF(AND(DT86=1,DV86&gt;0)," | Intervention recorded without a date, so whether it came before recovery is unknown: "&amp;INDEX(nMS_Milestone_ID,MATCH(1,INDEX((nMS_CaseKey=AX86)*(nMS_Type="INTERVENTION")*nMS_Undated,0),0))&amp;IF(DV86&gt;1," and "&amp;(DV86-1)&amp;" more","")&amp;".","")&amp;IF(AND(DT86=1,EP86&gt;0)," | Not counted as interventions, because they are recorded as exposures rather than as intervention milestones (nothing is inferred): "&amp;FB86&amp;". If treatment was given, record it as an intervention milestone.",""),4,9999))</f>
        <v/>
      </c>
      <c r="AT86" s="21" t="str">
        <f t="shared" si="143"/>
        <v>The interval describes the sequence and spacing of recorded times; it is not evidence of causation.</v>
      </c>
      <c r="AU86" s="21" t="str">
        <f t="shared" si="144"/>
        <v/>
      </c>
      <c r="AV86" s="21" t="str">
        <f t="shared" si="145"/>
        <v>CALC-SPEC 1.1</v>
      </c>
      <c r="AW86" s="22">
        <f t="shared" si="146"/>
        <v>0</v>
      </c>
      <c r="AX86" s="21" t="str">
        <f t="shared" si="147"/>
        <v>VEC-V08|1</v>
      </c>
      <c r="AY86" s="21" t="str">
        <f t="shared" si="148"/>
        <v>VEC-V08|1|I2</v>
      </c>
      <c r="AZ86" s="22">
        <f>IF(AY86="",0,COUNTIF(nINT_Key,AY86))</f>
        <v>1</v>
      </c>
      <c r="BA86" s="22">
        <f>IF(D86="",0,IFERROR(MATCH(AX86&amp;"|"&amp;D86,nLNK_Key,0),0))</f>
        <v>39</v>
      </c>
      <c r="BB86" s="22">
        <f>IF(BA86=0,1,INDEX(nLNK_Exp_Found,BA86))</f>
        <v>1</v>
      </c>
      <c r="BC86" s="22">
        <f>IF(BA86=0,1,INDEX(nLNK_Evt_Found,BA86))</f>
        <v>1</v>
      </c>
      <c r="BD86" s="22">
        <f>IF(AP86="",0,COUNTIF(nEXP_Key,AX86&amp;"|"&amp;AP86))</f>
        <v>1</v>
      </c>
      <c r="BE86" s="22">
        <f>IF(AQ86="",0,COUNTIF(nEVT_Key,AX86&amp;"|"&amp;AQ86))</f>
        <v>1</v>
      </c>
      <c r="BF86" s="22">
        <f>IF(ISNA(MATCH(E86,nLIST_AnchorType,0)),0,1)</f>
        <v>1</v>
      </c>
      <c r="BG86" s="22">
        <f t="shared" si="149"/>
        <v>0</v>
      </c>
      <c r="BH86" s="22">
        <f t="shared" si="150"/>
        <v>1</v>
      </c>
      <c r="BI86" s="22">
        <f>IF(OR(AW86=1,AK86=""),0,IFERROR(MATCH(AX86&amp;"|"&amp;AK86,nTP_Key,0),0))</f>
        <v>323</v>
      </c>
      <c r="BJ86" s="21">
        <f>IF(BI86=0,0,INDEX(nTP_Dup,BI86))</f>
        <v>1</v>
      </c>
      <c r="BK86" s="21" t="str">
        <f>IF(BI86=0,"",INDEX(nTP_Record_Type,BI86))</f>
        <v>EVENT_ONSET</v>
      </c>
      <c r="BL86" s="21" t="str">
        <f>IF(BI86=0,"",INDEX(nTP_Precision,BI86))</f>
        <v>DATE</v>
      </c>
      <c r="BM86" s="21" t="str">
        <f>IF(BI86=0,"",INDEX(nTP_Err,BI86))</f>
        <v/>
      </c>
      <c r="BN86" s="21">
        <f>IF(BI86=0,0,INDEX(nTP_HT,BI86))</f>
        <v>0</v>
      </c>
      <c r="BO86" s="21">
        <f>IF(BI86=0,0,INDEX(nTP_OK,BI86))</f>
        <v>0</v>
      </c>
      <c r="BP86" s="21" t="str">
        <f>IF(BI86=0,"",INDEX(nTP_Loc,BI86))</f>
        <v/>
      </c>
      <c r="BQ86" s="21" t="str">
        <f>IF(BI86=0,"",INDEX(nTP_UTC,BI86))</f>
        <v/>
      </c>
      <c r="BR86" s="21">
        <f>IF(BI86=0,"",INDEX(nTP_Lo,BI86))</f>
        <v>46067</v>
      </c>
      <c r="BS86" s="21">
        <f>IF(BI86=0,"",INDEX(nTP_Hi,BI86))</f>
        <v>46067</v>
      </c>
      <c r="BT86" s="21" t="str">
        <f>IF(BI86=0,"",INDEX(nTP_Original_Text,BI86))</f>
        <v>2026-02-14</v>
      </c>
      <c r="BU86" s="21" t="str">
        <f>IF(BI86=0,"",INDEX(nTP_Source,BI86))</f>
        <v>tto_calc_test_vectors_v1.1.json V08</v>
      </c>
      <c r="BV86" s="21" t="str">
        <f>IF(BI86=0,"",INDEX(nTP_Lab_Note,BI86))</f>
        <v/>
      </c>
      <c r="BW86" s="22">
        <f t="shared" si="151"/>
        <v>1</v>
      </c>
      <c r="BX86" s="21" t="str">
        <f t="shared" si="152"/>
        <v>VEC-V08|1|EX1</v>
      </c>
      <c r="BY86" s="22">
        <f>IF(BG86=0,0,COUNTIF(nTP_CandKey,BX86))</f>
        <v>0</v>
      </c>
      <c r="BZ86" s="22">
        <f>IF(BG86=0,0,COUNTIFS(nTP_CandKey,BX86,nTP_Err,""))</f>
        <v>0</v>
      </c>
      <c r="CA86" s="21" t="str">
        <f>IF(BY86=BZ86,"",IF(COUNTIFS(nTP_CandKey,BX86,nTP_Err,"E_INVALID_DATE")&gt;0,"; E_INVALID_DATE","")&amp;IF(COUNTIFS(nTP_CandKey,BX86,nTP_Err,"E_REVERSED_BOUNDS")&gt;0,"; E_REVERSED_BOUNDS","")&amp;IF(COUNTIFS(nTP_CandKey,BX86,nTP_Err,"E_MISSING_INPUT")&gt;0,"; E_MISSING_INPUT","")&amp;IF(COUNTIFS(nTP_CandKey,BX86,nTP_Err,"E_INVALID_UNIT")&gt;0,"; E_INVALID_UNIT",""))</f>
        <v/>
      </c>
      <c r="CB86" s="22">
        <f t="shared" si="153"/>
        <v>0</v>
      </c>
      <c r="CC86" s="22">
        <f>IF(CB86=0,0,SUMPRODUCT((nTP_CandKey=BX86)*(nTP_Err="")*(1-(nTP_HT*BN86*((nTP_OK*BO86*(nTP_UTC_n-N(BQ86))+(1-nTP_OK*BO86)*(nTP_Loc_n-N(BP86)))&lt;=0)+(1-nTP_HT*BN86)*(nTP_Hi_n&lt;N(BR86)))-(nTP_HT*BN86*((nTP_OK*BO86*(nTP_UTC_n-N(BQ86))+(1-nTP_OK*BO86)*(nTP_Loc_n-N(BP86)))&gt;0)+(1-nTP_HT*BN86)*(nTP_Lo_n&gt;N(BS86)))-((1-nTP_HT*BN86)*(nTP_Lo_n=nTP_Hi_n)*(nTP_Lo_n=N(BR86))*(N(BR86)=N(BS86))))))</f>
        <v>0</v>
      </c>
      <c r="CD86" s="22">
        <f>IF(CB86=0,0,SUMPRODUCT((nTP_CandKey=BX86)*nTP_Exact*((nTP_HT*BN86*((nTP_OK*BO86*(nTP_UTC_n-N(BQ86))+(1-nTP_OK*BO86)*(nTP_Loc_n-N(BP86)))&lt;=0)+(1-nTP_HT*BN86)*(nTP_Hi_n&lt;N(BR86)))+((1-nTP_HT*BN86)*(nTP_Lo_n=nTP_Hi_n)*(nTP_Lo_n=N(BR86))*(N(BR86)=N(BS86))))))</f>
        <v>0</v>
      </c>
      <c r="CE86" s="22">
        <f>IF(CB86=0,0,SUMPRODUCT((nTP_CandKey=BX86)*(nTP_Err="")*(1-nTP_Exact)*((nTP_HT*BN86*((nTP_OK*BO86*(nTP_UTC_n-N(BQ86))+(1-nTP_OK*BO86)*(nTP_Loc_n-N(BP86)))&lt;=0)+(1-nTP_HT*BN86)*(nTP_Hi_n&lt;N(BR86)))+((1-nTP_HT*BN86)*(nTP_Lo_n=nTP_Hi_n)*(nTP_Lo_n=N(BR86))*(N(BR86)=N(BS86))))))</f>
        <v>0</v>
      </c>
      <c r="CF86" s="22">
        <f>IF(CD86=0,0,SUMPRODUCT(MAX((nTP_CandKey=BX86)*nTP_Exact*((nTP_HT*BN86*((nTP_OK*BO86*(nTP_UTC_n-N(BQ86))+(1-nTP_OK*BO86)*(nTP_Loc_n-N(BP86)))&lt;=0)+(1-nTP_HT*BN86)*(nTP_Hi_n&lt;N(BR86)))+((1-nTP_HT*BN86)*(nTP_Lo_n=nTP_Hi_n)*(nTP_Lo_n=N(BR86))*(N(BR86)=N(BS86))))*nTP_Lo_n)))</f>
        <v>0</v>
      </c>
      <c r="CG86" s="22">
        <f>IF(CD86=0,0,SUMPRODUCT((nTP_CandKey=BX86)*nTP_Exact*((nTP_HT*BN86*((nTP_OK*BO86*(nTP_UTC_n-N(BQ86))+(1-nTP_OK*BO86)*(nTP_Loc_n-N(BP86)))&lt;=0)+(1-nTP_HT*BN86)*(nTP_Hi_n&lt;N(BR86)))+((1-nTP_HT*BN86)*(nTP_Lo_n=nTP_Hi_n)*(nTP_Lo_n=N(BR86))*(N(BR86)=N(BS86))))*(nTP_Lo_n=CF86)))</f>
        <v>0</v>
      </c>
      <c r="CH86" s="22">
        <f>IF(CD86=0,0,SUMPRODUCT((nTP_CandKey=BX86)*nTP_Exact*((nTP_HT*BN86*((nTP_OK*BO86*(nTP_UTC_n-N(BQ86))+(1-nTP_OK*BO86)*(nTP_Loc_n-N(BP86)))&lt;=0)+(1-nTP_HT*BN86)*(nTP_Hi_n&lt;N(BR86)))+((1-nTP_HT*BN86)*(nTP_Lo_n=nTP_Hi_n)*(nTP_Lo_n=N(BR86))*(N(BR86)=N(BS86))))*(1-nTP_HT)*(nTP_Lo_n=CF86)))</f>
        <v>0</v>
      </c>
      <c r="CI86" s="22">
        <f>IF(CD86=0,0,SUMPRODUCT(MAX((nTP_CandKey=BX86)*nTP_Exact*((nTP_HT*BN86*((nTP_OK*BO86*(nTP_UTC_n-N(BQ86))+(1-nTP_OK*BO86)*(nTP_Loc_n-N(BP86)))&lt;=0)+(1-nTP_HT*BN86)*(nTP_Hi_n&lt;N(BR86)))+((1-nTP_HT*BN86)*(nTP_Lo_n=nTP_Hi_n)*(nTP_Lo_n=N(BR86))*(N(BR86)=N(BS86))))*(1-nTP_HT)*nTP_Lo_n)))</f>
        <v>0</v>
      </c>
      <c r="CJ86" s="22">
        <f>IF(CD86=0,0,SUMPRODUCT(MAX((nTP_CandKey=BX86)*nTP_Exact*((nTP_HT*BN86*((nTP_OK*BO86*(nTP_UTC_n-N(BQ86))+(1-nTP_OK*BO86)*(nTP_Loc_n-N(BP86)))&lt;=0)+(1-nTP_HT*BN86)*(nTP_Hi_n&lt;N(BR86)))+((1-nTP_HT*BN86)*(nTP_Lo_n=nTP_Hi_n)*(nTP_Lo_n=N(BR86))*(N(BR86)=N(BS86))))*nTP_HT*nTP_OK*nTP_UTC_n)))</f>
        <v>0</v>
      </c>
      <c r="CK86" s="22">
        <f>IF(CJ86=0,0,SUMPRODUCT((nTP_CandKey=BX86)*nTP_Exact*((nTP_HT*BN86*((nTP_OK*BO86*(nTP_UTC_n-N(BQ86))+(1-nTP_OK*BO86)*(nTP_Loc_n-N(BP86)))&lt;=0)+(1-nTP_HT*BN86)*(nTP_Hi_n&lt;N(BR86)))+((1-nTP_HT*BN86)*(nTP_Lo_n=nTP_Hi_n)*(nTP_Lo_n=N(BR86))*(N(BR86)=N(BS86))))*nTP_HT*nTP_OK*(nTP_UTC_n=CJ86)))</f>
        <v>0</v>
      </c>
      <c r="CL86" s="22">
        <f>IF(CK86&lt;&gt;1,0,SUMPRODUCT((nTP_CandKey=BX86)*nTP_Exact*((nTP_HT*BN86*((nTP_OK*BO86*(nTP_UTC_n-N(BQ86))+(1-nTP_OK*BO86)*(nTP_Loc_n-N(BP86)))&lt;=0)+(1-nTP_HT*BN86)*(nTP_Hi_n&lt;N(BR86)))+((1-nTP_HT*BN86)*(nTP_Lo_n=nTP_Hi_n)*(nTP_Lo_n=N(BR86))*(N(BR86)=N(BS86))))*nTP_HT*nTP_OK*(nTP_UTC_n=CJ86)*nTP_Loc_n))</f>
        <v>0</v>
      </c>
      <c r="CM86" s="22">
        <f>IF(CK86&lt;&gt;1,0,SUMPRODUCT((nTP_CandKey=BX86)*nTP_Exact*((nTP_HT*BN86*((nTP_OK*BO86*(nTP_UTC_n-N(BQ86))+(1-nTP_OK*BO86)*(nTP_Loc_n-N(BP86)))&lt;=0)+(1-nTP_HT*BN86)*(nTP_Hi_n&lt;N(BR86)))+((1-nTP_HT*BN86)*(nTP_Lo_n=nTP_Hi_n)*(nTP_Lo_n=N(BR86))*(N(BR86)=N(BS86))))*nTP_HT*nTP_OK*(nTP_UTC_n=CJ86)*nTP_Lo_n))</f>
        <v>0</v>
      </c>
      <c r="CN86" s="22">
        <f>IF(CD86=0,0,SUMPRODUCT(MAX((nTP_CandKey=BX86)*nTP_Exact*((nTP_HT*BN86*((nTP_OK*BO86*(nTP_UTC_n-N(BQ86))+(1-nTP_OK*BO86)*(nTP_Loc_n-N(BP86)))&lt;=0)+(1-nTP_HT*BN86)*(nTP_Hi_n&lt;N(BR86)))+((1-nTP_HT*BN86)*(nTP_Lo_n=nTP_Hi_n)*(nTP_Lo_n=N(BR86))*(N(BR86)=N(BS86))))*nTP_HT*(1-nTP_OK)*nTP_Loc_n)))</f>
        <v>0</v>
      </c>
      <c r="CO86" s="22">
        <f>IF(CN86=0,0,SUMPRODUCT((nTP_CandKey=BX86)*nTP_Exact*((nTP_HT*BN86*((nTP_OK*BO86*(nTP_UTC_n-N(BQ86))+(1-nTP_OK*BO86)*(nTP_Loc_n-N(BP86)))&lt;=0)+(1-nTP_HT*BN86)*(nTP_Hi_n&lt;N(BR86)))+((1-nTP_HT*BN86)*(nTP_Lo_n=nTP_Hi_n)*(nTP_Lo_n=N(BR86))*(N(BR86)=N(BS86))))*nTP_HT*(1-nTP_OK)*(nTP_Loc_n=CN86)))</f>
        <v>0</v>
      </c>
      <c r="CP86" s="22">
        <f>IF(CO86&lt;&gt;1,0,SUMPRODUCT((nTP_CandKey=BX86)*nTP_Exact*((nTP_HT*BN86*((nTP_OK*BO86*(nTP_UTC_n-N(BQ86))+(1-nTP_OK*BO86)*(nTP_Loc_n-N(BP86)))&lt;=0)+(1-nTP_HT*BN86)*(nTP_Hi_n&lt;N(BR86)))+((1-nTP_HT*BN86)*(nTP_Lo_n=nTP_Hi_n)*(nTP_Lo_n=N(BR86))*(N(BR86)=N(BS86))))*nTP_HT*(1-nTP_OK)*(nTP_Loc_n=CN86)*nTP_Lo_n))</f>
        <v>0</v>
      </c>
      <c r="CQ86" s="22">
        <f>IF(CD86=0,0,SUMPRODUCT(MAX((nTP_CandKey=BX86)*nTP_Exact*((nTP_HT*BN86*((nTP_OK*BO86*(nTP_UTC_n-N(BQ86))+(1-nTP_OK*BO86)*(nTP_Loc_n-N(BP86)))&lt;=0)+(1-nTP_HT*BN86)*(nTP_Hi_n&lt;N(BR86)))+((1-nTP_HT*BN86)*(nTP_Lo_n=nTP_Hi_n)*(nTP_Lo_n=N(BR86))*(N(BR86)=N(BS86))))*nTP_HT*nTP_OK*nTP_Loc_n)))</f>
        <v>0</v>
      </c>
      <c r="CR86" s="22">
        <f t="shared" si="154"/>
        <v>0</v>
      </c>
      <c r="CS86" s="22">
        <f>IF(CR86=0,0,IF(CR86=1,MATCH(1,INDEX((nTP_CandKey=BX86)*nTP_Exact*((nTP_HT*BN86*((nTP_OK*BO86*(nTP_UTC_n-N(BQ86))+(1-nTP_OK*BO86)*(nTP_Loc_n-N(BP86)))&lt;=0)+(1-nTP_HT*BN86)*(nTP_Hi_n&lt;N(BR86)))+((1-nTP_HT*BN86)*(nTP_Lo_n=nTP_Hi_n)*(nTP_Lo_n=N(BR86))*(N(BR86)=N(BS86))))*(1-nTP_HT)*(nTP_Lo_n=CF86),0),0),IF(CR86=2,MATCH(1,INDEX((nTP_CandKey=BX86)*nTP_Exact*((nTP_HT*BN86*((nTP_OK*BO86*(nTP_UTC_n-N(BQ86))+(1-nTP_OK*BO86)*(nTP_Loc_n-N(BP86)))&lt;=0)+(1-nTP_HT*BN86)*(nTP_Hi_n&lt;N(BR86)))+((1-nTP_HT*BN86)*(nTP_Lo_n=nTP_Hi_n)*(nTP_Lo_n=N(BR86))*(N(BR86)=N(BS86))))*nTP_HT*nTP_OK*(nTP_UTC_n=CJ86),0),0),MATCH(1,INDEX((nTP_CandKey=BX86)*nTP_Exact*((nTP_HT*BN86*((nTP_OK*BO86*(nTP_UTC_n-N(BQ86))+(1-nTP_OK*BO86)*(nTP_Loc_n-N(BP86)))&lt;=0)+(1-nTP_HT*BN86)*(nTP_Hi_n&lt;N(BR86)))+((1-nTP_HT*BN86)*(nTP_Lo_n=nTP_Hi_n)*(nTP_Lo_n=N(BR86))*(N(BR86)=N(BS86))))*nTP_HT*(1-nTP_OK)*(nTP_Loc_n=CN86),0),0))))</f>
        <v>0</v>
      </c>
      <c r="CT86" s="22">
        <f>IF(CS86=0,0,INDEX(nTP_Lo_n,CS86))</f>
        <v>0</v>
      </c>
      <c r="CU86" s="22">
        <f>IF(CS86=0,0,SUMPRODUCT((nTP_CandKey=BX86)*(nTP_Err="")*(1-nTP_Exact)*((nTP_HT*BN86*((nTP_OK*BO86*(nTP_UTC_n-N(BQ86))+(1-nTP_OK*BO86)*(nTP_Loc_n-N(BP86)))&lt;=0)+(1-nTP_HT*BN86)*(nTP_Hi_n&lt;N(BR86)))+((1-nTP_HT*BN86)*(nTP_Lo_n=nTP_Hi_n)*(nTP_Lo_n=N(BR86))*(N(BR86)=N(BS86))))*(nTP_Hi_n&gt;=CT86)))</f>
        <v>0</v>
      </c>
      <c r="CV86" s="21" t="str">
        <f t="shared" si="155"/>
        <v/>
      </c>
      <c r="CW86" s="21" t="str">
        <f>IF(AND(BG86=1,CB86=1,CV86="",CS86&gt;0),INDEX(nTP_Record_ID,CS86)&amp;"","")</f>
        <v/>
      </c>
      <c r="CX86" s="21" t="str">
        <f>IF(OR(CV86="",BG86=0),"",IF(CV86="none","an administration record (last dose before onset)",IF(CV86="uncertain","the anchor record: "&amp;INDEX(nTP_Record_ID,MATCH(1,INDEX((nTP_CandKey=BX86)*(nTP_Err="")*(1-(nTP_HT*BN86*((nTP_OK*BO86*(nTP_UTC_n-N(BQ86))+(1-nTP_OK*BO86)*(nTP_Loc_n-N(BP86)))&lt;=0)+(1-nTP_HT*BN86)*(nTP_Hi_n&lt;N(BR86)))-(nTP_HT*BN86*((nTP_OK*BO86*(nTP_UTC_n-N(BQ86))+(1-nTP_OK*BO86)*(nTP_Loc_n-N(BP86)))&gt;0)+(1-nTP_HT*BN86)*(nTP_Lo_n&gt;N(BS86)))-((1-nTP_HT*BN86)*(nTP_Lo_n=nTP_Hi_n)*(nTP_Lo_n=N(BR86))*(N(BR86)=N(BS86)))),0),0))&amp;IF(CC86&gt;1," and "&amp;(CC86-1)&amp;" more","")&amp;" may fall before or after the end point, so the last dose cannot be identified from the recorded dates",IF(CV86="noneligible","the anchor record: no administration with an exact date is recorded at or before the end point",IF(CV86="tie","the anchor record: the order of the latest administrations cannot be told from the recorded dates and times","the anchor record: partial-date administration "&amp;INDEX(nTP_Record_ID,MATCH(1,INDEX((nTP_CandKey=BX86)*(nTP_Err="")*(1-nTP_Exact)*((nTP_HT*BN86*((nTP_OK*BO86*(nTP_UTC_n-N(BQ86))+(1-nTP_OK*BO86)*(nTP_Loc_n-N(BP86)))&lt;=0)+(1-nTP_HT*BN86)*(nTP_Hi_n&lt;N(BR86)))+((1-nTP_HT*BN86)*(nTP_Lo_n=nTP_Hi_n)*(nTP_Lo_n=N(BR86))*(N(BR86)=N(BS86))))*(nTP_Hi_n&gt;=CT86),0),0))&amp;" could be the last dose before the end point")))))</f>
        <v/>
      </c>
      <c r="CY86" s="22">
        <f>IF(OR(AW86=1,AJ86=""),0,IFERROR(MATCH(AX86&amp;"|"&amp;AJ86,nTP_Key,0),0))</f>
        <v>195</v>
      </c>
      <c r="CZ86" s="21">
        <f>IF(CY86=0,0,INDEX(nTP_Dup,CY86))</f>
        <v>1</v>
      </c>
      <c r="DA86" s="21" t="str">
        <f>IF(CY86=0,"",INDEX(nTP_Record_Type,CY86))</f>
        <v>EXPOSURE_RESTART</v>
      </c>
      <c r="DB86" s="21" t="str">
        <f>IF(CY86=0,"",INDEX(nTP_Precision,CY86))</f>
        <v>DATE</v>
      </c>
      <c r="DC86" s="21" t="str">
        <f>IF(CY86=0,"",INDEX(nTP_Err,CY86))</f>
        <v/>
      </c>
      <c r="DD86" s="21">
        <f>IF(CY86=0,0,INDEX(nTP_HT,CY86))</f>
        <v>0</v>
      </c>
      <c r="DE86" s="21">
        <f>IF(CY86=0,0,INDEX(nTP_OK,CY86))</f>
        <v>0</v>
      </c>
      <c r="DF86" s="21" t="str">
        <f>IF(CY86=0,"",INDEX(nTP_Loc,CY86))</f>
        <v/>
      </c>
      <c r="DG86" s="21" t="str">
        <f>IF(CY86=0,"",INDEX(nTP_UTC,CY86))</f>
        <v/>
      </c>
      <c r="DH86" s="21">
        <f>IF(CY86=0,"",INDEX(nTP_Lo,CY86))</f>
        <v>46063</v>
      </c>
      <c r="DI86" s="21">
        <f>IF(CY86=0,"",INDEX(nTP_Hi,CY86))</f>
        <v>46063</v>
      </c>
      <c r="DJ86" s="21" t="str">
        <f>IF(CY86=0,"",INDEX(nTP_Original_Text,CY86))</f>
        <v>restart</v>
      </c>
      <c r="DK86" s="21" t="str">
        <f>IF(CY86=0,"",INDEX(nTP_Source,CY86))</f>
        <v>tto_calc_test_vectors_v1.1.json V08</v>
      </c>
      <c r="DL86" s="22">
        <f t="shared" si="156"/>
        <v>1</v>
      </c>
      <c r="DM86" s="21" t="str">
        <f t="shared" si="157"/>
        <v/>
      </c>
      <c r="DN86" s="21" t="str">
        <f t="shared" si="158"/>
        <v/>
      </c>
      <c r="DO86" s="21" t="str">
        <f t="shared" si="159"/>
        <v/>
      </c>
      <c r="DP86" s="21" t="str">
        <f t="shared" si="160"/>
        <v/>
      </c>
      <c r="DQ86" s="21" t="str">
        <f t="shared" si="161"/>
        <v>C2</v>
      </c>
      <c r="DR86" s="22">
        <f>IF(OR(DQ86="",I86=""),0,IF(ISNA(MATCH(I86,nLIST_Mode,0)),1,IF(AND(I86="C1",DQ86&lt;&gt;"C1"),1,IF(AND(I86="C2",DQ86="C4"),1,0))))</f>
        <v>0</v>
      </c>
      <c r="DS86" s="21" t="str">
        <f t="shared" si="162"/>
        <v>C2</v>
      </c>
      <c r="DT86" s="22">
        <f t="shared" si="163"/>
        <v>0</v>
      </c>
      <c r="DU86" s="21" t="str">
        <f>IF(DT86=0,"",IF(COUNTIFS(nTP_Case_Key,AX86,nTP_Record_Type,"MILESTONE:INTERVENTION",nTP_Err,"E_INVALID_DATE")&gt;0,"; E_INVALID_DATE","")&amp;IF(COUNTIFS(nTP_Case_Key,AX86,nTP_Record_Type,"MILESTONE:INTERVENTION",nTP_Err,"E_REVERSED_BOUNDS")&gt;0,"; E_REVERSED_BOUNDS","")&amp;IF(COUNTIFS(nTP_Case_Key,AX86,nTP_Record_Type,"MILESTONE:INTERVENTION",nTP_Err,"E_MISSING_INPUT")&gt;0,"; E_MISSING_INPUT","")&amp;IF(COUNTIFS(nTP_Case_Key,AX86,nTP_Record_Type,"MILESTONE:INTERVENTION",nTP_Err,"E_INVALID_UNIT")&gt;0,"; E_INVALID_UNIT",""))</f>
        <v/>
      </c>
      <c r="DV86" s="22">
        <f>IF(DT86=0,0,SUMPRODUCT((nMS_CaseKey=AX86)*(nMS_Type="INTERVENTION")*nMS_Undated))</f>
        <v>0</v>
      </c>
      <c r="DW86" s="21" t="str">
        <f t="shared" si="164"/>
        <v/>
      </c>
      <c r="DX86" s="21" t="str">
        <f t="shared" si="165"/>
        <v/>
      </c>
      <c r="DY86" s="22">
        <f t="shared" si="166"/>
        <v>1</v>
      </c>
      <c r="DZ86" s="21" t="str">
        <f t="shared" si="167"/>
        <v/>
      </c>
      <c r="EA86" s="21">
        <f t="shared" si="168"/>
        <v>4</v>
      </c>
      <c r="EB86" s="21" t="str">
        <f t="shared" si="169"/>
        <v/>
      </c>
      <c r="EC86" s="21" t="str">
        <f t="shared" si="170"/>
        <v/>
      </c>
      <c r="ED86" s="22">
        <f t="shared" si="171"/>
        <v>0</v>
      </c>
      <c r="EE86" s="22">
        <f t="shared" si="172"/>
        <v>0</v>
      </c>
      <c r="EF86" s="21" t="str">
        <f>IF(ED86=0,"",IF(OR(NOT(ISNUMBER(L86)),NOT(ISNUMBER(M86))),"I_APPROXIMATE_NOT_COMPARED",IF(AND(N86&lt;&gt;"",ISNA(MATCH(N86,nLIST_ReportedUnit,0))),"E_INVALID_UNIT",IF(N86="","E_MISSING_INPUT",IF(L86&gt;M86,"E_REVERSED_BOUNDS",IF(OR(N86="weeks",N86="months",N86="years"),"I_APPROXIMATE_NOT_COMPARED",IF(DX86&lt;&gt;"","",IF(EE86=0,"I_APPROXIMATE_NOT_COMPARED",IF(AND(L86*EE86&lt;=IF(DS86="C4",EC86,IF(DS86="C1",DZ86,EA86)),M86*EE86&gt;=IF(DS86="C4",EB86,IF(DS86="C1",DZ86,EA86))),"OVERLAP","W_REPORTED_TIMING_CONFLICT")))))))))</f>
        <v/>
      </c>
      <c r="EG86" s="21" t="str">
        <f t="shared" si="173"/>
        <v/>
      </c>
      <c r="EH86" s="21" t="str">
        <f t="shared" si="174"/>
        <v/>
      </c>
      <c r="EI86" s="22">
        <f t="shared" si="175"/>
        <v>1</v>
      </c>
      <c r="EJ86" s="22">
        <f t="shared" si="176"/>
        <v>0</v>
      </c>
      <c r="EK86" s="22">
        <f t="shared" si="177"/>
        <v>0</v>
      </c>
      <c r="EL86" s="28" t="str">
        <f t="shared" si="178"/>
        <v/>
      </c>
      <c r="EM86" s="28" t="str">
        <f t="shared" si="179"/>
        <v/>
      </c>
      <c r="EN86" s="21" t="str">
        <f t="shared" si="180"/>
        <v/>
      </c>
      <c r="EO86" s="22">
        <f>IF(OR(DT86=0,DX86&lt;&gt;""),0,SUMPRODUCT((nTP_Case_Key=AX86)*(nTP_Record_Type="MILESTONE:INTERVENTION")*(nTP_Err="")*(nTP_HT*DD86*BN86*(nTP_OK*DE86*(nTP_UTC_n&gt;=N(DG86))+(1-nTP_OK*DE86)*(nTP_Loc_n&gt;=N(DF86)))*(nTP_OK*BO86*(nTP_UTC_n&lt;=N(BQ86))+(1-nTP_OK*BO86)*(nTP_Loc_n&lt;=N(BP86)))+(1-nTP_HT*DD86*BN86)*(nTP_Hi_n&gt;=N(DH86))*(nTP_Lo_n&lt;=N(BS86)))))</f>
        <v>0</v>
      </c>
      <c r="EP86" s="22">
        <f>IF(OR(DT86=0,DX86&lt;&gt;""),0,SUMPRODUCT((nTP_Case_Key=AX86)*(nTP_Role="treatment of the event")*((nTP_Record_Type="EXPOSURE_START")+(nTP_Record_Type="ADMINISTRATION"))*(nTP_Err="")*(nTP_HT*DD86*BN86*(nTP_OK*DE86*(nTP_UTC_n&gt;=N(DG86))+(1-nTP_OK*DE86)*(nTP_Loc_n&gt;=N(DF86)))*(nTP_OK*BO86*(nTP_UTC_n&lt;=N(BQ86))+(1-nTP_OK*BO86)*(nTP_Loc_n&lt;=N(BP86)))+(1-nTP_HT*DD86*BN86)*(nTP_Hi_n&gt;=N(DH86))*(nTP_Lo_n&lt;=N(BS86)))))</f>
        <v>0</v>
      </c>
      <c r="EQ86" s="22">
        <f>IF(EO86&lt;1,0,IFERROR(_xlfn.AGGREGATE(15,6,nTP_RowN/((nTP_Case_Key=AX86)*(nTP_Record_Type="MILESTONE:INTERVENTION")*(nTP_Err="")*(nTP_HT*DD86*BN86*(nTP_OK*DE86*(nTP_UTC_n&gt;=N(DG86))+(1-nTP_OK*DE86)*(nTP_Loc_n&gt;=N(DF86)))*(nTP_OK*BO86*(nTP_UTC_n&lt;=N(BQ86))+(1-nTP_OK*BO86)*(nTP_Loc_n&lt;=N(BP86)))+(1-nTP_HT*DD86*BN86)*(nTP_Hi_n&gt;=N(DH86))*(nTP_Lo_n&lt;=N(BS86)))),1),0))</f>
        <v>0</v>
      </c>
      <c r="ER86" s="22">
        <f>IF(EO86&lt;2,0,IFERROR(_xlfn.AGGREGATE(15,6,nTP_RowN/((nTP_Case_Key=AX86)*(nTP_Record_Type="MILESTONE:INTERVENTION")*(nTP_Err="")*(nTP_HT*DD86*BN86*(nTP_OK*DE86*(nTP_UTC_n&gt;=N(DG86))+(1-nTP_OK*DE86)*(nTP_Loc_n&gt;=N(DF86)))*(nTP_OK*BO86*(nTP_UTC_n&lt;=N(BQ86))+(1-nTP_OK*BO86)*(nTP_Loc_n&lt;=N(BP86)))+(1-nTP_HT*DD86*BN86)*(nTP_Hi_n&gt;=N(DH86))*(nTP_Lo_n&lt;=N(BS86)))),2),0))</f>
        <v>0</v>
      </c>
      <c r="ES86" s="22">
        <f>IF(EO86&lt;3,0,IFERROR(_xlfn.AGGREGATE(15,6,nTP_RowN/((nTP_Case_Key=AX86)*(nTP_Record_Type="MILESTONE:INTERVENTION")*(nTP_Err="")*(nTP_HT*DD86*BN86*(nTP_OK*DE86*(nTP_UTC_n&gt;=N(DG86))+(1-nTP_OK*DE86)*(nTP_Loc_n&gt;=N(DF86)))*(nTP_OK*BO86*(nTP_UTC_n&lt;=N(BQ86))+(1-nTP_OK*BO86)*(nTP_Loc_n&lt;=N(BP86)))+(1-nTP_HT*DD86*BN86)*(nTP_Hi_n&gt;=N(DH86))*(nTP_Lo_n&lt;=N(BS86)))),3),0))</f>
        <v>0</v>
      </c>
      <c r="ET86" s="22">
        <f>IF(EP86&lt;1,0,IFERROR(_xlfn.AGGREGATE(15,6,nTP_RowN/((nTP_Case_Key=AX86)*(nTP_Role="treatment of the event")*((nTP_Record_Type="EXPOSURE_START")+(nTP_Record_Type="ADMINISTRATION"))*(nTP_Err="")*(nTP_HT*DD86*BN86*(nTP_OK*DE86*(nTP_UTC_n&gt;=N(DG86))+(1-nTP_OK*DE86)*(nTP_Loc_n&gt;=N(DF86)))*(nTP_OK*BO86*(nTP_UTC_n&lt;=N(BQ86))+(1-nTP_OK*BO86)*(nTP_Loc_n&lt;=N(BP86)))+(1-nTP_HT*DD86*BN86)*(nTP_Hi_n&gt;=N(DH86))*(nTP_Lo_n&lt;=N(BS86)))),1),0))</f>
        <v>0</v>
      </c>
      <c r="EU86" s="22">
        <f>IF(EP86&lt;2,0,IFERROR(_xlfn.AGGREGATE(15,6,nTP_RowN/((nTP_Case_Key=AX86)*(nTP_Role="treatment of the event")*((nTP_Record_Type="EXPOSURE_START")+(nTP_Record_Type="ADMINISTRATION"))*(nTP_Err="")*(nTP_HT*DD86*BN86*(nTP_OK*DE86*(nTP_UTC_n&gt;=N(DG86))+(1-nTP_OK*DE86)*(nTP_Loc_n&gt;=N(DF86)))*(nTP_OK*BO86*(nTP_UTC_n&lt;=N(BQ86))+(1-nTP_OK*BO86)*(nTP_Loc_n&lt;=N(BP86)))+(1-nTP_HT*DD86*BN86)*(nTP_Hi_n&gt;=N(DH86))*(nTP_Lo_n&lt;=N(BS86)))),2),0))</f>
        <v>0</v>
      </c>
      <c r="EV86" s="22">
        <f>IF(EP86&lt;3,0,IFERROR(_xlfn.AGGREGATE(15,6,nTP_RowN/((nTP_Case_Key=AX86)*(nTP_Role="treatment of the event")*((nTP_Record_Type="EXPOSURE_START")+(nTP_Record_Type="ADMINISTRATION"))*(nTP_Err="")*(nTP_HT*DD86*BN86*(nTP_OK*DE86*(nTP_UTC_n&gt;=N(DG86))+(1-nTP_OK*DE86)*(nTP_Loc_n&gt;=N(DF86)))*(nTP_OK*BO86*(nTP_UTC_n&lt;=N(BQ86))+(1-nTP_OK*BO86)*(nTP_Loc_n&lt;=N(BP86)))+(1-nTP_HT*DD86*BN86)*(nTP_Hi_n&gt;=N(DH86))*(nTP_Lo_n&lt;=N(BS86)))),3),0))</f>
        <v>0</v>
      </c>
      <c r="EW86" s="22">
        <f>IF(CE86&lt;1,0,IFERROR(_xlfn.AGGREGATE(15,6,nTP_RowN/((nTP_CandKey=BX86)*(nTP_Err="")*(1-nTP_Exact)*((nTP_HT*BN86*((nTP_OK*BO86*(nTP_UTC_n-N(BQ86))+(1-nTP_OK*BO86)*(nTP_Loc_n-N(BP86)))&lt;=0)+(1-nTP_HT*BN86)*(nTP_Hi_n&lt;N(BR86)))+((1-nTP_HT*BN86)*(nTP_Lo_n=nTP_Hi_n)*(nTP_Lo_n=N(BR86))*(N(BR86)=N(BS86))))),1),0))</f>
        <v>0</v>
      </c>
      <c r="EX86" s="22">
        <f>IF(CE86&lt;2,0,IFERROR(_xlfn.AGGREGATE(15,6,nTP_RowN/((nTP_CandKey=BX86)*(nTP_Err="")*(1-nTP_Exact)*((nTP_HT*BN86*((nTP_OK*BO86*(nTP_UTC_n-N(BQ86))+(1-nTP_OK*BO86)*(nTP_Loc_n-N(BP86)))&lt;=0)+(1-nTP_HT*BN86)*(nTP_Hi_n&lt;N(BR86)))+((1-nTP_HT*BN86)*(nTP_Lo_n=nTP_Hi_n)*(nTP_Lo_n=N(BR86))*(N(BR86)=N(BS86))))),2),0))</f>
        <v>0</v>
      </c>
      <c r="EY86" s="22">
        <f>IF(CE86&lt;3,0,IFERROR(_xlfn.AGGREGATE(15,6,nTP_RowN/((nTP_CandKey=BX86)*(nTP_Err="")*(1-nTP_Exact)*((nTP_HT*BN86*((nTP_OK*BO86*(nTP_UTC_n-N(BQ86))+(1-nTP_OK*BO86)*(nTP_Loc_n-N(BP86)))&lt;=0)+(1-nTP_HT*BN86)*(nTP_Hi_n&lt;N(BR86)))+((1-nTP_HT*BN86)*(nTP_Lo_n=nTP_Hi_n)*(nTP_Lo_n=N(BR86))*(N(BR86)=N(BS86))))),3),0))</f>
        <v>0</v>
      </c>
      <c r="EZ86" s="21" t="str">
        <f>IF(EO86=0,"",MID(IF(EQ86&gt;0,"; "&amp;INDEX(nTP_Record_ID,EQ86)&amp;IF(INDEX(nTP_Label,EQ86)="",""," ("&amp;INDEX(nTP_Label,EQ86)&amp;")"),"")&amp;IF(ER86&gt;0,"; "&amp;INDEX(nTP_Record_ID,ER86)&amp;IF(INDEX(nTP_Label,ER86)="",""," ("&amp;INDEX(nTP_Label,ER86)&amp;")"),"")&amp;IF(ES86&gt;0,"; "&amp;INDEX(nTP_Record_ID,ES86)&amp;IF(INDEX(nTP_Label,ES86)="",""," ("&amp;INDEX(nTP_Label,ES86)&amp;")"),"")&amp;IF(EO86&gt;3,"; and "&amp;(EO86-3)&amp;" more",""),3,999))</f>
        <v/>
      </c>
      <c r="FA86" s="21" t="str">
        <f>IF(EO86=0,"",MID(IF(EQ86&gt;0,"; "&amp;INDEX(nTP_Record_ID,EQ86),"")&amp;IF(ER86&gt;0,"; "&amp;INDEX(nTP_Record_ID,ER86),"")&amp;IF(ES86&gt;0,"; "&amp;INDEX(nTP_Record_ID,ES86),"")&amp;IF(EO86&gt;3,"; and "&amp;(EO86-3)&amp;" more",""),3,999))</f>
        <v/>
      </c>
      <c r="FB86" s="21" t="str">
        <f>IF(EP86=0,"",MID(IF(ET86&gt;0,"; "&amp;INDEX(nTP_Record_ID,ET86)&amp;IF(INDEX(nTP_Label,ET86)="",""," ("&amp;INDEX(nTP_Label,ET86)&amp;")"),"")&amp;IF(EU86&gt;0,"; "&amp;INDEX(nTP_Record_ID,EU86)&amp;IF(INDEX(nTP_Label,EU86)="",""," ("&amp;INDEX(nTP_Label,EU86)&amp;")"),"")&amp;IF(EV86&gt;0,"; "&amp;INDEX(nTP_Record_ID,EV86)&amp;IF(INDEX(nTP_Label,EV86)="",""," ("&amp;INDEX(nTP_Label,EV86)&amp;")"),"")&amp;IF(EP86&gt;3,"; and "&amp;(EP86-3)&amp;" more",""),3,999))</f>
        <v/>
      </c>
      <c r="FC86" s="21" t="str">
        <f>IF(CE86=0,"",MID(IF(EW86&gt;0,"; "&amp;INDEX(nTP_Record_ID,EW86),"")&amp;IF(EX86&gt;0,"; "&amp;INDEX(nTP_Record_ID,EX86),"")&amp;IF(EY86&gt;0,"; "&amp;INDEX(nTP_Record_ID,EY86),"")&amp;IF(CE86&gt;3,"; and "&amp;(CE86-3)&amp;" more",""),3,999))</f>
        <v/>
      </c>
      <c r="FD86" s="22">
        <f t="shared" si="181"/>
        <v>0</v>
      </c>
      <c r="FE86" s="22">
        <f t="shared" si="182"/>
        <v>0</v>
      </c>
      <c r="FF86" s="22">
        <f t="shared" si="183"/>
        <v>0</v>
      </c>
      <c r="FG86" s="22">
        <f t="shared" si="184"/>
        <v>0</v>
      </c>
      <c r="FH86" s="22">
        <f t="shared" si="185"/>
        <v>0</v>
      </c>
      <c r="FI86" s="22">
        <f t="shared" si="186"/>
        <v>0</v>
      </c>
      <c r="FJ86" s="22">
        <f t="shared" si="187"/>
        <v>0</v>
      </c>
      <c r="FK86" s="22">
        <f t="shared" si="188"/>
        <v>0</v>
      </c>
    </row>
    <row r="87" spans="1:167" x14ac:dyDescent="0.2">
      <c r="A87" s="9" t="s">
        <v>1180</v>
      </c>
      <c r="B87" s="9" t="s">
        <v>325</v>
      </c>
      <c r="C87" s="11">
        <v>1</v>
      </c>
      <c r="D87" s="9" t="s">
        <v>894</v>
      </c>
      <c r="E87" s="16" t="s">
        <v>51</v>
      </c>
      <c r="F87" s="9"/>
      <c r="G87" s="9" t="s">
        <v>1179</v>
      </c>
      <c r="H87" s="9" t="s">
        <v>1181</v>
      </c>
      <c r="I87" s="16" t="s">
        <v>59</v>
      </c>
      <c r="J87" s="16"/>
      <c r="K87" s="9"/>
      <c r="L87" s="16"/>
      <c r="M87" s="16"/>
      <c r="N87" s="16"/>
      <c r="O87" s="9"/>
      <c r="P87" s="14"/>
      <c r="Q87" s="14"/>
      <c r="R87" s="9"/>
      <c r="S87" s="9"/>
      <c r="T87" s="21" t="str">
        <f t="shared" si="126"/>
        <v>60 minutes (1.0 hours)</v>
      </c>
      <c r="U87" s="21" t="str">
        <f t="shared" si="127"/>
        <v>60 minutes</v>
      </c>
      <c r="V87" s="21">
        <f t="shared" si="128"/>
        <v>60</v>
      </c>
      <c r="W87" s="21" t="str">
        <f t="shared" si="129"/>
        <v/>
      </c>
      <c r="X87" s="21" t="str">
        <f t="shared" si="130"/>
        <v/>
      </c>
      <c r="Y87" s="21" t="str">
        <f t="shared" si="131"/>
        <v>minutes</v>
      </c>
      <c r="Z87" s="21" t="str">
        <f t="shared" si="132"/>
        <v>C1</v>
      </c>
      <c r="AA87" s="21" t="str">
        <f t="shared" si="133"/>
        <v>AFTER</v>
      </c>
      <c r="AB87" s="21" t="str">
        <f t="shared" si="134"/>
        <v/>
      </c>
      <c r="AC87" s="21" t="str">
        <f t="shared" si="135"/>
        <v/>
      </c>
      <c r="AD87" s="21" t="str">
        <f>IF(AW87=1,"",MID(IF(ISNUMBER(SEARCH("E_INVALID_DATE",EG87))," | E_INVALID_DATE: "&amp;SUBSTITUTE(IFERROR(INDEX(nMSG_Text,MATCH("E_INVALID_DATE",nMSG_Code,0)),""),"[input]",""),"")&amp;IF(ISNUMBER(SEARCH("E_REVERSED_BOUNDS",EG87))," | E_REVERSED_BOUNDS: "&amp;SUBSTITUTE(IFERROR(INDEX(nMSG_Text,MATCH("E_REVERSED_BOUNDS",nMSG_Code,0)),""),"[input]",""),"")&amp;IF(ISNUMBER(SEARCH("E_DUPLICATE_ID",EG87))," | E_DUPLICATE_ID: "&amp;SUBSTITUTE(IFERROR(INDEX(nMSG_Text,MATCH("E_DUPLICATE_ID",nMSG_Code,0)),""),"[input]",""),"")&amp;IF(ISNUMBER(SEARCH("E_MISSING_LINK",EG87))," | E_MISSING_LINK: "&amp;SUBSTITUTE(IFERROR(INDEX(nMSG_Text,MATCH("E_MISSING_LINK",nMSG_Code,0)),""),"[input]",""),"")&amp;IF(ISNUMBER(SEARCH("E_MISSING_INPUT",EG87))," | E_MISSING_INPUT: "&amp;SUBSTITUTE(IFERROR(INDEX(nMSG_Text,MATCH("E_MISSING_INPUT",nMSG_Code,0)),""),"[input]",IF(EH87="","an input",EH87)),"")&amp;IF(ISNUMBER(SEARCH("E_INVALID_UNIT",EG87))," | E_INVALID_UNIT: "&amp;SUBSTITUTE(IFERROR(INDEX(nMSG_Text,MATCH("E_INVALID_UNIT",nMSG_Code,0)),""),"[input]",""),"")&amp;IF(FD87=1," | W_TZ_UNKNOWN: "&amp;SUBSTITUTE(IFERROR(INDEX(nMSG_Text,MATCH("W_TZ_UNKNOWN",nMSG_Code,0)),""),"[input]",""),"")&amp;IF(FE87=1," | W_SAME_DATE_ORDER_UNKNOWN: "&amp;SUBSTITUTE(IFERROR(INDEX(nMSG_Text,MATCH("W_SAME_DATE_ORDER_UNKNOWN",nMSG_Code,0)),""),"[input]",""),"")&amp;IF(FF87=1," | W_SEQUENCE_UNCERTAIN: "&amp;SUBSTITUTE(IFERROR(INDEX(nMSG_Text,MATCH("W_SEQUENCE_UNCERTAIN",nMSG_Code,0)),""),"[input]",""),"")&amp;IF(FG87=1," | W_ADMIN_SAME_DATE_AS_ONSET: "&amp;SUBSTITUTE(IFERROR(INDEX(nMSG_Text,MATCH("W_ADMIN_SAME_DATE_AS_ONSET",nMSG_Code,0)),""),"[input]",""),"")&amp;IF(FH87=1," | W_REPORTED_TIMING_CONFLICT: "&amp;SUBSTITUTE(IFERROR(INDEX(nMSG_Text,MATCH("W_REPORTED_TIMING_CONFLICT",nMSG_Code,0)),""),"[input]",""),"")&amp;IF(FI87=1," | W_INTERVENTION_BEFORE_RECOVERY: "&amp;SUBSTITUTE(IFERROR(INDEX(nMSG_Text,MATCH("W_INTERVENTION_BEFORE_RECOVERY",nMSG_Code,0)),""),"[input]",""),"")&amp;IF(FJ87=1," | I_TREATMENT_DAY_UNDEFINED: "&amp;SUBSTITUTE(IFERROR(INDEX(nMSG_Text,MATCH("I_TREATMENT_DAY_UNDEFINED",nMSG_Code,0)),""),"[input]",""),"")&amp;IF(FK87=1," | I_APPROXIMATE_NOT_COMPARED: "&amp;SUBSTITUTE(IFERROR(INDEX(nMSG_Text,MATCH("I_APPROXIMATE_NOT_COMPARED",nMSG_Code,0)),""),"[input]",""),""),4,9999))</f>
        <v/>
      </c>
      <c r="AE87" s="21" t="str">
        <f t="shared" si="136"/>
        <v/>
      </c>
      <c r="AF87" s="21" t="str">
        <f t="shared" si="137"/>
        <v/>
      </c>
      <c r="AG87" s="21" t="str">
        <f>IF(EN87="","",MID(IF(ISNUMBER(SEARCH("E_REVERSED_BOUNDS",EN87))," | E_REVERSED_BOUNDS: "&amp;SUBSTITUTE(IFERROR(INDEX(nMSG_Text,MATCH("E_REVERSED_BOUNDS",nMSG_Code,0)),""),"[input]",""),"")&amp;IF(ISNUMBER(SEARCH("E_MISSING_INPUT",EN87))," | E_MISSING_INPUT: "&amp;SUBSTITUTE(IFERROR(INDEX(nMSG_Text,MATCH("E_MISSING_INPUT",nMSG_Code,0)),""),"[input]",IF("the source of the constraint"="","an input","the source of the constraint")),""),4,999))</f>
        <v/>
      </c>
      <c r="AH87" s="21" t="str">
        <f t="shared" si="138"/>
        <v/>
      </c>
      <c r="AI87" s="21" t="str">
        <f t="shared" si="139"/>
        <v>EX1/START → EV1/ONSET</v>
      </c>
      <c r="AJ87" s="21" t="str">
        <f t="shared" si="140"/>
        <v>EX1/START</v>
      </c>
      <c r="AK87" s="21" t="str">
        <f t="shared" si="141"/>
        <v>EV1/ONSET</v>
      </c>
      <c r="AL87" s="21" t="str">
        <f>IF(CY87=0,"",INDEX(nTP_ISO,CY87))</f>
        <v>2026-11-01T01:30-04:00</v>
      </c>
      <c r="AM87" s="21" t="str">
        <f>IF(CY87=0,"",INDEX(nTP_Display,CY87))</f>
        <v>1 November 2026 01:30 (UTC-04:00)</v>
      </c>
      <c r="AN87" s="21" t="str">
        <f>IF(BI87=0,"",INDEX(nTP_ISO,BI87))</f>
        <v>2026-11-01T01:30-05:00</v>
      </c>
      <c r="AO87" s="21" t="str">
        <f>IF(BI87=0,"",INDEX(nTP_Display,BI87))</f>
        <v>1 November 2026 01:30 (UTC-05:00)</v>
      </c>
      <c r="AP87" s="21" t="str">
        <f>IF(BA87=0,"",INDEX(nLNK_Exposure_Episode_ID,BA87)&amp;"")</f>
        <v>EX1</v>
      </c>
      <c r="AQ87" s="21" t="str">
        <f>IF(BA87=0,"",INDEX(nLNK_Event_Episode_ID,BA87)&amp;"")</f>
        <v>EV1</v>
      </c>
      <c r="AR87" s="21" t="str">
        <f t="shared" si="142"/>
        <v>Anchor (FIRST_ADMIN) EX1/START: 2026-11-01T01:30-04:00 [timestamp with UTC offset; case measurement; original: "2026-11-01T01:30-04:00"; source: tto_calc_test_vectors_v1.1.json V09] | End point EV1/ONSET: 2026-11-01T01:30-05:00 [timestamp with UTC offset; case measurement; original: "2026-11-01T01:30-05:00"; source: tto_calc_test_vectors_v1.1.json V09]</v>
      </c>
      <c r="AS87" s="21" t="str">
        <f>IF(EI87=0,"",MID(IF(DT87=1," | Recovery interval (C7) computed with "&amp;DS87&amp;".","")&amp;IF(BG87=1," | Anchor selected under C5 (CALC-SPEC 1.1): latest administration with an exact date or time at or before "&amp;IF(BH87=1,"onset","the end point")&amp;" ("&amp;AJ87&amp;"), ordered in UTC when offsets are known; later administrations are never selected.","")&amp;IF(AND(BG87=1,CE87&gt;0)," | Partial-date administrations wholly before the selected one were not candidates: "&amp;FC87&amp;".","")&amp;IF(BV87&lt;&gt;""," | "&amp;BV87,"")&amp;IF(AND(DS87="C2",EA87=0,DZ87&lt;&gt;"")," | Same calendar date; both times are known, so C1 decides the order ("&amp;AA87&amp;").","")&amp;IF(AND(DS87="C2",DD87*BN87=1,DT87=0)," | Calendar-date difference from the recorded local dates; it is never described as elapsed days.","")&amp;IF(AND(DS87="C4",DT87=0)," | Bounds are treated as independent; no single date is imputed from them.","")&amp;IF(EJ87=1," | Treatment day under the inclusive convention (C3); never written to E2B fields automatically.","")&amp;IF(AND(DS87="C4",DT87=0,EK87=0)," | No constraint applied.","")&amp;IF(AND(DS87="C4",EK87=1)," | Constraint applied to the anchor bounds: "&amp;IF(ISNUMBER(P87),"not before "&amp;DAY(P87)&amp;" "&amp;INDEX(nLIST_Months,MONTH(P87))&amp;" "&amp;YEAR(P87),"")&amp;IF(AND(ISNUMBER(P87),ISNUMBER(Q87)),", ","")&amp;IF(ISNUMBER(Q87),"not after "&amp;DAY(Q87)&amp;" "&amp;INDEX(nLIST_Months,MONTH(Q87))&amp;" "&amp;YEAR(Q87),"")&amp;". Source: "&amp;IF(R87="","not recorded",R87)&amp;IF(EN87="",". Constrained result shown beside the unconstrained one.",". Constrained result blocked ("&amp;EN87&amp;")."),"")&amp;IF(DT87=1,IF(EO87&gt;0," | Intervention recorded between cessation and recovery (ends included): "&amp;EZ87&amp;"."," | No intervention is recorded between cessation and recovery; absence of a record is not evidence that none was given."),"")&amp;IF(AND(DT87=1,DV87&gt;0)," | Intervention recorded without a date, so whether it came before recovery is unknown: "&amp;INDEX(nMS_Milestone_ID,MATCH(1,INDEX((nMS_CaseKey=AX87)*(nMS_Type="INTERVENTION")*nMS_Undated,0),0))&amp;IF(DV87&gt;1," and "&amp;(DV87-1)&amp;" more","")&amp;".","")&amp;IF(AND(DT87=1,EP87&gt;0)," | Not counted as interventions, because they are recorded as exposures rather than as intervention milestones (nothing is inferred): "&amp;FB87&amp;". If treatment was given, record it as an intervention milestone.",""),4,9999))</f>
        <v/>
      </c>
      <c r="AT87" s="21" t="str">
        <f t="shared" si="143"/>
        <v>The interval describes the sequence and spacing of recorded times; it is not evidence of causation.</v>
      </c>
      <c r="AU87" s="21" t="str">
        <f t="shared" si="144"/>
        <v/>
      </c>
      <c r="AV87" s="21" t="str">
        <f t="shared" si="145"/>
        <v>CALC-SPEC 1.1</v>
      </c>
      <c r="AW87" s="22">
        <f t="shared" si="146"/>
        <v>0</v>
      </c>
      <c r="AX87" s="21" t="str">
        <f t="shared" si="147"/>
        <v>VEC-V09|1</v>
      </c>
      <c r="AY87" s="21" t="str">
        <f t="shared" si="148"/>
        <v>VEC-V09|1|I1</v>
      </c>
      <c r="AZ87" s="22">
        <f>IF(AY87="",0,COUNTIF(nINT_Key,AY87))</f>
        <v>1</v>
      </c>
      <c r="BA87" s="22">
        <f>IF(D87="",0,IFERROR(MATCH(AX87&amp;"|"&amp;D87,nLNK_Key,0),0))</f>
        <v>40</v>
      </c>
      <c r="BB87" s="22">
        <f>IF(BA87=0,1,INDEX(nLNK_Exp_Found,BA87))</f>
        <v>1</v>
      </c>
      <c r="BC87" s="22">
        <f>IF(BA87=0,1,INDEX(nLNK_Evt_Found,BA87))</f>
        <v>1</v>
      </c>
      <c r="BD87" s="22">
        <f>IF(AP87="",0,COUNTIF(nEXP_Key,AX87&amp;"|"&amp;AP87))</f>
        <v>1</v>
      </c>
      <c r="BE87" s="22">
        <f>IF(AQ87="",0,COUNTIF(nEVT_Key,AX87&amp;"|"&amp;AQ87))</f>
        <v>1</v>
      </c>
      <c r="BF87" s="22">
        <f>IF(ISNA(MATCH(E87,nLIST_AnchorType,0)),0,1)</f>
        <v>1</v>
      </c>
      <c r="BG87" s="22">
        <f t="shared" si="149"/>
        <v>0</v>
      </c>
      <c r="BH87" s="22">
        <f t="shared" si="150"/>
        <v>1</v>
      </c>
      <c r="BI87" s="22">
        <f>IF(OR(AW87=1,AK87=""),0,IFERROR(MATCH(AX87&amp;"|"&amp;AK87,nTP_Key,0),0))</f>
        <v>324</v>
      </c>
      <c r="BJ87" s="21">
        <f>IF(BI87=0,0,INDEX(nTP_Dup,BI87))</f>
        <v>1</v>
      </c>
      <c r="BK87" s="21" t="str">
        <f>IF(BI87=0,"",INDEX(nTP_Record_Type,BI87))</f>
        <v>EVENT_ONSET</v>
      </c>
      <c r="BL87" s="21" t="str">
        <f>IF(BI87=0,"",INDEX(nTP_Precision,BI87))</f>
        <v>TIMESTAMP</v>
      </c>
      <c r="BM87" s="21" t="str">
        <f>IF(BI87=0,"",INDEX(nTP_Err,BI87))</f>
        <v/>
      </c>
      <c r="BN87" s="21">
        <f>IF(BI87=0,0,INDEX(nTP_HT,BI87))</f>
        <v>1</v>
      </c>
      <c r="BO87" s="21">
        <f>IF(BI87=0,0,INDEX(nTP_OK,BI87))</f>
        <v>1</v>
      </c>
      <c r="BP87" s="21">
        <f>IF(BI87=0,"",INDEX(nTP_Loc,BI87))</f>
        <v>66710970</v>
      </c>
      <c r="BQ87" s="21">
        <f>IF(BI87=0,"",INDEX(nTP_UTC,BI87))</f>
        <v>66711270</v>
      </c>
      <c r="BR87" s="21">
        <f>IF(BI87=0,"",INDEX(nTP_Lo,BI87))</f>
        <v>46327</v>
      </c>
      <c r="BS87" s="21">
        <f>IF(BI87=0,"",INDEX(nTP_Hi,BI87))</f>
        <v>46327</v>
      </c>
      <c r="BT87" s="21" t="str">
        <f>IF(BI87=0,"",INDEX(nTP_Original_Text,BI87))</f>
        <v>2026-11-01T01:30-05:00</v>
      </c>
      <c r="BU87" s="21" t="str">
        <f>IF(BI87=0,"",INDEX(nTP_Source,BI87))</f>
        <v>tto_calc_test_vectors_v1.1.json V09</v>
      </c>
      <c r="BV87" s="21" t="str">
        <f>IF(BI87=0,"",INDEX(nTP_Lab_Note,BI87))</f>
        <v/>
      </c>
      <c r="BW87" s="22">
        <f t="shared" si="151"/>
        <v>1</v>
      </c>
      <c r="BX87" s="21" t="str">
        <f t="shared" si="152"/>
        <v>VEC-V09|1|EX1</v>
      </c>
      <c r="BY87" s="22">
        <f>IF(BG87=0,0,COUNTIF(nTP_CandKey,BX87))</f>
        <v>0</v>
      </c>
      <c r="BZ87" s="22">
        <f>IF(BG87=0,0,COUNTIFS(nTP_CandKey,BX87,nTP_Err,""))</f>
        <v>0</v>
      </c>
      <c r="CA87" s="21" t="str">
        <f>IF(BY87=BZ87,"",IF(COUNTIFS(nTP_CandKey,BX87,nTP_Err,"E_INVALID_DATE")&gt;0,"; E_INVALID_DATE","")&amp;IF(COUNTIFS(nTP_CandKey,BX87,nTP_Err,"E_REVERSED_BOUNDS")&gt;0,"; E_REVERSED_BOUNDS","")&amp;IF(COUNTIFS(nTP_CandKey,BX87,nTP_Err,"E_MISSING_INPUT")&gt;0,"; E_MISSING_INPUT","")&amp;IF(COUNTIFS(nTP_CandKey,BX87,nTP_Err,"E_INVALID_UNIT")&gt;0,"; E_INVALID_UNIT",""))</f>
        <v/>
      </c>
      <c r="CB87" s="22">
        <f t="shared" si="153"/>
        <v>0</v>
      </c>
      <c r="CC87" s="22">
        <f>IF(CB87=0,0,SUMPRODUCT((nTP_CandKey=BX87)*(nTP_Err="")*(1-(nTP_HT*BN87*((nTP_OK*BO87*(nTP_UTC_n-N(BQ87))+(1-nTP_OK*BO87)*(nTP_Loc_n-N(BP87)))&lt;=0)+(1-nTP_HT*BN87)*(nTP_Hi_n&lt;N(BR87)))-(nTP_HT*BN87*((nTP_OK*BO87*(nTP_UTC_n-N(BQ87))+(1-nTP_OK*BO87)*(nTP_Loc_n-N(BP87)))&gt;0)+(1-nTP_HT*BN87)*(nTP_Lo_n&gt;N(BS87)))-((1-nTP_HT*BN87)*(nTP_Lo_n=nTP_Hi_n)*(nTP_Lo_n=N(BR87))*(N(BR87)=N(BS87))))))</f>
        <v>0</v>
      </c>
      <c r="CD87" s="22">
        <f>IF(CB87=0,0,SUMPRODUCT((nTP_CandKey=BX87)*nTP_Exact*((nTP_HT*BN87*((nTP_OK*BO87*(nTP_UTC_n-N(BQ87))+(1-nTP_OK*BO87)*(nTP_Loc_n-N(BP87)))&lt;=0)+(1-nTP_HT*BN87)*(nTP_Hi_n&lt;N(BR87)))+((1-nTP_HT*BN87)*(nTP_Lo_n=nTP_Hi_n)*(nTP_Lo_n=N(BR87))*(N(BR87)=N(BS87))))))</f>
        <v>0</v>
      </c>
      <c r="CE87" s="22">
        <f>IF(CB87=0,0,SUMPRODUCT((nTP_CandKey=BX87)*(nTP_Err="")*(1-nTP_Exact)*((nTP_HT*BN87*((nTP_OK*BO87*(nTP_UTC_n-N(BQ87))+(1-nTP_OK*BO87)*(nTP_Loc_n-N(BP87)))&lt;=0)+(1-nTP_HT*BN87)*(nTP_Hi_n&lt;N(BR87)))+((1-nTP_HT*BN87)*(nTP_Lo_n=nTP_Hi_n)*(nTP_Lo_n=N(BR87))*(N(BR87)=N(BS87))))))</f>
        <v>0</v>
      </c>
      <c r="CF87" s="22">
        <f>IF(CD87=0,0,SUMPRODUCT(MAX((nTP_CandKey=BX87)*nTP_Exact*((nTP_HT*BN87*((nTP_OK*BO87*(nTP_UTC_n-N(BQ87))+(1-nTP_OK*BO87)*(nTP_Loc_n-N(BP87)))&lt;=0)+(1-nTP_HT*BN87)*(nTP_Hi_n&lt;N(BR87)))+((1-nTP_HT*BN87)*(nTP_Lo_n=nTP_Hi_n)*(nTP_Lo_n=N(BR87))*(N(BR87)=N(BS87))))*nTP_Lo_n)))</f>
        <v>0</v>
      </c>
      <c r="CG87" s="22">
        <f>IF(CD87=0,0,SUMPRODUCT((nTP_CandKey=BX87)*nTP_Exact*((nTP_HT*BN87*((nTP_OK*BO87*(nTP_UTC_n-N(BQ87))+(1-nTP_OK*BO87)*(nTP_Loc_n-N(BP87)))&lt;=0)+(1-nTP_HT*BN87)*(nTP_Hi_n&lt;N(BR87)))+((1-nTP_HT*BN87)*(nTP_Lo_n=nTP_Hi_n)*(nTP_Lo_n=N(BR87))*(N(BR87)=N(BS87))))*(nTP_Lo_n=CF87)))</f>
        <v>0</v>
      </c>
      <c r="CH87" s="22">
        <f>IF(CD87=0,0,SUMPRODUCT((nTP_CandKey=BX87)*nTP_Exact*((nTP_HT*BN87*((nTP_OK*BO87*(nTP_UTC_n-N(BQ87))+(1-nTP_OK*BO87)*(nTP_Loc_n-N(BP87)))&lt;=0)+(1-nTP_HT*BN87)*(nTP_Hi_n&lt;N(BR87)))+((1-nTP_HT*BN87)*(nTP_Lo_n=nTP_Hi_n)*(nTP_Lo_n=N(BR87))*(N(BR87)=N(BS87))))*(1-nTP_HT)*(nTP_Lo_n=CF87)))</f>
        <v>0</v>
      </c>
      <c r="CI87" s="22">
        <f>IF(CD87=0,0,SUMPRODUCT(MAX((nTP_CandKey=BX87)*nTP_Exact*((nTP_HT*BN87*((nTP_OK*BO87*(nTP_UTC_n-N(BQ87))+(1-nTP_OK*BO87)*(nTP_Loc_n-N(BP87)))&lt;=0)+(1-nTP_HT*BN87)*(nTP_Hi_n&lt;N(BR87)))+((1-nTP_HT*BN87)*(nTP_Lo_n=nTP_Hi_n)*(nTP_Lo_n=N(BR87))*(N(BR87)=N(BS87))))*(1-nTP_HT)*nTP_Lo_n)))</f>
        <v>0</v>
      </c>
      <c r="CJ87" s="22">
        <f>IF(CD87=0,0,SUMPRODUCT(MAX((nTP_CandKey=BX87)*nTP_Exact*((nTP_HT*BN87*((nTP_OK*BO87*(nTP_UTC_n-N(BQ87))+(1-nTP_OK*BO87)*(nTP_Loc_n-N(BP87)))&lt;=0)+(1-nTP_HT*BN87)*(nTP_Hi_n&lt;N(BR87)))+((1-nTP_HT*BN87)*(nTP_Lo_n=nTP_Hi_n)*(nTP_Lo_n=N(BR87))*(N(BR87)=N(BS87))))*nTP_HT*nTP_OK*nTP_UTC_n)))</f>
        <v>0</v>
      </c>
      <c r="CK87" s="22">
        <f>IF(CJ87=0,0,SUMPRODUCT((nTP_CandKey=BX87)*nTP_Exact*((nTP_HT*BN87*((nTP_OK*BO87*(nTP_UTC_n-N(BQ87))+(1-nTP_OK*BO87)*(nTP_Loc_n-N(BP87)))&lt;=0)+(1-nTP_HT*BN87)*(nTP_Hi_n&lt;N(BR87)))+((1-nTP_HT*BN87)*(nTP_Lo_n=nTP_Hi_n)*(nTP_Lo_n=N(BR87))*(N(BR87)=N(BS87))))*nTP_HT*nTP_OK*(nTP_UTC_n=CJ87)))</f>
        <v>0</v>
      </c>
      <c r="CL87" s="22">
        <f>IF(CK87&lt;&gt;1,0,SUMPRODUCT((nTP_CandKey=BX87)*nTP_Exact*((nTP_HT*BN87*((nTP_OK*BO87*(nTP_UTC_n-N(BQ87))+(1-nTP_OK*BO87)*(nTP_Loc_n-N(BP87)))&lt;=0)+(1-nTP_HT*BN87)*(nTP_Hi_n&lt;N(BR87)))+((1-nTP_HT*BN87)*(nTP_Lo_n=nTP_Hi_n)*(nTP_Lo_n=N(BR87))*(N(BR87)=N(BS87))))*nTP_HT*nTP_OK*(nTP_UTC_n=CJ87)*nTP_Loc_n))</f>
        <v>0</v>
      </c>
      <c r="CM87" s="22">
        <f>IF(CK87&lt;&gt;1,0,SUMPRODUCT((nTP_CandKey=BX87)*nTP_Exact*((nTP_HT*BN87*((nTP_OK*BO87*(nTP_UTC_n-N(BQ87))+(1-nTP_OK*BO87)*(nTP_Loc_n-N(BP87)))&lt;=0)+(1-nTP_HT*BN87)*(nTP_Hi_n&lt;N(BR87)))+((1-nTP_HT*BN87)*(nTP_Lo_n=nTP_Hi_n)*(nTP_Lo_n=N(BR87))*(N(BR87)=N(BS87))))*nTP_HT*nTP_OK*(nTP_UTC_n=CJ87)*nTP_Lo_n))</f>
        <v>0</v>
      </c>
      <c r="CN87" s="22">
        <f>IF(CD87=0,0,SUMPRODUCT(MAX((nTP_CandKey=BX87)*nTP_Exact*((nTP_HT*BN87*((nTP_OK*BO87*(nTP_UTC_n-N(BQ87))+(1-nTP_OK*BO87)*(nTP_Loc_n-N(BP87)))&lt;=0)+(1-nTP_HT*BN87)*(nTP_Hi_n&lt;N(BR87)))+((1-nTP_HT*BN87)*(nTP_Lo_n=nTP_Hi_n)*(nTP_Lo_n=N(BR87))*(N(BR87)=N(BS87))))*nTP_HT*(1-nTP_OK)*nTP_Loc_n)))</f>
        <v>0</v>
      </c>
      <c r="CO87" s="22">
        <f>IF(CN87=0,0,SUMPRODUCT((nTP_CandKey=BX87)*nTP_Exact*((nTP_HT*BN87*((nTP_OK*BO87*(nTP_UTC_n-N(BQ87))+(1-nTP_OK*BO87)*(nTP_Loc_n-N(BP87)))&lt;=0)+(1-nTP_HT*BN87)*(nTP_Hi_n&lt;N(BR87)))+((1-nTP_HT*BN87)*(nTP_Lo_n=nTP_Hi_n)*(nTP_Lo_n=N(BR87))*(N(BR87)=N(BS87))))*nTP_HT*(1-nTP_OK)*(nTP_Loc_n=CN87)))</f>
        <v>0</v>
      </c>
      <c r="CP87" s="22">
        <f>IF(CO87&lt;&gt;1,0,SUMPRODUCT((nTP_CandKey=BX87)*nTP_Exact*((nTP_HT*BN87*((nTP_OK*BO87*(nTP_UTC_n-N(BQ87))+(1-nTP_OK*BO87)*(nTP_Loc_n-N(BP87)))&lt;=0)+(1-nTP_HT*BN87)*(nTP_Hi_n&lt;N(BR87)))+((1-nTP_HT*BN87)*(nTP_Lo_n=nTP_Hi_n)*(nTP_Lo_n=N(BR87))*(N(BR87)=N(BS87))))*nTP_HT*(1-nTP_OK)*(nTP_Loc_n=CN87)*nTP_Lo_n))</f>
        <v>0</v>
      </c>
      <c r="CQ87" s="22">
        <f>IF(CD87=0,0,SUMPRODUCT(MAX((nTP_CandKey=BX87)*nTP_Exact*((nTP_HT*BN87*((nTP_OK*BO87*(nTP_UTC_n-N(BQ87))+(1-nTP_OK*BO87)*(nTP_Loc_n-N(BP87)))&lt;=0)+(1-nTP_HT*BN87)*(nTP_Hi_n&lt;N(BR87)))+((1-nTP_HT*BN87)*(nTP_Lo_n=nTP_Hi_n)*(nTP_Lo_n=N(BR87))*(N(BR87)=N(BS87))))*nTP_HT*nTP_OK*nTP_Loc_n)))</f>
        <v>0</v>
      </c>
      <c r="CR87" s="22">
        <f t="shared" si="154"/>
        <v>0</v>
      </c>
      <c r="CS87" s="22">
        <f>IF(CR87=0,0,IF(CR87=1,MATCH(1,INDEX((nTP_CandKey=BX87)*nTP_Exact*((nTP_HT*BN87*((nTP_OK*BO87*(nTP_UTC_n-N(BQ87))+(1-nTP_OK*BO87)*(nTP_Loc_n-N(BP87)))&lt;=0)+(1-nTP_HT*BN87)*(nTP_Hi_n&lt;N(BR87)))+((1-nTP_HT*BN87)*(nTP_Lo_n=nTP_Hi_n)*(nTP_Lo_n=N(BR87))*(N(BR87)=N(BS87))))*(1-nTP_HT)*(nTP_Lo_n=CF87),0),0),IF(CR87=2,MATCH(1,INDEX((nTP_CandKey=BX87)*nTP_Exact*((nTP_HT*BN87*((nTP_OK*BO87*(nTP_UTC_n-N(BQ87))+(1-nTP_OK*BO87)*(nTP_Loc_n-N(BP87)))&lt;=0)+(1-nTP_HT*BN87)*(nTP_Hi_n&lt;N(BR87)))+((1-nTP_HT*BN87)*(nTP_Lo_n=nTP_Hi_n)*(nTP_Lo_n=N(BR87))*(N(BR87)=N(BS87))))*nTP_HT*nTP_OK*(nTP_UTC_n=CJ87),0),0),MATCH(1,INDEX((nTP_CandKey=BX87)*nTP_Exact*((nTP_HT*BN87*((nTP_OK*BO87*(nTP_UTC_n-N(BQ87))+(1-nTP_OK*BO87)*(nTP_Loc_n-N(BP87)))&lt;=0)+(1-nTP_HT*BN87)*(nTP_Hi_n&lt;N(BR87)))+((1-nTP_HT*BN87)*(nTP_Lo_n=nTP_Hi_n)*(nTP_Lo_n=N(BR87))*(N(BR87)=N(BS87))))*nTP_HT*(1-nTP_OK)*(nTP_Loc_n=CN87),0),0))))</f>
        <v>0</v>
      </c>
      <c r="CT87" s="22">
        <f>IF(CS87=0,0,INDEX(nTP_Lo_n,CS87))</f>
        <v>0</v>
      </c>
      <c r="CU87" s="22">
        <f>IF(CS87=0,0,SUMPRODUCT((nTP_CandKey=BX87)*(nTP_Err="")*(1-nTP_Exact)*((nTP_HT*BN87*((nTP_OK*BO87*(nTP_UTC_n-N(BQ87))+(1-nTP_OK*BO87)*(nTP_Loc_n-N(BP87)))&lt;=0)+(1-nTP_HT*BN87)*(nTP_Hi_n&lt;N(BR87)))+((1-nTP_HT*BN87)*(nTP_Lo_n=nTP_Hi_n)*(nTP_Lo_n=N(BR87))*(N(BR87)=N(BS87))))*(nTP_Hi_n&gt;=CT87)))</f>
        <v>0</v>
      </c>
      <c r="CV87" s="21" t="str">
        <f t="shared" si="155"/>
        <v/>
      </c>
      <c r="CW87" s="21" t="str">
        <f>IF(AND(BG87=1,CB87=1,CV87="",CS87&gt;0),INDEX(nTP_Record_ID,CS87)&amp;"","")</f>
        <v/>
      </c>
      <c r="CX87" s="21" t="str">
        <f>IF(OR(CV87="",BG87=0),"",IF(CV87="none","an administration record (last dose before onset)",IF(CV87="uncertain","the anchor record: "&amp;INDEX(nTP_Record_ID,MATCH(1,INDEX((nTP_CandKey=BX87)*(nTP_Err="")*(1-(nTP_HT*BN87*((nTP_OK*BO87*(nTP_UTC_n-N(BQ87))+(1-nTP_OK*BO87)*(nTP_Loc_n-N(BP87)))&lt;=0)+(1-nTP_HT*BN87)*(nTP_Hi_n&lt;N(BR87)))-(nTP_HT*BN87*((nTP_OK*BO87*(nTP_UTC_n-N(BQ87))+(1-nTP_OK*BO87)*(nTP_Loc_n-N(BP87)))&gt;0)+(1-nTP_HT*BN87)*(nTP_Lo_n&gt;N(BS87)))-((1-nTP_HT*BN87)*(nTP_Lo_n=nTP_Hi_n)*(nTP_Lo_n=N(BR87))*(N(BR87)=N(BS87)))),0),0))&amp;IF(CC87&gt;1," and "&amp;(CC87-1)&amp;" more","")&amp;" may fall before or after the end point, so the last dose cannot be identified from the recorded dates",IF(CV87="noneligible","the anchor record: no administration with an exact date is recorded at or before the end point",IF(CV87="tie","the anchor record: the order of the latest administrations cannot be told from the recorded dates and times","the anchor record: partial-date administration "&amp;INDEX(nTP_Record_ID,MATCH(1,INDEX((nTP_CandKey=BX87)*(nTP_Err="")*(1-nTP_Exact)*((nTP_HT*BN87*((nTP_OK*BO87*(nTP_UTC_n-N(BQ87))+(1-nTP_OK*BO87)*(nTP_Loc_n-N(BP87)))&lt;=0)+(1-nTP_HT*BN87)*(nTP_Hi_n&lt;N(BR87)))+((1-nTP_HT*BN87)*(nTP_Lo_n=nTP_Hi_n)*(nTP_Lo_n=N(BR87))*(N(BR87)=N(BS87))))*(nTP_Hi_n&gt;=CT87),0),0))&amp;" could be the last dose before the end point")))))</f>
        <v/>
      </c>
      <c r="CY87" s="22">
        <f>IF(OR(AW87=1,AJ87=""),0,IFERROR(MATCH(AX87&amp;"|"&amp;AJ87,nTP_Key,0),0))</f>
        <v>52</v>
      </c>
      <c r="CZ87" s="21">
        <f>IF(CY87=0,0,INDEX(nTP_Dup,CY87))</f>
        <v>1</v>
      </c>
      <c r="DA87" s="21" t="str">
        <f>IF(CY87=0,"",INDEX(nTP_Record_Type,CY87))</f>
        <v>EXPOSURE_START</v>
      </c>
      <c r="DB87" s="21" t="str">
        <f>IF(CY87=0,"",INDEX(nTP_Precision,CY87))</f>
        <v>TIMESTAMP</v>
      </c>
      <c r="DC87" s="21" t="str">
        <f>IF(CY87=0,"",INDEX(nTP_Err,CY87))</f>
        <v/>
      </c>
      <c r="DD87" s="21">
        <f>IF(CY87=0,0,INDEX(nTP_HT,CY87))</f>
        <v>1</v>
      </c>
      <c r="DE87" s="21">
        <f>IF(CY87=0,0,INDEX(nTP_OK,CY87))</f>
        <v>1</v>
      </c>
      <c r="DF87" s="21">
        <f>IF(CY87=0,"",INDEX(nTP_Loc,CY87))</f>
        <v>66710970</v>
      </c>
      <c r="DG87" s="21">
        <f>IF(CY87=0,"",INDEX(nTP_UTC,CY87))</f>
        <v>66711210</v>
      </c>
      <c r="DH87" s="21">
        <f>IF(CY87=0,"",INDEX(nTP_Lo,CY87))</f>
        <v>46327</v>
      </c>
      <c r="DI87" s="21">
        <f>IF(CY87=0,"",INDEX(nTP_Hi,CY87))</f>
        <v>46327</v>
      </c>
      <c r="DJ87" s="21" t="str">
        <f>IF(CY87=0,"",INDEX(nTP_Original_Text,CY87))</f>
        <v>2026-11-01T01:30-04:00</v>
      </c>
      <c r="DK87" s="21" t="str">
        <f>IF(CY87=0,"",INDEX(nTP_Source,CY87))</f>
        <v>tto_calc_test_vectors_v1.1.json V09</v>
      </c>
      <c r="DL87" s="22">
        <f t="shared" si="156"/>
        <v>1</v>
      </c>
      <c r="DM87" s="21" t="str">
        <f t="shared" si="157"/>
        <v/>
      </c>
      <c r="DN87" s="21" t="str">
        <f t="shared" si="158"/>
        <v/>
      </c>
      <c r="DO87" s="21" t="str">
        <f t="shared" si="159"/>
        <v/>
      </c>
      <c r="DP87" s="21" t="str">
        <f t="shared" si="160"/>
        <v/>
      </c>
      <c r="DQ87" s="21" t="str">
        <f t="shared" si="161"/>
        <v>C1</v>
      </c>
      <c r="DR87" s="22">
        <f>IF(OR(DQ87="",I87=""),0,IF(ISNA(MATCH(I87,nLIST_Mode,0)),1,IF(AND(I87="C1",DQ87&lt;&gt;"C1"),1,IF(AND(I87="C2",DQ87="C4"),1,0))))</f>
        <v>0</v>
      </c>
      <c r="DS87" s="21" t="str">
        <f t="shared" si="162"/>
        <v>C1</v>
      </c>
      <c r="DT87" s="22">
        <f t="shared" si="163"/>
        <v>0</v>
      </c>
      <c r="DU87" s="21" t="str">
        <f>IF(DT87=0,"",IF(COUNTIFS(nTP_Case_Key,AX87,nTP_Record_Type,"MILESTONE:INTERVENTION",nTP_Err,"E_INVALID_DATE")&gt;0,"; E_INVALID_DATE","")&amp;IF(COUNTIFS(nTP_Case_Key,AX87,nTP_Record_Type,"MILESTONE:INTERVENTION",nTP_Err,"E_REVERSED_BOUNDS")&gt;0,"; E_REVERSED_BOUNDS","")&amp;IF(COUNTIFS(nTP_Case_Key,AX87,nTP_Record_Type,"MILESTONE:INTERVENTION",nTP_Err,"E_MISSING_INPUT")&gt;0,"; E_MISSING_INPUT","")&amp;IF(COUNTIFS(nTP_Case_Key,AX87,nTP_Record_Type,"MILESTONE:INTERVENTION",nTP_Err,"E_INVALID_UNIT")&gt;0,"; E_INVALID_UNIT",""))</f>
        <v/>
      </c>
      <c r="DV87" s="22">
        <f>IF(DT87=0,0,SUMPRODUCT((nMS_CaseKey=AX87)*(nMS_Type="INTERVENTION")*nMS_Undated))</f>
        <v>0</v>
      </c>
      <c r="DW87" s="21" t="str">
        <f t="shared" si="164"/>
        <v/>
      </c>
      <c r="DX87" s="21" t="str">
        <f t="shared" si="165"/>
        <v/>
      </c>
      <c r="DY87" s="22">
        <f t="shared" si="166"/>
        <v>0</v>
      </c>
      <c r="DZ87" s="21">
        <f t="shared" si="167"/>
        <v>60</v>
      </c>
      <c r="EA87" s="21" t="str">
        <f t="shared" si="168"/>
        <v/>
      </c>
      <c r="EB87" s="21" t="str">
        <f t="shared" si="169"/>
        <v/>
      </c>
      <c r="EC87" s="21" t="str">
        <f t="shared" si="170"/>
        <v/>
      </c>
      <c r="ED87" s="22">
        <f t="shared" si="171"/>
        <v>0</v>
      </c>
      <c r="EE87" s="22">
        <f t="shared" si="172"/>
        <v>0</v>
      </c>
      <c r="EF87" s="21" t="str">
        <f>IF(ED87=0,"",IF(OR(NOT(ISNUMBER(L87)),NOT(ISNUMBER(M87))),"I_APPROXIMATE_NOT_COMPARED",IF(AND(N87&lt;&gt;"",ISNA(MATCH(N87,nLIST_ReportedUnit,0))),"E_INVALID_UNIT",IF(N87="","E_MISSING_INPUT",IF(L87&gt;M87,"E_REVERSED_BOUNDS",IF(OR(N87="weeks",N87="months",N87="years"),"I_APPROXIMATE_NOT_COMPARED",IF(DX87&lt;&gt;"","",IF(EE87=0,"I_APPROXIMATE_NOT_COMPARED",IF(AND(L87*EE87&lt;=IF(DS87="C4",EC87,IF(DS87="C1",DZ87,EA87)),M87*EE87&gt;=IF(DS87="C4",EB87,IF(DS87="C1",DZ87,EA87))),"OVERLAP","W_REPORTED_TIMING_CONFLICT")))))))))</f>
        <v/>
      </c>
      <c r="EG87" s="21" t="str">
        <f t="shared" si="173"/>
        <v/>
      </c>
      <c r="EH87" s="21" t="str">
        <f t="shared" si="174"/>
        <v/>
      </c>
      <c r="EI87" s="22">
        <f t="shared" si="175"/>
        <v>1</v>
      </c>
      <c r="EJ87" s="22">
        <f t="shared" si="176"/>
        <v>0</v>
      </c>
      <c r="EK87" s="22">
        <f t="shared" si="177"/>
        <v>0</v>
      </c>
      <c r="EL87" s="28" t="str">
        <f t="shared" si="178"/>
        <v/>
      </c>
      <c r="EM87" s="28" t="str">
        <f t="shared" si="179"/>
        <v/>
      </c>
      <c r="EN87" s="21" t="str">
        <f t="shared" si="180"/>
        <v/>
      </c>
      <c r="EO87" s="22">
        <f>IF(OR(DT87=0,DX87&lt;&gt;""),0,SUMPRODUCT((nTP_Case_Key=AX87)*(nTP_Record_Type="MILESTONE:INTERVENTION")*(nTP_Err="")*(nTP_HT*DD87*BN87*(nTP_OK*DE87*(nTP_UTC_n&gt;=N(DG87))+(1-nTP_OK*DE87)*(nTP_Loc_n&gt;=N(DF87)))*(nTP_OK*BO87*(nTP_UTC_n&lt;=N(BQ87))+(1-nTP_OK*BO87)*(nTP_Loc_n&lt;=N(BP87)))+(1-nTP_HT*DD87*BN87)*(nTP_Hi_n&gt;=N(DH87))*(nTP_Lo_n&lt;=N(BS87)))))</f>
        <v>0</v>
      </c>
      <c r="EP87" s="22">
        <f>IF(OR(DT87=0,DX87&lt;&gt;""),0,SUMPRODUCT((nTP_Case_Key=AX87)*(nTP_Role="treatment of the event")*((nTP_Record_Type="EXPOSURE_START")+(nTP_Record_Type="ADMINISTRATION"))*(nTP_Err="")*(nTP_HT*DD87*BN87*(nTP_OK*DE87*(nTP_UTC_n&gt;=N(DG87))+(1-nTP_OK*DE87)*(nTP_Loc_n&gt;=N(DF87)))*(nTP_OK*BO87*(nTP_UTC_n&lt;=N(BQ87))+(1-nTP_OK*BO87)*(nTP_Loc_n&lt;=N(BP87)))+(1-nTP_HT*DD87*BN87)*(nTP_Hi_n&gt;=N(DH87))*(nTP_Lo_n&lt;=N(BS87)))))</f>
        <v>0</v>
      </c>
      <c r="EQ87" s="22">
        <f>IF(EO87&lt;1,0,IFERROR(_xlfn.AGGREGATE(15,6,nTP_RowN/((nTP_Case_Key=AX87)*(nTP_Record_Type="MILESTONE:INTERVENTION")*(nTP_Err="")*(nTP_HT*DD87*BN87*(nTP_OK*DE87*(nTP_UTC_n&gt;=N(DG87))+(1-nTP_OK*DE87)*(nTP_Loc_n&gt;=N(DF87)))*(nTP_OK*BO87*(nTP_UTC_n&lt;=N(BQ87))+(1-nTP_OK*BO87)*(nTP_Loc_n&lt;=N(BP87)))+(1-nTP_HT*DD87*BN87)*(nTP_Hi_n&gt;=N(DH87))*(nTP_Lo_n&lt;=N(BS87)))),1),0))</f>
        <v>0</v>
      </c>
      <c r="ER87" s="22">
        <f>IF(EO87&lt;2,0,IFERROR(_xlfn.AGGREGATE(15,6,nTP_RowN/((nTP_Case_Key=AX87)*(nTP_Record_Type="MILESTONE:INTERVENTION")*(nTP_Err="")*(nTP_HT*DD87*BN87*(nTP_OK*DE87*(nTP_UTC_n&gt;=N(DG87))+(1-nTP_OK*DE87)*(nTP_Loc_n&gt;=N(DF87)))*(nTP_OK*BO87*(nTP_UTC_n&lt;=N(BQ87))+(1-nTP_OK*BO87)*(nTP_Loc_n&lt;=N(BP87)))+(1-nTP_HT*DD87*BN87)*(nTP_Hi_n&gt;=N(DH87))*(nTP_Lo_n&lt;=N(BS87)))),2),0))</f>
        <v>0</v>
      </c>
      <c r="ES87" s="22">
        <f>IF(EO87&lt;3,0,IFERROR(_xlfn.AGGREGATE(15,6,nTP_RowN/((nTP_Case_Key=AX87)*(nTP_Record_Type="MILESTONE:INTERVENTION")*(nTP_Err="")*(nTP_HT*DD87*BN87*(nTP_OK*DE87*(nTP_UTC_n&gt;=N(DG87))+(1-nTP_OK*DE87)*(nTP_Loc_n&gt;=N(DF87)))*(nTP_OK*BO87*(nTP_UTC_n&lt;=N(BQ87))+(1-nTP_OK*BO87)*(nTP_Loc_n&lt;=N(BP87)))+(1-nTP_HT*DD87*BN87)*(nTP_Hi_n&gt;=N(DH87))*(nTP_Lo_n&lt;=N(BS87)))),3),0))</f>
        <v>0</v>
      </c>
      <c r="ET87" s="22">
        <f>IF(EP87&lt;1,0,IFERROR(_xlfn.AGGREGATE(15,6,nTP_RowN/((nTP_Case_Key=AX87)*(nTP_Role="treatment of the event")*((nTP_Record_Type="EXPOSURE_START")+(nTP_Record_Type="ADMINISTRATION"))*(nTP_Err="")*(nTP_HT*DD87*BN87*(nTP_OK*DE87*(nTP_UTC_n&gt;=N(DG87))+(1-nTP_OK*DE87)*(nTP_Loc_n&gt;=N(DF87)))*(nTP_OK*BO87*(nTP_UTC_n&lt;=N(BQ87))+(1-nTP_OK*BO87)*(nTP_Loc_n&lt;=N(BP87)))+(1-nTP_HT*DD87*BN87)*(nTP_Hi_n&gt;=N(DH87))*(nTP_Lo_n&lt;=N(BS87)))),1),0))</f>
        <v>0</v>
      </c>
      <c r="EU87" s="22">
        <f>IF(EP87&lt;2,0,IFERROR(_xlfn.AGGREGATE(15,6,nTP_RowN/((nTP_Case_Key=AX87)*(nTP_Role="treatment of the event")*((nTP_Record_Type="EXPOSURE_START")+(nTP_Record_Type="ADMINISTRATION"))*(nTP_Err="")*(nTP_HT*DD87*BN87*(nTP_OK*DE87*(nTP_UTC_n&gt;=N(DG87))+(1-nTP_OK*DE87)*(nTP_Loc_n&gt;=N(DF87)))*(nTP_OK*BO87*(nTP_UTC_n&lt;=N(BQ87))+(1-nTP_OK*BO87)*(nTP_Loc_n&lt;=N(BP87)))+(1-nTP_HT*DD87*BN87)*(nTP_Hi_n&gt;=N(DH87))*(nTP_Lo_n&lt;=N(BS87)))),2),0))</f>
        <v>0</v>
      </c>
      <c r="EV87" s="22">
        <f>IF(EP87&lt;3,0,IFERROR(_xlfn.AGGREGATE(15,6,nTP_RowN/((nTP_Case_Key=AX87)*(nTP_Role="treatment of the event")*((nTP_Record_Type="EXPOSURE_START")+(nTP_Record_Type="ADMINISTRATION"))*(nTP_Err="")*(nTP_HT*DD87*BN87*(nTP_OK*DE87*(nTP_UTC_n&gt;=N(DG87))+(1-nTP_OK*DE87)*(nTP_Loc_n&gt;=N(DF87)))*(nTP_OK*BO87*(nTP_UTC_n&lt;=N(BQ87))+(1-nTP_OK*BO87)*(nTP_Loc_n&lt;=N(BP87)))+(1-nTP_HT*DD87*BN87)*(nTP_Hi_n&gt;=N(DH87))*(nTP_Lo_n&lt;=N(BS87)))),3),0))</f>
        <v>0</v>
      </c>
      <c r="EW87" s="22">
        <f>IF(CE87&lt;1,0,IFERROR(_xlfn.AGGREGATE(15,6,nTP_RowN/((nTP_CandKey=BX87)*(nTP_Err="")*(1-nTP_Exact)*((nTP_HT*BN87*((nTP_OK*BO87*(nTP_UTC_n-N(BQ87))+(1-nTP_OK*BO87)*(nTP_Loc_n-N(BP87)))&lt;=0)+(1-nTP_HT*BN87)*(nTP_Hi_n&lt;N(BR87)))+((1-nTP_HT*BN87)*(nTP_Lo_n=nTP_Hi_n)*(nTP_Lo_n=N(BR87))*(N(BR87)=N(BS87))))),1),0))</f>
        <v>0</v>
      </c>
      <c r="EX87" s="22">
        <f>IF(CE87&lt;2,0,IFERROR(_xlfn.AGGREGATE(15,6,nTP_RowN/((nTP_CandKey=BX87)*(nTP_Err="")*(1-nTP_Exact)*((nTP_HT*BN87*((nTP_OK*BO87*(nTP_UTC_n-N(BQ87))+(1-nTP_OK*BO87)*(nTP_Loc_n-N(BP87)))&lt;=0)+(1-nTP_HT*BN87)*(nTP_Hi_n&lt;N(BR87)))+((1-nTP_HT*BN87)*(nTP_Lo_n=nTP_Hi_n)*(nTP_Lo_n=N(BR87))*(N(BR87)=N(BS87))))),2),0))</f>
        <v>0</v>
      </c>
      <c r="EY87" s="22">
        <f>IF(CE87&lt;3,0,IFERROR(_xlfn.AGGREGATE(15,6,nTP_RowN/((nTP_CandKey=BX87)*(nTP_Err="")*(1-nTP_Exact)*((nTP_HT*BN87*((nTP_OK*BO87*(nTP_UTC_n-N(BQ87))+(1-nTP_OK*BO87)*(nTP_Loc_n-N(BP87)))&lt;=0)+(1-nTP_HT*BN87)*(nTP_Hi_n&lt;N(BR87)))+((1-nTP_HT*BN87)*(nTP_Lo_n=nTP_Hi_n)*(nTP_Lo_n=N(BR87))*(N(BR87)=N(BS87))))),3),0))</f>
        <v>0</v>
      </c>
      <c r="EZ87" s="21" t="str">
        <f>IF(EO87=0,"",MID(IF(EQ87&gt;0,"; "&amp;INDEX(nTP_Record_ID,EQ87)&amp;IF(INDEX(nTP_Label,EQ87)="",""," ("&amp;INDEX(nTP_Label,EQ87)&amp;")"),"")&amp;IF(ER87&gt;0,"; "&amp;INDEX(nTP_Record_ID,ER87)&amp;IF(INDEX(nTP_Label,ER87)="",""," ("&amp;INDEX(nTP_Label,ER87)&amp;")"),"")&amp;IF(ES87&gt;0,"; "&amp;INDEX(nTP_Record_ID,ES87)&amp;IF(INDEX(nTP_Label,ES87)="",""," ("&amp;INDEX(nTP_Label,ES87)&amp;")"),"")&amp;IF(EO87&gt;3,"; and "&amp;(EO87-3)&amp;" more",""),3,999))</f>
        <v/>
      </c>
      <c r="FA87" s="21" t="str">
        <f>IF(EO87=0,"",MID(IF(EQ87&gt;0,"; "&amp;INDEX(nTP_Record_ID,EQ87),"")&amp;IF(ER87&gt;0,"; "&amp;INDEX(nTP_Record_ID,ER87),"")&amp;IF(ES87&gt;0,"; "&amp;INDEX(nTP_Record_ID,ES87),"")&amp;IF(EO87&gt;3,"; and "&amp;(EO87-3)&amp;" more",""),3,999))</f>
        <v/>
      </c>
      <c r="FB87" s="21" t="str">
        <f>IF(EP87=0,"",MID(IF(ET87&gt;0,"; "&amp;INDEX(nTP_Record_ID,ET87)&amp;IF(INDEX(nTP_Label,ET87)="",""," ("&amp;INDEX(nTP_Label,ET87)&amp;")"),"")&amp;IF(EU87&gt;0,"; "&amp;INDEX(nTP_Record_ID,EU87)&amp;IF(INDEX(nTP_Label,EU87)="",""," ("&amp;INDEX(nTP_Label,EU87)&amp;")"),"")&amp;IF(EV87&gt;0,"; "&amp;INDEX(nTP_Record_ID,EV87)&amp;IF(INDEX(nTP_Label,EV87)="",""," ("&amp;INDEX(nTP_Label,EV87)&amp;")"),"")&amp;IF(EP87&gt;3,"; and "&amp;(EP87-3)&amp;" more",""),3,999))</f>
        <v/>
      </c>
      <c r="FC87" s="21" t="str">
        <f>IF(CE87=0,"",MID(IF(EW87&gt;0,"; "&amp;INDEX(nTP_Record_ID,EW87),"")&amp;IF(EX87&gt;0,"; "&amp;INDEX(nTP_Record_ID,EX87),"")&amp;IF(EY87&gt;0,"; "&amp;INDEX(nTP_Record_ID,EY87),"")&amp;IF(CE87&gt;3,"; and "&amp;(CE87-3)&amp;" more",""),3,999))</f>
        <v/>
      </c>
      <c r="FD87" s="22">
        <f t="shared" si="181"/>
        <v>0</v>
      </c>
      <c r="FE87" s="22">
        <f t="shared" si="182"/>
        <v>0</v>
      </c>
      <c r="FF87" s="22">
        <f t="shared" si="183"/>
        <v>0</v>
      </c>
      <c r="FG87" s="22">
        <f t="shared" si="184"/>
        <v>0</v>
      </c>
      <c r="FH87" s="22">
        <f t="shared" si="185"/>
        <v>0</v>
      </c>
      <c r="FI87" s="22">
        <f t="shared" si="186"/>
        <v>0</v>
      </c>
      <c r="FJ87" s="22">
        <f t="shared" si="187"/>
        <v>0</v>
      </c>
      <c r="FK87" s="22">
        <f t="shared" si="188"/>
        <v>0</v>
      </c>
    </row>
    <row r="88" spans="1:167" x14ac:dyDescent="0.2">
      <c r="A88" s="9" t="s">
        <v>1180</v>
      </c>
      <c r="B88" s="9" t="s">
        <v>327</v>
      </c>
      <c r="C88" s="11">
        <v>1</v>
      </c>
      <c r="D88" s="9" t="s">
        <v>894</v>
      </c>
      <c r="E88" s="16" t="s">
        <v>51</v>
      </c>
      <c r="F88" s="9"/>
      <c r="G88" s="9" t="s">
        <v>1179</v>
      </c>
      <c r="H88" s="9" t="s">
        <v>1181</v>
      </c>
      <c r="I88" s="16" t="s">
        <v>59</v>
      </c>
      <c r="J88" s="16"/>
      <c r="K88" s="9"/>
      <c r="L88" s="16"/>
      <c r="M88" s="16"/>
      <c r="N88" s="16"/>
      <c r="O88" s="9"/>
      <c r="P88" s="14"/>
      <c r="Q88" s="14"/>
      <c r="R88" s="9"/>
      <c r="S88" s="9"/>
      <c r="T88" s="21" t="str">
        <f t="shared" si="126"/>
        <v>120 minutes (local clock) (2.0 hours)</v>
      </c>
      <c r="U88" s="21" t="str">
        <f t="shared" si="127"/>
        <v>120 minutes (local clock)</v>
      </c>
      <c r="V88" s="21">
        <f t="shared" si="128"/>
        <v>120</v>
      </c>
      <c r="W88" s="21" t="str">
        <f t="shared" si="129"/>
        <v/>
      </c>
      <c r="X88" s="21" t="str">
        <f t="shared" si="130"/>
        <v/>
      </c>
      <c r="Y88" s="21" t="str">
        <f t="shared" si="131"/>
        <v>minutes (local clock)</v>
      </c>
      <c r="Z88" s="21" t="str">
        <f t="shared" si="132"/>
        <v>C1</v>
      </c>
      <c r="AA88" s="21" t="str">
        <f t="shared" si="133"/>
        <v>AFTER</v>
      </c>
      <c r="AB88" s="21" t="str">
        <f t="shared" si="134"/>
        <v/>
      </c>
      <c r="AC88" s="21" t="str">
        <f t="shared" si="135"/>
        <v>W_TZ_UNKNOWN</v>
      </c>
      <c r="AD88" s="21" t="str">
        <f>IF(AW88=1,"",MID(IF(ISNUMBER(SEARCH("E_INVALID_DATE",EG88))," | E_INVALID_DATE: "&amp;SUBSTITUTE(IFERROR(INDEX(nMSG_Text,MATCH("E_INVALID_DATE",nMSG_Code,0)),""),"[input]",""),"")&amp;IF(ISNUMBER(SEARCH("E_REVERSED_BOUNDS",EG88))," | E_REVERSED_BOUNDS: "&amp;SUBSTITUTE(IFERROR(INDEX(nMSG_Text,MATCH("E_REVERSED_BOUNDS",nMSG_Code,0)),""),"[input]",""),"")&amp;IF(ISNUMBER(SEARCH("E_DUPLICATE_ID",EG88))," | E_DUPLICATE_ID: "&amp;SUBSTITUTE(IFERROR(INDEX(nMSG_Text,MATCH("E_DUPLICATE_ID",nMSG_Code,0)),""),"[input]",""),"")&amp;IF(ISNUMBER(SEARCH("E_MISSING_LINK",EG88))," | E_MISSING_LINK: "&amp;SUBSTITUTE(IFERROR(INDEX(nMSG_Text,MATCH("E_MISSING_LINK",nMSG_Code,0)),""),"[input]",""),"")&amp;IF(ISNUMBER(SEARCH("E_MISSING_INPUT",EG88))," | E_MISSING_INPUT: "&amp;SUBSTITUTE(IFERROR(INDEX(nMSG_Text,MATCH("E_MISSING_INPUT",nMSG_Code,0)),""),"[input]",IF(EH88="","an input",EH88)),"")&amp;IF(ISNUMBER(SEARCH("E_INVALID_UNIT",EG88))," | E_INVALID_UNIT: "&amp;SUBSTITUTE(IFERROR(INDEX(nMSG_Text,MATCH("E_INVALID_UNIT",nMSG_Code,0)),""),"[input]",""),"")&amp;IF(FD88=1," | W_TZ_UNKNOWN: "&amp;SUBSTITUTE(IFERROR(INDEX(nMSG_Text,MATCH("W_TZ_UNKNOWN",nMSG_Code,0)),""),"[input]",""),"")&amp;IF(FE88=1," | W_SAME_DATE_ORDER_UNKNOWN: "&amp;SUBSTITUTE(IFERROR(INDEX(nMSG_Text,MATCH("W_SAME_DATE_ORDER_UNKNOWN",nMSG_Code,0)),""),"[input]",""),"")&amp;IF(FF88=1," | W_SEQUENCE_UNCERTAIN: "&amp;SUBSTITUTE(IFERROR(INDEX(nMSG_Text,MATCH("W_SEQUENCE_UNCERTAIN",nMSG_Code,0)),""),"[input]",""),"")&amp;IF(FG88=1," | W_ADMIN_SAME_DATE_AS_ONSET: "&amp;SUBSTITUTE(IFERROR(INDEX(nMSG_Text,MATCH("W_ADMIN_SAME_DATE_AS_ONSET",nMSG_Code,0)),""),"[input]",""),"")&amp;IF(FH88=1," | W_REPORTED_TIMING_CONFLICT: "&amp;SUBSTITUTE(IFERROR(INDEX(nMSG_Text,MATCH("W_REPORTED_TIMING_CONFLICT",nMSG_Code,0)),""),"[input]",""),"")&amp;IF(FI88=1," | W_INTERVENTION_BEFORE_RECOVERY: "&amp;SUBSTITUTE(IFERROR(INDEX(nMSG_Text,MATCH("W_INTERVENTION_BEFORE_RECOVERY",nMSG_Code,0)),""),"[input]",""),"")&amp;IF(FJ88=1," | I_TREATMENT_DAY_UNDEFINED: "&amp;SUBSTITUTE(IFERROR(INDEX(nMSG_Text,MATCH("I_TREATMENT_DAY_UNDEFINED",nMSG_Code,0)),""),"[input]",""),"")&amp;IF(FK88=1," | I_APPROXIMATE_NOT_COMPARED: "&amp;SUBSTITUTE(IFERROR(INDEX(nMSG_Text,MATCH("I_APPROXIMATE_NOT_COMPARED",nMSG_Code,0)),""),"[input]",""),""),4,9999))</f>
        <v>W_TZ_UNKNOWN: Offset unknown: this interval uses local clock times and could be wrong across a clock change or time zone.</v>
      </c>
      <c r="AE88" s="21" t="str">
        <f t="shared" si="136"/>
        <v/>
      </c>
      <c r="AF88" s="21" t="str">
        <f t="shared" si="137"/>
        <v/>
      </c>
      <c r="AG88" s="21" t="str">
        <f>IF(EN88="","",MID(IF(ISNUMBER(SEARCH("E_REVERSED_BOUNDS",EN88))," | E_REVERSED_BOUNDS: "&amp;SUBSTITUTE(IFERROR(INDEX(nMSG_Text,MATCH("E_REVERSED_BOUNDS",nMSG_Code,0)),""),"[input]",""),"")&amp;IF(ISNUMBER(SEARCH("E_MISSING_INPUT",EN88))," | E_MISSING_INPUT: "&amp;SUBSTITUTE(IFERROR(INDEX(nMSG_Text,MATCH("E_MISSING_INPUT",nMSG_Code,0)),""),"[input]",IF("the source of the constraint"="","an input","the source of the constraint")),""),4,999))</f>
        <v/>
      </c>
      <c r="AH88" s="21" t="str">
        <f t="shared" si="138"/>
        <v/>
      </c>
      <c r="AI88" s="21" t="str">
        <f t="shared" si="139"/>
        <v>EX1/START → EV1/ONSET</v>
      </c>
      <c r="AJ88" s="21" t="str">
        <f t="shared" si="140"/>
        <v>EX1/START</v>
      </c>
      <c r="AK88" s="21" t="str">
        <f t="shared" si="141"/>
        <v>EV1/ONSET</v>
      </c>
      <c r="AL88" s="21" t="str">
        <f>IF(CY88=0,"",INDEX(nTP_ISO,CY88))</f>
        <v>2026-03-08T01:30</v>
      </c>
      <c r="AM88" s="21" t="str">
        <f>IF(CY88=0,"",INDEX(nTP_Display,CY88))</f>
        <v>8 March 2026 01:30 (offset unknown)</v>
      </c>
      <c r="AN88" s="21" t="str">
        <f>IF(BI88=0,"",INDEX(nTP_ISO,BI88))</f>
        <v>2026-03-08T03:30</v>
      </c>
      <c r="AO88" s="21" t="str">
        <f>IF(BI88=0,"",INDEX(nTP_Display,BI88))</f>
        <v>8 March 2026 03:30 (offset unknown)</v>
      </c>
      <c r="AP88" s="21" t="str">
        <f>IF(BA88=0,"",INDEX(nLNK_Exposure_Episode_ID,BA88)&amp;"")</f>
        <v>EX1</v>
      </c>
      <c r="AQ88" s="21" t="str">
        <f>IF(BA88=0,"",INDEX(nLNK_Event_Episode_ID,BA88)&amp;"")</f>
        <v>EV1</v>
      </c>
      <c r="AR88" s="21" t="str">
        <f t="shared" si="142"/>
        <v>Anchor (FIRST_ADMIN) EX1/START: 2026-03-08T01:30 [timestamp, offset unknown; case measurement; original: "2026-03-08T01:30 (offset unknown)"; source: tto_calc_test_vectors_v1.1.json V10] | End point EV1/ONSET: 2026-03-08T03:30 [timestamp, offset unknown; case measurement; original: "2026-03-08T03:30 (offset unknown)"; source: tto_calc_test_vectors_v1.1.json V10]</v>
      </c>
      <c r="AS88" s="21" t="str">
        <f>IF(EI88=0,"",MID(IF(DT88=1," | Recovery interval (C7) computed with "&amp;DS88&amp;".","")&amp;IF(BG88=1," | Anchor selected under C5 (CALC-SPEC 1.1): latest administration with an exact date or time at or before "&amp;IF(BH88=1,"onset","the end point")&amp;" ("&amp;AJ88&amp;"), ordered in UTC when offsets are known; later administrations are never selected.","")&amp;IF(AND(BG88=1,CE88&gt;0)," | Partial-date administrations wholly before the selected one were not candidates: "&amp;FC88&amp;".","")&amp;IF(BV88&lt;&gt;""," | "&amp;BV88,"")&amp;IF(AND(DS88="C2",EA88=0,DZ88&lt;&gt;"")," | Same calendar date; both times are known, so C1 decides the order ("&amp;AA88&amp;").","")&amp;IF(AND(DS88="C2",DD88*BN88=1,DT88=0)," | Calendar-date difference from the recorded local dates; it is never described as elapsed days.","")&amp;IF(AND(DS88="C4",DT88=0)," | Bounds are treated as independent; no single date is imputed from them.","")&amp;IF(EJ88=1," | Treatment day under the inclusive convention (C3); never written to E2B fields automatically.","")&amp;IF(AND(DS88="C4",DT88=0,EK88=0)," | No constraint applied.","")&amp;IF(AND(DS88="C4",EK88=1)," | Constraint applied to the anchor bounds: "&amp;IF(ISNUMBER(P88),"not before "&amp;DAY(P88)&amp;" "&amp;INDEX(nLIST_Months,MONTH(P88))&amp;" "&amp;YEAR(P88),"")&amp;IF(AND(ISNUMBER(P88),ISNUMBER(Q88)),", ","")&amp;IF(ISNUMBER(Q88),"not after "&amp;DAY(Q88)&amp;" "&amp;INDEX(nLIST_Months,MONTH(Q88))&amp;" "&amp;YEAR(Q88),"")&amp;". Source: "&amp;IF(R88="","not recorded",R88)&amp;IF(EN88="",". Constrained result shown beside the unconstrained one.",". Constrained result blocked ("&amp;EN88&amp;")."),"")&amp;IF(DT88=1,IF(EO88&gt;0," | Intervention recorded between cessation and recovery (ends included): "&amp;EZ88&amp;"."," | No intervention is recorded between cessation and recovery; absence of a record is not evidence that none was given."),"")&amp;IF(AND(DT88=1,DV88&gt;0)," | Intervention recorded without a date, so whether it came before recovery is unknown: "&amp;INDEX(nMS_Milestone_ID,MATCH(1,INDEX((nMS_CaseKey=AX88)*(nMS_Type="INTERVENTION")*nMS_Undated,0),0))&amp;IF(DV88&gt;1," and "&amp;(DV88-1)&amp;" more","")&amp;".","")&amp;IF(AND(DT88=1,EP88&gt;0)," | Not counted as interventions, because they are recorded as exposures rather than as intervention milestones (nothing is inferred): "&amp;FB88&amp;". If treatment was given, record it as an intervention milestone.",""),4,9999))</f>
        <v/>
      </c>
      <c r="AT88" s="21" t="str">
        <f t="shared" si="143"/>
        <v>The interval describes the sequence and spacing of recorded times; it is not evidence of causation.</v>
      </c>
      <c r="AU88" s="21" t="str">
        <f t="shared" si="144"/>
        <v/>
      </c>
      <c r="AV88" s="21" t="str">
        <f t="shared" si="145"/>
        <v>CALC-SPEC 1.1</v>
      </c>
      <c r="AW88" s="22">
        <f t="shared" si="146"/>
        <v>0</v>
      </c>
      <c r="AX88" s="21" t="str">
        <f t="shared" si="147"/>
        <v>VEC-V10|1</v>
      </c>
      <c r="AY88" s="21" t="str">
        <f t="shared" si="148"/>
        <v>VEC-V10|1|I1</v>
      </c>
      <c r="AZ88" s="22">
        <f>IF(AY88="",0,COUNTIF(nINT_Key,AY88))</f>
        <v>1</v>
      </c>
      <c r="BA88" s="22">
        <f>IF(D88="",0,IFERROR(MATCH(AX88&amp;"|"&amp;D88,nLNK_Key,0),0))</f>
        <v>41</v>
      </c>
      <c r="BB88" s="22">
        <f>IF(BA88=0,1,INDEX(nLNK_Exp_Found,BA88))</f>
        <v>1</v>
      </c>
      <c r="BC88" s="22">
        <f>IF(BA88=0,1,INDEX(nLNK_Evt_Found,BA88))</f>
        <v>1</v>
      </c>
      <c r="BD88" s="22">
        <f>IF(AP88="",0,COUNTIF(nEXP_Key,AX88&amp;"|"&amp;AP88))</f>
        <v>1</v>
      </c>
      <c r="BE88" s="22">
        <f>IF(AQ88="",0,COUNTIF(nEVT_Key,AX88&amp;"|"&amp;AQ88))</f>
        <v>1</v>
      </c>
      <c r="BF88" s="22">
        <f>IF(ISNA(MATCH(E88,nLIST_AnchorType,0)),0,1)</f>
        <v>1</v>
      </c>
      <c r="BG88" s="22">
        <f t="shared" si="149"/>
        <v>0</v>
      </c>
      <c r="BH88" s="22">
        <f t="shared" si="150"/>
        <v>1</v>
      </c>
      <c r="BI88" s="22">
        <f>IF(OR(AW88=1,AK88=""),0,IFERROR(MATCH(AX88&amp;"|"&amp;AK88,nTP_Key,0),0))</f>
        <v>325</v>
      </c>
      <c r="BJ88" s="21">
        <f>IF(BI88=0,0,INDEX(nTP_Dup,BI88))</f>
        <v>1</v>
      </c>
      <c r="BK88" s="21" t="str">
        <f>IF(BI88=0,"",INDEX(nTP_Record_Type,BI88))</f>
        <v>EVENT_ONSET</v>
      </c>
      <c r="BL88" s="21" t="str">
        <f>IF(BI88=0,"",INDEX(nTP_Precision,BI88))</f>
        <v>TIMESTAMP</v>
      </c>
      <c r="BM88" s="21" t="str">
        <f>IF(BI88=0,"",INDEX(nTP_Err,BI88))</f>
        <v/>
      </c>
      <c r="BN88" s="21">
        <f>IF(BI88=0,0,INDEX(nTP_HT,BI88))</f>
        <v>1</v>
      </c>
      <c r="BO88" s="21">
        <f>IF(BI88=0,0,INDEX(nTP_OK,BI88))</f>
        <v>0</v>
      </c>
      <c r="BP88" s="21">
        <f>IF(BI88=0,"",INDEX(nTP_Loc,BI88))</f>
        <v>66368370</v>
      </c>
      <c r="BQ88" s="21" t="str">
        <f>IF(BI88=0,"",INDEX(nTP_UTC,BI88))</f>
        <v/>
      </c>
      <c r="BR88" s="21">
        <f>IF(BI88=0,"",INDEX(nTP_Lo,BI88))</f>
        <v>46089</v>
      </c>
      <c r="BS88" s="21">
        <f>IF(BI88=0,"",INDEX(nTP_Hi,BI88))</f>
        <v>46089</v>
      </c>
      <c r="BT88" s="21" t="str">
        <f>IF(BI88=0,"",INDEX(nTP_Original_Text,BI88))</f>
        <v>2026-03-08T03:30 (offset unknown)</v>
      </c>
      <c r="BU88" s="21" t="str">
        <f>IF(BI88=0,"",INDEX(nTP_Source,BI88))</f>
        <v>tto_calc_test_vectors_v1.1.json V10</v>
      </c>
      <c r="BV88" s="21" t="str">
        <f>IF(BI88=0,"",INDEX(nTP_Lab_Note,BI88))</f>
        <v/>
      </c>
      <c r="BW88" s="22">
        <f t="shared" si="151"/>
        <v>1</v>
      </c>
      <c r="BX88" s="21" t="str">
        <f t="shared" si="152"/>
        <v>VEC-V10|1|EX1</v>
      </c>
      <c r="BY88" s="22">
        <f>IF(BG88=0,0,COUNTIF(nTP_CandKey,BX88))</f>
        <v>0</v>
      </c>
      <c r="BZ88" s="22">
        <f>IF(BG88=0,0,COUNTIFS(nTP_CandKey,BX88,nTP_Err,""))</f>
        <v>0</v>
      </c>
      <c r="CA88" s="21" t="str">
        <f>IF(BY88=BZ88,"",IF(COUNTIFS(nTP_CandKey,BX88,nTP_Err,"E_INVALID_DATE")&gt;0,"; E_INVALID_DATE","")&amp;IF(COUNTIFS(nTP_CandKey,BX88,nTP_Err,"E_REVERSED_BOUNDS")&gt;0,"; E_REVERSED_BOUNDS","")&amp;IF(COUNTIFS(nTP_CandKey,BX88,nTP_Err,"E_MISSING_INPUT")&gt;0,"; E_MISSING_INPUT","")&amp;IF(COUNTIFS(nTP_CandKey,BX88,nTP_Err,"E_INVALID_UNIT")&gt;0,"; E_INVALID_UNIT",""))</f>
        <v/>
      </c>
      <c r="CB88" s="22">
        <f t="shared" si="153"/>
        <v>0</v>
      </c>
      <c r="CC88" s="22">
        <f>IF(CB88=0,0,SUMPRODUCT((nTP_CandKey=BX88)*(nTP_Err="")*(1-(nTP_HT*BN88*((nTP_OK*BO88*(nTP_UTC_n-N(BQ88))+(1-nTP_OK*BO88)*(nTP_Loc_n-N(BP88)))&lt;=0)+(1-nTP_HT*BN88)*(nTP_Hi_n&lt;N(BR88)))-(nTP_HT*BN88*((nTP_OK*BO88*(nTP_UTC_n-N(BQ88))+(1-nTP_OK*BO88)*(nTP_Loc_n-N(BP88)))&gt;0)+(1-nTP_HT*BN88)*(nTP_Lo_n&gt;N(BS88)))-((1-nTP_HT*BN88)*(nTP_Lo_n=nTP_Hi_n)*(nTP_Lo_n=N(BR88))*(N(BR88)=N(BS88))))))</f>
        <v>0</v>
      </c>
      <c r="CD88" s="22">
        <f>IF(CB88=0,0,SUMPRODUCT((nTP_CandKey=BX88)*nTP_Exact*((nTP_HT*BN88*((nTP_OK*BO88*(nTP_UTC_n-N(BQ88))+(1-nTP_OK*BO88)*(nTP_Loc_n-N(BP88)))&lt;=0)+(1-nTP_HT*BN88)*(nTP_Hi_n&lt;N(BR88)))+((1-nTP_HT*BN88)*(nTP_Lo_n=nTP_Hi_n)*(nTP_Lo_n=N(BR88))*(N(BR88)=N(BS88))))))</f>
        <v>0</v>
      </c>
      <c r="CE88" s="22">
        <f>IF(CB88=0,0,SUMPRODUCT((nTP_CandKey=BX88)*(nTP_Err="")*(1-nTP_Exact)*((nTP_HT*BN88*((nTP_OK*BO88*(nTP_UTC_n-N(BQ88))+(1-nTP_OK*BO88)*(nTP_Loc_n-N(BP88)))&lt;=0)+(1-nTP_HT*BN88)*(nTP_Hi_n&lt;N(BR88)))+((1-nTP_HT*BN88)*(nTP_Lo_n=nTP_Hi_n)*(nTP_Lo_n=N(BR88))*(N(BR88)=N(BS88))))))</f>
        <v>0</v>
      </c>
      <c r="CF88" s="22">
        <f>IF(CD88=0,0,SUMPRODUCT(MAX((nTP_CandKey=BX88)*nTP_Exact*((nTP_HT*BN88*((nTP_OK*BO88*(nTP_UTC_n-N(BQ88))+(1-nTP_OK*BO88)*(nTP_Loc_n-N(BP88)))&lt;=0)+(1-nTP_HT*BN88)*(nTP_Hi_n&lt;N(BR88)))+((1-nTP_HT*BN88)*(nTP_Lo_n=nTP_Hi_n)*(nTP_Lo_n=N(BR88))*(N(BR88)=N(BS88))))*nTP_Lo_n)))</f>
        <v>0</v>
      </c>
      <c r="CG88" s="22">
        <f>IF(CD88=0,0,SUMPRODUCT((nTP_CandKey=BX88)*nTP_Exact*((nTP_HT*BN88*((nTP_OK*BO88*(nTP_UTC_n-N(BQ88))+(1-nTP_OK*BO88)*(nTP_Loc_n-N(BP88)))&lt;=0)+(1-nTP_HT*BN88)*(nTP_Hi_n&lt;N(BR88)))+((1-nTP_HT*BN88)*(nTP_Lo_n=nTP_Hi_n)*(nTP_Lo_n=N(BR88))*(N(BR88)=N(BS88))))*(nTP_Lo_n=CF88)))</f>
        <v>0</v>
      </c>
      <c r="CH88" s="22">
        <f>IF(CD88=0,0,SUMPRODUCT((nTP_CandKey=BX88)*nTP_Exact*((nTP_HT*BN88*((nTP_OK*BO88*(nTP_UTC_n-N(BQ88))+(1-nTP_OK*BO88)*(nTP_Loc_n-N(BP88)))&lt;=0)+(1-nTP_HT*BN88)*(nTP_Hi_n&lt;N(BR88)))+((1-nTP_HT*BN88)*(nTP_Lo_n=nTP_Hi_n)*(nTP_Lo_n=N(BR88))*(N(BR88)=N(BS88))))*(1-nTP_HT)*(nTP_Lo_n=CF88)))</f>
        <v>0</v>
      </c>
      <c r="CI88" s="22">
        <f>IF(CD88=0,0,SUMPRODUCT(MAX((nTP_CandKey=BX88)*nTP_Exact*((nTP_HT*BN88*((nTP_OK*BO88*(nTP_UTC_n-N(BQ88))+(1-nTP_OK*BO88)*(nTP_Loc_n-N(BP88)))&lt;=0)+(1-nTP_HT*BN88)*(nTP_Hi_n&lt;N(BR88)))+((1-nTP_HT*BN88)*(nTP_Lo_n=nTP_Hi_n)*(nTP_Lo_n=N(BR88))*(N(BR88)=N(BS88))))*(1-nTP_HT)*nTP_Lo_n)))</f>
        <v>0</v>
      </c>
      <c r="CJ88" s="22">
        <f>IF(CD88=0,0,SUMPRODUCT(MAX((nTP_CandKey=BX88)*nTP_Exact*((nTP_HT*BN88*((nTP_OK*BO88*(nTP_UTC_n-N(BQ88))+(1-nTP_OK*BO88)*(nTP_Loc_n-N(BP88)))&lt;=0)+(1-nTP_HT*BN88)*(nTP_Hi_n&lt;N(BR88)))+((1-nTP_HT*BN88)*(nTP_Lo_n=nTP_Hi_n)*(nTP_Lo_n=N(BR88))*(N(BR88)=N(BS88))))*nTP_HT*nTP_OK*nTP_UTC_n)))</f>
        <v>0</v>
      </c>
      <c r="CK88" s="22">
        <f>IF(CJ88=0,0,SUMPRODUCT((nTP_CandKey=BX88)*nTP_Exact*((nTP_HT*BN88*((nTP_OK*BO88*(nTP_UTC_n-N(BQ88))+(1-nTP_OK*BO88)*(nTP_Loc_n-N(BP88)))&lt;=0)+(1-nTP_HT*BN88)*(nTP_Hi_n&lt;N(BR88)))+((1-nTP_HT*BN88)*(nTP_Lo_n=nTP_Hi_n)*(nTP_Lo_n=N(BR88))*(N(BR88)=N(BS88))))*nTP_HT*nTP_OK*(nTP_UTC_n=CJ88)))</f>
        <v>0</v>
      </c>
      <c r="CL88" s="22">
        <f>IF(CK88&lt;&gt;1,0,SUMPRODUCT((nTP_CandKey=BX88)*nTP_Exact*((nTP_HT*BN88*((nTP_OK*BO88*(nTP_UTC_n-N(BQ88))+(1-nTP_OK*BO88)*(nTP_Loc_n-N(BP88)))&lt;=0)+(1-nTP_HT*BN88)*(nTP_Hi_n&lt;N(BR88)))+((1-nTP_HT*BN88)*(nTP_Lo_n=nTP_Hi_n)*(nTP_Lo_n=N(BR88))*(N(BR88)=N(BS88))))*nTP_HT*nTP_OK*(nTP_UTC_n=CJ88)*nTP_Loc_n))</f>
        <v>0</v>
      </c>
      <c r="CM88" s="22">
        <f>IF(CK88&lt;&gt;1,0,SUMPRODUCT((nTP_CandKey=BX88)*nTP_Exact*((nTP_HT*BN88*((nTP_OK*BO88*(nTP_UTC_n-N(BQ88))+(1-nTP_OK*BO88)*(nTP_Loc_n-N(BP88)))&lt;=0)+(1-nTP_HT*BN88)*(nTP_Hi_n&lt;N(BR88)))+((1-nTP_HT*BN88)*(nTP_Lo_n=nTP_Hi_n)*(nTP_Lo_n=N(BR88))*(N(BR88)=N(BS88))))*nTP_HT*nTP_OK*(nTP_UTC_n=CJ88)*nTP_Lo_n))</f>
        <v>0</v>
      </c>
      <c r="CN88" s="22">
        <f>IF(CD88=0,0,SUMPRODUCT(MAX((nTP_CandKey=BX88)*nTP_Exact*((nTP_HT*BN88*((nTP_OK*BO88*(nTP_UTC_n-N(BQ88))+(1-nTP_OK*BO88)*(nTP_Loc_n-N(BP88)))&lt;=0)+(1-nTP_HT*BN88)*(nTP_Hi_n&lt;N(BR88)))+((1-nTP_HT*BN88)*(nTP_Lo_n=nTP_Hi_n)*(nTP_Lo_n=N(BR88))*(N(BR88)=N(BS88))))*nTP_HT*(1-nTP_OK)*nTP_Loc_n)))</f>
        <v>0</v>
      </c>
      <c r="CO88" s="22">
        <f>IF(CN88=0,0,SUMPRODUCT((nTP_CandKey=BX88)*nTP_Exact*((nTP_HT*BN88*((nTP_OK*BO88*(nTP_UTC_n-N(BQ88))+(1-nTP_OK*BO88)*(nTP_Loc_n-N(BP88)))&lt;=0)+(1-nTP_HT*BN88)*(nTP_Hi_n&lt;N(BR88)))+((1-nTP_HT*BN88)*(nTP_Lo_n=nTP_Hi_n)*(nTP_Lo_n=N(BR88))*(N(BR88)=N(BS88))))*nTP_HT*(1-nTP_OK)*(nTP_Loc_n=CN88)))</f>
        <v>0</v>
      </c>
      <c r="CP88" s="22">
        <f>IF(CO88&lt;&gt;1,0,SUMPRODUCT((nTP_CandKey=BX88)*nTP_Exact*((nTP_HT*BN88*((nTP_OK*BO88*(nTP_UTC_n-N(BQ88))+(1-nTP_OK*BO88)*(nTP_Loc_n-N(BP88)))&lt;=0)+(1-nTP_HT*BN88)*(nTP_Hi_n&lt;N(BR88)))+((1-nTP_HT*BN88)*(nTP_Lo_n=nTP_Hi_n)*(nTP_Lo_n=N(BR88))*(N(BR88)=N(BS88))))*nTP_HT*(1-nTP_OK)*(nTP_Loc_n=CN88)*nTP_Lo_n))</f>
        <v>0</v>
      </c>
      <c r="CQ88" s="22">
        <f>IF(CD88=0,0,SUMPRODUCT(MAX((nTP_CandKey=BX88)*nTP_Exact*((nTP_HT*BN88*((nTP_OK*BO88*(nTP_UTC_n-N(BQ88))+(1-nTP_OK*BO88)*(nTP_Loc_n-N(BP88)))&lt;=0)+(1-nTP_HT*BN88)*(nTP_Hi_n&lt;N(BR88)))+((1-nTP_HT*BN88)*(nTP_Lo_n=nTP_Hi_n)*(nTP_Lo_n=N(BR88))*(N(BR88)=N(BS88))))*nTP_HT*nTP_OK*nTP_Loc_n)))</f>
        <v>0</v>
      </c>
      <c r="CR88" s="22">
        <f t="shared" si="154"/>
        <v>0</v>
      </c>
      <c r="CS88" s="22">
        <f>IF(CR88=0,0,IF(CR88=1,MATCH(1,INDEX((nTP_CandKey=BX88)*nTP_Exact*((nTP_HT*BN88*((nTP_OK*BO88*(nTP_UTC_n-N(BQ88))+(1-nTP_OK*BO88)*(nTP_Loc_n-N(BP88)))&lt;=0)+(1-nTP_HT*BN88)*(nTP_Hi_n&lt;N(BR88)))+((1-nTP_HT*BN88)*(nTP_Lo_n=nTP_Hi_n)*(nTP_Lo_n=N(BR88))*(N(BR88)=N(BS88))))*(1-nTP_HT)*(nTP_Lo_n=CF88),0),0),IF(CR88=2,MATCH(1,INDEX((nTP_CandKey=BX88)*nTP_Exact*((nTP_HT*BN88*((nTP_OK*BO88*(nTP_UTC_n-N(BQ88))+(1-nTP_OK*BO88)*(nTP_Loc_n-N(BP88)))&lt;=0)+(1-nTP_HT*BN88)*(nTP_Hi_n&lt;N(BR88)))+((1-nTP_HT*BN88)*(nTP_Lo_n=nTP_Hi_n)*(nTP_Lo_n=N(BR88))*(N(BR88)=N(BS88))))*nTP_HT*nTP_OK*(nTP_UTC_n=CJ88),0),0),MATCH(1,INDEX((nTP_CandKey=BX88)*nTP_Exact*((nTP_HT*BN88*((nTP_OK*BO88*(nTP_UTC_n-N(BQ88))+(1-nTP_OK*BO88)*(nTP_Loc_n-N(BP88)))&lt;=0)+(1-nTP_HT*BN88)*(nTP_Hi_n&lt;N(BR88)))+((1-nTP_HT*BN88)*(nTP_Lo_n=nTP_Hi_n)*(nTP_Lo_n=N(BR88))*(N(BR88)=N(BS88))))*nTP_HT*(1-nTP_OK)*(nTP_Loc_n=CN88),0),0))))</f>
        <v>0</v>
      </c>
      <c r="CT88" s="22">
        <f>IF(CS88=0,0,INDEX(nTP_Lo_n,CS88))</f>
        <v>0</v>
      </c>
      <c r="CU88" s="22">
        <f>IF(CS88=0,0,SUMPRODUCT((nTP_CandKey=BX88)*(nTP_Err="")*(1-nTP_Exact)*((nTP_HT*BN88*((nTP_OK*BO88*(nTP_UTC_n-N(BQ88))+(1-nTP_OK*BO88)*(nTP_Loc_n-N(BP88)))&lt;=0)+(1-nTP_HT*BN88)*(nTP_Hi_n&lt;N(BR88)))+((1-nTP_HT*BN88)*(nTP_Lo_n=nTP_Hi_n)*(nTP_Lo_n=N(BR88))*(N(BR88)=N(BS88))))*(nTP_Hi_n&gt;=CT88)))</f>
        <v>0</v>
      </c>
      <c r="CV88" s="21" t="str">
        <f t="shared" si="155"/>
        <v/>
      </c>
      <c r="CW88" s="21" t="str">
        <f>IF(AND(BG88=1,CB88=1,CV88="",CS88&gt;0),INDEX(nTP_Record_ID,CS88)&amp;"","")</f>
        <v/>
      </c>
      <c r="CX88" s="21" t="str">
        <f>IF(OR(CV88="",BG88=0),"",IF(CV88="none","an administration record (last dose before onset)",IF(CV88="uncertain","the anchor record: "&amp;INDEX(nTP_Record_ID,MATCH(1,INDEX((nTP_CandKey=BX88)*(nTP_Err="")*(1-(nTP_HT*BN88*((nTP_OK*BO88*(nTP_UTC_n-N(BQ88))+(1-nTP_OK*BO88)*(nTP_Loc_n-N(BP88)))&lt;=0)+(1-nTP_HT*BN88)*(nTP_Hi_n&lt;N(BR88)))-(nTP_HT*BN88*((nTP_OK*BO88*(nTP_UTC_n-N(BQ88))+(1-nTP_OK*BO88)*(nTP_Loc_n-N(BP88)))&gt;0)+(1-nTP_HT*BN88)*(nTP_Lo_n&gt;N(BS88)))-((1-nTP_HT*BN88)*(nTP_Lo_n=nTP_Hi_n)*(nTP_Lo_n=N(BR88))*(N(BR88)=N(BS88)))),0),0))&amp;IF(CC88&gt;1," and "&amp;(CC88-1)&amp;" more","")&amp;" may fall before or after the end point, so the last dose cannot be identified from the recorded dates",IF(CV88="noneligible","the anchor record: no administration with an exact date is recorded at or before the end point",IF(CV88="tie","the anchor record: the order of the latest administrations cannot be told from the recorded dates and times","the anchor record: partial-date administration "&amp;INDEX(nTP_Record_ID,MATCH(1,INDEX((nTP_CandKey=BX88)*(nTP_Err="")*(1-nTP_Exact)*((nTP_HT*BN88*((nTP_OK*BO88*(nTP_UTC_n-N(BQ88))+(1-nTP_OK*BO88)*(nTP_Loc_n-N(BP88)))&lt;=0)+(1-nTP_HT*BN88)*(nTP_Hi_n&lt;N(BR88)))+((1-nTP_HT*BN88)*(nTP_Lo_n=nTP_Hi_n)*(nTP_Lo_n=N(BR88))*(N(BR88)=N(BS88))))*(nTP_Hi_n&gt;=CT88),0),0))&amp;" could be the last dose before the end point")))))</f>
        <v/>
      </c>
      <c r="CY88" s="22">
        <f>IF(OR(AW88=1,AJ88=""),0,IFERROR(MATCH(AX88&amp;"|"&amp;AJ88,nTP_Key,0),0))</f>
        <v>53</v>
      </c>
      <c r="CZ88" s="21">
        <f>IF(CY88=0,0,INDEX(nTP_Dup,CY88))</f>
        <v>1</v>
      </c>
      <c r="DA88" s="21" t="str">
        <f>IF(CY88=0,"",INDEX(nTP_Record_Type,CY88))</f>
        <v>EXPOSURE_START</v>
      </c>
      <c r="DB88" s="21" t="str">
        <f>IF(CY88=0,"",INDEX(nTP_Precision,CY88))</f>
        <v>TIMESTAMP</v>
      </c>
      <c r="DC88" s="21" t="str">
        <f>IF(CY88=0,"",INDEX(nTP_Err,CY88))</f>
        <v/>
      </c>
      <c r="DD88" s="21">
        <f>IF(CY88=0,0,INDEX(nTP_HT,CY88))</f>
        <v>1</v>
      </c>
      <c r="DE88" s="21">
        <f>IF(CY88=0,0,INDEX(nTP_OK,CY88))</f>
        <v>0</v>
      </c>
      <c r="DF88" s="21">
        <f>IF(CY88=0,"",INDEX(nTP_Loc,CY88))</f>
        <v>66368250</v>
      </c>
      <c r="DG88" s="21" t="str">
        <f>IF(CY88=0,"",INDEX(nTP_UTC,CY88))</f>
        <v/>
      </c>
      <c r="DH88" s="21">
        <f>IF(CY88=0,"",INDEX(nTP_Lo,CY88))</f>
        <v>46089</v>
      </c>
      <c r="DI88" s="21">
        <f>IF(CY88=0,"",INDEX(nTP_Hi,CY88))</f>
        <v>46089</v>
      </c>
      <c r="DJ88" s="21" t="str">
        <f>IF(CY88=0,"",INDEX(nTP_Original_Text,CY88))</f>
        <v>2026-03-08T01:30 (offset unknown)</v>
      </c>
      <c r="DK88" s="21" t="str">
        <f>IF(CY88=0,"",INDEX(nTP_Source,CY88))</f>
        <v>tto_calc_test_vectors_v1.1.json V10</v>
      </c>
      <c r="DL88" s="22">
        <f t="shared" si="156"/>
        <v>1</v>
      </c>
      <c r="DM88" s="21" t="str">
        <f t="shared" si="157"/>
        <v/>
      </c>
      <c r="DN88" s="21" t="str">
        <f t="shared" si="158"/>
        <v/>
      </c>
      <c r="DO88" s="21" t="str">
        <f t="shared" si="159"/>
        <v/>
      </c>
      <c r="DP88" s="21" t="str">
        <f t="shared" si="160"/>
        <v/>
      </c>
      <c r="DQ88" s="21" t="str">
        <f t="shared" si="161"/>
        <v>C1</v>
      </c>
      <c r="DR88" s="22">
        <f>IF(OR(DQ88="",I88=""),0,IF(ISNA(MATCH(I88,nLIST_Mode,0)),1,IF(AND(I88="C1",DQ88&lt;&gt;"C1"),1,IF(AND(I88="C2",DQ88="C4"),1,0))))</f>
        <v>0</v>
      </c>
      <c r="DS88" s="21" t="str">
        <f t="shared" si="162"/>
        <v>C1</v>
      </c>
      <c r="DT88" s="22">
        <f t="shared" si="163"/>
        <v>0</v>
      </c>
      <c r="DU88" s="21" t="str">
        <f>IF(DT88=0,"",IF(COUNTIFS(nTP_Case_Key,AX88,nTP_Record_Type,"MILESTONE:INTERVENTION",nTP_Err,"E_INVALID_DATE")&gt;0,"; E_INVALID_DATE","")&amp;IF(COUNTIFS(nTP_Case_Key,AX88,nTP_Record_Type,"MILESTONE:INTERVENTION",nTP_Err,"E_REVERSED_BOUNDS")&gt;0,"; E_REVERSED_BOUNDS","")&amp;IF(COUNTIFS(nTP_Case_Key,AX88,nTP_Record_Type,"MILESTONE:INTERVENTION",nTP_Err,"E_MISSING_INPUT")&gt;0,"; E_MISSING_INPUT","")&amp;IF(COUNTIFS(nTP_Case_Key,AX88,nTP_Record_Type,"MILESTONE:INTERVENTION",nTP_Err,"E_INVALID_UNIT")&gt;0,"; E_INVALID_UNIT",""))</f>
        <v/>
      </c>
      <c r="DV88" s="22">
        <f>IF(DT88=0,0,SUMPRODUCT((nMS_CaseKey=AX88)*(nMS_Type="INTERVENTION")*nMS_Undated))</f>
        <v>0</v>
      </c>
      <c r="DW88" s="21" t="str">
        <f t="shared" si="164"/>
        <v/>
      </c>
      <c r="DX88" s="21" t="str">
        <f t="shared" si="165"/>
        <v/>
      </c>
      <c r="DY88" s="22">
        <f t="shared" si="166"/>
        <v>1</v>
      </c>
      <c r="DZ88" s="21">
        <f t="shared" si="167"/>
        <v>120</v>
      </c>
      <c r="EA88" s="21" t="str">
        <f t="shared" si="168"/>
        <v/>
      </c>
      <c r="EB88" s="21" t="str">
        <f t="shared" si="169"/>
        <v/>
      </c>
      <c r="EC88" s="21" t="str">
        <f t="shared" si="170"/>
        <v/>
      </c>
      <c r="ED88" s="22">
        <f t="shared" si="171"/>
        <v>0</v>
      </c>
      <c r="EE88" s="22">
        <f t="shared" si="172"/>
        <v>0</v>
      </c>
      <c r="EF88" s="21" t="str">
        <f>IF(ED88=0,"",IF(OR(NOT(ISNUMBER(L88)),NOT(ISNUMBER(M88))),"I_APPROXIMATE_NOT_COMPARED",IF(AND(N88&lt;&gt;"",ISNA(MATCH(N88,nLIST_ReportedUnit,0))),"E_INVALID_UNIT",IF(N88="","E_MISSING_INPUT",IF(L88&gt;M88,"E_REVERSED_BOUNDS",IF(OR(N88="weeks",N88="months",N88="years"),"I_APPROXIMATE_NOT_COMPARED",IF(DX88&lt;&gt;"","",IF(EE88=0,"I_APPROXIMATE_NOT_COMPARED",IF(AND(L88*EE88&lt;=IF(DS88="C4",EC88,IF(DS88="C1",DZ88,EA88)),M88*EE88&gt;=IF(DS88="C4",EB88,IF(DS88="C1",DZ88,EA88))),"OVERLAP","W_REPORTED_TIMING_CONFLICT")))))))))</f>
        <v/>
      </c>
      <c r="EG88" s="21" t="str">
        <f t="shared" si="173"/>
        <v/>
      </c>
      <c r="EH88" s="21" t="str">
        <f t="shared" si="174"/>
        <v/>
      </c>
      <c r="EI88" s="22">
        <f t="shared" si="175"/>
        <v>1</v>
      </c>
      <c r="EJ88" s="22">
        <f t="shared" si="176"/>
        <v>0</v>
      </c>
      <c r="EK88" s="22">
        <f t="shared" si="177"/>
        <v>0</v>
      </c>
      <c r="EL88" s="28" t="str">
        <f t="shared" si="178"/>
        <v/>
      </c>
      <c r="EM88" s="28" t="str">
        <f t="shared" si="179"/>
        <v/>
      </c>
      <c r="EN88" s="21" t="str">
        <f t="shared" si="180"/>
        <v/>
      </c>
      <c r="EO88" s="22">
        <f>IF(OR(DT88=0,DX88&lt;&gt;""),0,SUMPRODUCT((nTP_Case_Key=AX88)*(nTP_Record_Type="MILESTONE:INTERVENTION")*(nTP_Err="")*(nTP_HT*DD88*BN88*(nTP_OK*DE88*(nTP_UTC_n&gt;=N(DG88))+(1-nTP_OK*DE88)*(nTP_Loc_n&gt;=N(DF88)))*(nTP_OK*BO88*(nTP_UTC_n&lt;=N(BQ88))+(1-nTP_OK*BO88)*(nTP_Loc_n&lt;=N(BP88)))+(1-nTP_HT*DD88*BN88)*(nTP_Hi_n&gt;=N(DH88))*(nTP_Lo_n&lt;=N(BS88)))))</f>
        <v>0</v>
      </c>
      <c r="EP88" s="22">
        <f>IF(OR(DT88=0,DX88&lt;&gt;""),0,SUMPRODUCT((nTP_Case_Key=AX88)*(nTP_Role="treatment of the event")*((nTP_Record_Type="EXPOSURE_START")+(nTP_Record_Type="ADMINISTRATION"))*(nTP_Err="")*(nTP_HT*DD88*BN88*(nTP_OK*DE88*(nTP_UTC_n&gt;=N(DG88))+(1-nTP_OK*DE88)*(nTP_Loc_n&gt;=N(DF88)))*(nTP_OK*BO88*(nTP_UTC_n&lt;=N(BQ88))+(1-nTP_OK*BO88)*(nTP_Loc_n&lt;=N(BP88)))+(1-nTP_HT*DD88*BN88)*(nTP_Hi_n&gt;=N(DH88))*(nTP_Lo_n&lt;=N(BS88)))))</f>
        <v>0</v>
      </c>
      <c r="EQ88" s="22">
        <f>IF(EO88&lt;1,0,IFERROR(_xlfn.AGGREGATE(15,6,nTP_RowN/((nTP_Case_Key=AX88)*(nTP_Record_Type="MILESTONE:INTERVENTION")*(nTP_Err="")*(nTP_HT*DD88*BN88*(nTP_OK*DE88*(nTP_UTC_n&gt;=N(DG88))+(1-nTP_OK*DE88)*(nTP_Loc_n&gt;=N(DF88)))*(nTP_OK*BO88*(nTP_UTC_n&lt;=N(BQ88))+(1-nTP_OK*BO88)*(nTP_Loc_n&lt;=N(BP88)))+(1-nTP_HT*DD88*BN88)*(nTP_Hi_n&gt;=N(DH88))*(nTP_Lo_n&lt;=N(BS88)))),1),0))</f>
        <v>0</v>
      </c>
      <c r="ER88" s="22">
        <f>IF(EO88&lt;2,0,IFERROR(_xlfn.AGGREGATE(15,6,nTP_RowN/((nTP_Case_Key=AX88)*(nTP_Record_Type="MILESTONE:INTERVENTION")*(nTP_Err="")*(nTP_HT*DD88*BN88*(nTP_OK*DE88*(nTP_UTC_n&gt;=N(DG88))+(1-nTP_OK*DE88)*(nTP_Loc_n&gt;=N(DF88)))*(nTP_OK*BO88*(nTP_UTC_n&lt;=N(BQ88))+(1-nTP_OK*BO88)*(nTP_Loc_n&lt;=N(BP88)))+(1-nTP_HT*DD88*BN88)*(nTP_Hi_n&gt;=N(DH88))*(nTP_Lo_n&lt;=N(BS88)))),2),0))</f>
        <v>0</v>
      </c>
      <c r="ES88" s="22">
        <f>IF(EO88&lt;3,0,IFERROR(_xlfn.AGGREGATE(15,6,nTP_RowN/((nTP_Case_Key=AX88)*(nTP_Record_Type="MILESTONE:INTERVENTION")*(nTP_Err="")*(nTP_HT*DD88*BN88*(nTP_OK*DE88*(nTP_UTC_n&gt;=N(DG88))+(1-nTP_OK*DE88)*(nTP_Loc_n&gt;=N(DF88)))*(nTP_OK*BO88*(nTP_UTC_n&lt;=N(BQ88))+(1-nTP_OK*BO88)*(nTP_Loc_n&lt;=N(BP88)))+(1-nTP_HT*DD88*BN88)*(nTP_Hi_n&gt;=N(DH88))*(nTP_Lo_n&lt;=N(BS88)))),3),0))</f>
        <v>0</v>
      </c>
      <c r="ET88" s="22">
        <f>IF(EP88&lt;1,0,IFERROR(_xlfn.AGGREGATE(15,6,nTP_RowN/((nTP_Case_Key=AX88)*(nTP_Role="treatment of the event")*((nTP_Record_Type="EXPOSURE_START")+(nTP_Record_Type="ADMINISTRATION"))*(nTP_Err="")*(nTP_HT*DD88*BN88*(nTP_OK*DE88*(nTP_UTC_n&gt;=N(DG88))+(1-nTP_OK*DE88)*(nTP_Loc_n&gt;=N(DF88)))*(nTP_OK*BO88*(nTP_UTC_n&lt;=N(BQ88))+(1-nTP_OK*BO88)*(nTP_Loc_n&lt;=N(BP88)))+(1-nTP_HT*DD88*BN88)*(nTP_Hi_n&gt;=N(DH88))*(nTP_Lo_n&lt;=N(BS88)))),1),0))</f>
        <v>0</v>
      </c>
      <c r="EU88" s="22">
        <f>IF(EP88&lt;2,0,IFERROR(_xlfn.AGGREGATE(15,6,nTP_RowN/((nTP_Case_Key=AX88)*(nTP_Role="treatment of the event")*((nTP_Record_Type="EXPOSURE_START")+(nTP_Record_Type="ADMINISTRATION"))*(nTP_Err="")*(nTP_HT*DD88*BN88*(nTP_OK*DE88*(nTP_UTC_n&gt;=N(DG88))+(1-nTP_OK*DE88)*(nTP_Loc_n&gt;=N(DF88)))*(nTP_OK*BO88*(nTP_UTC_n&lt;=N(BQ88))+(1-nTP_OK*BO88)*(nTP_Loc_n&lt;=N(BP88)))+(1-nTP_HT*DD88*BN88)*(nTP_Hi_n&gt;=N(DH88))*(nTP_Lo_n&lt;=N(BS88)))),2),0))</f>
        <v>0</v>
      </c>
      <c r="EV88" s="22">
        <f>IF(EP88&lt;3,0,IFERROR(_xlfn.AGGREGATE(15,6,nTP_RowN/((nTP_Case_Key=AX88)*(nTP_Role="treatment of the event")*((nTP_Record_Type="EXPOSURE_START")+(nTP_Record_Type="ADMINISTRATION"))*(nTP_Err="")*(nTP_HT*DD88*BN88*(nTP_OK*DE88*(nTP_UTC_n&gt;=N(DG88))+(1-nTP_OK*DE88)*(nTP_Loc_n&gt;=N(DF88)))*(nTP_OK*BO88*(nTP_UTC_n&lt;=N(BQ88))+(1-nTP_OK*BO88)*(nTP_Loc_n&lt;=N(BP88)))+(1-nTP_HT*DD88*BN88)*(nTP_Hi_n&gt;=N(DH88))*(nTP_Lo_n&lt;=N(BS88)))),3),0))</f>
        <v>0</v>
      </c>
      <c r="EW88" s="22">
        <f>IF(CE88&lt;1,0,IFERROR(_xlfn.AGGREGATE(15,6,nTP_RowN/((nTP_CandKey=BX88)*(nTP_Err="")*(1-nTP_Exact)*((nTP_HT*BN88*((nTP_OK*BO88*(nTP_UTC_n-N(BQ88))+(1-nTP_OK*BO88)*(nTP_Loc_n-N(BP88)))&lt;=0)+(1-nTP_HT*BN88)*(nTP_Hi_n&lt;N(BR88)))+((1-nTP_HT*BN88)*(nTP_Lo_n=nTP_Hi_n)*(nTP_Lo_n=N(BR88))*(N(BR88)=N(BS88))))),1),0))</f>
        <v>0</v>
      </c>
      <c r="EX88" s="22">
        <f>IF(CE88&lt;2,0,IFERROR(_xlfn.AGGREGATE(15,6,nTP_RowN/((nTP_CandKey=BX88)*(nTP_Err="")*(1-nTP_Exact)*((nTP_HT*BN88*((nTP_OK*BO88*(nTP_UTC_n-N(BQ88))+(1-nTP_OK*BO88)*(nTP_Loc_n-N(BP88)))&lt;=0)+(1-nTP_HT*BN88)*(nTP_Hi_n&lt;N(BR88)))+((1-nTP_HT*BN88)*(nTP_Lo_n=nTP_Hi_n)*(nTP_Lo_n=N(BR88))*(N(BR88)=N(BS88))))),2),0))</f>
        <v>0</v>
      </c>
      <c r="EY88" s="22">
        <f>IF(CE88&lt;3,0,IFERROR(_xlfn.AGGREGATE(15,6,nTP_RowN/((nTP_CandKey=BX88)*(nTP_Err="")*(1-nTP_Exact)*((nTP_HT*BN88*((nTP_OK*BO88*(nTP_UTC_n-N(BQ88))+(1-nTP_OK*BO88)*(nTP_Loc_n-N(BP88)))&lt;=0)+(1-nTP_HT*BN88)*(nTP_Hi_n&lt;N(BR88)))+((1-nTP_HT*BN88)*(nTP_Lo_n=nTP_Hi_n)*(nTP_Lo_n=N(BR88))*(N(BR88)=N(BS88))))),3),0))</f>
        <v>0</v>
      </c>
      <c r="EZ88" s="21" t="str">
        <f>IF(EO88=0,"",MID(IF(EQ88&gt;0,"; "&amp;INDEX(nTP_Record_ID,EQ88)&amp;IF(INDEX(nTP_Label,EQ88)="",""," ("&amp;INDEX(nTP_Label,EQ88)&amp;")"),"")&amp;IF(ER88&gt;0,"; "&amp;INDEX(nTP_Record_ID,ER88)&amp;IF(INDEX(nTP_Label,ER88)="",""," ("&amp;INDEX(nTP_Label,ER88)&amp;")"),"")&amp;IF(ES88&gt;0,"; "&amp;INDEX(nTP_Record_ID,ES88)&amp;IF(INDEX(nTP_Label,ES88)="",""," ("&amp;INDEX(nTP_Label,ES88)&amp;")"),"")&amp;IF(EO88&gt;3,"; and "&amp;(EO88-3)&amp;" more",""),3,999))</f>
        <v/>
      </c>
      <c r="FA88" s="21" t="str">
        <f>IF(EO88=0,"",MID(IF(EQ88&gt;0,"; "&amp;INDEX(nTP_Record_ID,EQ88),"")&amp;IF(ER88&gt;0,"; "&amp;INDEX(nTP_Record_ID,ER88),"")&amp;IF(ES88&gt;0,"; "&amp;INDEX(nTP_Record_ID,ES88),"")&amp;IF(EO88&gt;3,"; and "&amp;(EO88-3)&amp;" more",""),3,999))</f>
        <v/>
      </c>
      <c r="FB88" s="21" t="str">
        <f>IF(EP88=0,"",MID(IF(ET88&gt;0,"; "&amp;INDEX(nTP_Record_ID,ET88)&amp;IF(INDEX(nTP_Label,ET88)="",""," ("&amp;INDEX(nTP_Label,ET88)&amp;")"),"")&amp;IF(EU88&gt;0,"; "&amp;INDEX(nTP_Record_ID,EU88)&amp;IF(INDEX(nTP_Label,EU88)="",""," ("&amp;INDEX(nTP_Label,EU88)&amp;")"),"")&amp;IF(EV88&gt;0,"; "&amp;INDEX(nTP_Record_ID,EV88)&amp;IF(INDEX(nTP_Label,EV88)="",""," ("&amp;INDEX(nTP_Label,EV88)&amp;")"),"")&amp;IF(EP88&gt;3,"; and "&amp;(EP88-3)&amp;" more",""),3,999))</f>
        <v/>
      </c>
      <c r="FC88" s="21" t="str">
        <f>IF(CE88=0,"",MID(IF(EW88&gt;0,"; "&amp;INDEX(nTP_Record_ID,EW88),"")&amp;IF(EX88&gt;0,"; "&amp;INDEX(nTP_Record_ID,EX88),"")&amp;IF(EY88&gt;0,"; "&amp;INDEX(nTP_Record_ID,EY88),"")&amp;IF(CE88&gt;3,"; and "&amp;(CE88-3)&amp;" more",""),3,999))</f>
        <v/>
      </c>
      <c r="FD88" s="22">
        <f t="shared" si="181"/>
        <v>1</v>
      </c>
      <c r="FE88" s="22">
        <f t="shared" si="182"/>
        <v>0</v>
      </c>
      <c r="FF88" s="22">
        <f t="shared" si="183"/>
        <v>0</v>
      </c>
      <c r="FG88" s="22">
        <f t="shared" si="184"/>
        <v>0</v>
      </c>
      <c r="FH88" s="22">
        <f t="shared" si="185"/>
        <v>0</v>
      </c>
      <c r="FI88" s="22">
        <f t="shared" si="186"/>
        <v>0</v>
      </c>
      <c r="FJ88" s="22">
        <f t="shared" si="187"/>
        <v>0</v>
      </c>
      <c r="FK88" s="22">
        <f t="shared" si="188"/>
        <v>0</v>
      </c>
    </row>
    <row r="89" spans="1:167" x14ac:dyDescent="0.2">
      <c r="A89" s="9" t="s">
        <v>1180</v>
      </c>
      <c r="B89" s="9" t="s">
        <v>329</v>
      </c>
      <c r="C89" s="11">
        <v>1</v>
      </c>
      <c r="D89" s="9" t="s">
        <v>894</v>
      </c>
      <c r="E89" s="16" t="s">
        <v>51</v>
      </c>
      <c r="F89" s="9"/>
      <c r="G89" s="9" t="s">
        <v>1179</v>
      </c>
      <c r="H89" s="9" t="s">
        <v>1181</v>
      </c>
      <c r="I89" s="16" t="s">
        <v>59</v>
      </c>
      <c r="J89" s="16"/>
      <c r="K89" s="9" t="s">
        <v>1185</v>
      </c>
      <c r="L89" s="16">
        <v>120</v>
      </c>
      <c r="M89" s="16">
        <v>120</v>
      </c>
      <c r="N89" s="16" t="s">
        <v>66</v>
      </c>
      <c r="O89" s="9" t="s">
        <v>1184</v>
      </c>
      <c r="P89" s="14"/>
      <c r="Q89" s="14"/>
      <c r="R89" s="9"/>
      <c r="S89" s="9"/>
      <c r="T89" s="21" t="str">
        <f t="shared" si="126"/>
        <v>360 minutes (6.0 hours)</v>
      </c>
      <c r="U89" s="21" t="str">
        <f t="shared" si="127"/>
        <v>360 minutes</v>
      </c>
      <c r="V89" s="21">
        <f t="shared" si="128"/>
        <v>360</v>
      </c>
      <c r="W89" s="21" t="str">
        <f t="shared" si="129"/>
        <v/>
      </c>
      <c r="X89" s="21" t="str">
        <f t="shared" si="130"/>
        <v/>
      </c>
      <c r="Y89" s="21" t="str">
        <f t="shared" si="131"/>
        <v>minutes</v>
      </c>
      <c r="Z89" s="21" t="str">
        <f t="shared" si="132"/>
        <v>C1; C6</v>
      </c>
      <c r="AA89" s="21" t="str">
        <f t="shared" si="133"/>
        <v>AFTER</v>
      </c>
      <c r="AB89" s="21" t="str">
        <f t="shared" si="134"/>
        <v/>
      </c>
      <c r="AC89" s="21" t="str">
        <f t="shared" si="135"/>
        <v>W_REPORTED_TIMING_CONFLICT</v>
      </c>
      <c r="AD89" s="21" t="str">
        <f>IF(AW89=1,"",MID(IF(ISNUMBER(SEARCH("E_INVALID_DATE",EG89))," | E_INVALID_DATE: "&amp;SUBSTITUTE(IFERROR(INDEX(nMSG_Text,MATCH("E_INVALID_DATE",nMSG_Code,0)),""),"[input]",""),"")&amp;IF(ISNUMBER(SEARCH("E_REVERSED_BOUNDS",EG89))," | E_REVERSED_BOUNDS: "&amp;SUBSTITUTE(IFERROR(INDEX(nMSG_Text,MATCH("E_REVERSED_BOUNDS",nMSG_Code,0)),""),"[input]",""),"")&amp;IF(ISNUMBER(SEARCH("E_DUPLICATE_ID",EG89))," | E_DUPLICATE_ID: "&amp;SUBSTITUTE(IFERROR(INDEX(nMSG_Text,MATCH("E_DUPLICATE_ID",nMSG_Code,0)),""),"[input]",""),"")&amp;IF(ISNUMBER(SEARCH("E_MISSING_LINK",EG89))," | E_MISSING_LINK: "&amp;SUBSTITUTE(IFERROR(INDEX(nMSG_Text,MATCH("E_MISSING_LINK",nMSG_Code,0)),""),"[input]",""),"")&amp;IF(ISNUMBER(SEARCH("E_MISSING_INPUT",EG89))," | E_MISSING_INPUT: "&amp;SUBSTITUTE(IFERROR(INDEX(nMSG_Text,MATCH("E_MISSING_INPUT",nMSG_Code,0)),""),"[input]",IF(EH89="","an input",EH89)),"")&amp;IF(ISNUMBER(SEARCH("E_INVALID_UNIT",EG89))," | E_INVALID_UNIT: "&amp;SUBSTITUTE(IFERROR(INDEX(nMSG_Text,MATCH("E_INVALID_UNIT",nMSG_Code,0)),""),"[input]",""),"")&amp;IF(FD89=1," | W_TZ_UNKNOWN: "&amp;SUBSTITUTE(IFERROR(INDEX(nMSG_Text,MATCH("W_TZ_UNKNOWN",nMSG_Code,0)),""),"[input]",""),"")&amp;IF(FE89=1," | W_SAME_DATE_ORDER_UNKNOWN: "&amp;SUBSTITUTE(IFERROR(INDEX(nMSG_Text,MATCH("W_SAME_DATE_ORDER_UNKNOWN",nMSG_Code,0)),""),"[input]",""),"")&amp;IF(FF89=1," | W_SEQUENCE_UNCERTAIN: "&amp;SUBSTITUTE(IFERROR(INDEX(nMSG_Text,MATCH("W_SEQUENCE_UNCERTAIN",nMSG_Code,0)),""),"[input]",""),"")&amp;IF(FG89=1," | W_ADMIN_SAME_DATE_AS_ONSET: "&amp;SUBSTITUTE(IFERROR(INDEX(nMSG_Text,MATCH("W_ADMIN_SAME_DATE_AS_ONSET",nMSG_Code,0)),""),"[input]",""),"")&amp;IF(FH89=1," | W_REPORTED_TIMING_CONFLICT: "&amp;SUBSTITUTE(IFERROR(INDEX(nMSG_Text,MATCH("W_REPORTED_TIMING_CONFLICT",nMSG_Code,0)),""),"[input]",""),"")&amp;IF(FI89=1," | W_INTERVENTION_BEFORE_RECOVERY: "&amp;SUBSTITUTE(IFERROR(INDEX(nMSG_Text,MATCH("W_INTERVENTION_BEFORE_RECOVERY",nMSG_Code,0)),""),"[input]",""),"")&amp;IF(FJ89=1," | I_TREATMENT_DAY_UNDEFINED: "&amp;SUBSTITUTE(IFERROR(INDEX(nMSG_Text,MATCH("I_TREATMENT_DAY_UNDEFINED",nMSG_Code,0)),""),"[input]",""),"")&amp;IF(FK89=1," | I_APPROXIMATE_NOT_COMPARED: "&amp;SUBSTITUTE(IFERROR(INDEX(nMSG_Text,MATCH("I_APPROXIMATE_NOT_COMPARED",nMSG_Code,0)),""),"[input]",""),""),4,9999))</f>
        <v>W_REPORTED_TIMING_CONFLICT: The reported timing conflicts with the recorded dates. Both are kept; query the source.</v>
      </c>
      <c r="AE89" s="21" t="str">
        <f t="shared" si="136"/>
        <v/>
      </c>
      <c r="AF89" s="21" t="str">
        <f t="shared" si="137"/>
        <v/>
      </c>
      <c r="AG89" s="21" t="str">
        <f>IF(EN89="","",MID(IF(ISNUMBER(SEARCH("E_REVERSED_BOUNDS",EN89))," | E_REVERSED_BOUNDS: "&amp;SUBSTITUTE(IFERROR(INDEX(nMSG_Text,MATCH("E_REVERSED_BOUNDS",nMSG_Code,0)),""),"[input]",""),"")&amp;IF(ISNUMBER(SEARCH("E_MISSING_INPUT",EN89))," | E_MISSING_INPUT: "&amp;SUBSTITUTE(IFERROR(INDEX(nMSG_Text,MATCH("E_MISSING_INPUT",nMSG_Code,0)),""),"[input]",IF("the source of the constraint"="","an input","the source of the constraint")),""),4,999))</f>
        <v/>
      </c>
      <c r="AH89" s="21" t="str">
        <f t="shared" si="138"/>
        <v>Conflicts with the computed interval; both kept. Reported: "two hours after the dose" [120 to 120 minutes]</v>
      </c>
      <c r="AI89" s="21" t="str">
        <f t="shared" si="139"/>
        <v>EX1/START → EV1/ONSET</v>
      </c>
      <c r="AJ89" s="21" t="str">
        <f t="shared" si="140"/>
        <v>EX1/START</v>
      </c>
      <c r="AK89" s="21" t="str">
        <f t="shared" si="141"/>
        <v>EV1/ONSET</v>
      </c>
      <c r="AL89" s="21" t="str">
        <f>IF(CY89=0,"",INDEX(nTP_ISO,CY89))</f>
        <v>2026-04-01T08:00-05:00</v>
      </c>
      <c r="AM89" s="21" t="str">
        <f>IF(CY89=0,"",INDEX(nTP_Display,CY89))</f>
        <v>1 April 2026 08:00 (UTC-05:00)</v>
      </c>
      <c r="AN89" s="21" t="str">
        <f>IF(BI89=0,"",INDEX(nTP_ISO,BI89))</f>
        <v>2026-04-01T14:00-05:00</v>
      </c>
      <c r="AO89" s="21" t="str">
        <f>IF(BI89=0,"",INDEX(nTP_Display,BI89))</f>
        <v>1 April 2026 14:00 (UTC-05:00)</v>
      </c>
      <c r="AP89" s="21" t="str">
        <f>IF(BA89=0,"",INDEX(nLNK_Exposure_Episode_ID,BA89)&amp;"")</f>
        <v>EX1</v>
      </c>
      <c r="AQ89" s="21" t="str">
        <f>IF(BA89=0,"",INDEX(nLNK_Event_Episode_ID,BA89)&amp;"")</f>
        <v>EV1</v>
      </c>
      <c r="AR89" s="21" t="str">
        <f t="shared" si="142"/>
        <v>Anchor (FIRST_ADMIN) EX1/START: 2026-04-01T08:00-05:00 [timestamp with UTC offset; case measurement; original: "dose 08:00"; source: tto_calc_test_vectors_v1.1.json V11] | End point EV1/ONSET: 2026-04-01T14:00-05:00 [timestamp with UTC offset; case measurement; original: "onset 14:00"; source: tto_calc_test_vectors_v1.1.json V11]</v>
      </c>
      <c r="AS89" s="21" t="str">
        <f>IF(EI89=0,"",MID(IF(DT89=1," | Recovery interval (C7) computed with "&amp;DS89&amp;".","")&amp;IF(BG89=1," | Anchor selected under C5 (CALC-SPEC 1.1): latest administration with an exact date or time at or before "&amp;IF(BH89=1,"onset","the end point")&amp;" ("&amp;AJ89&amp;"), ordered in UTC when offsets are known; later administrations are never selected.","")&amp;IF(AND(BG89=1,CE89&gt;0)," | Partial-date administrations wholly before the selected one were not candidates: "&amp;FC89&amp;".","")&amp;IF(BV89&lt;&gt;""," | "&amp;BV89,"")&amp;IF(AND(DS89="C2",EA89=0,DZ89&lt;&gt;"")," | Same calendar date; both times are known, so C1 decides the order ("&amp;AA89&amp;").","")&amp;IF(AND(DS89="C2",DD89*BN89=1,DT89=0)," | Calendar-date difference from the recorded local dates; it is never described as elapsed days.","")&amp;IF(AND(DS89="C4",DT89=0)," | Bounds are treated as independent; no single date is imputed from them.","")&amp;IF(EJ89=1," | Treatment day under the inclusive convention (C3); never written to E2B fields automatically.","")&amp;IF(AND(DS89="C4",DT89=0,EK89=0)," | No constraint applied.","")&amp;IF(AND(DS89="C4",EK89=1)," | Constraint applied to the anchor bounds: "&amp;IF(ISNUMBER(P89),"not before "&amp;DAY(P89)&amp;" "&amp;INDEX(nLIST_Months,MONTH(P89))&amp;" "&amp;YEAR(P89),"")&amp;IF(AND(ISNUMBER(P89),ISNUMBER(Q89)),", ","")&amp;IF(ISNUMBER(Q89),"not after "&amp;DAY(Q89)&amp;" "&amp;INDEX(nLIST_Months,MONTH(Q89))&amp;" "&amp;YEAR(Q89),"")&amp;". Source: "&amp;IF(R89="","not recorded",R89)&amp;IF(EN89="",". Constrained result shown beside the unconstrained one.",". Constrained result blocked ("&amp;EN89&amp;")."),"")&amp;IF(DT89=1,IF(EO89&gt;0," | Intervention recorded between cessation and recovery (ends included): "&amp;EZ89&amp;"."," | No intervention is recorded between cessation and recovery; absence of a record is not evidence that none was given."),"")&amp;IF(AND(DT89=1,DV89&gt;0)," | Intervention recorded without a date, so whether it came before recovery is unknown: "&amp;INDEX(nMS_Milestone_ID,MATCH(1,INDEX((nMS_CaseKey=AX89)*(nMS_Type="INTERVENTION")*nMS_Undated,0),0))&amp;IF(DV89&gt;1," and "&amp;(DV89-1)&amp;" more","")&amp;".","")&amp;IF(AND(DT89=1,EP89&gt;0)," | Not counted as interventions, because they are recorded as exposures rather than as intervention milestones (nothing is inferred): "&amp;FB89&amp;". If treatment was given, record it as an intervention milestone.",""),4,9999))</f>
        <v/>
      </c>
      <c r="AT89" s="21" t="str">
        <f t="shared" si="143"/>
        <v>The interval describes the sequence and spacing of recorded times; it is not evidence of causation.</v>
      </c>
      <c r="AU89" s="21" t="str">
        <f t="shared" si="144"/>
        <v/>
      </c>
      <c r="AV89" s="21" t="str">
        <f t="shared" si="145"/>
        <v>CALC-SPEC 1.1</v>
      </c>
      <c r="AW89" s="22">
        <f t="shared" si="146"/>
        <v>0</v>
      </c>
      <c r="AX89" s="21" t="str">
        <f t="shared" si="147"/>
        <v>VEC-V11|1</v>
      </c>
      <c r="AY89" s="21" t="str">
        <f t="shared" si="148"/>
        <v>VEC-V11|1|I1</v>
      </c>
      <c r="AZ89" s="22">
        <f>IF(AY89="",0,COUNTIF(nINT_Key,AY89))</f>
        <v>1</v>
      </c>
      <c r="BA89" s="22">
        <f>IF(D89="",0,IFERROR(MATCH(AX89&amp;"|"&amp;D89,nLNK_Key,0),0))</f>
        <v>42</v>
      </c>
      <c r="BB89" s="22">
        <f>IF(BA89=0,1,INDEX(nLNK_Exp_Found,BA89))</f>
        <v>1</v>
      </c>
      <c r="BC89" s="22">
        <f>IF(BA89=0,1,INDEX(nLNK_Evt_Found,BA89))</f>
        <v>1</v>
      </c>
      <c r="BD89" s="22">
        <f>IF(AP89="",0,COUNTIF(nEXP_Key,AX89&amp;"|"&amp;AP89))</f>
        <v>1</v>
      </c>
      <c r="BE89" s="22">
        <f>IF(AQ89="",0,COUNTIF(nEVT_Key,AX89&amp;"|"&amp;AQ89))</f>
        <v>1</v>
      </c>
      <c r="BF89" s="22">
        <f>IF(ISNA(MATCH(E89,nLIST_AnchorType,0)),0,1)</f>
        <v>1</v>
      </c>
      <c r="BG89" s="22">
        <f t="shared" si="149"/>
        <v>0</v>
      </c>
      <c r="BH89" s="22">
        <f t="shared" si="150"/>
        <v>1</v>
      </c>
      <c r="BI89" s="22">
        <f>IF(OR(AW89=1,AK89=""),0,IFERROR(MATCH(AX89&amp;"|"&amp;AK89,nTP_Key,0),0))</f>
        <v>326</v>
      </c>
      <c r="BJ89" s="21">
        <f>IF(BI89=0,0,INDEX(nTP_Dup,BI89))</f>
        <v>1</v>
      </c>
      <c r="BK89" s="21" t="str">
        <f>IF(BI89=0,"",INDEX(nTP_Record_Type,BI89))</f>
        <v>EVENT_ONSET</v>
      </c>
      <c r="BL89" s="21" t="str">
        <f>IF(BI89=0,"",INDEX(nTP_Precision,BI89))</f>
        <v>TIMESTAMP</v>
      </c>
      <c r="BM89" s="21" t="str">
        <f>IF(BI89=0,"",INDEX(nTP_Err,BI89))</f>
        <v/>
      </c>
      <c r="BN89" s="21">
        <f>IF(BI89=0,0,INDEX(nTP_HT,BI89))</f>
        <v>1</v>
      </c>
      <c r="BO89" s="21">
        <f>IF(BI89=0,0,INDEX(nTP_OK,BI89))</f>
        <v>1</v>
      </c>
      <c r="BP89" s="21">
        <f>IF(BI89=0,"",INDEX(nTP_Loc,BI89))</f>
        <v>66403560</v>
      </c>
      <c r="BQ89" s="21">
        <f>IF(BI89=0,"",INDEX(nTP_UTC,BI89))</f>
        <v>66403860</v>
      </c>
      <c r="BR89" s="21">
        <f>IF(BI89=0,"",INDEX(nTP_Lo,BI89))</f>
        <v>46113</v>
      </c>
      <c r="BS89" s="21">
        <f>IF(BI89=0,"",INDEX(nTP_Hi,BI89))</f>
        <v>46113</v>
      </c>
      <c r="BT89" s="21" t="str">
        <f>IF(BI89=0,"",INDEX(nTP_Original_Text,BI89))</f>
        <v>onset 14:00</v>
      </c>
      <c r="BU89" s="21" t="str">
        <f>IF(BI89=0,"",INDEX(nTP_Source,BI89))</f>
        <v>tto_calc_test_vectors_v1.1.json V11</v>
      </c>
      <c r="BV89" s="21" t="str">
        <f>IF(BI89=0,"",INDEX(nTP_Lab_Note,BI89))</f>
        <v/>
      </c>
      <c r="BW89" s="22">
        <f t="shared" si="151"/>
        <v>1</v>
      </c>
      <c r="BX89" s="21" t="str">
        <f t="shared" si="152"/>
        <v>VEC-V11|1|EX1</v>
      </c>
      <c r="BY89" s="22">
        <f>IF(BG89=0,0,COUNTIF(nTP_CandKey,BX89))</f>
        <v>0</v>
      </c>
      <c r="BZ89" s="22">
        <f>IF(BG89=0,0,COUNTIFS(nTP_CandKey,BX89,nTP_Err,""))</f>
        <v>0</v>
      </c>
      <c r="CA89" s="21" t="str">
        <f>IF(BY89=BZ89,"",IF(COUNTIFS(nTP_CandKey,BX89,nTP_Err,"E_INVALID_DATE")&gt;0,"; E_INVALID_DATE","")&amp;IF(COUNTIFS(nTP_CandKey,BX89,nTP_Err,"E_REVERSED_BOUNDS")&gt;0,"; E_REVERSED_BOUNDS","")&amp;IF(COUNTIFS(nTP_CandKey,BX89,nTP_Err,"E_MISSING_INPUT")&gt;0,"; E_MISSING_INPUT","")&amp;IF(COUNTIFS(nTP_CandKey,BX89,nTP_Err,"E_INVALID_UNIT")&gt;0,"; E_INVALID_UNIT",""))</f>
        <v/>
      </c>
      <c r="CB89" s="22">
        <f t="shared" si="153"/>
        <v>0</v>
      </c>
      <c r="CC89" s="22">
        <f>IF(CB89=0,0,SUMPRODUCT((nTP_CandKey=BX89)*(nTP_Err="")*(1-(nTP_HT*BN89*((nTP_OK*BO89*(nTP_UTC_n-N(BQ89))+(1-nTP_OK*BO89)*(nTP_Loc_n-N(BP89)))&lt;=0)+(1-nTP_HT*BN89)*(nTP_Hi_n&lt;N(BR89)))-(nTP_HT*BN89*((nTP_OK*BO89*(nTP_UTC_n-N(BQ89))+(1-nTP_OK*BO89)*(nTP_Loc_n-N(BP89)))&gt;0)+(1-nTP_HT*BN89)*(nTP_Lo_n&gt;N(BS89)))-((1-nTP_HT*BN89)*(nTP_Lo_n=nTP_Hi_n)*(nTP_Lo_n=N(BR89))*(N(BR89)=N(BS89))))))</f>
        <v>0</v>
      </c>
      <c r="CD89" s="22">
        <f>IF(CB89=0,0,SUMPRODUCT((nTP_CandKey=BX89)*nTP_Exact*((nTP_HT*BN89*((nTP_OK*BO89*(nTP_UTC_n-N(BQ89))+(1-nTP_OK*BO89)*(nTP_Loc_n-N(BP89)))&lt;=0)+(1-nTP_HT*BN89)*(nTP_Hi_n&lt;N(BR89)))+((1-nTP_HT*BN89)*(nTP_Lo_n=nTP_Hi_n)*(nTP_Lo_n=N(BR89))*(N(BR89)=N(BS89))))))</f>
        <v>0</v>
      </c>
      <c r="CE89" s="22">
        <f>IF(CB89=0,0,SUMPRODUCT((nTP_CandKey=BX89)*(nTP_Err="")*(1-nTP_Exact)*((nTP_HT*BN89*((nTP_OK*BO89*(nTP_UTC_n-N(BQ89))+(1-nTP_OK*BO89)*(nTP_Loc_n-N(BP89)))&lt;=0)+(1-nTP_HT*BN89)*(nTP_Hi_n&lt;N(BR89)))+((1-nTP_HT*BN89)*(nTP_Lo_n=nTP_Hi_n)*(nTP_Lo_n=N(BR89))*(N(BR89)=N(BS89))))))</f>
        <v>0</v>
      </c>
      <c r="CF89" s="22">
        <f>IF(CD89=0,0,SUMPRODUCT(MAX((nTP_CandKey=BX89)*nTP_Exact*((nTP_HT*BN89*((nTP_OK*BO89*(nTP_UTC_n-N(BQ89))+(1-nTP_OK*BO89)*(nTP_Loc_n-N(BP89)))&lt;=0)+(1-nTP_HT*BN89)*(nTP_Hi_n&lt;N(BR89)))+((1-nTP_HT*BN89)*(nTP_Lo_n=nTP_Hi_n)*(nTP_Lo_n=N(BR89))*(N(BR89)=N(BS89))))*nTP_Lo_n)))</f>
        <v>0</v>
      </c>
      <c r="CG89" s="22">
        <f>IF(CD89=0,0,SUMPRODUCT((nTP_CandKey=BX89)*nTP_Exact*((nTP_HT*BN89*((nTP_OK*BO89*(nTP_UTC_n-N(BQ89))+(1-nTP_OK*BO89)*(nTP_Loc_n-N(BP89)))&lt;=0)+(1-nTP_HT*BN89)*(nTP_Hi_n&lt;N(BR89)))+((1-nTP_HT*BN89)*(nTP_Lo_n=nTP_Hi_n)*(nTP_Lo_n=N(BR89))*(N(BR89)=N(BS89))))*(nTP_Lo_n=CF89)))</f>
        <v>0</v>
      </c>
      <c r="CH89" s="22">
        <f>IF(CD89=0,0,SUMPRODUCT((nTP_CandKey=BX89)*nTP_Exact*((nTP_HT*BN89*((nTP_OK*BO89*(nTP_UTC_n-N(BQ89))+(1-nTP_OK*BO89)*(nTP_Loc_n-N(BP89)))&lt;=0)+(1-nTP_HT*BN89)*(nTP_Hi_n&lt;N(BR89)))+((1-nTP_HT*BN89)*(nTP_Lo_n=nTP_Hi_n)*(nTP_Lo_n=N(BR89))*(N(BR89)=N(BS89))))*(1-nTP_HT)*(nTP_Lo_n=CF89)))</f>
        <v>0</v>
      </c>
      <c r="CI89" s="22">
        <f>IF(CD89=0,0,SUMPRODUCT(MAX((nTP_CandKey=BX89)*nTP_Exact*((nTP_HT*BN89*((nTP_OK*BO89*(nTP_UTC_n-N(BQ89))+(1-nTP_OK*BO89)*(nTP_Loc_n-N(BP89)))&lt;=0)+(1-nTP_HT*BN89)*(nTP_Hi_n&lt;N(BR89)))+((1-nTP_HT*BN89)*(nTP_Lo_n=nTP_Hi_n)*(nTP_Lo_n=N(BR89))*(N(BR89)=N(BS89))))*(1-nTP_HT)*nTP_Lo_n)))</f>
        <v>0</v>
      </c>
      <c r="CJ89" s="22">
        <f>IF(CD89=0,0,SUMPRODUCT(MAX((nTP_CandKey=BX89)*nTP_Exact*((nTP_HT*BN89*((nTP_OK*BO89*(nTP_UTC_n-N(BQ89))+(1-nTP_OK*BO89)*(nTP_Loc_n-N(BP89)))&lt;=0)+(1-nTP_HT*BN89)*(nTP_Hi_n&lt;N(BR89)))+((1-nTP_HT*BN89)*(nTP_Lo_n=nTP_Hi_n)*(nTP_Lo_n=N(BR89))*(N(BR89)=N(BS89))))*nTP_HT*nTP_OK*nTP_UTC_n)))</f>
        <v>0</v>
      </c>
      <c r="CK89" s="22">
        <f>IF(CJ89=0,0,SUMPRODUCT((nTP_CandKey=BX89)*nTP_Exact*((nTP_HT*BN89*((nTP_OK*BO89*(nTP_UTC_n-N(BQ89))+(1-nTP_OK*BO89)*(nTP_Loc_n-N(BP89)))&lt;=0)+(1-nTP_HT*BN89)*(nTP_Hi_n&lt;N(BR89)))+((1-nTP_HT*BN89)*(nTP_Lo_n=nTP_Hi_n)*(nTP_Lo_n=N(BR89))*(N(BR89)=N(BS89))))*nTP_HT*nTP_OK*(nTP_UTC_n=CJ89)))</f>
        <v>0</v>
      </c>
      <c r="CL89" s="22">
        <f>IF(CK89&lt;&gt;1,0,SUMPRODUCT((nTP_CandKey=BX89)*nTP_Exact*((nTP_HT*BN89*((nTP_OK*BO89*(nTP_UTC_n-N(BQ89))+(1-nTP_OK*BO89)*(nTP_Loc_n-N(BP89)))&lt;=0)+(1-nTP_HT*BN89)*(nTP_Hi_n&lt;N(BR89)))+((1-nTP_HT*BN89)*(nTP_Lo_n=nTP_Hi_n)*(nTP_Lo_n=N(BR89))*(N(BR89)=N(BS89))))*nTP_HT*nTP_OK*(nTP_UTC_n=CJ89)*nTP_Loc_n))</f>
        <v>0</v>
      </c>
      <c r="CM89" s="22">
        <f>IF(CK89&lt;&gt;1,0,SUMPRODUCT((nTP_CandKey=BX89)*nTP_Exact*((nTP_HT*BN89*((nTP_OK*BO89*(nTP_UTC_n-N(BQ89))+(1-nTP_OK*BO89)*(nTP_Loc_n-N(BP89)))&lt;=0)+(1-nTP_HT*BN89)*(nTP_Hi_n&lt;N(BR89)))+((1-nTP_HT*BN89)*(nTP_Lo_n=nTP_Hi_n)*(nTP_Lo_n=N(BR89))*(N(BR89)=N(BS89))))*nTP_HT*nTP_OK*(nTP_UTC_n=CJ89)*nTP_Lo_n))</f>
        <v>0</v>
      </c>
      <c r="CN89" s="22">
        <f>IF(CD89=0,0,SUMPRODUCT(MAX((nTP_CandKey=BX89)*nTP_Exact*((nTP_HT*BN89*((nTP_OK*BO89*(nTP_UTC_n-N(BQ89))+(1-nTP_OK*BO89)*(nTP_Loc_n-N(BP89)))&lt;=0)+(1-nTP_HT*BN89)*(nTP_Hi_n&lt;N(BR89)))+((1-nTP_HT*BN89)*(nTP_Lo_n=nTP_Hi_n)*(nTP_Lo_n=N(BR89))*(N(BR89)=N(BS89))))*nTP_HT*(1-nTP_OK)*nTP_Loc_n)))</f>
        <v>0</v>
      </c>
      <c r="CO89" s="22">
        <f>IF(CN89=0,0,SUMPRODUCT((nTP_CandKey=BX89)*nTP_Exact*((nTP_HT*BN89*((nTP_OK*BO89*(nTP_UTC_n-N(BQ89))+(1-nTP_OK*BO89)*(nTP_Loc_n-N(BP89)))&lt;=0)+(1-nTP_HT*BN89)*(nTP_Hi_n&lt;N(BR89)))+((1-nTP_HT*BN89)*(nTP_Lo_n=nTP_Hi_n)*(nTP_Lo_n=N(BR89))*(N(BR89)=N(BS89))))*nTP_HT*(1-nTP_OK)*(nTP_Loc_n=CN89)))</f>
        <v>0</v>
      </c>
      <c r="CP89" s="22">
        <f>IF(CO89&lt;&gt;1,0,SUMPRODUCT((nTP_CandKey=BX89)*nTP_Exact*((nTP_HT*BN89*((nTP_OK*BO89*(nTP_UTC_n-N(BQ89))+(1-nTP_OK*BO89)*(nTP_Loc_n-N(BP89)))&lt;=0)+(1-nTP_HT*BN89)*(nTP_Hi_n&lt;N(BR89)))+((1-nTP_HT*BN89)*(nTP_Lo_n=nTP_Hi_n)*(nTP_Lo_n=N(BR89))*(N(BR89)=N(BS89))))*nTP_HT*(1-nTP_OK)*(nTP_Loc_n=CN89)*nTP_Lo_n))</f>
        <v>0</v>
      </c>
      <c r="CQ89" s="22">
        <f>IF(CD89=0,0,SUMPRODUCT(MAX((nTP_CandKey=BX89)*nTP_Exact*((nTP_HT*BN89*((nTP_OK*BO89*(nTP_UTC_n-N(BQ89))+(1-nTP_OK*BO89)*(nTP_Loc_n-N(BP89)))&lt;=0)+(1-nTP_HT*BN89)*(nTP_Hi_n&lt;N(BR89)))+((1-nTP_HT*BN89)*(nTP_Lo_n=nTP_Hi_n)*(nTP_Lo_n=N(BR89))*(N(BR89)=N(BS89))))*nTP_HT*nTP_OK*nTP_Loc_n)))</f>
        <v>0</v>
      </c>
      <c r="CR89" s="22">
        <f t="shared" si="154"/>
        <v>0</v>
      </c>
      <c r="CS89" s="22">
        <f>IF(CR89=0,0,IF(CR89=1,MATCH(1,INDEX((nTP_CandKey=BX89)*nTP_Exact*((nTP_HT*BN89*((nTP_OK*BO89*(nTP_UTC_n-N(BQ89))+(1-nTP_OK*BO89)*(nTP_Loc_n-N(BP89)))&lt;=0)+(1-nTP_HT*BN89)*(nTP_Hi_n&lt;N(BR89)))+((1-nTP_HT*BN89)*(nTP_Lo_n=nTP_Hi_n)*(nTP_Lo_n=N(BR89))*(N(BR89)=N(BS89))))*(1-nTP_HT)*(nTP_Lo_n=CF89),0),0),IF(CR89=2,MATCH(1,INDEX((nTP_CandKey=BX89)*nTP_Exact*((nTP_HT*BN89*((nTP_OK*BO89*(nTP_UTC_n-N(BQ89))+(1-nTP_OK*BO89)*(nTP_Loc_n-N(BP89)))&lt;=0)+(1-nTP_HT*BN89)*(nTP_Hi_n&lt;N(BR89)))+((1-nTP_HT*BN89)*(nTP_Lo_n=nTP_Hi_n)*(nTP_Lo_n=N(BR89))*(N(BR89)=N(BS89))))*nTP_HT*nTP_OK*(nTP_UTC_n=CJ89),0),0),MATCH(1,INDEX((nTP_CandKey=BX89)*nTP_Exact*((nTP_HT*BN89*((nTP_OK*BO89*(nTP_UTC_n-N(BQ89))+(1-nTP_OK*BO89)*(nTP_Loc_n-N(BP89)))&lt;=0)+(1-nTP_HT*BN89)*(nTP_Hi_n&lt;N(BR89)))+((1-nTP_HT*BN89)*(nTP_Lo_n=nTP_Hi_n)*(nTP_Lo_n=N(BR89))*(N(BR89)=N(BS89))))*nTP_HT*(1-nTP_OK)*(nTP_Loc_n=CN89),0),0))))</f>
        <v>0</v>
      </c>
      <c r="CT89" s="22">
        <f>IF(CS89=0,0,INDEX(nTP_Lo_n,CS89))</f>
        <v>0</v>
      </c>
      <c r="CU89" s="22">
        <f>IF(CS89=0,0,SUMPRODUCT((nTP_CandKey=BX89)*(nTP_Err="")*(1-nTP_Exact)*((nTP_HT*BN89*((nTP_OK*BO89*(nTP_UTC_n-N(BQ89))+(1-nTP_OK*BO89)*(nTP_Loc_n-N(BP89)))&lt;=0)+(1-nTP_HT*BN89)*(nTP_Hi_n&lt;N(BR89)))+((1-nTP_HT*BN89)*(nTP_Lo_n=nTP_Hi_n)*(nTP_Lo_n=N(BR89))*(N(BR89)=N(BS89))))*(nTP_Hi_n&gt;=CT89)))</f>
        <v>0</v>
      </c>
      <c r="CV89" s="21" t="str">
        <f t="shared" si="155"/>
        <v/>
      </c>
      <c r="CW89" s="21" t="str">
        <f>IF(AND(BG89=1,CB89=1,CV89="",CS89&gt;0),INDEX(nTP_Record_ID,CS89)&amp;"","")</f>
        <v/>
      </c>
      <c r="CX89" s="21" t="str">
        <f>IF(OR(CV89="",BG89=0),"",IF(CV89="none","an administration record (last dose before onset)",IF(CV89="uncertain","the anchor record: "&amp;INDEX(nTP_Record_ID,MATCH(1,INDEX((nTP_CandKey=BX89)*(nTP_Err="")*(1-(nTP_HT*BN89*((nTP_OK*BO89*(nTP_UTC_n-N(BQ89))+(1-nTP_OK*BO89)*(nTP_Loc_n-N(BP89)))&lt;=0)+(1-nTP_HT*BN89)*(nTP_Hi_n&lt;N(BR89)))-(nTP_HT*BN89*((nTP_OK*BO89*(nTP_UTC_n-N(BQ89))+(1-nTP_OK*BO89)*(nTP_Loc_n-N(BP89)))&gt;0)+(1-nTP_HT*BN89)*(nTP_Lo_n&gt;N(BS89)))-((1-nTP_HT*BN89)*(nTP_Lo_n=nTP_Hi_n)*(nTP_Lo_n=N(BR89))*(N(BR89)=N(BS89)))),0),0))&amp;IF(CC89&gt;1," and "&amp;(CC89-1)&amp;" more","")&amp;" may fall before or after the end point, so the last dose cannot be identified from the recorded dates",IF(CV89="noneligible","the anchor record: no administration with an exact date is recorded at or before the end point",IF(CV89="tie","the anchor record: the order of the latest administrations cannot be told from the recorded dates and times","the anchor record: partial-date administration "&amp;INDEX(nTP_Record_ID,MATCH(1,INDEX((nTP_CandKey=BX89)*(nTP_Err="")*(1-nTP_Exact)*((nTP_HT*BN89*((nTP_OK*BO89*(nTP_UTC_n-N(BQ89))+(1-nTP_OK*BO89)*(nTP_Loc_n-N(BP89)))&lt;=0)+(1-nTP_HT*BN89)*(nTP_Hi_n&lt;N(BR89)))+((1-nTP_HT*BN89)*(nTP_Lo_n=nTP_Hi_n)*(nTP_Lo_n=N(BR89))*(N(BR89)=N(BS89))))*(nTP_Hi_n&gt;=CT89),0),0))&amp;" could be the last dose before the end point")))))</f>
        <v/>
      </c>
      <c r="CY89" s="22">
        <f>IF(OR(AW89=1,AJ89=""),0,IFERROR(MATCH(AX89&amp;"|"&amp;AJ89,nTP_Key,0),0))</f>
        <v>54</v>
      </c>
      <c r="CZ89" s="21">
        <f>IF(CY89=0,0,INDEX(nTP_Dup,CY89))</f>
        <v>1</v>
      </c>
      <c r="DA89" s="21" t="str">
        <f>IF(CY89=0,"",INDEX(nTP_Record_Type,CY89))</f>
        <v>EXPOSURE_START</v>
      </c>
      <c r="DB89" s="21" t="str">
        <f>IF(CY89=0,"",INDEX(nTP_Precision,CY89))</f>
        <v>TIMESTAMP</v>
      </c>
      <c r="DC89" s="21" t="str">
        <f>IF(CY89=0,"",INDEX(nTP_Err,CY89))</f>
        <v/>
      </c>
      <c r="DD89" s="21">
        <f>IF(CY89=0,0,INDEX(nTP_HT,CY89))</f>
        <v>1</v>
      </c>
      <c r="DE89" s="21">
        <f>IF(CY89=0,0,INDEX(nTP_OK,CY89))</f>
        <v>1</v>
      </c>
      <c r="DF89" s="21">
        <f>IF(CY89=0,"",INDEX(nTP_Loc,CY89))</f>
        <v>66403200</v>
      </c>
      <c r="DG89" s="21">
        <f>IF(CY89=0,"",INDEX(nTP_UTC,CY89))</f>
        <v>66403500</v>
      </c>
      <c r="DH89" s="21">
        <f>IF(CY89=0,"",INDEX(nTP_Lo,CY89))</f>
        <v>46113</v>
      </c>
      <c r="DI89" s="21">
        <f>IF(CY89=0,"",INDEX(nTP_Hi,CY89))</f>
        <v>46113</v>
      </c>
      <c r="DJ89" s="21" t="str">
        <f>IF(CY89=0,"",INDEX(nTP_Original_Text,CY89))</f>
        <v>dose 08:00</v>
      </c>
      <c r="DK89" s="21" t="str">
        <f>IF(CY89=0,"",INDEX(nTP_Source,CY89))</f>
        <v>tto_calc_test_vectors_v1.1.json V11</v>
      </c>
      <c r="DL89" s="22">
        <f t="shared" si="156"/>
        <v>1</v>
      </c>
      <c r="DM89" s="21" t="str">
        <f t="shared" si="157"/>
        <v/>
      </c>
      <c r="DN89" s="21" t="str">
        <f t="shared" si="158"/>
        <v/>
      </c>
      <c r="DO89" s="21" t="str">
        <f t="shared" si="159"/>
        <v/>
      </c>
      <c r="DP89" s="21" t="str">
        <f t="shared" si="160"/>
        <v/>
      </c>
      <c r="DQ89" s="21" t="str">
        <f t="shared" si="161"/>
        <v>C1</v>
      </c>
      <c r="DR89" s="22">
        <f>IF(OR(DQ89="",I89=""),0,IF(ISNA(MATCH(I89,nLIST_Mode,0)),1,IF(AND(I89="C1",DQ89&lt;&gt;"C1"),1,IF(AND(I89="C2",DQ89="C4"),1,0))))</f>
        <v>0</v>
      </c>
      <c r="DS89" s="21" t="str">
        <f t="shared" si="162"/>
        <v>C1</v>
      </c>
      <c r="DT89" s="22">
        <f t="shared" si="163"/>
        <v>0</v>
      </c>
      <c r="DU89" s="21" t="str">
        <f>IF(DT89=0,"",IF(COUNTIFS(nTP_Case_Key,AX89,nTP_Record_Type,"MILESTONE:INTERVENTION",nTP_Err,"E_INVALID_DATE")&gt;0,"; E_INVALID_DATE","")&amp;IF(COUNTIFS(nTP_Case_Key,AX89,nTP_Record_Type,"MILESTONE:INTERVENTION",nTP_Err,"E_REVERSED_BOUNDS")&gt;0,"; E_REVERSED_BOUNDS","")&amp;IF(COUNTIFS(nTP_Case_Key,AX89,nTP_Record_Type,"MILESTONE:INTERVENTION",nTP_Err,"E_MISSING_INPUT")&gt;0,"; E_MISSING_INPUT","")&amp;IF(COUNTIFS(nTP_Case_Key,AX89,nTP_Record_Type,"MILESTONE:INTERVENTION",nTP_Err,"E_INVALID_UNIT")&gt;0,"; E_INVALID_UNIT",""))</f>
        <v/>
      </c>
      <c r="DV89" s="22">
        <f>IF(DT89=0,0,SUMPRODUCT((nMS_CaseKey=AX89)*(nMS_Type="INTERVENTION")*nMS_Undated))</f>
        <v>0</v>
      </c>
      <c r="DW89" s="21" t="str">
        <f t="shared" si="164"/>
        <v/>
      </c>
      <c r="DX89" s="21" t="str">
        <f t="shared" si="165"/>
        <v/>
      </c>
      <c r="DY89" s="22">
        <f t="shared" si="166"/>
        <v>0</v>
      </c>
      <c r="DZ89" s="21">
        <f t="shared" si="167"/>
        <v>360</v>
      </c>
      <c r="EA89" s="21" t="str">
        <f t="shared" si="168"/>
        <v/>
      </c>
      <c r="EB89" s="21" t="str">
        <f t="shared" si="169"/>
        <v/>
      </c>
      <c r="EC89" s="21" t="str">
        <f t="shared" si="170"/>
        <v/>
      </c>
      <c r="ED89" s="22">
        <f t="shared" si="171"/>
        <v>1</v>
      </c>
      <c r="EE89" s="22">
        <f t="shared" si="172"/>
        <v>1</v>
      </c>
      <c r="EF89" s="21" t="str">
        <f>IF(ED89=0,"",IF(OR(NOT(ISNUMBER(L89)),NOT(ISNUMBER(M89))),"I_APPROXIMATE_NOT_COMPARED",IF(AND(N89&lt;&gt;"",ISNA(MATCH(N89,nLIST_ReportedUnit,0))),"E_INVALID_UNIT",IF(N89="","E_MISSING_INPUT",IF(L89&gt;M89,"E_REVERSED_BOUNDS",IF(OR(N89="weeks",N89="months",N89="years"),"I_APPROXIMATE_NOT_COMPARED",IF(DX89&lt;&gt;"","",IF(EE89=0,"I_APPROXIMATE_NOT_COMPARED",IF(AND(L89*EE89&lt;=IF(DS89="C4",EC89,IF(DS89="C1",DZ89,EA89)),M89*EE89&gt;=IF(DS89="C4",EB89,IF(DS89="C1",DZ89,EA89))),"OVERLAP","W_REPORTED_TIMING_CONFLICT")))))))))</f>
        <v>W_REPORTED_TIMING_CONFLICT</v>
      </c>
      <c r="EG89" s="21" t="str">
        <f t="shared" si="173"/>
        <v/>
      </c>
      <c r="EH89" s="21" t="str">
        <f t="shared" si="174"/>
        <v/>
      </c>
      <c r="EI89" s="22">
        <f t="shared" si="175"/>
        <v>1</v>
      </c>
      <c r="EJ89" s="22">
        <f t="shared" si="176"/>
        <v>0</v>
      </c>
      <c r="EK89" s="22">
        <f t="shared" si="177"/>
        <v>0</v>
      </c>
      <c r="EL89" s="28" t="str">
        <f t="shared" si="178"/>
        <v/>
      </c>
      <c r="EM89" s="28" t="str">
        <f t="shared" si="179"/>
        <v/>
      </c>
      <c r="EN89" s="21" t="str">
        <f t="shared" si="180"/>
        <v/>
      </c>
      <c r="EO89" s="22">
        <f>IF(OR(DT89=0,DX89&lt;&gt;""),0,SUMPRODUCT((nTP_Case_Key=AX89)*(nTP_Record_Type="MILESTONE:INTERVENTION")*(nTP_Err="")*(nTP_HT*DD89*BN89*(nTP_OK*DE89*(nTP_UTC_n&gt;=N(DG89))+(1-nTP_OK*DE89)*(nTP_Loc_n&gt;=N(DF89)))*(nTP_OK*BO89*(nTP_UTC_n&lt;=N(BQ89))+(1-nTP_OK*BO89)*(nTP_Loc_n&lt;=N(BP89)))+(1-nTP_HT*DD89*BN89)*(nTP_Hi_n&gt;=N(DH89))*(nTP_Lo_n&lt;=N(BS89)))))</f>
        <v>0</v>
      </c>
      <c r="EP89" s="22">
        <f>IF(OR(DT89=0,DX89&lt;&gt;""),0,SUMPRODUCT((nTP_Case_Key=AX89)*(nTP_Role="treatment of the event")*((nTP_Record_Type="EXPOSURE_START")+(nTP_Record_Type="ADMINISTRATION"))*(nTP_Err="")*(nTP_HT*DD89*BN89*(nTP_OK*DE89*(nTP_UTC_n&gt;=N(DG89))+(1-nTP_OK*DE89)*(nTP_Loc_n&gt;=N(DF89)))*(nTP_OK*BO89*(nTP_UTC_n&lt;=N(BQ89))+(1-nTP_OK*BO89)*(nTP_Loc_n&lt;=N(BP89)))+(1-nTP_HT*DD89*BN89)*(nTP_Hi_n&gt;=N(DH89))*(nTP_Lo_n&lt;=N(BS89)))))</f>
        <v>0</v>
      </c>
      <c r="EQ89" s="22">
        <f>IF(EO89&lt;1,0,IFERROR(_xlfn.AGGREGATE(15,6,nTP_RowN/((nTP_Case_Key=AX89)*(nTP_Record_Type="MILESTONE:INTERVENTION")*(nTP_Err="")*(nTP_HT*DD89*BN89*(nTP_OK*DE89*(nTP_UTC_n&gt;=N(DG89))+(1-nTP_OK*DE89)*(nTP_Loc_n&gt;=N(DF89)))*(nTP_OK*BO89*(nTP_UTC_n&lt;=N(BQ89))+(1-nTP_OK*BO89)*(nTP_Loc_n&lt;=N(BP89)))+(1-nTP_HT*DD89*BN89)*(nTP_Hi_n&gt;=N(DH89))*(nTP_Lo_n&lt;=N(BS89)))),1),0))</f>
        <v>0</v>
      </c>
      <c r="ER89" s="22">
        <f>IF(EO89&lt;2,0,IFERROR(_xlfn.AGGREGATE(15,6,nTP_RowN/((nTP_Case_Key=AX89)*(nTP_Record_Type="MILESTONE:INTERVENTION")*(nTP_Err="")*(nTP_HT*DD89*BN89*(nTP_OK*DE89*(nTP_UTC_n&gt;=N(DG89))+(1-nTP_OK*DE89)*(nTP_Loc_n&gt;=N(DF89)))*(nTP_OK*BO89*(nTP_UTC_n&lt;=N(BQ89))+(1-nTP_OK*BO89)*(nTP_Loc_n&lt;=N(BP89)))+(1-nTP_HT*DD89*BN89)*(nTP_Hi_n&gt;=N(DH89))*(nTP_Lo_n&lt;=N(BS89)))),2),0))</f>
        <v>0</v>
      </c>
      <c r="ES89" s="22">
        <f>IF(EO89&lt;3,0,IFERROR(_xlfn.AGGREGATE(15,6,nTP_RowN/((nTP_Case_Key=AX89)*(nTP_Record_Type="MILESTONE:INTERVENTION")*(nTP_Err="")*(nTP_HT*DD89*BN89*(nTP_OK*DE89*(nTP_UTC_n&gt;=N(DG89))+(1-nTP_OK*DE89)*(nTP_Loc_n&gt;=N(DF89)))*(nTP_OK*BO89*(nTP_UTC_n&lt;=N(BQ89))+(1-nTP_OK*BO89)*(nTP_Loc_n&lt;=N(BP89)))+(1-nTP_HT*DD89*BN89)*(nTP_Hi_n&gt;=N(DH89))*(nTP_Lo_n&lt;=N(BS89)))),3),0))</f>
        <v>0</v>
      </c>
      <c r="ET89" s="22">
        <f>IF(EP89&lt;1,0,IFERROR(_xlfn.AGGREGATE(15,6,nTP_RowN/((nTP_Case_Key=AX89)*(nTP_Role="treatment of the event")*((nTP_Record_Type="EXPOSURE_START")+(nTP_Record_Type="ADMINISTRATION"))*(nTP_Err="")*(nTP_HT*DD89*BN89*(nTP_OK*DE89*(nTP_UTC_n&gt;=N(DG89))+(1-nTP_OK*DE89)*(nTP_Loc_n&gt;=N(DF89)))*(nTP_OK*BO89*(nTP_UTC_n&lt;=N(BQ89))+(1-nTP_OK*BO89)*(nTP_Loc_n&lt;=N(BP89)))+(1-nTP_HT*DD89*BN89)*(nTP_Hi_n&gt;=N(DH89))*(nTP_Lo_n&lt;=N(BS89)))),1),0))</f>
        <v>0</v>
      </c>
      <c r="EU89" s="22">
        <f>IF(EP89&lt;2,0,IFERROR(_xlfn.AGGREGATE(15,6,nTP_RowN/((nTP_Case_Key=AX89)*(nTP_Role="treatment of the event")*((nTP_Record_Type="EXPOSURE_START")+(nTP_Record_Type="ADMINISTRATION"))*(nTP_Err="")*(nTP_HT*DD89*BN89*(nTP_OK*DE89*(nTP_UTC_n&gt;=N(DG89))+(1-nTP_OK*DE89)*(nTP_Loc_n&gt;=N(DF89)))*(nTP_OK*BO89*(nTP_UTC_n&lt;=N(BQ89))+(1-nTP_OK*BO89)*(nTP_Loc_n&lt;=N(BP89)))+(1-nTP_HT*DD89*BN89)*(nTP_Hi_n&gt;=N(DH89))*(nTP_Lo_n&lt;=N(BS89)))),2),0))</f>
        <v>0</v>
      </c>
      <c r="EV89" s="22">
        <f>IF(EP89&lt;3,0,IFERROR(_xlfn.AGGREGATE(15,6,nTP_RowN/((nTP_Case_Key=AX89)*(nTP_Role="treatment of the event")*((nTP_Record_Type="EXPOSURE_START")+(nTP_Record_Type="ADMINISTRATION"))*(nTP_Err="")*(nTP_HT*DD89*BN89*(nTP_OK*DE89*(nTP_UTC_n&gt;=N(DG89))+(1-nTP_OK*DE89)*(nTP_Loc_n&gt;=N(DF89)))*(nTP_OK*BO89*(nTP_UTC_n&lt;=N(BQ89))+(1-nTP_OK*BO89)*(nTP_Loc_n&lt;=N(BP89)))+(1-nTP_HT*DD89*BN89)*(nTP_Hi_n&gt;=N(DH89))*(nTP_Lo_n&lt;=N(BS89)))),3),0))</f>
        <v>0</v>
      </c>
      <c r="EW89" s="22">
        <f>IF(CE89&lt;1,0,IFERROR(_xlfn.AGGREGATE(15,6,nTP_RowN/((nTP_CandKey=BX89)*(nTP_Err="")*(1-nTP_Exact)*((nTP_HT*BN89*((nTP_OK*BO89*(nTP_UTC_n-N(BQ89))+(1-nTP_OK*BO89)*(nTP_Loc_n-N(BP89)))&lt;=0)+(1-nTP_HT*BN89)*(nTP_Hi_n&lt;N(BR89)))+((1-nTP_HT*BN89)*(nTP_Lo_n=nTP_Hi_n)*(nTP_Lo_n=N(BR89))*(N(BR89)=N(BS89))))),1),0))</f>
        <v>0</v>
      </c>
      <c r="EX89" s="22">
        <f>IF(CE89&lt;2,0,IFERROR(_xlfn.AGGREGATE(15,6,nTP_RowN/((nTP_CandKey=BX89)*(nTP_Err="")*(1-nTP_Exact)*((nTP_HT*BN89*((nTP_OK*BO89*(nTP_UTC_n-N(BQ89))+(1-nTP_OK*BO89)*(nTP_Loc_n-N(BP89)))&lt;=0)+(1-nTP_HT*BN89)*(nTP_Hi_n&lt;N(BR89)))+((1-nTP_HT*BN89)*(nTP_Lo_n=nTP_Hi_n)*(nTP_Lo_n=N(BR89))*(N(BR89)=N(BS89))))),2),0))</f>
        <v>0</v>
      </c>
      <c r="EY89" s="22">
        <f>IF(CE89&lt;3,0,IFERROR(_xlfn.AGGREGATE(15,6,nTP_RowN/((nTP_CandKey=BX89)*(nTP_Err="")*(1-nTP_Exact)*((nTP_HT*BN89*((nTP_OK*BO89*(nTP_UTC_n-N(BQ89))+(1-nTP_OK*BO89)*(nTP_Loc_n-N(BP89)))&lt;=0)+(1-nTP_HT*BN89)*(nTP_Hi_n&lt;N(BR89)))+((1-nTP_HT*BN89)*(nTP_Lo_n=nTP_Hi_n)*(nTP_Lo_n=N(BR89))*(N(BR89)=N(BS89))))),3),0))</f>
        <v>0</v>
      </c>
      <c r="EZ89" s="21" t="str">
        <f>IF(EO89=0,"",MID(IF(EQ89&gt;0,"; "&amp;INDEX(nTP_Record_ID,EQ89)&amp;IF(INDEX(nTP_Label,EQ89)="",""," ("&amp;INDEX(nTP_Label,EQ89)&amp;")"),"")&amp;IF(ER89&gt;0,"; "&amp;INDEX(nTP_Record_ID,ER89)&amp;IF(INDEX(nTP_Label,ER89)="",""," ("&amp;INDEX(nTP_Label,ER89)&amp;")"),"")&amp;IF(ES89&gt;0,"; "&amp;INDEX(nTP_Record_ID,ES89)&amp;IF(INDEX(nTP_Label,ES89)="",""," ("&amp;INDEX(nTP_Label,ES89)&amp;")"),"")&amp;IF(EO89&gt;3,"; and "&amp;(EO89-3)&amp;" more",""),3,999))</f>
        <v/>
      </c>
      <c r="FA89" s="21" t="str">
        <f>IF(EO89=0,"",MID(IF(EQ89&gt;0,"; "&amp;INDEX(nTP_Record_ID,EQ89),"")&amp;IF(ER89&gt;0,"; "&amp;INDEX(nTP_Record_ID,ER89),"")&amp;IF(ES89&gt;0,"; "&amp;INDEX(nTP_Record_ID,ES89),"")&amp;IF(EO89&gt;3,"; and "&amp;(EO89-3)&amp;" more",""),3,999))</f>
        <v/>
      </c>
      <c r="FB89" s="21" t="str">
        <f>IF(EP89=0,"",MID(IF(ET89&gt;0,"; "&amp;INDEX(nTP_Record_ID,ET89)&amp;IF(INDEX(nTP_Label,ET89)="",""," ("&amp;INDEX(nTP_Label,ET89)&amp;")"),"")&amp;IF(EU89&gt;0,"; "&amp;INDEX(nTP_Record_ID,EU89)&amp;IF(INDEX(nTP_Label,EU89)="",""," ("&amp;INDEX(nTP_Label,EU89)&amp;")"),"")&amp;IF(EV89&gt;0,"; "&amp;INDEX(nTP_Record_ID,EV89)&amp;IF(INDEX(nTP_Label,EV89)="",""," ("&amp;INDEX(nTP_Label,EV89)&amp;")"),"")&amp;IF(EP89&gt;3,"; and "&amp;(EP89-3)&amp;" more",""),3,999))</f>
        <v/>
      </c>
      <c r="FC89" s="21" t="str">
        <f>IF(CE89=0,"",MID(IF(EW89&gt;0,"; "&amp;INDEX(nTP_Record_ID,EW89),"")&amp;IF(EX89&gt;0,"; "&amp;INDEX(nTP_Record_ID,EX89),"")&amp;IF(EY89&gt;0,"; "&amp;INDEX(nTP_Record_ID,EY89),"")&amp;IF(CE89&gt;3,"; and "&amp;(CE89-3)&amp;" more",""),3,999))</f>
        <v/>
      </c>
      <c r="FD89" s="22">
        <f t="shared" si="181"/>
        <v>0</v>
      </c>
      <c r="FE89" s="22">
        <f t="shared" si="182"/>
        <v>0</v>
      </c>
      <c r="FF89" s="22">
        <f t="shared" si="183"/>
        <v>0</v>
      </c>
      <c r="FG89" s="22">
        <f t="shared" si="184"/>
        <v>0</v>
      </c>
      <c r="FH89" s="22">
        <f t="shared" si="185"/>
        <v>1</v>
      </c>
      <c r="FI89" s="22">
        <f t="shared" si="186"/>
        <v>0</v>
      </c>
      <c r="FJ89" s="22">
        <f t="shared" si="187"/>
        <v>0</v>
      </c>
      <c r="FK89" s="22">
        <f t="shared" si="188"/>
        <v>0</v>
      </c>
    </row>
    <row r="90" spans="1:167" x14ac:dyDescent="0.2">
      <c r="A90" s="9" t="s">
        <v>1180</v>
      </c>
      <c r="B90" s="9" t="s">
        <v>331</v>
      </c>
      <c r="C90" s="11">
        <v>1</v>
      </c>
      <c r="D90" s="9" t="s">
        <v>894</v>
      </c>
      <c r="E90" s="16" t="s">
        <v>51</v>
      </c>
      <c r="F90" s="9"/>
      <c r="G90" s="9" t="s">
        <v>1179</v>
      </c>
      <c r="H90" s="9" t="s">
        <v>1181</v>
      </c>
      <c r="I90" s="16" t="s">
        <v>60</v>
      </c>
      <c r="J90" s="16"/>
      <c r="K90" s="9"/>
      <c r="L90" s="16"/>
      <c r="M90" s="16"/>
      <c r="N90" s="16"/>
      <c r="O90" s="9"/>
      <c r="P90" s="14"/>
      <c r="Q90" s="14"/>
      <c r="R90" s="9"/>
      <c r="S90" s="9"/>
      <c r="T90" s="21" t="str">
        <f t="shared" si="126"/>
        <v>9 calendar days</v>
      </c>
      <c r="U90" s="21" t="str">
        <f t="shared" si="127"/>
        <v>9 calendar days</v>
      </c>
      <c r="V90" s="21">
        <f t="shared" si="128"/>
        <v>9</v>
      </c>
      <c r="W90" s="21" t="str">
        <f t="shared" si="129"/>
        <v/>
      </c>
      <c r="X90" s="21" t="str">
        <f t="shared" si="130"/>
        <v/>
      </c>
      <c r="Y90" s="21" t="str">
        <f t="shared" si="131"/>
        <v>calendar days</v>
      </c>
      <c r="Z90" s="21" t="str">
        <f t="shared" si="132"/>
        <v>C2</v>
      </c>
      <c r="AA90" s="21" t="str">
        <f t="shared" si="133"/>
        <v>AFTER</v>
      </c>
      <c r="AB90" s="21" t="str">
        <f t="shared" si="134"/>
        <v/>
      </c>
      <c r="AC90" s="21" t="str">
        <f t="shared" si="135"/>
        <v/>
      </c>
      <c r="AD90" s="21" t="str">
        <f>IF(AW90=1,"",MID(IF(ISNUMBER(SEARCH("E_INVALID_DATE",EG90))," | E_INVALID_DATE: "&amp;SUBSTITUTE(IFERROR(INDEX(nMSG_Text,MATCH("E_INVALID_DATE",nMSG_Code,0)),""),"[input]",""),"")&amp;IF(ISNUMBER(SEARCH("E_REVERSED_BOUNDS",EG90))," | E_REVERSED_BOUNDS: "&amp;SUBSTITUTE(IFERROR(INDEX(nMSG_Text,MATCH("E_REVERSED_BOUNDS",nMSG_Code,0)),""),"[input]",""),"")&amp;IF(ISNUMBER(SEARCH("E_DUPLICATE_ID",EG90))," | E_DUPLICATE_ID: "&amp;SUBSTITUTE(IFERROR(INDEX(nMSG_Text,MATCH("E_DUPLICATE_ID",nMSG_Code,0)),""),"[input]",""),"")&amp;IF(ISNUMBER(SEARCH("E_MISSING_LINK",EG90))," | E_MISSING_LINK: "&amp;SUBSTITUTE(IFERROR(INDEX(nMSG_Text,MATCH("E_MISSING_LINK",nMSG_Code,0)),""),"[input]",""),"")&amp;IF(ISNUMBER(SEARCH("E_MISSING_INPUT",EG90))," | E_MISSING_INPUT: "&amp;SUBSTITUTE(IFERROR(INDEX(nMSG_Text,MATCH("E_MISSING_INPUT",nMSG_Code,0)),""),"[input]",IF(EH90="","an input",EH90)),"")&amp;IF(ISNUMBER(SEARCH("E_INVALID_UNIT",EG90))," | E_INVALID_UNIT: "&amp;SUBSTITUTE(IFERROR(INDEX(nMSG_Text,MATCH("E_INVALID_UNIT",nMSG_Code,0)),""),"[input]",""),"")&amp;IF(FD90=1," | W_TZ_UNKNOWN: "&amp;SUBSTITUTE(IFERROR(INDEX(nMSG_Text,MATCH("W_TZ_UNKNOWN",nMSG_Code,0)),""),"[input]",""),"")&amp;IF(FE90=1," | W_SAME_DATE_ORDER_UNKNOWN: "&amp;SUBSTITUTE(IFERROR(INDEX(nMSG_Text,MATCH("W_SAME_DATE_ORDER_UNKNOWN",nMSG_Code,0)),""),"[input]",""),"")&amp;IF(FF90=1," | W_SEQUENCE_UNCERTAIN: "&amp;SUBSTITUTE(IFERROR(INDEX(nMSG_Text,MATCH("W_SEQUENCE_UNCERTAIN",nMSG_Code,0)),""),"[input]",""),"")&amp;IF(FG90=1," | W_ADMIN_SAME_DATE_AS_ONSET: "&amp;SUBSTITUTE(IFERROR(INDEX(nMSG_Text,MATCH("W_ADMIN_SAME_DATE_AS_ONSET",nMSG_Code,0)),""),"[input]",""),"")&amp;IF(FH90=1," | W_REPORTED_TIMING_CONFLICT: "&amp;SUBSTITUTE(IFERROR(INDEX(nMSG_Text,MATCH("W_REPORTED_TIMING_CONFLICT",nMSG_Code,0)),""),"[input]",""),"")&amp;IF(FI90=1," | W_INTERVENTION_BEFORE_RECOVERY: "&amp;SUBSTITUTE(IFERROR(INDEX(nMSG_Text,MATCH("W_INTERVENTION_BEFORE_RECOVERY",nMSG_Code,0)),""),"[input]",""),"")&amp;IF(FJ90=1," | I_TREATMENT_DAY_UNDEFINED: "&amp;SUBSTITUTE(IFERROR(INDEX(nMSG_Text,MATCH("I_TREATMENT_DAY_UNDEFINED",nMSG_Code,0)),""),"[input]",""),"")&amp;IF(FK90=1," | I_APPROXIMATE_NOT_COMPARED: "&amp;SUBSTITUTE(IFERROR(INDEX(nMSG_Text,MATCH("I_APPROXIMATE_NOT_COMPARED",nMSG_Code,0)),""),"[input]",""),""),4,9999))</f>
        <v/>
      </c>
      <c r="AE90" s="21" t="str">
        <f t="shared" si="136"/>
        <v/>
      </c>
      <c r="AF90" s="21" t="str">
        <f t="shared" si="137"/>
        <v/>
      </c>
      <c r="AG90" s="21" t="str">
        <f>IF(EN90="","",MID(IF(ISNUMBER(SEARCH("E_REVERSED_BOUNDS",EN90))," | E_REVERSED_BOUNDS: "&amp;SUBSTITUTE(IFERROR(INDEX(nMSG_Text,MATCH("E_REVERSED_BOUNDS",nMSG_Code,0)),""),"[input]",""),"")&amp;IF(ISNUMBER(SEARCH("E_MISSING_INPUT",EN90))," | E_MISSING_INPUT: "&amp;SUBSTITUTE(IFERROR(INDEX(nMSG_Text,MATCH("E_MISSING_INPUT",nMSG_Code,0)),""),"[input]",IF("the source of the constraint"="","an input","the source of the constraint")),""),4,999))</f>
        <v/>
      </c>
      <c r="AH90" s="21" t="str">
        <f t="shared" si="138"/>
        <v/>
      </c>
      <c r="AI90" s="21" t="str">
        <f t="shared" si="139"/>
        <v>EX1/START → EV1/ONSET</v>
      </c>
      <c r="AJ90" s="21" t="str">
        <f t="shared" si="140"/>
        <v>EX1/START</v>
      </c>
      <c r="AK90" s="21" t="str">
        <f t="shared" si="141"/>
        <v>EV1/ONSET</v>
      </c>
      <c r="AL90" s="21" t="str">
        <f>IF(CY90=0,"",INDEX(nTP_ISO,CY90))</f>
        <v>2026-05-01</v>
      </c>
      <c r="AM90" s="21" t="str">
        <f>IF(CY90=0,"",INDEX(nTP_Display,CY90))</f>
        <v>1 May 2026</v>
      </c>
      <c r="AN90" s="21" t="str">
        <f>IF(BI90=0,"",INDEX(nTP_ISO,BI90))</f>
        <v>2026-05-10</v>
      </c>
      <c r="AO90" s="21" t="str">
        <f>IF(BI90=0,"",INDEX(nTP_Display,BI90))</f>
        <v>10 May 2026</v>
      </c>
      <c r="AP90" s="21" t="str">
        <f>IF(BA90=0,"",INDEX(nLNK_Exposure_Episode_ID,BA90)&amp;"")</f>
        <v>EX1</v>
      </c>
      <c r="AQ90" s="21" t="str">
        <f>IF(BA90=0,"",INDEX(nLNK_Event_Episode_ID,BA90)&amp;"")</f>
        <v>EV1</v>
      </c>
      <c r="AR90" s="21" t="str">
        <f t="shared" si="142"/>
        <v>Anchor (FIRST_ADMIN) EX1/START: 2026-05-01 [day; case measurement; original: "2026-05-01"; source: tto_calc_test_vectors_v1.1.json V12] | End point EV1/ONSET: 2026-05-10 [day; case measurement; original: "onset 10 May (version 1)"; source: tto_calc_test_vectors_v1.1.json V12]</v>
      </c>
      <c r="AS90" s="21" t="str">
        <f>IF(EI90=0,"",MID(IF(DT90=1," | Recovery interval (C7) computed with "&amp;DS90&amp;".","")&amp;IF(BG90=1," | Anchor selected under C5 (CALC-SPEC 1.1): latest administration with an exact date or time at or before "&amp;IF(BH90=1,"onset","the end point")&amp;" ("&amp;AJ90&amp;"), ordered in UTC when offsets are known; later administrations are never selected.","")&amp;IF(AND(BG90=1,CE90&gt;0)," | Partial-date administrations wholly before the selected one were not candidates: "&amp;FC90&amp;".","")&amp;IF(BV90&lt;&gt;""," | "&amp;BV90,"")&amp;IF(AND(DS90="C2",EA90=0,DZ90&lt;&gt;"")," | Same calendar date; both times are known, so C1 decides the order ("&amp;AA90&amp;").","")&amp;IF(AND(DS90="C2",DD90*BN90=1,DT90=0)," | Calendar-date difference from the recorded local dates; it is never described as elapsed days.","")&amp;IF(AND(DS90="C4",DT90=0)," | Bounds are treated as independent; no single date is imputed from them.","")&amp;IF(EJ90=1," | Treatment day under the inclusive convention (C3); never written to E2B fields automatically.","")&amp;IF(AND(DS90="C4",DT90=0,EK90=0)," | No constraint applied.","")&amp;IF(AND(DS90="C4",EK90=1)," | Constraint applied to the anchor bounds: "&amp;IF(ISNUMBER(P90),"not before "&amp;DAY(P90)&amp;" "&amp;INDEX(nLIST_Months,MONTH(P90))&amp;" "&amp;YEAR(P90),"")&amp;IF(AND(ISNUMBER(P90),ISNUMBER(Q90)),", ","")&amp;IF(ISNUMBER(Q90),"not after "&amp;DAY(Q90)&amp;" "&amp;INDEX(nLIST_Months,MONTH(Q90))&amp;" "&amp;YEAR(Q90),"")&amp;". Source: "&amp;IF(R90="","not recorded",R90)&amp;IF(EN90="",". Constrained result shown beside the unconstrained one.",". Constrained result blocked ("&amp;EN90&amp;")."),"")&amp;IF(DT90=1,IF(EO90&gt;0," | Intervention recorded between cessation and recovery (ends included): "&amp;EZ90&amp;"."," | No intervention is recorded between cessation and recovery; absence of a record is not evidence that none was given."),"")&amp;IF(AND(DT90=1,DV90&gt;0)," | Intervention recorded without a date, so whether it came before recovery is unknown: "&amp;INDEX(nMS_Milestone_ID,MATCH(1,INDEX((nMS_CaseKey=AX90)*(nMS_Type="INTERVENTION")*nMS_Undated,0),0))&amp;IF(DV90&gt;1," and "&amp;(DV90-1)&amp;" more","")&amp;".","")&amp;IF(AND(DT90=1,EP90&gt;0)," | Not counted as interventions, because they are recorded as exposures rather than as intervention milestones (nothing is inferred): "&amp;FB90&amp;". If treatment was given, record it as an intervention milestone.",""),4,9999))</f>
        <v/>
      </c>
      <c r="AT90" s="21" t="str">
        <f t="shared" si="143"/>
        <v>The interval describes the sequence and spacing of recorded times; it is not evidence of causation.</v>
      </c>
      <c r="AU90" s="21" t="str">
        <f t="shared" si="144"/>
        <v/>
      </c>
      <c r="AV90" s="21" t="str">
        <f t="shared" si="145"/>
        <v>CALC-SPEC 1.1</v>
      </c>
      <c r="AW90" s="22">
        <f t="shared" si="146"/>
        <v>0</v>
      </c>
      <c r="AX90" s="21" t="str">
        <f t="shared" si="147"/>
        <v>VEC-V12|1</v>
      </c>
      <c r="AY90" s="21" t="str">
        <f t="shared" si="148"/>
        <v>VEC-V12|1|I1</v>
      </c>
      <c r="AZ90" s="22">
        <f>IF(AY90="",0,COUNTIF(nINT_Key,AY90))</f>
        <v>1</v>
      </c>
      <c r="BA90" s="22">
        <f>IF(D90="",0,IFERROR(MATCH(AX90&amp;"|"&amp;D90,nLNK_Key,0),0))</f>
        <v>50</v>
      </c>
      <c r="BB90" s="22">
        <f>IF(BA90=0,1,INDEX(nLNK_Exp_Found,BA90))</f>
        <v>1</v>
      </c>
      <c r="BC90" s="22">
        <f>IF(BA90=0,1,INDEX(nLNK_Evt_Found,BA90))</f>
        <v>1</v>
      </c>
      <c r="BD90" s="22">
        <f>IF(AP90="",0,COUNTIF(nEXP_Key,AX90&amp;"|"&amp;AP90))</f>
        <v>1</v>
      </c>
      <c r="BE90" s="22">
        <f>IF(AQ90="",0,COUNTIF(nEVT_Key,AX90&amp;"|"&amp;AQ90))</f>
        <v>1</v>
      </c>
      <c r="BF90" s="22">
        <f>IF(ISNA(MATCH(E90,nLIST_AnchorType,0)),0,1)</f>
        <v>1</v>
      </c>
      <c r="BG90" s="22">
        <f t="shared" si="149"/>
        <v>0</v>
      </c>
      <c r="BH90" s="22">
        <f t="shared" si="150"/>
        <v>1</v>
      </c>
      <c r="BI90" s="22">
        <f>IF(OR(AW90=1,AK90=""),0,IFERROR(MATCH(AX90&amp;"|"&amp;AK90,nTP_Key,0),0))</f>
        <v>327</v>
      </c>
      <c r="BJ90" s="21">
        <f>IF(BI90=0,0,INDEX(nTP_Dup,BI90))</f>
        <v>1</v>
      </c>
      <c r="BK90" s="21" t="str">
        <f>IF(BI90=0,"",INDEX(nTP_Record_Type,BI90))</f>
        <v>EVENT_ONSET</v>
      </c>
      <c r="BL90" s="21" t="str">
        <f>IF(BI90=0,"",INDEX(nTP_Precision,BI90))</f>
        <v>DATE</v>
      </c>
      <c r="BM90" s="21" t="str">
        <f>IF(BI90=0,"",INDEX(nTP_Err,BI90))</f>
        <v/>
      </c>
      <c r="BN90" s="21">
        <f>IF(BI90=0,0,INDEX(nTP_HT,BI90))</f>
        <v>0</v>
      </c>
      <c r="BO90" s="21">
        <f>IF(BI90=0,0,INDEX(nTP_OK,BI90))</f>
        <v>0</v>
      </c>
      <c r="BP90" s="21" t="str">
        <f>IF(BI90=0,"",INDEX(nTP_Loc,BI90))</f>
        <v/>
      </c>
      <c r="BQ90" s="21" t="str">
        <f>IF(BI90=0,"",INDEX(nTP_UTC,BI90))</f>
        <v/>
      </c>
      <c r="BR90" s="21">
        <f>IF(BI90=0,"",INDEX(nTP_Lo,BI90))</f>
        <v>46152</v>
      </c>
      <c r="BS90" s="21">
        <f>IF(BI90=0,"",INDEX(nTP_Hi,BI90))</f>
        <v>46152</v>
      </c>
      <c r="BT90" s="21" t="str">
        <f>IF(BI90=0,"",INDEX(nTP_Original_Text,BI90))</f>
        <v>onset 10 May (version 1)</v>
      </c>
      <c r="BU90" s="21" t="str">
        <f>IF(BI90=0,"",INDEX(nTP_Source,BI90))</f>
        <v>tto_calc_test_vectors_v1.1.json V12</v>
      </c>
      <c r="BV90" s="21" t="str">
        <f>IF(BI90=0,"",INDEX(nTP_Lab_Note,BI90))</f>
        <v/>
      </c>
      <c r="BW90" s="22">
        <f t="shared" si="151"/>
        <v>1</v>
      </c>
      <c r="BX90" s="21" t="str">
        <f t="shared" si="152"/>
        <v>VEC-V12|1|EX1</v>
      </c>
      <c r="BY90" s="22">
        <f>IF(BG90=0,0,COUNTIF(nTP_CandKey,BX90))</f>
        <v>0</v>
      </c>
      <c r="BZ90" s="22">
        <f>IF(BG90=0,0,COUNTIFS(nTP_CandKey,BX90,nTP_Err,""))</f>
        <v>0</v>
      </c>
      <c r="CA90" s="21" t="str">
        <f>IF(BY90=BZ90,"",IF(COUNTIFS(nTP_CandKey,BX90,nTP_Err,"E_INVALID_DATE")&gt;0,"; E_INVALID_DATE","")&amp;IF(COUNTIFS(nTP_CandKey,BX90,nTP_Err,"E_REVERSED_BOUNDS")&gt;0,"; E_REVERSED_BOUNDS","")&amp;IF(COUNTIFS(nTP_CandKey,BX90,nTP_Err,"E_MISSING_INPUT")&gt;0,"; E_MISSING_INPUT","")&amp;IF(COUNTIFS(nTP_CandKey,BX90,nTP_Err,"E_INVALID_UNIT")&gt;0,"; E_INVALID_UNIT",""))</f>
        <v/>
      </c>
      <c r="CB90" s="22">
        <f t="shared" si="153"/>
        <v>0</v>
      </c>
      <c r="CC90" s="22">
        <f>IF(CB90=0,0,SUMPRODUCT((nTP_CandKey=BX90)*(nTP_Err="")*(1-(nTP_HT*BN90*((nTP_OK*BO90*(nTP_UTC_n-N(BQ90))+(1-nTP_OK*BO90)*(nTP_Loc_n-N(BP90)))&lt;=0)+(1-nTP_HT*BN90)*(nTP_Hi_n&lt;N(BR90)))-(nTP_HT*BN90*((nTP_OK*BO90*(nTP_UTC_n-N(BQ90))+(1-nTP_OK*BO90)*(nTP_Loc_n-N(BP90)))&gt;0)+(1-nTP_HT*BN90)*(nTP_Lo_n&gt;N(BS90)))-((1-nTP_HT*BN90)*(nTP_Lo_n=nTP_Hi_n)*(nTP_Lo_n=N(BR90))*(N(BR90)=N(BS90))))))</f>
        <v>0</v>
      </c>
      <c r="CD90" s="22">
        <f>IF(CB90=0,0,SUMPRODUCT((nTP_CandKey=BX90)*nTP_Exact*((nTP_HT*BN90*((nTP_OK*BO90*(nTP_UTC_n-N(BQ90))+(1-nTP_OK*BO90)*(nTP_Loc_n-N(BP90)))&lt;=0)+(1-nTP_HT*BN90)*(nTP_Hi_n&lt;N(BR90)))+((1-nTP_HT*BN90)*(nTP_Lo_n=nTP_Hi_n)*(nTP_Lo_n=N(BR90))*(N(BR90)=N(BS90))))))</f>
        <v>0</v>
      </c>
      <c r="CE90" s="22">
        <f>IF(CB90=0,0,SUMPRODUCT((nTP_CandKey=BX90)*(nTP_Err="")*(1-nTP_Exact)*((nTP_HT*BN90*((nTP_OK*BO90*(nTP_UTC_n-N(BQ90))+(1-nTP_OK*BO90)*(nTP_Loc_n-N(BP90)))&lt;=0)+(1-nTP_HT*BN90)*(nTP_Hi_n&lt;N(BR90)))+((1-nTP_HT*BN90)*(nTP_Lo_n=nTP_Hi_n)*(nTP_Lo_n=N(BR90))*(N(BR90)=N(BS90))))))</f>
        <v>0</v>
      </c>
      <c r="CF90" s="22">
        <f>IF(CD90=0,0,SUMPRODUCT(MAX((nTP_CandKey=BX90)*nTP_Exact*((nTP_HT*BN90*((nTP_OK*BO90*(nTP_UTC_n-N(BQ90))+(1-nTP_OK*BO90)*(nTP_Loc_n-N(BP90)))&lt;=0)+(1-nTP_HT*BN90)*(nTP_Hi_n&lt;N(BR90)))+((1-nTP_HT*BN90)*(nTP_Lo_n=nTP_Hi_n)*(nTP_Lo_n=N(BR90))*(N(BR90)=N(BS90))))*nTP_Lo_n)))</f>
        <v>0</v>
      </c>
      <c r="CG90" s="22">
        <f>IF(CD90=0,0,SUMPRODUCT((nTP_CandKey=BX90)*nTP_Exact*((nTP_HT*BN90*((nTP_OK*BO90*(nTP_UTC_n-N(BQ90))+(1-nTP_OK*BO90)*(nTP_Loc_n-N(BP90)))&lt;=0)+(1-nTP_HT*BN90)*(nTP_Hi_n&lt;N(BR90)))+((1-nTP_HT*BN90)*(nTP_Lo_n=nTP_Hi_n)*(nTP_Lo_n=N(BR90))*(N(BR90)=N(BS90))))*(nTP_Lo_n=CF90)))</f>
        <v>0</v>
      </c>
      <c r="CH90" s="22">
        <f>IF(CD90=0,0,SUMPRODUCT((nTP_CandKey=BX90)*nTP_Exact*((nTP_HT*BN90*((nTP_OK*BO90*(nTP_UTC_n-N(BQ90))+(1-nTP_OK*BO90)*(nTP_Loc_n-N(BP90)))&lt;=0)+(1-nTP_HT*BN90)*(nTP_Hi_n&lt;N(BR90)))+((1-nTP_HT*BN90)*(nTP_Lo_n=nTP_Hi_n)*(nTP_Lo_n=N(BR90))*(N(BR90)=N(BS90))))*(1-nTP_HT)*(nTP_Lo_n=CF90)))</f>
        <v>0</v>
      </c>
      <c r="CI90" s="22">
        <f>IF(CD90=0,0,SUMPRODUCT(MAX((nTP_CandKey=BX90)*nTP_Exact*((nTP_HT*BN90*((nTP_OK*BO90*(nTP_UTC_n-N(BQ90))+(1-nTP_OK*BO90)*(nTP_Loc_n-N(BP90)))&lt;=0)+(1-nTP_HT*BN90)*(nTP_Hi_n&lt;N(BR90)))+((1-nTP_HT*BN90)*(nTP_Lo_n=nTP_Hi_n)*(nTP_Lo_n=N(BR90))*(N(BR90)=N(BS90))))*(1-nTP_HT)*nTP_Lo_n)))</f>
        <v>0</v>
      </c>
      <c r="CJ90" s="22">
        <f>IF(CD90=0,0,SUMPRODUCT(MAX((nTP_CandKey=BX90)*nTP_Exact*((nTP_HT*BN90*((nTP_OK*BO90*(nTP_UTC_n-N(BQ90))+(1-nTP_OK*BO90)*(nTP_Loc_n-N(BP90)))&lt;=0)+(1-nTP_HT*BN90)*(nTP_Hi_n&lt;N(BR90)))+((1-nTP_HT*BN90)*(nTP_Lo_n=nTP_Hi_n)*(nTP_Lo_n=N(BR90))*(N(BR90)=N(BS90))))*nTP_HT*nTP_OK*nTP_UTC_n)))</f>
        <v>0</v>
      </c>
      <c r="CK90" s="22">
        <f>IF(CJ90=0,0,SUMPRODUCT((nTP_CandKey=BX90)*nTP_Exact*((nTP_HT*BN90*((nTP_OK*BO90*(nTP_UTC_n-N(BQ90))+(1-nTP_OK*BO90)*(nTP_Loc_n-N(BP90)))&lt;=0)+(1-nTP_HT*BN90)*(nTP_Hi_n&lt;N(BR90)))+((1-nTP_HT*BN90)*(nTP_Lo_n=nTP_Hi_n)*(nTP_Lo_n=N(BR90))*(N(BR90)=N(BS90))))*nTP_HT*nTP_OK*(nTP_UTC_n=CJ90)))</f>
        <v>0</v>
      </c>
      <c r="CL90" s="22">
        <f>IF(CK90&lt;&gt;1,0,SUMPRODUCT((nTP_CandKey=BX90)*nTP_Exact*((nTP_HT*BN90*((nTP_OK*BO90*(nTP_UTC_n-N(BQ90))+(1-nTP_OK*BO90)*(nTP_Loc_n-N(BP90)))&lt;=0)+(1-nTP_HT*BN90)*(nTP_Hi_n&lt;N(BR90)))+((1-nTP_HT*BN90)*(nTP_Lo_n=nTP_Hi_n)*(nTP_Lo_n=N(BR90))*(N(BR90)=N(BS90))))*nTP_HT*nTP_OK*(nTP_UTC_n=CJ90)*nTP_Loc_n))</f>
        <v>0</v>
      </c>
      <c r="CM90" s="22">
        <f>IF(CK90&lt;&gt;1,0,SUMPRODUCT((nTP_CandKey=BX90)*nTP_Exact*((nTP_HT*BN90*((nTP_OK*BO90*(nTP_UTC_n-N(BQ90))+(1-nTP_OK*BO90)*(nTP_Loc_n-N(BP90)))&lt;=0)+(1-nTP_HT*BN90)*(nTP_Hi_n&lt;N(BR90)))+((1-nTP_HT*BN90)*(nTP_Lo_n=nTP_Hi_n)*(nTP_Lo_n=N(BR90))*(N(BR90)=N(BS90))))*nTP_HT*nTP_OK*(nTP_UTC_n=CJ90)*nTP_Lo_n))</f>
        <v>0</v>
      </c>
      <c r="CN90" s="22">
        <f>IF(CD90=0,0,SUMPRODUCT(MAX((nTP_CandKey=BX90)*nTP_Exact*((nTP_HT*BN90*((nTP_OK*BO90*(nTP_UTC_n-N(BQ90))+(1-nTP_OK*BO90)*(nTP_Loc_n-N(BP90)))&lt;=0)+(1-nTP_HT*BN90)*(nTP_Hi_n&lt;N(BR90)))+((1-nTP_HT*BN90)*(nTP_Lo_n=nTP_Hi_n)*(nTP_Lo_n=N(BR90))*(N(BR90)=N(BS90))))*nTP_HT*(1-nTP_OK)*nTP_Loc_n)))</f>
        <v>0</v>
      </c>
      <c r="CO90" s="22">
        <f>IF(CN90=0,0,SUMPRODUCT((nTP_CandKey=BX90)*nTP_Exact*((nTP_HT*BN90*((nTP_OK*BO90*(nTP_UTC_n-N(BQ90))+(1-nTP_OK*BO90)*(nTP_Loc_n-N(BP90)))&lt;=0)+(1-nTP_HT*BN90)*(nTP_Hi_n&lt;N(BR90)))+((1-nTP_HT*BN90)*(nTP_Lo_n=nTP_Hi_n)*(nTP_Lo_n=N(BR90))*(N(BR90)=N(BS90))))*nTP_HT*(1-nTP_OK)*(nTP_Loc_n=CN90)))</f>
        <v>0</v>
      </c>
      <c r="CP90" s="22">
        <f>IF(CO90&lt;&gt;1,0,SUMPRODUCT((nTP_CandKey=BX90)*nTP_Exact*((nTP_HT*BN90*((nTP_OK*BO90*(nTP_UTC_n-N(BQ90))+(1-nTP_OK*BO90)*(nTP_Loc_n-N(BP90)))&lt;=0)+(1-nTP_HT*BN90)*(nTP_Hi_n&lt;N(BR90)))+((1-nTP_HT*BN90)*(nTP_Lo_n=nTP_Hi_n)*(nTP_Lo_n=N(BR90))*(N(BR90)=N(BS90))))*nTP_HT*(1-nTP_OK)*(nTP_Loc_n=CN90)*nTP_Lo_n))</f>
        <v>0</v>
      </c>
      <c r="CQ90" s="22">
        <f>IF(CD90=0,0,SUMPRODUCT(MAX((nTP_CandKey=BX90)*nTP_Exact*((nTP_HT*BN90*((nTP_OK*BO90*(nTP_UTC_n-N(BQ90))+(1-nTP_OK*BO90)*(nTP_Loc_n-N(BP90)))&lt;=0)+(1-nTP_HT*BN90)*(nTP_Hi_n&lt;N(BR90)))+((1-nTP_HT*BN90)*(nTP_Lo_n=nTP_Hi_n)*(nTP_Lo_n=N(BR90))*(N(BR90)=N(BS90))))*nTP_HT*nTP_OK*nTP_Loc_n)))</f>
        <v>0</v>
      </c>
      <c r="CR90" s="22">
        <f t="shared" si="154"/>
        <v>0</v>
      </c>
      <c r="CS90" s="22">
        <f>IF(CR90=0,0,IF(CR90=1,MATCH(1,INDEX((nTP_CandKey=BX90)*nTP_Exact*((nTP_HT*BN90*((nTP_OK*BO90*(nTP_UTC_n-N(BQ90))+(1-nTP_OK*BO90)*(nTP_Loc_n-N(BP90)))&lt;=0)+(1-nTP_HT*BN90)*(nTP_Hi_n&lt;N(BR90)))+((1-nTP_HT*BN90)*(nTP_Lo_n=nTP_Hi_n)*(nTP_Lo_n=N(BR90))*(N(BR90)=N(BS90))))*(1-nTP_HT)*(nTP_Lo_n=CF90),0),0),IF(CR90=2,MATCH(1,INDEX((nTP_CandKey=BX90)*nTP_Exact*((nTP_HT*BN90*((nTP_OK*BO90*(nTP_UTC_n-N(BQ90))+(1-nTP_OK*BO90)*(nTP_Loc_n-N(BP90)))&lt;=0)+(1-nTP_HT*BN90)*(nTP_Hi_n&lt;N(BR90)))+((1-nTP_HT*BN90)*(nTP_Lo_n=nTP_Hi_n)*(nTP_Lo_n=N(BR90))*(N(BR90)=N(BS90))))*nTP_HT*nTP_OK*(nTP_UTC_n=CJ90),0),0),MATCH(1,INDEX((nTP_CandKey=BX90)*nTP_Exact*((nTP_HT*BN90*((nTP_OK*BO90*(nTP_UTC_n-N(BQ90))+(1-nTP_OK*BO90)*(nTP_Loc_n-N(BP90)))&lt;=0)+(1-nTP_HT*BN90)*(nTP_Hi_n&lt;N(BR90)))+((1-nTP_HT*BN90)*(nTP_Lo_n=nTP_Hi_n)*(nTP_Lo_n=N(BR90))*(N(BR90)=N(BS90))))*nTP_HT*(1-nTP_OK)*(nTP_Loc_n=CN90),0),0))))</f>
        <v>0</v>
      </c>
      <c r="CT90" s="22">
        <f>IF(CS90=0,0,INDEX(nTP_Lo_n,CS90))</f>
        <v>0</v>
      </c>
      <c r="CU90" s="22">
        <f>IF(CS90=0,0,SUMPRODUCT((nTP_CandKey=BX90)*(nTP_Err="")*(1-nTP_Exact)*((nTP_HT*BN90*((nTP_OK*BO90*(nTP_UTC_n-N(BQ90))+(1-nTP_OK*BO90)*(nTP_Loc_n-N(BP90)))&lt;=0)+(1-nTP_HT*BN90)*(nTP_Hi_n&lt;N(BR90)))+((1-nTP_HT*BN90)*(nTP_Lo_n=nTP_Hi_n)*(nTP_Lo_n=N(BR90))*(N(BR90)=N(BS90))))*(nTP_Hi_n&gt;=CT90)))</f>
        <v>0</v>
      </c>
      <c r="CV90" s="21" t="str">
        <f t="shared" si="155"/>
        <v/>
      </c>
      <c r="CW90" s="21" t="str">
        <f>IF(AND(BG90=1,CB90=1,CV90="",CS90&gt;0),INDEX(nTP_Record_ID,CS90)&amp;"","")</f>
        <v/>
      </c>
      <c r="CX90" s="21" t="str">
        <f>IF(OR(CV90="",BG90=0),"",IF(CV90="none","an administration record (last dose before onset)",IF(CV90="uncertain","the anchor record: "&amp;INDEX(nTP_Record_ID,MATCH(1,INDEX((nTP_CandKey=BX90)*(nTP_Err="")*(1-(nTP_HT*BN90*((nTP_OK*BO90*(nTP_UTC_n-N(BQ90))+(1-nTP_OK*BO90)*(nTP_Loc_n-N(BP90)))&lt;=0)+(1-nTP_HT*BN90)*(nTP_Hi_n&lt;N(BR90)))-(nTP_HT*BN90*((nTP_OK*BO90*(nTP_UTC_n-N(BQ90))+(1-nTP_OK*BO90)*(nTP_Loc_n-N(BP90)))&gt;0)+(1-nTP_HT*BN90)*(nTP_Lo_n&gt;N(BS90)))-((1-nTP_HT*BN90)*(nTP_Lo_n=nTP_Hi_n)*(nTP_Lo_n=N(BR90))*(N(BR90)=N(BS90)))),0),0))&amp;IF(CC90&gt;1," and "&amp;(CC90-1)&amp;" more","")&amp;" may fall before or after the end point, so the last dose cannot be identified from the recorded dates",IF(CV90="noneligible","the anchor record: no administration with an exact date is recorded at or before the end point",IF(CV90="tie","the anchor record: the order of the latest administrations cannot be told from the recorded dates and times","the anchor record: partial-date administration "&amp;INDEX(nTP_Record_ID,MATCH(1,INDEX((nTP_CandKey=BX90)*(nTP_Err="")*(1-nTP_Exact)*((nTP_HT*BN90*((nTP_OK*BO90*(nTP_UTC_n-N(BQ90))+(1-nTP_OK*BO90)*(nTP_Loc_n-N(BP90)))&lt;=0)+(1-nTP_HT*BN90)*(nTP_Hi_n&lt;N(BR90)))+((1-nTP_HT*BN90)*(nTP_Lo_n=nTP_Hi_n)*(nTP_Lo_n=N(BR90))*(N(BR90)=N(BS90))))*(nTP_Hi_n&gt;=CT90),0),0))&amp;" could be the last dose before the end point")))))</f>
        <v/>
      </c>
      <c r="CY90" s="22">
        <f>IF(OR(AW90=1,AJ90=""),0,IFERROR(MATCH(AX90&amp;"|"&amp;AJ90,nTP_Key,0),0))</f>
        <v>55</v>
      </c>
      <c r="CZ90" s="21">
        <f>IF(CY90=0,0,INDEX(nTP_Dup,CY90))</f>
        <v>1</v>
      </c>
      <c r="DA90" s="21" t="str">
        <f>IF(CY90=0,"",INDEX(nTP_Record_Type,CY90))</f>
        <v>EXPOSURE_START</v>
      </c>
      <c r="DB90" s="21" t="str">
        <f>IF(CY90=0,"",INDEX(nTP_Precision,CY90))</f>
        <v>DATE</v>
      </c>
      <c r="DC90" s="21" t="str">
        <f>IF(CY90=0,"",INDEX(nTP_Err,CY90))</f>
        <v/>
      </c>
      <c r="DD90" s="21">
        <f>IF(CY90=0,0,INDEX(nTP_HT,CY90))</f>
        <v>0</v>
      </c>
      <c r="DE90" s="21">
        <f>IF(CY90=0,0,INDEX(nTP_OK,CY90))</f>
        <v>0</v>
      </c>
      <c r="DF90" s="21" t="str">
        <f>IF(CY90=0,"",INDEX(nTP_Loc,CY90))</f>
        <v/>
      </c>
      <c r="DG90" s="21" t="str">
        <f>IF(CY90=0,"",INDEX(nTP_UTC,CY90))</f>
        <v/>
      </c>
      <c r="DH90" s="21">
        <f>IF(CY90=0,"",INDEX(nTP_Lo,CY90))</f>
        <v>46143</v>
      </c>
      <c r="DI90" s="21">
        <f>IF(CY90=0,"",INDEX(nTP_Hi,CY90))</f>
        <v>46143</v>
      </c>
      <c r="DJ90" s="21" t="str">
        <f>IF(CY90=0,"",INDEX(nTP_Original_Text,CY90))</f>
        <v>2026-05-01</v>
      </c>
      <c r="DK90" s="21" t="str">
        <f>IF(CY90=0,"",INDEX(nTP_Source,CY90))</f>
        <v>tto_calc_test_vectors_v1.1.json V12</v>
      </c>
      <c r="DL90" s="22">
        <f t="shared" si="156"/>
        <v>1</v>
      </c>
      <c r="DM90" s="21" t="str">
        <f t="shared" si="157"/>
        <v/>
      </c>
      <c r="DN90" s="21" t="str">
        <f t="shared" si="158"/>
        <v/>
      </c>
      <c r="DO90" s="21" t="str">
        <f t="shared" si="159"/>
        <v/>
      </c>
      <c r="DP90" s="21" t="str">
        <f t="shared" si="160"/>
        <v/>
      </c>
      <c r="DQ90" s="21" t="str">
        <f t="shared" si="161"/>
        <v>C2</v>
      </c>
      <c r="DR90" s="22">
        <f>IF(OR(DQ90="",I90=""),0,IF(ISNA(MATCH(I90,nLIST_Mode,0)),1,IF(AND(I90="C1",DQ90&lt;&gt;"C1"),1,IF(AND(I90="C2",DQ90="C4"),1,0))))</f>
        <v>0</v>
      </c>
      <c r="DS90" s="21" t="str">
        <f t="shared" si="162"/>
        <v>C2</v>
      </c>
      <c r="DT90" s="22">
        <f t="shared" si="163"/>
        <v>0</v>
      </c>
      <c r="DU90" s="21" t="str">
        <f>IF(DT90=0,"",IF(COUNTIFS(nTP_Case_Key,AX90,nTP_Record_Type,"MILESTONE:INTERVENTION",nTP_Err,"E_INVALID_DATE")&gt;0,"; E_INVALID_DATE","")&amp;IF(COUNTIFS(nTP_Case_Key,AX90,nTP_Record_Type,"MILESTONE:INTERVENTION",nTP_Err,"E_REVERSED_BOUNDS")&gt;0,"; E_REVERSED_BOUNDS","")&amp;IF(COUNTIFS(nTP_Case_Key,AX90,nTP_Record_Type,"MILESTONE:INTERVENTION",nTP_Err,"E_MISSING_INPUT")&gt;0,"; E_MISSING_INPUT","")&amp;IF(COUNTIFS(nTP_Case_Key,AX90,nTP_Record_Type,"MILESTONE:INTERVENTION",nTP_Err,"E_INVALID_UNIT")&gt;0,"; E_INVALID_UNIT",""))</f>
        <v/>
      </c>
      <c r="DV90" s="22">
        <f>IF(DT90=0,0,SUMPRODUCT((nMS_CaseKey=AX90)*(nMS_Type="INTERVENTION")*nMS_Undated))</f>
        <v>0</v>
      </c>
      <c r="DW90" s="21" t="str">
        <f t="shared" si="164"/>
        <v/>
      </c>
      <c r="DX90" s="21" t="str">
        <f t="shared" si="165"/>
        <v/>
      </c>
      <c r="DY90" s="22">
        <f t="shared" si="166"/>
        <v>1</v>
      </c>
      <c r="DZ90" s="21" t="str">
        <f t="shared" si="167"/>
        <v/>
      </c>
      <c r="EA90" s="21">
        <f t="shared" si="168"/>
        <v>9</v>
      </c>
      <c r="EB90" s="21" t="str">
        <f t="shared" si="169"/>
        <v/>
      </c>
      <c r="EC90" s="21" t="str">
        <f t="shared" si="170"/>
        <v/>
      </c>
      <c r="ED90" s="22">
        <f t="shared" si="171"/>
        <v>0</v>
      </c>
      <c r="EE90" s="22">
        <f t="shared" si="172"/>
        <v>0</v>
      </c>
      <c r="EF90" s="21" t="str">
        <f>IF(ED90=0,"",IF(OR(NOT(ISNUMBER(L90)),NOT(ISNUMBER(M90))),"I_APPROXIMATE_NOT_COMPARED",IF(AND(N90&lt;&gt;"",ISNA(MATCH(N90,nLIST_ReportedUnit,0))),"E_INVALID_UNIT",IF(N90="","E_MISSING_INPUT",IF(L90&gt;M90,"E_REVERSED_BOUNDS",IF(OR(N90="weeks",N90="months",N90="years"),"I_APPROXIMATE_NOT_COMPARED",IF(DX90&lt;&gt;"","",IF(EE90=0,"I_APPROXIMATE_NOT_COMPARED",IF(AND(L90*EE90&lt;=IF(DS90="C4",EC90,IF(DS90="C1",DZ90,EA90)),M90*EE90&gt;=IF(DS90="C4",EB90,IF(DS90="C1",DZ90,EA90))),"OVERLAP","W_REPORTED_TIMING_CONFLICT")))))))))</f>
        <v/>
      </c>
      <c r="EG90" s="21" t="str">
        <f t="shared" si="173"/>
        <v/>
      </c>
      <c r="EH90" s="21" t="str">
        <f t="shared" si="174"/>
        <v/>
      </c>
      <c r="EI90" s="22">
        <f t="shared" si="175"/>
        <v>1</v>
      </c>
      <c r="EJ90" s="22">
        <f t="shared" si="176"/>
        <v>0</v>
      </c>
      <c r="EK90" s="22">
        <f t="shared" si="177"/>
        <v>0</v>
      </c>
      <c r="EL90" s="28" t="str">
        <f t="shared" si="178"/>
        <v/>
      </c>
      <c r="EM90" s="28" t="str">
        <f t="shared" si="179"/>
        <v/>
      </c>
      <c r="EN90" s="21" t="str">
        <f t="shared" si="180"/>
        <v/>
      </c>
      <c r="EO90" s="22">
        <f>IF(OR(DT90=0,DX90&lt;&gt;""),0,SUMPRODUCT((nTP_Case_Key=AX90)*(nTP_Record_Type="MILESTONE:INTERVENTION")*(nTP_Err="")*(nTP_HT*DD90*BN90*(nTP_OK*DE90*(nTP_UTC_n&gt;=N(DG90))+(1-nTP_OK*DE90)*(nTP_Loc_n&gt;=N(DF90)))*(nTP_OK*BO90*(nTP_UTC_n&lt;=N(BQ90))+(1-nTP_OK*BO90)*(nTP_Loc_n&lt;=N(BP90)))+(1-nTP_HT*DD90*BN90)*(nTP_Hi_n&gt;=N(DH90))*(nTP_Lo_n&lt;=N(BS90)))))</f>
        <v>0</v>
      </c>
      <c r="EP90" s="22">
        <f>IF(OR(DT90=0,DX90&lt;&gt;""),0,SUMPRODUCT((nTP_Case_Key=AX90)*(nTP_Role="treatment of the event")*((nTP_Record_Type="EXPOSURE_START")+(nTP_Record_Type="ADMINISTRATION"))*(nTP_Err="")*(nTP_HT*DD90*BN90*(nTP_OK*DE90*(nTP_UTC_n&gt;=N(DG90))+(1-nTP_OK*DE90)*(nTP_Loc_n&gt;=N(DF90)))*(nTP_OK*BO90*(nTP_UTC_n&lt;=N(BQ90))+(1-nTP_OK*BO90)*(nTP_Loc_n&lt;=N(BP90)))+(1-nTP_HT*DD90*BN90)*(nTP_Hi_n&gt;=N(DH90))*(nTP_Lo_n&lt;=N(BS90)))))</f>
        <v>0</v>
      </c>
      <c r="EQ90" s="22">
        <f>IF(EO90&lt;1,0,IFERROR(_xlfn.AGGREGATE(15,6,nTP_RowN/((nTP_Case_Key=AX90)*(nTP_Record_Type="MILESTONE:INTERVENTION")*(nTP_Err="")*(nTP_HT*DD90*BN90*(nTP_OK*DE90*(nTP_UTC_n&gt;=N(DG90))+(1-nTP_OK*DE90)*(nTP_Loc_n&gt;=N(DF90)))*(nTP_OK*BO90*(nTP_UTC_n&lt;=N(BQ90))+(1-nTP_OK*BO90)*(nTP_Loc_n&lt;=N(BP90)))+(1-nTP_HT*DD90*BN90)*(nTP_Hi_n&gt;=N(DH90))*(nTP_Lo_n&lt;=N(BS90)))),1),0))</f>
        <v>0</v>
      </c>
      <c r="ER90" s="22">
        <f>IF(EO90&lt;2,0,IFERROR(_xlfn.AGGREGATE(15,6,nTP_RowN/((nTP_Case_Key=AX90)*(nTP_Record_Type="MILESTONE:INTERVENTION")*(nTP_Err="")*(nTP_HT*DD90*BN90*(nTP_OK*DE90*(nTP_UTC_n&gt;=N(DG90))+(1-nTP_OK*DE90)*(nTP_Loc_n&gt;=N(DF90)))*(nTP_OK*BO90*(nTP_UTC_n&lt;=N(BQ90))+(1-nTP_OK*BO90)*(nTP_Loc_n&lt;=N(BP90)))+(1-nTP_HT*DD90*BN90)*(nTP_Hi_n&gt;=N(DH90))*(nTP_Lo_n&lt;=N(BS90)))),2),0))</f>
        <v>0</v>
      </c>
      <c r="ES90" s="22">
        <f>IF(EO90&lt;3,0,IFERROR(_xlfn.AGGREGATE(15,6,nTP_RowN/((nTP_Case_Key=AX90)*(nTP_Record_Type="MILESTONE:INTERVENTION")*(nTP_Err="")*(nTP_HT*DD90*BN90*(nTP_OK*DE90*(nTP_UTC_n&gt;=N(DG90))+(1-nTP_OK*DE90)*(nTP_Loc_n&gt;=N(DF90)))*(nTP_OK*BO90*(nTP_UTC_n&lt;=N(BQ90))+(1-nTP_OK*BO90)*(nTP_Loc_n&lt;=N(BP90)))+(1-nTP_HT*DD90*BN90)*(nTP_Hi_n&gt;=N(DH90))*(nTP_Lo_n&lt;=N(BS90)))),3),0))</f>
        <v>0</v>
      </c>
      <c r="ET90" s="22">
        <f>IF(EP90&lt;1,0,IFERROR(_xlfn.AGGREGATE(15,6,nTP_RowN/((nTP_Case_Key=AX90)*(nTP_Role="treatment of the event")*((nTP_Record_Type="EXPOSURE_START")+(nTP_Record_Type="ADMINISTRATION"))*(nTP_Err="")*(nTP_HT*DD90*BN90*(nTP_OK*DE90*(nTP_UTC_n&gt;=N(DG90))+(1-nTP_OK*DE90)*(nTP_Loc_n&gt;=N(DF90)))*(nTP_OK*BO90*(nTP_UTC_n&lt;=N(BQ90))+(1-nTP_OK*BO90)*(nTP_Loc_n&lt;=N(BP90)))+(1-nTP_HT*DD90*BN90)*(nTP_Hi_n&gt;=N(DH90))*(nTP_Lo_n&lt;=N(BS90)))),1),0))</f>
        <v>0</v>
      </c>
      <c r="EU90" s="22">
        <f>IF(EP90&lt;2,0,IFERROR(_xlfn.AGGREGATE(15,6,nTP_RowN/((nTP_Case_Key=AX90)*(nTP_Role="treatment of the event")*((nTP_Record_Type="EXPOSURE_START")+(nTP_Record_Type="ADMINISTRATION"))*(nTP_Err="")*(nTP_HT*DD90*BN90*(nTP_OK*DE90*(nTP_UTC_n&gt;=N(DG90))+(1-nTP_OK*DE90)*(nTP_Loc_n&gt;=N(DF90)))*(nTP_OK*BO90*(nTP_UTC_n&lt;=N(BQ90))+(1-nTP_OK*BO90)*(nTP_Loc_n&lt;=N(BP90)))+(1-nTP_HT*DD90*BN90)*(nTP_Hi_n&gt;=N(DH90))*(nTP_Lo_n&lt;=N(BS90)))),2),0))</f>
        <v>0</v>
      </c>
      <c r="EV90" s="22">
        <f>IF(EP90&lt;3,0,IFERROR(_xlfn.AGGREGATE(15,6,nTP_RowN/((nTP_Case_Key=AX90)*(nTP_Role="treatment of the event")*((nTP_Record_Type="EXPOSURE_START")+(nTP_Record_Type="ADMINISTRATION"))*(nTP_Err="")*(nTP_HT*DD90*BN90*(nTP_OK*DE90*(nTP_UTC_n&gt;=N(DG90))+(1-nTP_OK*DE90)*(nTP_Loc_n&gt;=N(DF90)))*(nTP_OK*BO90*(nTP_UTC_n&lt;=N(BQ90))+(1-nTP_OK*BO90)*(nTP_Loc_n&lt;=N(BP90)))+(1-nTP_HT*DD90*BN90)*(nTP_Hi_n&gt;=N(DH90))*(nTP_Lo_n&lt;=N(BS90)))),3),0))</f>
        <v>0</v>
      </c>
      <c r="EW90" s="22">
        <f>IF(CE90&lt;1,0,IFERROR(_xlfn.AGGREGATE(15,6,nTP_RowN/((nTP_CandKey=BX90)*(nTP_Err="")*(1-nTP_Exact)*((nTP_HT*BN90*((nTP_OK*BO90*(nTP_UTC_n-N(BQ90))+(1-nTP_OK*BO90)*(nTP_Loc_n-N(BP90)))&lt;=0)+(1-nTP_HT*BN90)*(nTP_Hi_n&lt;N(BR90)))+((1-nTP_HT*BN90)*(nTP_Lo_n=nTP_Hi_n)*(nTP_Lo_n=N(BR90))*(N(BR90)=N(BS90))))),1),0))</f>
        <v>0</v>
      </c>
      <c r="EX90" s="22">
        <f>IF(CE90&lt;2,0,IFERROR(_xlfn.AGGREGATE(15,6,nTP_RowN/((nTP_CandKey=BX90)*(nTP_Err="")*(1-nTP_Exact)*((nTP_HT*BN90*((nTP_OK*BO90*(nTP_UTC_n-N(BQ90))+(1-nTP_OK*BO90)*(nTP_Loc_n-N(BP90)))&lt;=0)+(1-nTP_HT*BN90)*(nTP_Hi_n&lt;N(BR90)))+((1-nTP_HT*BN90)*(nTP_Lo_n=nTP_Hi_n)*(nTP_Lo_n=N(BR90))*(N(BR90)=N(BS90))))),2),0))</f>
        <v>0</v>
      </c>
      <c r="EY90" s="22">
        <f>IF(CE90&lt;3,0,IFERROR(_xlfn.AGGREGATE(15,6,nTP_RowN/((nTP_CandKey=BX90)*(nTP_Err="")*(1-nTP_Exact)*((nTP_HT*BN90*((nTP_OK*BO90*(nTP_UTC_n-N(BQ90))+(1-nTP_OK*BO90)*(nTP_Loc_n-N(BP90)))&lt;=0)+(1-nTP_HT*BN90)*(nTP_Hi_n&lt;N(BR90)))+((1-nTP_HT*BN90)*(nTP_Lo_n=nTP_Hi_n)*(nTP_Lo_n=N(BR90))*(N(BR90)=N(BS90))))),3),0))</f>
        <v>0</v>
      </c>
      <c r="EZ90" s="21" t="str">
        <f>IF(EO90=0,"",MID(IF(EQ90&gt;0,"; "&amp;INDEX(nTP_Record_ID,EQ90)&amp;IF(INDEX(nTP_Label,EQ90)="",""," ("&amp;INDEX(nTP_Label,EQ90)&amp;")"),"")&amp;IF(ER90&gt;0,"; "&amp;INDEX(nTP_Record_ID,ER90)&amp;IF(INDEX(nTP_Label,ER90)="",""," ("&amp;INDEX(nTP_Label,ER90)&amp;")"),"")&amp;IF(ES90&gt;0,"; "&amp;INDEX(nTP_Record_ID,ES90)&amp;IF(INDEX(nTP_Label,ES90)="",""," ("&amp;INDEX(nTP_Label,ES90)&amp;")"),"")&amp;IF(EO90&gt;3,"; and "&amp;(EO90-3)&amp;" more",""),3,999))</f>
        <v/>
      </c>
      <c r="FA90" s="21" t="str">
        <f>IF(EO90=0,"",MID(IF(EQ90&gt;0,"; "&amp;INDEX(nTP_Record_ID,EQ90),"")&amp;IF(ER90&gt;0,"; "&amp;INDEX(nTP_Record_ID,ER90),"")&amp;IF(ES90&gt;0,"; "&amp;INDEX(nTP_Record_ID,ES90),"")&amp;IF(EO90&gt;3,"; and "&amp;(EO90-3)&amp;" more",""),3,999))</f>
        <v/>
      </c>
      <c r="FB90" s="21" t="str">
        <f>IF(EP90=0,"",MID(IF(ET90&gt;0,"; "&amp;INDEX(nTP_Record_ID,ET90)&amp;IF(INDEX(nTP_Label,ET90)="",""," ("&amp;INDEX(nTP_Label,ET90)&amp;")"),"")&amp;IF(EU90&gt;0,"; "&amp;INDEX(nTP_Record_ID,EU90)&amp;IF(INDEX(nTP_Label,EU90)="",""," ("&amp;INDEX(nTP_Label,EU90)&amp;")"),"")&amp;IF(EV90&gt;0,"; "&amp;INDEX(nTP_Record_ID,EV90)&amp;IF(INDEX(nTP_Label,EV90)="",""," ("&amp;INDEX(nTP_Label,EV90)&amp;")"),"")&amp;IF(EP90&gt;3,"; and "&amp;(EP90-3)&amp;" more",""),3,999))</f>
        <v/>
      </c>
      <c r="FC90" s="21" t="str">
        <f>IF(CE90=0,"",MID(IF(EW90&gt;0,"; "&amp;INDEX(nTP_Record_ID,EW90),"")&amp;IF(EX90&gt;0,"; "&amp;INDEX(nTP_Record_ID,EX90),"")&amp;IF(EY90&gt;0,"; "&amp;INDEX(nTP_Record_ID,EY90),"")&amp;IF(CE90&gt;3,"; and "&amp;(CE90-3)&amp;" more",""),3,999))</f>
        <v/>
      </c>
      <c r="FD90" s="22">
        <f t="shared" si="181"/>
        <v>0</v>
      </c>
      <c r="FE90" s="22">
        <f t="shared" si="182"/>
        <v>0</v>
      </c>
      <c r="FF90" s="22">
        <f t="shared" si="183"/>
        <v>0</v>
      </c>
      <c r="FG90" s="22">
        <f t="shared" si="184"/>
        <v>0</v>
      </c>
      <c r="FH90" s="22">
        <f t="shared" si="185"/>
        <v>0</v>
      </c>
      <c r="FI90" s="22">
        <f t="shared" si="186"/>
        <v>0</v>
      </c>
      <c r="FJ90" s="22">
        <f t="shared" si="187"/>
        <v>0</v>
      </c>
      <c r="FK90" s="22">
        <f t="shared" si="188"/>
        <v>0</v>
      </c>
    </row>
    <row r="91" spans="1:167" x14ac:dyDescent="0.2">
      <c r="A91" s="9" t="s">
        <v>1180</v>
      </c>
      <c r="B91" s="9" t="s">
        <v>331</v>
      </c>
      <c r="C91" s="11">
        <v>2</v>
      </c>
      <c r="D91" s="9" t="s">
        <v>894</v>
      </c>
      <c r="E91" s="16" t="s">
        <v>51</v>
      </c>
      <c r="F91" s="9"/>
      <c r="G91" s="9" t="s">
        <v>1179</v>
      </c>
      <c r="H91" s="9" t="s">
        <v>1181</v>
      </c>
      <c r="I91" s="16" t="s">
        <v>60</v>
      </c>
      <c r="J91" s="16"/>
      <c r="K91" s="9"/>
      <c r="L91" s="16"/>
      <c r="M91" s="16"/>
      <c r="N91" s="16"/>
      <c r="O91" s="9"/>
      <c r="P91" s="14"/>
      <c r="Q91" s="14"/>
      <c r="R91" s="9"/>
      <c r="S91" s="9"/>
      <c r="T91" s="21" t="str">
        <f t="shared" si="126"/>
        <v>7 calendar days</v>
      </c>
      <c r="U91" s="21" t="str">
        <f t="shared" si="127"/>
        <v>7 calendar days</v>
      </c>
      <c r="V91" s="21">
        <f t="shared" si="128"/>
        <v>7</v>
      </c>
      <c r="W91" s="21" t="str">
        <f t="shared" si="129"/>
        <v/>
      </c>
      <c r="X91" s="21" t="str">
        <f t="shared" si="130"/>
        <v/>
      </c>
      <c r="Y91" s="21" t="str">
        <f t="shared" si="131"/>
        <v>calendar days</v>
      </c>
      <c r="Z91" s="21" t="str">
        <f t="shared" si="132"/>
        <v>C2</v>
      </c>
      <c r="AA91" s="21" t="str">
        <f t="shared" si="133"/>
        <v>AFTER</v>
      </c>
      <c r="AB91" s="21" t="str">
        <f t="shared" si="134"/>
        <v/>
      </c>
      <c r="AC91" s="21" t="str">
        <f t="shared" si="135"/>
        <v/>
      </c>
      <c r="AD91" s="21" t="str">
        <f>IF(AW91=1,"",MID(IF(ISNUMBER(SEARCH("E_INVALID_DATE",EG91))," | E_INVALID_DATE: "&amp;SUBSTITUTE(IFERROR(INDEX(nMSG_Text,MATCH("E_INVALID_DATE",nMSG_Code,0)),""),"[input]",""),"")&amp;IF(ISNUMBER(SEARCH("E_REVERSED_BOUNDS",EG91))," | E_REVERSED_BOUNDS: "&amp;SUBSTITUTE(IFERROR(INDEX(nMSG_Text,MATCH("E_REVERSED_BOUNDS",nMSG_Code,0)),""),"[input]",""),"")&amp;IF(ISNUMBER(SEARCH("E_DUPLICATE_ID",EG91))," | E_DUPLICATE_ID: "&amp;SUBSTITUTE(IFERROR(INDEX(nMSG_Text,MATCH("E_DUPLICATE_ID",nMSG_Code,0)),""),"[input]",""),"")&amp;IF(ISNUMBER(SEARCH("E_MISSING_LINK",EG91))," | E_MISSING_LINK: "&amp;SUBSTITUTE(IFERROR(INDEX(nMSG_Text,MATCH("E_MISSING_LINK",nMSG_Code,0)),""),"[input]",""),"")&amp;IF(ISNUMBER(SEARCH("E_MISSING_INPUT",EG91))," | E_MISSING_INPUT: "&amp;SUBSTITUTE(IFERROR(INDEX(nMSG_Text,MATCH("E_MISSING_INPUT",nMSG_Code,0)),""),"[input]",IF(EH91="","an input",EH91)),"")&amp;IF(ISNUMBER(SEARCH("E_INVALID_UNIT",EG91))," | E_INVALID_UNIT: "&amp;SUBSTITUTE(IFERROR(INDEX(nMSG_Text,MATCH("E_INVALID_UNIT",nMSG_Code,0)),""),"[input]",""),"")&amp;IF(FD91=1," | W_TZ_UNKNOWN: "&amp;SUBSTITUTE(IFERROR(INDEX(nMSG_Text,MATCH("W_TZ_UNKNOWN",nMSG_Code,0)),""),"[input]",""),"")&amp;IF(FE91=1," | W_SAME_DATE_ORDER_UNKNOWN: "&amp;SUBSTITUTE(IFERROR(INDEX(nMSG_Text,MATCH("W_SAME_DATE_ORDER_UNKNOWN",nMSG_Code,0)),""),"[input]",""),"")&amp;IF(FF91=1," | W_SEQUENCE_UNCERTAIN: "&amp;SUBSTITUTE(IFERROR(INDEX(nMSG_Text,MATCH("W_SEQUENCE_UNCERTAIN",nMSG_Code,0)),""),"[input]",""),"")&amp;IF(FG91=1," | W_ADMIN_SAME_DATE_AS_ONSET: "&amp;SUBSTITUTE(IFERROR(INDEX(nMSG_Text,MATCH("W_ADMIN_SAME_DATE_AS_ONSET",nMSG_Code,0)),""),"[input]",""),"")&amp;IF(FH91=1," | W_REPORTED_TIMING_CONFLICT: "&amp;SUBSTITUTE(IFERROR(INDEX(nMSG_Text,MATCH("W_REPORTED_TIMING_CONFLICT",nMSG_Code,0)),""),"[input]",""),"")&amp;IF(FI91=1," | W_INTERVENTION_BEFORE_RECOVERY: "&amp;SUBSTITUTE(IFERROR(INDEX(nMSG_Text,MATCH("W_INTERVENTION_BEFORE_RECOVERY",nMSG_Code,0)),""),"[input]",""),"")&amp;IF(FJ91=1," | I_TREATMENT_DAY_UNDEFINED: "&amp;SUBSTITUTE(IFERROR(INDEX(nMSG_Text,MATCH("I_TREATMENT_DAY_UNDEFINED",nMSG_Code,0)),""),"[input]",""),"")&amp;IF(FK91=1," | I_APPROXIMATE_NOT_COMPARED: "&amp;SUBSTITUTE(IFERROR(INDEX(nMSG_Text,MATCH("I_APPROXIMATE_NOT_COMPARED",nMSG_Code,0)),""),"[input]",""),""),4,9999))</f>
        <v/>
      </c>
      <c r="AE91" s="21" t="str">
        <f t="shared" si="136"/>
        <v/>
      </c>
      <c r="AF91" s="21" t="str">
        <f t="shared" si="137"/>
        <v/>
      </c>
      <c r="AG91" s="21" t="str">
        <f>IF(EN91="","",MID(IF(ISNUMBER(SEARCH("E_REVERSED_BOUNDS",EN91))," | E_REVERSED_BOUNDS: "&amp;SUBSTITUTE(IFERROR(INDEX(nMSG_Text,MATCH("E_REVERSED_BOUNDS",nMSG_Code,0)),""),"[input]",""),"")&amp;IF(ISNUMBER(SEARCH("E_MISSING_INPUT",EN91))," | E_MISSING_INPUT: "&amp;SUBSTITUTE(IFERROR(INDEX(nMSG_Text,MATCH("E_MISSING_INPUT",nMSG_Code,0)),""),"[input]",IF("the source of the constraint"="","an input","the source of the constraint")),""),4,999))</f>
        <v/>
      </c>
      <c r="AH91" s="21" t="str">
        <f t="shared" si="138"/>
        <v/>
      </c>
      <c r="AI91" s="21" t="str">
        <f t="shared" si="139"/>
        <v>EX1/START → EV1/ONSET</v>
      </c>
      <c r="AJ91" s="21" t="str">
        <f t="shared" si="140"/>
        <v>EX1/START</v>
      </c>
      <c r="AK91" s="21" t="str">
        <f t="shared" si="141"/>
        <v>EV1/ONSET</v>
      </c>
      <c r="AL91" s="21" t="str">
        <f>IF(CY91=0,"",INDEX(nTP_ISO,CY91))</f>
        <v>2026-05-01</v>
      </c>
      <c r="AM91" s="21" t="str">
        <f>IF(CY91=0,"",INDEX(nTP_Display,CY91))</f>
        <v>1 May 2026</v>
      </c>
      <c r="AN91" s="21" t="str">
        <f>IF(BI91=0,"",INDEX(nTP_ISO,BI91))</f>
        <v>2026-05-08</v>
      </c>
      <c r="AO91" s="21" t="str">
        <f>IF(BI91=0,"",INDEX(nTP_Display,BI91))</f>
        <v>8 May 2026</v>
      </c>
      <c r="AP91" s="21" t="str">
        <f>IF(BA91=0,"",INDEX(nLNK_Exposure_Episode_ID,BA91)&amp;"")</f>
        <v>EX1</v>
      </c>
      <c r="AQ91" s="21" t="str">
        <f>IF(BA91=0,"",INDEX(nLNK_Event_Episode_ID,BA91)&amp;"")</f>
        <v>EV1</v>
      </c>
      <c r="AR91" s="21" t="str">
        <f t="shared" si="142"/>
        <v>Anchor (FIRST_ADMIN) EX1/START: 2026-05-01 [day; case measurement; original: "2026-05-01"; source: tto_calc_test_vectors_v1.1.json V12] | End point EV1/ONSET: 2026-05-08 [day; case measurement; original: "onset 8 May (follow-up, version 2)"; source: tto_calc_test_vectors_v1.1.json V12]</v>
      </c>
      <c r="AS91" s="21" t="str">
        <f>IF(EI91=0,"",MID(IF(DT91=1," | Recovery interval (C7) computed with "&amp;DS91&amp;".","")&amp;IF(BG91=1," | Anchor selected under C5 (CALC-SPEC 1.1): latest administration with an exact date or time at or before "&amp;IF(BH91=1,"onset","the end point")&amp;" ("&amp;AJ91&amp;"), ordered in UTC when offsets are known; later administrations are never selected.","")&amp;IF(AND(BG91=1,CE91&gt;0)," | Partial-date administrations wholly before the selected one were not candidates: "&amp;FC91&amp;".","")&amp;IF(BV91&lt;&gt;""," | "&amp;BV91,"")&amp;IF(AND(DS91="C2",EA91=0,DZ91&lt;&gt;"")," | Same calendar date; both times are known, so C1 decides the order ("&amp;AA91&amp;").","")&amp;IF(AND(DS91="C2",DD91*BN91=1,DT91=0)," | Calendar-date difference from the recorded local dates; it is never described as elapsed days.","")&amp;IF(AND(DS91="C4",DT91=0)," | Bounds are treated as independent; no single date is imputed from them.","")&amp;IF(EJ91=1," | Treatment day under the inclusive convention (C3); never written to E2B fields automatically.","")&amp;IF(AND(DS91="C4",DT91=0,EK91=0)," | No constraint applied.","")&amp;IF(AND(DS91="C4",EK91=1)," | Constraint applied to the anchor bounds: "&amp;IF(ISNUMBER(P91),"not before "&amp;DAY(P91)&amp;" "&amp;INDEX(nLIST_Months,MONTH(P91))&amp;" "&amp;YEAR(P91),"")&amp;IF(AND(ISNUMBER(P91),ISNUMBER(Q91)),", ","")&amp;IF(ISNUMBER(Q91),"not after "&amp;DAY(Q91)&amp;" "&amp;INDEX(nLIST_Months,MONTH(Q91))&amp;" "&amp;YEAR(Q91),"")&amp;". Source: "&amp;IF(R91="","not recorded",R91)&amp;IF(EN91="",". Constrained result shown beside the unconstrained one.",". Constrained result blocked ("&amp;EN91&amp;")."),"")&amp;IF(DT91=1,IF(EO91&gt;0," | Intervention recorded between cessation and recovery (ends included): "&amp;EZ91&amp;"."," | No intervention is recorded between cessation and recovery; absence of a record is not evidence that none was given."),"")&amp;IF(AND(DT91=1,DV91&gt;0)," | Intervention recorded without a date, so whether it came before recovery is unknown: "&amp;INDEX(nMS_Milestone_ID,MATCH(1,INDEX((nMS_CaseKey=AX91)*(nMS_Type="INTERVENTION")*nMS_Undated,0),0))&amp;IF(DV91&gt;1," and "&amp;(DV91-1)&amp;" more","")&amp;".","")&amp;IF(AND(DT91=1,EP91&gt;0)," | Not counted as interventions, because they are recorded as exposures rather than as intervention milestones (nothing is inferred): "&amp;FB91&amp;". If treatment was given, record it as an intervention milestone.",""),4,9999))</f>
        <v/>
      </c>
      <c r="AT91" s="21" t="str">
        <f t="shared" si="143"/>
        <v>The interval describes the sequence and spacing of recorded times; it is not evidence of causation.</v>
      </c>
      <c r="AU91" s="21" t="str">
        <f t="shared" si="144"/>
        <v/>
      </c>
      <c r="AV91" s="21" t="str">
        <f t="shared" si="145"/>
        <v>CALC-SPEC 1.1</v>
      </c>
      <c r="AW91" s="22">
        <f t="shared" si="146"/>
        <v>0</v>
      </c>
      <c r="AX91" s="21" t="str">
        <f t="shared" si="147"/>
        <v>VEC-V12|2</v>
      </c>
      <c r="AY91" s="21" t="str">
        <f t="shared" si="148"/>
        <v>VEC-V12|2|I1</v>
      </c>
      <c r="AZ91" s="22">
        <f>IF(AY91="",0,COUNTIF(nINT_Key,AY91))</f>
        <v>1</v>
      </c>
      <c r="BA91" s="22">
        <f>IF(D91="",0,IFERROR(MATCH(AX91&amp;"|"&amp;D91,nLNK_Key,0),0))</f>
        <v>51</v>
      </c>
      <c r="BB91" s="22">
        <f>IF(BA91=0,1,INDEX(nLNK_Exp_Found,BA91))</f>
        <v>1</v>
      </c>
      <c r="BC91" s="22">
        <f>IF(BA91=0,1,INDEX(nLNK_Evt_Found,BA91))</f>
        <v>1</v>
      </c>
      <c r="BD91" s="22">
        <f>IF(AP91="",0,COUNTIF(nEXP_Key,AX91&amp;"|"&amp;AP91))</f>
        <v>1</v>
      </c>
      <c r="BE91" s="22">
        <f>IF(AQ91="",0,COUNTIF(nEVT_Key,AX91&amp;"|"&amp;AQ91))</f>
        <v>1</v>
      </c>
      <c r="BF91" s="22">
        <f>IF(ISNA(MATCH(E91,nLIST_AnchorType,0)),0,1)</f>
        <v>1</v>
      </c>
      <c r="BG91" s="22">
        <f t="shared" si="149"/>
        <v>0</v>
      </c>
      <c r="BH91" s="22">
        <f t="shared" si="150"/>
        <v>1</v>
      </c>
      <c r="BI91" s="22">
        <f>IF(OR(AW91=1,AK91=""),0,IFERROR(MATCH(AX91&amp;"|"&amp;AK91,nTP_Key,0),0))</f>
        <v>328</v>
      </c>
      <c r="BJ91" s="21">
        <f>IF(BI91=0,0,INDEX(nTP_Dup,BI91))</f>
        <v>1</v>
      </c>
      <c r="BK91" s="21" t="str">
        <f>IF(BI91=0,"",INDEX(nTP_Record_Type,BI91))</f>
        <v>EVENT_ONSET</v>
      </c>
      <c r="BL91" s="21" t="str">
        <f>IF(BI91=0,"",INDEX(nTP_Precision,BI91))</f>
        <v>DATE</v>
      </c>
      <c r="BM91" s="21" t="str">
        <f>IF(BI91=0,"",INDEX(nTP_Err,BI91))</f>
        <v/>
      </c>
      <c r="BN91" s="21">
        <f>IF(BI91=0,0,INDEX(nTP_HT,BI91))</f>
        <v>0</v>
      </c>
      <c r="BO91" s="21">
        <f>IF(BI91=0,0,INDEX(nTP_OK,BI91))</f>
        <v>0</v>
      </c>
      <c r="BP91" s="21" t="str">
        <f>IF(BI91=0,"",INDEX(nTP_Loc,BI91))</f>
        <v/>
      </c>
      <c r="BQ91" s="21" t="str">
        <f>IF(BI91=0,"",INDEX(nTP_UTC,BI91))</f>
        <v/>
      </c>
      <c r="BR91" s="21">
        <f>IF(BI91=0,"",INDEX(nTP_Lo,BI91))</f>
        <v>46150</v>
      </c>
      <c r="BS91" s="21">
        <f>IF(BI91=0,"",INDEX(nTP_Hi,BI91))</f>
        <v>46150</v>
      </c>
      <c r="BT91" s="21" t="str">
        <f>IF(BI91=0,"",INDEX(nTP_Original_Text,BI91))</f>
        <v>onset 8 May (follow-up, version 2)</v>
      </c>
      <c r="BU91" s="21" t="str">
        <f>IF(BI91=0,"",INDEX(nTP_Source,BI91))</f>
        <v>tto_calc_test_vectors_v1.1.json V12</v>
      </c>
      <c r="BV91" s="21" t="str">
        <f>IF(BI91=0,"",INDEX(nTP_Lab_Note,BI91))</f>
        <v/>
      </c>
      <c r="BW91" s="22">
        <f t="shared" si="151"/>
        <v>1</v>
      </c>
      <c r="BX91" s="21" t="str">
        <f t="shared" si="152"/>
        <v>VEC-V12|2|EX1</v>
      </c>
      <c r="BY91" s="22">
        <f>IF(BG91=0,0,COUNTIF(nTP_CandKey,BX91))</f>
        <v>0</v>
      </c>
      <c r="BZ91" s="22">
        <f>IF(BG91=0,0,COUNTIFS(nTP_CandKey,BX91,nTP_Err,""))</f>
        <v>0</v>
      </c>
      <c r="CA91" s="21" t="str">
        <f>IF(BY91=BZ91,"",IF(COUNTIFS(nTP_CandKey,BX91,nTP_Err,"E_INVALID_DATE")&gt;0,"; E_INVALID_DATE","")&amp;IF(COUNTIFS(nTP_CandKey,BX91,nTP_Err,"E_REVERSED_BOUNDS")&gt;0,"; E_REVERSED_BOUNDS","")&amp;IF(COUNTIFS(nTP_CandKey,BX91,nTP_Err,"E_MISSING_INPUT")&gt;0,"; E_MISSING_INPUT","")&amp;IF(COUNTIFS(nTP_CandKey,BX91,nTP_Err,"E_INVALID_UNIT")&gt;0,"; E_INVALID_UNIT",""))</f>
        <v/>
      </c>
      <c r="CB91" s="22">
        <f t="shared" si="153"/>
        <v>0</v>
      </c>
      <c r="CC91" s="22">
        <f>IF(CB91=0,0,SUMPRODUCT((nTP_CandKey=BX91)*(nTP_Err="")*(1-(nTP_HT*BN91*((nTP_OK*BO91*(nTP_UTC_n-N(BQ91))+(1-nTP_OK*BO91)*(nTP_Loc_n-N(BP91)))&lt;=0)+(1-nTP_HT*BN91)*(nTP_Hi_n&lt;N(BR91)))-(nTP_HT*BN91*((nTP_OK*BO91*(nTP_UTC_n-N(BQ91))+(1-nTP_OK*BO91)*(nTP_Loc_n-N(BP91)))&gt;0)+(1-nTP_HT*BN91)*(nTP_Lo_n&gt;N(BS91)))-((1-nTP_HT*BN91)*(nTP_Lo_n=nTP_Hi_n)*(nTP_Lo_n=N(BR91))*(N(BR91)=N(BS91))))))</f>
        <v>0</v>
      </c>
      <c r="CD91" s="22">
        <f>IF(CB91=0,0,SUMPRODUCT((nTP_CandKey=BX91)*nTP_Exact*((nTP_HT*BN91*((nTP_OK*BO91*(nTP_UTC_n-N(BQ91))+(1-nTP_OK*BO91)*(nTP_Loc_n-N(BP91)))&lt;=0)+(1-nTP_HT*BN91)*(nTP_Hi_n&lt;N(BR91)))+((1-nTP_HT*BN91)*(nTP_Lo_n=nTP_Hi_n)*(nTP_Lo_n=N(BR91))*(N(BR91)=N(BS91))))))</f>
        <v>0</v>
      </c>
      <c r="CE91" s="22">
        <f>IF(CB91=0,0,SUMPRODUCT((nTP_CandKey=BX91)*(nTP_Err="")*(1-nTP_Exact)*((nTP_HT*BN91*((nTP_OK*BO91*(nTP_UTC_n-N(BQ91))+(1-nTP_OK*BO91)*(nTP_Loc_n-N(BP91)))&lt;=0)+(1-nTP_HT*BN91)*(nTP_Hi_n&lt;N(BR91)))+((1-nTP_HT*BN91)*(nTP_Lo_n=nTP_Hi_n)*(nTP_Lo_n=N(BR91))*(N(BR91)=N(BS91))))))</f>
        <v>0</v>
      </c>
      <c r="CF91" s="22">
        <f>IF(CD91=0,0,SUMPRODUCT(MAX((nTP_CandKey=BX91)*nTP_Exact*((nTP_HT*BN91*((nTP_OK*BO91*(nTP_UTC_n-N(BQ91))+(1-nTP_OK*BO91)*(nTP_Loc_n-N(BP91)))&lt;=0)+(1-nTP_HT*BN91)*(nTP_Hi_n&lt;N(BR91)))+((1-nTP_HT*BN91)*(nTP_Lo_n=nTP_Hi_n)*(nTP_Lo_n=N(BR91))*(N(BR91)=N(BS91))))*nTP_Lo_n)))</f>
        <v>0</v>
      </c>
      <c r="CG91" s="22">
        <f>IF(CD91=0,0,SUMPRODUCT((nTP_CandKey=BX91)*nTP_Exact*((nTP_HT*BN91*((nTP_OK*BO91*(nTP_UTC_n-N(BQ91))+(1-nTP_OK*BO91)*(nTP_Loc_n-N(BP91)))&lt;=0)+(1-nTP_HT*BN91)*(nTP_Hi_n&lt;N(BR91)))+((1-nTP_HT*BN91)*(nTP_Lo_n=nTP_Hi_n)*(nTP_Lo_n=N(BR91))*(N(BR91)=N(BS91))))*(nTP_Lo_n=CF91)))</f>
        <v>0</v>
      </c>
      <c r="CH91" s="22">
        <f>IF(CD91=0,0,SUMPRODUCT((nTP_CandKey=BX91)*nTP_Exact*((nTP_HT*BN91*((nTP_OK*BO91*(nTP_UTC_n-N(BQ91))+(1-nTP_OK*BO91)*(nTP_Loc_n-N(BP91)))&lt;=0)+(1-nTP_HT*BN91)*(nTP_Hi_n&lt;N(BR91)))+((1-nTP_HT*BN91)*(nTP_Lo_n=nTP_Hi_n)*(nTP_Lo_n=N(BR91))*(N(BR91)=N(BS91))))*(1-nTP_HT)*(nTP_Lo_n=CF91)))</f>
        <v>0</v>
      </c>
      <c r="CI91" s="22">
        <f>IF(CD91=0,0,SUMPRODUCT(MAX((nTP_CandKey=BX91)*nTP_Exact*((nTP_HT*BN91*((nTP_OK*BO91*(nTP_UTC_n-N(BQ91))+(1-nTP_OK*BO91)*(nTP_Loc_n-N(BP91)))&lt;=0)+(1-nTP_HT*BN91)*(nTP_Hi_n&lt;N(BR91)))+((1-nTP_HT*BN91)*(nTP_Lo_n=nTP_Hi_n)*(nTP_Lo_n=N(BR91))*(N(BR91)=N(BS91))))*(1-nTP_HT)*nTP_Lo_n)))</f>
        <v>0</v>
      </c>
      <c r="CJ91" s="22">
        <f>IF(CD91=0,0,SUMPRODUCT(MAX((nTP_CandKey=BX91)*nTP_Exact*((nTP_HT*BN91*((nTP_OK*BO91*(nTP_UTC_n-N(BQ91))+(1-nTP_OK*BO91)*(nTP_Loc_n-N(BP91)))&lt;=0)+(1-nTP_HT*BN91)*(nTP_Hi_n&lt;N(BR91)))+((1-nTP_HT*BN91)*(nTP_Lo_n=nTP_Hi_n)*(nTP_Lo_n=N(BR91))*(N(BR91)=N(BS91))))*nTP_HT*nTP_OK*nTP_UTC_n)))</f>
        <v>0</v>
      </c>
      <c r="CK91" s="22">
        <f>IF(CJ91=0,0,SUMPRODUCT((nTP_CandKey=BX91)*nTP_Exact*((nTP_HT*BN91*((nTP_OK*BO91*(nTP_UTC_n-N(BQ91))+(1-nTP_OK*BO91)*(nTP_Loc_n-N(BP91)))&lt;=0)+(1-nTP_HT*BN91)*(nTP_Hi_n&lt;N(BR91)))+((1-nTP_HT*BN91)*(nTP_Lo_n=nTP_Hi_n)*(nTP_Lo_n=N(BR91))*(N(BR91)=N(BS91))))*nTP_HT*nTP_OK*(nTP_UTC_n=CJ91)))</f>
        <v>0</v>
      </c>
      <c r="CL91" s="22">
        <f>IF(CK91&lt;&gt;1,0,SUMPRODUCT((nTP_CandKey=BX91)*nTP_Exact*((nTP_HT*BN91*((nTP_OK*BO91*(nTP_UTC_n-N(BQ91))+(1-nTP_OK*BO91)*(nTP_Loc_n-N(BP91)))&lt;=0)+(1-nTP_HT*BN91)*(nTP_Hi_n&lt;N(BR91)))+((1-nTP_HT*BN91)*(nTP_Lo_n=nTP_Hi_n)*(nTP_Lo_n=N(BR91))*(N(BR91)=N(BS91))))*nTP_HT*nTP_OK*(nTP_UTC_n=CJ91)*nTP_Loc_n))</f>
        <v>0</v>
      </c>
      <c r="CM91" s="22">
        <f>IF(CK91&lt;&gt;1,0,SUMPRODUCT((nTP_CandKey=BX91)*nTP_Exact*((nTP_HT*BN91*((nTP_OK*BO91*(nTP_UTC_n-N(BQ91))+(1-nTP_OK*BO91)*(nTP_Loc_n-N(BP91)))&lt;=0)+(1-nTP_HT*BN91)*(nTP_Hi_n&lt;N(BR91)))+((1-nTP_HT*BN91)*(nTP_Lo_n=nTP_Hi_n)*(nTP_Lo_n=N(BR91))*(N(BR91)=N(BS91))))*nTP_HT*nTP_OK*(nTP_UTC_n=CJ91)*nTP_Lo_n))</f>
        <v>0</v>
      </c>
      <c r="CN91" s="22">
        <f>IF(CD91=0,0,SUMPRODUCT(MAX((nTP_CandKey=BX91)*nTP_Exact*((nTP_HT*BN91*((nTP_OK*BO91*(nTP_UTC_n-N(BQ91))+(1-nTP_OK*BO91)*(nTP_Loc_n-N(BP91)))&lt;=0)+(1-nTP_HT*BN91)*(nTP_Hi_n&lt;N(BR91)))+((1-nTP_HT*BN91)*(nTP_Lo_n=nTP_Hi_n)*(nTP_Lo_n=N(BR91))*(N(BR91)=N(BS91))))*nTP_HT*(1-nTP_OK)*nTP_Loc_n)))</f>
        <v>0</v>
      </c>
      <c r="CO91" s="22">
        <f>IF(CN91=0,0,SUMPRODUCT((nTP_CandKey=BX91)*nTP_Exact*((nTP_HT*BN91*((nTP_OK*BO91*(nTP_UTC_n-N(BQ91))+(1-nTP_OK*BO91)*(nTP_Loc_n-N(BP91)))&lt;=0)+(1-nTP_HT*BN91)*(nTP_Hi_n&lt;N(BR91)))+((1-nTP_HT*BN91)*(nTP_Lo_n=nTP_Hi_n)*(nTP_Lo_n=N(BR91))*(N(BR91)=N(BS91))))*nTP_HT*(1-nTP_OK)*(nTP_Loc_n=CN91)))</f>
        <v>0</v>
      </c>
      <c r="CP91" s="22">
        <f>IF(CO91&lt;&gt;1,0,SUMPRODUCT((nTP_CandKey=BX91)*nTP_Exact*((nTP_HT*BN91*((nTP_OK*BO91*(nTP_UTC_n-N(BQ91))+(1-nTP_OK*BO91)*(nTP_Loc_n-N(BP91)))&lt;=0)+(1-nTP_HT*BN91)*(nTP_Hi_n&lt;N(BR91)))+((1-nTP_HT*BN91)*(nTP_Lo_n=nTP_Hi_n)*(nTP_Lo_n=N(BR91))*(N(BR91)=N(BS91))))*nTP_HT*(1-nTP_OK)*(nTP_Loc_n=CN91)*nTP_Lo_n))</f>
        <v>0</v>
      </c>
      <c r="CQ91" s="22">
        <f>IF(CD91=0,0,SUMPRODUCT(MAX((nTP_CandKey=BX91)*nTP_Exact*((nTP_HT*BN91*((nTP_OK*BO91*(nTP_UTC_n-N(BQ91))+(1-nTP_OK*BO91)*(nTP_Loc_n-N(BP91)))&lt;=0)+(1-nTP_HT*BN91)*(nTP_Hi_n&lt;N(BR91)))+((1-nTP_HT*BN91)*(nTP_Lo_n=nTP_Hi_n)*(nTP_Lo_n=N(BR91))*(N(BR91)=N(BS91))))*nTP_HT*nTP_OK*nTP_Loc_n)))</f>
        <v>0</v>
      </c>
      <c r="CR91" s="22">
        <f t="shared" si="154"/>
        <v>0</v>
      </c>
      <c r="CS91" s="22">
        <f>IF(CR91=0,0,IF(CR91=1,MATCH(1,INDEX((nTP_CandKey=BX91)*nTP_Exact*((nTP_HT*BN91*((nTP_OK*BO91*(nTP_UTC_n-N(BQ91))+(1-nTP_OK*BO91)*(nTP_Loc_n-N(BP91)))&lt;=0)+(1-nTP_HT*BN91)*(nTP_Hi_n&lt;N(BR91)))+((1-nTP_HT*BN91)*(nTP_Lo_n=nTP_Hi_n)*(nTP_Lo_n=N(BR91))*(N(BR91)=N(BS91))))*(1-nTP_HT)*(nTP_Lo_n=CF91),0),0),IF(CR91=2,MATCH(1,INDEX((nTP_CandKey=BX91)*nTP_Exact*((nTP_HT*BN91*((nTP_OK*BO91*(nTP_UTC_n-N(BQ91))+(1-nTP_OK*BO91)*(nTP_Loc_n-N(BP91)))&lt;=0)+(1-nTP_HT*BN91)*(nTP_Hi_n&lt;N(BR91)))+((1-nTP_HT*BN91)*(nTP_Lo_n=nTP_Hi_n)*(nTP_Lo_n=N(BR91))*(N(BR91)=N(BS91))))*nTP_HT*nTP_OK*(nTP_UTC_n=CJ91),0),0),MATCH(1,INDEX((nTP_CandKey=BX91)*nTP_Exact*((nTP_HT*BN91*((nTP_OK*BO91*(nTP_UTC_n-N(BQ91))+(1-nTP_OK*BO91)*(nTP_Loc_n-N(BP91)))&lt;=0)+(1-nTP_HT*BN91)*(nTP_Hi_n&lt;N(BR91)))+((1-nTP_HT*BN91)*(nTP_Lo_n=nTP_Hi_n)*(nTP_Lo_n=N(BR91))*(N(BR91)=N(BS91))))*nTP_HT*(1-nTP_OK)*(nTP_Loc_n=CN91),0),0))))</f>
        <v>0</v>
      </c>
      <c r="CT91" s="22">
        <f>IF(CS91=0,0,INDEX(nTP_Lo_n,CS91))</f>
        <v>0</v>
      </c>
      <c r="CU91" s="22">
        <f>IF(CS91=0,0,SUMPRODUCT((nTP_CandKey=BX91)*(nTP_Err="")*(1-nTP_Exact)*((nTP_HT*BN91*((nTP_OK*BO91*(nTP_UTC_n-N(BQ91))+(1-nTP_OK*BO91)*(nTP_Loc_n-N(BP91)))&lt;=0)+(1-nTP_HT*BN91)*(nTP_Hi_n&lt;N(BR91)))+((1-nTP_HT*BN91)*(nTP_Lo_n=nTP_Hi_n)*(nTP_Lo_n=N(BR91))*(N(BR91)=N(BS91))))*(nTP_Hi_n&gt;=CT91)))</f>
        <v>0</v>
      </c>
      <c r="CV91" s="21" t="str">
        <f t="shared" si="155"/>
        <v/>
      </c>
      <c r="CW91" s="21" t="str">
        <f>IF(AND(BG91=1,CB91=1,CV91="",CS91&gt;0),INDEX(nTP_Record_ID,CS91)&amp;"","")</f>
        <v/>
      </c>
      <c r="CX91" s="21" t="str">
        <f>IF(OR(CV91="",BG91=0),"",IF(CV91="none","an administration record (last dose before onset)",IF(CV91="uncertain","the anchor record: "&amp;INDEX(nTP_Record_ID,MATCH(1,INDEX((nTP_CandKey=BX91)*(nTP_Err="")*(1-(nTP_HT*BN91*((nTP_OK*BO91*(nTP_UTC_n-N(BQ91))+(1-nTP_OK*BO91)*(nTP_Loc_n-N(BP91)))&lt;=0)+(1-nTP_HT*BN91)*(nTP_Hi_n&lt;N(BR91)))-(nTP_HT*BN91*((nTP_OK*BO91*(nTP_UTC_n-N(BQ91))+(1-nTP_OK*BO91)*(nTP_Loc_n-N(BP91)))&gt;0)+(1-nTP_HT*BN91)*(nTP_Lo_n&gt;N(BS91)))-((1-nTP_HT*BN91)*(nTP_Lo_n=nTP_Hi_n)*(nTP_Lo_n=N(BR91))*(N(BR91)=N(BS91)))),0),0))&amp;IF(CC91&gt;1," and "&amp;(CC91-1)&amp;" more","")&amp;" may fall before or after the end point, so the last dose cannot be identified from the recorded dates",IF(CV91="noneligible","the anchor record: no administration with an exact date is recorded at or before the end point",IF(CV91="tie","the anchor record: the order of the latest administrations cannot be told from the recorded dates and times","the anchor record: partial-date administration "&amp;INDEX(nTP_Record_ID,MATCH(1,INDEX((nTP_CandKey=BX91)*(nTP_Err="")*(1-nTP_Exact)*((nTP_HT*BN91*((nTP_OK*BO91*(nTP_UTC_n-N(BQ91))+(1-nTP_OK*BO91)*(nTP_Loc_n-N(BP91)))&lt;=0)+(1-nTP_HT*BN91)*(nTP_Hi_n&lt;N(BR91)))+((1-nTP_HT*BN91)*(nTP_Lo_n=nTP_Hi_n)*(nTP_Lo_n=N(BR91))*(N(BR91)=N(BS91))))*(nTP_Hi_n&gt;=CT91),0),0))&amp;" could be the last dose before the end point")))))</f>
        <v/>
      </c>
      <c r="CY91" s="22">
        <f>IF(OR(AW91=1,AJ91=""),0,IFERROR(MATCH(AX91&amp;"|"&amp;AJ91,nTP_Key,0),0))</f>
        <v>56</v>
      </c>
      <c r="CZ91" s="21">
        <f>IF(CY91=0,0,INDEX(nTP_Dup,CY91))</f>
        <v>1</v>
      </c>
      <c r="DA91" s="21" t="str">
        <f>IF(CY91=0,"",INDEX(nTP_Record_Type,CY91))</f>
        <v>EXPOSURE_START</v>
      </c>
      <c r="DB91" s="21" t="str">
        <f>IF(CY91=0,"",INDEX(nTP_Precision,CY91))</f>
        <v>DATE</v>
      </c>
      <c r="DC91" s="21" t="str">
        <f>IF(CY91=0,"",INDEX(nTP_Err,CY91))</f>
        <v/>
      </c>
      <c r="DD91" s="21">
        <f>IF(CY91=0,0,INDEX(nTP_HT,CY91))</f>
        <v>0</v>
      </c>
      <c r="DE91" s="21">
        <f>IF(CY91=0,0,INDEX(nTP_OK,CY91))</f>
        <v>0</v>
      </c>
      <c r="DF91" s="21" t="str">
        <f>IF(CY91=0,"",INDEX(nTP_Loc,CY91))</f>
        <v/>
      </c>
      <c r="DG91" s="21" t="str">
        <f>IF(CY91=0,"",INDEX(nTP_UTC,CY91))</f>
        <v/>
      </c>
      <c r="DH91" s="21">
        <f>IF(CY91=0,"",INDEX(nTP_Lo,CY91))</f>
        <v>46143</v>
      </c>
      <c r="DI91" s="21">
        <f>IF(CY91=0,"",INDEX(nTP_Hi,CY91))</f>
        <v>46143</v>
      </c>
      <c r="DJ91" s="21" t="str">
        <f>IF(CY91=0,"",INDEX(nTP_Original_Text,CY91))</f>
        <v>2026-05-01</v>
      </c>
      <c r="DK91" s="21" t="str">
        <f>IF(CY91=0,"",INDEX(nTP_Source,CY91))</f>
        <v>tto_calc_test_vectors_v1.1.json V12</v>
      </c>
      <c r="DL91" s="22">
        <f t="shared" si="156"/>
        <v>1</v>
      </c>
      <c r="DM91" s="21" t="str">
        <f t="shared" si="157"/>
        <v/>
      </c>
      <c r="DN91" s="21" t="str">
        <f t="shared" si="158"/>
        <v/>
      </c>
      <c r="DO91" s="21" t="str">
        <f t="shared" si="159"/>
        <v/>
      </c>
      <c r="DP91" s="21" t="str">
        <f t="shared" si="160"/>
        <v/>
      </c>
      <c r="DQ91" s="21" t="str">
        <f t="shared" si="161"/>
        <v>C2</v>
      </c>
      <c r="DR91" s="22">
        <f>IF(OR(DQ91="",I91=""),0,IF(ISNA(MATCH(I91,nLIST_Mode,0)),1,IF(AND(I91="C1",DQ91&lt;&gt;"C1"),1,IF(AND(I91="C2",DQ91="C4"),1,0))))</f>
        <v>0</v>
      </c>
      <c r="DS91" s="21" t="str">
        <f t="shared" si="162"/>
        <v>C2</v>
      </c>
      <c r="DT91" s="22">
        <f t="shared" si="163"/>
        <v>0</v>
      </c>
      <c r="DU91" s="21" t="str">
        <f>IF(DT91=0,"",IF(COUNTIFS(nTP_Case_Key,AX91,nTP_Record_Type,"MILESTONE:INTERVENTION",nTP_Err,"E_INVALID_DATE")&gt;0,"; E_INVALID_DATE","")&amp;IF(COUNTIFS(nTP_Case_Key,AX91,nTP_Record_Type,"MILESTONE:INTERVENTION",nTP_Err,"E_REVERSED_BOUNDS")&gt;0,"; E_REVERSED_BOUNDS","")&amp;IF(COUNTIFS(nTP_Case_Key,AX91,nTP_Record_Type,"MILESTONE:INTERVENTION",nTP_Err,"E_MISSING_INPUT")&gt;0,"; E_MISSING_INPUT","")&amp;IF(COUNTIFS(nTP_Case_Key,AX91,nTP_Record_Type,"MILESTONE:INTERVENTION",nTP_Err,"E_INVALID_UNIT")&gt;0,"; E_INVALID_UNIT",""))</f>
        <v/>
      </c>
      <c r="DV91" s="22">
        <f>IF(DT91=0,0,SUMPRODUCT((nMS_CaseKey=AX91)*(nMS_Type="INTERVENTION")*nMS_Undated))</f>
        <v>0</v>
      </c>
      <c r="DW91" s="21" t="str">
        <f t="shared" si="164"/>
        <v/>
      </c>
      <c r="DX91" s="21" t="str">
        <f t="shared" si="165"/>
        <v/>
      </c>
      <c r="DY91" s="22">
        <f t="shared" si="166"/>
        <v>1</v>
      </c>
      <c r="DZ91" s="21" t="str">
        <f t="shared" si="167"/>
        <v/>
      </c>
      <c r="EA91" s="21">
        <f t="shared" si="168"/>
        <v>7</v>
      </c>
      <c r="EB91" s="21" t="str">
        <f t="shared" si="169"/>
        <v/>
      </c>
      <c r="EC91" s="21" t="str">
        <f t="shared" si="170"/>
        <v/>
      </c>
      <c r="ED91" s="22">
        <f t="shared" si="171"/>
        <v>0</v>
      </c>
      <c r="EE91" s="22">
        <f t="shared" si="172"/>
        <v>0</v>
      </c>
      <c r="EF91" s="21" t="str">
        <f>IF(ED91=0,"",IF(OR(NOT(ISNUMBER(L91)),NOT(ISNUMBER(M91))),"I_APPROXIMATE_NOT_COMPARED",IF(AND(N91&lt;&gt;"",ISNA(MATCH(N91,nLIST_ReportedUnit,0))),"E_INVALID_UNIT",IF(N91="","E_MISSING_INPUT",IF(L91&gt;M91,"E_REVERSED_BOUNDS",IF(OR(N91="weeks",N91="months",N91="years"),"I_APPROXIMATE_NOT_COMPARED",IF(DX91&lt;&gt;"","",IF(EE91=0,"I_APPROXIMATE_NOT_COMPARED",IF(AND(L91*EE91&lt;=IF(DS91="C4",EC91,IF(DS91="C1",DZ91,EA91)),M91*EE91&gt;=IF(DS91="C4",EB91,IF(DS91="C1",DZ91,EA91))),"OVERLAP","W_REPORTED_TIMING_CONFLICT")))))))))</f>
        <v/>
      </c>
      <c r="EG91" s="21" t="str">
        <f t="shared" si="173"/>
        <v/>
      </c>
      <c r="EH91" s="21" t="str">
        <f t="shared" si="174"/>
        <v/>
      </c>
      <c r="EI91" s="22">
        <f t="shared" si="175"/>
        <v>1</v>
      </c>
      <c r="EJ91" s="22">
        <f t="shared" si="176"/>
        <v>0</v>
      </c>
      <c r="EK91" s="22">
        <f t="shared" si="177"/>
        <v>0</v>
      </c>
      <c r="EL91" s="28" t="str">
        <f t="shared" si="178"/>
        <v/>
      </c>
      <c r="EM91" s="28" t="str">
        <f t="shared" si="179"/>
        <v/>
      </c>
      <c r="EN91" s="21" t="str">
        <f t="shared" si="180"/>
        <v/>
      </c>
      <c r="EO91" s="22">
        <f>IF(OR(DT91=0,DX91&lt;&gt;""),0,SUMPRODUCT((nTP_Case_Key=AX91)*(nTP_Record_Type="MILESTONE:INTERVENTION")*(nTP_Err="")*(nTP_HT*DD91*BN91*(nTP_OK*DE91*(nTP_UTC_n&gt;=N(DG91))+(1-nTP_OK*DE91)*(nTP_Loc_n&gt;=N(DF91)))*(nTP_OK*BO91*(nTP_UTC_n&lt;=N(BQ91))+(1-nTP_OK*BO91)*(nTP_Loc_n&lt;=N(BP91)))+(1-nTP_HT*DD91*BN91)*(nTP_Hi_n&gt;=N(DH91))*(nTP_Lo_n&lt;=N(BS91)))))</f>
        <v>0</v>
      </c>
      <c r="EP91" s="22">
        <f>IF(OR(DT91=0,DX91&lt;&gt;""),0,SUMPRODUCT((nTP_Case_Key=AX91)*(nTP_Role="treatment of the event")*((nTP_Record_Type="EXPOSURE_START")+(nTP_Record_Type="ADMINISTRATION"))*(nTP_Err="")*(nTP_HT*DD91*BN91*(nTP_OK*DE91*(nTP_UTC_n&gt;=N(DG91))+(1-nTP_OK*DE91)*(nTP_Loc_n&gt;=N(DF91)))*(nTP_OK*BO91*(nTP_UTC_n&lt;=N(BQ91))+(1-nTP_OK*BO91)*(nTP_Loc_n&lt;=N(BP91)))+(1-nTP_HT*DD91*BN91)*(nTP_Hi_n&gt;=N(DH91))*(nTP_Lo_n&lt;=N(BS91)))))</f>
        <v>0</v>
      </c>
      <c r="EQ91" s="22">
        <f>IF(EO91&lt;1,0,IFERROR(_xlfn.AGGREGATE(15,6,nTP_RowN/((nTP_Case_Key=AX91)*(nTP_Record_Type="MILESTONE:INTERVENTION")*(nTP_Err="")*(nTP_HT*DD91*BN91*(nTP_OK*DE91*(nTP_UTC_n&gt;=N(DG91))+(1-nTP_OK*DE91)*(nTP_Loc_n&gt;=N(DF91)))*(nTP_OK*BO91*(nTP_UTC_n&lt;=N(BQ91))+(1-nTP_OK*BO91)*(nTP_Loc_n&lt;=N(BP91)))+(1-nTP_HT*DD91*BN91)*(nTP_Hi_n&gt;=N(DH91))*(nTP_Lo_n&lt;=N(BS91)))),1),0))</f>
        <v>0</v>
      </c>
      <c r="ER91" s="22">
        <f>IF(EO91&lt;2,0,IFERROR(_xlfn.AGGREGATE(15,6,nTP_RowN/((nTP_Case_Key=AX91)*(nTP_Record_Type="MILESTONE:INTERVENTION")*(nTP_Err="")*(nTP_HT*DD91*BN91*(nTP_OK*DE91*(nTP_UTC_n&gt;=N(DG91))+(1-nTP_OK*DE91)*(nTP_Loc_n&gt;=N(DF91)))*(nTP_OK*BO91*(nTP_UTC_n&lt;=N(BQ91))+(1-nTP_OK*BO91)*(nTP_Loc_n&lt;=N(BP91)))+(1-nTP_HT*DD91*BN91)*(nTP_Hi_n&gt;=N(DH91))*(nTP_Lo_n&lt;=N(BS91)))),2),0))</f>
        <v>0</v>
      </c>
      <c r="ES91" s="22">
        <f>IF(EO91&lt;3,0,IFERROR(_xlfn.AGGREGATE(15,6,nTP_RowN/((nTP_Case_Key=AX91)*(nTP_Record_Type="MILESTONE:INTERVENTION")*(nTP_Err="")*(nTP_HT*DD91*BN91*(nTP_OK*DE91*(nTP_UTC_n&gt;=N(DG91))+(1-nTP_OK*DE91)*(nTP_Loc_n&gt;=N(DF91)))*(nTP_OK*BO91*(nTP_UTC_n&lt;=N(BQ91))+(1-nTP_OK*BO91)*(nTP_Loc_n&lt;=N(BP91)))+(1-nTP_HT*DD91*BN91)*(nTP_Hi_n&gt;=N(DH91))*(nTP_Lo_n&lt;=N(BS91)))),3),0))</f>
        <v>0</v>
      </c>
      <c r="ET91" s="22">
        <f>IF(EP91&lt;1,0,IFERROR(_xlfn.AGGREGATE(15,6,nTP_RowN/((nTP_Case_Key=AX91)*(nTP_Role="treatment of the event")*((nTP_Record_Type="EXPOSURE_START")+(nTP_Record_Type="ADMINISTRATION"))*(nTP_Err="")*(nTP_HT*DD91*BN91*(nTP_OK*DE91*(nTP_UTC_n&gt;=N(DG91))+(1-nTP_OK*DE91)*(nTP_Loc_n&gt;=N(DF91)))*(nTP_OK*BO91*(nTP_UTC_n&lt;=N(BQ91))+(1-nTP_OK*BO91)*(nTP_Loc_n&lt;=N(BP91)))+(1-nTP_HT*DD91*BN91)*(nTP_Hi_n&gt;=N(DH91))*(nTP_Lo_n&lt;=N(BS91)))),1),0))</f>
        <v>0</v>
      </c>
      <c r="EU91" s="22">
        <f>IF(EP91&lt;2,0,IFERROR(_xlfn.AGGREGATE(15,6,nTP_RowN/((nTP_Case_Key=AX91)*(nTP_Role="treatment of the event")*((nTP_Record_Type="EXPOSURE_START")+(nTP_Record_Type="ADMINISTRATION"))*(nTP_Err="")*(nTP_HT*DD91*BN91*(nTP_OK*DE91*(nTP_UTC_n&gt;=N(DG91))+(1-nTP_OK*DE91)*(nTP_Loc_n&gt;=N(DF91)))*(nTP_OK*BO91*(nTP_UTC_n&lt;=N(BQ91))+(1-nTP_OK*BO91)*(nTP_Loc_n&lt;=N(BP91)))+(1-nTP_HT*DD91*BN91)*(nTP_Hi_n&gt;=N(DH91))*(nTP_Lo_n&lt;=N(BS91)))),2),0))</f>
        <v>0</v>
      </c>
      <c r="EV91" s="22">
        <f>IF(EP91&lt;3,0,IFERROR(_xlfn.AGGREGATE(15,6,nTP_RowN/((nTP_Case_Key=AX91)*(nTP_Role="treatment of the event")*((nTP_Record_Type="EXPOSURE_START")+(nTP_Record_Type="ADMINISTRATION"))*(nTP_Err="")*(nTP_HT*DD91*BN91*(nTP_OK*DE91*(nTP_UTC_n&gt;=N(DG91))+(1-nTP_OK*DE91)*(nTP_Loc_n&gt;=N(DF91)))*(nTP_OK*BO91*(nTP_UTC_n&lt;=N(BQ91))+(1-nTP_OK*BO91)*(nTP_Loc_n&lt;=N(BP91)))+(1-nTP_HT*DD91*BN91)*(nTP_Hi_n&gt;=N(DH91))*(nTP_Lo_n&lt;=N(BS91)))),3),0))</f>
        <v>0</v>
      </c>
      <c r="EW91" s="22">
        <f>IF(CE91&lt;1,0,IFERROR(_xlfn.AGGREGATE(15,6,nTP_RowN/((nTP_CandKey=BX91)*(nTP_Err="")*(1-nTP_Exact)*((nTP_HT*BN91*((nTP_OK*BO91*(nTP_UTC_n-N(BQ91))+(1-nTP_OK*BO91)*(nTP_Loc_n-N(BP91)))&lt;=0)+(1-nTP_HT*BN91)*(nTP_Hi_n&lt;N(BR91)))+((1-nTP_HT*BN91)*(nTP_Lo_n=nTP_Hi_n)*(nTP_Lo_n=N(BR91))*(N(BR91)=N(BS91))))),1),0))</f>
        <v>0</v>
      </c>
      <c r="EX91" s="22">
        <f>IF(CE91&lt;2,0,IFERROR(_xlfn.AGGREGATE(15,6,nTP_RowN/((nTP_CandKey=BX91)*(nTP_Err="")*(1-nTP_Exact)*((nTP_HT*BN91*((nTP_OK*BO91*(nTP_UTC_n-N(BQ91))+(1-nTP_OK*BO91)*(nTP_Loc_n-N(BP91)))&lt;=0)+(1-nTP_HT*BN91)*(nTP_Hi_n&lt;N(BR91)))+((1-nTP_HT*BN91)*(nTP_Lo_n=nTP_Hi_n)*(nTP_Lo_n=N(BR91))*(N(BR91)=N(BS91))))),2),0))</f>
        <v>0</v>
      </c>
      <c r="EY91" s="22">
        <f>IF(CE91&lt;3,0,IFERROR(_xlfn.AGGREGATE(15,6,nTP_RowN/((nTP_CandKey=BX91)*(nTP_Err="")*(1-nTP_Exact)*((nTP_HT*BN91*((nTP_OK*BO91*(nTP_UTC_n-N(BQ91))+(1-nTP_OK*BO91)*(nTP_Loc_n-N(BP91)))&lt;=0)+(1-nTP_HT*BN91)*(nTP_Hi_n&lt;N(BR91)))+((1-nTP_HT*BN91)*(nTP_Lo_n=nTP_Hi_n)*(nTP_Lo_n=N(BR91))*(N(BR91)=N(BS91))))),3),0))</f>
        <v>0</v>
      </c>
      <c r="EZ91" s="21" t="str">
        <f>IF(EO91=0,"",MID(IF(EQ91&gt;0,"; "&amp;INDEX(nTP_Record_ID,EQ91)&amp;IF(INDEX(nTP_Label,EQ91)="",""," ("&amp;INDEX(nTP_Label,EQ91)&amp;")"),"")&amp;IF(ER91&gt;0,"; "&amp;INDEX(nTP_Record_ID,ER91)&amp;IF(INDEX(nTP_Label,ER91)="",""," ("&amp;INDEX(nTP_Label,ER91)&amp;")"),"")&amp;IF(ES91&gt;0,"; "&amp;INDEX(nTP_Record_ID,ES91)&amp;IF(INDEX(nTP_Label,ES91)="",""," ("&amp;INDEX(nTP_Label,ES91)&amp;")"),"")&amp;IF(EO91&gt;3,"; and "&amp;(EO91-3)&amp;" more",""),3,999))</f>
        <v/>
      </c>
      <c r="FA91" s="21" t="str">
        <f>IF(EO91=0,"",MID(IF(EQ91&gt;0,"; "&amp;INDEX(nTP_Record_ID,EQ91),"")&amp;IF(ER91&gt;0,"; "&amp;INDEX(nTP_Record_ID,ER91),"")&amp;IF(ES91&gt;0,"; "&amp;INDEX(nTP_Record_ID,ES91),"")&amp;IF(EO91&gt;3,"; and "&amp;(EO91-3)&amp;" more",""),3,999))</f>
        <v/>
      </c>
      <c r="FB91" s="21" t="str">
        <f>IF(EP91=0,"",MID(IF(ET91&gt;0,"; "&amp;INDEX(nTP_Record_ID,ET91)&amp;IF(INDEX(nTP_Label,ET91)="",""," ("&amp;INDEX(nTP_Label,ET91)&amp;")"),"")&amp;IF(EU91&gt;0,"; "&amp;INDEX(nTP_Record_ID,EU91)&amp;IF(INDEX(nTP_Label,EU91)="",""," ("&amp;INDEX(nTP_Label,EU91)&amp;")"),"")&amp;IF(EV91&gt;0,"; "&amp;INDEX(nTP_Record_ID,EV91)&amp;IF(INDEX(nTP_Label,EV91)="",""," ("&amp;INDEX(nTP_Label,EV91)&amp;")"),"")&amp;IF(EP91&gt;3,"; and "&amp;(EP91-3)&amp;" more",""),3,999))</f>
        <v/>
      </c>
      <c r="FC91" s="21" t="str">
        <f>IF(CE91=0,"",MID(IF(EW91&gt;0,"; "&amp;INDEX(nTP_Record_ID,EW91),"")&amp;IF(EX91&gt;0,"; "&amp;INDEX(nTP_Record_ID,EX91),"")&amp;IF(EY91&gt;0,"; "&amp;INDEX(nTP_Record_ID,EY91),"")&amp;IF(CE91&gt;3,"; and "&amp;(CE91-3)&amp;" more",""),3,999))</f>
        <v/>
      </c>
      <c r="FD91" s="22">
        <f t="shared" si="181"/>
        <v>0</v>
      </c>
      <c r="FE91" s="22">
        <f t="shared" si="182"/>
        <v>0</v>
      </c>
      <c r="FF91" s="22">
        <f t="shared" si="183"/>
        <v>0</v>
      </c>
      <c r="FG91" s="22">
        <f t="shared" si="184"/>
        <v>0</v>
      </c>
      <c r="FH91" s="22">
        <f t="shared" si="185"/>
        <v>0</v>
      </c>
      <c r="FI91" s="22">
        <f t="shared" si="186"/>
        <v>0</v>
      </c>
      <c r="FJ91" s="22">
        <f t="shared" si="187"/>
        <v>0</v>
      </c>
      <c r="FK91" s="22">
        <f t="shared" si="188"/>
        <v>0</v>
      </c>
    </row>
    <row r="92" spans="1:167" x14ac:dyDescent="0.2">
      <c r="A92" s="9" t="s">
        <v>1187</v>
      </c>
      <c r="B92" s="9" t="s">
        <v>335</v>
      </c>
      <c r="C92" s="11">
        <v>1</v>
      </c>
      <c r="D92" s="9" t="s">
        <v>898</v>
      </c>
      <c r="E92" s="16" t="s">
        <v>51</v>
      </c>
      <c r="F92" s="9"/>
      <c r="G92" s="9" t="s">
        <v>1186</v>
      </c>
      <c r="H92" s="9" t="s">
        <v>1181</v>
      </c>
      <c r="I92" s="16" t="s">
        <v>60</v>
      </c>
      <c r="J92" s="16"/>
      <c r="K92" s="9"/>
      <c r="L92" s="16"/>
      <c r="M92" s="16"/>
      <c r="N92" s="16"/>
      <c r="O92" s="9"/>
      <c r="P92" s="14"/>
      <c r="Q92" s="14"/>
      <c r="R92" s="9"/>
      <c r="S92" s="9"/>
      <c r="T92" s="21" t="str">
        <f t="shared" si="126"/>
        <v>E_INVALID_DATE: no result is shown</v>
      </c>
      <c r="U92" s="21" t="str">
        <f t="shared" si="127"/>
        <v>Not calculable</v>
      </c>
      <c r="V92" s="21" t="str">
        <f t="shared" si="128"/>
        <v/>
      </c>
      <c r="W92" s="21" t="str">
        <f t="shared" si="129"/>
        <v/>
      </c>
      <c r="X92" s="21" t="str">
        <f t="shared" si="130"/>
        <v/>
      </c>
      <c r="Y92" s="21" t="str">
        <f t="shared" si="131"/>
        <v/>
      </c>
      <c r="Z92" s="21" t="str">
        <f t="shared" si="132"/>
        <v>C1–C6</v>
      </c>
      <c r="AA92" s="21" t="str">
        <f t="shared" si="133"/>
        <v/>
      </c>
      <c r="AB92" s="21" t="str">
        <f t="shared" si="134"/>
        <v/>
      </c>
      <c r="AC92" s="21" t="str">
        <f t="shared" si="135"/>
        <v>E_INVALID_DATE</v>
      </c>
      <c r="AD92" s="21" t="str">
        <f>IF(AW92=1,"",MID(IF(ISNUMBER(SEARCH("E_INVALID_DATE",EG92))," | E_INVALID_DATE: "&amp;SUBSTITUTE(IFERROR(INDEX(nMSG_Text,MATCH("E_INVALID_DATE",nMSG_Code,0)),""),"[input]",""),"")&amp;IF(ISNUMBER(SEARCH("E_REVERSED_BOUNDS",EG92))," | E_REVERSED_BOUNDS: "&amp;SUBSTITUTE(IFERROR(INDEX(nMSG_Text,MATCH("E_REVERSED_BOUNDS",nMSG_Code,0)),""),"[input]",""),"")&amp;IF(ISNUMBER(SEARCH("E_DUPLICATE_ID",EG92))," | E_DUPLICATE_ID: "&amp;SUBSTITUTE(IFERROR(INDEX(nMSG_Text,MATCH("E_DUPLICATE_ID",nMSG_Code,0)),""),"[input]",""),"")&amp;IF(ISNUMBER(SEARCH("E_MISSING_LINK",EG92))," | E_MISSING_LINK: "&amp;SUBSTITUTE(IFERROR(INDEX(nMSG_Text,MATCH("E_MISSING_LINK",nMSG_Code,0)),""),"[input]",""),"")&amp;IF(ISNUMBER(SEARCH("E_MISSING_INPUT",EG92))," | E_MISSING_INPUT: "&amp;SUBSTITUTE(IFERROR(INDEX(nMSG_Text,MATCH("E_MISSING_INPUT",nMSG_Code,0)),""),"[input]",IF(EH92="","an input",EH92)),"")&amp;IF(ISNUMBER(SEARCH("E_INVALID_UNIT",EG92))," | E_INVALID_UNIT: "&amp;SUBSTITUTE(IFERROR(INDEX(nMSG_Text,MATCH("E_INVALID_UNIT",nMSG_Code,0)),""),"[input]",""),"")&amp;IF(FD92=1," | W_TZ_UNKNOWN: "&amp;SUBSTITUTE(IFERROR(INDEX(nMSG_Text,MATCH("W_TZ_UNKNOWN",nMSG_Code,0)),""),"[input]",""),"")&amp;IF(FE92=1," | W_SAME_DATE_ORDER_UNKNOWN: "&amp;SUBSTITUTE(IFERROR(INDEX(nMSG_Text,MATCH("W_SAME_DATE_ORDER_UNKNOWN",nMSG_Code,0)),""),"[input]",""),"")&amp;IF(FF92=1," | W_SEQUENCE_UNCERTAIN: "&amp;SUBSTITUTE(IFERROR(INDEX(nMSG_Text,MATCH("W_SEQUENCE_UNCERTAIN",nMSG_Code,0)),""),"[input]",""),"")&amp;IF(FG92=1," | W_ADMIN_SAME_DATE_AS_ONSET: "&amp;SUBSTITUTE(IFERROR(INDEX(nMSG_Text,MATCH("W_ADMIN_SAME_DATE_AS_ONSET",nMSG_Code,0)),""),"[input]",""),"")&amp;IF(FH92=1," | W_REPORTED_TIMING_CONFLICT: "&amp;SUBSTITUTE(IFERROR(INDEX(nMSG_Text,MATCH("W_REPORTED_TIMING_CONFLICT",nMSG_Code,0)),""),"[input]",""),"")&amp;IF(FI92=1," | W_INTERVENTION_BEFORE_RECOVERY: "&amp;SUBSTITUTE(IFERROR(INDEX(nMSG_Text,MATCH("W_INTERVENTION_BEFORE_RECOVERY",nMSG_Code,0)),""),"[input]",""),"")&amp;IF(FJ92=1," | I_TREATMENT_DAY_UNDEFINED: "&amp;SUBSTITUTE(IFERROR(INDEX(nMSG_Text,MATCH("I_TREATMENT_DAY_UNDEFINED",nMSG_Code,0)),""),"[input]",""),"")&amp;IF(FK92=1," | I_APPROXIMATE_NOT_COMPARED: "&amp;SUBSTITUTE(IFERROR(INDEX(nMSG_Text,MATCH("I_APPROXIMATE_NOT_COMPARED",nMSG_Code,0)),""),"[input]",""),""),4,9999))</f>
        <v>E_INVALID_DATE: This date does not exist. Check the source, or record it as a partial date.</v>
      </c>
      <c r="AE92" s="21" t="str">
        <f t="shared" si="136"/>
        <v/>
      </c>
      <c r="AF92" s="21" t="str">
        <f t="shared" si="137"/>
        <v/>
      </c>
      <c r="AG92" s="21" t="str">
        <f>IF(EN92="","",MID(IF(ISNUMBER(SEARCH("E_REVERSED_BOUNDS",EN92))," | E_REVERSED_BOUNDS: "&amp;SUBSTITUTE(IFERROR(INDEX(nMSG_Text,MATCH("E_REVERSED_BOUNDS",nMSG_Code,0)),""),"[input]",""),"")&amp;IF(ISNUMBER(SEARCH("E_MISSING_INPUT",EN92))," | E_MISSING_INPUT: "&amp;SUBSTITUTE(IFERROR(INDEX(nMSG_Text,MATCH("E_MISSING_INPUT",nMSG_Code,0)),""),"[input]",IF("the source of the constraint"="","an input","the source of the constraint")),""),4,999))</f>
        <v/>
      </c>
      <c r="AH92" s="21" t="str">
        <f t="shared" si="138"/>
        <v/>
      </c>
      <c r="AI92" s="21" t="str">
        <f t="shared" si="139"/>
        <v>Interval I-DATE</v>
      </c>
      <c r="AJ92" s="21" t="str">
        <f t="shared" si="140"/>
        <v>EX3/START</v>
      </c>
      <c r="AK92" s="21" t="str">
        <f t="shared" si="141"/>
        <v>EV1/ONSET</v>
      </c>
      <c r="AL92" s="21" t="str">
        <f>IF(CY92=0,"",INDEX(nTP_ISO,CY92))</f>
        <v>2026-01-15</v>
      </c>
      <c r="AM92" s="21" t="str">
        <f>IF(CY92=0,"",INDEX(nTP_Display,CY92))</f>
        <v>15 January 2026</v>
      </c>
      <c r="AN92" s="21" t="str">
        <f>IF(BI92=0,"",INDEX(nTP_ISO,BI92))</f>
        <v/>
      </c>
      <c r="AO92" s="21" t="str">
        <f>IF(BI92=0,"",INDEX(nTP_Display,BI92))</f>
        <v>E_INVALID_DATE</v>
      </c>
      <c r="AP92" s="21" t="str">
        <f>IF(BA92=0,"",INDEX(nLNK_Exposure_Episode_ID,BA92)&amp;"")</f>
        <v>EX3</v>
      </c>
      <c r="AQ92" s="21" t="str">
        <f>IF(BA92=0,"",INDEX(nLNK_Event_Episode_ID,BA92)&amp;"")</f>
        <v>EV1</v>
      </c>
      <c r="AR92" s="21" t="str">
        <f t="shared" si="142"/>
        <v/>
      </c>
      <c r="AS92" s="21" t="str">
        <f>IF(EI92=0,"",MID(IF(DT92=1," | Recovery interval (C7) computed with "&amp;DS92&amp;".","")&amp;IF(BG92=1," | Anchor selected under C5 (CALC-SPEC 1.1): latest administration with an exact date or time at or before "&amp;IF(BH92=1,"onset","the end point")&amp;" ("&amp;AJ92&amp;"), ordered in UTC when offsets are known; later administrations are never selected.","")&amp;IF(AND(BG92=1,CE92&gt;0)," | Partial-date administrations wholly before the selected one were not candidates: "&amp;FC92&amp;".","")&amp;IF(BV92&lt;&gt;""," | "&amp;BV92,"")&amp;IF(AND(DS92="C2",EA92=0,DZ92&lt;&gt;"")," | Same calendar date; both times are known, so C1 decides the order ("&amp;AA92&amp;").","")&amp;IF(AND(DS92="C2",DD92*BN92=1,DT92=0)," | Calendar-date difference from the recorded local dates; it is never described as elapsed days.","")&amp;IF(AND(DS92="C4",DT92=0)," | Bounds are treated as independent; no single date is imputed from them.","")&amp;IF(EJ92=1," | Treatment day under the inclusive convention (C3); never written to E2B fields automatically.","")&amp;IF(AND(DS92="C4",DT92=0,EK92=0)," | No constraint applied.","")&amp;IF(AND(DS92="C4",EK92=1)," | Constraint applied to the anchor bounds: "&amp;IF(ISNUMBER(P92),"not before "&amp;DAY(P92)&amp;" "&amp;INDEX(nLIST_Months,MONTH(P92))&amp;" "&amp;YEAR(P92),"")&amp;IF(AND(ISNUMBER(P92),ISNUMBER(Q92)),", ","")&amp;IF(ISNUMBER(Q92),"not after "&amp;DAY(Q92)&amp;" "&amp;INDEX(nLIST_Months,MONTH(Q92))&amp;" "&amp;YEAR(Q92),"")&amp;". Source: "&amp;IF(R92="","not recorded",R92)&amp;IF(EN92="",". Constrained result shown beside the unconstrained one.",". Constrained result blocked ("&amp;EN92&amp;")."),"")&amp;IF(DT92=1,IF(EO92&gt;0," | Intervention recorded between cessation and recovery (ends included): "&amp;EZ92&amp;"."," | No intervention is recorded between cessation and recovery; absence of a record is not evidence that none was given."),"")&amp;IF(AND(DT92=1,DV92&gt;0)," | Intervention recorded without a date, so whether it came before recovery is unknown: "&amp;INDEX(nMS_Milestone_ID,MATCH(1,INDEX((nMS_CaseKey=AX92)*(nMS_Type="INTERVENTION")*nMS_Undated,0),0))&amp;IF(DV92&gt;1," and "&amp;(DV92-1)&amp;" more","")&amp;".","")&amp;IF(AND(DT92=1,EP92&gt;0)," | Not counted as interventions, because they are recorded as exposures rather than as intervention milestones (nothing is inferred): "&amp;FB92&amp;". If treatment was given, record it as an intervention milestone.",""),4,9999))</f>
        <v/>
      </c>
      <c r="AT92" s="21" t="str">
        <f t="shared" si="143"/>
        <v/>
      </c>
      <c r="AU92" s="21" t="str">
        <f t="shared" si="144"/>
        <v/>
      </c>
      <c r="AV92" s="21" t="str">
        <f t="shared" si="145"/>
        <v>CALC-SPEC 1.1</v>
      </c>
      <c r="AW92" s="22">
        <f t="shared" si="146"/>
        <v>0</v>
      </c>
      <c r="AX92" s="21" t="str">
        <f t="shared" si="147"/>
        <v>VEC-V13|1</v>
      </c>
      <c r="AY92" s="21" t="str">
        <f t="shared" si="148"/>
        <v>VEC-V13|1|I-DATE</v>
      </c>
      <c r="AZ92" s="22">
        <f>IF(AY92="",0,COUNTIF(nINT_Key,AY92))</f>
        <v>1</v>
      </c>
      <c r="BA92" s="22">
        <f>IF(D92="",0,IFERROR(MATCH(AX92&amp;"|"&amp;D92,nLNK_Key,0),0))</f>
        <v>54</v>
      </c>
      <c r="BB92" s="22">
        <f>IF(BA92=0,1,INDEX(nLNK_Exp_Found,BA92))</f>
        <v>1</v>
      </c>
      <c r="BC92" s="22">
        <f>IF(BA92=0,1,INDEX(nLNK_Evt_Found,BA92))</f>
        <v>1</v>
      </c>
      <c r="BD92" s="22">
        <f>IF(AP92="",0,COUNTIF(nEXP_Key,AX92&amp;"|"&amp;AP92))</f>
        <v>1</v>
      </c>
      <c r="BE92" s="22">
        <f>IF(AQ92="",0,COUNTIF(nEVT_Key,AX92&amp;"|"&amp;AQ92))</f>
        <v>1</v>
      </c>
      <c r="BF92" s="22">
        <f>IF(ISNA(MATCH(E92,nLIST_AnchorType,0)),0,1)</f>
        <v>1</v>
      </c>
      <c r="BG92" s="22">
        <f t="shared" si="149"/>
        <v>0</v>
      </c>
      <c r="BH92" s="22">
        <f t="shared" si="150"/>
        <v>1</v>
      </c>
      <c r="BI92" s="22">
        <f>IF(OR(AW92=1,AK92=""),0,IFERROR(MATCH(AX92&amp;"|"&amp;AK92,nTP_Key,0),0))</f>
        <v>329</v>
      </c>
      <c r="BJ92" s="21">
        <f>IF(BI92=0,0,INDEX(nTP_Dup,BI92))</f>
        <v>1</v>
      </c>
      <c r="BK92" s="21" t="str">
        <f>IF(BI92=0,"",INDEX(nTP_Record_Type,BI92))</f>
        <v>EVENT_ONSET</v>
      </c>
      <c r="BL92" s="21" t="str">
        <f>IF(BI92=0,"",INDEX(nTP_Precision,BI92))</f>
        <v>DATE</v>
      </c>
      <c r="BM92" s="21" t="str">
        <f>IF(BI92=0,"",INDEX(nTP_Err,BI92))</f>
        <v>E_INVALID_DATE</v>
      </c>
      <c r="BN92" s="21">
        <f>IF(BI92=0,0,INDEX(nTP_HT,BI92))</f>
        <v>0</v>
      </c>
      <c r="BO92" s="21">
        <f>IF(BI92=0,0,INDEX(nTP_OK,BI92))</f>
        <v>0</v>
      </c>
      <c r="BP92" s="21" t="str">
        <f>IF(BI92=0,"",INDEX(nTP_Loc,BI92))</f>
        <v/>
      </c>
      <c r="BQ92" s="21" t="str">
        <f>IF(BI92=0,"",INDEX(nTP_UTC,BI92))</f>
        <v/>
      </c>
      <c r="BR92" s="21" t="str">
        <f>IF(BI92=0,"",INDEX(nTP_Lo,BI92))</f>
        <v/>
      </c>
      <c r="BS92" s="21" t="str">
        <f>IF(BI92=0,"",INDEX(nTP_Hi,BI92))</f>
        <v/>
      </c>
      <c r="BT92" s="21" t="str">
        <f>IF(BI92=0,"",INDEX(nTP_Original_Text,BI92))</f>
        <v>30 February 2026</v>
      </c>
      <c r="BU92" s="21" t="str">
        <f>IF(BI92=0,"",INDEX(nTP_Source,BI92))</f>
        <v>tto_calc_test_vectors_v1.1.json V13</v>
      </c>
      <c r="BV92" s="21" t="str">
        <f>IF(BI92=0,"",INDEX(nTP_Lab_Note,BI92))</f>
        <v/>
      </c>
      <c r="BW92" s="22">
        <f t="shared" si="151"/>
        <v>0</v>
      </c>
      <c r="BX92" s="21" t="str">
        <f t="shared" si="152"/>
        <v>VEC-V13|1|EX3</v>
      </c>
      <c r="BY92" s="22">
        <f>IF(BG92=0,0,COUNTIF(nTP_CandKey,BX92))</f>
        <v>0</v>
      </c>
      <c r="BZ92" s="22">
        <f>IF(BG92=0,0,COUNTIFS(nTP_CandKey,BX92,nTP_Err,""))</f>
        <v>0</v>
      </c>
      <c r="CA92" s="21" t="str">
        <f>IF(BY92=BZ92,"",IF(COUNTIFS(nTP_CandKey,BX92,nTP_Err,"E_INVALID_DATE")&gt;0,"; E_INVALID_DATE","")&amp;IF(COUNTIFS(nTP_CandKey,BX92,nTP_Err,"E_REVERSED_BOUNDS")&gt;0,"; E_REVERSED_BOUNDS","")&amp;IF(COUNTIFS(nTP_CandKey,BX92,nTP_Err,"E_MISSING_INPUT")&gt;0,"; E_MISSING_INPUT","")&amp;IF(COUNTIFS(nTP_CandKey,BX92,nTP_Err,"E_INVALID_UNIT")&gt;0,"; E_INVALID_UNIT",""))</f>
        <v/>
      </c>
      <c r="CB92" s="22">
        <f t="shared" si="153"/>
        <v>0</v>
      </c>
      <c r="CC92" s="22">
        <f>IF(CB92=0,0,SUMPRODUCT((nTP_CandKey=BX92)*(nTP_Err="")*(1-(nTP_HT*BN92*((nTP_OK*BO92*(nTP_UTC_n-N(BQ92))+(1-nTP_OK*BO92)*(nTP_Loc_n-N(BP92)))&lt;=0)+(1-nTP_HT*BN92)*(nTP_Hi_n&lt;N(BR92)))-(nTP_HT*BN92*((nTP_OK*BO92*(nTP_UTC_n-N(BQ92))+(1-nTP_OK*BO92)*(nTP_Loc_n-N(BP92)))&gt;0)+(1-nTP_HT*BN92)*(nTP_Lo_n&gt;N(BS92)))-((1-nTP_HT*BN92)*(nTP_Lo_n=nTP_Hi_n)*(nTP_Lo_n=N(BR92))*(N(BR92)=N(BS92))))))</f>
        <v>0</v>
      </c>
      <c r="CD92" s="22">
        <f>IF(CB92=0,0,SUMPRODUCT((nTP_CandKey=BX92)*nTP_Exact*((nTP_HT*BN92*((nTP_OK*BO92*(nTP_UTC_n-N(BQ92))+(1-nTP_OK*BO92)*(nTP_Loc_n-N(BP92)))&lt;=0)+(1-nTP_HT*BN92)*(nTP_Hi_n&lt;N(BR92)))+((1-nTP_HT*BN92)*(nTP_Lo_n=nTP_Hi_n)*(nTP_Lo_n=N(BR92))*(N(BR92)=N(BS92))))))</f>
        <v>0</v>
      </c>
      <c r="CE92" s="22">
        <f>IF(CB92=0,0,SUMPRODUCT((nTP_CandKey=BX92)*(nTP_Err="")*(1-nTP_Exact)*((nTP_HT*BN92*((nTP_OK*BO92*(nTP_UTC_n-N(BQ92))+(1-nTP_OK*BO92)*(nTP_Loc_n-N(BP92)))&lt;=0)+(1-nTP_HT*BN92)*(nTP_Hi_n&lt;N(BR92)))+((1-nTP_HT*BN92)*(nTP_Lo_n=nTP_Hi_n)*(nTP_Lo_n=N(BR92))*(N(BR92)=N(BS92))))))</f>
        <v>0</v>
      </c>
      <c r="CF92" s="22">
        <f>IF(CD92=0,0,SUMPRODUCT(MAX((nTP_CandKey=BX92)*nTP_Exact*((nTP_HT*BN92*((nTP_OK*BO92*(nTP_UTC_n-N(BQ92))+(1-nTP_OK*BO92)*(nTP_Loc_n-N(BP92)))&lt;=0)+(1-nTP_HT*BN92)*(nTP_Hi_n&lt;N(BR92)))+((1-nTP_HT*BN92)*(nTP_Lo_n=nTP_Hi_n)*(nTP_Lo_n=N(BR92))*(N(BR92)=N(BS92))))*nTP_Lo_n)))</f>
        <v>0</v>
      </c>
      <c r="CG92" s="22">
        <f>IF(CD92=0,0,SUMPRODUCT((nTP_CandKey=BX92)*nTP_Exact*((nTP_HT*BN92*((nTP_OK*BO92*(nTP_UTC_n-N(BQ92))+(1-nTP_OK*BO92)*(nTP_Loc_n-N(BP92)))&lt;=0)+(1-nTP_HT*BN92)*(nTP_Hi_n&lt;N(BR92)))+((1-nTP_HT*BN92)*(nTP_Lo_n=nTP_Hi_n)*(nTP_Lo_n=N(BR92))*(N(BR92)=N(BS92))))*(nTP_Lo_n=CF92)))</f>
        <v>0</v>
      </c>
      <c r="CH92" s="22">
        <f>IF(CD92=0,0,SUMPRODUCT((nTP_CandKey=BX92)*nTP_Exact*((nTP_HT*BN92*((nTP_OK*BO92*(nTP_UTC_n-N(BQ92))+(1-nTP_OK*BO92)*(nTP_Loc_n-N(BP92)))&lt;=0)+(1-nTP_HT*BN92)*(nTP_Hi_n&lt;N(BR92)))+((1-nTP_HT*BN92)*(nTP_Lo_n=nTP_Hi_n)*(nTP_Lo_n=N(BR92))*(N(BR92)=N(BS92))))*(1-nTP_HT)*(nTP_Lo_n=CF92)))</f>
        <v>0</v>
      </c>
      <c r="CI92" s="22">
        <f>IF(CD92=0,0,SUMPRODUCT(MAX((nTP_CandKey=BX92)*nTP_Exact*((nTP_HT*BN92*((nTP_OK*BO92*(nTP_UTC_n-N(BQ92))+(1-nTP_OK*BO92)*(nTP_Loc_n-N(BP92)))&lt;=0)+(1-nTP_HT*BN92)*(nTP_Hi_n&lt;N(BR92)))+((1-nTP_HT*BN92)*(nTP_Lo_n=nTP_Hi_n)*(nTP_Lo_n=N(BR92))*(N(BR92)=N(BS92))))*(1-nTP_HT)*nTP_Lo_n)))</f>
        <v>0</v>
      </c>
      <c r="CJ92" s="22">
        <f>IF(CD92=0,0,SUMPRODUCT(MAX((nTP_CandKey=BX92)*nTP_Exact*((nTP_HT*BN92*((nTP_OK*BO92*(nTP_UTC_n-N(BQ92))+(1-nTP_OK*BO92)*(nTP_Loc_n-N(BP92)))&lt;=0)+(1-nTP_HT*BN92)*(nTP_Hi_n&lt;N(BR92)))+((1-nTP_HT*BN92)*(nTP_Lo_n=nTP_Hi_n)*(nTP_Lo_n=N(BR92))*(N(BR92)=N(BS92))))*nTP_HT*nTP_OK*nTP_UTC_n)))</f>
        <v>0</v>
      </c>
      <c r="CK92" s="22">
        <f>IF(CJ92=0,0,SUMPRODUCT((nTP_CandKey=BX92)*nTP_Exact*((nTP_HT*BN92*((nTP_OK*BO92*(nTP_UTC_n-N(BQ92))+(1-nTP_OK*BO92)*(nTP_Loc_n-N(BP92)))&lt;=0)+(1-nTP_HT*BN92)*(nTP_Hi_n&lt;N(BR92)))+((1-nTP_HT*BN92)*(nTP_Lo_n=nTP_Hi_n)*(nTP_Lo_n=N(BR92))*(N(BR92)=N(BS92))))*nTP_HT*nTP_OK*(nTP_UTC_n=CJ92)))</f>
        <v>0</v>
      </c>
      <c r="CL92" s="22">
        <f>IF(CK92&lt;&gt;1,0,SUMPRODUCT((nTP_CandKey=BX92)*nTP_Exact*((nTP_HT*BN92*((nTP_OK*BO92*(nTP_UTC_n-N(BQ92))+(1-nTP_OK*BO92)*(nTP_Loc_n-N(BP92)))&lt;=0)+(1-nTP_HT*BN92)*(nTP_Hi_n&lt;N(BR92)))+((1-nTP_HT*BN92)*(nTP_Lo_n=nTP_Hi_n)*(nTP_Lo_n=N(BR92))*(N(BR92)=N(BS92))))*nTP_HT*nTP_OK*(nTP_UTC_n=CJ92)*nTP_Loc_n))</f>
        <v>0</v>
      </c>
      <c r="CM92" s="22">
        <f>IF(CK92&lt;&gt;1,0,SUMPRODUCT((nTP_CandKey=BX92)*nTP_Exact*((nTP_HT*BN92*((nTP_OK*BO92*(nTP_UTC_n-N(BQ92))+(1-nTP_OK*BO92)*(nTP_Loc_n-N(BP92)))&lt;=0)+(1-nTP_HT*BN92)*(nTP_Hi_n&lt;N(BR92)))+((1-nTP_HT*BN92)*(nTP_Lo_n=nTP_Hi_n)*(nTP_Lo_n=N(BR92))*(N(BR92)=N(BS92))))*nTP_HT*nTP_OK*(nTP_UTC_n=CJ92)*nTP_Lo_n))</f>
        <v>0</v>
      </c>
      <c r="CN92" s="22">
        <f>IF(CD92=0,0,SUMPRODUCT(MAX((nTP_CandKey=BX92)*nTP_Exact*((nTP_HT*BN92*((nTP_OK*BO92*(nTP_UTC_n-N(BQ92))+(1-nTP_OK*BO92)*(nTP_Loc_n-N(BP92)))&lt;=0)+(1-nTP_HT*BN92)*(nTP_Hi_n&lt;N(BR92)))+((1-nTP_HT*BN92)*(nTP_Lo_n=nTP_Hi_n)*(nTP_Lo_n=N(BR92))*(N(BR92)=N(BS92))))*nTP_HT*(1-nTP_OK)*nTP_Loc_n)))</f>
        <v>0</v>
      </c>
      <c r="CO92" s="22">
        <f>IF(CN92=0,0,SUMPRODUCT((nTP_CandKey=BX92)*nTP_Exact*((nTP_HT*BN92*((nTP_OK*BO92*(nTP_UTC_n-N(BQ92))+(1-nTP_OK*BO92)*(nTP_Loc_n-N(BP92)))&lt;=0)+(1-nTP_HT*BN92)*(nTP_Hi_n&lt;N(BR92)))+((1-nTP_HT*BN92)*(nTP_Lo_n=nTP_Hi_n)*(nTP_Lo_n=N(BR92))*(N(BR92)=N(BS92))))*nTP_HT*(1-nTP_OK)*(nTP_Loc_n=CN92)))</f>
        <v>0</v>
      </c>
      <c r="CP92" s="22">
        <f>IF(CO92&lt;&gt;1,0,SUMPRODUCT((nTP_CandKey=BX92)*nTP_Exact*((nTP_HT*BN92*((nTP_OK*BO92*(nTP_UTC_n-N(BQ92))+(1-nTP_OK*BO92)*(nTP_Loc_n-N(BP92)))&lt;=0)+(1-nTP_HT*BN92)*(nTP_Hi_n&lt;N(BR92)))+((1-nTP_HT*BN92)*(nTP_Lo_n=nTP_Hi_n)*(nTP_Lo_n=N(BR92))*(N(BR92)=N(BS92))))*nTP_HT*(1-nTP_OK)*(nTP_Loc_n=CN92)*nTP_Lo_n))</f>
        <v>0</v>
      </c>
      <c r="CQ92" s="22">
        <f>IF(CD92=0,0,SUMPRODUCT(MAX((nTP_CandKey=BX92)*nTP_Exact*((nTP_HT*BN92*((nTP_OK*BO92*(nTP_UTC_n-N(BQ92))+(1-nTP_OK*BO92)*(nTP_Loc_n-N(BP92)))&lt;=0)+(1-nTP_HT*BN92)*(nTP_Hi_n&lt;N(BR92)))+((1-nTP_HT*BN92)*(nTP_Lo_n=nTP_Hi_n)*(nTP_Lo_n=N(BR92))*(N(BR92)=N(BS92))))*nTP_HT*nTP_OK*nTP_Loc_n)))</f>
        <v>0</v>
      </c>
      <c r="CR92" s="22">
        <f t="shared" si="154"/>
        <v>0</v>
      </c>
      <c r="CS92" s="22">
        <f>IF(CR92=0,0,IF(CR92=1,MATCH(1,INDEX((nTP_CandKey=BX92)*nTP_Exact*((nTP_HT*BN92*((nTP_OK*BO92*(nTP_UTC_n-N(BQ92))+(1-nTP_OK*BO92)*(nTP_Loc_n-N(BP92)))&lt;=0)+(1-nTP_HT*BN92)*(nTP_Hi_n&lt;N(BR92)))+((1-nTP_HT*BN92)*(nTP_Lo_n=nTP_Hi_n)*(nTP_Lo_n=N(BR92))*(N(BR92)=N(BS92))))*(1-nTP_HT)*(nTP_Lo_n=CF92),0),0),IF(CR92=2,MATCH(1,INDEX((nTP_CandKey=BX92)*nTP_Exact*((nTP_HT*BN92*((nTP_OK*BO92*(nTP_UTC_n-N(BQ92))+(1-nTP_OK*BO92)*(nTP_Loc_n-N(BP92)))&lt;=0)+(1-nTP_HT*BN92)*(nTP_Hi_n&lt;N(BR92)))+((1-nTP_HT*BN92)*(nTP_Lo_n=nTP_Hi_n)*(nTP_Lo_n=N(BR92))*(N(BR92)=N(BS92))))*nTP_HT*nTP_OK*(nTP_UTC_n=CJ92),0),0),MATCH(1,INDEX((nTP_CandKey=BX92)*nTP_Exact*((nTP_HT*BN92*((nTP_OK*BO92*(nTP_UTC_n-N(BQ92))+(1-nTP_OK*BO92)*(nTP_Loc_n-N(BP92)))&lt;=0)+(1-nTP_HT*BN92)*(nTP_Hi_n&lt;N(BR92)))+((1-nTP_HT*BN92)*(nTP_Lo_n=nTP_Hi_n)*(nTP_Lo_n=N(BR92))*(N(BR92)=N(BS92))))*nTP_HT*(1-nTP_OK)*(nTP_Loc_n=CN92),0),0))))</f>
        <v>0</v>
      </c>
      <c r="CT92" s="22">
        <f>IF(CS92=0,0,INDEX(nTP_Lo_n,CS92))</f>
        <v>0</v>
      </c>
      <c r="CU92" s="22">
        <f>IF(CS92=0,0,SUMPRODUCT((nTP_CandKey=BX92)*(nTP_Err="")*(1-nTP_Exact)*((nTP_HT*BN92*((nTP_OK*BO92*(nTP_UTC_n-N(BQ92))+(1-nTP_OK*BO92)*(nTP_Loc_n-N(BP92)))&lt;=0)+(1-nTP_HT*BN92)*(nTP_Hi_n&lt;N(BR92)))+((1-nTP_HT*BN92)*(nTP_Lo_n=nTP_Hi_n)*(nTP_Lo_n=N(BR92))*(N(BR92)=N(BS92))))*(nTP_Hi_n&gt;=CT92)))</f>
        <v>0</v>
      </c>
      <c r="CV92" s="21" t="str">
        <f t="shared" si="155"/>
        <v/>
      </c>
      <c r="CW92" s="21" t="str">
        <f>IF(AND(BG92=1,CB92=1,CV92="",CS92&gt;0),INDEX(nTP_Record_ID,CS92)&amp;"","")</f>
        <v/>
      </c>
      <c r="CX92" s="21" t="str">
        <f>IF(OR(CV92="",BG92=0),"",IF(CV92="none","an administration record (last dose before onset)",IF(CV92="uncertain","the anchor record: "&amp;INDEX(nTP_Record_ID,MATCH(1,INDEX((nTP_CandKey=BX92)*(nTP_Err="")*(1-(nTP_HT*BN92*((nTP_OK*BO92*(nTP_UTC_n-N(BQ92))+(1-nTP_OK*BO92)*(nTP_Loc_n-N(BP92)))&lt;=0)+(1-nTP_HT*BN92)*(nTP_Hi_n&lt;N(BR92)))-(nTP_HT*BN92*((nTP_OK*BO92*(nTP_UTC_n-N(BQ92))+(1-nTP_OK*BO92)*(nTP_Loc_n-N(BP92)))&gt;0)+(1-nTP_HT*BN92)*(nTP_Lo_n&gt;N(BS92)))-((1-nTP_HT*BN92)*(nTP_Lo_n=nTP_Hi_n)*(nTP_Lo_n=N(BR92))*(N(BR92)=N(BS92)))),0),0))&amp;IF(CC92&gt;1," and "&amp;(CC92-1)&amp;" more","")&amp;" may fall before or after the end point, so the last dose cannot be identified from the recorded dates",IF(CV92="noneligible","the anchor record: no administration with an exact date is recorded at or before the end point",IF(CV92="tie","the anchor record: the order of the latest administrations cannot be told from the recorded dates and times","the anchor record: partial-date administration "&amp;INDEX(nTP_Record_ID,MATCH(1,INDEX((nTP_CandKey=BX92)*(nTP_Err="")*(1-nTP_Exact)*((nTP_HT*BN92*((nTP_OK*BO92*(nTP_UTC_n-N(BQ92))+(1-nTP_OK*BO92)*(nTP_Loc_n-N(BP92)))&lt;=0)+(1-nTP_HT*BN92)*(nTP_Hi_n&lt;N(BR92)))+((1-nTP_HT*BN92)*(nTP_Lo_n=nTP_Hi_n)*(nTP_Lo_n=N(BR92))*(N(BR92)=N(BS92))))*(nTP_Hi_n&gt;=CT92),0),0))&amp;" could be the last dose before the end point")))))</f>
        <v/>
      </c>
      <c r="CY92" s="22">
        <f>IF(OR(AW92=1,AJ92=""),0,IFERROR(MATCH(AX92&amp;"|"&amp;AJ92,nTP_Key,0),0))</f>
        <v>60</v>
      </c>
      <c r="CZ92" s="21">
        <f>IF(CY92=0,0,INDEX(nTP_Dup,CY92))</f>
        <v>1</v>
      </c>
      <c r="DA92" s="21" t="str">
        <f>IF(CY92=0,"",INDEX(nTP_Record_Type,CY92))</f>
        <v>EXPOSURE_START</v>
      </c>
      <c r="DB92" s="21" t="str">
        <f>IF(CY92=0,"",INDEX(nTP_Precision,CY92))</f>
        <v>DATE</v>
      </c>
      <c r="DC92" s="21" t="str">
        <f>IF(CY92=0,"",INDEX(nTP_Err,CY92))</f>
        <v/>
      </c>
      <c r="DD92" s="21">
        <f>IF(CY92=0,0,INDEX(nTP_HT,CY92))</f>
        <v>0</v>
      </c>
      <c r="DE92" s="21">
        <f>IF(CY92=0,0,INDEX(nTP_OK,CY92))</f>
        <v>0</v>
      </c>
      <c r="DF92" s="21" t="str">
        <f>IF(CY92=0,"",INDEX(nTP_Loc,CY92))</f>
        <v/>
      </c>
      <c r="DG92" s="21" t="str">
        <f>IF(CY92=0,"",INDEX(nTP_UTC,CY92))</f>
        <v/>
      </c>
      <c r="DH92" s="21">
        <f>IF(CY92=0,"",INDEX(nTP_Lo,CY92))</f>
        <v>46037</v>
      </c>
      <c r="DI92" s="21">
        <f>IF(CY92=0,"",INDEX(nTP_Hi,CY92))</f>
        <v>46037</v>
      </c>
      <c r="DJ92" s="21" t="str">
        <f>IF(CY92=0,"",INDEX(nTP_Original_Text,CY92))</f>
        <v>2026-01-15</v>
      </c>
      <c r="DK92" s="21" t="str">
        <f>IF(CY92=0,"",INDEX(nTP_Source,CY92))</f>
        <v>tto_calc_test_vectors_v1.1.json V13</v>
      </c>
      <c r="DL92" s="22">
        <f t="shared" si="156"/>
        <v>1</v>
      </c>
      <c r="DM92" s="21" t="str">
        <f t="shared" si="157"/>
        <v/>
      </c>
      <c r="DN92" s="21" t="str">
        <f t="shared" si="158"/>
        <v/>
      </c>
      <c r="DO92" s="21" t="str">
        <f t="shared" si="159"/>
        <v>; E_INVALID_DATE</v>
      </c>
      <c r="DP92" s="21" t="str">
        <f t="shared" si="160"/>
        <v/>
      </c>
      <c r="DQ92" s="21" t="str">
        <f t="shared" si="161"/>
        <v/>
      </c>
      <c r="DR92" s="22">
        <f>IF(OR(DQ92="",I92=""),0,IF(ISNA(MATCH(I92,nLIST_Mode,0)),1,IF(AND(I92="C1",DQ92&lt;&gt;"C1"),1,IF(AND(I92="C2",DQ92="C4"),1,0))))</f>
        <v>0</v>
      </c>
      <c r="DS92" s="21" t="str">
        <f t="shared" si="162"/>
        <v/>
      </c>
      <c r="DT92" s="22">
        <f t="shared" si="163"/>
        <v>0</v>
      </c>
      <c r="DU92" s="21" t="str">
        <f>IF(DT92=0,"",IF(COUNTIFS(nTP_Case_Key,AX92,nTP_Record_Type,"MILESTONE:INTERVENTION",nTP_Err,"E_INVALID_DATE")&gt;0,"; E_INVALID_DATE","")&amp;IF(COUNTIFS(nTP_Case_Key,AX92,nTP_Record_Type,"MILESTONE:INTERVENTION",nTP_Err,"E_REVERSED_BOUNDS")&gt;0,"; E_REVERSED_BOUNDS","")&amp;IF(COUNTIFS(nTP_Case_Key,AX92,nTP_Record_Type,"MILESTONE:INTERVENTION",nTP_Err,"E_MISSING_INPUT")&gt;0,"; E_MISSING_INPUT","")&amp;IF(COUNTIFS(nTP_Case_Key,AX92,nTP_Record_Type,"MILESTONE:INTERVENTION",nTP_Err,"E_INVALID_UNIT")&gt;0,"; E_INVALID_UNIT",""))</f>
        <v/>
      </c>
      <c r="DV92" s="22">
        <f>IF(DT92=0,0,SUMPRODUCT((nMS_CaseKey=AX92)*(nMS_Type="INTERVENTION")*nMS_Undated))</f>
        <v>0</v>
      </c>
      <c r="DW92" s="21" t="str">
        <f t="shared" si="164"/>
        <v>; E_INVALID_DATE</v>
      </c>
      <c r="DX92" s="21" t="str">
        <f t="shared" si="165"/>
        <v>E_INVALID_DATE</v>
      </c>
      <c r="DY92" s="22">
        <f t="shared" si="166"/>
        <v>1</v>
      </c>
      <c r="DZ92" s="21" t="str">
        <f t="shared" si="167"/>
        <v/>
      </c>
      <c r="EA92" s="21" t="str">
        <f t="shared" si="168"/>
        <v/>
      </c>
      <c r="EB92" s="21" t="str">
        <f t="shared" si="169"/>
        <v/>
      </c>
      <c r="EC92" s="21" t="str">
        <f t="shared" si="170"/>
        <v/>
      </c>
      <c r="ED92" s="22">
        <f t="shared" si="171"/>
        <v>0</v>
      </c>
      <c r="EE92" s="22">
        <f t="shared" si="172"/>
        <v>0</v>
      </c>
      <c r="EF92" s="21" t="str">
        <f>IF(ED92=0,"",IF(OR(NOT(ISNUMBER(L92)),NOT(ISNUMBER(M92))),"I_APPROXIMATE_NOT_COMPARED",IF(AND(N92&lt;&gt;"",ISNA(MATCH(N92,nLIST_ReportedUnit,0))),"E_INVALID_UNIT",IF(N92="","E_MISSING_INPUT",IF(L92&gt;M92,"E_REVERSED_BOUNDS",IF(OR(N92="weeks",N92="months",N92="years"),"I_APPROXIMATE_NOT_COMPARED",IF(DX92&lt;&gt;"","",IF(EE92=0,"I_APPROXIMATE_NOT_COMPARED",IF(AND(L92*EE92&lt;=IF(DS92="C4",EC92,IF(DS92="C1",DZ92,EA92)),M92*EE92&gt;=IF(DS92="C4",EB92,IF(DS92="C1",DZ92,EA92))),"OVERLAP","W_REPORTED_TIMING_CONFLICT")))))))))</f>
        <v/>
      </c>
      <c r="EG92" s="21" t="str">
        <f t="shared" si="173"/>
        <v>E_INVALID_DATE</v>
      </c>
      <c r="EH92" s="21" t="str">
        <f t="shared" si="174"/>
        <v/>
      </c>
      <c r="EI92" s="22">
        <f t="shared" si="175"/>
        <v>0</v>
      </c>
      <c r="EJ92" s="22">
        <f t="shared" si="176"/>
        <v>0</v>
      </c>
      <c r="EK92" s="22">
        <f t="shared" si="177"/>
        <v>0</v>
      </c>
      <c r="EL92" s="28" t="str">
        <f t="shared" si="178"/>
        <v/>
      </c>
      <c r="EM92" s="28" t="str">
        <f t="shared" si="179"/>
        <v/>
      </c>
      <c r="EN92" s="21" t="str">
        <f t="shared" si="180"/>
        <v/>
      </c>
      <c r="EO92" s="22">
        <f>IF(OR(DT92=0,DX92&lt;&gt;""),0,SUMPRODUCT((nTP_Case_Key=AX92)*(nTP_Record_Type="MILESTONE:INTERVENTION")*(nTP_Err="")*(nTP_HT*DD92*BN92*(nTP_OK*DE92*(nTP_UTC_n&gt;=N(DG92))+(1-nTP_OK*DE92)*(nTP_Loc_n&gt;=N(DF92)))*(nTP_OK*BO92*(nTP_UTC_n&lt;=N(BQ92))+(1-nTP_OK*BO92)*(nTP_Loc_n&lt;=N(BP92)))+(1-nTP_HT*DD92*BN92)*(nTP_Hi_n&gt;=N(DH92))*(nTP_Lo_n&lt;=N(BS92)))))</f>
        <v>0</v>
      </c>
      <c r="EP92" s="22">
        <f>IF(OR(DT92=0,DX92&lt;&gt;""),0,SUMPRODUCT((nTP_Case_Key=AX92)*(nTP_Role="treatment of the event")*((nTP_Record_Type="EXPOSURE_START")+(nTP_Record_Type="ADMINISTRATION"))*(nTP_Err="")*(nTP_HT*DD92*BN92*(nTP_OK*DE92*(nTP_UTC_n&gt;=N(DG92))+(1-nTP_OK*DE92)*(nTP_Loc_n&gt;=N(DF92)))*(nTP_OK*BO92*(nTP_UTC_n&lt;=N(BQ92))+(1-nTP_OK*BO92)*(nTP_Loc_n&lt;=N(BP92)))+(1-nTP_HT*DD92*BN92)*(nTP_Hi_n&gt;=N(DH92))*(nTP_Lo_n&lt;=N(BS92)))))</f>
        <v>0</v>
      </c>
      <c r="EQ92" s="22">
        <f>IF(EO92&lt;1,0,IFERROR(_xlfn.AGGREGATE(15,6,nTP_RowN/((nTP_Case_Key=AX92)*(nTP_Record_Type="MILESTONE:INTERVENTION")*(nTP_Err="")*(nTP_HT*DD92*BN92*(nTP_OK*DE92*(nTP_UTC_n&gt;=N(DG92))+(1-nTP_OK*DE92)*(nTP_Loc_n&gt;=N(DF92)))*(nTP_OK*BO92*(nTP_UTC_n&lt;=N(BQ92))+(1-nTP_OK*BO92)*(nTP_Loc_n&lt;=N(BP92)))+(1-nTP_HT*DD92*BN92)*(nTP_Hi_n&gt;=N(DH92))*(nTP_Lo_n&lt;=N(BS92)))),1),0))</f>
        <v>0</v>
      </c>
      <c r="ER92" s="22">
        <f>IF(EO92&lt;2,0,IFERROR(_xlfn.AGGREGATE(15,6,nTP_RowN/((nTP_Case_Key=AX92)*(nTP_Record_Type="MILESTONE:INTERVENTION")*(nTP_Err="")*(nTP_HT*DD92*BN92*(nTP_OK*DE92*(nTP_UTC_n&gt;=N(DG92))+(1-nTP_OK*DE92)*(nTP_Loc_n&gt;=N(DF92)))*(nTP_OK*BO92*(nTP_UTC_n&lt;=N(BQ92))+(1-nTP_OK*BO92)*(nTP_Loc_n&lt;=N(BP92)))+(1-nTP_HT*DD92*BN92)*(nTP_Hi_n&gt;=N(DH92))*(nTP_Lo_n&lt;=N(BS92)))),2),0))</f>
        <v>0</v>
      </c>
      <c r="ES92" s="22">
        <f>IF(EO92&lt;3,0,IFERROR(_xlfn.AGGREGATE(15,6,nTP_RowN/((nTP_Case_Key=AX92)*(nTP_Record_Type="MILESTONE:INTERVENTION")*(nTP_Err="")*(nTP_HT*DD92*BN92*(nTP_OK*DE92*(nTP_UTC_n&gt;=N(DG92))+(1-nTP_OK*DE92)*(nTP_Loc_n&gt;=N(DF92)))*(nTP_OK*BO92*(nTP_UTC_n&lt;=N(BQ92))+(1-nTP_OK*BO92)*(nTP_Loc_n&lt;=N(BP92)))+(1-nTP_HT*DD92*BN92)*(nTP_Hi_n&gt;=N(DH92))*(nTP_Lo_n&lt;=N(BS92)))),3),0))</f>
        <v>0</v>
      </c>
      <c r="ET92" s="22">
        <f>IF(EP92&lt;1,0,IFERROR(_xlfn.AGGREGATE(15,6,nTP_RowN/((nTP_Case_Key=AX92)*(nTP_Role="treatment of the event")*((nTP_Record_Type="EXPOSURE_START")+(nTP_Record_Type="ADMINISTRATION"))*(nTP_Err="")*(nTP_HT*DD92*BN92*(nTP_OK*DE92*(nTP_UTC_n&gt;=N(DG92))+(1-nTP_OK*DE92)*(nTP_Loc_n&gt;=N(DF92)))*(nTP_OK*BO92*(nTP_UTC_n&lt;=N(BQ92))+(1-nTP_OK*BO92)*(nTP_Loc_n&lt;=N(BP92)))+(1-nTP_HT*DD92*BN92)*(nTP_Hi_n&gt;=N(DH92))*(nTP_Lo_n&lt;=N(BS92)))),1),0))</f>
        <v>0</v>
      </c>
      <c r="EU92" s="22">
        <f>IF(EP92&lt;2,0,IFERROR(_xlfn.AGGREGATE(15,6,nTP_RowN/((nTP_Case_Key=AX92)*(nTP_Role="treatment of the event")*((nTP_Record_Type="EXPOSURE_START")+(nTP_Record_Type="ADMINISTRATION"))*(nTP_Err="")*(nTP_HT*DD92*BN92*(nTP_OK*DE92*(nTP_UTC_n&gt;=N(DG92))+(1-nTP_OK*DE92)*(nTP_Loc_n&gt;=N(DF92)))*(nTP_OK*BO92*(nTP_UTC_n&lt;=N(BQ92))+(1-nTP_OK*BO92)*(nTP_Loc_n&lt;=N(BP92)))+(1-nTP_HT*DD92*BN92)*(nTP_Hi_n&gt;=N(DH92))*(nTP_Lo_n&lt;=N(BS92)))),2),0))</f>
        <v>0</v>
      </c>
      <c r="EV92" s="22">
        <f>IF(EP92&lt;3,0,IFERROR(_xlfn.AGGREGATE(15,6,nTP_RowN/((nTP_Case_Key=AX92)*(nTP_Role="treatment of the event")*((nTP_Record_Type="EXPOSURE_START")+(nTP_Record_Type="ADMINISTRATION"))*(nTP_Err="")*(nTP_HT*DD92*BN92*(nTP_OK*DE92*(nTP_UTC_n&gt;=N(DG92))+(1-nTP_OK*DE92)*(nTP_Loc_n&gt;=N(DF92)))*(nTP_OK*BO92*(nTP_UTC_n&lt;=N(BQ92))+(1-nTP_OK*BO92)*(nTP_Loc_n&lt;=N(BP92)))+(1-nTP_HT*DD92*BN92)*(nTP_Hi_n&gt;=N(DH92))*(nTP_Lo_n&lt;=N(BS92)))),3),0))</f>
        <v>0</v>
      </c>
      <c r="EW92" s="22">
        <f>IF(CE92&lt;1,0,IFERROR(_xlfn.AGGREGATE(15,6,nTP_RowN/((nTP_CandKey=BX92)*(nTP_Err="")*(1-nTP_Exact)*((nTP_HT*BN92*((nTP_OK*BO92*(nTP_UTC_n-N(BQ92))+(1-nTP_OK*BO92)*(nTP_Loc_n-N(BP92)))&lt;=0)+(1-nTP_HT*BN92)*(nTP_Hi_n&lt;N(BR92)))+((1-nTP_HT*BN92)*(nTP_Lo_n=nTP_Hi_n)*(nTP_Lo_n=N(BR92))*(N(BR92)=N(BS92))))),1),0))</f>
        <v>0</v>
      </c>
      <c r="EX92" s="22">
        <f>IF(CE92&lt;2,0,IFERROR(_xlfn.AGGREGATE(15,6,nTP_RowN/((nTP_CandKey=BX92)*(nTP_Err="")*(1-nTP_Exact)*((nTP_HT*BN92*((nTP_OK*BO92*(nTP_UTC_n-N(BQ92))+(1-nTP_OK*BO92)*(nTP_Loc_n-N(BP92)))&lt;=0)+(1-nTP_HT*BN92)*(nTP_Hi_n&lt;N(BR92)))+((1-nTP_HT*BN92)*(nTP_Lo_n=nTP_Hi_n)*(nTP_Lo_n=N(BR92))*(N(BR92)=N(BS92))))),2),0))</f>
        <v>0</v>
      </c>
      <c r="EY92" s="22">
        <f>IF(CE92&lt;3,0,IFERROR(_xlfn.AGGREGATE(15,6,nTP_RowN/((nTP_CandKey=BX92)*(nTP_Err="")*(1-nTP_Exact)*((nTP_HT*BN92*((nTP_OK*BO92*(nTP_UTC_n-N(BQ92))+(1-nTP_OK*BO92)*(nTP_Loc_n-N(BP92)))&lt;=0)+(1-nTP_HT*BN92)*(nTP_Hi_n&lt;N(BR92)))+((1-nTP_HT*BN92)*(nTP_Lo_n=nTP_Hi_n)*(nTP_Lo_n=N(BR92))*(N(BR92)=N(BS92))))),3),0))</f>
        <v>0</v>
      </c>
      <c r="EZ92" s="21" t="str">
        <f>IF(EO92=0,"",MID(IF(EQ92&gt;0,"; "&amp;INDEX(nTP_Record_ID,EQ92)&amp;IF(INDEX(nTP_Label,EQ92)="",""," ("&amp;INDEX(nTP_Label,EQ92)&amp;")"),"")&amp;IF(ER92&gt;0,"; "&amp;INDEX(nTP_Record_ID,ER92)&amp;IF(INDEX(nTP_Label,ER92)="",""," ("&amp;INDEX(nTP_Label,ER92)&amp;")"),"")&amp;IF(ES92&gt;0,"; "&amp;INDEX(nTP_Record_ID,ES92)&amp;IF(INDEX(nTP_Label,ES92)="",""," ("&amp;INDEX(nTP_Label,ES92)&amp;")"),"")&amp;IF(EO92&gt;3,"; and "&amp;(EO92-3)&amp;" more",""),3,999))</f>
        <v/>
      </c>
      <c r="FA92" s="21" t="str">
        <f>IF(EO92=0,"",MID(IF(EQ92&gt;0,"; "&amp;INDEX(nTP_Record_ID,EQ92),"")&amp;IF(ER92&gt;0,"; "&amp;INDEX(nTP_Record_ID,ER92),"")&amp;IF(ES92&gt;0,"; "&amp;INDEX(nTP_Record_ID,ES92),"")&amp;IF(EO92&gt;3,"; and "&amp;(EO92-3)&amp;" more",""),3,999))</f>
        <v/>
      </c>
      <c r="FB92" s="21" t="str">
        <f>IF(EP92=0,"",MID(IF(ET92&gt;0,"; "&amp;INDEX(nTP_Record_ID,ET92)&amp;IF(INDEX(nTP_Label,ET92)="",""," ("&amp;INDEX(nTP_Label,ET92)&amp;")"),"")&amp;IF(EU92&gt;0,"; "&amp;INDEX(nTP_Record_ID,EU92)&amp;IF(INDEX(nTP_Label,EU92)="",""," ("&amp;INDEX(nTP_Label,EU92)&amp;")"),"")&amp;IF(EV92&gt;0,"; "&amp;INDEX(nTP_Record_ID,EV92)&amp;IF(INDEX(nTP_Label,EV92)="",""," ("&amp;INDEX(nTP_Label,EV92)&amp;")"),"")&amp;IF(EP92&gt;3,"; and "&amp;(EP92-3)&amp;" more",""),3,999))</f>
        <v/>
      </c>
      <c r="FC92" s="21" t="str">
        <f>IF(CE92=0,"",MID(IF(EW92&gt;0,"; "&amp;INDEX(nTP_Record_ID,EW92),"")&amp;IF(EX92&gt;0,"; "&amp;INDEX(nTP_Record_ID,EX92),"")&amp;IF(EY92&gt;0,"; "&amp;INDEX(nTP_Record_ID,EY92),"")&amp;IF(CE92&gt;3,"; and "&amp;(CE92-3)&amp;" more",""),3,999))</f>
        <v/>
      </c>
      <c r="FD92" s="22">
        <f t="shared" si="181"/>
        <v>0</v>
      </c>
      <c r="FE92" s="22">
        <f t="shared" si="182"/>
        <v>0</v>
      </c>
      <c r="FF92" s="22">
        <f t="shared" si="183"/>
        <v>0</v>
      </c>
      <c r="FG92" s="22">
        <f t="shared" si="184"/>
        <v>0</v>
      </c>
      <c r="FH92" s="22">
        <f t="shared" si="185"/>
        <v>0</v>
      </c>
      <c r="FI92" s="22">
        <f t="shared" si="186"/>
        <v>0</v>
      </c>
      <c r="FJ92" s="22">
        <f t="shared" si="187"/>
        <v>0</v>
      </c>
      <c r="FK92" s="22">
        <f t="shared" si="188"/>
        <v>0</v>
      </c>
    </row>
    <row r="93" spans="1:167" x14ac:dyDescent="0.2">
      <c r="A93" s="9" t="s">
        <v>1189</v>
      </c>
      <c r="B93" s="9" t="s">
        <v>335</v>
      </c>
      <c r="C93" s="11">
        <v>1</v>
      </c>
      <c r="D93" s="9" t="s">
        <v>894</v>
      </c>
      <c r="E93" s="16" t="s">
        <v>51</v>
      </c>
      <c r="F93" s="9"/>
      <c r="G93" s="9" t="s">
        <v>1188</v>
      </c>
      <c r="H93" s="9" t="s">
        <v>1190</v>
      </c>
      <c r="I93" s="16" t="s">
        <v>61</v>
      </c>
      <c r="J93" s="16"/>
      <c r="K93" s="9"/>
      <c r="L93" s="16"/>
      <c r="M93" s="16"/>
      <c r="N93" s="16"/>
      <c r="O93" s="9"/>
      <c r="P93" s="14"/>
      <c r="Q93" s="14"/>
      <c r="R93" s="9"/>
      <c r="S93" s="9"/>
      <c r="T93" s="21" t="str">
        <f t="shared" si="126"/>
        <v>E_REVERSED_BOUNDS: no result is shown</v>
      </c>
      <c r="U93" s="21" t="str">
        <f t="shared" si="127"/>
        <v>Not calculable</v>
      </c>
      <c r="V93" s="21" t="str">
        <f t="shared" si="128"/>
        <v/>
      </c>
      <c r="W93" s="21" t="str">
        <f t="shared" si="129"/>
        <v/>
      </c>
      <c r="X93" s="21" t="str">
        <f t="shared" si="130"/>
        <v/>
      </c>
      <c r="Y93" s="21" t="str">
        <f t="shared" si="131"/>
        <v/>
      </c>
      <c r="Z93" s="21" t="str">
        <f t="shared" si="132"/>
        <v>C1–C6</v>
      </c>
      <c r="AA93" s="21" t="str">
        <f t="shared" si="133"/>
        <v/>
      </c>
      <c r="AB93" s="21" t="str">
        <f t="shared" si="134"/>
        <v/>
      </c>
      <c r="AC93" s="21" t="str">
        <f t="shared" si="135"/>
        <v>E_REVERSED_BOUNDS</v>
      </c>
      <c r="AD93" s="21" t="str">
        <f>IF(AW93=1,"",MID(IF(ISNUMBER(SEARCH("E_INVALID_DATE",EG93))," | E_INVALID_DATE: "&amp;SUBSTITUTE(IFERROR(INDEX(nMSG_Text,MATCH("E_INVALID_DATE",nMSG_Code,0)),""),"[input]",""),"")&amp;IF(ISNUMBER(SEARCH("E_REVERSED_BOUNDS",EG93))," | E_REVERSED_BOUNDS: "&amp;SUBSTITUTE(IFERROR(INDEX(nMSG_Text,MATCH("E_REVERSED_BOUNDS",nMSG_Code,0)),""),"[input]",""),"")&amp;IF(ISNUMBER(SEARCH("E_DUPLICATE_ID",EG93))," | E_DUPLICATE_ID: "&amp;SUBSTITUTE(IFERROR(INDEX(nMSG_Text,MATCH("E_DUPLICATE_ID",nMSG_Code,0)),""),"[input]",""),"")&amp;IF(ISNUMBER(SEARCH("E_MISSING_LINK",EG93))," | E_MISSING_LINK: "&amp;SUBSTITUTE(IFERROR(INDEX(nMSG_Text,MATCH("E_MISSING_LINK",nMSG_Code,0)),""),"[input]",""),"")&amp;IF(ISNUMBER(SEARCH("E_MISSING_INPUT",EG93))," | E_MISSING_INPUT: "&amp;SUBSTITUTE(IFERROR(INDEX(nMSG_Text,MATCH("E_MISSING_INPUT",nMSG_Code,0)),""),"[input]",IF(EH93="","an input",EH93)),"")&amp;IF(ISNUMBER(SEARCH("E_INVALID_UNIT",EG93))," | E_INVALID_UNIT: "&amp;SUBSTITUTE(IFERROR(INDEX(nMSG_Text,MATCH("E_INVALID_UNIT",nMSG_Code,0)),""),"[input]",""),"")&amp;IF(FD93=1," | W_TZ_UNKNOWN: "&amp;SUBSTITUTE(IFERROR(INDEX(nMSG_Text,MATCH("W_TZ_UNKNOWN",nMSG_Code,0)),""),"[input]",""),"")&amp;IF(FE93=1," | W_SAME_DATE_ORDER_UNKNOWN: "&amp;SUBSTITUTE(IFERROR(INDEX(nMSG_Text,MATCH("W_SAME_DATE_ORDER_UNKNOWN",nMSG_Code,0)),""),"[input]",""),"")&amp;IF(FF93=1," | W_SEQUENCE_UNCERTAIN: "&amp;SUBSTITUTE(IFERROR(INDEX(nMSG_Text,MATCH("W_SEQUENCE_UNCERTAIN",nMSG_Code,0)),""),"[input]",""),"")&amp;IF(FG93=1," | W_ADMIN_SAME_DATE_AS_ONSET: "&amp;SUBSTITUTE(IFERROR(INDEX(nMSG_Text,MATCH("W_ADMIN_SAME_DATE_AS_ONSET",nMSG_Code,0)),""),"[input]",""),"")&amp;IF(FH93=1," | W_REPORTED_TIMING_CONFLICT: "&amp;SUBSTITUTE(IFERROR(INDEX(nMSG_Text,MATCH("W_REPORTED_TIMING_CONFLICT",nMSG_Code,0)),""),"[input]",""),"")&amp;IF(FI93=1," | W_INTERVENTION_BEFORE_RECOVERY: "&amp;SUBSTITUTE(IFERROR(INDEX(nMSG_Text,MATCH("W_INTERVENTION_BEFORE_RECOVERY",nMSG_Code,0)),""),"[input]",""),"")&amp;IF(FJ93=1," | I_TREATMENT_DAY_UNDEFINED: "&amp;SUBSTITUTE(IFERROR(INDEX(nMSG_Text,MATCH("I_TREATMENT_DAY_UNDEFINED",nMSG_Code,0)),""),"[input]",""),"")&amp;IF(FK93=1," | I_APPROXIMATE_NOT_COMPARED: "&amp;SUBSTITUTE(IFERROR(INDEX(nMSG_Text,MATCH("I_APPROXIMATE_NOT_COMPARED",nMSG_Code,0)),""),"[input]",""),""),4,9999))</f>
        <v>E_REVERSED_BOUNDS: The earliest value is after the latest value. Check the order of the bounds.</v>
      </c>
      <c r="AE93" s="21" t="str">
        <f t="shared" si="136"/>
        <v/>
      </c>
      <c r="AF93" s="21" t="str">
        <f t="shared" si="137"/>
        <v/>
      </c>
      <c r="AG93" s="21" t="str">
        <f>IF(EN93="","",MID(IF(ISNUMBER(SEARCH("E_REVERSED_BOUNDS",EN93))," | E_REVERSED_BOUNDS: "&amp;SUBSTITUTE(IFERROR(INDEX(nMSG_Text,MATCH("E_REVERSED_BOUNDS",nMSG_Code,0)),""),"[input]",""),"")&amp;IF(ISNUMBER(SEARCH("E_MISSING_INPUT",EN93))," | E_MISSING_INPUT: "&amp;SUBSTITUTE(IFERROR(INDEX(nMSG_Text,MATCH("E_MISSING_INPUT",nMSG_Code,0)),""),"[input]",IF("the source of the constraint"="","an input","the source of the constraint")),""),4,999))</f>
        <v/>
      </c>
      <c r="AH93" s="21" t="str">
        <f t="shared" si="138"/>
        <v/>
      </c>
      <c r="AI93" s="21" t="str">
        <f t="shared" si="139"/>
        <v>Interval I-BOUNDS</v>
      </c>
      <c r="AJ93" s="21" t="str">
        <f t="shared" si="140"/>
        <v>EX2/START</v>
      </c>
      <c r="AK93" s="21" t="str">
        <f t="shared" si="141"/>
        <v>EV2/ONSET</v>
      </c>
      <c r="AL93" s="21" t="str">
        <f>IF(CY93=0,"",INDEX(nTP_ISO,CY93))</f>
        <v/>
      </c>
      <c r="AM93" s="21" t="str">
        <f>IF(CY93=0,"",INDEX(nTP_Display,CY93))</f>
        <v>E_REVERSED_BOUNDS</v>
      </c>
      <c r="AN93" s="21" t="str">
        <f>IF(BI93=0,"",INDEX(nTP_ISO,BI93))</f>
        <v>2026-01-20</v>
      </c>
      <c r="AO93" s="21" t="str">
        <f>IF(BI93=0,"",INDEX(nTP_Display,BI93))</f>
        <v>20 January 2026</v>
      </c>
      <c r="AP93" s="21" t="str">
        <f>IF(BA93=0,"",INDEX(nLNK_Exposure_Episode_ID,BA93)&amp;"")</f>
        <v>EX2</v>
      </c>
      <c r="AQ93" s="21" t="str">
        <f>IF(BA93=0,"",INDEX(nLNK_Event_Episode_ID,BA93)&amp;"")</f>
        <v>EV2</v>
      </c>
      <c r="AR93" s="21" t="str">
        <f t="shared" si="142"/>
        <v/>
      </c>
      <c r="AS93" s="21" t="str">
        <f>IF(EI93=0,"",MID(IF(DT93=1," | Recovery interval (C7) computed with "&amp;DS93&amp;".","")&amp;IF(BG93=1," | Anchor selected under C5 (CALC-SPEC 1.1): latest administration with an exact date or time at or before "&amp;IF(BH93=1,"onset","the end point")&amp;" ("&amp;AJ93&amp;"), ordered in UTC when offsets are known; later administrations are never selected.","")&amp;IF(AND(BG93=1,CE93&gt;0)," | Partial-date administrations wholly before the selected one were not candidates: "&amp;FC93&amp;".","")&amp;IF(BV93&lt;&gt;""," | "&amp;BV93,"")&amp;IF(AND(DS93="C2",EA93=0,DZ93&lt;&gt;"")," | Same calendar date; both times are known, so C1 decides the order ("&amp;AA93&amp;").","")&amp;IF(AND(DS93="C2",DD93*BN93=1,DT93=0)," | Calendar-date difference from the recorded local dates; it is never described as elapsed days.","")&amp;IF(AND(DS93="C4",DT93=0)," | Bounds are treated as independent; no single date is imputed from them.","")&amp;IF(EJ93=1," | Treatment day under the inclusive convention (C3); never written to E2B fields automatically.","")&amp;IF(AND(DS93="C4",DT93=0,EK93=0)," | No constraint applied.","")&amp;IF(AND(DS93="C4",EK93=1)," | Constraint applied to the anchor bounds: "&amp;IF(ISNUMBER(P93),"not before "&amp;DAY(P93)&amp;" "&amp;INDEX(nLIST_Months,MONTH(P93))&amp;" "&amp;YEAR(P93),"")&amp;IF(AND(ISNUMBER(P93),ISNUMBER(Q93)),", ","")&amp;IF(ISNUMBER(Q93),"not after "&amp;DAY(Q93)&amp;" "&amp;INDEX(nLIST_Months,MONTH(Q93))&amp;" "&amp;YEAR(Q93),"")&amp;". Source: "&amp;IF(R93="","not recorded",R93)&amp;IF(EN93="",". Constrained result shown beside the unconstrained one.",". Constrained result blocked ("&amp;EN93&amp;")."),"")&amp;IF(DT93=1,IF(EO93&gt;0," | Intervention recorded between cessation and recovery (ends included): "&amp;EZ93&amp;"."," | No intervention is recorded between cessation and recovery; absence of a record is not evidence that none was given."),"")&amp;IF(AND(DT93=1,DV93&gt;0)," | Intervention recorded without a date, so whether it came before recovery is unknown: "&amp;INDEX(nMS_Milestone_ID,MATCH(1,INDEX((nMS_CaseKey=AX93)*(nMS_Type="INTERVENTION")*nMS_Undated,0),0))&amp;IF(DV93&gt;1," and "&amp;(DV93-1)&amp;" more","")&amp;".","")&amp;IF(AND(DT93=1,EP93&gt;0)," | Not counted as interventions, because they are recorded as exposures rather than as intervention milestones (nothing is inferred): "&amp;FB93&amp;". If treatment was given, record it as an intervention milestone.",""),4,9999))</f>
        <v/>
      </c>
      <c r="AT93" s="21" t="str">
        <f t="shared" si="143"/>
        <v/>
      </c>
      <c r="AU93" s="21" t="str">
        <f t="shared" si="144"/>
        <v/>
      </c>
      <c r="AV93" s="21" t="str">
        <f t="shared" si="145"/>
        <v>CALC-SPEC 1.1</v>
      </c>
      <c r="AW93" s="22">
        <f t="shared" si="146"/>
        <v>0</v>
      </c>
      <c r="AX93" s="21" t="str">
        <f t="shared" si="147"/>
        <v>VEC-V13|1</v>
      </c>
      <c r="AY93" s="21" t="str">
        <f t="shared" si="148"/>
        <v>VEC-V13|1|I-BOUNDS</v>
      </c>
      <c r="AZ93" s="22">
        <f>IF(AY93="",0,COUNTIF(nINT_Key,AY93))</f>
        <v>1</v>
      </c>
      <c r="BA93" s="22">
        <f>IF(D93="",0,IFERROR(MATCH(AX93&amp;"|"&amp;D93,nLNK_Key,0),0))</f>
        <v>52</v>
      </c>
      <c r="BB93" s="22">
        <f>IF(BA93=0,1,INDEX(nLNK_Exp_Found,BA93))</f>
        <v>1</v>
      </c>
      <c r="BC93" s="22">
        <f>IF(BA93=0,1,INDEX(nLNK_Evt_Found,BA93))</f>
        <v>1</v>
      </c>
      <c r="BD93" s="22">
        <f>IF(AP93="",0,COUNTIF(nEXP_Key,AX93&amp;"|"&amp;AP93))</f>
        <v>1</v>
      </c>
      <c r="BE93" s="22">
        <f>IF(AQ93="",0,COUNTIF(nEVT_Key,AX93&amp;"|"&amp;AQ93))</f>
        <v>1</v>
      </c>
      <c r="BF93" s="22">
        <f>IF(ISNA(MATCH(E93,nLIST_AnchorType,0)),0,1)</f>
        <v>1</v>
      </c>
      <c r="BG93" s="22">
        <f t="shared" si="149"/>
        <v>0</v>
      </c>
      <c r="BH93" s="22">
        <f t="shared" si="150"/>
        <v>1</v>
      </c>
      <c r="BI93" s="22">
        <f>IF(OR(AW93=1,AK93=""),0,IFERROR(MATCH(AX93&amp;"|"&amp;AK93,nTP_Key,0),0))</f>
        <v>330</v>
      </c>
      <c r="BJ93" s="21">
        <f>IF(BI93=0,0,INDEX(nTP_Dup,BI93))</f>
        <v>1</v>
      </c>
      <c r="BK93" s="21" t="str">
        <f>IF(BI93=0,"",INDEX(nTP_Record_Type,BI93))</f>
        <v>EVENT_ONSET</v>
      </c>
      <c r="BL93" s="21" t="str">
        <f>IF(BI93=0,"",INDEX(nTP_Precision,BI93))</f>
        <v>DATE</v>
      </c>
      <c r="BM93" s="21" t="str">
        <f>IF(BI93=0,"",INDEX(nTP_Err,BI93))</f>
        <v/>
      </c>
      <c r="BN93" s="21">
        <f>IF(BI93=0,0,INDEX(nTP_HT,BI93))</f>
        <v>0</v>
      </c>
      <c r="BO93" s="21">
        <f>IF(BI93=0,0,INDEX(nTP_OK,BI93))</f>
        <v>0</v>
      </c>
      <c r="BP93" s="21" t="str">
        <f>IF(BI93=0,"",INDEX(nTP_Loc,BI93))</f>
        <v/>
      </c>
      <c r="BQ93" s="21" t="str">
        <f>IF(BI93=0,"",INDEX(nTP_UTC,BI93))</f>
        <v/>
      </c>
      <c r="BR93" s="21">
        <f>IF(BI93=0,"",INDEX(nTP_Lo,BI93))</f>
        <v>46042</v>
      </c>
      <c r="BS93" s="21">
        <f>IF(BI93=0,"",INDEX(nTP_Hi,BI93))</f>
        <v>46042</v>
      </c>
      <c r="BT93" s="21" t="str">
        <f>IF(BI93=0,"",INDEX(nTP_Original_Text,BI93))</f>
        <v>2026-01-20</v>
      </c>
      <c r="BU93" s="21" t="str">
        <f>IF(BI93=0,"",INDEX(nTP_Source,BI93))</f>
        <v>tto_calc_test_vectors_v1.1.json V13</v>
      </c>
      <c r="BV93" s="21" t="str">
        <f>IF(BI93=0,"",INDEX(nTP_Lab_Note,BI93))</f>
        <v/>
      </c>
      <c r="BW93" s="22">
        <f t="shared" si="151"/>
        <v>1</v>
      </c>
      <c r="BX93" s="21" t="str">
        <f t="shared" si="152"/>
        <v>VEC-V13|1|EX2</v>
      </c>
      <c r="BY93" s="22">
        <f>IF(BG93=0,0,COUNTIF(nTP_CandKey,BX93))</f>
        <v>0</v>
      </c>
      <c r="BZ93" s="22">
        <f>IF(BG93=0,0,COUNTIFS(nTP_CandKey,BX93,nTP_Err,""))</f>
        <v>0</v>
      </c>
      <c r="CA93" s="21" t="str">
        <f>IF(BY93=BZ93,"",IF(COUNTIFS(nTP_CandKey,BX93,nTP_Err,"E_INVALID_DATE")&gt;0,"; E_INVALID_DATE","")&amp;IF(COUNTIFS(nTP_CandKey,BX93,nTP_Err,"E_REVERSED_BOUNDS")&gt;0,"; E_REVERSED_BOUNDS","")&amp;IF(COUNTIFS(nTP_CandKey,BX93,nTP_Err,"E_MISSING_INPUT")&gt;0,"; E_MISSING_INPUT","")&amp;IF(COUNTIFS(nTP_CandKey,BX93,nTP_Err,"E_INVALID_UNIT")&gt;0,"; E_INVALID_UNIT",""))</f>
        <v/>
      </c>
      <c r="CB93" s="22">
        <f t="shared" si="153"/>
        <v>0</v>
      </c>
      <c r="CC93" s="22">
        <f>IF(CB93=0,0,SUMPRODUCT((nTP_CandKey=BX93)*(nTP_Err="")*(1-(nTP_HT*BN93*((nTP_OK*BO93*(nTP_UTC_n-N(BQ93))+(1-nTP_OK*BO93)*(nTP_Loc_n-N(BP93)))&lt;=0)+(1-nTP_HT*BN93)*(nTP_Hi_n&lt;N(BR93)))-(nTP_HT*BN93*((nTP_OK*BO93*(nTP_UTC_n-N(BQ93))+(1-nTP_OK*BO93)*(nTP_Loc_n-N(BP93)))&gt;0)+(1-nTP_HT*BN93)*(nTP_Lo_n&gt;N(BS93)))-((1-nTP_HT*BN93)*(nTP_Lo_n=nTP_Hi_n)*(nTP_Lo_n=N(BR93))*(N(BR93)=N(BS93))))))</f>
        <v>0</v>
      </c>
      <c r="CD93" s="22">
        <f>IF(CB93=0,0,SUMPRODUCT((nTP_CandKey=BX93)*nTP_Exact*((nTP_HT*BN93*((nTP_OK*BO93*(nTP_UTC_n-N(BQ93))+(1-nTP_OK*BO93)*(nTP_Loc_n-N(BP93)))&lt;=0)+(1-nTP_HT*BN93)*(nTP_Hi_n&lt;N(BR93)))+((1-nTP_HT*BN93)*(nTP_Lo_n=nTP_Hi_n)*(nTP_Lo_n=N(BR93))*(N(BR93)=N(BS93))))))</f>
        <v>0</v>
      </c>
      <c r="CE93" s="22">
        <f>IF(CB93=0,0,SUMPRODUCT((nTP_CandKey=BX93)*(nTP_Err="")*(1-nTP_Exact)*((nTP_HT*BN93*((nTP_OK*BO93*(nTP_UTC_n-N(BQ93))+(1-nTP_OK*BO93)*(nTP_Loc_n-N(BP93)))&lt;=0)+(1-nTP_HT*BN93)*(nTP_Hi_n&lt;N(BR93)))+((1-nTP_HT*BN93)*(nTP_Lo_n=nTP_Hi_n)*(nTP_Lo_n=N(BR93))*(N(BR93)=N(BS93))))))</f>
        <v>0</v>
      </c>
      <c r="CF93" s="22">
        <f>IF(CD93=0,0,SUMPRODUCT(MAX((nTP_CandKey=BX93)*nTP_Exact*((nTP_HT*BN93*((nTP_OK*BO93*(nTP_UTC_n-N(BQ93))+(1-nTP_OK*BO93)*(nTP_Loc_n-N(BP93)))&lt;=0)+(1-nTP_HT*BN93)*(nTP_Hi_n&lt;N(BR93)))+((1-nTP_HT*BN93)*(nTP_Lo_n=nTP_Hi_n)*(nTP_Lo_n=N(BR93))*(N(BR93)=N(BS93))))*nTP_Lo_n)))</f>
        <v>0</v>
      </c>
      <c r="CG93" s="22">
        <f>IF(CD93=0,0,SUMPRODUCT((nTP_CandKey=BX93)*nTP_Exact*((nTP_HT*BN93*((nTP_OK*BO93*(nTP_UTC_n-N(BQ93))+(1-nTP_OK*BO93)*(nTP_Loc_n-N(BP93)))&lt;=0)+(1-nTP_HT*BN93)*(nTP_Hi_n&lt;N(BR93)))+((1-nTP_HT*BN93)*(nTP_Lo_n=nTP_Hi_n)*(nTP_Lo_n=N(BR93))*(N(BR93)=N(BS93))))*(nTP_Lo_n=CF93)))</f>
        <v>0</v>
      </c>
      <c r="CH93" s="22">
        <f>IF(CD93=0,0,SUMPRODUCT((nTP_CandKey=BX93)*nTP_Exact*((nTP_HT*BN93*((nTP_OK*BO93*(nTP_UTC_n-N(BQ93))+(1-nTP_OK*BO93)*(nTP_Loc_n-N(BP93)))&lt;=0)+(1-nTP_HT*BN93)*(nTP_Hi_n&lt;N(BR93)))+((1-nTP_HT*BN93)*(nTP_Lo_n=nTP_Hi_n)*(nTP_Lo_n=N(BR93))*(N(BR93)=N(BS93))))*(1-nTP_HT)*(nTP_Lo_n=CF93)))</f>
        <v>0</v>
      </c>
      <c r="CI93" s="22">
        <f>IF(CD93=0,0,SUMPRODUCT(MAX((nTP_CandKey=BX93)*nTP_Exact*((nTP_HT*BN93*((nTP_OK*BO93*(nTP_UTC_n-N(BQ93))+(1-nTP_OK*BO93)*(nTP_Loc_n-N(BP93)))&lt;=0)+(1-nTP_HT*BN93)*(nTP_Hi_n&lt;N(BR93)))+((1-nTP_HT*BN93)*(nTP_Lo_n=nTP_Hi_n)*(nTP_Lo_n=N(BR93))*(N(BR93)=N(BS93))))*(1-nTP_HT)*nTP_Lo_n)))</f>
        <v>0</v>
      </c>
      <c r="CJ93" s="22">
        <f>IF(CD93=0,0,SUMPRODUCT(MAX((nTP_CandKey=BX93)*nTP_Exact*((nTP_HT*BN93*((nTP_OK*BO93*(nTP_UTC_n-N(BQ93))+(1-nTP_OK*BO93)*(nTP_Loc_n-N(BP93)))&lt;=0)+(1-nTP_HT*BN93)*(nTP_Hi_n&lt;N(BR93)))+((1-nTP_HT*BN93)*(nTP_Lo_n=nTP_Hi_n)*(nTP_Lo_n=N(BR93))*(N(BR93)=N(BS93))))*nTP_HT*nTP_OK*nTP_UTC_n)))</f>
        <v>0</v>
      </c>
      <c r="CK93" s="22">
        <f>IF(CJ93=0,0,SUMPRODUCT((nTP_CandKey=BX93)*nTP_Exact*((nTP_HT*BN93*((nTP_OK*BO93*(nTP_UTC_n-N(BQ93))+(1-nTP_OK*BO93)*(nTP_Loc_n-N(BP93)))&lt;=0)+(1-nTP_HT*BN93)*(nTP_Hi_n&lt;N(BR93)))+((1-nTP_HT*BN93)*(nTP_Lo_n=nTP_Hi_n)*(nTP_Lo_n=N(BR93))*(N(BR93)=N(BS93))))*nTP_HT*nTP_OK*(nTP_UTC_n=CJ93)))</f>
        <v>0</v>
      </c>
      <c r="CL93" s="22">
        <f>IF(CK93&lt;&gt;1,0,SUMPRODUCT((nTP_CandKey=BX93)*nTP_Exact*((nTP_HT*BN93*((nTP_OK*BO93*(nTP_UTC_n-N(BQ93))+(1-nTP_OK*BO93)*(nTP_Loc_n-N(BP93)))&lt;=0)+(1-nTP_HT*BN93)*(nTP_Hi_n&lt;N(BR93)))+((1-nTP_HT*BN93)*(nTP_Lo_n=nTP_Hi_n)*(nTP_Lo_n=N(BR93))*(N(BR93)=N(BS93))))*nTP_HT*nTP_OK*(nTP_UTC_n=CJ93)*nTP_Loc_n))</f>
        <v>0</v>
      </c>
      <c r="CM93" s="22">
        <f>IF(CK93&lt;&gt;1,0,SUMPRODUCT((nTP_CandKey=BX93)*nTP_Exact*((nTP_HT*BN93*((nTP_OK*BO93*(nTP_UTC_n-N(BQ93))+(1-nTP_OK*BO93)*(nTP_Loc_n-N(BP93)))&lt;=0)+(1-nTP_HT*BN93)*(nTP_Hi_n&lt;N(BR93)))+((1-nTP_HT*BN93)*(nTP_Lo_n=nTP_Hi_n)*(nTP_Lo_n=N(BR93))*(N(BR93)=N(BS93))))*nTP_HT*nTP_OK*(nTP_UTC_n=CJ93)*nTP_Lo_n))</f>
        <v>0</v>
      </c>
      <c r="CN93" s="22">
        <f>IF(CD93=0,0,SUMPRODUCT(MAX((nTP_CandKey=BX93)*nTP_Exact*((nTP_HT*BN93*((nTP_OK*BO93*(nTP_UTC_n-N(BQ93))+(1-nTP_OK*BO93)*(nTP_Loc_n-N(BP93)))&lt;=0)+(1-nTP_HT*BN93)*(nTP_Hi_n&lt;N(BR93)))+((1-nTP_HT*BN93)*(nTP_Lo_n=nTP_Hi_n)*(nTP_Lo_n=N(BR93))*(N(BR93)=N(BS93))))*nTP_HT*(1-nTP_OK)*nTP_Loc_n)))</f>
        <v>0</v>
      </c>
      <c r="CO93" s="22">
        <f>IF(CN93=0,0,SUMPRODUCT((nTP_CandKey=BX93)*nTP_Exact*((nTP_HT*BN93*((nTP_OK*BO93*(nTP_UTC_n-N(BQ93))+(1-nTP_OK*BO93)*(nTP_Loc_n-N(BP93)))&lt;=0)+(1-nTP_HT*BN93)*(nTP_Hi_n&lt;N(BR93)))+((1-nTP_HT*BN93)*(nTP_Lo_n=nTP_Hi_n)*(nTP_Lo_n=N(BR93))*(N(BR93)=N(BS93))))*nTP_HT*(1-nTP_OK)*(nTP_Loc_n=CN93)))</f>
        <v>0</v>
      </c>
      <c r="CP93" s="22">
        <f>IF(CO93&lt;&gt;1,0,SUMPRODUCT((nTP_CandKey=BX93)*nTP_Exact*((nTP_HT*BN93*((nTP_OK*BO93*(nTP_UTC_n-N(BQ93))+(1-nTP_OK*BO93)*(nTP_Loc_n-N(BP93)))&lt;=0)+(1-nTP_HT*BN93)*(nTP_Hi_n&lt;N(BR93)))+((1-nTP_HT*BN93)*(nTP_Lo_n=nTP_Hi_n)*(nTP_Lo_n=N(BR93))*(N(BR93)=N(BS93))))*nTP_HT*(1-nTP_OK)*(nTP_Loc_n=CN93)*nTP_Lo_n))</f>
        <v>0</v>
      </c>
      <c r="CQ93" s="22">
        <f>IF(CD93=0,0,SUMPRODUCT(MAX((nTP_CandKey=BX93)*nTP_Exact*((nTP_HT*BN93*((nTP_OK*BO93*(nTP_UTC_n-N(BQ93))+(1-nTP_OK*BO93)*(nTP_Loc_n-N(BP93)))&lt;=0)+(1-nTP_HT*BN93)*(nTP_Hi_n&lt;N(BR93)))+((1-nTP_HT*BN93)*(nTP_Lo_n=nTP_Hi_n)*(nTP_Lo_n=N(BR93))*(N(BR93)=N(BS93))))*nTP_HT*nTP_OK*nTP_Loc_n)))</f>
        <v>0</v>
      </c>
      <c r="CR93" s="22">
        <f t="shared" si="154"/>
        <v>0</v>
      </c>
      <c r="CS93" s="22">
        <f>IF(CR93=0,0,IF(CR93=1,MATCH(1,INDEX((nTP_CandKey=BX93)*nTP_Exact*((nTP_HT*BN93*((nTP_OK*BO93*(nTP_UTC_n-N(BQ93))+(1-nTP_OK*BO93)*(nTP_Loc_n-N(BP93)))&lt;=0)+(1-nTP_HT*BN93)*(nTP_Hi_n&lt;N(BR93)))+((1-nTP_HT*BN93)*(nTP_Lo_n=nTP_Hi_n)*(nTP_Lo_n=N(BR93))*(N(BR93)=N(BS93))))*(1-nTP_HT)*(nTP_Lo_n=CF93),0),0),IF(CR93=2,MATCH(1,INDEX((nTP_CandKey=BX93)*nTP_Exact*((nTP_HT*BN93*((nTP_OK*BO93*(nTP_UTC_n-N(BQ93))+(1-nTP_OK*BO93)*(nTP_Loc_n-N(BP93)))&lt;=0)+(1-nTP_HT*BN93)*(nTP_Hi_n&lt;N(BR93)))+((1-nTP_HT*BN93)*(nTP_Lo_n=nTP_Hi_n)*(nTP_Lo_n=N(BR93))*(N(BR93)=N(BS93))))*nTP_HT*nTP_OK*(nTP_UTC_n=CJ93),0),0),MATCH(1,INDEX((nTP_CandKey=BX93)*nTP_Exact*((nTP_HT*BN93*((nTP_OK*BO93*(nTP_UTC_n-N(BQ93))+(1-nTP_OK*BO93)*(nTP_Loc_n-N(BP93)))&lt;=0)+(1-nTP_HT*BN93)*(nTP_Hi_n&lt;N(BR93)))+((1-nTP_HT*BN93)*(nTP_Lo_n=nTP_Hi_n)*(nTP_Lo_n=N(BR93))*(N(BR93)=N(BS93))))*nTP_HT*(1-nTP_OK)*(nTP_Loc_n=CN93),0),0))))</f>
        <v>0</v>
      </c>
      <c r="CT93" s="22">
        <f>IF(CS93=0,0,INDEX(nTP_Lo_n,CS93))</f>
        <v>0</v>
      </c>
      <c r="CU93" s="22">
        <f>IF(CS93=0,0,SUMPRODUCT((nTP_CandKey=BX93)*(nTP_Err="")*(1-nTP_Exact)*((nTP_HT*BN93*((nTP_OK*BO93*(nTP_UTC_n-N(BQ93))+(1-nTP_OK*BO93)*(nTP_Loc_n-N(BP93)))&lt;=0)+(1-nTP_HT*BN93)*(nTP_Hi_n&lt;N(BR93)))+((1-nTP_HT*BN93)*(nTP_Lo_n=nTP_Hi_n)*(nTP_Lo_n=N(BR93))*(N(BR93)=N(BS93))))*(nTP_Hi_n&gt;=CT93)))</f>
        <v>0</v>
      </c>
      <c r="CV93" s="21" t="str">
        <f t="shared" si="155"/>
        <v/>
      </c>
      <c r="CW93" s="21" t="str">
        <f>IF(AND(BG93=1,CB93=1,CV93="",CS93&gt;0),INDEX(nTP_Record_ID,CS93)&amp;"","")</f>
        <v/>
      </c>
      <c r="CX93" s="21" t="str">
        <f>IF(OR(CV93="",BG93=0),"",IF(CV93="none","an administration record (last dose before onset)",IF(CV93="uncertain","the anchor record: "&amp;INDEX(nTP_Record_ID,MATCH(1,INDEX((nTP_CandKey=BX93)*(nTP_Err="")*(1-(nTP_HT*BN93*((nTP_OK*BO93*(nTP_UTC_n-N(BQ93))+(1-nTP_OK*BO93)*(nTP_Loc_n-N(BP93)))&lt;=0)+(1-nTP_HT*BN93)*(nTP_Hi_n&lt;N(BR93)))-(nTP_HT*BN93*((nTP_OK*BO93*(nTP_UTC_n-N(BQ93))+(1-nTP_OK*BO93)*(nTP_Loc_n-N(BP93)))&gt;0)+(1-nTP_HT*BN93)*(nTP_Lo_n&gt;N(BS93)))-((1-nTP_HT*BN93)*(nTP_Lo_n=nTP_Hi_n)*(nTP_Lo_n=N(BR93))*(N(BR93)=N(BS93)))),0),0))&amp;IF(CC93&gt;1," and "&amp;(CC93-1)&amp;" more","")&amp;" may fall before or after the end point, so the last dose cannot be identified from the recorded dates",IF(CV93="noneligible","the anchor record: no administration with an exact date is recorded at or before the end point",IF(CV93="tie","the anchor record: the order of the latest administrations cannot be told from the recorded dates and times","the anchor record: partial-date administration "&amp;INDEX(nTP_Record_ID,MATCH(1,INDEX((nTP_CandKey=BX93)*(nTP_Err="")*(1-nTP_Exact)*((nTP_HT*BN93*((nTP_OK*BO93*(nTP_UTC_n-N(BQ93))+(1-nTP_OK*BO93)*(nTP_Loc_n-N(BP93)))&lt;=0)+(1-nTP_HT*BN93)*(nTP_Hi_n&lt;N(BR93)))+((1-nTP_HT*BN93)*(nTP_Lo_n=nTP_Hi_n)*(nTP_Lo_n=N(BR93))*(N(BR93)=N(BS93))))*(nTP_Hi_n&gt;=CT93),0),0))&amp;" could be the last dose before the end point")))))</f>
        <v/>
      </c>
      <c r="CY93" s="22">
        <f>IF(OR(AW93=1,AJ93=""),0,IFERROR(MATCH(AX93&amp;"|"&amp;AJ93,nTP_Key,0),0))</f>
        <v>59</v>
      </c>
      <c r="CZ93" s="21">
        <f>IF(CY93=0,0,INDEX(nTP_Dup,CY93))</f>
        <v>1</v>
      </c>
      <c r="DA93" s="21" t="str">
        <f>IF(CY93=0,"",INDEX(nTP_Record_Type,CY93))</f>
        <v>EXPOSURE_START</v>
      </c>
      <c r="DB93" s="21" t="str">
        <f>IF(CY93=0,"",INDEX(nTP_Precision,CY93))</f>
        <v>RANGE</v>
      </c>
      <c r="DC93" s="21" t="str">
        <f>IF(CY93=0,"",INDEX(nTP_Err,CY93))</f>
        <v>E_REVERSED_BOUNDS</v>
      </c>
      <c r="DD93" s="21">
        <f>IF(CY93=0,0,INDEX(nTP_HT,CY93))</f>
        <v>0</v>
      </c>
      <c r="DE93" s="21">
        <f>IF(CY93=0,0,INDEX(nTP_OK,CY93))</f>
        <v>0</v>
      </c>
      <c r="DF93" s="21" t="str">
        <f>IF(CY93=0,"",INDEX(nTP_Loc,CY93))</f>
        <v/>
      </c>
      <c r="DG93" s="21" t="str">
        <f>IF(CY93=0,"",INDEX(nTP_UTC,CY93))</f>
        <v/>
      </c>
      <c r="DH93" s="21" t="str">
        <f>IF(CY93=0,"",INDEX(nTP_Lo,CY93))</f>
        <v/>
      </c>
      <c r="DI93" s="21" t="str">
        <f>IF(CY93=0,"",INDEX(nTP_Hi,CY93))</f>
        <v/>
      </c>
      <c r="DJ93" s="21" t="str">
        <f>IF(CY93=0,"",INDEX(nTP_Original_Text,CY93))</f>
        <v>bounds entered in reverse order</v>
      </c>
      <c r="DK93" s="21" t="str">
        <f>IF(CY93=0,"",INDEX(nTP_Source,CY93))</f>
        <v>tto_calc_test_vectors_v1.1.json V13</v>
      </c>
      <c r="DL93" s="22">
        <f t="shared" si="156"/>
        <v>0</v>
      </c>
      <c r="DM93" s="21" t="str">
        <f t="shared" si="157"/>
        <v>; E_REVERSED_BOUNDS</v>
      </c>
      <c r="DN93" s="21" t="str">
        <f t="shared" si="158"/>
        <v/>
      </c>
      <c r="DO93" s="21" t="str">
        <f t="shared" si="159"/>
        <v/>
      </c>
      <c r="DP93" s="21" t="str">
        <f t="shared" si="160"/>
        <v/>
      </c>
      <c r="DQ93" s="21" t="str">
        <f t="shared" si="161"/>
        <v/>
      </c>
      <c r="DR93" s="22">
        <f>IF(OR(DQ93="",I93=""),0,IF(ISNA(MATCH(I93,nLIST_Mode,0)),1,IF(AND(I93="C1",DQ93&lt;&gt;"C1"),1,IF(AND(I93="C2",DQ93="C4"),1,0))))</f>
        <v>0</v>
      </c>
      <c r="DS93" s="21" t="str">
        <f t="shared" si="162"/>
        <v/>
      </c>
      <c r="DT93" s="22">
        <f t="shared" si="163"/>
        <v>0</v>
      </c>
      <c r="DU93" s="21" t="str">
        <f>IF(DT93=0,"",IF(COUNTIFS(nTP_Case_Key,AX93,nTP_Record_Type,"MILESTONE:INTERVENTION",nTP_Err,"E_INVALID_DATE")&gt;0,"; E_INVALID_DATE","")&amp;IF(COUNTIFS(nTP_Case_Key,AX93,nTP_Record_Type,"MILESTONE:INTERVENTION",nTP_Err,"E_REVERSED_BOUNDS")&gt;0,"; E_REVERSED_BOUNDS","")&amp;IF(COUNTIFS(nTP_Case_Key,AX93,nTP_Record_Type,"MILESTONE:INTERVENTION",nTP_Err,"E_MISSING_INPUT")&gt;0,"; E_MISSING_INPUT","")&amp;IF(COUNTIFS(nTP_Case_Key,AX93,nTP_Record_Type,"MILESTONE:INTERVENTION",nTP_Err,"E_INVALID_UNIT")&gt;0,"; E_INVALID_UNIT",""))</f>
        <v/>
      </c>
      <c r="DV93" s="22">
        <f>IF(DT93=0,0,SUMPRODUCT((nMS_CaseKey=AX93)*(nMS_Type="INTERVENTION")*nMS_Undated))</f>
        <v>0</v>
      </c>
      <c r="DW93" s="21" t="str">
        <f t="shared" si="164"/>
        <v>; E_REVERSED_BOUNDS</v>
      </c>
      <c r="DX93" s="21" t="str">
        <f t="shared" si="165"/>
        <v>E_REVERSED_BOUNDS</v>
      </c>
      <c r="DY93" s="22">
        <f t="shared" si="166"/>
        <v>1</v>
      </c>
      <c r="DZ93" s="21" t="str">
        <f t="shared" si="167"/>
        <v/>
      </c>
      <c r="EA93" s="21" t="str">
        <f t="shared" si="168"/>
        <v/>
      </c>
      <c r="EB93" s="21" t="str">
        <f t="shared" si="169"/>
        <v/>
      </c>
      <c r="EC93" s="21" t="str">
        <f t="shared" si="170"/>
        <v/>
      </c>
      <c r="ED93" s="22">
        <f t="shared" si="171"/>
        <v>0</v>
      </c>
      <c r="EE93" s="22">
        <f t="shared" si="172"/>
        <v>0</v>
      </c>
      <c r="EF93" s="21" t="str">
        <f>IF(ED93=0,"",IF(OR(NOT(ISNUMBER(L93)),NOT(ISNUMBER(M93))),"I_APPROXIMATE_NOT_COMPARED",IF(AND(N93&lt;&gt;"",ISNA(MATCH(N93,nLIST_ReportedUnit,0))),"E_INVALID_UNIT",IF(N93="","E_MISSING_INPUT",IF(L93&gt;M93,"E_REVERSED_BOUNDS",IF(OR(N93="weeks",N93="months",N93="years"),"I_APPROXIMATE_NOT_COMPARED",IF(DX93&lt;&gt;"","",IF(EE93=0,"I_APPROXIMATE_NOT_COMPARED",IF(AND(L93*EE93&lt;=IF(DS93="C4",EC93,IF(DS93="C1",DZ93,EA93)),M93*EE93&gt;=IF(DS93="C4",EB93,IF(DS93="C1",DZ93,EA93))),"OVERLAP","W_REPORTED_TIMING_CONFLICT")))))))))</f>
        <v/>
      </c>
      <c r="EG93" s="21" t="str">
        <f t="shared" si="173"/>
        <v>E_REVERSED_BOUNDS</v>
      </c>
      <c r="EH93" s="21" t="str">
        <f t="shared" si="174"/>
        <v/>
      </c>
      <c r="EI93" s="22">
        <f t="shared" si="175"/>
        <v>0</v>
      </c>
      <c r="EJ93" s="22">
        <f t="shared" si="176"/>
        <v>0</v>
      </c>
      <c r="EK93" s="22">
        <f t="shared" si="177"/>
        <v>0</v>
      </c>
      <c r="EL93" s="28" t="str">
        <f t="shared" si="178"/>
        <v/>
      </c>
      <c r="EM93" s="28" t="str">
        <f t="shared" si="179"/>
        <v/>
      </c>
      <c r="EN93" s="21" t="str">
        <f t="shared" si="180"/>
        <v/>
      </c>
      <c r="EO93" s="22">
        <f>IF(OR(DT93=0,DX93&lt;&gt;""),0,SUMPRODUCT((nTP_Case_Key=AX93)*(nTP_Record_Type="MILESTONE:INTERVENTION")*(nTP_Err="")*(nTP_HT*DD93*BN93*(nTP_OK*DE93*(nTP_UTC_n&gt;=N(DG93))+(1-nTP_OK*DE93)*(nTP_Loc_n&gt;=N(DF93)))*(nTP_OK*BO93*(nTP_UTC_n&lt;=N(BQ93))+(1-nTP_OK*BO93)*(nTP_Loc_n&lt;=N(BP93)))+(1-nTP_HT*DD93*BN93)*(nTP_Hi_n&gt;=N(DH93))*(nTP_Lo_n&lt;=N(BS93)))))</f>
        <v>0</v>
      </c>
      <c r="EP93" s="22">
        <f>IF(OR(DT93=0,DX93&lt;&gt;""),0,SUMPRODUCT((nTP_Case_Key=AX93)*(nTP_Role="treatment of the event")*((nTP_Record_Type="EXPOSURE_START")+(nTP_Record_Type="ADMINISTRATION"))*(nTP_Err="")*(nTP_HT*DD93*BN93*(nTP_OK*DE93*(nTP_UTC_n&gt;=N(DG93))+(1-nTP_OK*DE93)*(nTP_Loc_n&gt;=N(DF93)))*(nTP_OK*BO93*(nTP_UTC_n&lt;=N(BQ93))+(1-nTP_OK*BO93)*(nTP_Loc_n&lt;=N(BP93)))+(1-nTP_HT*DD93*BN93)*(nTP_Hi_n&gt;=N(DH93))*(nTP_Lo_n&lt;=N(BS93)))))</f>
        <v>0</v>
      </c>
      <c r="EQ93" s="22">
        <f>IF(EO93&lt;1,0,IFERROR(_xlfn.AGGREGATE(15,6,nTP_RowN/((nTP_Case_Key=AX93)*(nTP_Record_Type="MILESTONE:INTERVENTION")*(nTP_Err="")*(nTP_HT*DD93*BN93*(nTP_OK*DE93*(nTP_UTC_n&gt;=N(DG93))+(1-nTP_OK*DE93)*(nTP_Loc_n&gt;=N(DF93)))*(nTP_OK*BO93*(nTP_UTC_n&lt;=N(BQ93))+(1-nTP_OK*BO93)*(nTP_Loc_n&lt;=N(BP93)))+(1-nTP_HT*DD93*BN93)*(nTP_Hi_n&gt;=N(DH93))*(nTP_Lo_n&lt;=N(BS93)))),1),0))</f>
        <v>0</v>
      </c>
      <c r="ER93" s="22">
        <f>IF(EO93&lt;2,0,IFERROR(_xlfn.AGGREGATE(15,6,nTP_RowN/((nTP_Case_Key=AX93)*(nTP_Record_Type="MILESTONE:INTERVENTION")*(nTP_Err="")*(nTP_HT*DD93*BN93*(nTP_OK*DE93*(nTP_UTC_n&gt;=N(DG93))+(1-nTP_OK*DE93)*(nTP_Loc_n&gt;=N(DF93)))*(nTP_OK*BO93*(nTP_UTC_n&lt;=N(BQ93))+(1-nTP_OK*BO93)*(nTP_Loc_n&lt;=N(BP93)))+(1-nTP_HT*DD93*BN93)*(nTP_Hi_n&gt;=N(DH93))*(nTP_Lo_n&lt;=N(BS93)))),2),0))</f>
        <v>0</v>
      </c>
      <c r="ES93" s="22">
        <f>IF(EO93&lt;3,0,IFERROR(_xlfn.AGGREGATE(15,6,nTP_RowN/((nTP_Case_Key=AX93)*(nTP_Record_Type="MILESTONE:INTERVENTION")*(nTP_Err="")*(nTP_HT*DD93*BN93*(nTP_OK*DE93*(nTP_UTC_n&gt;=N(DG93))+(1-nTP_OK*DE93)*(nTP_Loc_n&gt;=N(DF93)))*(nTP_OK*BO93*(nTP_UTC_n&lt;=N(BQ93))+(1-nTP_OK*BO93)*(nTP_Loc_n&lt;=N(BP93)))+(1-nTP_HT*DD93*BN93)*(nTP_Hi_n&gt;=N(DH93))*(nTP_Lo_n&lt;=N(BS93)))),3),0))</f>
        <v>0</v>
      </c>
      <c r="ET93" s="22">
        <f>IF(EP93&lt;1,0,IFERROR(_xlfn.AGGREGATE(15,6,nTP_RowN/((nTP_Case_Key=AX93)*(nTP_Role="treatment of the event")*((nTP_Record_Type="EXPOSURE_START")+(nTP_Record_Type="ADMINISTRATION"))*(nTP_Err="")*(nTP_HT*DD93*BN93*(nTP_OK*DE93*(nTP_UTC_n&gt;=N(DG93))+(1-nTP_OK*DE93)*(nTP_Loc_n&gt;=N(DF93)))*(nTP_OK*BO93*(nTP_UTC_n&lt;=N(BQ93))+(1-nTP_OK*BO93)*(nTP_Loc_n&lt;=N(BP93)))+(1-nTP_HT*DD93*BN93)*(nTP_Hi_n&gt;=N(DH93))*(nTP_Lo_n&lt;=N(BS93)))),1),0))</f>
        <v>0</v>
      </c>
      <c r="EU93" s="22">
        <f>IF(EP93&lt;2,0,IFERROR(_xlfn.AGGREGATE(15,6,nTP_RowN/((nTP_Case_Key=AX93)*(nTP_Role="treatment of the event")*((nTP_Record_Type="EXPOSURE_START")+(nTP_Record_Type="ADMINISTRATION"))*(nTP_Err="")*(nTP_HT*DD93*BN93*(nTP_OK*DE93*(nTP_UTC_n&gt;=N(DG93))+(1-nTP_OK*DE93)*(nTP_Loc_n&gt;=N(DF93)))*(nTP_OK*BO93*(nTP_UTC_n&lt;=N(BQ93))+(1-nTP_OK*BO93)*(nTP_Loc_n&lt;=N(BP93)))+(1-nTP_HT*DD93*BN93)*(nTP_Hi_n&gt;=N(DH93))*(nTP_Lo_n&lt;=N(BS93)))),2),0))</f>
        <v>0</v>
      </c>
      <c r="EV93" s="22">
        <f>IF(EP93&lt;3,0,IFERROR(_xlfn.AGGREGATE(15,6,nTP_RowN/((nTP_Case_Key=AX93)*(nTP_Role="treatment of the event")*((nTP_Record_Type="EXPOSURE_START")+(nTP_Record_Type="ADMINISTRATION"))*(nTP_Err="")*(nTP_HT*DD93*BN93*(nTP_OK*DE93*(nTP_UTC_n&gt;=N(DG93))+(1-nTP_OK*DE93)*(nTP_Loc_n&gt;=N(DF93)))*(nTP_OK*BO93*(nTP_UTC_n&lt;=N(BQ93))+(1-nTP_OK*BO93)*(nTP_Loc_n&lt;=N(BP93)))+(1-nTP_HT*DD93*BN93)*(nTP_Hi_n&gt;=N(DH93))*(nTP_Lo_n&lt;=N(BS93)))),3),0))</f>
        <v>0</v>
      </c>
      <c r="EW93" s="22">
        <f>IF(CE93&lt;1,0,IFERROR(_xlfn.AGGREGATE(15,6,nTP_RowN/((nTP_CandKey=BX93)*(nTP_Err="")*(1-nTP_Exact)*((nTP_HT*BN93*((nTP_OK*BO93*(nTP_UTC_n-N(BQ93))+(1-nTP_OK*BO93)*(nTP_Loc_n-N(BP93)))&lt;=0)+(1-nTP_HT*BN93)*(nTP_Hi_n&lt;N(BR93)))+((1-nTP_HT*BN93)*(nTP_Lo_n=nTP_Hi_n)*(nTP_Lo_n=N(BR93))*(N(BR93)=N(BS93))))),1),0))</f>
        <v>0</v>
      </c>
      <c r="EX93" s="22">
        <f>IF(CE93&lt;2,0,IFERROR(_xlfn.AGGREGATE(15,6,nTP_RowN/((nTP_CandKey=BX93)*(nTP_Err="")*(1-nTP_Exact)*((nTP_HT*BN93*((nTP_OK*BO93*(nTP_UTC_n-N(BQ93))+(1-nTP_OK*BO93)*(nTP_Loc_n-N(BP93)))&lt;=0)+(1-nTP_HT*BN93)*(nTP_Hi_n&lt;N(BR93)))+((1-nTP_HT*BN93)*(nTP_Lo_n=nTP_Hi_n)*(nTP_Lo_n=N(BR93))*(N(BR93)=N(BS93))))),2),0))</f>
        <v>0</v>
      </c>
      <c r="EY93" s="22">
        <f>IF(CE93&lt;3,0,IFERROR(_xlfn.AGGREGATE(15,6,nTP_RowN/((nTP_CandKey=BX93)*(nTP_Err="")*(1-nTP_Exact)*((nTP_HT*BN93*((nTP_OK*BO93*(nTP_UTC_n-N(BQ93))+(1-nTP_OK*BO93)*(nTP_Loc_n-N(BP93)))&lt;=0)+(1-nTP_HT*BN93)*(nTP_Hi_n&lt;N(BR93)))+((1-nTP_HT*BN93)*(nTP_Lo_n=nTP_Hi_n)*(nTP_Lo_n=N(BR93))*(N(BR93)=N(BS93))))),3),0))</f>
        <v>0</v>
      </c>
      <c r="EZ93" s="21" t="str">
        <f>IF(EO93=0,"",MID(IF(EQ93&gt;0,"; "&amp;INDEX(nTP_Record_ID,EQ93)&amp;IF(INDEX(nTP_Label,EQ93)="",""," ("&amp;INDEX(nTP_Label,EQ93)&amp;")"),"")&amp;IF(ER93&gt;0,"; "&amp;INDEX(nTP_Record_ID,ER93)&amp;IF(INDEX(nTP_Label,ER93)="",""," ("&amp;INDEX(nTP_Label,ER93)&amp;")"),"")&amp;IF(ES93&gt;0,"; "&amp;INDEX(nTP_Record_ID,ES93)&amp;IF(INDEX(nTP_Label,ES93)="",""," ("&amp;INDEX(nTP_Label,ES93)&amp;")"),"")&amp;IF(EO93&gt;3,"; and "&amp;(EO93-3)&amp;" more",""),3,999))</f>
        <v/>
      </c>
      <c r="FA93" s="21" t="str">
        <f>IF(EO93=0,"",MID(IF(EQ93&gt;0,"; "&amp;INDEX(nTP_Record_ID,EQ93),"")&amp;IF(ER93&gt;0,"; "&amp;INDEX(nTP_Record_ID,ER93),"")&amp;IF(ES93&gt;0,"; "&amp;INDEX(nTP_Record_ID,ES93),"")&amp;IF(EO93&gt;3,"; and "&amp;(EO93-3)&amp;" more",""),3,999))</f>
        <v/>
      </c>
      <c r="FB93" s="21" t="str">
        <f>IF(EP93=0,"",MID(IF(ET93&gt;0,"; "&amp;INDEX(nTP_Record_ID,ET93)&amp;IF(INDEX(nTP_Label,ET93)="",""," ("&amp;INDEX(nTP_Label,ET93)&amp;")"),"")&amp;IF(EU93&gt;0,"; "&amp;INDEX(nTP_Record_ID,EU93)&amp;IF(INDEX(nTP_Label,EU93)="",""," ("&amp;INDEX(nTP_Label,EU93)&amp;")"),"")&amp;IF(EV93&gt;0,"; "&amp;INDEX(nTP_Record_ID,EV93)&amp;IF(INDEX(nTP_Label,EV93)="",""," ("&amp;INDEX(nTP_Label,EV93)&amp;")"),"")&amp;IF(EP93&gt;3,"; and "&amp;(EP93-3)&amp;" more",""),3,999))</f>
        <v/>
      </c>
      <c r="FC93" s="21" t="str">
        <f>IF(CE93=0,"",MID(IF(EW93&gt;0,"; "&amp;INDEX(nTP_Record_ID,EW93),"")&amp;IF(EX93&gt;0,"; "&amp;INDEX(nTP_Record_ID,EX93),"")&amp;IF(EY93&gt;0,"; "&amp;INDEX(nTP_Record_ID,EY93),"")&amp;IF(CE93&gt;3,"; and "&amp;(CE93-3)&amp;" more",""),3,999))</f>
        <v/>
      </c>
      <c r="FD93" s="22">
        <f t="shared" si="181"/>
        <v>0</v>
      </c>
      <c r="FE93" s="22">
        <f t="shared" si="182"/>
        <v>0</v>
      </c>
      <c r="FF93" s="22">
        <f t="shared" si="183"/>
        <v>0</v>
      </c>
      <c r="FG93" s="22">
        <f t="shared" si="184"/>
        <v>0</v>
      </c>
      <c r="FH93" s="22">
        <f t="shared" si="185"/>
        <v>0</v>
      </c>
      <c r="FI93" s="22">
        <f t="shared" si="186"/>
        <v>0</v>
      </c>
      <c r="FJ93" s="22">
        <f t="shared" si="187"/>
        <v>0</v>
      </c>
      <c r="FK93" s="22">
        <f t="shared" si="188"/>
        <v>0</v>
      </c>
    </row>
    <row r="94" spans="1:167" x14ac:dyDescent="0.2">
      <c r="A94" s="9" t="s">
        <v>1191</v>
      </c>
      <c r="B94" s="9" t="s">
        <v>335</v>
      </c>
      <c r="C94" s="11">
        <v>1</v>
      </c>
      <c r="D94" s="9" t="s">
        <v>896</v>
      </c>
      <c r="E94" s="16" t="s">
        <v>51</v>
      </c>
      <c r="F94" s="9"/>
      <c r="G94" s="9" t="s">
        <v>1179</v>
      </c>
      <c r="H94" s="9" t="s">
        <v>1190</v>
      </c>
      <c r="I94" s="16" t="s">
        <v>60</v>
      </c>
      <c r="J94" s="16"/>
      <c r="K94" s="9"/>
      <c r="L94" s="16"/>
      <c r="M94" s="16"/>
      <c r="N94" s="16"/>
      <c r="O94" s="9"/>
      <c r="P94" s="14"/>
      <c r="Q94" s="14"/>
      <c r="R94" s="9"/>
      <c r="S94" s="9"/>
      <c r="T94" s="21" t="str">
        <f t="shared" si="126"/>
        <v>E_DUPLICATE_ID: no result is shown</v>
      </c>
      <c r="U94" s="21" t="str">
        <f t="shared" si="127"/>
        <v>Not calculable</v>
      </c>
      <c r="V94" s="21" t="str">
        <f t="shared" si="128"/>
        <v/>
      </c>
      <c r="W94" s="21" t="str">
        <f t="shared" si="129"/>
        <v/>
      </c>
      <c r="X94" s="21" t="str">
        <f t="shared" si="130"/>
        <v/>
      </c>
      <c r="Y94" s="21" t="str">
        <f t="shared" si="131"/>
        <v/>
      </c>
      <c r="Z94" s="21" t="str">
        <f t="shared" si="132"/>
        <v>C1–C6</v>
      </c>
      <c r="AA94" s="21" t="str">
        <f t="shared" si="133"/>
        <v/>
      </c>
      <c r="AB94" s="21" t="str">
        <f t="shared" si="134"/>
        <v/>
      </c>
      <c r="AC94" s="21" t="str">
        <f t="shared" si="135"/>
        <v>E_DUPLICATE_ID</v>
      </c>
      <c r="AD94" s="21" t="str">
        <f>IF(AW94=1,"",MID(IF(ISNUMBER(SEARCH("E_INVALID_DATE",EG94))," | E_INVALID_DATE: "&amp;SUBSTITUTE(IFERROR(INDEX(nMSG_Text,MATCH("E_INVALID_DATE",nMSG_Code,0)),""),"[input]",""),"")&amp;IF(ISNUMBER(SEARCH("E_REVERSED_BOUNDS",EG94))," | E_REVERSED_BOUNDS: "&amp;SUBSTITUTE(IFERROR(INDEX(nMSG_Text,MATCH("E_REVERSED_BOUNDS",nMSG_Code,0)),""),"[input]",""),"")&amp;IF(ISNUMBER(SEARCH("E_DUPLICATE_ID",EG94))," | E_DUPLICATE_ID: "&amp;SUBSTITUTE(IFERROR(INDEX(nMSG_Text,MATCH("E_DUPLICATE_ID",nMSG_Code,0)),""),"[input]",""),"")&amp;IF(ISNUMBER(SEARCH("E_MISSING_LINK",EG94))," | E_MISSING_LINK: "&amp;SUBSTITUTE(IFERROR(INDEX(nMSG_Text,MATCH("E_MISSING_LINK",nMSG_Code,0)),""),"[input]",""),"")&amp;IF(ISNUMBER(SEARCH("E_MISSING_INPUT",EG94))," | E_MISSING_INPUT: "&amp;SUBSTITUTE(IFERROR(INDEX(nMSG_Text,MATCH("E_MISSING_INPUT",nMSG_Code,0)),""),"[input]",IF(EH94="","an input",EH94)),"")&amp;IF(ISNUMBER(SEARCH("E_INVALID_UNIT",EG94))," | E_INVALID_UNIT: "&amp;SUBSTITUTE(IFERROR(INDEX(nMSG_Text,MATCH("E_INVALID_UNIT",nMSG_Code,0)),""),"[input]",""),"")&amp;IF(FD94=1," | W_TZ_UNKNOWN: "&amp;SUBSTITUTE(IFERROR(INDEX(nMSG_Text,MATCH("W_TZ_UNKNOWN",nMSG_Code,0)),""),"[input]",""),"")&amp;IF(FE94=1," | W_SAME_DATE_ORDER_UNKNOWN: "&amp;SUBSTITUTE(IFERROR(INDEX(nMSG_Text,MATCH("W_SAME_DATE_ORDER_UNKNOWN",nMSG_Code,0)),""),"[input]",""),"")&amp;IF(FF94=1," | W_SEQUENCE_UNCERTAIN: "&amp;SUBSTITUTE(IFERROR(INDEX(nMSG_Text,MATCH("W_SEQUENCE_UNCERTAIN",nMSG_Code,0)),""),"[input]",""),"")&amp;IF(FG94=1," | W_ADMIN_SAME_DATE_AS_ONSET: "&amp;SUBSTITUTE(IFERROR(INDEX(nMSG_Text,MATCH("W_ADMIN_SAME_DATE_AS_ONSET",nMSG_Code,0)),""),"[input]",""),"")&amp;IF(FH94=1," | W_REPORTED_TIMING_CONFLICT: "&amp;SUBSTITUTE(IFERROR(INDEX(nMSG_Text,MATCH("W_REPORTED_TIMING_CONFLICT",nMSG_Code,0)),""),"[input]",""),"")&amp;IF(FI94=1," | W_INTERVENTION_BEFORE_RECOVERY: "&amp;SUBSTITUTE(IFERROR(INDEX(nMSG_Text,MATCH("W_INTERVENTION_BEFORE_RECOVERY",nMSG_Code,0)),""),"[input]",""),"")&amp;IF(FJ94=1," | I_TREATMENT_DAY_UNDEFINED: "&amp;SUBSTITUTE(IFERROR(INDEX(nMSG_Text,MATCH("I_TREATMENT_DAY_UNDEFINED",nMSG_Code,0)),""),"[input]",""),"")&amp;IF(FK94=1," | I_APPROXIMATE_NOT_COMPARED: "&amp;SUBSTITUTE(IFERROR(INDEX(nMSG_Text,MATCH("I_APPROXIMATE_NOT_COMPARED",nMSG_Code,0)),""),"[input]",""),""),4,9999))</f>
        <v>E_DUPLICATE_ID: This identifier is already used in this case. Each episode needs its own ID.</v>
      </c>
      <c r="AE94" s="21" t="str">
        <f t="shared" si="136"/>
        <v/>
      </c>
      <c r="AF94" s="21" t="str">
        <f t="shared" si="137"/>
        <v/>
      </c>
      <c r="AG94" s="21" t="str">
        <f>IF(EN94="","",MID(IF(ISNUMBER(SEARCH("E_REVERSED_BOUNDS",EN94))," | E_REVERSED_BOUNDS: "&amp;SUBSTITUTE(IFERROR(INDEX(nMSG_Text,MATCH("E_REVERSED_BOUNDS",nMSG_Code,0)),""),"[input]",""),"")&amp;IF(ISNUMBER(SEARCH("E_MISSING_INPUT",EN94))," | E_MISSING_INPUT: "&amp;SUBSTITUTE(IFERROR(INDEX(nMSG_Text,MATCH("E_MISSING_INPUT",nMSG_Code,0)),""),"[input]",IF("the source of the constraint"="","an input","the source of the constraint")),""),4,999))</f>
        <v/>
      </c>
      <c r="AH94" s="21" t="str">
        <f t="shared" si="138"/>
        <v/>
      </c>
      <c r="AI94" s="21" t="str">
        <f t="shared" si="139"/>
        <v>Interval I-IDS</v>
      </c>
      <c r="AJ94" s="21" t="str">
        <f t="shared" si="140"/>
        <v>EX1/START</v>
      </c>
      <c r="AK94" s="21" t="str">
        <f t="shared" si="141"/>
        <v>EV2/ONSET</v>
      </c>
      <c r="AL94" s="21" t="str">
        <f>IF(CY94=0,"",INDEX(nTP_ISO,CY94))</f>
        <v>2026-01-01</v>
      </c>
      <c r="AM94" s="21" t="str">
        <f>IF(CY94=0,"",INDEX(nTP_Display,CY94))</f>
        <v>1 January 2026</v>
      </c>
      <c r="AN94" s="21" t="str">
        <f>IF(BI94=0,"",INDEX(nTP_ISO,BI94))</f>
        <v>2026-01-20</v>
      </c>
      <c r="AO94" s="21" t="str">
        <f>IF(BI94=0,"",INDEX(nTP_Display,BI94))</f>
        <v>20 January 2026</v>
      </c>
      <c r="AP94" s="21" t="str">
        <f>IF(BA94=0,"",INDEX(nLNK_Exposure_Episode_ID,BA94)&amp;"")</f>
        <v>EX1</v>
      </c>
      <c r="AQ94" s="21" t="str">
        <f>IF(BA94=0,"",INDEX(nLNK_Event_Episode_ID,BA94)&amp;"")</f>
        <v>EV2</v>
      </c>
      <c r="AR94" s="21" t="str">
        <f t="shared" si="142"/>
        <v/>
      </c>
      <c r="AS94" s="21" t="str">
        <f>IF(EI94=0,"",MID(IF(DT94=1," | Recovery interval (C7) computed with "&amp;DS94&amp;".","")&amp;IF(BG94=1," | Anchor selected under C5 (CALC-SPEC 1.1): latest administration with an exact date or time at or before "&amp;IF(BH94=1,"onset","the end point")&amp;" ("&amp;AJ94&amp;"), ordered in UTC when offsets are known; later administrations are never selected.","")&amp;IF(AND(BG94=1,CE94&gt;0)," | Partial-date administrations wholly before the selected one were not candidates: "&amp;FC94&amp;".","")&amp;IF(BV94&lt;&gt;""," | "&amp;BV94,"")&amp;IF(AND(DS94="C2",EA94=0,DZ94&lt;&gt;"")," | Same calendar date; both times are known, so C1 decides the order ("&amp;AA94&amp;").","")&amp;IF(AND(DS94="C2",DD94*BN94=1,DT94=0)," | Calendar-date difference from the recorded local dates; it is never described as elapsed days.","")&amp;IF(AND(DS94="C4",DT94=0)," | Bounds are treated as independent; no single date is imputed from them.","")&amp;IF(EJ94=1," | Treatment day under the inclusive convention (C3); never written to E2B fields automatically.","")&amp;IF(AND(DS94="C4",DT94=0,EK94=0)," | No constraint applied.","")&amp;IF(AND(DS94="C4",EK94=1)," | Constraint applied to the anchor bounds: "&amp;IF(ISNUMBER(P94),"not before "&amp;DAY(P94)&amp;" "&amp;INDEX(nLIST_Months,MONTH(P94))&amp;" "&amp;YEAR(P94),"")&amp;IF(AND(ISNUMBER(P94),ISNUMBER(Q94)),", ","")&amp;IF(ISNUMBER(Q94),"not after "&amp;DAY(Q94)&amp;" "&amp;INDEX(nLIST_Months,MONTH(Q94))&amp;" "&amp;YEAR(Q94),"")&amp;". Source: "&amp;IF(R94="","not recorded",R94)&amp;IF(EN94="",". Constrained result shown beside the unconstrained one.",". Constrained result blocked ("&amp;EN94&amp;")."),"")&amp;IF(DT94=1,IF(EO94&gt;0," | Intervention recorded between cessation and recovery (ends included): "&amp;EZ94&amp;"."," | No intervention is recorded between cessation and recovery; absence of a record is not evidence that none was given."),"")&amp;IF(AND(DT94=1,DV94&gt;0)," | Intervention recorded without a date, so whether it came before recovery is unknown: "&amp;INDEX(nMS_Milestone_ID,MATCH(1,INDEX((nMS_CaseKey=AX94)*(nMS_Type="INTERVENTION")*nMS_Undated,0),0))&amp;IF(DV94&gt;1," and "&amp;(DV94-1)&amp;" more","")&amp;".","")&amp;IF(AND(DT94=1,EP94&gt;0)," | Not counted as interventions, because they are recorded as exposures rather than as intervention milestones (nothing is inferred): "&amp;FB94&amp;". If treatment was given, record it as an intervention milestone.",""),4,9999))</f>
        <v/>
      </c>
      <c r="AT94" s="21" t="str">
        <f t="shared" si="143"/>
        <v/>
      </c>
      <c r="AU94" s="21" t="str">
        <f t="shared" si="144"/>
        <v/>
      </c>
      <c r="AV94" s="21" t="str">
        <f t="shared" si="145"/>
        <v>CALC-SPEC 1.1</v>
      </c>
      <c r="AW94" s="22">
        <f t="shared" si="146"/>
        <v>0</v>
      </c>
      <c r="AX94" s="21" t="str">
        <f t="shared" si="147"/>
        <v>VEC-V13|1</v>
      </c>
      <c r="AY94" s="21" t="str">
        <f t="shared" si="148"/>
        <v>VEC-V13|1|I-IDS</v>
      </c>
      <c r="AZ94" s="22">
        <f>IF(AY94="",0,COUNTIF(nINT_Key,AY94))</f>
        <v>1</v>
      </c>
      <c r="BA94" s="22">
        <f>IF(D94="",0,IFERROR(MATCH(AX94&amp;"|"&amp;D94,nLNK_Key,0),0))</f>
        <v>53</v>
      </c>
      <c r="BB94" s="22">
        <f>IF(BA94=0,1,INDEX(nLNK_Exp_Found,BA94))</f>
        <v>1</v>
      </c>
      <c r="BC94" s="22">
        <f>IF(BA94=0,1,INDEX(nLNK_Evt_Found,BA94))</f>
        <v>1</v>
      </c>
      <c r="BD94" s="22">
        <f>IF(AP94="",0,COUNTIF(nEXP_Key,AX94&amp;"|"&amp;AP94))</f>
        <v>2</v>
      </c>
      <c r="BE94" s="22">
        <f>IF(AQ94="",0,COUNTIF(nEVT_Key,AX94&amp;"|"&amp;AQ94))</f>
        <v>1</v>
      </c>
      <c r="BF94" s="22">
        <f>IF(ISNA(MATCH(E94,nLIST_AnchorType,0)),0,1)</f>
        <v>1</v>
      </c>
      <c r="BG94" s="22">
        <f t="shared" si="149"/>
        <v>0</v>
      </c>
      <c r="BH94" s="22">
        <f t="shared" si="150"/>
        <v>1</v>
      </c>
      <c r="BI94" s="22">
        <f>IF(OR(AW94=1,AK94=""),0,IFERROR(MATCH(AX94&amp;"|"&amp;AK94,nTP_Key,0),0))</f>
        <v>330</v>
      </c>
      <c r="BJ94" s="21">
        <f>IF(BI94=0,0,INDEX(nTP_Dup,BI94))</f>
        <v>1</v>
      </c>
      <c r="BK94" s="21" t="str">
        <f>IF(BI94=0,"",INDEX(nTP_Record_Type,BI94))</f>
        <v>EVENT_ONSET</v>
      </c>
      <c r="BL94" s="21" t="str">
        <f>IF(BI94=0,"",INDEX(nTP_Precision,BI94))</f>
        <v>DATE</v>
      </c>
      <c r="BM94" s="21" t="str">
        <f>IF(BI94=0,"",INDEX(nTP_Err,BI94))</f>
        <v/>
      </c>
      <c r="BN94" s="21">
        <f>IF(BI94=0,0,INDEX(nTP_HT,BI94))</f>
        <v>0</v>
      </c>
      <c r="BO94" s="21">
        <f>IF(BI94=0,0,INDEX(nTP_OK,BI94))</f>
        <v>0</v>
      </c>
      <c r="BP94" s="21" t="str">
        <f>IF(BI94=0,"",INDEX(nTP_Loc,BI94))</f>
        <v/>
      </c>
      <c r="BQ94" s="21" t="str">
        <f>IF(BI94=0,"",INDEX(nTP_UTC,BI94))</f>
        <v/>
      </c>
      <c r="BR94" s="21">
        <f>IF(BI94=0,"",INDEX(nTP_Lo,BI94))</f>
        <v>46042</v>
      </c>
      <c r="BS94" s="21">
        <f>IF(BI94=0,"",INDEX(nTP_Hi,BI94))</f>
        <v>46042</v>
      </c>
      <c r="BT94" s="21" t="str">
        <f>IF(BI94=0,"",INDEX(nTP_Original_Text,BI94))</f>
        <v>2026-01-20</v>
      </c>
      <c r="BU94" s="21" t="str">
        <f>IF(BI94=0,"",INDEX(nTP_Source,BI94))</f>
        <v>tto_calc_test_vectors_v1.1.json V13</v>
      </c>
      <c r="BV94" s="21" t="str">
        <f>IF(BI94=0,"",INDEX(nTP_Lab_Note,BI94))</f>
        <v/>
      </c>
      <c r="BW94" s="22">
        <f t="shared" si="151"/>
        <v>1</v>
      </c>
      <c r="BX94" s="21" t="str">
        <f t="shared" si="152"/>
        <v>VEC-V13|1|EX1</v>
      </c>
      <c r="BY94" s="22">
        <f>IF(BG94=0,0,COUNTIF(nTP_CandKey,BX94))</f>
        <v>0</v>
      </c>
      <c r="BZ94" s="22">
        <f>IF(BG94=0,0,COUNTIFS(nTP_CandKey,BX94,nTP_Err,""))</f>
        <v>0</v>
      </c>
      <c r="CA94" s="21" t="str">
        <f>IF(BY94=BZ94,"",IF(COUNTIFS(nTP_CandKey,BX94,nTP_Err,"E_INVALID_DATE")&gt;0,"; E_INVALID_DATE","")&amp;IF(COUNTIFS(nTP_CandKey,BX94,nTP_Err,"E_REVERSED_BOUNDS")&gt;0,"; E_REVERSED_BOUNDS","")&amp;IF(COUNTIFS(nTP_CandKey,BX94,nTP_Err,"E_MISSING_INPUT")&gt;0,"; E_MISSING_INPUT","")&amp;IF(COUNTIFS(nTP_CandKey,BX94,nTP_Err,"E_INVALID_UNIT")&gt;0,"; E_INVALID_UNIT",""))</f>
        <v/>
      </c>
      <c r="CB94" s="22">
        <f t="shared" si="153"/>
        <v>0</v>
      </c>
      <c r="CC94" s="22">
        <f>IF(CB94=0,0,SUMPRODUCT((nTP_CandKey=BX94)*(nTP_Err="")*(1-(nTP_HT*BN94*((nTP_OK*BO94*(nTP_UTC_n-N(BQ94))+(1-nTP_OK*BO94)*(nTP_Loc_n-N(BP94)))&lt;=0)+(1-nTP_HT*BN94)*(nTP_Hi_n&lt;N(BR94)))-(nTP_HT*BN94*((nTP_OK*BO94*(nTP_UTC_n-N(BQ94))+(1-nTP_OK*BO94)*(nTP_Loc_n-N(BP94)))&gt;0)+(1-nTP_HT*BN94)*(nTP_Lo_n&gt;N(BS94)))-((1-nTP_HT*BN94)*(nTP_Lo_n=nTP_Hi_n)*(nTP_Lo_n=N(BR94))*(N(BR94)=N(BS94))))))</f>
        <v>0</v>
      </c>
      <c r="CD94" s="22">
        <f>IF(CB94=0,0,SUMPRODUCT((nTP_CandKey=BX94)*nTP_Exact*((nTP_HT*BN94*((nTP_OK*BO94*(nTP_UTC_n-N(BQ94))+(1-nTP_OK*BO94)*(nTP_Loc_n-N(BP94)))&lt;=0)+(1-nTP_HT*BN94)*(nTP_Hi_n&lt;N(BR94)))+((1-nTP_HT*BN94)*(nTP_Lo_n=nTP_Hi_n)*(nTP_Lo_n=N(BR94))*(N(BR94)=N(BS94))))))</f>
        <v>0</v>
      </c>
      <c r="CE94" s="22">
        <f>IF(CB94=0,0,SUMPRODUCT((nTP_CandKey=BX94)*(nTP_Err="")*(1-nTP_Exact)*((nTP_HT*BN94*((nTP_OK*BO94*(nTP_UTC_n-N(BQ94))+(1-nTP_OK*BO94)*(nTP_Loc_n-N(BP94)))&lt;=0)+(1-nTP_HT*BN94)*(nTP_Hi_n&lt;N(BR94)))+((1-nTP_HT*BN94)*(nTP_Lo_n=nTP_Hi_n)*(nTP_Lo_n=N(BR94))*(N(BR94)=N(BS94))))))</f>
        <v>0</v>
      </c>
      <c r="CF94" s="22">
        <f>IF(CD94=0,0,SUMPRODUCT(MAX((nTP_CandKey=BX94)*nTP_Exact*((nTP_HT*BN94*((nTP_OK*BO94*(nTP_UTC_n-N(BQ94))+(1-nTP_OK*BO94)*(nTP_Loc_n-N(BP94)))&lt;=0)+(1-nTP_HT*BN94)*(nTP_Hi_n&lt;N(BR94)))+((1-nTP_HT*BN94)*(nTP_Lo_n=nTP_Hi_n)*(nTP_Lo_n=N(BR94))*(N(BR94)=N(BS94))))*nTP_Lo_n)))</f>
        <v>0</v>
      </c>
      <c r="CG94" s="22">
        <f>IF(CD94=0,0,SUMPRODUCT((nTP_CandKey=BX94)*nTP_Exact*((nTP_HT*BN94*((nTP_OK*BO94*(nTP_UTC_n-N(BQ94))+(1-nTP_OK*BO94)*(nTP_Loc_n-N(BP94)))&lt;=0)+(1-nTP_HT*BN94)*(nTP_Hi_n&lt;N(BR94)))+((1-nTP_HT*BN94)*(nTP_Lo_n=nTP_Hi_n)*(nTP_Lo_n=N(BR94))*(N(BR94)=N(BS94))))*(nTP_Lo_n=CF94)))</f>
        <v>0</v>
      </c>
      <c r="CH94" s="22">
        <f>IF(CD94=0,0,SUMPRODUCT((nTP_CandKey=BX94)*nTP_Exact*((nTP_HT*BN94*((nTP_OK*BO94*(nTP_UTC_n-N(BQ94))+(1-nTP_OK*BO94)*(nTP_Loc_n-N(BP94)))&lt;=0)+(1-nTP_HT*BN94)*(nTP_Hi_n&lt;N(BR94)))+((1-nTP_HT*BN94)*(nTP_Lo_n=nTP_Hi_n)*(nTP_Lo_n=N(BR94))*(N(BR94)=N(BS94))))*(1-nTP_HT)*(nTP_Lo_n=CF94)))</f>
        <v>0</v>
      </c>
      <c r="CI94" s="22">
        <f>IF(CD94=0,0,SUMPRODUCT(MAX((nTP_CandKey=BX94)*nTP_Exact*((nTP_HT*BN94*((nTP_OK*BO94*(nTP_UTC_n-N(BQ94))+(1-nTP_OK*BO94)*(nTP_Loc_n-N(BP94)))&lt;=0)+(1-nTP_HT*BN94)*(nTP_Hi_n&lt;N(BR94)))+((1-nTP_HT*BN94)*(nTP_Lo_n=nTP_Hi_n)*(nTP_Lo_n=N(BR94))*(N(BR94)=N(BS94))))*(1-nTP_HT)*nTP_Lo_n)))</f>
        <v>0</v>
      </c>
      <c r="CJ94" s="22">
        <f>IF(CD94=0,0,SUMPRODUCT(MAX((nTP_CandKey=BX94)*nTP_Exact*((nTP_HT*BN94*((nTP_OK*BO94*(nTP_UTC_n-N(BQ94))+(1-nTP_OK*BO94)*(nTP_Loc_n-N(BP94)))&lt;=0)+(1-nTP_HT*BN94)*(nTP_Hi_n&lt;N(BR94)))+((1-nTP_HT*BN94)*(nTP_Lo_n=nTP_Hi_n)*(nTP_Lo_n=N(BR94))*(N(BR94)=N(BS94))))*nTP_HT*nTP_OK*nTP_UTC_n)))</f>
        <v>0</v>
      </c>
      <c r="CK94" s="22">
        <f>IF(CJ94=0,0,SUMPRODUCT((nTP_CandKey=BX94)*nTP_Exact*((nTP_HT*BN94*((nTP_OK*BO94*(nTP_UTC_n-N(BQ94))+(1-nTP_OK*BO94)*(nTP_Loc_n-N(BP94)))&lt;=0)+(1-nTP_HT*BN94)*(nTP_Hi_n&lt;N(BR94)))+((1-nTP_HT*BN94)*(nTP_Lo_n=nTP_Hi_n)*(nTP_Lo_n=N(BR94))*(N(BR94)=N(BS94))))*nTP_HT*nTP_OK*(nTP_UTC_n=CJ94)))</f>
        <v>0</v>
      </c>
      <c r="CL94" s="22">
        <f>IF(CK94&lt;&gt;1,0,SUMPRODUCT((nTP_CandKey=BX94)*nTP_Exact*((nTP_HT*BN94*((nTP_OK*BO94*(nTP_UTC_n-N(BQ94))+(1-nTP_OK*BO94)*(nTP_Loc_n-N(BP94)))&lt;=0)+(1-nTP_HT*BN94)*(nTP_Hi_n&lt;N(BR94)))+((1-nTP_HT*BN94)*(nTP_Lo_n=nTP_Hi_n)*(nTP_Lo_n=N(BR94))*(N(BR94)=N(BS94))))*nTP_HT*nTP_OK*(nTP_UTC_n=CJ94)*nTP_Loc_n))</f>
        <v>0</v>
      </c>
      <c r="CM94" s="22">
        <f>IF(CK94&lt;&gt;1,0,SUMPRODUCT((nTP_CandKey=BX94)*nTP_Exact*((nTP_HT*BN94*((nTP_OK*BO94*(nTP_UTC_n-N(BQ94))+(1-nTP_OK*BO94)*(nTP_Loc_n-N(BP94)))&lt;=0)+(1-nTP_HT*BN94)*(nTP_Hi_n&lt;N(BR94)))+((1-nTP_HT*BN94)*(nTP_Lo_n=nTP_Hi_n)*(nTP_Lo_n=N(BR94))*(N(BR94)=N(BS94))))*nTP_HT*nTP_OK*(nTP_UTC_n=CJ94)*nTP_Lo_n))</f>
        <v>0</v>
      </c>
      <c r="CN94" s="22">
        <f>IF(CD94=0,0,SUMPRODUCT(MAX((nTP_CandKey=BX94)*nTP_Exact*((nTP_HT*BN94*((nTP_OK*BO94*(nTP_UTC_n-N(BQ94))+(1-nTP_OK*BO94)*(nTP_Loc_n-N(BP94)))&lt;=0)+(1-nTP_HT*BN94)*(nTP_Hi_n&lt;N(BR94)))+((1-nTP_HT*BN94)*(nTP_Lo_n=nTP_Hi_n)*(nTP_Lo_n=N(BR94))*(N(BR94)=N(BS94))))*nTP_HT*(1-nTP_OK)*nTP_Loc_n)))</f>
        <v>0</v>
      </c>
      <c r="CO94" s="22">
        <f>IF(CN94=0,0,SUMPRODUCT((nTP_CandKey=BX94)*nTP_Exact*((nTP_HT*BN94*((nTP_OK*BO94*(nTP_UTC_n-N(BQ94))+(1-nTP_OK*BO94)*(nTP_Loc_n-N(BP94)))&lt;=0)+(1-nTP_HT*BN94)*(nTP_Hi_n&lt;N(BR94)))+((1-nTP_HT*BN94)*(nTP_Lo_n=nTP_Hi_n)*(nTP_Lo_n=N(BR94))*(N(BR94)=N(BS94))))*nTP_HT*(1-nTP_OK)*(nTP_Loc_n=CN94)))</f>
        <v>0</v>
      </c>
      <c r="CP94" s="22">
        <f>IF(CO94&lt;&gt;1,0,SUMPRODUCT((nTP_CandKey=BX94)*nTP_Exact*((nTP_HT*BN94*((nTP_OK*BO94*(nTP_UTC_n-N(BQ94))+(1-nTP_OK*BO94)*(nTP_Loc_n-N(BP94)))&lt;=0)+(1-nTP_HT*BN94)*(nTP_Hi_n&lt;N(BR94)))+((1-nTP_HT*BN94)*(nTP_Lo_n=nTP_Hi_n)*(nTP_Lo_n=N(BR94))*(N(BR94)=N(BS94))))*nTP_HT*(1-nTP_OK)*(nTP_Loc_n=CN94)*nTP_Lo_n))</f>
        <v>0</v>
      </c>
      <c r="CQ94" s="22">
        <f>IF(CD94=0,0,SUMPRODUCT(MAX((nTP_CandKey=BX94)*nTP_Exact*((nTP_HT*BN94*((nTP_OK*BO94*(nTP_UTC_n-N(BQ94))+(1-nTP_OK*BO94)*(nTP_Loc_n-N(BP94)))&lt;=0)+(1-nTP_HT*BN94)*(nTP_Hi_n&lt;N(BR94)))+((1-nTP_HT*BN94)*(nTP_Lo_n=nTP_Hi_n)*(nTP_Lo_n=N(BR94))*(N(BR94)=N(BS94))))*nTP_HT*nTP_OK*nTP_Loc_n)))</f>
        <v>0</v>
      </c>
      <c r="CR94" s="22">
        <f t="shared" si="154"/>
        <v>0</v>
      </c>
      <c r="CS94" s="22">
        <f>IF(CR94=0,0,IF(CR94=1,MATCH(1,INDEX((nTP_CandKey=BX94)*nTP_Exact*((nTP_HT*BN94*((nTP_OK*BO94*(nTP_UTC_n-N(BQ94))+(1-nTP_OK*BO94)*(nTP_Loc_n-N(BP94)))&lt;=0)+(1-nTP_HT*BN94)*(nTP_Hi_n&lt;N(BR94)))+((1-nTP_HT*BN94)*(nTP_Lo_n=nTP_Hi_n)*(nTP_Lo_n=N(BR94))*(N(BR94)=N(BS94))))*(1-nTP_HT)*(nTP_Lo_n=CF94),0),0),IF(CR94=2,MATCH(1,INDEX((nTP_CandKey=BX94)*nTP_Exact*((nTP_HT*BN94*((nTP_OK*BO94*(nTP_UTC_n-N(BQ94))+(1-nTP_OK*BO94)*(nTP_Loc_n-N(BP94)))&lt;=0)+(1-nTP_HT*BN94)*(nTP_Hi_n&lt;N(BR94)))+((1-nTP_HT*BN94)*(nTP_Lo_n=nTP_Hi_n)*(nTP_Lo_n=N(BR94))*(N(BR94)=N(BS94))))*nTP_HT*nTP_OK*(nTP_UTC_n=CJ94),0),0),MATCH(1,INDEX((nTP_CandKey=BX94)*nTP_Exact*((nTP_HT*BN94*((nTP_OK*BO94*(nTP_UTC_n-N(BQ94))+(1-nTP_OK*BO94)*(nTP_Loc_n-N(BP94)))&lt;=0)+(1-nTP_HT*BN94)*(nTP_Hi_n&lt;N(BR94)))+((1-nTP_HT*BN94)*(nTP_Lo_n=nTP_Hi_n)*(nTP_Lo_n=N(BR94))*(N(BR94)=N(BS94))))*nTP_HT*(1-nTP_OK)*(nTP_Loc_n=CN94),0),0))))</f>
        <v>0</v>
      </c>
      <c r="CT94" s="22">
        <f>IF(CS94=0,0,INDEX(nTP_Lo_n,CS94))</f>
        <v>0</v>
      </c>
      <c r="CU94" s="22">
        <f>IF(CS94=0,0,SUMPRODUCT((nTP_CandKey=BX94)*(nTP_Err="")*(1-nTP_Exact)*((nTP_HT*BN94*((nTP_OK*BO94*(nTP_UTC_n-N(BQ94))+(1-nTP_OK*BO94)*(nTP_Loc_n-N(BP94)))&lt;=0)+(1-nTP_HT*BN94)*(nTP_Hi_n&lt;N(BR94)))+((1-nTP_HT*BN94)*(nTP_Lo_n=nTP_Hi_n)*(nTP_Lo_n=N(BR94))*(N(BR94)=N(BS94))))*(nTP_Hi_n&gt;=CT94)))</f>
        <v>0</v>
      </c>
      <c r="CV94" s="21" t="str">
        <f t="shared" si="155"/>
        <v/>
      </c>
      <c r="CW94" s="21" t="str">
        <f>IF(AND(BG94=1,CB94=1,CV94="",CS94&gt;0),INDEX(nTP_Record_ID,CS94)&amp;"","")</f>
        <v/>
      </c>
      <c r="CX94" s="21" t="str">
        <f>IF(OR(CV94="",BG94=0),"",IF(CV94="none","an administration record (last dose before onset)",IF(CV94="uncertain","the anchor record: "&amp;INDEX(nTP_Record_ID,MATCH(1,INDEX((nTP_CandKey=BX94)*(nTP_Err="")*(1-(nTP_HT*BN94*((nTP_OK*BO94*(nTP_UTC_n-N(BQ94))+(1-nTP_OK*BO94)*(nTP_Loc_n-N(BP94)))&lt;=0)+(1-nTP_HT*BN94)*(nTP_Hi_n&lt;N(BR94)))-(nTP_HT*BN94*((nTP_OK*BO94*(nTP_UTC_n-N(BQ94))+(1-nTP_OK*BO94)*(nTP_Loc_n-N(BP94)))&gt;0)+(1-nTP_HT*BN94)*(nTP_Lo_n&gt;N(BS94)))-((1-nTP_HT*BN94)*(nTP_Lo_n=nTP_Hi_n)*(nTP_Lo_n=N(BR94))*(N(BR94)=N(BS94)))),0),0))&amp;IF(CC94&gt;1," and "&amp;(CC94-1)&amp;" more","")&amp;" may fall before or after the end point, so the last dose cannot be identified from the recorded dates",IF(CV94="noneligible","the anchor record: no administration with an exact date is recorded at or before the end point",IF(CV94="tie","the anchor record: the order of the latest administrations cannot be told from the recorded dates and times","the anchor record: partial-date administration "&amp;INDEX(nTP_Record_ID,MATCH(1,INDEX((nTP_CandKey=BX94)*(nTP_Err="")*(1-nTP_Exact)*((nTP_HT*BN94*((nTP_OK*BO94*(nTP_UTC_n-N(BQ94))+(1-nTP_OK*BO94)*(nTP_Loc_n-N(BP94)))&lt;=0)+(1-nTP_HT*BN94)*(nTP_Hi_n&lt;N(BR94)))+((1-nTP_HT*BN94)*(nTP_Lo_n=nTP_Hi_n)*(nTP_Lo_n=N(BR94))*(N(BR94)=N(BS94))))*(nTP_Hi_n&gt;=CT94),0),0))&amp;" could be the last dose before the end point")))))</f>
        <v/>
      </c>
      <c r="CY94" s="22">
        <f>IF(OR(AW94=1,AJ94=""),0,IFERROR(MATCH(AX94&amp;"|"&amp;AJ94,nTP_Key,0),0))</f>
        <v>57</v>
      </c>
      <c r="CZ94" s="21">
        <f>IF(CY94=0,0,INDEX(nTP_Dup,CY94))</f>
        <v>2</v>
      </c>
      <c r="DA94" s="21" t="str">
        <f>IF(CY94=0,"",INDEX(nTP_Record_Type,CY94))</f>
        <v>EXPOSURE_START</v>
      </c>
      <c r="DB94" s="21" t="str">
        <f>IF(CY94=0,"",INDEX(nTP_Precision,CY94))</f>
        <v>DATE</v>
      </c>
      <c r="DC94" s="21" t="str">
        <f>IF(CY94=0,"",INDEX(nTP_Err,CY94))</f>
        <v/>
      </c>
      <c r="DD94" s="21">
        <f>IF(CY94=0,0,INDEX(nTP_HT,CY94))</f>
        <v>0</v>
      </c>
      <c r="DE94" s="21">
        <f>IF(CY94=0,0,INDEX(nTP_OK,CY94))</f>
        <v>0</v>
      </c>
      <c r="DF94" s="21" t="str">
        <f>IF(CY94=0,"",INDEX(nTP_Loc,CY94))</f>
        <v/>
      </c>
      <c r="DG94" s="21" t="str">
        <f>IF(CY94=0,"",INDEX(nTP_UTC,CY94))</f>
        <v/>
      </c>
      <c r="DH94" s="21">
        <f>IF(CY94=0,"",INDEX(nTP_Lo,CY94))</f>
        <v>46023</v>
      </c>
      <c r="DI94" s="21">
        <f>IF(CY94=0,"",INDEX(nTP_Hi,CY94))</f>
        <v>46023</v>
      </c>
      <c r="DJ94" s="21" t="str">
        <f>IF(CY94=0,"",INDEX(nTP_Original_Text,CY94))</f>
        <v>first of two episodes both called EX1</v>
      </c>
      <c r="DK94" s="21" t="str">
        <f>IF(CY94=0,"",INDEX(nTP_Source,CY94))</f>
        <v>tto_calc_test_vectors_v1.1.json V13</v>
      </c>
      <c r="DL94" s="22">
        <f t="shared" si="156"/>
        <v>1</v>
      </c>
      <c r="DM94" s="21" t="str">
        <f t="shared" si="157"/>
        <v>; E_DUPLICATE_ID</v>
      </c>
      <c r="DN94" s="21" t="str">
        <f t="shared" si="158"/>
        <v/>
      </c>
      <c r="DO94" s="21" t="str">
        <f t="shared" si="159"/>
        <v/>
      </c>
      <c r="DP94" s="21" t="str">
        <f t="shared" si="160"/>
        <v/>
      </c>
      <c r="DQ94" s="21" t="str">
        <f t="shared" si="161"/>
        <v>C2</v>
      </c>
      <c r="DR94" s="22">
        <f>IF(OR(DQ94="",I94=""),0,IF(ISNA(MATCH(I94,nLIST_Mode,0)),1,IF(AND(I94="C1",DQ94&lt;&gt;"C1"),1,IF(AND(I94="C2",DQ94="C4"),1,0))))</f>
        <v>0</v>
      </c>
      <c r="DS94" s="21" t="str">
        <f t="shared" si="162"/>
        <v>C2</v>
      </c>
      <c r="DT94" s="22">
        <f t="shared" si="163"/>
        <v>0</v>
      </c>
      <c r="DU94" s="21" t="str">
        <f>IF(DT94=0,"",IF(COUNTIFS(nTP_Case_Key,AX94,nTP_Record_Type,"MILESTONE:INTERVENTION",nTP_Err,"E_INVALID_DATE")&gt;0,"; E_INVALID_DATE","")&amp;IF(COUNTIFS(nTP_Case_Key,AX94,nTP_Record_Type,"MILESTONE:INTERVENTION",nTP_Err,"E_REVERSED_BOUNDS")&gt;0,"; E_REVERSED_BOUNDS","")&amp;IF(COUNTIFS(nTP_Case_Key,AX94,nTP_Record_Type,"MILESTONE:INTERVENTION",nTP_Err,"E_MISSING_INPUT")&gt;0,"; E_MISSING_INPUT","")&amp;IF(COUNTIFS(nTP_Case_Key,AX94,nTP_Record_Type,"MILESTONE:INTERVENTION",nTP_Err,"E_INVALID_UNIT")&gt;0,"; E_INVALID_UNIT",""))</f>
        <v/>
      </c>
      <c r="DV94" s="22">
        <f>IF(DT94=0,0,SUMPRODUCT((nMS_CaseKey=AX94)*(nMS_Type="INTERVENTION")*nMS_Undated))</f>
        <v>0</v>
      </c>
      <c r="DW94" s="21" t="str">
        <f t="shared" si="164"/>
        <v>; E_DUPLICATE_ID; E_DUPLICATE_ID</v>
      </c>
      <c r="DX94" s="21" t="str">
        <f t="shared" si="165"/>
        <v>E_DUPLICATE_ID</v>
      </c>
      <c r="DY94" s="22">
        <f t="shared" si="166"/>
        <v>1</v>
      </c>
      <c r="DZ94" s="21" t="str">
        <f t="shared" si="167"/>
        <v/>
      </c>
      <c r="EA94" s="21" t="str">
        <f t="shared" si="168"/>
        <v/>
      </c>
      <c r="EB94" s="21" t="str">
        <f t="shared" si="169"/>
        <v/>
      </c>
      <c r="EC94" s="21" t="str">
        <f t="shared" si="170"/>
        <v/>
      </c>
      <c r="ED94" s="22">
        <f t="shared" si="171"/>
        <v>0</v>
      </c>
      <c r="EE94" s="22">
        <f t="shared" si="172"/>
        <v>0</v>
      </c>
      <c r="EF94" s="21" t="str">
        <f>IF(ED94=0,"",IF(OR(NOT(ISNUMBER(L94)),NOT(ISNUMBER(M94))),"I_APPROXIMATE_NOT_COMPARED",IF(AND(N94&lt;&gt;"",ISNA(MATCH(N94,nLIST_ReportedUnit,0))),"E_INVALID_UNIT",IF(N94="","E_MISSING_INPUT",IF(L94&gt;M94,"E_REVERSED_BOUNDS",IF(OR(N94="weeks",N94="months",N94="years"),"I_APPROXIMATE_NOT_COMPARED",IF(DX94&lt;&gt;"","",IF(EE94=0,"I_APPROXIMATE_NOT_COMPARED",IF(AND(L94*EE94&lt;=IF(DS94="C4",EC94,IF(DS94="C1",DZ94,EA94)),M94*EE94&gt;=IF(DS94="C4",EB94,IF(DS94="C1",DZ94,EA94))),"OVERLAP","W_REPORTED_TIMING_CONFLICT")))))))))</f>
        <v/>
      </c>
      <c r="EG94" s="21" t="str">
        <f t="shared" si="173"/>
        <v>E_DUPLICATE_ID</v>
      </c>
      <c r="EH94" s="21" t="str">
        <f t="shared" si="174"/>
        <v/>
      </c>
      <c r="EI94" s="22">
        <f t="shared" si="175"/>
        <v>0</v>
      </c>
      <c r="EJ94" s="22">
        <f t="shared" si="176"/>
        <v>0</v>
      </c>
      <c r="EK94" s="22">
        <f t="shared" si="177"/>
        <v>0</v>
      </c>
      <c r="EL94" s="28" t="str">
        <f t="shared" si="178"/>
        <v/>
      </c>
      <c r="EM94" s="28" t="str">
        <f t="shared" si="179"/>
        <v/>
      </c>
      <c r="EN94" s="21" t="str">
        <f t="shared" si="180"/>
        <v/>
      </c>
      <c r="EO94" s="22">
        <f>IF(OR(DT94=0,DX94&lt;&gt;""),0,SUMPRODUCT((nTP_Case_Key=AX94)*(nTP_Record_Type="MILESTONE:INTERVENTION")*(nTP_Err="")*(nTP_HT*DD94*BN94*(nTP_OK*DE94*(nTP_UTC_n&gt;=N(DG94))+(1-nTP_OK*DE94)*(nTP_Loc_n&gt;=N(DF94)))*(nTP_OK*BO94*(nTP_UTC_n&lt;=N(BQ94))+(1-nTP_OK*BO94)*(nTP_Loc_n&lt;=N(BP94)))+(1-nTP_HT*DD94*BN94)*(nTP_Hi_n&gt;=N(DH94))*(nTP_Lo_n&lt;=N(BS94)))))</f>
        <v>0</v>
      </c>
      <c r="EP94" s="22">
        <f>IF(OR(DT94=0,DX94&lt;&gt;""),0,SUMPRODUCT((nTP_Case_Key=AX94)*(nTP_Role="treatment of the event")*((nTP_Record_Type="EXPOSURE_START")+(nTP_Record_Type="ADMINISTRATION"))*(nTP_Err="")*(nTP_HT*DD94*BN94*(nTP_OK*DE94*(nTP_UTC_n&gt;=N(DG94))+(1-nTP_OK*DE94)*(nTP_Loc_n&gt;=N(DF94)))*(nTP_OK*BO94*(nTP_UTC_n&lt;=N(BQ94))+(1-nTP_OK*BO94)*(nTP_Loc_n&lt;=N(BP94)))+(1-nTP_HT*DD94*BN94)*(nTP_Hi_n&gt;=N(DH94))*(nTP_Lo_n&lt;=N(BS94)))))</f>
        <v>0</v>
      </c>
      <c r="EQ94" s="22">
        <f>IF(EO94&lt;1,0,IFERROR(_xlfn.AGGREGATE(15,6,nTP_RowN/((nTP_Case_Key=AX94)*(nTP_Record_Type="MILESTONE:INTERVENTION")*(nTP_Err="")*(nTP_HT*DD94*BN94*(nTP_OK*DE94*(nTP_UTC_n&gt;=N(DG94))+(1-nTP_OK*DE94)*(nTP_Loc_n&gt;=N(DF94)))*(nTP_OK*BO94*(nTP_UTC_n&lt;=N(BQ94))+(1-nTP_OK*BO94)*(nTP_Loc_n&lt;=N(BP94)))+(1-nTP_HT*DD94*BN94)*(nTP_Hi_n&gt;=N(DH94))*(nTP_Lo_n&lt;=N(BS94)))),1),0))</f>
        <v>0</v>
      </c>
      <c r="ER94" s="22">
        <f>IF(EO94&lt;2,0,IFERROR(_xlfn.AGGREGATE(15,6,nTP_RowN/((nTP_Case_Key=AX94)*(nTP_Record_Type="MILESTONE:INTERVENTION")*(nTP_Err="")*(nTP_HT*DD94*BN94*(nTP_OK*DE94*(nTP_UTC_n&gt;=N(DG94))+(1-nTP_OK*DE94)*(nTP_Loc_n&gt;=N(DF94)))*(nTP_OK*BO94*(nTP_UTC_n&lt;=N(BQ94))+(1-nTP_OK*BO94)*(nTP_Loc_n&lt;=N(BP94)))+(1-nTP_HT*DD94*BN94)*(nTP_Hi_n&gt;=N(DH94))*(nTP_Lo_n&lt;=N(BS94)))),2),0))</f>
        <v>0</v>
      </c>
      <c r="ES94" s="22">
        <f>IF(EO94&lt;3,0,IFERROR(_xlfn.AGGREGATE(15,6,nTP_RowN/((nTP_Case_Key=AX94)*(nTP_Record_Type="MILESTONE:INTERVENTION")*(nTP_Err="")*(nTP_HT*DD94*BN94*(nTP_OK*DE94*(nTP_UTC_n&gt;=N(DG94))+(1-nTP_OK*DE94)*(nTP_Loc_n&gt;=N(DF94)))*(nTP_OK*BO94*(nTP_UTC_n&lt;=N(BQ94))+(1-nTP_OK*BO94)*(nTP_Loc_n&lt;=N(BP94)))+(1-nTP_HT*DD94*BN94)*(nTP_Hi_n&gt;=N(DH94))*(nTP_Lo_n&lt;=N(BS94)))),3),0))</f>
        <v>0</v>
      </c>
      <c r="ET94" s="22">
        <f>IF(EP94&lt;1,0,IFERROR(_xlfn.AGGREGATE(15,6,nTP_RowN/((nTP_Case_Key=AX94)*(nTP_Role="treatment of the event")*((nTP_Record_Type="EXPOSURE_START")+(nTP_Record_Type="ADMINISTRATION"))*(nTP_Err="")*(nTP_HT*DD94*BN94*(nTP_OK*DE94*(nTP_UTC_n&gt;=N(DG94))+(1-nTP_OK*DE94)*(nTP_Loc_n&gt;=N(DF94)))*(nTP_OK*BO94*(nTP_UTC_n&lt;=N(BQ94))+(1-nTP_OK*BO94)*(nTP_Loc_n&lt;=N(BP94)))+(1-nTP_HT*DD94*BN94)*(nTP_Hi_n&gt;=N(DH94))*(nTP_Lo_n&lt;=N(BS94)))),1),0))</f>
        <v>0</v>
      </c>
      <c r="EU94" s="22">
        <f>IF(EP94&lt;2,0,IFERROR(_xlfn.AGGREGATE(15,6,nTP_RowN/((nTP_Case_Key=AX94)*(nTP_Role="treatment of the event")*((nTP_Record_Type="EXPOSURE_START")+(nTP_Record_Type="ADMINISTRATION"))*(nTP_Err="")*(nTP_HT*DD94*BN94*(nTP_OK*DE94*(nTP_UTC_n&gt;=N(DG94))+(1-nTP_OK*DE94)*(nTP_Loc_n&gt;=N(DF94)))*(nTP_OK*BO94*(nTP_UTC_n&lt;=N(BQ94))+(1-nTP_OK*BO94)*(nTP_Loc_n&lt;=N(BP94)))+(1-nTP_HT*DD94*BN94)*(nTP_Hi_n&gt;=N(DH94))*(nTP_Lo_n&lt;=N(BS94)))),2),0))</f>
        <v>0</v>
      </c>
      <c r="EV94" s="22">
        <f>IF(EP94&lt;3,0,IFERROR(_xlfn.AGGREGATE(15,6,nTP_RowN/((nTP_Case_Key=AX94)*(nTP_Role="treatment of the event")*((nTP_Record_Type="EXPOSURE_START")+(nTP_Record_Type="ADMINISTRATION"))*(nTP_Err="")*(nTP_HT*DD94*BN94*(nTP_OK*DE94*(nTP_UTC_n&gt;=N(DG94))+(1-nTP_OK*DE94)*(nTP_Loc_n&gt;=N(DF94)))*(nTP_OK*BO94*(nTP_UTC_n&lt;=N(BQ94))+(1-nTP_OK*BO94)*(nTP_Loc_n&lt;=N(BP94)))+(1-nTP_HT*DD94*BN94)*(nTP_Hi_n&gt;=N(DH94))*(nTP_Lo_n&lt;=N(BS94)))),3),0))</f>
        <v>0</v>
      </c>
      <c r="EW94" s="22">
        <f>IF(CE94&lt;1,0,IFERROR(_xlfn.AGGREGATE(15,6,nTP_RowN/((nTP_CandKey=BX94)*(nTP_Err="")*(1-nTP_Exact)*((nTP_HT*BN94*((nTP_OK*BO94*(nTP_UTC_n-N(BQ94))+(1-nTP_OK*BO94)*(nTP_Loc_n-N(BP94)))&lt;=0)+(1-nTP_HT*BN94)*(nTP_Hi_n&lt;N(BR94)))+((1-nTP_HT*BN94)*(nTP_Lo_n=nTP_Hi_n)*(nTP_Lo_n=N(BR94))*(N(BR94)=N(BS94))))),1),0))</f>
        <v>0</v>
      </c>
      <c r="EX94" s="22">
        <f>IF(CE94&lt;2,0,IFERROR(_xlfn.AGGREGATE(15,6,nTP_RowN/((nTP_CandKey=BX94)*(nTP_Err="")*(1-nTP_Exact)*((nTP_HT*BN94*((nTP_OK*BO94*(nTP_UTC_n-N(BQ94))+(1-nTP_OK*BO94)*(nTP_Loc_n-N(BP94)))&lt;=0)+(1-nTP_HT*BN94)*(nTP_Hi_n&lt;N(BR94)))+((1-nTP_HT*BN94)*(nTP_Lo_n=nTP_Hi_n)*(nTP_Lo_n=N(BR94))*(N(BR94)=N(BS94))))),2),0))</f>
        <v>0</v>
      </c>
      <c r="EY94" s="22">
        <f>IF(CE94&lt;3,0,IFERROR(_xlfn.AGGREGATE(15,6,nTP_RowN/((nTP_CandKey=BX94)*(nTP_Err="")*(1-nTP_Exact)*((nTP_HT*BN94*((nTP_OK*BO94*(nTP_UTC_n-N(BQ94))+(1-nTP_OK*BO94)*(nTP_Loc_n-N(BP94)))&lt;=0)+(1-nTP_HT*BN94)*(nTP_Hi_n&lt;N(BR94)))+((1-nTP_HT*BN94)*(nTP_Lo_n=nTP_Hi_n)*(nTP_Lo_n=N(BR94))*(N(BR94)=N(BS94))))),3),0))</f>
        <v>0</v>
      </c>
      <c r="EZ94" s="21" t="str">
        <f>IF(EO94=0,"",MID(IF(EQ94&gt;0,"; "&amp;INDEX(nTP_Record_ID,EQ94)&amp;IF(INDEX(nTP_Label,EQ94)="",""," ("&amp;INDEX(nTP_Label,EQ94)&amp;")"),"")&amp;IF(ER94&gt;0,"; "&amp;INDEX(nTP_Record_ID,ER94)&amp;IF(INDEX(nTP_Label,ER94)="",""," ("&amp;INDEX(nTP_Label,ER94)&amp;")"),"")&amp;IF(ES94&gt;0,"; "&amp;INDEX(nTP_Record_ID,ES94)&amp;IF(INDEX(nTP_Label,ES94)="",""," ("&amp;INDEX(nTP_Label,ES94)&amp;")"),"")&amp;IF(EO94&gt;3,"; and "&amp;(EO94-3)&amp;" more",""),3,999))</f>
        <v/>
      </c>
      <c r="FA94" s="21" t="str">
        <f>IF(EO94=0,"",MID(IF(EQ94&gt;0,"; "&amp;INDEX(nTP_Record_ID,EQ94),"")&amp;IF(ER94&gt;0,"; "&amp;INDEX(nTP_Record_ID,ER94),"")&amp;IF(ES94&gt;0,"; "&amp;INDEX(nTP_Record_ID,ES94),"")&amp;IF(EO94&gt;3,"; and "&amp;(EO94-3)&amp;" more",""),3,999))</f>
        <v/>
      </c>
      <c r="FB94" s="21" t="str">
        <f>IF(EP94=0,"",MID(IF(ET94&gt;0,"; "&amp;INDEX(nTP_Record_ID,ET94)&amp;IF(INDEX(nTP_Label,ET94)="",""," ("&amp;INDEX(nTP_Label,ET94)&amp;")"),"")&amp;IF(EU94&gt;0,"; "&amp;INDEX(nTP_Record_ID,EU94)&amp;IF(INDEX(nTP_Label,EU94)="",""," ("&amp;INDEX(nTP_Label,EU94)&amp;")"),"")&amp;IF(EV94&gt;0,"; "&amp;INDEX(nTP_Record_ID,EV94)&amp;IF(INDEX(nTP_Label,EV94)="",""," ("&amp;INDEX(nTP_Label,EV94)&amp;")"),"")&amp;IF(EP94&gt;3,"; and "&amp;(EP94-3)&amp;" more",""),3,999))</f>
        <v/>
      </c>
      <c r="FC94" s="21" t="str">
        <f>IF(CE94=0,"",MID(IF(EW94&gt;0,"; "&amp;INDEX(nTP_Record_ID,EW94),"")&amp;IF(EX94&gt;0,"; "&amp;INDEX(nTP_Record_ID,EX94),"")&amp;IF(EY94&gt;0,"; "&amp;INDEX(nTP_Record_ID,EY94),"")&amp;IF(CE94&gt;3,"; and "&amp;(CE94-3)&amp;" more",""),3,999))</f>
        <v/>
      </c>
      <c r="FD94" s="22">
        <f t="shared" si="181"/>
        <v>0</v>
      </c>
      <c r="FE94" s="22">
        <f t="shared" si="182"/>
        <v>0</v>
      </c>
      <c r="FF94" s="22">
        <f t="shared" si="183"/>
        <v>0</v>
      </c>
      <c r="FG94" s="22">
        <f t="shared" si="184"/>
        <v>0</v>
      </c>
      <c r="FH94" s="22">
        <f t="shared" si="185"/>
        <v>0</v>
      </c>
      <c r="FI94" s="22">
        <f t="shared" si="186"/>
        <v>0</v>
      </c>
      <c r="FJ94" s="22">
        <f t="shared" si="187"/>
        <v>0</v>
      </c>
      <c r="FK94" s="22">
        <f t="shared" si="188"/>
        <v>0</v>
      </c>
    </row>
    <row r="95" spans="1:167" x14ac:dyDescent="0.2">
      <c r="A95" s="9" t="s">
        <v>1193</v>
      </c>
      <c r="B95" s="9" t="s">
        <v>335</v>
      </c>
      <c r="C95" s="11">
        <v>1</v>
      </c>
      <c r="D95" s="9" t="s">
        <v>1192</v>
      </c>
      <c r="E95" s="16" t="s">
        <v>51</v>
      </c>
      <c r="F95" s="9"/>
      <c r="G95" s="9" t="s">
        <v>1186</v>
      </c>
      <c r="H95" s="9" t="s">
        <v>1190</v>
      </c>
      <c r="I95" s="16" t="s">
        <v>60</v>
      </c>
      <c r="J95" s="16"/>
      <c r="K95" s="9"/>
      <c r="L95" s="16"/>
      <c r="M95" s="16"/>
      <c r="N95" s="16"/>
      <c r="O95" s="9"/>
      <c r="P95" s="14"/>
      <c r="Q95" s="14"/>
      <c r="R95" s="9"/>
      <c r="S95" s="9" t="s">
        <v>1194</v>
      </c>
      <c r="T95" s="21" t="str">
        <f t="shared" si="126"/>
        <v>E_MISSING_LINK: no result is shown</v>
      </c>
      <c r="U95" s="21" t="str">
        <f t="shared" si="127"/>
        <v>Not calculable</v>
      </c>
      <c r="V95" s="21" t="str">
        <f t="shared" si="128"/>
        <v/>
      </c>
      <c r="W95" s="21" t="str">
        <f t="shared" si="129"/>
        <v/>
      </c>
      <c r="X95" s="21" t="str">
        <f t="shared" si="130"/>
        <v/>
      </c>
      <c r="Y95" s="21" t="str">
        <f t="shared" si="131"/>
        <v/>
      </c>
      <c r="Z95" s="21" t="str">
        <f t="shared" si="132"/>
        <v>C1–C6</v>
      </c>
      <c r="AA95" s="21" t="str">
        <f t="shared" si="133"/>
        <v/>
      </c>
      <c r="AB95" s="21" t="str">
        <f t="shared" si="134"/>
        <v/>
      </c>
      <c r="AC95" s="21" t="str">
        <f t="shared" si="135"/>
        <v>E_MISSING_LINK</v>
      </c>
      <c r="AD95" s="21" t="str">
        <f>IF(AW95=1,"",MID(IF(ISNUMBER(SEARCH("E_INVALID_DATE",EG95))," | E_INVALID_DATE: "&amp;SUBSTITUTE(IFERROR(INDEX(nMSG_Text,MATCH("E_INVALID_DATE",nMSG_Code,0)),""),"[input]",""),"")&amp;IF(ISNUMBER(SEARCH("E_REVERSED_BOUNDS",EG95))," | E_REVERSED_BOUNDS: "&amp;SUBSTITUTE(IFERROR(INDEX(nMSG_Text,MATCH("E_REVERSED_BOUNDS",nMSG_Code,0)),""),"[input]",""),"")&amp;IF(ISNUMBER(SEARCH("E_DUPLICATE_ID",EG95))," | E_DUPLICATE_ID: "&amp;SUBSTITUTE(IFERROR(INDEX(nMSG_Text,MATCH("E_DUPLICATE_ID",nMSG_Code,0)),""),"[input]",""),"")&amp;IF(ISNUMBER(SEARCH("E_MISSING_LINK",EG95))," | E_MISSING_LINK: "&amp;SUBSTITUTE(IFERROR(INDEX(nMSG_Text,MATCH("E_MISSING_LINK",nMSG_Code,0)),""),"[input]",""),"")&amp;IF(ISNUMBER(SEARCH("E_MISSING_INPUT",EG95))," | E_MISSING_INPUT: "&amp;SUBSTITUTE(IFERROR(INDEX(nMSG_Text,MATCH("E_MISSING_INPUT",nMSG_Code,0)),""),"[input]",IF(EH95="","an input",EH95)),"")&amp;IF(ISNUMBER(SEARCH("E_INVALID_UNIT",EG95))," | E_INVALID_UNIT: "&amp;SUBSTITUTE(IFERROR(INDEX(nMSG_Text,MATCH("E_INVALID_UNIT",nMSG_Code,0)),""),"[input]",""),"")&amp;IF(FD95=1," | W_TZ_UNKNOWN: "&amp;SUBSTITUTE(IFERROR(INDEX(nMSG_Text,MATCH("W_TZ_UNKNOWN",nMSG_Code,0)),""),"[input]",""),"")&amp;IF(FE95=1," | W_SAME_DATE_ORDER_UNKNOWN: "&amp;SUBSTITUTE(IFERROR(INDEX(nMSG_Text,MATCH("W_SAME_DATE_ORDER_UNKNOWN",nMSG_Code,0)),""),"[input]",""),"")&amp;IF(FF95=1," | W_SEQUENCE_UNCERTAIN: "&amp;SUBSTITUTE(IFERROR(INDEX(nMSG_Text,MATCH("W_SEQUENCE_UNCERTAIN",nMSG_Code,0)),""),"[input]",""),"")&amp;IF(FG95=1," | W_ADMIN_SAME_DATE_AS_ONSET: "&amp;SUBSTITUTE(IFERROR(INDEX(nMSG_Text,MATCH("W_ADMIN_SAME_DATE_AS_ONSET",nMSG_Code,0)),""),"[input]",""),"")&amp;IF(FH95=1," | W_REPORTED_TIMING_CONFLICT: "&amp;SUBSTITUTE(IFERROR(INDEX(nMSG_Text,MATCH("W_REPORTED_TIMING_CONFLICT",nMSG_Code,0)),""),"[input]",""),"")&amp;IF(FI95=1," | W_INTERVENTION_BEFORE_RECOVERY: "&amp;SUBSTITUTE(IFERROR(INDEX(nMSG_Text,MATCH("W_INTERVENTION_BEFORE_RECOVERY",nMSG_Code,0)),""),"[input]",""),"")&amp;IF(FJ95=1," | I_TREATMENT_DAY_UNDEFINED: "&amp;SUBSTITUTE(IFERROR(INDEX(nMSG_Text,MATCH("I_TREATMENT_DAY_UNDEFINED",nMSG_Code,0)),""),"[input]",""),"")&amp;IF(FK95=1," | I_APPROXIMATE_NOT_COMPARED: "&amp;SUBSTITUTE(IFERROR(INDEX(nMSG_Text,MATCH("I_APPROXIMATE_NOT_COMPARED",nMSG_Code,0)),""),"[input]",""),""),4,9999))</f>
        <v>E_MISSING_LINK: Link this drug episode to this event before calculating an interval.</v>
      </c>
      <c r="AE95" s="21" t="str">
        <f t="shared" si="136"/>
        <v/>
      </c>
      <c r="AF95" s="21" t="str">
        <f t="shared" si="137"/>
        <v/>
      </c>
      <c r="AG95" s="21" t="str">
        <f>IF(EN95="","",MID(IF(ISNUMBER(SEARCH("E_REVERSED_BOUNDS",EN95))," | E_REVERSED_BOUNDS: "&amp;SUBSTITUTE(IFERROR(INDEX(nMSG_Text,MATCH("E_REVERSED_BOUNDS",nMSG_Code,0)),""),"[input]",""),"")&amp;IF(ISNUMBER(SEARCH("E_MISSING_INPUT",EN95))," | E_MISSING_INPUT: "&amp;SUBSTITUTE(IFERROR(INDEX(nMSG_Text,MATCH("E_MISSING_INPUT",nMSG_Code,0)),""),"[input]",IF("the source of the constraint"="","an input","the source of the constraint")),""),4,999))</f>
        <v/>
      </c>
      <c r="AH95" s="21" t="str">
        <f t="shared" si="138"/>
        <v/>
      </c>
      <c r="AI95" s="21" t="str">
        <f t="shared" si="139"/>
        <v>Interval I-LINK</v>
      </c>
      <c r="AJ95" s="21" t="str">
        <f t="shared" si="140"/>
        <v>EX3/START</v>
      </c>
      <c r="AK95" s="21" t="str">
        <f t="shared" si="141"/>
        <v>EV2/ONSET</v>
      </c>
      <c r="AL95" s="21" t="str">
        <f>IF(CY95=0,"",INDEX(nTP_ISO,CY95))</f>
        <v>2026-01-15</v>
      </c>
      <c r="AM95" s="21" t="str">
        <f>IF(CY95=0,"",INDEX(nTP_Display,CY95))</f>
        <v>15 January 2026</v>
      </c>
      <c r="AN95" s="21" t="str">
        <f>IF(BI95=0,"",INDEX(nTP_ISO,BI95))</f>
        <v>2026-01-20</v>
      </c>
      <c r="AO95" s="21" t="str">
        <f>IF(BI95=0,"",INDEX(nTP_Display,BI95))</f>
        <v>20 January 2026</v>
      </c>
      <c r="AP95" s="21" t="str">
        <f>IF(BA95=0,"",INDEX(nLNK_Exposure_Episode_ID,BA95)&amp;"")</f>
        <v/>
      </c>
      <c r="AQ95" s="21" t="str">
        <f>IF(BA95=0,"",INDEX(nLNK_Event_Episode_ID,BA95)&amp;"")</f>
        <v/>
      </c>
      <c r="AR95" s="21" t="str">
        <f t="shared" si="142"/>
        <v/>
      </c>
      <c r="AS95" s="21" t="str">
        <f>IF(EI95=0,"",MID(IF(DT95=1," | Recovery interval (C7) computed with "&amp;DS95&amp;".","")&amp;IF(BG95=1," | Anchor selected under C5 (CALC-SPEC 1.1): latest administration with an exact date or time at or before "&amp;IF(BH95=1,"onset","the end point")&amp;" ("&amp;AJ95&amp;"), ordered in UTC when offsets are known; later administrations are never selected.","")&amp;IF(AND(BG95=1,CE95&gt;0)," | Partial-date administrations wholly before the selected one were not candidates: "&amp;FC95&amp;".","")&amp;IF(BV95&lt;&gt;""," | "&amp;BV95,"")&amp;IF(AND(DS95="C2",EA95=0,DZ95&lt;&gt;"")," | Same calendar date; both times are known, so C1 decides the order ("&amp;AA95&amp;").","")&amp;IF(AND(DS95="C2",DD95*BN95=1,DT95=0)," | Calendar-date difference from the recorded local dates; it is never described as elapsed days.","")&amp;IF(AND(DS95="C4",DT95=0)," | Bounds are treated as independent; no single date is imputed from them.","")&amp;IF(EJ95=1," | Treatment day under the inclusive convention (C3); never written to E2B fields automatically.","")&amp;IF(AND(DS95="C4",DT95=0,EK95=0)," | No constraint applied.","")&amp;IF(AND(DS95="C4",EK95=1)," | Constraint applied to the anchor bounds: "&amp;IF(ISNUMBER(P95),"not before "&amp;DAY(P95)&amp;" "&amp;INDEX(nLIST_Months,MONTH(P95))&amp;" "&amp;YEAR(P95),"")&amp;IF(AND(ISNUMBER(P95),ISNUMBER(Q95)),", ","")&amp;IF(ISNUMBER(Q95),"not after "&amp;DAY(Q95)&amp;" "&amp;INDEX(nLIST_Months,MONTH(Q95))&amp;" "&amp;YEAR(Q95),"")&amp;". Source: "&amp;IF(R95="","not recorded",R95)&amp;IF(EN95="",". Constrained result shown beside the unconstrained one.",". Constrained result blocked ("&amp;EN95&amp;")."),"")&amp;IF(DT95=1,IF(EO95&gt;0," | Intervention recorded between cessation and recovery (ends included): "&amp;EZ95&amp;"."," | No intervention is recorded between cessation and recovery; absence of a record is not evidence that none was given."),"")&amp;IF(AND(DT95=1,DV95&gt;0)," | Intervention recorded without a date, so whether it came before recovery is unknown: "&amp;INDEX(nMS_Milestone_ID,MATCH(1,INDEX((nMS_CaseKey=AX95)*(nMS_Type="INTERVENTION")*nMS_Undated,0),0))&amp;IF(DV95&gt;1," and "&amp;(DV95-1)&amp;" more","")&amp;".","")&amp;IF(AND(DT95=1,EP95&gt;0)," | Not counted as interventions, because they are recorded as exposures rather than as intervention milestones (nothing is inferred): "&amp;FB95&amp;". If treatment was given, record it as an intervention milestone.",""),4,9999))</f>
        <v/>
      </c>
      <c r="AT95" s="21" t="str">
        <f t="shared" si="143"/>
        <v/>
      </c>
      <c r="AU95" s="21" t="str">
        <f t="shared" si="144"/>
        <v/>
      </c>
      <c r="AV95" s="21" t="str">
        <f t="shared" si="145"/>
        <v>CALC-SPEC 1.1</v>
      </c>
      <c r="AW95" s="22">
        <f t="shared" si="146"/>
        <v>0</v>
      </c>
      <c r="AX95" s="21" t="str">
        <f t="shared" si="147"/>
        <v>VEC-V13|1</v>
      </c>
      <c r="AY95" s="21" t="str">
        <f t="shared" si="148"/>
        <v>VEC-V13|1|I-LINK</v>
      </c>
      <c r="AZ95" s="22">
        <f>IF(AY95="",0,COUNTIF(nINT_Key,AY95))</f>
        <v>1</v>
      </c>
      <c r="BA95" s="22">
        <f>IF(D95="",0,IFERROR(MATCH(AX95&amp;"|"&amp;D95,nLNK_Key,0),0))</f>
        <v>0</v>
      </c>
      <c r="BB95" s="22">
        <f>IF(BA95=0,1,INDEX(nLNK_Exp_Found,BA95))</f>
        <v>1</v>
      </c>
      <c r="BC95" s="22">
        <f>IF(BA95=0,1,INDEX(nLNK_Evt_Found,BA95))</f>
        <v>1</v>
      </c>
      <c r="BD95" s="22">
        <f>IF(AP95="",0,COUNTIF(nEXP_Key,AX95&amp;"|"&amp;AP95))</f>
        <v>0</v>
      </c>
      <c r="BE95" s="22">
        <f>IF(AQ95="",0,COUNTIF(nEVT_Key,AX95&amp;"|"&amp;AQ95))</f>
        <v>0</v>
      </c>
      <c r="BF95" s="22">
        <f>IF(ISNA(MATCH(E95,nLIST_AnchorType,0)),0,1)</f>
        <v>1</v>
      </c>
      <c r="BG95" s="22">
        <f t="shared" si="149"/>
        <v>0</v>
      </c>
      <c r="BH95" s="22">
        <f t="shared" si="150"/>
        <v>1</v>
      </c>
      <c r="BI95" s="22">
        <f>IF(OR(AW95=1,AK95=""),0,IFERROR(MATCH(AX95&amp;"|"&amp;AK95,nTP_Key,0),0))</f>
        <v>330</v>
      </c>
      <c r="BJ95" s="21">
        <f>IF(BI95=0,0,INDEX(nTP_Dup,BI95))</f>
        <v>1</v>
      </c>
      <c r="BK95" s="21" t="str">
        <f>IF(BI95=0,"",INDEX(nTP_Record_Type,BI95))</f>
        <v>EVENT_ONSET</v>
      </c>
      <c r="BL95" s="21" t="str">
        <f>IF(BI95=0,"",INDEX(nTP_Precision,BI95))</f>
        <v>DATE</v>
      </c>
      <c r="BM95" s="21" t="str">
        <f>IF(BI95=0,"",INDEX(nTP_Err,BI95))</f>
        <v/>
      </c>
      <c r="BN95" s="21">
        <f>IF(BI95=0,0,INDEX(nTP_HT,BI95))</f>
        <v>0</v>
      </c>
      <c r="BO95" s="21">
        <f>IF(BI95=0,0,INDEX(nTP_OK,BI95))</f>
        <v>0</v>
      </c>
      <c r="BP95" s="21" t="str">
        <f>IF(BI95=0,"",INDEX(nTP_Loc,BI95))</f>
        <v/>
      </c>
      <c r="BQ95" s="21" t="str">
        <f>IF(BI95=0,"",INDEX(nTP_UTC,BI95))</f>
        <v/>
      </c>
      <c r="BR95" s="21">
        <f>IF(BI95=0,"",INDEX(nTP_Lo,BI95))</f>
        <v>46042</v>
      </c>
      <c r="BS95" s="21">
        <f>IF(BI95=0,"",INDEX(nTP_Hi,BI95))</f>
        <v>46042</v>
      </c>
      <c r="BT95" s="21" t="str">
        <f>IF(BI95=0,"",INDEX(nTP_Original_Text,BI95))</f>
        <v>2026-01-20</v>
      </c>
      <c r="BU95" s="21" t="str">
        <f>IF(BI95=0,"",INDEX(nTP_Source,BI95))</f>
        <v>tto_calc_test_vectors_v1.1.json V13</v>
      </c>
      <c r="BV95" s="21" t="str">
        <f>IF(BI95=0,"",INDEX(nTP_Lab_Note,BI95))</f>
        <v/>
      </c>
      <c r="BW95" s="22">
        <f t="shared" si="151"/>
        <v>1</v>
      </c>
      <c r="BX95" s="21" t="str">
        <f t="shared" si="152"/>
        <v>VEC-V13|1|</v>
      </c>
      <c r="BY95" s="22">
        <f>IF(BG95=0,0,COUNTIF(nTP_CandKey,BX95))</f>
        <v>0</v>
      </c>
      <c r="BZ95" s="22">
        <f>IF(BG95=0,0,COUNTIFS(nTP_CandKey,BX95,nTP_Err,""))</f>
        <v>0</v>
      </c>
      <c r="CA95" s="21" t="str">
        <f>IF(BY95=BZ95,"",IF(COUNTIFS(nTP_CandKey,BX95,nTP_Err,"E_INVALID_DATE")&gt;0,"; E_INVALID_DATE","")&amp;IF(COUNTIFS(nTP_CandKey,BX95,nTP_Err,"E_REVERSED_BOUNDS")&gt;0,"; E_REVERSED_BOUNDS","")&amp;IF(COUNTIFS(nTP_CandKey,BX95,nTP_Err,"E_MISSING_INPUT")&gt;0,"; E_MISSING_INPUT","")&amp;IF(COUNTIFS(nTP_CandKey,BX95,nTP_Err,"E_INVALID_UNIT")&gt;0,"; E_INVALID_UNIT",""))</f>
        <v/>
      </c>
      <c r="CB95" s="22">
        <f t="shared" si="153"/>
        <v>0</v>
      </c>
      <c r="CC95" s="22">
        <f>IF(CB95=0,0,SUMPRODUCT((nTP_CandKey=BX95)*(nTP_Err="")*(1-(nTP_HT*BN95*((nTP_OK*BO95*(nTP_UTC_n-N(BQ95))+(1-nTP_OK*BO95)*(nTP_Loc_n-N(BP95)))&lt;=0)+(1-nTP_HT*BN95)*(nTP_Hi_n&lt;N(BR95)))-(nTP_HT*BN95*((nTP_OK*BO95*(nTP_UTC_n-N(BQ95))+(1-nTP_OK*BO95)*(nTP_Loc_n-N(BP95)))&gt;0)+(1-nTP_HT*BN95)*(nTP_Lo_n&gt;N(BS95)))-((1-nTP_HT*BN95)*(nTP_Lo_n=nTP_Hi_n)*(nTP_Lo_n=N(BR95))*(N(BR95)=N(BS95))))))</f>
        <v>0</v>
      </c>
      <c r="CD95" s="22">
        <f>IF(CB95=0,0,SUMPRODUCT((nTP_CandKey=BX95)*nTP_Exact*((nTP_HT*BN95*((nTP_OK*BO95*(nTP_UTC_n-N(BQ95))+(1-nTP_OK*BO95)*(nTP_Loc_n-N(BP95)))&lt;=0)+(1-nTP_HT*BN95)*(nTP_Hi_n&lt;N(BR95)))+((1-nTP_HT*BN95)*(nTP_Lo_n=nTP_Hi_n)*(nTP_Lo_n=N(BR95))*(N(BR95)=N(BS95))))))</f>
        <v>0</v>
      </c>
      <c r="CE95" s="22">
        <f>IF(CB95=0,0,SUMPRODUCT((nTP_CandKey=BX95)*(nTP_Err="")*(1-nTP_Exact)*((nTP_HT*BN95*((nTP_OK*BO95*(nTP_UTC_n-N(BQ95))+(1-nTP_OK*BO95)*(nTP_Loc_n-N(BP95)))&lt;=0)+(1-nTP_HT*BN95)*(nTP_Hi_n&lt;N(BR95)))+((1-nTP_HT*BN95)*(nTP_Lo_n=nTP_Hi_n)*(nTP_Lo_n=N(BR95))*(N(BR95)=N(BS95))))))</f>
        <v>0</v>
      </c>
      <c r="CF95" s="22">
        <f>IF(CD95=0,0,SUMPRODUCT(MAX((nTP_CandKey=BX95)*nTP_Exact*((nTP_HT*BN95*((nTP_OK*BO95*(nTP_UTC_n-N(BQ95))+(1-nTP_OK*BO95)*(nTP_Loc_n-N(BP95)))&lt;=0)+(1-nTP_HT*BN95)*(nTP_Hi_n&lt;N(BR95)))+((1-nTP_HT*BN95)*(nTP_Lo_n=nTP_Hi_n)*(nTP_Lo_n=N(BR95))*(N(BR95)=N(BS95))))*nTP_Lo_n)))</f>
        <v>0</v>
      </c>
      <c r="CG95" s="22">
        <f>IF(CD95=0,0,SUMPRODUCT((nTP_CandKey=BX95)*nTP_Exact*((nTP_HT*BN95*((nTP_OK*BO95*(nTP_UTC_n-N(BQ95))+(1-nTP_OK*BO95)*(nTP_Loc_n-N(BP95)))&lt;=0)+(1-nTP_HT*BN95)*(nTP_Hi_n&lt;N(BR95)))+((1-nTP_HT*BN95)*(nTP_Lo_n=nTP_Hi_n)*(nTP_Lo_n=N(BR95))*(N(BR95)=N(BS95))))*(nTP_Lo_n=CF95)))</f>
        <v>0</v>
      </c>
      <c r="CH95" s="22">
        <f>IF(CD95=0,0,SUMPRODUCT((nTP_CandKey=BX95)*nTP_Exact*((nTP_HT*BN95*((nTP_OK*BO95*(nTP_UTC_n-N(BQ95))+(1-nTP_OK*BO95)*(nTP_Loc_n-N(BP95)))&lt;=0)+(1-nTP_HT*BN95)*(nTP_Hi_n&lt;N(BR95)))+((1-nTP_HT*BN95)*(nTP_Lo_n=nTP_Hi_n)*(nTP_Lo_n=N(BR95))*(N(BR95)=N(BS95))))*(1-nTP_HT)*(nTP_Lo_n=CF95)))</f>
        <v>0</v>
      </c>
      <c r="CI95" s="22">
        <f>IF(CD95=0,0,SUMPRODUCT(MAX((nTP_CandKey=BX95)*nTP_Exact*((nTP_HT*BN95*((nTP_OK*BO95*(nTP_UTC_n-N(BQ95))+(1-nTP_OK*BO95)*(nTP_Loc_n-N(BP95)))&lt;=0)+(1-nTP_HT*BN95)*(nTP_Hi_n&lt;N(BR95)))+((1-nTP_HT*BN95)*(nTP_Lo_n=nTP_Hi_n)*(nTP_Lo_n=N(BR95))*(N(BR95)=N(BS95))))*(1-nTP_HT)*nTP_Lo_n)))</f>
        <v>0</v>
      </c>
      <c r="CJ95" s="22">
        <f>IF(CD95=0,0,SUMPRODUCT(MAX((nTP_CandKey=BX95)*nTP_Exact*((nTP_HT*BN95*((nTP_OK*BO95*(nTP_UTC_n-N(BQ95))+(1-nTP_OK*BO95)*(nTP_Loc_n-N(BP95)))&lt;=0)+(1-nTP_HT*BN95)*(nTP_Hi_n&lt;N(BR95)))+((1-nTP_HT*BN95)*(nTP_Lo_n=nTP_Hi_n)*(nTP_Lo_n=N(BR95))*(N(BR95)=N(BS95))))*nTP_HT*nTP_OK*nTP_UTC_n)))</f>
        <v>0</v>
      </c>
      <c r="CK95" s="22">
        <f>IF(CJ95=0,0,SUMPRODUCT((nTP_CandKey=BX95)*nTP_Exact*((nTP_HT*BN95*((nTP_OK*BO95*(nTP_UTC_n-N(BQ95))+(1-nTP_OK*BO95)*(nTP_Loc_n-N(BP95)))&lt;=0)+(1-nTP_HT*BN95)*(nTP_Hi_n&lt;N(BR95)))+((1-nTP_HT*BN95)*(nTP_Lo_n=nTP_Hi_n)*(nTP_Lo_n=N(BR95))*(N(BR95)=N(BS95))))*nTP_HT*nTP_OK*(nTP_UTC_n=CJ95)))</f>
        <v>0</v>
      </c>
      <c r="CL95" s="22">
        <f>IF(CK95&lt;&gt;1,0,SUMPRODUCT((nTP_CandKey=BX95)*nTP_Exact*((nTP_HT*BN95*((nTP_OK*BO95*(nTP_UTC_n-N(BQ95))+(1-nTP_OK*BO95)*(nTP_Loc_n-N(BP95)))&lt;=0)+(1-nTP_HT*BN95)*(nTP_Hi_n&lt;N(BR95)))+((1-nTP_HT*BN95)*(nTP_Lo_n=nTP_Hi_n)*(nTP_Lo_n=N(BR95))*(N(BR95)=N(BS95))))*nTP_HT*nTP_OK*(nTP_UTC_n=CJ95)*nTP_Loc_n))</f>
        <v>0</v>
      </c>
      <c r="CM95" s="22">
        <f>IF(CK95&lt;&gt;1,0,SUMPRODUCT((nTP_CandKey=BX95)*nTP_Exact*((nTP_HT*BN95*((nTP_OK*BO95*(nTP_UTC_n-N(BQ95))+(1-nTP_OK*BO95)*(nTP_Loc_n-N(BP95)))&lt;=0)+(1-nTP_HT*BN95)*(nTP_Hi_n&lt;N(BR95)))+((1-nTP_HT*BN95)*(nTP_Lo_n=nTP_Hi_n)*(nTP_Lo_n=N(BR95))*(N(BR95)=N(BS95))))*nTP_HT*nTP_OK*(nTP_UTC_n=CJ95)*nTP_Lo_n))</f>
        <v>0</v>
      </c>
      <c r="CN95" s="22">
        <f>IF(CD95=0,0,SUMPRODUCT(MAX((nTP_CandKey=BX95)*nTP_Exact*((nTP_HT*BN95*((nTP_OK*BO95*(nTP_UTC_n-N(BQ95))+(1-nTP_OK*BO95)*(nTP_Loc_n-N(BP95)))&lt;=0)+(1-nTP_HT*BN95)*(nTP_Hi_n&lt;N(BR95)))+((1-nTP_HT*BN95)*(nTP_Lo_n=nTP_Hi_n)*(nTP_Lo_n=N(BR95))*(N(BR95)=N(BS95))))*nTP_HT*(1-nTP_OK)*nTP_Loc_n)))</f>
        <v>0</v>
      </c>
      <c r="CO95" s="22">
        <f>IF(CN95=0,0,SUMPRODUCT((nTP_CandKey=BX95)*nTP_Exact*((nTP_HT*BN95*((nTP_OK*BO95*(nTP_UTC_n-N(BQ95))+(1-nTP_OK*BO95)*(nTP_Loc_n-N(BP95)))&lt;=0)+(1-nTP_HT*BN95)*(nTP_Hi_n&lt;N(BR95)))+((1-nTP_HT*BN95)*(nTP_Lo_n=nTP_Hi_n)*(nTP_Lo_n=N(BR95))*(N(BR95)=N(BS95))))*nTP_HT*(1-nTP_OK)*(nTP_Loc_n=CN95)))</f>
        <v>0</v>
      </c>
      <c r="CP95" s="22">
        <f>IF(CO95&lt;&gt;1,0,SUMPRODUCT((nTP_CandKey=BX95)*nTP_Exact*((nTP_HT*BN95*((nTP_OK*BO95*(nTP_UTC_n-N(BQ95))+(1-nTP_OK*BO95)*(nTP_Loc_n-N(BP95)))&lt;=0)+(1-nTP_HT*BN95)*(nTP_Hi_n&lt;N(BR95)))+((1-nTP_HT*BN95)*(nTP_Lo_n=nTP_Hi_n)*(nTP_Lo_n=N(BR95))*(N(BR95)=N(BS95))))*nTP_HT*(1-nTP_OK)*(nTP_Loc_n=CN95)*nTP_Lo_n))</f>
        <v>0</v>
      </c>
      <c r="CQ95" s="22">
        <f>IF(CD95=0,0,SUMPRODUCT(MAX((nTP_CandKey=BX95)*nTP_Exact*((nTP_HT*BN95*((nTP_OK*BO95*(nTP_UTC_n-N(BQ95))+(1-nTP_OK*BO95)*(nTP_Loc_n-N(BP95)))&lt;=0)+(1-nTP_HT*BN95)*(nTP_Hi_n&lt;N(BR95)))+((1-nTP_HT*BN95)*(nTP_Lo_n=nTP_Hi_n)*(nTP_Lo_n=N(BR95))*(N(BR95)=N(BS95))))*nTP_HT*nTP_OK*nTP_Loc_n)))</f>
        <v>0</v>
      </c>
      <c r="CR95" s="22">
        <f t="shared" si="154"/>
        <v>0</v>
      </c>
      <c r="CS95" s="22">
        <f>IF(CR95=0,0,IF(CR95=1,MATCH(1,INDEX((nTP_CandKey=BX95)*nTP_Exact*((nTP_HT*BN95*((nTP_OK*BO95*(nTP_UTC_n-N(BQ95))+(1-nTP_OK*BO95)*(nTP_Loc_n-N(BP95)))&lt;=0)+(1-nTP_HT*BN95)*(nTP_Hi_n&lt;N(BR95)))+((1-nTP_HT*BN95)*(nTP_Lo_n=nTP_Hi_n)*(nTP_Lo_n=N(BR95))*(N(BR95)=N(BS95))))*(1-nTP_HT)*(nTP_Lo_n=CF95),0),0),IF(CR95=2,MATCH(1,INDEX((nTP_CandKey=BX95)*nTP_Exact*((nTP_HT*BN95*((nTP_OK*BO95*(nTP_UTC_n-N(BQ95))+(1-nTP_OK*BO95)*(nTP_Loc_n-N(BP95)))&lt;=0)+(1-nTP_HT*BN95)*(nTP_Hi_n&lt;N(BR95)))+((1-nTP_HT*BN95)*(nTP_Lo_n=nTP_Hi_n)*(nTP_Lo_n=N(BR95))*(N(BR95)=N(BS95))))*nTP_HT*nTP_OK*(nTP_UTC_n=CJ95),0),0),MATCH(1,INDEX((nTP_CandKey=BX95)*nTP_Exact*((nTP_HT*BN95*((nTP_OK*BO95*(nTP_UTC_n-N(BQ95))+(1-nTP_OK*BO95)*(nTP_Loc_n-N(BP95)))&lt;=0)+(1-nTP_HT*BN95)*(nTP_Hi_n&lt;N(BR95)))+((1-nTP_HT*BN95)*(nTP_Lo_n=nTP_Hi_n)*(nTP_Lo_n=N(BR95))*(N(BR95)=N(BS95))))*nTP_HT*(1-nTP_OK)*(nTP_Loc_n=CN95),0),0))))</f>
        <v>0</v>
      </c>
      <c r="CT95" s="22">
        <f>IF(CS95=0,0,INDEX(nTP_Lo_n,CS95))</f>
        <v>0</v>
      </c>
      <c r="CU95" s="22">
        <f>IF(CS95=0,0,SUMPRODUCT((nTP_CandKey=BX95)*(nTP_Err="")*(1-nTP_Exact)*((nTP_HT*BN95*((nTP_OK*BO95*(nTP_UTC_n-N(BQ95))+(1-nTP_OK*BO95)*(nTP_Loc_n-N(BP95)))&lt;=0)+(1-nTP_HT*BN95)*(nTP_Hi_n&lt;N(BR95)))+((1-nTP_HT*BN95)*(nTP_Lo_n=nTP_Hi_n)*(nTP_Lo_n=N(BR95))*(N(BR95)=N(BS95))))*(nTP_Hi_n&gt;=CT95)))</f>
        <v>0</v>
      </c>
      <c r="CV95" s="21" t="str">
        <f t="shared" si="155"/>
        <v/>
      </c>
      <c r="CW95" s="21" t="str">
        <f>IF(AND(BG95=1,CB95=1,CV95="",CS95&gt;0),INDEX(nTP_Record_ID,CS95)&amp;"","")</f>
        <v/>
      </c>
      <c r="CX95" s="21" t="str">
        <f>IF(OR(CV95="",BG95=0),"",IF(CV95="none","an administration record (last dose before onset)",IF(CV95="uncertain","the anchor record: "&amp;INDEX(nTP_Record_ID,MATCH(1,INDEX((nTP_CandKey=BX95)*(nTP_Err="")*(1-(nTP_HT*BN95*((nTP_OK*BO95*(nTP_UTC_n-N(BQ95))+(1-nTP_OK*BO95)*(nTP_Loc_n-N(BP95)))&lt;=0)+(1-nTP_HT*BN95)*(nTP_Hi_n&lt;N(BR95)))-(nTP_HT*BN95*((nTP_OK*BO95*(nTP_UTC_n-N(BQ95))+(1-nTP_OK*BO95)*(nTP_Loc_n-N(BP95)))&gt;0)+(1-nTP_HT*BN95)*(nTP_Lo_n&gt;N(BS95)))-((1-nTP_HT*BN95)*(nTP_Lo_n=nTP_Hi_n)*(nTP_Lo_n=N(BR95))*(N(BR95)=N(BS95)))),0),0))&amp;IF(CC95&gt;1," and "&amp;(CC95-1)&amp;" more","")&amp;" may fall before or after the end point, so the last dose cannot be identified from the recorded dates",IF(CV95="noneligible","the anchor record: no administration with an exact date is recorded at or before the end point",IF(CV95="tie","the anchor record: the order of the latest administrations cannot be told from the recorded dates and times","the anchor record: partial-date administration "&amp;INDEX(nTP_Record_ID,MATCH(1,INDEX((nTP_CandKey=BX95)*(nTP_Err="")*(1-nTP_Exact)*((nTP_HT*BN95*((nTP_OK*BO95*(nTP_UTC_n-N(BQ95))+(1-nTP_OK*BO95)*(nTP_Loc_n-N(BP95)))&lt;=0)+(1-nTP_HT*BN95)*(nTP_Hi_n&lt;N(BR95)))+((1-nTP_HT*BN95)*(nTP_Lo_n=nTP_Hi_n)*(nTP_Lo_n=N(BR95))*(N(BR95)=N(BS95))))*(nTP_Hi_n&gt;=CT95),0),0))&amp;" could be the last dose before the end point")))))</f>
        <v/>
      </c>
      <c r="CY95" s="22">
        <f>IF(OR(AW95=1,AJ95=""),0,IFERROR(MATCH(AX95&amp;"|"&amp;AJ95,nTP_Key,0),0))</f>
        <v>60</v>
      </c>
      <c r="CZ95" s="21">
        <f>IF(CY95=0,0,INDEX(nTP_Dup,CY95))</f>
        <v>1</v>
      </c>
      <c r="DA95" s="21" t="str">
        <f>IF(CY95=0,"",INDEX(nTP_Record_Type,CY95))</f>
        <v>EXPOSURE_START</v>
      </c>
      <c r="DB95" s="21" t="str">
        <f>IF(CY95=0,"",INDEX(nTP_Precision,CY95))</f>
        <v>DATE</v>
      </c>
      <c r="DC95" s="21" t="str">
        <f>IF(CY95=0,"",INDEX(nTP_Err,CY95))</f>
        <v/>
      </c>
      <c r="DD95" s="21">
        <f>IF(CY95=0,0,INDEX(nTP_HT,CY95))</f>
        <v>0</v>
      </c>
      <c r="DE95" s="21">
        <f>IF(CY95=0,0,INDEX(nTP_OK,CY95))</f>
        <v>0</v>
      </c>
      <c r="DF95" s="21" t="str">
        <f>IF(CY95=0,"",INDEX(nTP_Loc,CY95))</f>
        <v/>
      </c>
      <c r="DG95" s="21" t="str">
        <f>IF(CY95=0,"",INDEX(nTP_UTC,CY95))</f>
        <v/>
      </c>
      <c r="DH95" s="21">
        <f>IF(CY95=0,"",INDEX(nTP_Lo,CY95))</f>
        <v>46037</v>
      </c>
      <c r="DI95" s="21">
        <f>IF(CY95=0,"",INDEX(nTP_Hi,CY95))</f>
        <v>46037</v>
      </c>
      <c r="DJ95" s="21" t="str">
        <f>IF(CY95=0,"",INDEX(nTP_Original_Text,CY95))</f>
        <v>2026-01-15</v>
      </c>
      <c r="DK95" s="21" t="str">
        <f>IF(CY95=0,"",INDEX(nTP_Source,CY95))</f>
        <v>tto_calc_test_vectors_v1.1.json V13</v>
      </c>
      <c r="DL95" s="22">
        <f t="shared" si="156"/>
        <v>1</v>
      </c>
      <c r="DM95" s="21" t="str">
        <f t="shared" si="157"/>
        <v/>
      </c>
      <c r="DN95" s="21" t="str">
        <f t="shared" si="158"/>
        <v/>
      </c>
      <c r="DO95" s="21" t="str">
        <f t="shared" si="159"/>
        <v/>
      </c>
      <c r="DP95" s="21" t="str">
        <f t="shared" si="160"/>
        <v/>
      </c>
      <c r="DQ95" s="21" t="str">
        <f t="shared" si="161"/>
        <v>C2</v>
      </c>
      <c r="DR95" s="22">
        <f>IF(OR(DQ95="",I95=""),0,IF(ISNA(MATCH(I95,nLIST_Mode,0)),1,IF(AND(I95="C1",DQ95&lt;&gt;"C1"),1,IF(AND(I95="C2",DQ95="C4"),1,0))))</f>
        <v>0</v>
      </c>
      <c r="DS95" s="21" t="str">
        <f t="shared" si="162"/>
        <v>C2</v>
      </c>
      <c r="DT95" s="22">
        <f t="shared" si="163"/>
        <v>0</v>
      </c>
      <c r="DU95" s="21" t="str">
        <f>IF(DT95=0,"",IF(COUNTIFS(nTP_Case_Key,AX95,nTP_Record_Type,"MILESTONE:INTERVENTION",nTP_Err,"E_INVALID_DATE")&gt;0,"; E_INVALID_DATE","")&amp;IF(COUNTIFS(nTP_Case_Key,AX95,nTP_Record_Type,"MILESTONE:INTERVENTION",nTP_Err,"E_REVERSED_BOUNDS")&gt;0,"; E_REVERSED_BOUNDS","")&amp;IF(COUNTIFS(nTP_Case_Key,AX95,nTP_Record_Type,"MILESTONE:INTERVENTION",nTP_Err,"E_MISSING_INPUT")&gt;0,"; E_MISSING_INPUT","")&amp;IF(COUNTIFS(nTP_Case_Key,AX95,nTP_Record_Type,"MILESTONE:INTERVENTION",nTP_Err,"E_INVALID_UNIT")&gt;0,"; E_INVALID_UNIT",""))</f>
        <v/>
      </c>
      <c r="DV95" s="22">
        <f>IF(DT95=0,0,SUMPRODUCT((nMS_CaseKey=AX95)*(nMS_Type="INTERVENTION")*nMS_Undated))</f>
        <v>0</v>
      </c>
      <c r="DW95" s="21" t="str">
        <f t="shared" si="164"/>
        <v>; E_MISSING_LINK</v>
      </c>
      <c r="DX95" s="21" t="str">
        <f t="shared" si="165"/>
        <v>E_MISSING_LINK</v>
      </c>
      <c r="DY95" s="22">
        <f t="shared" si="166"/>
        <v>1</v>
      </c>
      <c r="DZ95" s="21" t="str">
        <f t="shared" si="167"/>
        <v/>
      </c>
      <c r="EA95" s="21" t="str">
        <f t="shared" si="168"/>
        <v/>
      </c>
      <c r="EB95" s="21" t="str">
        <f t="shared" si="169"/>
        <v/>
      </c>
      <c r="EC95" s="21" t="str">
        <f t="shared" si="170"/>
        <v/>
      </c>
      <c r="ED95" s="22">
        <f t="shared" si="171"/>
        <v>0</v>
      </c>
      <c r="EE95" s="22">
        <f t="shared" si="172"/>
        <v>0</v>
      </c>
      <c r="EF95" s="21" t="str">
        <f>IF(ED95=0,"",IF(OR(NOT(ISNUMBER(L95)),NOT(ISNUMBER(M95))),"I_APPROXIMATE_NOT_COMPARED",IF(AND(N95&lt;&gt;"",ISNA(MATCH(N95,nLIST_ReportedUnit,0))),"E_INVALID_UNIT",IF(N95="","E_MISSING_INPUT",IF(L95&gt;M95,"E_REVERSED_BOUNDS",IF(OR(N95="weeks",N95="months",N95="years"),"I_APPROXIMATE_NOT_COMPARED",IF(DX95&lt;&gt;"","",IF(EE95=0,"I_APPROXIMATE_NOT_COMPARED",IF(AND(L95*EE95&lt;=IF(DS95="C4",EC95,IF(DS95="C1",DZ95,EA95)),M95*EE95&gt;=IF(DS95="C4",EB95,IF(DS95="C1",DZ95,EA95))),"OVERLAP","W_REPORTED_TIMING_CONFLICT")))))))))</f>
        <v/>
      </c>
      <c r="EG95" s="21" t="str">
        <f t="shared" si="173"/>
        <v>E_MISSING_LINK</v>
      </c>
      <c r="EH95" s="21" t="str">
        <f t="shared" si="174"/>
        <v/>
      </c>
      <c r="EI95" s="22">
        <f t="shared" si="175"/>
        <v>0</v>
      </c>
      <c r="EJ95" s="22">
        <f t="shared" si="176"/>
        <v>0</v>
      </c>
      <c r="EK95" s="22">
        <f t="shared" si="177"/>
        <v>0</v>
      </c>
      <c r="EL95" s="28" t="str">
        <f t="shared" si="178"/>
        <v/>
      </c>
      <c r="EM95" s="28" t="str">
        <f t="shared" si="179"/>
        <v/>
      </c>
      <c r="EN95" s="21" t="str">
        <f t="shared" si="180"/>
        <v/>
      </c>
      <c r="EO95" s="22">
        <f>IF(OR(DT95=0,DX95&lt;&gt;""),0,SUMPRODUCT((nTP_Case_Key=AX95)*(nTP_Record_Type="MILESTONE:INTERVENTION")*(nTP_Err="")*(nTP_HT*DD95*BN95*(nTP_OK*DE95*(nTP_UTC_n&gt;=N(DG95))+(1-nTP_OK*DE95)*(nTP_Loc_n&gt;=N(DF95)))*(nTP_OK*BO95*(nTP_UTC_n&lt;=N(BQ95))+(1-nTP_OK*BO95)*(nTP_Loc_n&lt;=N(BP95)))+(1-nTP_HT*DD95*BN95)*(nTP_Hi_n&gt;=N(DH95))*(nTP_Lo_n&lt;=N(BS95)))))</f>
        <v>0</v>
      </c>
      <c r="EP95" s="22">
        <f>IF(OR(DT95=0,DX95&lt;&gt;""),0,SUMPRODUCT((nTP_Case_Key=AX95)*(nTP_Role="treatment of the event")*((nTP_Record_Type="EXPOSURE_START")+(nTP_Record_Type="ADMINISTRATION"))*(nTP_Err="")*(nTP_HT*DD95*BN95*(nTP_OK*DE95*(nTP_UTC_n&gt;=N(DG95))+(1-nTP_OK*DE95)*(nTP_Loc_n&gt;=N(DF95)))*(nTP_OK*BO95*(nTP_UTC_n&lt;=N(BQ95))+(1-nTP_OK*BO95)*(nTP_Loc_n&lt;=N(BP95)))+(1-nTP_HT*DD95*BN95)*(nTP_Hi_n&gt;=N(DH95))*(nTP_Lo_n&lt;=N(BS95)))))</f>
        <v>0</v>
      </c>
      <c r="EQ95" s="22">
        <f>IF(EO95&lt;1,0,IFERROR(_xlfn.AGGREGATE(15,6,nTP_RowN/((nTP_Case_Key=AX95)*(nTP_Record_Type="MILESTONE:INTERVENTION")*(nTP_Err="")*(nTP_HT*DD95*BN95*(nTP_OK*DE95*(nTP_UTC_n&gt;=N(DG95))+(1-nTP_OK*DE95)*(nTP_Loc_n&gt;=N(DF95)))*(nTP_OK*BO95*(nTP_UTC_n&lt;=N(BQ95))+(1-nTP_OK*BO95)*(nTP_Loc_n&lt;=N(BP95)))+(1-nTP_HT*DD95*BN95)*(nTP_Hi_n&gt;=N(DH95))*(nTP_Lo_n&lt;=N(BS95)))),1),0))</f>
        <v>0</v>
      </c>
      <c r="ER95" s="22">
        <f>IF(EO95&lt;2,0,IFERROR(_xlfn.AGGREGATE(15,6,nTP_RowN/((nTP_Case_Key=AX95)*(nTP_Record_Type="MILESTONE:INTERVENTION")*(nTP_Err="")*(nTP_HT*DD95*BN95*(nTP_OK*DE95*(nTP_UTC_n&gt;=N(DG95))+(1-nTP_OK*DE95)*(nTP_Loc_n&gt;=N(DF95)))*(nTP_OK*BO95*(nTP_UTC_n&lt;=N(BQ95))+(1-nTP_OK*BO95)*(nTP_Loc_n&lt;=N(BP95)))+(1-nTP_HT*DD95*BN95)*(nTP_Hi_n&gt;=N(DH95))*(nTP_Lo_n&lt;=N(BS95)))),2),0))</f>
        <v>0</v>
      </c>
      <c r="ES95" s="22">
        <f>IF(EO95&lt;3,0,IFERROR(_xlfn.AGGREGATE(15,6,nTP_RowN/((nTP_Case_Key=AX95)*(nTP_Record_Type="MILESTONE:INTERVENTION")*(nTP_Err="")*(nTP_HT*DD95*BN95*(nTP_OK*DE95*(nTP_UTC_n&gt;=N(DG95))+(1-nTP_OK*DE95)*(nTP_Loc_n&gt;=N(DF95)))*(nTP_OK*BO95*(nTP_UTC_n&lt;=N(BQ95))+(1-nTP_OK*BO95)*(nTP_Loc_n&lt;=N(BP95)))+(1-nTP_HT*DD95*BN95)*(nTP_Hi_n&gt;=N(DH95))*(nTP_Lo_n&lt;=N(BS95)))),3),0))</f>
        <v>0</v>
      </c>
      <c r="ET95" s="22">
        <f>IF(EP95&lt;1,0,IFERROR(_xlfn.AGGREGATE(15,6,nTP_RowN/((nTP_Case_Key=AX95)*(nTP_Role="treatment of the event")*((nTP_Record_Type="EXPOSURE_START")+(nTP_Record_Type="ADMINISTRATION"))*(nTP_Err="")*(nTP_HT*DD95*BN95*(nTP_OK*DE95*(nTP_UTC_n&gt;=N(DG95))+(1-nTP_OK*DE95)*(nTP_Loc_n&gt;=N(DF95)))*(nTP_OK*BO95*(nTP_UTC_n&lt;=N(BQ95))+(1-nTP_OK*BO95)*(nTP_Loc_n&lt;=N(BP95)))+(1-nTP_HT*DD95*BN95)*(nTP_Hi_n&gt;=N(DH95))*(nTP_Lo_n&lt;=N(BS95)))),1),0))</f>
        <v>0</v>
      </c>
      <c r="EU95" s="22">
        <f>IF(EP95&lt;2,0,IFERROR(_xlfn.AGGREGATE(15,6,nTP_RowN/((nTP_Case_Key=AX95)*(nTP_Role="treatment of the event")*((nTP_Record_Type="EXPOSURE_START")+(nTP_Record_Type="ADMINISTRATION"))*(nTP_Err="")*(nTP_HT*DD95*BN95*(nTP_OK*DE95*(nTP_UTC_n&gt;=N(DG95))+(1-nTP_OK*DE95)*(nTP_Loc_n&gt;=N(DF95)))*(nTP_OK*BO95*(nTP_UTC_n&lt;=N(BQ95))+(1-nTP_OK*BO95)*(nTP_Loc_n&lt;=N(BP95)))+(1-nTP_HT*DD95*BN95)*(nTP_Hi_n&gt;=N(DH95))*(nTP_Lo_n&lt;=N(BS95)))),2),0))</f>
        <v>0</v>
      </c>
      <c r="EV95" s="22">
        <f>IF(EP95&lt;3,0,IFERROR(_xlfn.AGGREGATE(15,6,nTP_RowN/((nTP_Case_Key=AX95)*(nTP_Role="treatment of the event")*((nTP_Record_Type="EXPOSURE_START")+(nTP_Record_Type="ADMINISTRATION"))*(nTP_Err="")*(nTP_HT*DD95*BN95*(nTP_OK*DE95*(nTP_UTC_n&gt;=N(DG95))+(1-nTP_OK*DE95)*(nTP_Loc_n&gt;=N(DF95)))*(nTP_OK*BO95*(nTP_UTC_n&lt;=N(BQ95))+(1-nTP_OK*BO95)*(nTP_Loc_n&lt;=N(BP95)))+(1-nTP_HT*DD95*BN95)*(nTP_Hi_n&gt;=N(DH95))*(nTP_Lo_n&lt;=N(BS95)))),3),0))</f>
        <v>0</v>
      </c>
      <c r="EW95" s="22">
        <f>IF(CE95&lt;1,0,IFERROR(_xlfn.AGGREGATE(15,6,nTP_RowN/((nTP_CandKey=BX95)*(nTP_Err="")*(1-nTP_Exact)*((nTP_HT*BN95*((nTP_OK*BO95*(nTP_UTC_n-N(BQ95))+(1-nTP_OK*BO95)*(nTP_Loc_n-N(BP95)))&lt;=0)+(1-nTP_HT*BN95)*(nTP_Hi_n&lt;N(BR95)))+((1-nTP_HT*BN95)*(nTP_Lo_n=nTP_Hi_n)*(nTP_Lo_n=N(BR95))*(N(BR95)=N(BS95))))),1),0))</f>
        <v>0</v>
      </c>
      <c r="EX95" s="22">
        <f>IF(CE95&lt;2,0,IFERROR(_xlfn.AGGREGATE(15,6,nTP_RowN/((nTP_CandKey=BX95)*(nTP_Err="")*(1-nTP_Exact)*((nTP_HT*BN95*((nTP_OK*BO95*(nTP_UTC_n-N(BQ95))+(1-nTP_OK*BO95)*(nTP_Loc_n-N(BP95)))&lt;=0)+(1-nTP_HT*BN95)*(nTP_Hi_n&lt;N(BR95)))+((1-nTP_HT*BN95)*(nTP_Lo_n=nTP_Hi_n)*(nTP_Lo_n=N(BR95))*(N(BR95)=N(BS95))))),2),0))</f>
        <v>0</v>
      </c>
      <c r="EY95" s="22">
        <f>IF(CE95&lt;3,0,IFERROR(_xlfn.AGGREGATE(15,6,nTP_RowN/((nTP_CandKey=BX95)*(nTP_Err="")*(1-nTP_Exact)*((nTP_HT*BN95*((nTP_OK*BO95*(nTP_UTC_n-N(BQ95))+(1-nTP_OK*BO95)*(nTP_Loc_n-N(BP95)))&lt;=0)+(1-nTP_HT*BN95)*(nTP_Hi_n&lt;N(BR95)))+((1-nTP_HT*BN95)*(nTP_Lo_n=nTP_Hi_n)*(nTP_Lo_n=N(BR95))*(N(BR95)=N(BS95))))),3),0))</f>
        <v>0</v>
      </c>
      <c r="EZ95" s="21" t="str">
        <f>IF(EO95=0,"",MID(IF(EQ95&gt;0,"; "&amp;INDEX(nTP_Record_ID,EQ95)&amp;IF(INDEX(nTP_Label,EQ95)="",""," ("&amp;INDEX(nTP_Label,EQ95)&amp;")"),"")&amp;IF(ER95&gt;0,"; "&amp;INDEX(nTP_Record_ID,ER95)&amp;IF(INDEX(nTP_Label,ER95)="",""," ("&amp;INDEX(nTP_Label,ER95)&amp;")"),"")&amp;IF(ES95&gt;0,"; "&amp;INDEX(nTP_Record_ID,ES95)&amp;IF(INDEX(nTP_Label,ES95)="",""," ("&amp;INDEX(nTP_Label,ES95)&amp;")"),"")&amp;IF(EO95&gt;3,"; and "&amp;(EO95-3)&amp;" more",""),3,999))</f>
        <v/>
      </c>
      <c r="FA95" s="21" t="str">
        <f>IF(EO95=0,"",MID(IF(EQ95&gt;0,"; "&amp;INDEX(nTP_Record_ID,EQ95),"")&amp;IF(ER95&gt;0,"; "&amp;INDEX(nTP_Record_ID,ER95),"")&amp;IF(ES95&gt;0,"; "&amp;INDEX(nTP_Record_ID,ES95),"")&amp;IF(EO95&gt;3,"; and "&amp;(EO95-3)&amp;" more",""),3,999))</f>
        <v/>
      </c>
      <c r="FB95" s="21" t="str">
        <f>IF(EP95=0,"",MID(IF(ET95&gt;0,"; "&amp;INDEX(nTP_Record_ID,ET95)&amp;IF(INDEX(nTP_Label,ET95)="",""," ("&amp;INDEX(nTP_Label,ET95)&amp;")"),"")&amp;IF(EU95&gt;0,"; "&amp;INDEX(nTP_Record_ID,EU95)&amp;IF(INDEX(nTP_Label,EU95)="",""," ("&amp;INDEX(nTP_Label,EU95)&amp;")"),"")&amp;IF(EV95&gt;0,"; "&amp;INDEX(nTP_Record_ID,EV95)&amp;IF(INDEX(nTP_Label,EV95)="",""," ("&amp;INDEX(nTP_Label,EV95)&amp;")"),"")&amp;IF(EP95&gt;3,"; and "&amp;(EP95-3)&amp;" more",""),3,999))</f>
        <v/>
      </c>
      <c r="FC95" s="21" t="str">
        <f>IF(CE95=0,"",MID(IF(EW95&gt;0,"; "&amp;INDEX(nTP_Record_ID,EW95),"")&amp;IF(EX95&gt;0,"; "&amp;INDEX(nTP_Record_ID,EX95),"")&amp;IF(EY95&gt;0,"; "&amp;INDEX(nTP_Record_ID,EY95),"")&amp;IF(CE95&gt;3,"; and "&amp;(CE95-3)&amp;" more",""),3,999))</f>
        <v/>
      </c>
      <c r="FD95" s="22">
        <f t="shared" si="181"/>
        <v>0</v>
      </c>
      <c r="FE95" s="22">
        <f t="shared" si="182"/>
        <v>0</v>
      </c>
      <c r="FF95" s="22">
        <f t="shared" si="183"/>
        <v>0</v>
      </c>
      <c r="FG95" s="22">
        <f t="shared" si="184"/>
        <v>0</v>
      </c>
      <c r="FH95" s="22">
        <f t="shared" si="185"/>
        <v>0</v>
      </c>
      <c r="FI95" s="22">
        <f t="shared" si="186"/>
        <v>0</v>
      </c>
      <c r="FJ95" s="22">
        <f t="shared" si="187"/>
        <v>0</v>
      </c>
      <c r="FK95" s="22">
        <f t="shared" si="188"/>
        <v>0</v>
      </c>
    </row>
    <row r="96" spans="1:167" x14ac:dyDescent="0.2">
      <c r="A96" s="9" t="s">
        <v>1180</v>
      </c>
      <c r="B96" s="9" t="s">
        <v>337</v>
      </c>
      <c r="C96" s="11">
        <v>1</v>
      </c>
      <c r="D96" s="9" t="s">
        <v>894</v>
      </c>
      <c r="E96" s="16" t="s">
        <v>51</v>
      </c>
      <c r="F96" s="9"/>
      <c r="G96" s="9" t="s">
        <v>1179</v>
      </c>
      <c r="H96" s="9" t="s">
        <v>1181</v>
      </c>
      <c r="I96" s="16" t="s">
        <v>60</v>
      </c>
      <c r="J96" s="16"/>
      <c r="K96" s="9" t="s">
        <v>1195</v>
      </c>
      <c r="L96" s="16"/>
      <c r="M96" s="16"/>
      <c r="N96" s="16"/>
      <c r="O96" s="9"/>
      <c r="P96" s="14"/>
      <c r="Q96" s="14"/>
      <c r="R96" s="9"/>
      <c r="S96" s="9"/>
      <c r="T96" s="21" t="str">
        <f t="shared" si="126"/>
        <v>E_MISSING_INPUT: no result is shown</v>
      </c>
      <c r="U96" s="21" t="str">
        <f t="shared" si="127"/>
        <v>Not calculable</v>
      </c>
      <c r="V96" s="21" t="str">
        <f t="shared" si="128"/>
        <v/>
      </c>
      <c r="W96" s="21" t="str">
        <f t="shared" si="129"/>
        <v/>
      </c>
      <c r="X96" s="21" t="str">
        <f t="shared" si="130"/>
        <v/>
      </c>
      <c r="Y96" s="21" t="str">
        <f t="shared" si="131"/>
        <v/>
      </c>
      <c r="Z96" s="21" t="str">
        <f t="shared" si="132"/>
        <v>C1–C6</v>
      </c>
      <c r="AA96" s="21" t="str">
        <f t="shared" si="133"/>
        <v/>
      </c>
      <c r="AB96" s="21" t="str">
        <f t="shared" si="134"/>
        <v/>
      </c>
      <c r="AC96" s="21" t="str">
        <f t="shared" si="135"/>
        <v>E_MISSING_INPUT</v>
      </c>
      <c r="AD96" s="21" t="str">
        <f>IF(AW96=1,"",MID(IF(ISNUMBER(SEARCH("E_INVALID_DATE",EG96))," | E_INVALID_DATE: "&amp;SUBSTITUTE(IFERROR(INDEX(nMSG_Text,MATCH("E_INVALID_DATE",nMSG_Code,0)),""),"[input]",""),"")&amp;IF(ISNUMBER(SEARCH("E_REVERSED_BOUNDS",EG96))," | E_REVERSED_BOUNDS: "&amp;SUBSTITUTE(IFERROR(INDEX(nMSG_Text,MATCH("E_REVERSED_BOUNDS",nMSG_Code,0)),""),"[input]",""),"")&amp;IF(ISNUMBER(SEARCH("E_DUPLICATE_ID",EG96))," | E_DUPLICATE_ID: "&amp;SUBSTITUTE(IFERROR(INDEX(nMSG_Text,MATCH("E_DUPLICATE_ID",nMSG_Code,0)),""),"[input]",""),"")&amp;IF(ISNUMBER(SEARCH("E_MISSING_LINK",EG96))," | E_MISSING_LINK: "&amp;SUBSTITUTE(IFERROR(INDEX(nMSG_Text,MATCH("E_MISSING_LINK",nMSG_Code,0)),""),"[input]",""),"")&amp;IF(ISNUMBER(SEARCH("E_MISSING_INPUT",EG96))," | E_MISSING_INPUT: "&amp;SUBSTITUTE(IFERROR(INDEX(nMSG_Text,MATCH("E_MISSING_INPUT",nMSG_Code,0)),""),"[input]",IF(EH96="","an input",EH96)),"")&amp;IF(ISNUMBER(SEARCH("E_INVALID_UNIT",EG96))," | E_INVALID_UNIT: "&amp;SUBSTITUTE(IFERROR(INDEX(nMSG_Text,MATCH("E_INVALID_UNIT",nMSG_Code,0)),""),"[input]",""),"")&amp;IF(FD96=1," | W_TZ_UNKNOWN: "&amp;SUBSTITUTE(IFERROR(INDEX(nMSG_Text,MATCH("W_TZ_UNKNOWN",nMSG_Code,0)),""),"[input]",""),"")&amp;IF(FE96=1," | W_SAME_DATE_ORDER_UNKNOWN: "&amp;SUBSTITUTE(IFERROR(INDEX(nMSG_Text,MATCH("W_SAME_DATE_ORDER_UNKNOWN",nMSG_Code,0)),""),"[input]",""),"")&amp;IF(FF96=1," | W_SEQUENCE_UNCERTAIN: "&amp;SUBSTITUTE(IFERROR(INDEX(nMSG_Text,MATCH("W_SEQUENCE_UNCERTAIN",nMSG_Code,0)),""),"[input]",""),"")&amp;IF(FG96=1," | W_ADMIN_SAME_DATE_AS_ONSET: "&amp;SUBSTITUTE(IFERROR(INDEX(nMSG_Text,MATCH("W_ADMIN_SAME_DATE_AS_ONSET",nMSG_Code,0)),""),"[input]",""),"")&amp;IF(FH96=1," | W_REPORTED_TIMING_CONFLICT: "&amp;SUBSTITUTE(IFERROR(INDEX(nMSG_Text,MATCH("W_REPORTED_TIMING_CONFLICT",nMSG_Code,0)),""),"[input]",""),"")&amp;IF(FI96=1," | W_INTERVENTION_BEFORE_RECOVERY: "&amp;SUBSTITUTE(IFERROR(INDEX(nMSG_Text,MATCH("W_INTERVENTION_BEFORE_RECOVERY",nMSG_Code,0)),""),"[input]",""),"")&amp;IF(FJ96=1," | I_TREATMENT_DAY_UNDEFINED: "&amp;SUBSTITUTE(IFERROR(INDEX(nMSG_Text,MATCH("I_TREATMENT_DAY_UNDEFINED",nMSG_Code,0)),""),"[input]",""),"")&amp;IF(FK96=1," | I_APPROXIMATE_NOT_COMPARED: "&amp;SUBSTITUTE(IFERROR(INDEX(nMSG_Text,MATCH("I_APPROXIMATE_NOT_COMPARED",nMSG_Code,0)),""),"[input]",""),""),4,9999))</f>
        <v>E_MISSING_INPUT: This result needs an existing, dated end-point record (EV1/ONSET), an existing, dated anchor record (EX1/START). It is left blank rather than estimated.</v>
      </c>
      <c r="AE96" s="21" t="str">
        <f t="shared" si="136"/>
        <v/>
      </c>
      <c r="AF96" s="21" t="str">
        <f t="shared" si="137"/>
        <v/>
      </c>
      <c r="AG96" s="21" t="str">
        <f>IF(EN96="","",MID(IF(ISNUMBER(SEARCH("E_REVERSED_BOUNDS",EN96))," | E_REVERSED_BOUNDS: "&amp;SUBSTITUTE(IFERROR(INDEX(nMSG_Text,MATCH("E_REVERSED_BOUNDS",nMSG_Code,0)),""),"[input]",""),"")&amp;IF(ISNUMBER(SEARCH("E_MISSING_INPUT",EN96))," | E_MISSING_INPUT: "&amp;SUBSTITUTE(IFERROR(INDEX(nMSG_Text,MATCH("E_MISSING_INPUT",nMSG_Code,0)),""),"[input]",IF("the source of the constraint"="","an input","the source of the constraint")),""),4,999))</f>
        <v/>
      </c>
      <c r="AH96" s="21" t="str">
        <f t="shared" si="138"/>
        <v>Not compared. Reported: "about one month after starting"</v>
      </c>
      <c r="AI96" s="21" t="str">
        <f t="shared" si="139"/>
        <v>Interval I1</v>
      </c>
      <c r="AJ96" s="21" t="str">
        <f t="shared" si="140"/>
        <v>EX1/START</v>
      </c>
      <c r="AK96" s="21" t="str">
        <f t="shared" si="141"/>
        <v>EV1/ONSET</v>
      </c>
      <c r="AL96" s="21" t="str">
        <f>IF(CY96=0,"",INDEX(nTP_ISO,CY96))</f>
        <v/>
      </c>
      <c r="AM96" s="21" t="str">
        <f>IF(CY96=0,"",INDEX(nTP_Display,CY96))</f>
        <v/>
      </c>
      <c r="AN96" s="21" t="str">
        <f>IF(BI96=0,"",INDEX(nTP_ISO,BI96))</f>
        <v/>
      </c>
      <c r="AO96" s="21" t="str">
        <f>IF(BI96=0,"",INDEX(nTP_Display,BI96))</f>
        <v/>
      </c>
      <c r="AP96" s="21" t="str">
        <f>IF(BA96=0,"",INDEX(nLNK_Exposure_Episode_ID,BA96)&amp;"")</f>
        <v>EX1</v>
      </c>
      <c r="AQ96" s="21" t="str">
        <f>IF(BA96=0,"",INDEX(nLNK_Event_Episode_ID,BA96)&amp;"")</f>
        <v>EV1</v>
      </c>
      <c r="AR96" s="21" t="str">
        <f t="shared" si="142"/>
        <v/>
      </c>
      <c r="AS96" s="21" t="str">
        <f>IF(EI96=0,"",MID(IF(DT96=1," | Recovery interval (C7) computed with "&amp;DS96&amp;".","")&amp;IF(BG96=1," | Anchor selected under C5 (CALC-SPEC 1.1): latest administration with an exact date or time at or before "&amp;IF(BH96=1,"onset","the end point")&amp;" ("&amp;AJ96&amp;"), ordered in UTC when offsets are known; later administrations are never selected.","")&amp;IF(AND(BG96=1,CE96&gt;0)," | Partial-date administrations wholly before the selected one were not candidates: "&amp;FC96&amp;".","")&amp;IF(BV96&lt;&gt;""," | "&amp;BV96,"")&amp;IF(AND(DS96="C2",EA96=0,DZ96&lt;&gt;"")," | Same calendar date; both times are known, so C1 decides the order ("&amp;AA96&amp;").","")&amp;IF(AND(DS96="C2",DD96*BN96=1,DT96=0)," | Calendar-date difference from the recorded local dates; it is never described as elapsed days.","")&amp;IF(AND(DS96="C4",DT96=0)," | Bounds are treated as independent; no single date is imputed from them.","")&amp;IF(EJ96=1," | Treatment day under the inclusive convention (C3); never written to E2B fields automatically.","")&amp;IF(AND(DS96="C4",DT96=0,EK96=0)," | No constraint applied.","")&amp;IF(AND(DS96="C4",EK96=1)," | Constraint applied to the anchor bounds: "&amp;IF(ISNUMBER(P96),"not before "&amp;DAY(P96)&amp;" "&amp;INDEX(nLIST_Months,MONTH(P96))&amp;" "&amp;YEAR(P96),"")&amp;IF(AND(ISNUMBER(P96),ISNUMBER(Q96)),", ","")&amp;IF(ISNUMBER(Q96),"not after "&amp;DAY(Q96)&amp;" "&amp;INDEX(nLIST_Months,MONTH(Q96))&amp;" "&amp;YEAR(Q96),"")&amp;". Source: "&amp;IF(R96="","not recorded",R96)&amp;IF(EN96="",". Constrained result shown beside the unconstrained one.",". Constrained result blocked ("&amp;EN96&amp;")."),"")&amp;IF(DT96=1,IF(EO96&gt;0," | Intervention recorded between cessation and recovery (ends included): "&amp;EZ96&amp;"."," | No intervention is recorded between cessation and recovery; absence of a record is not evidence that none was given."),"")&amp;IF(AND(DT96=1,DV96&gt;0)," | Intervention recorded without a date, so whether it came before recovery is unknown: "&amp;INDEX(nMS_Milestone_ID,MATCH(1,INDEX((nMS_CaseKey=AX96)*(nMS_Type="INTERVENTION")*nMS_Undated,0),0))&amp;IF(DV96&gt;1," and "&amp;(DV96-1)&amp;" more","")&amp;".","")&amp;IF(AND(DT96=1,EP96&gt;0)," | Not counted as interventions, because they are recorded as exposures rather than as intervention milestones (nothing is inferred): "&amp;FB96&amp;". If treatment was given, record it as an intervention milestone.",""),4,9999))</f>
        <v/>
      </c>
      <c r="AT96" s="21" t="str">
        <f t="shared" si="143"/>
        <v/>
      </c>
      <c r="AU96" s="21" t="str">
        <f t="shared" si="144"/>
        <v/>
      </c>
      <c r="AV96" s="21" t="str">
        <f t="shared" si="145"/>
        <v>CALC-SPEC 1.1</v>
      </c>
      <c r="AW96" s="22">
        <f t="shared" si="146"/>
        <v>0</v>
      </c>
      <c r="AX96" s="21" t="str">
        <f t="shared" si="147"/>
        <v>VEC-V15|1</v>
      </c>
      <c r="AY96" s="21" t="str">
        <f t="shared" si="148"/>
        <v>VEC-V15|1|I1</v>
      </c>
      <c r="AZ96" s="22">
        <f>IF(AY96="",0,COUNTIF(nINT_Key,AY96))</f>
        <v>1</v>
      </c>
      <c r="BA96" s="22">
        <f>IF(D96="",0,IFERROR(MATCH(AX96&amp;"|"&amp;D96,nLNK_Key,0),0))</f>
        <v>43</v>
      </c>
      <c r="BB96" s="22">
        <f>IF(BA96=0,1,INDEX(nLNK_Exp_Found,BA96))</f>
        <v>1</v>
      </c>
      <c r="BC96" s="22">
        <f>IF(BA96=0,1,INDEX(nLNK_Evt_Found,BA96))</f>
        <v>1</v>
      </c>
      <c r="BD96" s="22">
        <f>IF(AP96="",0,COUNTIF(nEXP_Key,AX96&amp;"|"&amp;AP96))</f>
        <v>1</v>
      </c>
      <c r="BE96" s="22">
        <f>IF(AQ96="",0,COUNTIF(nEVT_Key,AX96&amp;"|"&amp;AQ96))</f>
        <v>1</v>
      </c>
      <c r="BF96" s="22">
        <f>IF(ISNA(MATCH(E96,nLIST_AnchorType,0)),0,1)</f>
        <v>1</v>
      </c>
      <c r="BG96" s="22">
        <f t="shared" si="149"/>
        <v>0</v>
      </c>
      <c r="BH96" s="22">
        <f t="shared" si="150"/>
        <v>1</v>
      </c>
      <c r="BI96" s="22">
        <f>IF(OR(AW96=1,AK96=""),0,IFERROR(MATCH(AX96&amp;"|"&amp;AK96,nTP_Key,0),0))</f>
        <v>0</v>
      </c>
      <c r="BJ96" s="21">
        <f>IF(BI96=0,0,INDEX(nTP_Dup,BI96))</f>
        <v>0</v>
      </c>
      <c r="BK96" s="21" t="str">
        <f>IF(BI96=0,"",INDEX(nTP_Record_Type,BI96))</f>
        <v/>
      </c>
      <c r="BL96" s="21" t="str">
        <f>IF(BI96=0,"",INDEX(nTP_Precision,BI96))</f>
        <v/>
      </c>
      <c r="BM96" s="21" t="str">
        <f>IF(BI96=0,"",INDEX(nTP_Err,BI96))</f>
        <v/>
      </c>
      <c r="BN96" s="21">
        <f>IF(BI96=0,0,INDEX(nTP_HT,BI96))</f>
        <v>0</v>
      </c>
      <c r="BO96" s="21">
        <f>IF(BI96=0,0,INDEX(nTP_OK,BI96))</f>
        <v>0</v>
      </c>
      <c r="BP96" s="21" t="str">
        <f>IF(BI96=0,"",INDEX(nTP_Loc,BI96))</f>
        <v/>
      </c>
      <c r="BQ96" s="21" t="str">
        <f>IF(BI96=0,"",INDEX(nTP_UTC,BI96))</f>
        <v/>
      </c>
      <c r="BR96" s="21" t="str">
        <f>IF(BI96=0,"",INDEX(nTP_Lo,BI96))</f>
        <v/>
      </c>
      <c r="BS96" s="21" t="str">
        <f>IF(BI96=0,"",INDEX(nTP_Hi,BI96))</f>
        <v/>
      </c>
      <c r="BT96" s="21" t="str">
        <f>IF(BI96=0,"",INDEX(nTP_Original_Text,BI96))</f>
        <v/>
      </c>
      <c r="BU96" s="21" t="str">
        <f>IF(BI96=0,"",INDEX(nTP_Source,BI96))</f>
        <v/>
      </c>
      <c r="BV96" s="21" t="str">
        <f>IF(BI96=0,"",INDEX(nTP_Lab_Note,BI96))</f>
        <v/>
      </c>
      <c r="BW96" s="22">
        <f t="shared" si="151"/>
        <v>0</v>
      </c>
      <c r="BX96" s="21" t="str">
        <f t="shared" si="152"/>
        <v>VEC-V15|1|EX1</v>
      </c>
      <c r="BY96" s="22">
        <f>IF(BG96=0,0,COUNTIF(nTP_CandKey,BX96))</f>
        <v>0</v>
      </c>
      <c r="BZ96" s="22">
        <f>IF(BG96=0,0,COUNTIFS(nTP_CandKey,BX96,nTP_Err,""))</f>
        <v>0</v>
      </c>
      <c r="CA96" s="21" t="str">
        <f>IF(BY96=BZ96,"",IF(COUNTIFS(nTP_CandKey,BX96,nTP_Err,"E_INVALID_DATE")&gt;0,"; E_INVALID_DATE","")&amp;IF(COUNTIFS(nTP_CandKey,BX96,nTP_Err,"E_REVERSED_BOUNDS")&gt;0,"; E_REVERSED_BOUNDS","")&amp;IF(COUNTIFS(nTP_CandKey,BX96,nTP_Err,"E_MISSING_INPUT")&gt;0,"; E_MISSING_INPUT","")&amp;IF(COUNTIFS(nTP_CandKey,BX96,nTP_Err,"E_INVALID_UNIT")&gt;0,"; E_INVALID_UNIT",""))</f>
        <v/>
      </c>
      <c r="CB96" s="22">
        <f t="shared" si="153"/>
        <v>0</v>
      </c>
      <c r="CC96" s="22">
        <f>IF(CB96=0,0,SUMPRODUCT((nTP_CandKey=BX96)*(nTP_Err="")*(1-(nTP_HT*BN96*((nTP_OK*BO96*(nTP_UTC_n-N(BQ96))+(1-nTP_OK*BO96)*(nTP_Loc_n-N(BP96)))&lt;=0)+(1-nTP_HT*BN96)*(nTP_Hi_n&lt;N(BR96)))-(nTP_HT*BN96*((nTP_OK*BO96*(nTP_UTC_n-N(BQ96))+(1-nTP_OK*BO96)*(nTP_Loc_n-N(BP96)))&gt;0)+(1-nTP_HT*BN96)*(nTP_Lo_n&gt;N(BS96)))-((1-nTP_HT*BN96)*(nTP_Lo_n=nTP_Hi_n)*(nTP_Lo_n=N(BR96))*(N(BR96)=N(BS96))))))</f>
        <v>0</v>
      </c>
      <c r="CD96" s="22">
        <f>IF(CB96=0,0,SUMPRODUCT((nTP_CandKey=BX96)*nTP_Exact*((nTP_HT*BN96*((nTP_OK*BO96*(nTP_UTC_n-N(BQ96))+(1-nTP_OK*BO96)*(nTP_Loc_n-N(BP96)))&lt;=0)+(1-nTP_HT*BN96)*(nTP_Hi_n&lt;N(BR96)))+((1-nTP_HT*BN96)*(nTP_Lo_n=nTP_Hi_n)*(nTP_Lo_n=N(BR96))*(N(BR96)=N(BS96))))))</f>
        <v>0</v>
      </c>
      <c r="CE96" s="22">
        <f>IF(CB96=0,0,SUMPRODUCT((nTP_CandKey=BX96)*(nTP_Err="")*(1-nTP_Exact)*((nTP_HT*BN96*((nTP_OK*BO96*(nTP_UTC_n-N(BQ96))+(1-nTP_OK*BO96)*(nTP_Loc_n-N(BP96)))&lt;=0)+(1-nTP_HT*BN96)*(nTP_Hi_n&lt;N(BR96)))+((1-nTP_HT*BN96)*(nTP_Lo_n=nTP_Hi_n)*(nTP_Lo_n=N(BR96))*(N(BR96)=N(BS96))))))</f>
        <v>0</v>
      </c>
      <c r="CF96" s="22">
        <f>IF(CD96=0,0,SUMPRODUCT(MAX((nTP_CandKey=BX96)*nTP_Exact*((nTP_HT*BN96*((nTP_OK*BO96*(nTP_UTC_n-N(BQ96))+(1-nTP_OK*BO96)*(nTP_Loc_n-N(BP96)))&lt;=0)+(1-nTP_HT*BN96)*(nTP_Hi_n&lt;N(BR96)))+((1-nTP_HT*BN96)*(nTP_Lo_n=nTP_Hi_n)*(nTP_Lo_n=N(BR96))*(N(BR96)=N(BS96))))*nTP_Lo_n)))</f>
        <v>0</v>
      </c>
      <c r="CG96" s="22">
        <f>IF(CD96=0,0,SUMPRODUCT((nTP_CandKey=BX96)*nTP_Exact*((nTP_HT*BN96*((nTP_OK*BO96*(nTP_UTC_n-N(BQ96))+(1-nTP_OK*BO96)*(nTP_Loc_n-N(BP96)))&lt;=0)+(1-nTP_HT*BN96)*(nTP_Hi_n&lt;N(BR96)))+((1-nTP_HT*BN96)*(nTP_Lo_n=nTP_Hi_n)*(nTP_Lo_n=N(BR96))*(N(BR96)=N(BS96))))*(nTP_Lo_n=CF96)))</f>
        <v>0</v>
      </c>
      <c r="CH96" s="22">
        <f>IF(CD96=0,0,SUMPRODUCT((nTP_CandKey=BX96)*nTP_Exact*((nTP_HT*BN96*((nTP_OK*BO96*(nTP_UTC_n-N(BQ96))+(1-nTP_OK*BO96)*(nTP_Loc_n-N(BP96)))&lt;=0)+(1-nTP_HT*BN96)*(nTP_Hi_n&lt;N(BR96)))+((1-nTP_HT*BN96)*(nTP_Lo_n=nTP_Hi_n)*(nTP_Lo_n=N(BR96))*(N(BR96)=N(BS96))))*(1-nTP_HT)*(nTP_Lo_n=CF96)))</f>
        <v>0</v>
      </c>
      <c r="CI96" s="22">
        <f>IF(CD96=0,0,SUMPRODUCT(MAX((nTP_CandKey=BX96)*nTP_Exact*((nTP_HT*BN96*((nTP_OK*BO96*(nTP_UTC_n-N(BQ96))+(1-nTP_OK*BO96)*(nTP_Loc_n-N(BP96)))&lt;=0)+(1-nTP_HT*BN96)*(nTP_Hi_n&lt;N(BR96)))+((1-nTP_HT*BN96)*(nTP_Lo_n=nTP_Hi_n)*(nTP_Lo_n=N(BR96))*(N(BR96)=N(BS96))))*(1-nTP_HT)*nTP_Lo_n)))</f>
        <v>0</v>
      </c>
      <c r="CJ96" s="22">
        <f>IF(CD96=0,0,SUMPRODUCT(MAX((nTP_CandKey=BX96)*nTP_Exact*((nTP_HT*BN96*((nTP_OK*BO96*(nTP_UTC_n-N(BQ96))+(1-nTP_OK*BO96)*(nTP_Loc_n-N(BP96)))&lt;=0)+(1-nTP_HT*BN96)*(nTP_Hi_n&lt;N(BR96)))+((1-nTP_HT*BN96)*(nTP_Lo_n=nTP_Hi_n)*(nTP_Lo_n=N(BR96))*(N(BR96)=N(BS96))))*nTP_HT*nTP_OK*nTP_UTC_n)))</f>
        <v>0</v>
      </c>
      <c r="CK96" s="22">
        <f>IF(CJ96=0,0,SUMPRODUCT((nTP_CandKey=BX96)*nTP_Exact*((nTP_HT*BN96*((nTP_OK*BO96*(nTP_UTC_n-N(BQ96))+(1-nTP_OK*BO96)*(nTP_Loc_n-N(BP96)))&lt;=0)+(1-nTP_HT*BN96)*(nTP_Hi_n&lt;N(BR96)))+((1-nTP_HT*BN96)*(nTP_Lo_n=nTP_Hi_n)*(nTP_Lo_n=N(BR96))*(N(BR96)=N(BS96))))*nTP_HT*nTP_OK*(nTP_UTC_n=CJ96)))</f>
        <v>0</v>
      </c>
      <c r="CL96" s="22">
        <f>IF(CK96&lt;&gt;1,0,SUMPRODUCT((nTP_CandKey=BX96)*nTP_Exact*((nTP_HT*BN96*((nTP_OK*BO96*(nTP_UTC_n-N(BQ96))+(1-nTP_OK*BO96)*(nTP_Loc_n-N(BP96)))&lt;=0)+(1-nTP_HT*BN96)*(nTP_Hi_n&lt;N(BR96)))+((1-nTP_HT*BN96)*(nTP_Lo_n=nTP_Hi_n)*(nTP_Lo_n=N(BR96))*(N(BR96)=N(BS96))))*nTP_HT*nTP_OK*(nTP_UTC_n=CJ96)*nTP_Loc_n))</f>
        <v>0</v>
      </c>
      <c r="CM96" s="22">
        <f>IF(CK96&lt;&gt;1,0,SUMPRODUCT((nTP_CandKey=BX96)*nTP_Exact*((nTP_HT*BN96*((nTP_OK*BO96*(nTP_UTC_n-N(BQ96))+(1-nTP_OK*BO96)*(nTP_Loc_n-N(BP96)))&lt;=0)+(1-nTP_HT*BN96)*(nTP_Hi_n&lt;N(BR96)))+((1-nTP_HT*BN96)*(nTP_Lo_n=nTP_Hi_n)*(nTP_Lo_n=N(BR96))*(N(BR96)=N(BS96))))*nTP_HT*nTP_OK*(nTP_UTC_n=CJ96)*nTP_Lo_n))</f>
        <v>0</v>
      </c>
      <c r="CN96" s="22">
        <f>IF(CD96=0,0,SUMPRODUCT(MAX((nTP_CandKey=BX96)*nTP_Exact*((nTP_HT*BN96*((nTP_OK*BO96*(nTP_UTC_n-N(BQ96))+(1-nTP_OK*BO96)*(nTP_Loc_n-N(BP96)))&lt;=0)+(1-nTP_HT*BN96)*(nTP_Hi_n&lt;N(BR96)))+((1-nTP_HT*BN96)*(nTP_Lo_n=nTP_Hi_n)*(nTP_Lo_n=N(BR96))*(N(BR96)=N(BS96))))*nTP_HT*(1-nTP_OK)*nTP_Loc_n)))</f>
        <v>0</v>
      </c>
      <c r="CO96" s="22">
        <f>IF(CN96=0,0,SUMPRODUCT((nTP_CandKey=BX96)*nTP_Exact*((nTP_HT*BN96*((nTP_OK*BO96*(nTP_UTC_n-N(BQ96))+(1-nTP_OK*BO96)*(nTP_Loc_n-N(BP96)))&lt;=0)+(1-nTP_HT*BN96)*(nTP_Hi_n&lt;N(BR96)))+((1-nTP_HT*BN96)*(nTP_Lo_n=nTP_Hi_n)*(nTP_Lo_n=N(BR96))*(N(BR96)=N(BS96))))*nTP_HT*(1-nTP_OK)*(nTP_Loc_n=CN96)))</f>
        <v>0</v>
      </c>
      <c r="CP96" s="22">
        <f>IF(CO96&lt;&gt;1,0,SUMPRODUCT((nTP_CandKey=BX96)*nTP_Exact*((nTP_HT*BN96*((nTP_OK*BO96*(nTP_UTC_n-N(BQ96))+(1-nTP_OK*BO96)*(nTP_Loc_n-N(BP96)))&lt;=0)+(1-nTP_HT*BN96)*(nTP_Hi_n&lt;N(BR96)))+((1-nTP_HT*BN96)*(nTP_Lo_n=nTP_Hi_n)*(nTP_Lo_n=N(BR96))*(N(BR96)=N(BS96))))*nTP_HT*(1-nTP_OK)*(nTP_Loc_n=CN96)*nTP_Lo_n))</f>
        <v>0</v>
      </c>
      <c r="CQ96" s="22">
        <f>IF(CD96=0,0,SUMPRODUCT(MAX((nTP_CandKey=BX96)*nTP_Exact*((nTP_HT*BN96*((nTP_OK*BO96*(nTP_UTC_n-N(BQ96))+(1-nTP_OK*BO96)*(nTP_Loc_n-N(BP96)))&lt;=0)+(1-nTP_HT*BN96)*(nTP_Hi_n&lt;N(BR96)))+((1-nTP_HT*BN96)*(nTP_Lo_n=nTP_Hi_n)*(nTP_Lo_n=N(BR96))*(N(BR96)=N(BS96))))*nTP_HT*nTP_OK*nTP_Loc_n)))</f>
        <v>0</v>
      </c>
      <c r="CR96" s="22">
        <f t="shared" si="154"/>
        <v>0</v>
      </c>
      <c r="CS96" s="22">
        <f>IF(CR96=0,0,IF(CR96=1,MATCH(1,INDEX((nTP_CandKey=BX96)*nTP_Exact*((nTP_HT*BN96*((nTP_OK*BO96*(nTP_UTC_n-N(BQ96))+(1-nTP_OK*BO96)*(nTP_Loc_n-N(BP96)))&lt;=0)+(1-nTP_HT*BN96)*(nTP_Hi_n&lt;N(BR96)))+((1-nTP_HT*BN96)*(nTP_Lo_n=nTP_Hi_n)*(nTP_Lo_n=N(BR96))*(N(BR96)=N(BS96))))*(1-nTP_HT)*(nTP_Lo_n=CF96),0),0),IF(CR96=2,MATCH(1,INDEX((nTP_CandKey=BX96)*nTP_Exact*((nTP_HT*BN96*((nTP_OK*BO96*(nTP_UTC_n-N(BQ96))+(1-nTP_OK*BO96)*(nTP_Loc_n-N(BP96)))&lt;=0)+(1-nTP_HT*BN96)*(nTP_Hi_n&lt;N(BR96)))+((1-nTP_HT*BN96)*(nTP_Lo_n=nTP_Hi_n)*(nTP_Lo_n=N(BR96))*(N(BR96)=N(BS96))))*nTP_HT*nTP_OK*(nTP_UTC_n=CJ96),0),0),MATCH(1,INDEX((nTP_CandKey=BX96)*nTP_Exact*((nTP_HT*BN96*((nTP_OK*BO96*(nTP_UTC_n-N(BQ96))+(1-nTP_OK*BO96)*(nTP_Loc_n-N(BP96)))&lt;=0)+(1-nTP_HT*BN96)*(nTP_Hi_n&lt;N(BR96)))+((1-nTP_HT*BN96)*(nTP_Lo_n=nTP_Hi_n)*(nTP_Lo_n=N(BR96))*(N(BR96)=N(BS96))))*nTP_HT*(1-nTP_OK)*(nTP_Loc_n=CN96),0),0))))</f>
        <v>0</v>
      </c>
      <c r="CT96" s="22">
        <f>IF(CS96=0,0,INDEX(nTP_Lo_n,CS96))</f>
        <v>0</v>
      </c>
      <c r="CU96" s="22">
        <f>IF(CS96=0,0,SUMPRODUCT((nTP_CandKey=BX96)*(nTP_Err="")*(1-nTP_Exact)*((nTP_HT*BN96*((nTP_OK*BO96*(nTP_UTC_n-N(BQ96))+(1-nTP_OK*BO96)*(nTP_Loc_n-N(BP96)))&lt;=0)+(1-nTP_HT*BN96)*(nTP_Hi_n&lt;N(BR96)))+((1-nTP_HT*BN96)*(nTP_Lo_n=nTP_Hi_n)*(nTP_Lo_n=N(BR96))*(N(BR96)=N(BS96))))*(nTP_Hi_n&gt;=CT96)))</f>
        <v>0</v>
      </c>
      <c r="CV96" s="21" t="str">
        <f t="shared" si="155"/>
        <v/>
      </c>
      <c r="CW96" s="21" t="str">
        <f>IF(AND(BG96=1,CB96=1,CV96="",CS96&gt;0),INDEX(nTP_Record_ID,CS96)&amp;"","")</f>
        <v/>
      </c>
      <c r="CX96" s="21" t="str">
        <f>IF(OR(CV96="",BG96=0),"",IF(CV96="none","an administration record (last dose before onset)",IF(CV96="uncertain","the anchor record: "&amp;INDEX(nTP_Record_ID,MATCH(1,INDEX((nTP_CandKey=BX96)*(nTP_Err="")*(1-(nTP_HT*BN96*((nTP_OK*BO96*(nTP_UTC_n-N(BQ96))+(1-nTP_OK*BO96)*(nTP_Loc_n-N(BP96)))&lt;=0)+(1-nTP_HT*BN96)*(nTP_Hi_n&lt;N(BR96)))-(nTP_HT*BN96*((nTP_OK*BO96*(nTP_UTC_n-N(BQ96))+(1-nTP_OK*BO96)*(nTP_Loc_n-N(BP96)))&gt;0)+(1-nTP_HT*BN96)*(nTP_Lo_n&gt;N(BS96)))-((1-nTP_HT*BN96)*(nTP_Lo_n=nTP_Hi_n)*(nTP_Lo_n=N(BR96))*(N(BR96)=N(BS96)))),0),0))&amp;IF(CC96&gt;1," and "&amp;(CC96-1)&amp;" more","")&amp;" may fall before or after the end point, so the last dose cannot be identified from the recorded dates",IF(CV96="noneligible","the anchor record: no administration with an exact date is recorded at or before the end point",IF(CV96="tie","the anchor record: the order of the latest administrations cannot be told from the recorded dates and times","the anchor record: partial-date administration "&amp;INDEX(nTP_Record_ID,MATCH(1,INDEX((nTP_CandKey=BX96)*(nTP_Err="")*(1-nTP_Exact)*((nTP_HT*BN96*((nTP_OK*BO96*(nTP_UTC_n-N(BQ96))+(1-nTP_OK*BO96)*(nTP_Loc_n-N(BP96)))&lt;=0)+(1-nTP_HT*BN96)*(nTP_Hi_n&lt;N(BR96)))+((1-nTP_HT*BN96)*(nTP_Lo_n=nTP_Hi_n)*(nTP_Lo_n=N(BR96))*(N(BR96)=N(BS96))))*(nTP_Hi_n&gt;=CT96),0),0))&amp;" could be the last dose before the end point")))))</f>
        <v/>
      </c>
      <c r="CY96" s="22">
        <f>IF(OR(AW96=1,AJ96=""),0,IFERROR(MATCH(AX96&amp;"|"&amp;AJ96,nTP_Key,0),0))</f>
        <v>0</v>
      </c>
      <c r="CZ96" s="21">
        <f>IF(CY96=0,0,INDEX(nTP_Dup,CY96))</f>
        <v>0</v>
      </c>
      <c r="DA96" s="21" t="str">
        <f>IF(CY96=0,"",INDEX(nTP_Record_Type,CY96))</f>
        <v/>
      </c>
      <c r="DB96" s="21" t="str">
        <f>IF(CY96=0,"",INDEX(nTP_Precision,CY96))</f>
        <v/>
      </c>
      <c r="DC96" s="21" t="str">
        <f>IF(CY96=0,"",INDEX(nTP_Err,CY96))</f>
        <v/>
      </c>
      <c r="DD96" s="21">
        <f>IF(CY96=0,0,INDEX(nTP_HT,CY96))</f>
        <v>0</v>
      </c>
      <c r="DE96" s="21">
        <f>IF(CY96=0,0,INDEX(nTP_OK,CY96))</f>
        <v>0</v>
      </c>
      <c r="DF96" s="21" t="str">
        <f>IF(CY96=0,"",INDEX(nTP_Loc,CY96))</f>
        <v/>
      </c>
      <c r="DG96" s="21" t="str">
        <f>IF(CY96=0,"",INDEX(nTP_UTC,CY96))</f>
        <v/>
      </c>
      <c r="DH96" s="21" t="str">
        <f>IF(CY96=0,"",INDEX(nTP_Lo,CY96))</f>
        <v/>
      </c>
      <c r="DI96" s="21" t="str">
        <f>IF(CY96=0,"",INDEX(nTP_Hi,CY96))</f>
        <v/>
      </c>
      <c r="DJ96" s="21" t="str">
        <f>IF(CY96=0,"",INDEX(nTP_Original_Text,CY96))</f>
        <v/>
      </c>
      <c r="DK96" s="21" t="str">
        <f>IF(CY96=0,"",INDEX(nTP_Source,CY96))</f>
        <v/>
      </c>
      <c r="DL96" s="22">
        <f t="shared" si="156"/>
        <v>0</v>
      </c>
      <c r="DM96" s="21" t="str">
        <f t="shared" si="157"/>
        <v>; E_MISSING_INPUT</v>
      </c>
      <c r="DN96" s="21" t="str">
        <f t="shared" si="158"/>
        <v>an existing, dated anchor record (EX1/START)</v>
      </c>
      <c r="DO96" s="21" t="str">
        <f t="shared" si="159"/>
        <v>; E_MISSING_INPUT</v>
      </c>
      <c r="DP96" s="21" t="str">
        <f t="shared" si="160"/>
        <v>an existing, dated end-point record (EV1/ONSET)</v>
      </c>
      <c r="DQ96" s="21" t="str">
        <f t="shared" si="161"/>
        <v/>
      </c>
      <c r="DR96" s="22">
        <f>IF(OR(DQ96="",I96=""),0,IF(ISNA(MATCH(I96,nLIST_Mode,0)),1,IF(AND(I96="C1",DQ96&lt;&gt;"C1"),1,IF(AND(I96="C2",DQ96="C4"),1,0))))</f>
        <v>0</v>
      </c>
      <c r="DS96" s="21" t="str">
        <f t="shared" si="162"/>
        <v/>
      </c>
      <c r="DT96" s="22">
        <f t="shared" si="163"/>
        <v>0</v>
      </c>
      <c r="DU96" s="21" t="str">
        <f>IF(DT96=0,"",IF(COUNTIFS(nTP_Case_Key,AX96,nTP_Record_Type,"MILESTONE:INTERVENTION",nTP_Err,"E_INVALID_DATE")&gt;0,"; E_INVALID_DATE","")&amp;IF(COUNTIFS(nTP_Case_Key,AX96,nTP_Record_Type,"MILESTONE:INTERVENTION",nTP_Err,"E_REVERSED_BOUNDS")&gt;0,"; E_REVERSED_BOUNDS","")&amp;IF(COUNTIFS(nTP_Case_Key,AX96,nTP_Record_Type,"MILESTONE:INTERVENTION",nTP_Err,"E_MISSING_INPUT")&gt;0,"; E_MISSING_INPUT","")&amp;IF(COUNTIFS(nTP_Case_Key,AX96,nTP_Record_Type,"MILESTONE:INTERVENTION",nTP_Err,"E_INVALID_UNIT")&gt;0,"; E_INVALID_UNIT",""))</f>
        <v/>
      </c>
      <c r="DV96" s="22">
        <f>IF(DT96=0,0,SUMPRODUCT((nMS_CaseKey=AX96)*(nMS_Type="INTERVENTION")*nMS_Undated))</f>
        <v>0</v>
      </c>
      <c r="DW96" s="21" t="str">
        <f t="shared" si="164"/>
        <v>; E_MISSING_INPUT; E_MISSING_INPUT</v>
      </c>
      <c r="DX96" s="21" t="str">
        <f t="shared" si="165"/>
        <v>E_MISSING_INPUT</v>
      </c>
      <c r="DY96" s="22">
        <f t="shared" si="166"/>
        <v>1</v>
      </c>
      <c r="DZ96" s="21" t="str">
        <f t="shared" si="167"/>
        <v/>
      </c>
      <c r="EA96" s="21" t="str">
        <f t="shared" si="168"/>
        <v/>
      </c>
      <c r="EB96" s="21" t="str">
        <f t="shared" si="169"/>
        <v/>
      </c>
      <c r="EC96" s="21" t="str">
        <f t="shared" si="170"/>
        <v/>
      </c>
      <c r="ED96" s="22">
        <f t="shared" si="171"/>
        <v>1</v>
      </c>
      <c r="EE96" s="22">
        <f t="shared" si="172"/>
        <v>0</v>
      </c>
      <c r="EF96" s="21" t="str">
        <f>IF(ED96=0,"",IF(OR(NOT(ISNUMBER(L96)),NOT(ISNUMBER(M96))),"I_APPROXIMATE_NOT_COMPARED",IF(AND(N96&lt;&gt;"",ISNA(MATCH(N96,nLIST_ReportedUnit,0))),"E_INVALID_UNIT",IF(N96="","E_MISSING_INPUT",IF(L96&gt;M96,"E_REVERSED_BOUNDS",IF(OR(N96="weeks",N96="months",N96="years"),"I_APPROXIMATE_NOT_COMPARED",IF(DX96&lt;&gt;"","",IF(EE96=0,"I_APPROXIMATE_NOT_COMPARED",IF(AND(L96*EE96&lt;=IF(DS96="C4",EC96,IF(DS96="C1",DZ96,EA96)),M96*EE96&gt;=IF(DS96="C4",EB96,IF(DS96="C1",DZ96,EA96))),"OVERLAP","W_REPORTED_TIMING_CONFLICT")))))))))</f>
        <v>I_APPROXIMATE_NOT_COMPARED</v>
      </c>
      <c r="EG96" s="21" t="str">
        <f t="shared" si="173"/>
        <v>E_MISSING_INPUT</v>
      </c>
      <c r="EH96" s="21" t="str">
        <f t="shared" si="174"/>
        <v>an existing, dated end-point record (EV1/ONSET), an existing, dated anchor record (EX1/START)</v>
      </c>
      <c r="EI96" s="22">
        <f t="shared" si="175"/>
        <v>0</v>
      </c>
      <c r="EJ96" s="22">
        <f t="shared" si="176"/>
        <v>0</v>
      </c>
      <c r="EK96" s="22">
        <f t="shared" si="177"/>
        <v>0</v>
      </c>
      <c r="EL96" s="28" t="str">
        <f t="shared" si="178"/>
        <v/>
      </c>
      <c r="EM96" s="28" t="str">
        <f t="shared" si="179"/>
        <v/>
      </c>
      <c r="EN96" s="21" t="str">
        <f t="shared" si="180"/>
        <v/>
      </c>
      <c r="EO96" s="22">
        <f>IF(OR(DT96=0,DX96&lt;&gt;""),0,SUMPRODUCT((nTP_Case_Key=AX96)*(nTP_Record_Type="MILESTONE:INTERVENTION")*(nTP_Err="")*(nTP_HT*DD96*BN96*(nTP_OK*DE96*(nTP_UTC_n&gt;=N(DG96))+(1-nTP_OK*DE96)*(nTP_Loc_n&gt;=N(DF96)))*(nTP_OK*BO96*(nTP_UTC_n&lt;=N(BQ96))+(1-nTP_OK*BO96)*(nTP_Loc_n&lt;=N(BP96)))+(1-nTP_HT*DD96*BN96)*(nTP_Hi_n&gt;=N(DH96))*(nTP_Lo_n&lt;=N(BS96)))))</f>
        <v>0</v>
      </c>
      <c r="EP96" s="22">
        <f>IF(OR(DT96=0,DX96&lt;&gt;""),0,SUMPRODUCT((nTP_Case_Key=AX96)*(nTP_Role="treatment of the event")*((nTP_Record_Type="EXPOSURE_START")+(nTP_Record_Type="ADMINISTRATION"))*(nTP_Err="")*(nTP_HT*DD96*BN96*(nTP_OK*DE96*(nTP_UTC_n&gt;=N(DG96))+(1-nTP_OK*DE96)*(nTP_Loc_n&gt;=N(DF96)))*(nTP_OK*BO96*(nTP_UTC_n&lt;=N(BQ96))+(1-nTP_OK*BO96)*(nTP_Loc_n&lt;=N(BP96)))+(1-nTP_HT*DD96*BN96)*(nTP_Hi_n&gt;=N(DH96))*(nTP_Lo_n&lt;=N(BS96)))))</f>
        <v>0</v>
      </c>
      <c r="EQ96" s="22">
        <f>IF(EO96&lt;1,0,IFERROR(_xlfn.AGGREGATE(15,6,nTP_RowN/((nTP_Case_Key=AX96)*(nTP_Record_Type="MILESTONE:INTERVENTION")*(nTP_Err="")*(nTP_HT*DD96*BN96*(nTP_OK*DE96*(nTP_UTC_n&gt;=N(DG96))+(1-nTP_OK*DE96)*(nTP_Loc_n&gt;=N(DF96)))*(nTP_OK*BO96*(nTP_UTC_n&lt;=N(BQ96))+(1-nTP_OK*BO96)*(nTP_Loc_n&lt;=N(BP96)))+(1-nTP_HT*DD96*BN96)*(nTP_Hi_n&gt;=N(DH96))*(nTP_Lo_n&lt;=N(BS96)))),1),0))</f>
        <v>0</v>
      </c>
      <c r="ER96" s="22">
        <f>IF(EO96&lt;2,0,IFERROR(_xlfn.AGGREGATE(15,6,nTP_RowN/((nTP_Case_Key=AX96)*(nTP_Record_Type="MILESTONE:INTERVENTION")*(nTP_Err="")*(nTP_HT*DD96*BN96*(nTP_OK*DE96*(nTP_UTC_n&gt;=N(DG96))+(1-nTP_OK*DE96)*(nTP_Loc_n&gt;=N(DF96)))*(nTP_OK*BO96*(nTP_UTC_n&lt;=N(BQ96))+(1-nTP_OK*BO96)*(nTP_Loc_n&lt;=N(BP96)))+(1-nTP_HT*DD96*BN96)*(nTP_Hi_n&gt;=N(DH96))*(nTP_Lo_n&lt;=N(BS96)))),2),0))</f>
        <v>0</v>
      </c>
      <c r="ES96" s="22">
        <f>IF(EO96&lt;3,0,IFERROR(_xlfn.AGGREGATE(15,6,nTP_RowN/((nTP_Case_Key=AX96)*(nTP_Record_Type="MILESTONE:INTERVENTION")*(nTP_Err="")*(nTP_HT*DD96*BN96*(nTP_OK*DE96*(nTP_UTC_n&gt;=N(DG96))+(1-nTP_OK*DE96)*(nTP_Loc_n&gt;=N(DF96)))*(nTP_OK*BO96*(nTP_UTC_n&lt;=N(BQ96))+(1-nTP_OK*BO96)*(nTP_Loc_n&lt;=N(BP96)))+(1-nTP_HT*DD96*BN96)*(nTP_Hi_n&gt;=N(DH96))*(nTP_Lo_n&lt;=N(BS96)))),3),0))</f>
        <v>0</v>
      </c>
      <c r="ET96" s="22">
        <f>IF(EP96&lt;1,0,IFERROR(_xlfn.AGGREGATE(15,6,nTP_RowN/((nTP_Case_Key=AX96)*(nTP_Role="treatment of the event")*((nTP_Record_Type="EXPOSURE_START")+(nTP_Record_Type="ADMINISTRATION"))*(nTP_Err="")*(nTP_HT*DD96*BN96*(nTP_OK*DE96*(nTP_UTC_n&gt;=N(DG96))+(1-nTP_OK*DE96)*(nTP_Loc_n&gt;=N(DF96)))*(nTP_OK*BO96*(nTP_UTC_n&lt;=N(BQ96))+(1-nTP_OK*BO96)*(nTP_Loc_n&lt;=N(BP96)))+(1-nTP_HT*DD96*BN96)*(nTP_Hi_n&gt;=N(DH96))*(nTP_Lo_n&lt;=N(BS96)))),1),0))</f>
        <v>0</v>
      </c>
      <c r="EU96" s="22">
        <f>IF(EP96&lt;2,0,IFERROR(_xlfn.AGGREGATE(15,6,nTP_RowN/((nTP_Case_Key=AX96)*(nTP_Role="treatment of the event")*((nTP_Record_Type="EXPOSURE_START")+(nTP_Record_Type="ADMINISTRATION"))*(nTP_Err="")*(nTP_HT*DD96*BN96*(nTP_OK*DE96*(nTP_UTC_n&gt;=N(DG96))+(1-nTP_OK*DE96)*(nTP_Loc_n&gt;=N(DF96)))*(nTP_OK*BO96*(nTP_UTC_n&lt;=N(BQ96))+(1-nTP_OK*BO96)*(nTP_Loc_n&lt;=N(BP96)))+(1-nTP_HT*DD96*BN96)*(nTP_Hi_n&gt;=N(DH96))*(nTP_Lo_n&lt;=N(BS96)))),2),0))</f>
        <v>0</v>
      </c>
      <c r="EV96" s="22">
        <f>IF(EP96&lt;3,0,IFERROR(_xlfn.AGGREGATE(15,6,nTP_RowN/((nTP_Case_Key=AX96)*(nTP_Role="treatment of the event")*((nTP_Record_Type="EXPOSURE_START")+(nTP_Record_Type="ADMINISTRATION"))*(nTP_Err="")*(nTP_HT*DD96*BN96*(nTP_OK*DE96*(nTP_UTC_n&gt;=N(DG96))+(1-nTP_OK*DE96)*(nTP_Loc_n&gt;=N(DF96)))*(nTP_OK*BO96*(nTP_UTC_n&lt;=N(BQ96))+(1-nTP_OK*BO96)*(nTP_Loc_n&lt;=N(BP96)))+(1-nTP_HT*DD96*BN96)*(nTP_Hi_n&gt;=N(DH96))*(nTP_Lo_n&lt;=N(BS96)))),3),0))</f>
        <v>0</v>
      </c>
      <c r="EW96" s="22">
        <f>IF(CE96&lt;1,0,IFERROR(_xlfn.AGGREGATE(15,6,nTP_RowN/((nTP_CandKey=BX96)*(nTP_Err="")*(1-nTP_Exact)*((nTP_HT*BN96*((nTP_OK*BO96*(nTP_UTC_n-N(BQ96))+(1-nTP_OK*BO96)*(nTP_Loc_n-N(BP96)))&lt;=0)+(1-nTP_HT*BN96)*(nTP_Hi_n&lt;N(BR96)))+((1-nTP_HT*BN96)*(nTP_Lo_n=nTP_Hi_n)*(nTP_Lo_n=N(BR96))*(N(BR96)=N(BS96))))),1),0))</f>
        <v>0</v>
      </c>
      <c r="EX96" s="22">
        <f>IF(CE96&lt;2,0,IFERROR(_xlfn.AGGREGATE(15,6,nTP_RowN/((nTP_CandKey=BX96)*(nTP_Err="")*(1-nTP_Exact)*((nTP_HT*BN96*((nTP_OK*BO96*(nTP_UTC_n-N(BQ96))+(1-nTP_OK*BO96)*(nTP_Loc_n-N(BP96)))&lt;=0)+(1-nTP_HT*BN96)*(nTP_Hi_n&lt;N(BR96)))+((1-nTP_HT*BN96)*(nTP_Lo_n=nTP_Hi_n)*(nTP_Lo_n=N(BR96))*(N(BR96)=N(BS96))))),2),0))</f>
        <v>0</v>
      </c>
      <c r="EY96" s="22">
        <f>IF(CE96&lt;3,0,IFERROR(_xlfn.AGGREGATE(15,6,nTP_RowN/((nTP_CandKey=BX96)*(nTP_Err="")*(1-nTP_Exact)*((nTP_HT*BN96*((nTP_OK*BO96*(nTP_UTC_n-N(BQ96))+(1-nTP_OK*BO96)*(nTP_Loc_n-N(BP96)))&lt;=0)+(1-nTP_HT*BN96)*(nTP_Hi_n&lt;N(BR96)))+((1-nTP_HT*BN96)*(nTP_Lo_n=nTP_Hi_n)*(nTP_Lo_n=N(BR96))*(N(BR96)=N(BS96))))),3),0))</f>
        <v>0</v>
      </c>
      <c r="EZ96" s="21" t="str">
        <f>IF(EO96=0,"",MID(IF(EQ96&gt;0,"; "&amp;INDEX(nTP_Record_ID,EQ96)&amp;IF(INDEX(nTP_Label,EQ96)="",""," ("&amp;INDEX(nTP_Label,EQ96)&amp;")"),"")&amp;IF(ER96&gt;0,"; "&amp;INDEX(nTP_Record_ID,ER96)&amp;IF(INDEX(nTP_Label,ER96)="",""," ("&amp;INDEX(nTP_Label,ER96)&amp;")"),"")&amp;IF(ES96&gt;0,"; "&amp;INDEX(nTP_Record_ID,ES96)&amp;IF(INDEX(nTP_Label,ES96)="",""," ("&amp;INDEX(nTP_Label,ES96)&amp;")"),"")&amp;IF(EO96&gt;3,"; and "&amp;(EO96-3)&amp;" more",""),3,999))</f>
        <v/>
      </c>
      <c r="FA96" s="21" t="str">
        <f>IF(EO96=0,"",MID(IF(EQ96&gt;0,"; "&amp;INDEX(nTP_Record_ID,EQ96),"")&amp;IF(ER96&gt;0,"; "&amp;INDEX(nTP_Record_ID,ER96),"")&amp;IF(ES96&gt;0,"; "&amp;INDEX(nTP_Record_ID,ES96),"")&amp;IF(EO96&gt;3,"; and "&amp;(EO96-3)&amp;" more",""),3,999))</f>
        <v/>
      </c>
      <c r="FB96" s="21" t="str">
        <f>IF(EP96=0,"",MID(IF(ET96&gt;0,"; "&amp;INDEX(nTP_Record_ID,ET96)&amp;IF(INDEX(nTP_Label,ET96)="",""," ("&amp;INDEX(nTP_Label,ET96)&amp;")"),"")&amp;IF(EU96&gt;0,"; "&amp;INDEX(nTP_Record_ID,EU96)&amp;IF(INDEX(nTP_Label,EU96)="",""," ("&amp;INDEX(nTP_Label,EU96)&amp;")"),"")&amp;IF(EV96&gt;0,"; "&amp;INDEX(nTP_Record_ID,EV96)&amp;IF(INDEX(nTP_Label,EV96)="",""," ("&amp;INDEX(nTP_Label,EV96)&amp;")"),"")&amp;IF(EP96&gt;3,"; and "&amp;(EP96-3)&amp;" more",""),3,999))</f>
        <v/>
      </c>
      <c r="FC96" s="21" t="str">
        <f>IF(CE96=0,"",MID(IF(EW96&gt;0,"; "&amp;INDEX(nTP_Record_ID,EW96),"")&amp;IF(EX96&gt;0,"; "&amp;INDEX(nTP_Record_ID,EX96),"")&amp;IF(EY96&gt;0,"; "&amp;INDEX(nTP_Record_ID,EY96),"")&amp;IF(CE96&gt;3,"; and "&amp;(CE96-3)&amp;" more",""),3,999))</f>
        <v/>
      </c>
      <c r="FD96" s="22">
        <f t="shared" si="181"/>
        <v>0</v>
      </c>
      <c r="FE96" s="22">
        <f t="shared" si="182"/>
        <v>0</v>
      </c>
      <c r="FF96" s="22">
        <f t="shared" si="183"/>
        <v>0</v>
      </c>
      <c r="FG96" s="22">
        <f t="shared" si="184"/>
        <v>0</v>
      </c>
      <c r="FH96" s="22">
        <f t="shared" si="185"/>
        <v>0</v>
      </c>
      <c r="FI96" s="22">
        <f t="shared" si="186"/>
        <v>0</v>
      </c>
      <c r="FJ96" s="22">
        <f t="shared" si="187"/>
        <v>0</v>
      </c>
      <c r="FK96" s="22">
        <f t="shared" si="188"/>
        <v>0</v>
      </c>
    </row>
    <row r="97" spans="1:167" x14ac:dyDescent="0.2">
      <c r="A97" s="9" t="s">
        <v>1180</v>
      </c>
      <c r="B97" s="9" t="s">
        <v>363</v>
      </c>
      <c r="C97" s="11">
        <v>1</v>
      </c>
      <c r="D97" s="9" t="s">
        <v>894</v>
      </c>
      <c r="E97" s="16" t="s">
        <v>56</v>
      </c>
      <c r="F97" s="9"/>
      <c r="G97" s="9" t="s">
        <v>1196</v>
      </c>
      <c r="H97" s="9" t="s">
        <v>864</v>
      </c>
      <c r="I97" s="16"/>
      <c r="J97" s="16"/>
      <c r="K97" s="9"/>
      <c r="L97" s="16"/>
      <c r="M97" s="16"/>
      <c r="N97" s="16"/>
      <c r="O97" s="9"/>
      <c r="P97" s="14"/>
      <c r="Q97" s="14"/>
      <c r="R97" s="9"/>
      <c r="S97" s="9"/>
      <c r="T97" s="21" t="str">
        <f t="shared" si="126"/>
        <v>19 minutes</v>
      </c>
      <c r="U97" s="21" t="str">
        <f t="shared" si="127"/>
        <v>19 minutes</v>
      </c>
      <c r="V97" s="21">
        <f t="shared" si="128"/>
        <v>19</v>
      </c>
      <c r="W97" s="21" t="str">
        <f t="shared" si="129"/>
        <v/>
      </c>
      <c r="X97" s="21" t="str">
        <f t="shared" si="130"/>
        <v/>
      </c>
      <c r="Y97" s="21" t="str">
        <f t="shared" si="131"/>
        <v>minutes</v>
      </c>
      <c r="Z97" s="21" t="str">
        <f t="shared" si="132"/>
        <v>C7 (C1)</v>
      </c>
      <c r="AA97" s="21" t="str">
        <f t="shared" si="133"/>
        <v>AFTER</v>
      </c>
      <c r="AB97" s="21" t="str">
        <f t="shared" si="134"/>
        <v/>
      </c>
      <c r="AC97" s="21" t="str">
        <f t="shared" si="135"/>
        <v>W_INTERVENTION_BEFORE_RECOVERY</v>
      </c>
      <c r="AD97" s="21" t="str">
        <f>IF(AW97=1,"",MID(IF(ISNUMBER(SEARCH("E_INVALID_DATE",EG97))," | E_INVALID_DATE: "&amp;SUBSTITUTE(IFERROR(INDEX(nMSG_Text,MATCH("E_INVALID_DATE",nMSG_Code,0)),""),"[input]",""),"")&amp;IF(ISNUMBER(SEARCH("E_REVERSED_BOUNDS",EG97))," | E_REVERSED_BOUNDS: "&amp;SUBSTITUTE(IFERROR(INDEX(nMSG_Text,MATCH("E_REVERSED_BOUNDS",nMSG_Code,0)),""),"[input]",""),"")&amp;IF(ISNUMBER(SEARCH("E_DUPLICATE_ID",EG97))," | E_DUPLICATE_ID: "&amp;SUBSTITUTE(IFERROR(INDEX(nMSG_Text,MATCH("E_DUPLICATE_ID",nMSG_Code,0)),""),"[input]",""),"")&amp;IF(ISNUMBER(SEARCH("E_MISSING_LINK",EG97))," | E_MISSING_LINK: "&amp;SUBSTITUTE(IFERROR(INDEX(nMSG_Text,MATCH("E_MISSING_LINK",nMSG_Code,0)),""),"[input]",""),"")&amp;IF(ISNUMBER(SEARCH("E_MISSING_INPUT",EG97))," | E_MISSING_INPUT: "&amp;SUBSTITUTE(IFERROR(INDEX(nMSG_Text,MATCH("E_MISSING_INPUT",nMSG_Code,0)),""),"[input]",IF(EH97="","an input",EH97)),"")&amp;IF(ISNUMBER(SEARCH("E_INVALID_UNIT",EG97))," | E_INVALID_UNIT: "&amp;SUBSTITUTE(IFERROR(INDEX(nMSG_Text,MATCH("E_INVALID_UNIT",nMSG_Code,0)),""),"[input]",""),"")&amp;IF(FD97=1," | W_TZ_UNKNOWN: "&amp;SUBSTITUTE(IFERROR(INDEX(nMSG_Text,MATCH("W_TZ_UNKNOWN",nMSG_Code,0)),""),"[input]",""),"")&amp;IF(FE97=1," | W_SAME_DATE_ORDER_UNKNOWN: "&amp;SUBSTITUTE(IFERROR(INDEX(nMSG_Text,MATCH("W_SAME_DATE_ORDER_UNKNOWN",nMSG_Code,0)),""),"[input]",""),"")&amp;IF(FF97=1," | W_SEQUENCE_UNCERTAIN: "&amp;SUBSTITUTE(IFERROR(INDEX(nMSG_Text,MATCH("W_SEQUENCE_UNCERTAIN",nMSG_Code,0)),""),"[input]",""),"")&amp;IF(FG97=1," | W_ADMIN_SAME_DATE_AS_ONSET: "&amp;SUBSTITUTE(IFERROR(INDEX(nMSG_Text,MATCH("W_ADMIN_SAME_DATE_AS_ONSET",nMSG_Code,0)),""),"[input]",""),"")&amp;IF(FH97=1," | W_REPORTED_TIMING_CONFLICT: "&amp;SUBSTITUTE(IFERROR(INDEX(nMSG_Text,MATCH("W_REPORTED_TIMING_CONFLICT",nMSG_Code,0)),""),"[input]",""),"")&amp;IF(FI97=1," | W_INTERVENTION_BEFORE_RECOVERY: "&amp;SUBSTITUTE(IFERROR(INDEX(nMSG_Text,MATCH("W_INTERVENTION_BEFORE_RECOVERY",nMSG_Code,0)),""),"[input]",""),"")&amp;IF(FJ97=1," | I_TREATMENT_DAY_UNDEFINED: "&amp;SUBSTITUTE(IFERROR(INDEX(nMSG_Text,MATCH("I_TREATMENT_DAY_UNDEFINED",nMSG_Code,0)),""),"[input]",""),"")&amp;IF(FK97=1," | I_APPROXIMATE_NOT_COMPARED: "&amp;SUBSTITUTE(IFERROR(INDEX(nMSG_Text,MATCH("I_APPROXIMATE_NOT_COMPARED",nMSG_Code,0)),""),"[input]",""),""),4,9999))</f>
        <v>W_INTERVENTION_BEFORE_RECOVERY: Treatment was given before recovery, so recovery cannot be attributed to withdrawal alone.</v>
      </c>
      <c r="AE97" s="21" t="str">
        <f t="shared" si="136"/>
        <v/>
      </c>
      <c r="AF97" s="21" t="str">
        <f t="shared" si="137"/>
        <v/>
      </c>
      <c r="AG97" s="21" t="str">
        <f>IF(EN97="","",MID(IF(ISNUMBER(SEARCH("E_REVERSED_BOUNDS",EN97))," | E_REVERSED_BOUNDS: "&amp;SUBSTITUTE(IFERROR(INDEX(nMSG_Text,MATCH("E_REVERSED_BOUNDS",nMSG_Code,0)),""),"[input]",""),"")&amp;IF(ISNUMBER(SEARCH("E_MISSING_INPUT",EN97))," | E_MISSING_INPUT: "&amp;SUBSTITUTE(IFERROR(INDEX(nMSG_Text,MATCH("E_MISSING_INPUT",nMSG_Code,0)),""),"[input]",IF("the source of the constraint"="","an input","the source of the constraint")),""),4,999))</f>
        <v/>
      </c>
      <c r="AH97" s="21" t="str">
        <f t="shared" si="138"/>
        <v/>
      </c>
      <c r="AI97" s="21" t="str">
        <f t="shared" si="139"/>
        <v>EX1/STOP → MS-REC (recovery)</v>
      </c>
      <c r="AJ97" s="21" t="str">
        <f t="shared" si="140"/>
        <v>EX1/STOP</v>
      </c>
      <c r="AK97" s="21" t="str">
        <f t="shared" si="141"/>
        <v>MS-REC</v>
      </c>
      <c r="AL97" s="21" t="str">
        <f>IF(CY97=0,"",INDEX(nTP_ISO,CY97))</f>
        <v>2026-01-10T09:16-05:00</v>
      </c>
      <c r="AM97" s="21" t="str">
        <f>IF(CY97=0,"",INDEX(nTP_Display,CY97))</f>
        <v>10 January 2026 09:16 (UTC-05:00)</v>
      </c>
      <c r="AN97" s="21" t="str">
        <f>IF(BI97=0,"",INDEX(nTP_ISO,BI97))</f>
        <v>2026-01-10T09:35-05:00</v>
      </c>
      <c r="AO97" s="21" t="str">
        <f>IF(BI97=0,"",INDEX(nTP_Display,BI97))</f>
        <v>10 January 2026 09:35 (UTC-05:00)</v>
      </c>
      <c r="AP97" s="21" t="str">
        <f>IF(BA97=0,"",INDEX(nLNK_Exposure_Episode_ID,BA97)&amp;"")</f>
        <v>EX1</v>
      </c>
      <c r="AQ97" s="21" t="str">
        <f>IF(BA97=0,"",INDEX(nLNK_Event_Episode_ID,BA97)&amp;"")</f>
        <v>EV1</v>
      </c>
      <c r="AR97" s="21" t="str">
        <f t="shared" si="142"/>
        <v>Anchor (CESSATION) EX1/STOP: 2026-01-10T09:16-05:00 [timestamp with UTC offset; case measurement; original: "cessation 2026-01-10T09:16-05:00"; source: tto_calc_test_vectors_v1.1.json V28] | End point MS-REC: 2026-01-10T09:35-05:00 [timestamp with UTC offset; case measurement; original: "2026-01-10T09:35-05:00"; source: tto_calc_test_vectors_v1.1.json V28]</v>
      </c>
      <c r="AS97" s="21" t="str">
        <f>IF(EI97=0,"",MID(IF(DT97=1," | Recovery interval (C7) computed with "&amp;DS97&amp;".","")&amp;IF(BG97=1," | Anchor selected under C5 (CALC-SPEC 1.1): latest administration with an exact date or time at or before "&amp;IF(BH97=1,"onset","the end point")&amp;" ("&amp;AJ97&amp;"), ordered in UTC when offsets are known; later administrations are never selected.","")&amp;IF(AND(BG97=1,CE97&gt;0)," | Partial-date administrations wholly before the selected one were not candidates: "&amp;FC97&amp;".","")&amp;IF(BV97&lt;&gt;""," | "&amp;BV97,"")&amp;IF(AND(DS97="C2",EA97=0,DZ97&lt;&gt;"")," | Same calendar date; both times are known, so C1 decides the order ("&amp;AA97&amp;").","")&amp;IF(AND(DS97="C2",DD97*BN97=1,DT97=0)," | Calendar-date difference from the recorded local dates; it is never described as elapsed days.","")&amp;IF(AND(DS97="C4",DT97=0)," | Bounds are treated as independent; no single date is imputed from them.","")&amp;IF(EJ97=1," | Treatment day under the inclusive convention (C3); never written to E2B fields automatically.","")&amp;IF(AND(DS97="C4",DT97=0,EK97=0)," | No constraint applied.","")&amp;IF(AND(DS97="C4",EK97=1)," | Constraint applied to the anchor bounds: "&amp;IF(ISNUMBER(P97),"not before "&amp;DAY(P97)&amp;" "&amp;INDEX(nLIST_Months,MONTH(P97))&amp;" "&amp;YEAR(P97),"")&amp;IF(AND(ISNUMBER(P97),ISNUMBER(Q97)),", ","")&amp;IF(ISNUMBER(Q97),"not after "&amp;DAY(Q97)&amp;" "&amp;INDEX(nLIST_Months,MONTH(Q97))&amp;" "&amp;YEAR(Q97),"")&amp;". Source: "&amp;IF(R97="","not recorded",R97)&amp;IF(EN97="",". Constrained result shown beside the unconstrained one.",". Constrained result blocked ("&amp;EN97&amp;")."),"")&amp;IF(DT97=1,IF(EO97&gt;0," | Intervention recorded between cessation and recovery (ends included): "&amp;EZ97&amp;"."," | No intervention is recorded between cessation and recovery; absence of a record is not evidence that none was given."),"")&amp;IF(AND(DT97=1,DV97&gt;0)," | Intervention recorded without a date, so whether it came before recovery is unknown: "&amp;INDEX(nMS_Milestone_ID,MATCH(1,INDEX((nMS_CaseKey=AX97)*(nMS_Type="INTERVENTION")*nMS_Undated,0),0))&amp;IF(DV97&gt;1," and "&amp;(DV97-1)&amp;" more","")&amp;".","")&amp;IF(AND(DT97=1,EP97&gt;0)," | Not counted as interventions, because they are recorded as exposures rather than as intervention milestones (nothing is inferred): "&amp;FB97&amp;". If treatment was given, record it as an intervention milestone.",""),4,9999))</f>
        <v>Recovery interval (C7) computed with C1. | Intervention recorded between cessation and recovery (ends included): MS-RX (emergency medicines from 09:18).</v>
      </c>
      <c r="AT97" s="21" t="str">
        <f t="shared" si="143"/>
        <v>The interval describes the sequence and spacing of recorded times; it is not evidence of causation. A recovery interval is not, by itself, evidence of positive dechallenge.</v>
      </c>
      <c r="AU97" s="21" t="str">
        <f t="shared" si="144"/>
        <v>MS-RX</v>
      </c>
      <c r="AV97" s="21" t="str">
        <f t="shared" si="145"/>
        <v>CALC-SPEC 1.1</v>
      </c>
      <c r="AW97" s="22">
        <f t="shared" si="146"/>
        <v>0</v>
      </c>
      <c r="AX97" s="21" t="str">
        <f t="shared" si="147"/>
        <v>VEC-V28|1</v>
      </c>
      <c r="AY97" s="21" t="str">
        <f t="shared" si="148"/>
        <v>VEC-V28|1|I1</v>
      </c>
      <c r="AZ97" s="22">
        <f>IF(AY97="",0,COUNTIF(nINT_Key,AY97))</f>
        <v>1</v>
      </c>
      <c r="BA97" s="22">
        <f>IF(D97="",0,IFERROR(MATCH(AX97&amp;"|"&amp;D97,nLNK_Key,0),0))</f>
        <v>44</v>
      </c>
      <c r="BB97" s="22">
        <f>IF(BA97=0,1,INDEX(nLNK_Exp_Found,BA97))</f>
        <v>1</v>
      </c>
      <c r="BC97" s="22">
        <f>IF(BA97=0,1,INDEX(nLNK_Evt_Found,BA97))</f>
        <v>1</v>
      </c>
      <c r="BD97" s="22">
        <f>IF(AP97="",0,COUNTIF(nEXP_Key,AX97&amp;"|"&amp;AP97))</f>
        <v>1</v>
      </c>
      <c r="BE97" s="22">
        <f>IF(AQ97="",0,COUNTIF(nEVT_Key,AX97&amp;"|"&amp;AQ97))</f>
        <v>1</v>
      </c>
      <c r="BF97" s="22">
        <f>IF(ISNA(MATCH(E97,nLIST_AnchorType,0)),0,1)</f>
        <v>1</v>
      </c>
      <c r="BG97" s="22">
        <f t="shared" si="149"/>
        <v>0</v>
      </c>
      <c r="BH97" s="22">
        <f t="shared" si="150"/>
        <v>0</v>
      </c>
      <c r="BI97" s="22">
        <f>IF(OR(AW97=1,AK97=""),0,IFERROR(MATCH(AX97&amp;"|"&amp;AK97,nTP_Key,0),0))</f>
        <v>447</v>
      </c>
      <c r="BJ97" s="21">
        <f>IF(BI97=0,0,INDEX(nTP_Dup,BI97))</f>
        <v>1</v>
      </c>
      <c r="BK97" s="21" t="str">
        <f>IF(BI97=0,"",INDEX(nTP_Record_Type,BI97))</f>
        <v>MILESTONE:RECOVERY</v>
      </c>
      <c r="BL97" s="21" t="str">
        <f>IF(BI97=0,"",INDEX(nTP_Precision,BI97))</f>
        <v>TIMESTAMP</v>
      </c>
      <c r="BM97" s="21" t="str">
        <f>IF(BI97=0,"",INDEX(nTP_Err,BI97))</f>
        <v/>
      </c>
      <c r="BN97" s="21">
        <f>IF(BI97=0,0,INDEX(nTP_HT,BI97))</f>
        <v>1</v>
      </c>
      <c r="BO97" s="21">
        <f>IF(BI97=0,0,INDEX(nTP_OK,BI97))</f>
        <v>1</v>
      </c>
      <c r="BP97" s="21">
        <f>IF(BI97=0,"",INDEX(nTP_Loc,BI97))</f>
        <v>66286655</v>
      </c>
      <c r="BQ97" s="21">
        <f>IF(BI97=0,"",INDEX(nTP_UTC,BI97))</f>
        <v>66286955</v>
      </c>
      <c r="BR97" s="21">
        <f>IF(BI97=0,"",INDEX(nTP_Lo,BI97))</f>
        <v>46032</v>
      </c>
      <c r="BS97" s="21">
        <f>IF(BI97=0,"",INDEX(nTP_Hi,BI97))</f>
        <v>46032</v>
      </c>
      <c r="BT97" s="21" t="str">
        <f>IF(BI97=0,"",INDEX(nTP_Original_Text,BI97))</f>
        <v>2026-01-10T09:35-05:00</v>
      </c>
      <c r="BU97" s="21" t="str">
        <f>IF(BI97=0,"",INDEX(nTP_Source,BI97))</f>
        <v>tto_calc_test_vectors_v1.1.json V28</v>
      </c>
      <c r="BV97" s="21" t="str">
        <f>IF(BI97=0,"",INDEX(nTP_Lab_Note,BI97))</f>
        <v/>
      </c>
      <c r="BW97" s="22">
        <f t="shared" si="151"/>
        <v>1</v>
      </c>
      <c r="BX97" s="21" t="str">
        <f t="shared" si="152"/>
        <v>VEC-V28|1|EX1</v>
      </c>
      <c r="BY97" s="22">
        <f>IF(BG97=0,0,COUNTIF(nTP_CandKey,BX97))</f>
        <v>0</v>
      </c>
      <c r="BZ97" s="22">
        <f>IF(BG97=0,0,COUNTIFS(nTP_CandKey,BX97,nTP_Err,""))</f>
        <v>0</v>
      </c>
      <c r="CA97" s="21" t="str">
        <f>IF(BY97=BZ97,"",IF(COUNTIFS(nTP_CandKey,BX97,nTP_Err,"E_INVALID_DATE")&gt;0,"; E_INVALID_DATE","")&amp;IF(COUNTIFS(nTP_CandKey,BX97,nTP_Err,"E_REVERSED_BOUNDS")&gt;0,"; E_REVERSED_BOUNDS","")&amp;IF(COUNTIFS(nTP_CandKey,BX97,nTP_Err,"E_MISSING_INPUT")&gt;0,"; E_MISSING_INPUT","")&amp;IF(COUNTIFS(nTP_CandKey,BX97,nTP_Err,"E_INVALID_UNIT")&gt;0,"; E_INVALID_UNIT",""))</f>
        <v/>
      </c>
      <c r="CB97" s="22">
        <f t="shared" si="153"/>
        <v>0</v>
      </c>
      <c r="CC97" s="22">
        <f>IF(CB97=0,0,SUMPRODUCT((nTP_CandKey=BX97)*(nTP_Err="")*(1-(nTP_HT*BN97*((nTP_OK*BO97*(nTP_UTC_n-N(BQ97))+(1-nTP_OK*BO97)*(nTP_Loc_n-N(BP97)))&lt;=0)+(1-nTP_HT*BN97)*(nTP_Hi_n&lt;N(BR97)))-(nTP_HT*BN97*((nTP_OK*BO97*(nTP_UTC_n-N(BQ97))+(1-nTP_OK*BO97)*(nTP_Loc_n-N(BP97)))&gt;0)+(1-nTP_HT*BN97)*(nTP_Lo_n&gt;N(BS97)))-((1-nTP_HT*BN97)*(nTP_Lo_n=nTP_Hi_n)*(nTP_Lo_n=N(BR97))*(N(BR97)=N(BS97))))))</f>
        <v>0</v>
      </c>
      <c r="CD97" s="22">
        <f>IF(CB97=0,0,SUMPRODUCT((nTP_CandKey=BX97)*nTP_Exact*((nTP_HT*BN97*((nTP_OK*BO97*(nTP_UTC_n-N(BQ97))+(1-nTP_OK*BO97)*(nTP_Loc_n-N(BP97)))&lt;=0)+(1-nTP_HT*BN97)*(nTP_Hi_n&lt;N(BR97)))+((1-nTP_HT*BN97)*(nTP_Lo_n=nTP_Hi_n)*(nTP_Lo_n=N(BR97))*(N(BR97)=N(BS97))))))</f>
        <v>0</v>
      </c>
      <c r="CE97" s="22">
        <f>IF(CB97=0,0,SUMPRODUCT((nTP_CandKey=BX97)*(nTP_Err="")*(1-nTP_Exact)*((nTP_HT*BN97*((nTP_OK*BO97*(nTP_UTC_n-N(BQ97))+(1-nTP_OK*BO97)*(nTP_Loc_n-N(BP97)))&lt;=0)+(1-nTP_HT*BN97)*(nTP_Hi_n&lt;N(BR97)))+((1-nTP_HT*BN97)*(nTP_Lo_n=nTP_Hi_n)*(nTP_Lo_n=N(BR97))*(N(BR97)=N(BS97))))))</f>
        <v>0</v>
      </c>
      <c r="CF97" s="22">
        <f>IF(CD97=0,0,SUMPRODUCT(MAX((nTP_CandKey=BX97)*nTP_Exact*((nTP_HT*BN97*((nTP_OK*BO97*(nTP_UTC_n-N(BQ97))+(1-nTP_OK*BO97)*(nTP_Loc_n-N(BP97)))&lt;=0)+(1-nTP_HT*BN97)*(nTP_Hi_n&lt;N(BR97)))+((1-nTP_HT*BN97)*(nTP_Lo_n=nTP_Hi_n)*(nTP_Lo_n=N(BR97))*(N(BR97)=N(BS97))))*nTP_Lo_n)))</f>
        <v>0</v>
      </c>
      <c r="CG97" s="22">
        <f>IF(CD97=0,0,SUMPRODUCT((nTP_CandKey=BX97)*nTP_Exact*((nTP_HT*BN97*((nTP_OK*BO97*(nTP_UTC_n-N(BQ97))+(1-nTP_OK*BO97)*(nTP_Loc_n-N(BP97)))&lt;=0)+(1-nTP_HT*BN97)*(nTP_Hi_n&lt;N(BR97)))+((1-nTP_HT*BN97)*(nTP_Lo_n=nTP_Hi_n)*(nTP_Lo_n=N(BR97))*(N(BR97)=N(BS97))))*(nTP_Lo_n=CF97)))</f>
        <v>0</v>
      </c>
      <c r="CH97" s="22">
        <f>IF(CD97=0,0,SUMPRODUCT((nTP_CandKey=BX97)*nTP_Exact*((nTP_HT*BN97*((nTP_OK*BO97*(nTP_UTC_n-N(BQ97))+(1-nTP_OK*BO97)*(nTP_Loc_n-N(BP97)))&lt;=0)+(1-nTP_HT*BN97)*(nTP_Hi_n&lt;N(BR97)))+((1-nTP_HT*BN97)*(nTP_Lo_n=nTP_Hi_n)*(nTP_Lo_n=N(BR97))*(N(BR97)=N(BS97))))*(1-nTP_HT)*(nTP_Lo_n=CF97)))</f>
        <v>0</v>
      </c>
      <c r="CI97" s="22">
        <f>IF(CD97=0,0,SUMPRODUCT(MAX((nTP_CandKey=BX97)*nTP_Exact*((nTP_HT*BN97*((nTP_OK*BO97*(nTP_UTC_n-N(BQ97))+(1-nTP_OK*BO97)*(nTP_Loc_n-N(BP97)))&lt;=0)+(1-nTP_HT*BN97)*(nTP_Hi_n&lt;N(BR97)))+((1-nTP_HT*BN97)*(nTP_Lo_n=nTP_Hi_n)*(nTP_Lo_n=N(BR97))*(N(BR97)=N(BS97))))*(1-nTP_HT)*nTP_Lo_n)))</f>
        <v>0</v>
      </c>
      <c r="CJ97" s="22">
        <f>IF(CD97=0,0,SUMPRODUCT(MAX((nTP_CandKey=BX97)*nTP_Exact*((nTP_HT*BN97*((nTP_OK*BO97*(nTP_UTC_n-N(BQ97))+(1-nTP_OK*BO97)*(nTP_Loc_n-N(BP97)))&lt;=0)+(1-nTP_HT*BN97)*(nTP_Hi_n&lt;N(BR97)))+((1-nTP_HT*BN97)*(nTP_Lo_n=nTP_Hi_n)*(nTP_Lo_n=N(BR97))*(N(BR97)=N(BS97))))*nTP_HT*nTP_OK*nTP_UTC_n)))</f>
        <v>0</v>
      </c>
      <c r="CK97" s="22">
        <f>IF(CJ97=0,0,SUMPRODUCT((nTP_CandKey=BX97)*nTP_Exact*((nTP_HT*BN97*((nTP_OK*BO97*(nTP_UTC_n-N(BQ97))+(1-nTP_OK*BO97)*(nTP_Loc_n-N(BP97)))&lt;=0)+(1-nTP_HT*BN97)*(nTP_Hi_n&lt;N(BR97)))+((1-nTP_HT*BN97)*(nTP_Lo_n=nTP_Hi_n)*(nTP_Lo_n=N(BR97))*(N(BR97)=N(BS97))))*nTP_HT*nTP_OK*(nTP_UTC_n=CJ97)))</f>
        <v>0</v>
      </c>
      <c r="CL97" s="22">
        <f>IF(CK97&lt;&gt;1,0,SUMPRODUCT((nTP_CandKey=BX97)*nTP_Exact*((nTP_HT*BN97*((nTP_OK*BO97*(nTP_UTC_n-N(BQ97))+(1-nTP_OK*BO97)*(nTP_Loc_n-N(BP97)))&lt;=0)+(1-nTP_HT*BN97)*(nTP_Hi_n&lt;N(BR97)))+((1-nTP_HT*BN97)*(nTP_Lo_n=nTP_Hi_n)*(nTP_Lo_n=N(BR97))*(N(BR97)=N(BS97))))*nTP_HT*nTP_OK*(nTP_UTC_n=CJ97)*nTP_Loc_n))</f>
        <v>0</v>
      </c>
      <c r="CM97" s="22">
        <f>IF(CK97&lt;&gt;1,0,SUMPRODUCT((nTP_CandKey=BX97)*nTP_Exact*((nTP_HT*BN97*((nTP_OK*BO97*(nTP_UTC_n-N(BQ97))+(1-nTP_OK*BO97)*(nTP_Loc_n-N(BP97)))&lt;=0)+(1-nTP_HT*BN97)*(nTP_Hi_n&lt;N(BR97)))+((1-nTP_HT*BN97)*(nTP_Lo_n=nTP_Hi_n)*(nTP_Lo_n=N(BR97))*(N(BR97)=N(BS97))))*nTP_HT*nTP_OK*(nTP_UTC_n=CJ97)*nTP_Lo_n))</f>
        <v>0</v>
      </c>
      <c r="CN97" s="22">
        <f>IF(CD97=0,0,SUMPRODUCT(MAX((nTP_CandKey=BX97)*nTP_Exact*((nTP_HT*BN97*((nTP_OK*BO97*(nTP_UTC_n-N(BQ97))+(1-nTP_OK*BO97)*(nTP_Loc_n-N(BP97)))&lt;=0)+(1-nTP_HT*BN97)*(nTP_Hi_n&lt;N(BR97)))+((1-nTP_HT*BN97)*(nTP_Lo_n=nTP_Hi_n)*(nTP_Lo_n=N(BR97))*(N(BR97)=N(BS97))))*nTP_HT*(1-nTP_OK)*nTP_Loc_n)))</f>
        <v>0</v>
      </c>
      <c r="CO97" s="22">
        <f>IF(CN97=0,0,SUMPRODUCT((nTP_CandKey=BX97)*nTP_Exact*((nTP_HT*BN97*((nTP_OK*BO97*(nTP_UTC_n-N(BQ97))+(1-nTP_OK*BO97)*(nTP_Loc_n-N(BP97)))&lt;=0)+(1-nTP_HT*BN97)*(nTP_Hi_n&lt;N(BR97)))+((1-nTP_HT*BN97)*(nTP_Lo_n=nTP_Hi_n)*(nTP_Lo_n=N(BR97))*(N(BR97)=N(BS97))))*nTP_HT*(1-nTP_OK)*(nTP_Loc_n=CN97)))</f>
        <v>0</v>
      </c>
      <c r="CP97" s="22">
        <f>IF(CO97&lt;&gt;1,0,SUMPRODUCT((nTP_CandKey=BX97)*nTP_Exact*((nTP_HT*BN97*((nTP_OK*BO97*(nTP_UTC_n-N(BQ97))+(1-nTP_OK*BO97)*(nTP_Loc_n-N(BP97)))&lt;=0)+(1-nTP_HT*BN97)*(nTP_Hi_n&lt;N(BR97)))+((1-nTP_HT*BN97)*(nTP_Lo_n=nTP_Hi_n)*(nTP_Lo_n=N(BR97))*(N(BR97)=N(BS97))))*nTP_HT*(1-nTP_OK)*(nTP_Loc_n=CN97)*nTP_Lo_n))</f>
        <v>0</v>
      </c>
      <c r="CQ97" s="22">
        <f>IF(CD97=0,0,SUMPRODUCT(MAX((nTP_CandKey=BX97)*nTP_Exact*((nTP_HT*BN97*((nTP_OK*BO97*(nTP_UTC_n-N(BQ97))+(1-nTP_OK*BO97)*(nTP_Loc_n-N(BP97)))&lt;=0)+(1-nTP_HT*BN97)*(nTP_Hi_n&lt;N(BR97)))+((1-nTP_HT*BN97)*(nTP_Lo_n=nTP_Hi_n)*(nTP_Lo_n=N(BR97))*(N(BR97)=N(BS97))))*nTP_HT*nTP_OK*nTP_Loc_n)))</f>
        <v>0</v>
      </c>
      <c r="CR97" s="22">
        <f t="shared" si="154"/>
        <v>0</v>
      </c>
      <c r="CS97" s="22">
        <f>IF(CR97=0,0,IF(CR97=1,MATCH(1,INDEX((nTP_CandKey=BX97)*nTP_Exact*((nTP_HT*BN97*((nTP_OK*BO97*(nTP_UTC_n-N(BQ97))+(1-nTP_OK*BO97)*(nTP_Loc_n-N(BP97)))&lt;=0)+(1-nTP_HT*BN97)*(nTP_Hi_n&lt;N(BR97)))+((1-nTP_HT*BN97)*(nTP_Lo_n=nTP_Hi_n)*(nTP_Lo_n=N(BR97))*(N(BR97)=N(BS97))))*(1-nTP_HT)*(nTP_Lo_n=CF97),0),0),IF(CR97=2,MATCH(1,INDEX((nTP_CandKey=BX97)*nTP_Exact*((nTP_HT*BN97*((nTP_OK*BO97*(nTP_UTC_n-N(BQ97))+(1-nTP_OK*BO97)*(nTP_Loc_n-N(BP97)))&lt;=0)+(1-nTP_HT*BN97)*(nTP_Hi_n&lt;N(BR97)))+((1-nTP_HT*BN97)*(nTP_Lo_n=nTP_Hi_n)*(nTP_Lo_n=N(BR97))*(N(BR97)=N(BS97))))*nTP_HT*nTP_OK*(nTP_UTC_n=CJ97),0),0),MATCH(1,INDEX((nTP_CandKey=BX97)*nTP_Exact*((nTP_HT*BN97*((nTP_OK*BO97*(nTP_UTC_n-N(BQ97))+(1-nTP_OK*BO97)*(nTP_Loc_n-N(BP97)))&lt;=0)+(1-nTP_HT*BN97)*(nTP_Hi_n&lt;N(BR97)))+((1-nTP_HT*BN97)*(nTP_Lo_n=nTP_Hi_n)*(nTP_Lo_n=N(BR97))*(N(BR97)=N(BS97))))*nTP_HT*(1-nTP_OK)*(nTP_Loc_n=CN97),0),0))))</f>
        <v>0</v>
      </c>
      <c r="CT97" s="22">
        <f>IF(CS97=0,0,INDEX(nTP_Lo_n,CS97))</f>
        <v>0</v>
      </c>
      <c r="CU97" s="22">
        <f>IF(CS97=0,0,SUMPRODUCT((nTP_CandKey=BX97)*(nTP_Err="")*(1-nTP_Exact)*((nTP_HT*BN97*((nTP_OK*BO97*(nTP_UTC_n-N(BQ97))+(1-nTP_OK*BO97)*(nTP_Loc_n-N(BP97)))&lt;=0)+(1-nTP_HT*BN97)*(nTP_Hi_n&lt;N(BR97)))+((1-nTP_HT*BN97)*(nTP_Lo_n=nTP_Hi_n)*(nTP_Lo_n=N(BR97))*(N(BR97)=N(BS97))))*(nTP_Hi_n&gt;=CT97)))</f>
        <v>0</v>
      </c>
      <c r="CV97" s="21" t="str">
        <f t="shared" si="155"/>
        <v/>
      </c>
      <c r="CW97" s="21" t="str">
        <f>IF(AND(BG97=1,CB97=1,CV97="",CS97&gt;0),INDEX(nTP_Record_ID,CS97)&amp;"","")</f>
        <v/>
      </c>
      <c r="CX97" s="21" t="str">
        <f>IF(OR(CV97="",BG97=0),"",IF(CV97="none","an administration record (last dose before onset)",IF(CV97="uncertain","the anchor record: "&amp;INDEX(nTP_Record_ID,MATCH(1,INDEX((nTP_CandKey=BX97)*(nTP_Err="")*(1-(nTP_HT*BN97*((nTP_OK*BO97*(nTP_UTC_n-N(BQ97))+(1-nTP_OK*BO97)*(nTP_Loc_n-N(BP97)))&lt;=0)+(1-nTP_HT*BN97)*(nTP_Hi_n&lt;N(BR97)))-(nTP_HT*BN97*((nTP_OK*BO97*(nTP_UTC_n-N(BQ97))+(1-nTP_OK*BO97)*(nTP_Loc_n-N(BP97)))&gt;0)+(1-nTP_HT*BN97)*(nTP_Lo_n&gt;N(BS97)))-((1-nTP_HT*BN97)*(nTP_Lo_n=nTP_Hi_n)*(nTP_Lo_n=N(BR97))*(N(BR97)=N(BS97)))),0),0))&amp;IF(CC97&gt;1," and "&amp;(CC97-1)&amp;" more","")&amp;" may fall before or after the end point, so the last dose cannot be identified from the recorded dates",IF(CV97="noneligible","the anchor record: no administration with an exact date is recorded at or before the end point",IF(CV97="tie","the anchor record: the order of the latest administrations cannot be told from the recorded dates and times","the anchor record: partial-date administration "&amp;INDEX(nTP_Record_ID,MATCH(1,INDEX((nTP_CandKey=BX97)*(nTP_Err="")*(1-nTP_Exact)*((nTP_HT*BN97*((nTP_OK*BO97*(nTP_UTC_n-N(BQ97))+(1-nTP_OK*BO97)*(nTP_Loc_n-N(BP97)))&lt;=0)+(1-nTP_HT*BN97)*(nTP_Hi_n&lt;N(BR97)))+((1-nTP_HT*BN97)*(nTP_Lo_n=nTP_Hi_n)*(nTP_Lo_n=N(BR97))*(N(BR97)=N(BS97))))*(nTP_Hi_n&gt;=CT97),0),0))&amp;" could be the last dose before the end point")))))</f>
        <v/>
      </c>
      <c r="CY97" s="22">
        <f>IF(OR(AW97=1,AJ97=""),0,IFERROR(MATCH(AX97&amp;"|"&amp;AJ97,nTP_Key,0),0))</f>
        <v>136</v>
      </c>
      <c r="CZ97" s="21">
        <f>IF(CY97=0,0,INDEX(nTP_Dup,CY97))</f>
        <v>1</v>
      </c>
      <c r="DA97" s="21" t="str">
        <f>IF(CY97=0,"",INDEX(nTP_Record_Type,CY97))</f>
        <v>EXPOSURE_STOP</v>
      </c>
      <c r="DB97" s="21" t="str">
        <f>IF(CY97=0,"",INDEX(nTP_Precision,CY97))</f>
        <v>TIMESTAMP</v>
      </c>
      <c r="DC97" s="21" t="str">
        <f>IF(CY97=0,"",INDEX(nTP_Err,CY97))</f>
        <v/>
      </c>
      <c r="DD97" s="21">
        <f>IF(CY97=0,0,INDEX(nTP_HT,CY97))</f>
        <v>1</v>
      </c>
      <c r="DE97" s="21">
        <f>IF(CY97=0,0,INDEX(nTP_OK,CY97))</f>
        <v>1</v>
      </c>
      <c r="DF97" s="21">
        <f>IF(CY97=0,"",INDEX(nTP_Loc,CY97))</f>
        <v>66286636</v>
      </c>
      <c r="DG97" s="21">
        <f>IF(CY97=0,"",INDEX(nTP_UTC,CY97))</f>
        <v>66286936</v>
      </c>
      <c r="DH97" s="21">
        <f>IF(CY97=0,"",INDEX(nTP_Lo,CY97))</f>
        <v>46032</v>
      </c>
      <c r="DI97" s="21">
        <f>IF(CY97=0,"",INDEX(nTP_Hi,CY97))</f>
        <v>46032</v>
      </c>
      <c r="DJ97" s="21" t="str">
        <f>IF(CY97=0,"",INDEX(nTP_Original_Text,CY97))</f>
        <v>cessation 2026-01-10T09:16-05:00</v>
      </c>
      <c r="DK97" s="21" t="str">
        <f>IF(CY97=0,"",INDEX(nTP_Source,CY97))</f>
        <v>tto_calc_test_vectors_v1.1.json V28</v>
      </c>
      <c r="DL97" s="22">
        <f t="shared" si="156"/>
        <v>1</v>
      </c>
      <c r="DM97" s="21" t="str">
        <f t="shared" si="157"/>
        <v/>
      </c>
      <c r="DN97" s="21" t="str">
        <f t="shared" si="158"/>
        <v/>
      </c>
      <c r="DO97" s="21" t="str">
        <f t="shared" si="159"/>
        <v/>
      </c>
      <c r="DP97" s="21" t="str">
        <f t="shared" si="160"/>
        <v/>
      </c>
      <c r="DQ97" s="21" t="str">
        <f t="shared" si="161"/>
        <v>C1</v>
      </c>
      <c r="DR97" s="22">
        <f>IF(OR(DQ97="",I97=""),0,IF(ISNA(MATCH(I97,nLIST_Mode,0)),1,IF(AND(I97="C1",DQ97&lt;&gt;"C1"),1,IF(AND(I97="C2",DQ97="C4"),1,0))))</f>
        <v>0</v>
      </c>
      <c r="DS97" s="21" t="str">
        <f t="shared" si="162"/>
        <v>C1</v>
      </c>
      <c r="DT97" s="22">
        <f t="shared" si="163"/>
        <v>1</v>
      </c>
      <c r="DU97" s="21" t="str">
        <f>IF(DT97=0,"",IF(COUNTIFS(nTP_Case_Key,AX97,nTP_Record_Type,"MILESTONE:INTERVENTION",nTP_Err,"E_INVALID_DATE")&gt;0,"; E_INVALID_DATE","")&amp;IF(COUNTIFS(nTP_Case_Key,AX97,nTP_Record_Type,"MILESTONE:INTERVENTION",nTP_Err,"E_REVERSED_BOUNDS")&gt;0,"; E_REVERSED_BOUNDS","")&amp;IF(COUNTIFS(nTP_Case_Key,AX97,nTP_Record_Type,"MILESTONE:INTERVENTION",nTP_Err,"E_MISSING_INPUT")&gt;0,"; E_MISSING_INPUT","")&amp;IF(COUNTIFS(nTP_Case_Key,AX97,nTP_Record_Type,"MILESTONE:INTERVENTION",nTP_Err,"E_INVALID_UNIT")&gt;0,"; E_INVALID_UNIT",""))</f>
        <v/>
      </c>
      <c r="DV97" s="22">
        <f>IF(DT97=0,0,SUMPRODUCT((nMS_CaseKey=AX97)*(nMS_Type="INTERVENTION")*nMS_Undated))</f>
        <v>0</v>
      </c>
      <c r="DW97" s="21" t="str">
        <f t="shared" si="164"/>
        <v/>
      </c>
      <c r="DX97" s="21" t="str">
        <f t="shared" si="165"/>
        <v/>
      </c>
      <c r="DY97" s="22">
        <f t="shared" si="166"/>
        <v>0</v>
      </c>
      <c r="DZ97" s="21">
        <f t="shared" si="167"/>
        <v>19</v>
      </c>
      <c r="EA97" s="21" t="str">
        <f t="shared" si="168"/>
        <v/>
      </c>
      <c r="EB97" s="21" t="str">
        <f t="shared" si="169"/>
        <v/>
      </c>
      <c r="EC97" s="21" t="str">
        <f t="shared" si="170"/>
        <v/>
      </c>
      <c r="ED97" s="22">
        <f t="shared" si="171"/>
        <v>0</v>
      </c>
      <c r="EE97" s="22">
        <f t="shared" si="172"/>
        <v>0</v>
      </c>
      <c r="EF97" s="21" t="str">
        <f>IF(ED97=0,"",IF(OR(NOT(ISNUMBER(L97)),NOT(ISNUMBER(M97))),"I_APPROXIMATE_NOT_COMPARED",IF(AND(N97&lt;&gt;"",ISNA(MATCH(N97,nLIST_ReportedUnit,0))),"E_INVALID_UNIT",IF(N97="","E_MISSING_INPUT",IF(L97&gt;M97,"E_REVERSED_BOUNDS",IF(OR(N97="weeks",N97="months",N97="years"),"I_APPROXIMATE_NOT_COMPARED",IF(DX97&lt;&gt;"","",IF(EE97=0,"I_APPROXIMATE_NOT_COMPARED",IF(AND(L97*EE97&lt;=IF(DS97="C4",EC97,IF(DS97="C1",DZ97,EA97)),M97*EE97&gt;=IF(DS97="C4",EB97,IF(DS97="C1",DZ97,EA97))),"OVERLAP","W_REPORTED_TIMING_CONFLICT")))))))))</f>
        <v/>
      </c>
      <c r="EG97" s="21" t="str">
        <f t="shared" si="173"/>
        <v/>
      </c>
      <c r="EH97" s="21" t="str">
        <f t="shared" si="174"/>
        <v/>
      </c>
      <c r="EI97" s="22">
        <f t="shared" si="175"/>
        <v>1</v>
      </c>
      <c r="EJ97" s="22">
        <f t="shared" si="176"/>
        <v>0</v>
      </c>
      <c r="EK97" s="22">
        <f t="shared" si="177"/>
        <v>0</v>
      </c>
      <c r="EL97" s="28" t="str">
        <f t="shared" si="178"/>
        <v/>
      </c>
      <c r="EM97" s="28" t="str">
        <f t="shared" si="179"/>
        <v/>
      </c>
      <c r="EN97" s="21" t="str">
        <f t="shared" si="180"/>
        <v/>
      </c>
      <c r="EO97" s="22">
        <f>IF(OR(DT97=0,DX97&lt;&gt;""),0,SUMPRODUCT((nTP_Case_Key=AX97)*(nTP_Record_Type="MILESTONE:INTERVENTION")*(nTP_Err="")*(nTP_HT*DD97*BN97*(nTP_OK*DE97*(nTP_UTC_n&gt;=N(DG97))+(1-nTP_OK*DE97)*(nTP_Loc_n&gt;=N(DF97)))*(nTP_OK*BO97*(nTP_UTC_n&lt;=N(BQ97))+(1-nTP_OK*BO97)*(nTP_Loc_n&lt;=N(BP97)))+(1-nTP_HT*DD97*BN97)*(nTP_Hi_n&gt;=N(DH97))*(nTP_Lo_n&lt;=N(BS97)))))</f>
        <v>1</v>
      </c>
      <c r="EP97" s="22">
        <f>IF(OR(DT97=0,DX97&lt;&gt;""),0,SUMPRODUCT((nTP_Case_Key=AX97)*(nTP_Role="treatment of the event")*((nTP_Record_Type="EXPOSURE_START")+(nTP_Record_Type="ADMINISTRATION"))*(nTP_Err="")*(nTP_HT*DD97*BN97*(nTP_OK*DE97*(nTP_UTC_n&gt;=N(DG97))+(1-nTP_OK*DE97)*(nTP_Loc_n&gt;=N(DF97)))*(nTP_OK*BO97*(nTP_UTC_n&lt;=N(BQ97))+(1-nTP_OK*BO97)*(nTP_Loc_n&lt;=N(BP97)))+(1-nTP_HT*DD97*BN97)*(nTP_Hi_n&gt;=N(DH97))*(nTP_Lo_n&lt;=N(BS97)))))</f>
        <v>0</v>
      </c>
      <c r="EQ97" s="22">
        <f>IF(EO97&lt;1,0,IFERROR(_xlfn.AGGREGATE(15,6,nTP_RowN/((nTP_Case_Key=AX97)*(nTP_Record_Type="MILESTONE:INTERVENTION")*(nTP_Err="")*(nTP_HT*DD97*BN97*(nTP_OK*DE97*(nTP_UTC_n&gt;=N(DG97))+(1-nTP_OK*DE97)*(nTP_Loc_n&gt;=N(DF97)))*(nTP_OK*BO97*(nTP_UTC_n&lt;=N(BQ97))+(1-nTP_OK*BO97)*(nTP_Loc_n&lt;=N(BP97)))+(1-nTP_HT*DD97*BN97)*(nTP_Hi_n&gt;=N(DH97))*(nTP_Lo_n&lt;=N(BS97)))),1),0))</f>
        <v>448</v>
      </c>
      <c r="ER97" s="22">
        <f>IF(EO97&lt;2,0,IFERROR(_xlfn.AGGREGATE(15,6,nTP_RowN/((nTP_Case_Key=AX97)*(nTP_Record_Type="MILESTONE:INTERVENTION")*(nTP_Err="")*(nTP_HT*DD97*BN97*(nTP_OK*DE97*(nTP_UTC_n&gt;=N(DG97))+(1-nTP_OK*DE97)*(nTP_Loc_n&gt;=N(DF97)))*(nTP_OK*BO97*(nTP_UTC_n&lt;=N(BQ97))+(1-nTP_OK*BO97)*(nTP_Loc_n&lt;=N(BP97)))+(1-nTP_HT*DD97*BN97)*(nTP_Hi_n&gt;=N(DH97))*(nTP_Lo_n&lt;=N(BS97)))),2),0))</f>
        <v>0</v>
      </c>
      <c r="ES97" s="22">
        <f>IF(EO97&lt;3,0,IFERROR(_xlfn.AGGREGATE(15,6,nTP_RowN/((nTP_Case_Key=AX97)*(nTP_Record_Type="MILESTONE:INTERVENTION")*(nTP_Err="")*(nTP_HT*DD97*BN97*(nTP_OK*DE97*(nTP_UTC_n&gt;=N(DG97))+(1-nTP_OK*DE97)*(nTP_Loc_n&gt;=N(DF97)))*(nTP_OK*BO97*(nTP_UTC_n&lt;=N(BQ97))+(1-nTP_OK*BO97)*(nTP_Loc_n&lt;=N(BP97)))+(1-nTP_HT*DD97*BN97)*(nTP_Hi_n&gt;=N(DH97))*(nTP_Lo_n&lt;=N(BS97)))),3),0))</f>
        <v>0</v>
      </c>
      <c r="ET97" s="22">
        <f>IF(EP97&lt;1,0,IFERROR(_xlfn.AGGREGATE(15,6,nTP_RowN/((nTP_Case_Key=AX97)*(nTP_Role="treatment of the event")*((nTP_Record_Type="EXPOSURE_START")+(nTP_Record_Type="ADMINISTRATION"))*(nTP_Err="")*(nTP_HT*DD97*BN97*(nTP_OK*DE97*(nTP_UTC_n&gt;=N(DG97))+(1-nTP_OK*DE97)*(nTP_Loc_n&gt;=N(DF97)))*(nTP_OK*BO97*(nTP_UTC_n&lt;=N(BQ97))+(1-nTP_OK*BO97)*(nTP_Loc_n&lt;=N(BP97)))+(1-nTP_HT*DD97*BN97)*(nTP_Hi_n&gt;=N(DH97))*(nTP_Lo_n&lt;=N(BS97)))),1),0))</f>
        <v>0</v>
      </c>
      <c r="EU97" s="22">
        <f>IF(EP97&lt;2,0,IFERROR(_xlfn.AGGREGATE(15,6,nTP_RowN/((nTP_Case_Key=AX97)*(nTP_Role="treatment of the event")*((nTP_Record_Type="EXPOSURE_START")+(nTP_Record_Type="ADMINISTRATION"))*(nTP_Err="")*(nTP_HT*DD97*BN97*(nTP_OK*DE97*(nTP_UTC_n&gt;=N(DG97))+(1-nTP_OK*DE97)*(nTP_Loc_n&gt;=N(DF97)))*(nTP_OK*BO97*(nTP_UTC_n&lt;=N(BQ97))+(1-nTP_OK*BO97)*(nTP_Loc_n&lt;=N(BP97)))+(1-nTP_HT*DD97*BN97)*(nTP_Hi_n&gt;=N(DH97))*(nTP_Lo_n&lt;=N(BS97)))),2),0))</f>
        <v>0</v>
      </c>
      <c r="EV97" s="22">
        <f>IF(EP97&lt;3,0,IFERROR(_xlfn.AGGREGATE(15,6,nTP_RowN/((nTP_Case_Key=AX97)*(nTP_Role="treatment of the event")*((nTP_Record_Type="EXPOSURE_START")+(nTP_Record_Type="ADMINISTRATION"))*(nTP_Err="")*(nTP_HT*DD97*BN97*(nTP_OK*DE97*(nTP_UTC_n&gt;=N(DG97))+(1-nTP_OK*DE97)*(nTP_Loc_n&gt;=N(DF97)))*(nTP_OK*BO97*(nTP_UTC_n&lt;=N(BQ97))+(1-nTP_OK*BO97)*(nTP_Loc_n&lt;=N(BP97)))+(1-nTP_HT*DD97*BN97)*(nTP_Hi_n&gt;=N(DH97))*(nTP_Lo_n&lt;=N(BS97)))),3),0))</f>
        <v>0</v>
      </c>
      <c r="EW97" s="22">
        <f>IF(CE97&lt;1,0,IFERROR(_xlfn.AGGREGATE(15,6,nTP_RowN/((nTP_CandKey=BX97)*(nTP_Err="")*(1-nTP_Exact)*((nTP_HT*BN97*((nTP_OK*BO97*(nTP_UTC_n-N(BQ97))+(1-nTP_OK*BO97)*(nTP_Loc_n-N(BP97)))&lt;=0)+(1-nTP_HT*BN97)*(nTP_Hi_n&lt;N(BR97)))+((1-nTP_HT*BN97)*(nTP_Lo_n=nTP_Hi_n)*(nTP_Lo_n=N(BR97))*(N(BR97)=N(BS97))))),1),0))</f>
        <v>0</v>
      </c>
      <c r="EX97" s="22">
        <f>IF(CE97&lt;2,0,IFERROR(_xlfn.AGGREGATE(15,6,nTP_RowN/((nTP_CandKey=BX97)*(nTP_Err="")*(1-nTP_Exact)*((nTP_HT*BN97*((nTP_OK*BO97*(nTP_UTC_n-N(BQ97))+(1-nTP_OK*BO97)*(nTP_Loc_n-N(BP97)))&lt;=0)+(1-nTP_HT*BN97)*(nTP_Hi_n&lt;N(BR97)))+((1-nTP_HT*BN97)*(nTP_Lo_n=nTP_Hi_n)*(nTP_Lo_n=N(BR97))*(N(BR97)=N(BS97))))),2),0))</f>
        <v>0</v>
      </c>
      <c r="EY97" s="22">
        <f>IF(CE97&lt;3,0,IFERROR(_xlfn.AGGREGATE(15,6,nTP_RowN/((nTP_CandKey=BX97)*(nTP_Err="")*(1-nTP_Exact)*((nTP_HT*BN97*((nTP_OK*BO97*(nTP_UTC_n-N(BQ97))+(1-nTP_OK*BO97)*(nTP_Loc_n-N(BP97)))&lt;=0)+(1-nTP_HT*BN97)*(nTP_Hi_n&lt;N(BR97)))+((1-nTP_HT*BN97)*(nTP_Lo_n=nTP_Hi_n)*(nTP_Lo_n=N(BR97))*(N(BR97)=N(BS97))))),3),0))</f>
        <v>0</v>
      </c>
      <c r="EZ97" s="21" t="str">
        <f>IF(EO97=0,"",MID(IF(EQ97&gt;0,"; "&amp;INDEX(nTP_Record_ID,EQ97)&amp;IF(INDEX(nTP_Label,EQ97)="",""," ("&amp;INDEX(nTP_Label,EQ97)&amp;")"),"")&amp;IF(ER97&gt;0,"; "&amp;INDEX(nTP_Record_ID,ER97)&amp;IF(INDEX(nTP_Label,ER97)="",""," ("&amp;INDEX(nTP_Label,ER97)&amp;")"),"")&amp;IF(ES97&gt;0,"; "&amp;INDEX(nTP_Record_ID,ES97)&amp;IF(INDEX(nTP_Label,ES97)="",""," ("&amp;INDEX(nTP_Label,ES97)&amp;")"),"")&amp;IF(EO97&gt;3,"; and "&amp;(EO97-3)&amp;" more",""),3,999))</f>
        <v>MS-RX (emergency medicines from 09:18)</v>
      </c>
      <c r="FA97" s="21" t="str">
        <f>IF(EO97=0,"",MID(IF(EQ97&gt;0,"; "&amp;INDEX(nTP_Record_ID,EQ97),"")&amp;IF(ER97&gt;0,"; "&amp;INDEX(nTP_Record_ID,ER97),"")&amp;IF(ES97&gt;0,"; "&amp;INDEX(nTP_Record_ID,ES97),"")&amp;IF(EO97&gt;3,"; and "&amp;(EO97-3)&amp;" more",""),3,999))</f>
        <v>MS-RX</v>
      </c>
      <c r="FB97" s="21" t="str">
        <f>IF(EP97=0,"",MID(IF(ET97&gt;0,"; "&amp;INDEX(nTP_Record_ID,ET97)&amp;IF(INDEX(nTP_Label,ET97)="",""," ("&amp;INDEX(nTP_Label,ET97)&amp;")"),"")&amp;IF(EU97&gt;0,"; "&amp;INDEX(nTP_Record_ID,EU97)&amp;IF(INDEX(nTP_Label,EU97)="",""," ("&amp;INDEX(nTP_Label,EU97)&amp;")"),"")&amp;IF(EV97&gt;0,"; "&amp;INDEX(nTP_Record_ID,EV97)&amp;IF(INDEX(nTP_Label,EV97)="",""," ("&amp;INDEX(nTP_Label,EV97)&amp;")"),"")&amp;IF(EP97&gt;3,"; and "&amp;(EP97-3)&amp;" more",""),3,999))</f>
        <v/>
      </c>
      <c r="FC97" s="21" t="str">
        <f>IF(CE97=0,"",MID(IF(EW97&gt;0,"; "&amp;INDEX(nTP_Record_ID,EW97),"")&amp;IF(EX97&gt;0,"; "&amp;INDEX(nTP_Record_ID,EX97),"")&amp;IF(EY97&gt;0,"; "&amp;INDEX(nTP_Record_ID,EY97),"")&amp;IF(CE97&gt;3,"; and "&amp;(CE97-3)&amp;" more",""),3,999))</f>
        <v/>
      </c>
      <c r="FD97" s="22">
        <f t="shared" si="181"/>
        <v>0</v>
      </c>
      <c r="FE97" s="22">
        <f t="shared" si="182"/>
        <v>0</v>
      </c>
      <c r="FF97" s="22">
        <f t="shared" si="183"/>
        <v>0</v>
      </c>
      <c r="FG97" s="22">
        <f t="shared" si="184"/>
        <v>0</v>
      </c>
      <c r="FH97" s="22">
        <f t="shared" si="185"/>
        <v>0</v>
      </c>
      <c r="FI97" s="22">
        <f t="shared" si="186"/>
        <v>1</v>
      </c>
      <c r="FJ97" s="22">
        <f t="shared" si="187"/>
        <v>0</v>
      </c>
      <c r="FK97" s="22">
        <f t="shared" si="188"/>
        <v>0</v>
      </c>
    </row>
    <row r="98" spans="1:167" x14ac:dyDescent="0.2">
      <c r="A98" s="9" t="s">
        <v>1180</v>
      </c>
      <c r="B98" s="9" t="s">
        <v>365</v>
      </c>
      <c r="C98" s="11">
        <v>1</v>
      </c>
      <c r="D98" s="9" t="s">
        <v>894</v>
      </c>
      <c r="E98" s="16" t="s">
        <v>56</v>
      </c>
      <c r="F98" s="9"/>
      <c r="G98" s="9" t="s">
        <v>1196</v>
      </c>
      <c r="H98" s="9" t="s">
        <v>864</v>
      </c>
      <c r="I98" s="16"/>
      <c r="J98" s="16"/>
      <c r="K98" s="9"/>
      <c r="L98" s="16"/>
      <c r="M98" s="16"/>
      <c r="N98" s="16"/>
      <c r="O98" s="9"/>
      <c r="P98" s="14"/>
      <c r="Q98" s="14"/>
      <c r="R98" s="9"/>
      <c r="S98" s="9"/>
      <c r="T98" s="21" t="str">
        <f t="shared" si="126"/>
        <v>3 calendar days</v>
      </c>
      <c r="U98" s="21" t="str">
        <f t="shared" si="127"/>
        <v>3 calendar days</v>
      </c>
      <c r="V98" s="21">
        <f t="shared" si="128"/>
        <v>3</v>
      </c>
      <c r="W98" s="21" t="str">
        <f t="shared" si="129"/>
        <v/>
      </c>
      <c r="X98" s="21" t="str">
        <f t="shared" si="130"/>
        <v/>
      </c>
      <c r="Y98" s="21" t="str">
        <f t="shared" si="131"/>
        <v>calendar days</v>
      </c>
      <c r="Z98" s="21" t="str">
        <f t="shared" si="132"/>
        <v>C7 (C2)</v>
      </c>
      <c r="AA98" s="21" t="str">
        <f t="shared" si="133"/>
        <v>AFTER</v>
      </c>
      <c r="AB98" s="21" t="str">
        <f t="shared" si="134"/>
        <v/>
      </c>
      <c r="AC98" s="21" t="str">
        <f t="shared" si="135"/>
        <v>W_INTERVENTION_BEFORE_RECOVERY</v>
      </c>
      <c r="AD98" s="21" t="str">
        <f>IF(AW98=1,"",MID(IF(ISNUMBER(SEARCH("E_INVALID_DATE",EG98))," | E_INVALID_DATE: "&amp;SUBSTITUTE(IFERROR(INDEX(nMSG_Text,MATCH("E_INVALID_DATE",nMSG_Code,0)),""),"[input]",""),"")&amp;IF(ISNUMBER(SEARCH("E_REVERSED_BOUNDS",EG98))," | E_REVERSED_BOUNDS: "&amp;SUBSTITUTE(IFERROR(INDEX(nMSG_Text,MATCH("E_REVERSED_BOUNDS",nMSG_Code,0)),""),"[input]",""),"")&amp;IF(ISNUMBER(SEARCH("E_DUPLICATE_ID",EG98))," | E_DUPLICATE_ID: "&amp;SUBSTITUTE(IFERROR(INDEX(nMSG_Text,MATCH("E_DUPLICATE_ID",nMSG_Code,0)),""),"[input]",""),"")&amp;IF(ISNUMBER(SEARCH("E_MISSING_LINK",EG98))," | E_MISSING_LINK: "&amp;SUBSTITUTE(IFERROR(INDEX(nMSG_Text,MATCH("E_MISSING_LINK",nMSG_Code,0)),""),"[input]",""),"")&amp;IF(ISNUMBER(SEARCH("E_MISSING_INPUT",EG98))," | E_MISSING_INPUT: "&amp;SUBSTITUTE(IFERROR(INDEX(nMSG_Text,MATCH("E_MISSING_INPUT",nMSG_Code,0)),""),"[input]",IF(EH98="","an input",EH98)),"")&amp;IF(ISNUMBER(SEARCH("E_INVALID_UNIT",EG98))," | E_INVALID_UNIT: "&amp;SUBSTITUTE(IFERROR(INDEX(nMSG_Text,MATCH("E_INVALID_UNIT",nMSG_Code,0)),""),"[input]",""),"")&amp;IF(FD98=1," | W_TZ_UNKNOWN: "&amp;SUBSTITUTE(IFERROR(INDEX(nMSG_Text,MATCH("W_TZ_UNKNOWN",nMSG_Code,0)),""),"[input]",""),"")&amp;IF(FE98=1," | W_SAME_DATE_ORDER_UNKNOWN: "&amp;SUBSTITUTE(IFERROR(INDEX(nMSG_Text,MATCH("W_SAME_DATE_ORDER_UNKNOWN",nMSG_Code,0)),""),"[input]",""),"")&amp;IF(FF98=1," | W_SEQUENCE_UNCERTAIN: "&amp;SUBSTITUTE(IFERROR(INDEX(nMSG_Text,MATCH("W_SEQUENCE_UNCERTAIN",nMSG_Code,0)),""),"[input]",""),"")&amp;IF(FG98=1," | W_ADMIN_SAME_DATE_AS_ONSET: "&amp;SUBSTITUTE(IFERROR(INDEX(nMSG_Text,MATCH("W_ADMIN_SAME_DATE_AS_ONSET",nMSG_Code,0)),""),"[input]",""),"")&amp;IF(FH98=1," | W_REPORTED_TIMING_CONFLICT: "&amp;SUBSTITUTE(IFERROR(INDEX(nMSG_Text,MATCH("W_REPORTED_TIMING_CONFLICT",nMSG_Code,0)),""),"[input]",""),"")&amp;IF(FI98=1," | W_INTERVENTION_BEFORE_RECOVERY: "&amp;SUBSTITUTE(IFERROR(INDEX(nMSG_Text,MATCH("W_INTERVENTION_BEFORE_RECOVERY",nMSG_Code,0)),""),"[input]",""),"")&amp;IF(FJ98=1," | I_TREATMENT_DAY_UNDEFINED: "&amp;SUBSTITUTE(IFERROR(INDEX(nMSG_Text,MATCH("I_TREATMENT_DAY_UNDEFINED",nMSG_Code,0)),""),"[input]",""),"")&amp;IF(FK98=1," | I_APPROXIMATE_NOT_COMPARED: "&amp;SUBSTITUTE(IFERROR(INDEX(nMSG_Text,MATCH("I_APPROXIMATE_NOT_COMPARED",nMSG_Code,0)),""),"[input]",""),""),4,9999))</f>
        <v>W_INTERVENTION_BEFORE_RECOVERY: Treatment was given before recovery, so recovery cannot be attributed to withdrawal alone.</v>
      </c>
      <c r="AE98" s="21" t="str">
        <f t="shared" si="136"/>
        <v/>
      </c>
      <c r="AF98" s="21" t="str">
        <f t="shared" si="137"/>
        <v/>
      </c>
      <c r="AG98" s="21" t="str">
        <f>IF(EN98="","",MID(IF(ISNUMBER(SEARCH("E_REVERSED_BOUNDS",EN98))," | E_REVERSED_BOUNDS: "&amp;SUBSTITUTE(IFERROR(INDEX(nMSG_Text,MATCH("E_REVERSED_BOUNDS",nMSG_Code,0)),""),"[input]",""),"")&amp;IF(ISNUMBER(SEARCH("E_MISSING_INPUT",EN98))," | E_MISSING_INPUT: "&amp;SUBSTITUTE(IFERROR(INDEX(nMSG_Text,MATCH("E_MISSING_INPUT",nMSG_Code,0)),""),"[input]",IF("the source of the constraint"="","an input","the source of the constraint")),""),4,999))</f>
        <v/>
      </c>
      <c r="AH98" s="21" t="str">
        <f t="shared" si="138"/>
        <v/>
      </c>
      <c r="AI98" s="21" t="str">
        <f t="shared" si="139"/>
        <v>EX1/STOP → MS-REC (recovery)</v>
      </c>
      <c r="AJ98" s="21" t="str">
        <f t="shared" si="140"/>
        <v>EX1/STOP</v>
      </c>
      <c r="AK98" s="21" t="str">
        <f t="shared" si="141"/>
        <v>MS-REC</v>
      </c>
      <c r="AL98" s="21" t="str">
        <f>IF(CY98=0,"",INDEX(nTP_ISO,CY98))</f>
        <v>2026-07-05</v>
      </c>
      <c r="AM98" s="21" t="str">
        <f>IF(CY98=0,"",INDEX(nTP_Display,CY98))</f>
        <v>5 July 2026</v>
      </c>
      <c r="AN98" s="21" t="str">
        <f>IF(BI98=0,"",INDEX(nTP_ISO,BI98))</f>
        <v>2026-07-08</v>
      </c>
      <c r="AO98" s="21" t="str">
        <f>IF(BI98=0,"",INDEX(nTP_Display,BI98))</f>
        <v>8 July 2026</v>
      </c>
      <c r="AP98" s="21" t="str">
        <f>IF(BA98=0,"",INDEX(nLNK_Exposure_Episode_ID,BA98)&amp;"")</f>
        <v>EX1</v>
      </c>
      <c r="AQ98" s="21" t="str">
        <f>IF(BA98=0,"",INDEX(nLNK_Event_Episode_ID,BA98)&amp;"")</f>
        <v>EV1</v>
      </c>
      <c r="AR98" s="21" t="str">
        <f t="shared" si="142"/>
        <v>Anchor (CESSATION) EX1/STOP: 2026-07-05 [day; case measurement; original: "cessation 2026-07-05"; source: tto_calc_test_vectors_v1.1.json V29] | End point MS-REC: 2026-07-08 [day; case measurement; original: "2026-07-08"; source: tto_calc_test_vectors_v1.1.json V29]</v>
      </c>
      <c r="AS98" s="21" t="str">
        <f>IF(EI98=0,"",MID(IF(DT98=1," | Recovery interval (C7) computed with "&amp;DS98&amp;".","")&amp;IF(BG98=1," | Anchor selected under C5 (CALC-SPEC 1.1): latest administration with an exact date or time at or before "&amp;IF(BH98=1,"onset","the end point")&amp;" ("&amp;AJ98&amp;"), ordered in UTC when offsets are known; later administrations are never selected.","")&amp;IF(AND(BG98=1,CE98&gt;0)," | Partial-date administrations wholly before the selected one were not candidates: "&amp;FC98&amp;".","")&amp;IF(BV98&lt;&gt;""," | "&amp;BV98,"")&amp;IF(AND(DS98="C2",EA98=0,DZ98&lt;&gt;"")," | Same calendar date; both times are known, so C1 decides the order ("&amp;AA98&amp;").","")&amp;IF(AND(DS98="C2",DD98*BN98=1,DT98=0)," | Calendar-date difference from the recorded local dates; it is never described as elapsed days.","")&amp;IF(AND(DS98="C4",DT98=0)," | Bounds are treated as independent; no single date is imputed from them.","")&amp;IF(EJ98=1," | Treatment day under the inclusive convention (C3); never written to E2B fields automatically.","")&amp;IF(AND(DS98="C4",DT98=0,EK98=0)," | No constraint applied.","")&amp;IF(AND(DS98="C4",EK98=1)," | Constraint applied to the anchor bounds: "&amp;IF(ISNUMBER(P98),"not before "&amp;DAY(P98)&amp;" "&amp;INDEX(nLIST_Months,MONTH(P98))&amp;" "&amp;YEAR(P98),"")&amp;IF(AND(ISNUMBER(P98),ISNUMBER(Q98)),", ","")&amp;IF(ISNUMBER(Q98),"not after "&amp;DAY(Q98)&amp;" "&amp;INDEX(nLIST_Months,MONTH(Q98))&amp;" "&amp;YEAR(Q98),"")&amp;". Source: "&amp;IF(R98="","not recorded",R98)&amp;IF(EN98="",". Constrained result shown beside the unconstrained one.",". Constrained result blocked ("&amp;EN98&amp;")."),"")&amp;IF(DT98=1,IF(EO98&gt;0," | Intervention recorded between cessation and recovery (ends included): "&amp;EZ98&amp;"."," | No intervention is recorded between cessation and recovery; absence of a record is not evidence that none was given."),"")&amp;IF(AND(DT98=1,DV98&gt;0)," | Intervention recorded without a date, so whether it came before recovery is unknown: "&amp;INDEX(nMS_Milestone_ID,MATCH(1,INDEX((nMS_CaseKey=AX98)*(nMS_Type="INTERVENTION")*nMS_Undated,0),0))&amp;IF(DV98&gt;1," and "&amp;(DV98-1)&amp;" more","")&amp;".","")&amp;IF(AND(DT98=1,EP98&gt;0)," | Not counted as interventions, because they are recorded as exposures rather than as intervention milestones (nothing is inferred): "&amp;FB98&amp;". If treatment was given, record it as an intervention milestone.",""),4,9999))</f>
        <v>Recovery interval (C7) computed with C2. | Intervention recorded between cessation and recovery (ends included): MS-FLU (IV fluids and cardiac monitoring).</v>
      </c>
      <c r="AT98" s="21" t="str">
        <f t="shared" si="143"/>
        <v>The interval describes the sequence and spacing of recorded times; it is not evidence of causation. A recovery interval is not, by itself, evidence of positive dechallenge.</v>
      </c>
      <c r="AU98" s="21" t="str">
        <f t="shared" si="144"/>
        <v>MS-FLU</v>
      </c>
      <c r="AV98" s="21" t="str">
        <f t="shared" si="145"/>
        <v>CALC-SPEC 1.1</v>
      </c>
      <c r="AW98" s="22">
        <f t="shared" si="146"/>
        <v>0</v>
      </c>
      <c r="AX98" s="21" t="str">
        <f t="shared" si="147"/>
        <v>VEC-V29|1</v>
      </c>
      <c r="AY98" s="21" t="str">
        <f t="shared" si="148"/>
        <v>VEC-V29|1|I1</v>
      </c>
      <c r="AZ98" s="22">
        <f>IF(AY98="",0,COUNTIF(nINT_Key,AY98))</f>
        <v>1</v>
      </c>
      <c r="BA98" s="22">
        <f>IF(D98="",0,IFERROR(MATCH(AX98&amp;"|"&amp;D98,nLNK_Key,0),0))</f>
        <v>45</v>
      </c>
      <c r="BB98" s="22">
        <f>IF(BA98=0,1,INDEX(nLNK_Exp_Found,BA98))</f>
        <v>1</v>
      </c>
      <c r="BC98" s="22">
        <f>IF(BA98=0,1,INDEX(nLNK_Evt_Found,BA98))</f>
        <v>1</v>
      </c>
      <c r="BD98" s="22">
        <f>IF(AP98="",0,COUNTIF(nEXP_Key,AX98&amp;"|"&amp;AP98))</f>
        <v>1</v>
      </c>
      <c r="BE98" s="22">
        <f>IF(AQ98="",0,COUNTIF(nEVT_Key,AX98&amp;"|"&amp;AQ98))</f>
        <v>1</v>
      </c>
      <c r="BF98" s="22">
        <f>IF(ISNA(MATCH(E98,nLIST_AnchorType,0)),0,1)</f>
        <v>1</v>
      </c>
      <c r="BG98" s="22">
        <f t="shared" si="149"/>
        <v>0</v>
      </c>
      <c r="BH98" s="22">
        <f t="shared" si="150"/>
        <v>0</v>
      </c>
      <c r="BI98" s="22">
        <f>IF(OR(AW98=1,AK98=""),0,IFERROR(MATCH(AX98&amp;"|"&amp;AK98,nTP_Key,0),0))</f>
        <v>449</v>
      </c>
      <c r="BJ98" s="21">
        <f>IF(BI98=0,0,INDEX(nTP_Dup,BI98))</f>
        <v>1</v>
      </c>
      <c r="BK98" s="21" t="str">
        <f>IF(BI98=0,"",INDEX(nTP_Record_Type,BI98))</f>
        <v>MILESTONE:RECOVERY</v>
      </c>
      <c r="BL98" s="21" t="str">
        <f>IF(BI98=0,"",INDEX(nTP_Precision,BI98))</f>
        <v>DATE</v>
      </c>
      <c r="BM98" s="21" t="str">
        <f>IF(BI98=0,"",INDEX(nTP_Err,BI98))</f>
        <v/>
      </c>
      <c r="BN98" s="21">
        <f>IF(BI98=0,0,INDEX(nTP_HT,BI98))</f>
        <v>0</v>
      </c>
      <c r="BO98" s="21">
        <f>IF(BI98=0,0,INDEX(nTP_OK,BI98))</f>
        <v>0</v>
      </c>
      <c r="BP98" s="21" t="str">
        <f>IF(BI98=0,"",INDEX(nTP_Loc,BI98))</f>
        <v/>
      </c>
      <c r="BQ98" s="21" t="str">
        <f>IF(BI98=0,"",INDEX(nTP_UTC,BI98))</f>
        <v/>
      </c>
      <c r="BR98" s="21">
        <f>IF(BI98=0,"",INDEX(nTP_Lo,BI98))</f>
        <v>46211</v>
      </c>
      <c r="BS98" s="21">
        <f>IF(BI98=0,"",INDEX(nTP_Hi,BI98))</f>
        <v>46211</v>
      </c>
      <c r="BT98" s="21" t="str">
        <f>IF(BI98=0,"",INDEX(nTP_Original_Text,BI98))</f>
        <v>2026-07-08</v>
      </c>
      <c r="BU98" s="21" t="str">
        <f>IF(BI98=0,"",INDEX(nTP_Source,BI98))</f>
        <v>tto_calc_test_vectors_v1.1.json V29</v>
      </c>
      <c r="BV98" s="21" t="str">
        <f>IF(BI98=0,"",INDEX(nTP_Lab_Note,BI98))</f>
        <v/>
      </c>
      <c r="BW98" s="22">
        <f t="shared" si="151"/>
        <v>1</v>
      </c>
      <c r="BX98" s="21" t="str">
        <f t="shared" si="152"/>
        <v>VEC-V29|1|EX1</v>
      </c>
      <c r="BY98" s="22">
        <f>IF(BG98=0,0,COUNTIF(nTP_CandKey,BX98))</f>
        <v>0</v>
      </c>
      <c r="BZ98" s="22">
        <f>IF(BG98=0,0,COUNTIFS(nTP_CandKey,BX98,nTP_Err,""))</f>
        <v>0</v>
      </c>
      <c r="CA98" s="21" t="str">
        <f>IF(BY98=BZ98,"",IF(COUNTIFS(nTP_CandKey,BX98,nTP_Err,"E_INVALID_DATE")&gt;0,"; E_INVALID_DATE","")&amp;IF(COUNTIFS(nTP_CandKey,BX98,nTP_Err,"E_REVERSED_BOUNDS")&gt;0,"; E_REVERSED_BOUNDS","")&amp;IF(COUNTIFS(nTP_CandKey,BX98,nTP_Err,"E_MISSING_INPUT")&gt;0,"; E_MISSING_INPUT","")&amp;IF(COUNTIFS(nTP_CandKey,BX98,nTP_Err,"E_INVALID_UNIT")&gt;0,"; E_INVALID_UNIT",""))</f>
        <v/>
      </c>
      <c r="CB98" s="22">
        <f t="shared" si="153"/>
        <v>0</v>
      </c>
      <c r="CC98" s="22">
        <f>IF(CB98=0,0,SUMPRODUCT((nTP_CandKey=BX98)*(nTP_Err="")*(1-(nTP_HT*BN98*((nTP_OK*BO98*(nTP_UTC_n-N(BQ98))+(1-nTP_OK*BO98)*(nTP_Loc_n-N(BP98)))&lt;=0)+(1-nTP_HT*BN98)*(nTP_Hi_n&lt;N(BR98)))-(nTP_HT*BN98*((nTP_OK*BO98*(nTP_UTC_n-N(BQ98))+(1-nTP_OK*BO98)*(nTP_Loc_n-N(BP98)))&gt;0)+(1-nTP_HT*BN98)*(nTP_Lo_n&gt;N(BS98)))-((1-nTP_HT*BN98)*(nTP_Lo_n=nTP_Hi_n)*(nTP_Lo_n=N(BR98))*(N(BR98)=N(BS98))))))</f>
        <v>0</v>
      </c>
      <c r="CD98" s="22">
        <f>IF(CB98=0,0,SUMPRODUCT((nTP_CandKey=BX98)*nTP_Exact*((nTP_HT*BN98*((nTP_OK*BO98*(nTP_UTC_n-N(BQ98))+(1-nTP_OK*BO98)*(nTP_Loc_n-N(BP98)))&lt;=0)+(1-nTP_HT*BN98)*(nTP_Hi_n&lt;N(BR98)))+((1-nTP_HT*BN98)*(nTP_Lo_n=nTP_Hi_n)*(nTP_Lo_n=N(BR98))*(N(BR98)=N(BS98))))))</f>
        <v>0</v>
      </c>
      <c r="CE98" s="22">
        <f>IF(CB98=0,0,SUMPRODUCT((nTP_CandKey=BX98)*(nTP_Err="")*(1-nTP_Exact)*((nTP_HT*BN98*((nTP_OK*BO98*(nTP_UTC_n-N(BQ98))+(1-nTP_OK*BO98)*(nTP_Loc_n-N(BP98)))&lt;=0)+(1-nTP_HT*BN98)*(nTP_Hi_n&lt;N(BR98)))+((1-nTP_HT*BN98)*(nTP_Lo_n=nTP_Hi_n)*(nTP_Lo_n=N(BR98))*(N(BR98)=N(BS98))))))</f>
        <v>0</v>
      </c>
      <c r="CF98" s="22">
        <f>IF(CD98=0,0,SUMPRODUCT(MAX((nTP_CandKey=BX98)*nTP_Exact*((nTP_HT*BN98*((nTP_OK*BO98*(nTP_UTC_n-N(BQ98))+(1-nTP_OK*BO98)*(nTP_Loc_n-N(BP98)))&lt;=0)+(1-nTP_HT*BN98)*(nTP_Hi_n&lt;N(BR98)))+((1-nTP_HT*BN98)*(nTP_Lo_n=nTP_Hi_n)*(nTP_Lo_n=N(BR98))*(N(BR98)=N(BS98))))*nTP_Lo_n)))</f>
        <v>0</v>
      </c>
      <c r="CG98" s="22">
        <f>IF(CD98=0,0,SUMPRODUCT((nTP_CandKey=BX98)*nTP_Exact*((nTP_HT*BN98*((nTP_OK*BO98*(nTP_UTC_n-N(BQ98))+(1-nTP_OK*BO98)*(nTP_Loc_n-N(BP98)))&lt;=0)+(1-nTP_HT*BN98)*(nTP_Hi_n&lt;N(BR98)))+((1-nTP_HT*BN98)*(nTP_Lo_n=nTP_Hi_n)*(nTP_Lo_n=N(BR98))*(N(BR98)=N(BS98))))*(nTP_Lo_n=CF98)))</f>
        <v>0</v>
      </c>
      <c r="CH98" s="22">
        <f>IF(CD98=0,0,SUMPRODUCT((nTP_CandKey=BX98)*nTP_Exact*((nTP_HT*BN98*((nTP_OK*BO98*(nTP_UTC_n-N(BQ98))+(1-nTP_OK*BO98)*(nTP_Loc_n-N(BP98)))&lt;=0)+(1-nTP_HT*BN98)*(nTP_Hi_n&lt;N(BR98)))+((1-nTP_HT*BN98)*(nTP_Lo_n=nTP_Hi_n)*(nTP_Lo_n=N(BR98))*(N(BR98)=N(BS98))))*(1-nTP_HT)*(nTP_Lo_n=CF98)))</f>
        <v>0</v>
      </c>
      <c r="CI98" s="22">
        <f>IF(CD98=0,0,SUMPRODUCT(MAX((nTP_CandKey=BX98)*nTP_Exact*((nTP_HT*BN98*((nTP_OK*BO98*(nTP_UTC_n-N(BQ98))+(1-nTP_OK*BO98)*(nTP_Loc_n-N(BP98)))&lt;=0)+(1-nTP_HT*BN98)*(nTP_Hi_n&lt;N(BR98)))+((1-nTP_HT*BN98)*(nTP_Lo_n=nTP_Hi_n)*(nTP_Lo_n=N(BR98))*(N(BR98)=N(BS98))))*(1-nTP_HT)*nTP_Lo_n)))</f>
        <v>0</v>
      </c>
      <c r="CJ98" s="22">
        <f>IF(CD98=0,0,SUMPRODUCT(MAX((nTP_CandKey=BX98)*nTP_Exact*((nTP_HT*BN98*((nTP_OK*BO98*(nTP_UTC_n-N(BQ98))+(1-nTP_OK*BO98)*(nTP_Loc_n-N(BP98)))&lt;=0)+(1-nTP_HT*BN98)*(nTP_Hi_n&lt;N(BR98)))+((1-nTP_HT*BN98)*(nTP_Lo_n=nTP_Hi_n)*(nTP_Lo_n=N(BR98))*(N(BR98)=N(BS98))))*nTP_HT*nTP_OK*nTP_UTC_n)))</f>
        <v>0</v>
      </c>
      <c r="CK98" s="22">
        <f>IF(CJ98=0,0,SUMPRODUCT((nTP_CandKey=BX98)*nTP_Exact*((nTP_HT*BN98*((nTP_OK*BO98*(nTP_UTC_n-N(BQ98))+(1-nTP_OK*BO98)*(nTP_Loc_n-N(BP98)))&lt;=0)+(1-nTP_HT*BN98)*(nTP_Hi_n&lt;N(BR98)))+((1-nTP_HT*BN98)*(nTP_Lo_n=nTP_Hi_n)*(nTP_Lo_n=N(BR98))*(N(BR98)=N(BS98))))*nTP_HT*nTP_OK*(nTP_UTC_n=CJ98)))</f>
        <v>0</v>
      </c>
      <c r="CL98" s="22">
        <f>IF(CK98&lt;&gt;1,0,SUMPRODUCT((nTP_CandKey=BX98)*nTP_Exact*((nTP_HT*BN98*((nTP_OK*BO98*(nTP_UTC_n-N(BQ98))+(1-nTP_OK*BO98)*(nTP_Loc_n-N(BP98)))&lt;=0)+(1-nTP_HT*BN98)*(nTP_Hi_n&lt;N(BR98)))+((1-nTP_HT*BN98)*(nTP_Lo_n=nTP_Hi_n)*(nTP_Lo_n=N(BR98))*(N(BR98)=N(BS98))))*nTP_HT*nTP_OK*(nTP_UTC_n=CJ98)*nTP_Loc_n))</f>
        <v>0</v>
      </c>
      <c r="CM98" s="22">
        <f>IF(CK98&lt;&gt;1,0,SUMPRODUCT((nTP_CandKey=BX98)*nTP_Exact*((nTP_HT*BN98*((nTP_OK*BO98*(nTP_UTC_n-N(BQ98))+(1-nTP_OK*BO98)*(nTP_Loc_n-N(BP98)))&lt;=0)+(1-nTP_HT*BN98)*(nTP_Hi_n&lt;N(BR98)))+((1-nTP_HT*BN98)*(nTP_Lo_n=nTP_Hi_n)*(nTP_Lo_n=N(BR98))*(N(BR98)=N(BS98))))*nTP_HT*nTP_OK*(nTP_UTC_n=CJ98)*nTP_Lo_n))</f>
        <v>0</v>
      </c>
      <c r="CN98" s="22">
        <f>IF(CD98=0,0,SUMPRODUCT(MAX((nTP_CandKey=BX98)*nTP_Exact*((nTP_HT*BN98*((nTP_OK*BO98*(nTP_UTC_n-N(BQ98))+(1-nTP_OK*BO98)*(nTP_Loc_n-N(BP98)))&lt;=0)+(1-nTP_HT*BN98)*(nTP_Hi_n&lt;N(BR98)))+((1-nTP_HT*BN98)*(nTP_Lo_n=nTP_Hi_n)*(nTP_Lo_n=N(BR98))*(N(BR98)=N(BS98))))*nTP_HT*(1-nTP_OK)*nTP_Loc_n)))</f>
        <v>0</v>
      </c>
      <c r="CO98" s="22">
        <f>IF(CN98=0,0,SUMPRODUCT((nTP_CandKey=BX98)*nTP_Exact*((nTP_HT*BN98*((nTP_OK*BO98*(nTP_UTC_n-N(BQ98))+(1-nTP_OK*BO98)*(nTP_Loc_n-N(BP98)))&lt;=0)+(1-nTP_HT*BN98)*(nTP_Hi_n&lt;N(BR98)))+((1-nTP_HT*BN98)*(nTP_Lo_n=nTP_Hi_n)*(nTP_Lo_n=N(BR98))*(N(BR98)=N(BS98))))*nTP_HT*(1-nTP_OK)*(nTP_Loc_n=CN98)))</f>
        <v>0</v>
      </c>
      <c r="CP98" s="22">
        <f>IF(CO98&lt;&gt;1,0,SUMPRODUCT((nTP_CandKey=BX98)*nTP_Exact*((nTP_HT*BN98*((nTP_OK*BO98*(nTP_UTC_n-N(BQ98))+(1-nTP_OK*BO98)*(nTP_Loc_n-N(BP98)))&lt;=0)+(1-nTP_HT*BN98)*(nTP_Hi_n&lt;N(BR98)))+((1-nTP_HT*BN98)*(nTP_Lo_n=nTP_Hi_n)*(nTP_Lo_n=N(BR98))*(N(BR98)=N(BS98))))*nTP_HT*(1-nTP_OK)*(nTP_Loc_n=CN98)*nTP_Lo_n))</f>
        <v>0</v>
      </c>
      <c r="CQ98" s="22">
        <f>IF(CD98=0,0,SUMPRODUCT(MAX((nTP_CandKey=BX98)*nTP_Exact*((nTP_HT*BN98*((nTP_OK*BO98*(nTP_UTC_n-N(BQ98))+(1-nTP_OK*BO98)*(nTP_Loc_n-N(BP98)))&lt;=0)+(1-nTP_HT*BN98)*(nTP_Hi_n&lt;N(BR98)))+((1-nTP_HT*BN98)*(nTP_Lo_n=nTP_Hi_n)*(nTP_Lo_n=N(BR98))*(N(BR98)=N(BS98))))*nTP_HT*nTP_OK*nTP_Loc_n)))</f>
        <v>0</v>
      </c>
      <c r="CR98" s="22">
        <f t="shared" si="154"/>
        <v>0</v>
      </c>
      <c r="CS98" s="22">
        <f>IF(CR98=0,0,IF(CR98=1,MATCH(1,INDEX((nTP_CandKey=BX98)*nTP_Exact*((nTP_HT*BN98*((nTP_OK*BO98*(nTP_UTC_n-N(BQ98))+(1-nTP_OK*BO98)*(nTP_Loc_n-N(BP98)))&lt;=0)+(1-nTP_HT*BN98)*(nTP_Hi_n&lt;N(BR98)))+((1-nTP_HT*BN98)*(nTP_Lo_n=nTP_Hi_n)*(nTP_Lo_n=N(BR98))*(N(BR98)=N(BS98))))*(1-nTP_HT)*(nTP_Lo_n=CF98),0),0),IF(CR98=2,MATCH(1,INDEX((nTP_CandKey=BX98)*nTP_Exact*((nTP_HT*BN98*((nTP_OK*BO98*(nTP_UTC_n-N(BQ98))+(1-nTP_OK*BO98)*(nTP_Loc_n-N(BP98)))&lt;=0)+(1-nTP_HT*BN98)*(nTP_Hi_n&lt;N(BR98)))+((1-nTP_HT*BN98)*(nTP_Lo_n=nTP_Hi_n)*(nTP_Lo_n=N(BR98))*(N(BR98)=N(BS98))))*nTP_HT*nTP_OK*(nTP_UTC_n=CJ98),0),0),MATCH(1,INDEX((nTP_CandKey=BX98)*nTP_Exact*((nTP_HT*BN98*((nTP_OK*BO98*(nTP_UTC_n-N(BQ98))+(1-nTP_OK*BO98)*(nTP_Loc_n-N(BP98)))&lt;=0)+(1-nTP_HT*BN98)*(nTP_Hi_n&lt;N(BR98)))+((1-nTP_HT*BN98)*(nTP_Lo_n=nTP_Hi_n)*(nTP_Lo_n=N(BR98))*(N(BR98)=N(BS98))))*nTP_HT*(1-nTP_OK)*(nTP_Loc_n=CN98),0),0))))</f>
        <v>0</v>
      </c>
      <c r="CT98" s="22">
        <f>IF(CS98=0,0,INDEX(nTP_Lo_n,CS98))</f>
        <v>0</v>
      </c>
      <c r="CU98" s="22">
        <f>IF(CS98=0,0,SUMPRODUCT((nTP_CandKey=BX98)*(nTP_Err="")*(1-nTP_Exact)*((nTP_HT*BN98*((nTP_OK*BO98*(nTP_UTC_n-N(BQ98))+(1-nTP_OK*BO98)*(nTP_Loc_n-N(BP98)))&lt;=0)+(1-nTP_HT*BN98)*(nTP_Hi_n&lt;N(BR98)))+((1-nTP_HT*BN98)*(nTP_Lo_n=nTP_Hi_n)*(nTP_Lo_n=N(BR98))*(N(BR98)=N(BS98))))*(nTP_Hi_n&gt;=CT98)))</f>
        <v>0</v>
      </c>
      <c r="CV98" s="21" t="str">
        <f t="shared" si="155"/>
        <v/>
      </c>
      <c r="CW98" s="21" t="str">
        <f>IF(AND(BG98=1,CB98=1,CV98="",CS98&gt;0),INDEX(nTP_Record_ID,CS98)&amp;"","")</f>
        <v/>
      </c>
      <c r="CX98" s="21" t="str">
        <f>IF(OR(CV98="",BG98=0),"",IF(CV98="none","an administration record (last dose before onset)",IF(CV98="uncertain","the anchor record: "&amp;INDEX(nTP_Record_ID,MATCH(1,INDEX((nTP_CandKey=BX98)*(nTP_Err="")*(1-(nTP_HT*BN98*((nTP_OK*BO98*(nTP_UTC_n-N(BQ98))+(1-nTP_OK*BO98)*(nTP_Loc_n-N(BP98)))&lt;=0)+(1-nTP_HT*BN98)*(nTP_Hi_n&lt;N(BR98)))-(nTP_HT*BN98*((nTP_OK*BO98*(nTP_UTC_n-N(BQ98))+(1-nTP_OK*BO98)*(nTP_Loc_n-N(BP98)))&gt;0)+(1-nTP_HT*BN98)*(nTP_Lo_n&gt;N(BS98)))-((1-nTP_HT*BN98)*(nTP_Lo_n=nTP_Hi_n)*(nTP_Lo_n=N(BR98))*(N(BR98)=N(BS98)))),0),0))&amp;IF(CC98&gt;1," and "&amp;(CC98-1)&amp;" more","")&amp;" may fall before or after the end point, so the last dose cannot be identified from the recorded dates",IF(CV98="noneligible","the anchor record: no administration with an exact date is recorded at or before the end point",IF(CV98="tie","the anchor record: the order of the latest administrations cannot be told from the recorded dates and times","the anchor record: partial-date administration "&amp;INDEX(nTP_Record_ID,MATCH(1,INDEX((nTP_CandKey=BX98)*(nTP_Err="")*(1-nTP_Exact)*((nTP_HT*BN98*((nTP_OK*BO98*(nTP_UTC_n-N(BQ98))+(1-nTP_OK*BO98)*(nTP_Loc_n-N(BP98)))&lt;=0)+(1-nTP_HT*BN98)*(nTP_Hi_n&lt;N(BR98)))+((1-nTP_HT*BN98)*(nTP_Lo_n=nTP_Hi_n)*(nTP_Lo_n=N(BR98))*(N(BR98)=N(BS98))))*(nTP_Hi_n&gt;=CT98),0),0))&amp;" could be the last dose before the end point")))))</f>
        <v/>
      </c>
      <c r="CY98" s="22">
        <f>IF(OR(AW98=1,AJ98=""),0,IFERROR(MATCH(AX98&amp;"|"&amp;AJ98,nTP_Key,0),0))</f>
        <v>137</v>
      </c>
      <c r="CZ98" s="21">
        <f>IF(CY98=0,0,INDEX(nTP_Dup,CY98))</f>
        <v>1</v>
      </c>
      <c r="DA98" s="21" t="str">
        <f>IF(CY98=0,"",INDEX(nTP_Record_Type,CY98))</f>
        <v>EXPOSURE_STOP</v>
      </c>
      <c r="DB98" s="21" t="str">
        <f>IF(CY98=0,"",INDEX(nTP_Precision,CY98))</f>
        <v>DATE</v>
      </c>
      <c r="DC98" s="21" t="str">
        <f>IF(CY98=0,"",INDEX(nTP_Err,CY98))</f>
        <v/>
      </c>
      <c r="DD98" s="21">
        <f>IF(CY98=0,0,INDEX(nTP_HT,CY98))</f>
        <v>0</v>
      </c>
      <c r="DE98" s="21">
        <f>IF(CY98=0,0,INDEX(nTP_OK,CY98))</f>
        <v>0</v>
      </c>
      <c r="DF98" s="21" t="str">
        <f>IF(CY98=0,"",INDEX(nTP_Loc,CY98))</f>
        <v/>
      </c>
      <c r="DG98" s="21" t="str">
        <f>IF(CY98=0,"",INDEX(nTP_UTC,CY98))</f>
        <v/>
      </c>
      <c r="DH98" s="21">
        <f>IF(CY98=0,"",INDEX(nTP_Lo,CY98))</f>
        <v>46208</v>
      </c>
      <c r="DI98" s="21">
        <f>IF(CY98=0,"",INDEX(nTP_Hi,CY98))</f>
        <v>46208</v>
      </c>
      <c r="DJ98" s="21" t="str">
        <f>IF(CY98=0,"",INDEX(nTP_Original_Text,CY98))</f>
        <v>cessation 2026-07-05</v>
      </c>
      <c r="DK98" s="21" t="str">
        <f>IF(CY98=0,"",INDEX(nTP_Source,CY98))</f>
        <v>tto_calc_test_vectors_v1.1.json V29</v>
      </c>
      <c r="DL98" s="22">
        <f t="shared" si="156"/>
        <v>1</v>
      </c>
      <c r="DM98" s="21" t="str">
        <f t="shared" si="157"/>
        <v/>
      </c>
      <c r="DN98" s="21" t="str">
        <f t="shared" si="158"/>
        <v/>
      </c>
      <c r="DO98" s="21" t="str">
        <f t="shared" si="159"/>
        <v/>
      </c>
      <c r="DP98" s="21" t="str">
        <f t="shared" si="160"/>
        <v/>
      </c>
      <c r="DQ98" s="21" t="str">
        <f t="shared" si="161"/>
        <v>C2</v>
      </c>
      <c r="DR98" s="22">
        <f>IF(OR(DQ98="",I98=""),0,IF(ISNA(MATCH(I98,nLIST_Mode,0)),1,IF(AND(I98="C1",DQ98&lt;&gt;"C1"),1,IF(AND(I98="C2",DQ98="C4"),1,0))))</f>
        <v>0</v>
      </c>
      <c r="DS98" s="21" t="str">
        <f t="shared" si="162"/>
        <v>C2</v>
      </c>
      <c r="DT98" s="22">
        <f t="shared" si="163"/>
        <v>1</v>
      </c>
      <c r="DU98" s="21" t="str">
        <f>IF(DT98=0,"",IF(COUNTIFS(nTP_Case_Key,AX98,nTP_Record_Type,"MILESTONE:INTERVENTION",nTP_Err,"E_INVALID_DATE")&gt;0,"; E_INVALID_DATE","")&amp;IF(COUNTIFS(nTP_Case_Key,AX98,nTP_Record_Type,"MILESTONE:INTERVENTION",nTP_Err,"E_REVERSED_BOUNDS")&gt;0,"; E_REVERSED_BOUNDS","")&amp;IF(COUNTIFS(nTP_Case_Key,AX98,nTP_Record_Type,"MILESTONE:INTERVENTION",nTP_Err,"E_MISSING_INPUT")&gt;0,"; E_MISSING_INPUT","")&amp;IF(COUNTIFS(nTP_Case_Key,AX98,nTP_Record_Type,"MILESTONE:INTERVENTION",nTP_Err,"E_INVALID_UNIT")&gt;0,"; E_INVALID_UNIT",""))</f>
        <v/>
      </c>
      <c r="DV98" s="22">
        <f>IF(DT98=0,0,SUMPRODUCT((nMS_CaseKey=AX98)*(nMS_Type="INTERVENTION")*nMS_Undated))</f>
        <v>0</v>
      </c>
      <c r="DW98" s="21" t="str">
        <f t="shared" si="164"/>
        <v/>
      </c>
      <c r="DX98" s="21" t="str">
        <f t="shared" si="165"/>
        <v/>
      </c>
      <c r="DY98" s="22">
        <f t="shared" si="166"/>
        <v>1</v>
      </c>
      <c r="DZ98" s="21" t="str">
        <f t="shared" si="167"/>
        <v/>
      </c>
      <c r="EA98" s="21">
        <f t="shared" si="168"/>
        <v>3</v>
      </c>
      <c r="EB98" s="21" t="str">
        <f t="shared" si="169"/>
        <v/>
      </c>
      <c r="EC98" s="21" t="str">
        <f t="shared" si="170"/>
        <v/>
      </c>
      <c r="ED98" s="22">
        <f t="shared" si="171"/>
        <v>0</v>
      </c>
      <c r="EE98" s="22">
        <f t="shared" si="172"/>
        <v>0</v>
      </c>
      <c r="EF98" s="21" t="str">
        <f>IF(ED98=0,"",IF(OR(NOT(ISNUMBER(L98)),NOT(ISNUMBER(M98))),"I_APPROXIMATE_NOT_COMPARED",IF(AND(N98&lt;&gt;"",ISNA(MATCH(N98,nLIST_ReportedUnit,0))),"E_INVALID_UNIT",IF(N98="","E_MISSING_INPUT",IF(L98&gt;M98,"E_REVERSED_BOUNDS",IF(OR(N98="weeks",N98="months",N98="years"),"I_APPROXIMATE_NOT_COMPARED",IF(DX98&lt;&gt;"","",IF(EE98=0,"I_APPROXIMATE_NOT_COMPARED",IF(AND(L98*EE98&lt;=IF(DS98="C4",EC98,IF(DS98="C1",DZ98,EA98)),M98*EE98&gt;=IF(DS98="C4",EB98,IF(DS98="C1",DZ98,EA98))),"OVERLAP","W_REPORTED_TIMING_CONFLICT")))))))))</f>
        <v/>
      </c>
      <c r="EG98" s="21" t="str">
        <f t="shared" si="173"/>
        <v/>
      </c>
      <c r="EH98" s="21" t="str">
        <f t="shared" si="174"/>
        <v/>
      </c>
      <c r="EI98" s="22">
        <f t="shared" si="175"/>
        <v>1</v>
      </c>
      <c r="EJ98" s="22">
        <f t="shared" si="176"/>
        <v>0</v>
      </c>
      <c r="EK98" s="22">
        <f t="shared" si="177"/>
        <v>0</v>
      </c>
      <c r="EL98" s="28" t="str">
        <f t="shared" si="178"/>
        <v/>
      </c>
      <c r="EM98" s="28" t="str">
        <f t="shared" si="179"/>
        <v/>
      </c>
      <c r="EN98" s="21" t="str">
        <f t="shared" si="180"/>
        <v/>
      </c>
      <c r="EO98" s="22">
        <f>IF(OR(DT98=0,DX98&lt;&gt;""),0,SUMPRODUCT((nTP_Case_Key=AX98)*(nTP_Record_Type="MILESTONE:INTERVENTION")*(nTP_Err="")*(nTP_HT*DD98*BN98*(nTP_OK*DE98*(nTP_UTC_n&gt;=N(DG98))+(1-nTP_OK*DE98)*(nTP_Loc_n&gt;=N(DF98)))*(nTP_OK*BO98*(nTP_UTC_n&lt;=N(BQ98))+(1-nTP_OK*BO98)*(nTP_Loc_n&lt;=N(BP98)))+(1-nTP_HT*DD98*BN98)*(nTP_Hi_n&gt;=N(DH98))*(nTP_Lo_n&lt;=N(BS98)))))</f>
        <v>1</v>
      </c>
      <c r="EP98" s="22">
        <f>IF(OR(DT98=0,DX98&lt;&gt;""),0,SUMPRODUCT((nTP_Case_Key=AX98)*(nTP_Role="treatment of the event")*((nTP_Record_Type="EXPOSURE_START")+(nTP_Record_Type="ADMINISTRATION"))*(nTP_Err="")*(nTP_HT*DD98*BN98*(nTP_OK*DE98*(nTP_UTC_n&gt;=N(DG98))+(1-nTP_OK*DE98)*(nTP_Loc_n&gt;=N(DF98)))*(nTP_OK*BO98*(nTP_UTC_n&lt;=N(BQ98))+(1-nTP_OK*BO98)*(nTP_Loc_n&lt;=N(BP98)))+(1-nTP_HT*DD98*BN98)*(nTP_Hi_n&gt;=N(DH98))*(nTP_Lo_n&lt;=N(BS98)))))</f>
        <v>0</v>
      </c>
      <c r="EQ98" s="22">
        <f>IF(EO98&lt;1,0,IFERROR(_xlfn.AGGREGATE(15,6,nTP_RowN/((nTP_Case_Key=AX98)*(nTP_Record_Type="MILESTONE:INTERVENTION")*(nTP_Err="")*(nTP_HT*DD98*BN98*(nTP_OK*DE98*(nTP_UTC_n&gt;=N(DG98))+(1-nTP_OK*DE98)*(nTP_Loc_n&gt;=N(DF98)))*(nTP_OK*BO98*(nTP_UTC_n&lt;=N(BQ98))+(1-nTP_OK*BO98)*(nTP_Loc_n&lt;=N(BP98)))+(1-nTP_HT*DD98*BN98)*(nTP_Hi_n&gt;=N(DH98))*(nTP_Lo_n&lt;=N(BS98)))),1),0))</f>
        <v>450</v>
      </c>
      <c r="ER98" s="22">
        <f>IF(EO98&lt;2,0,IFERROR(_xlfn.AGGREGATE(15,6,nTP_RowN/((nTP_Case_Key=AX98)*(nTP_Record_Type="MILESTONE:INTERVENTION")*(nTP_Err="")*(nTP_HT*DD98*BN98*(nTP_OK*DE98*(nTP_UTC_n&gt;=N(DG98))+(1-nTP_OK*DE98)*(nTP_Loc_n&gt;=N(DF98)))*(nTP_OK*BO98*(nTP_UTC_n&lt;=N(BQ98))+(1-nTP_OK*BO98)*(nTP_Loc_n&lt;=N(BP98)))+(1-nTP_HT*DD98*BN98)*(nTP_Hi_n&gt;=N(DH98))*(nTP_Lo_n&lt;=N(BS98)))),2),0))</f>
        <v>0</v>
      </c>
      <c r="ES98" s="22">
        <f>IF(EO98&lt;3,0,IFERROR(_xlfn.AGGREGATE(15,6,nTP_RowN/((nTP_Case_Key=AX98)*(nTP_Record_Type="MILESTONE:INTERVENTION")*(nTP_Err="")*(nTP_HT*DD98*BN98*(nTP_OK*DE98*(nTP_UTC_n&gt;=N(DG98))+(1-nTP_OK*DE98)*(nTP_Loc_n&gt;=N(DF98)))*(nTP_OK*BO98*(nTP_UTC_n&lt;=N(BQ98))+(1-nTP_OK*BO98)*(nTP_Loc_n&lt;=N(BP98)))+(1-nTP_HT*DD98*BN98)*(nTP_Hi_n&gt;=N(DH98))*(nTP_Lo_n&lt;=N(BS98)))),3),0))</f>
        <v>0</v>
      </c>
      <c r="ET98" s="22">
        <f>IF(EP98&lt;1,0,IFERROR(_xlfn.AGGREGATE(15,6,nTP_RowN/((nTP_Case_Key=AX98)*(nTP_Role="treatment of the event")*((nTP_Record_Type="EXPOSURE_START")+(nTP_Record_Type="ADMINISTRATION"))*(nTP_Err="")*(nTP_HT*DD98*BN98*(nTP_OK*DE98*(nTP_UTC_n&gt;=N(DG98))+(1-nTP_OK*DE98)*(nTP_Loc_n&gt;=N(DF98)))*(nTP_OK*BO98*(nTP_UTC_n&lt;=N(BQ98))+(1-nTP_OK*BO98)*(nTP_Loc_n&lt;=N(BP98)))+(1-nTP_HT*DD98*BN98)*(nTP_Hi_n&gt;=N(DH98))*(nTP_Lo_n&lt;=N(BS98)))),1),0))</f>
        <v>0</v>
      </c>
      <c r="EU98" s="22">
        <f>IF(EP98&lt;2,0,IFERROR(_xlfn.AGGREGATE(15,6,nTP_RowN/((nTP_Case_Key=AX98)*(nTP_Role="treatment of the event")*((nTP_Record_Type="EXPOSURE_START")+(nTP_Record_Type="ADMINISTRATION"))*(nTP_Err="")*(nTP_HT*DD98*BN98*(nTP_OK*DE98*(nTP_UTC_n&gt;=N(DG98))+(1-nTP_OK*DE98)*(nTP_Loc_n&gt;=N(DF98)))*(nTP_OK*BO98*(nTP_UTC_n&lt;=N(BQ98))+(1-nTP_OK*BO98)*(nTP_Loc_n&lt;=N(BP98)))+(1-nTP_HT*DD98*BN98)*(nTP_Hi_n&gt;=N(DH98))*(nTP_Lo_n&lt;=N(BS98)))),2),0))</f>
        <v>0</v>
      </c>
      <c r="EV98" s="22">
        <f>IF(EP98&lt;3,0,IFERROR(_xlfn.AGGREGATE(15,6,nTP_RowN/((nTP_Case_Key=AX98)*(nTP_Role="treatment of the event")*((nTP_Record_Type="EXPOSURE_START")+(nTP_Record_Type="ADMINISTRATION"))*(nTP_Err="")*(nTP_HT*DD98*BN98*(nTP_OK*DE98*(nTP_UTC_n&gt;=N(DG98))+(1-nTP_OK*DE98)*(nTP_Loc_n&gt;=N(DF98)))*(nTP_OK*BO98*(nTP_UTC_n&lt;=N(BQ98))+(1-nTP_OK*BO98)*(nTP_Loc_n&lt;=N(BP98)))+(1-nTP_HT*DD98*BN98)*(nTP_Hi_n&gt;=N(DH98))*(nTP_Lo_n&lt;=N(BS98)))),3),0))</f>
        <v>0</v>
      </c>
      <c r="EW98" s="22">
        <f>IF(CE98&lt;1,0,IFERROR(_xlfn.AGGREGATE(15,6,nTP_RowN/((nTP_CandKey=BX98)*(nTP_Err="")*(1-nTP_Exact)*((nTP_HT*BN98*((nTP_OK*BO98*(nTP_UTC_n-N(BQ98))+(1-nTP_OK*BO98)*(nTP_Loc_n-N(BP98)))&lt;=0)+(1-nTP_HT*BN98)*(nTP_Hi_n&lt;N(BR98)))+((1-nTP_HT*BN98)*(nTP_Lo_n=nTP_Hi_n)*(nTP_Lo_n=N(BR98))*(N(BR98)=N(BS98))))),1),0))</f>
        <v>0</v>
      </c>
      <c r="EX98" s="22">
        <f>IF(CE98&lt;2,0,IFERROR(_xlfn.AGGREGATE(15,6,nTP_RowN/((nTP_CandKey=BX98)*(nTP_Err="")*(1-nTP_Exact)*((nTP_HT*BN98*((nTP_OK*BO98*(nTP_UTC_n-N(BQ98))+(1-nTP_OK*BO98)*(nTP_Loc_n-N(BP98)))&lt;=0)+(1-nTP_HT*BN98)*(nTP_Hi_n&lt;N(BR98)))+((1-nTP_HT*BN98)*(nTP_Lo_n=nTP_Hi_n)*(nTP_Lo_n=N(BR98))*(N(BR98)=N(BS98))))),2),0))</f>
        <v>0</v>
      </c>
      <c r="EY98" s="22">
        <f>IF(CE98&lt;3,0,IFERROR(_xlfn.AGGREGATE(15,6,nTP_RowN/((nTP_CandKey=BX98)*(nTP_Err="")*(1-nTP_Exact)*((nTP_HT*BN98*((nTP_OK*BO98*(nTP_UTC_n-N(BQ98))+(1-nTP_OK*BO98)*(nTP_Loc_n-N(BP98)))&lt;=0)+(1-nTP_HT*BN98)*(nTP_Hi_n&lt;N(BR98)))+((1-nTP_HT*BN98)*(nTP_Lo_n=nTP_Hi_n)*(nTP_Lo_n=N(BR98))*(N(BR98)=N(BS98))))),3),0))</f>
        <v>0</v>
      </c>
      <c r="EZ98" s="21" t="str">
        <f>IF(EO98=0,"",MID(IF(EQ98&gt;0,"; "&amp;INDEX(nTP_Record_ID,EQ98)&amp;IF(INDEX(nTP_Label,EQ98)="",""," ("&amp;INDEX(nTP_Label,EQ98)&amp;")"),"")&amp;IF(ER98&gt;0,"; "&amp;INDEX(nTP_Record_ID,ER98)&amp;IF(INDEX(nTP_Label,ER98)="",""," ("&amp;INDEX(nTP_Label,ER98)&amp;")"),"")&amp;IF(ES98&gt;0,"; "&amp;INDEX(nTP_Record_ID,ES98)&amp;IF(INDEX(nTP_Label,ES98)="",""," ("&amp;INDEX(nTP_Label,ES98)&amp;")"),"")&amp;IF(EO98&gt;3,"; and "&amp;(EO98-3)&amp;" more",""),3,999))</f>
        <v>MS-FLU (IV fluids and cardiac monitoring)</v>
      </c>
      <c r="FA98" s="21" t="str">
        <f>IF(EO98=0,"",MID(IF(EQ98&gt;0,"; "&amp;INDEX(nTP_Record_ID,EQ98),"")&amp;IF(ER98&gt;0,"; "&amp;INDEX(nTP_Record_ID,ER98),"")&amp;IF(ES98&gt;0,"; "&amp;INDEX(nTP_Record_ID,ES98),"")&amp;IF(EO98&gt;3,"; and "&amp;(EO98-3)&amp;" more",""),3,999))</f>
        <v>MS-FLU</v>
      </c>
      <c r="FB98" s="21" t="str">
        <f>IF(EP98=0,"",MID(IF(ET98&gt;0,"; "&amp;INDEX(nTP_Record_ID,ET98)&amp;IF(INDEX(nTP_Label,ET98)="",""," ("&amp;INDEX(nTP_Label,ET98)&amp;")"),"")&amp;IF(EU98&gt;0,"; "&amp;INDEX(nTP_Record_ID,EU98)&amp;IF(INDEX(nTP_Label,EU98)="",""," ("&amp;INDEX(nTP_Label,EU98)&amp;")"),"")&amp;IF(EV98&gt;0,"; "&amp;INDEX(nTP_Record_ID,EV98)&amp;IF(INDEX(nTP_Label,EV98)="",""," ("&amp;INDEX(nTP_Label,EV98)&amp;")"),"")&amp;IF(EP98&gt;3,"; and "&amp;(EP98-3)&amp;" more",""),3,999))</f>
        <v/>
      </c>
      <c r="FC98" s="21" t="str">
        <f>IF(CE98=0,"",MID(IF(EW98&gt;0,"; "&amp;INDEX(nTP_Record_ID,EW98),"")&amp;IF(EX98&gt;0,"; "&amp;INDEX(nTP_Record_ID,EX98),"")&amp;IF(EY98&gt;0,"; "&amp;INDEX(nTP_Record_ID,EY98),"")&amp;IF(CE98&gt;3,"; and "&amp;(CE98-3)&amp;" more",""),3,999))</f>
        <v/>
      </c>
      <c r="FD98" s="22">
        <f t="shared" si="181"/>
        <v>0</v>
      </c>
      <c r="FE98" s="22">
        <f t="shared" si="182"/>
        <v>0</v>
      </c>
      <c r="FF98" s="22">
        <f t="shared" si="183"/>
        <v>0</v>
      </c>
      <c r="FG98" s="22">
        <f t="shared" si="184"/>
        <v>0</v>
      </c>
      <c r="FH98" s="22">
        <f t="shared" si="185"/>
        <v>0</v>
      </c>
      <c r="FI98" s="22">
        <f t="shared" si="186"/>
        <v>1</v>
      </c>
      <c r="FJ98" s="22">
        <f t="shared" si="187"/>
        <v>0</v>
      </c>
      <c r="FK98" s="22">
        <f t="shared" si="188"/>
        <v>0</v>
      </c>
    </row>
    <row r="99" spans="1:167" x14ac:dyDescent="0.2">
      <c r="A99" s="9" t="s">
        <v>1180</v>
      </c>
      <c r="B99" s="9" t="s">
        <v>367</v>
      </c>
      <c r="C99" s="11">
        <v>1</v>
      </c>
      <c r="D99" s="9" t="s">
        <v>894</v>
      </c>
      <c r="E99" s="16" t="s">
        <v>56</v>
      </c>
      <c r="F99" s="9"/>
      <c r="G99" s="9" t="s">
        <v>1196</v>
      </c>
      <c r="H99" s="9" t="s">
        <v>864</v>
      </c>
      <c r="I99" s="16"/>
      <c r="J99" s="16"/>
      <c r="K99" s="9"/>
      <c r="L99" s="16"/>
      <c r="M99" s="16"/>
      <c r="N99" s="16"/>
      <c r="O99" s="9"/>
      <c r="P99" s="14"/>
      <c r="Q99" s="14"/>
      <c r="R99" s="9"/>
      <c r="S99" s="9" t="s">
        <v>1197</v>
      </c>
      <c r="T99" s="21" t="str">
        <f t="shared" si="126"/>
        <v>3 calendar days</v>
      </c>
      <c r="U99" s="21" t="str">
        <f t="shared" si="127"/>
        <v>3 calendar days</v>
      </c>
      <c r="V99" s="21">
        <f t="shared" si="128"/>
        <v>3</v>
      </c>
      <c r="W99" s="21" t="str">
        <f t="shared" si="129"/>
        <v/>
      </c>
      <c r="X99" s="21" t="str">
        <f t="shared" si="130"/>
        <v/>
      </c>
      <c r="Y99" s="21" t="str">
        <f t="shared" si="131"/>
        <v>calendar days</v>
      </c>
      <c r="Z99" s="21" t="str">
        <f t="shared" si="132"/>
        <v>C7 (C2)</v>
      </c>
      <c r="AA99" s="21" t="str">
        <f t="shared" si="133"/>
        <v>AFTER</v>
      </c>
      <c r="AB99" s="21" t="str">
        <f t="shared" si="134"/>
        <v/>
      </c>
      <c r="AC99" s="21" t="str">
        <f t="shared" si="135"/>
        <v/>
      </c>
      <c r="AD99" s="21" t="str">
        <f>IF(AW99=1,"",MID(IF(ISNUMBER(SEARCH("E_INVALID_DATE",EG99))," | E_INVALID_DATE: "&amp;SUBSTITUTE(IFERROR(INDEX(nMSG_Text,MATCH("E_INVALID_DATE",nMSG_Code,0)),""),"[input]",""),"")&amp;IF(ISNUMBER(SEARCH("E_REVERSED_BOUNDS",EG99))," | E_REVERSED_BOUNDS: "&amp;SUBSTITUTE(IFERROR(INDEX(nMSG_Text,MATCH("E_REVERSED_BOUNDS",nMSG_Code,0)),""),"[input]",""),"")&amp;IF(ISNUMBER(SEARCH("E_DUPLICATE_ID",EG99))," | E_DUPLICATE_ID: "&amp;SUBSTITUTE(IFERROR(INDEX(nMSG_Text,MATCH("E_DUPLICATE_ID",nMSG_Code,0)),""),"[input]",""),"")&amp;IF(ISNUMBER(SEARCH("E_MISSING_LINK",EG99))," | E_MISSING_LINK: "&amp;SUBSTITUTE(IFERROR(INDEX(nMSG_Text,MATCH("E_MISSING_LINK",nMSG_Code,0)),""),"[input]",""),"")&amp;IF(ISNUMBER(SEARCH("E_MISSING_INPUT",EG99))," | E_MISSING_INPUT: "&amp;SUBSTITUTE(IFERROR(INDEX(nMSG_Text,MATCH("E_MISSING_INPUT",nMSG_Code,0)),""),"[input]",IF(EH99="","an input",EH99)),"")&amp;IF(ISNUMBER(SEARCH("E_INVALID_UNIT",EG99))," | E_INVALID_UNIT: "&amp;SUBSTITUTE(IFERROR(INDEX(nMSG_Text,MATCH("E_INVALID_UNIT",nMSG_Code,0)),""),"[input]",""),"")&amp;IF(FD99=1," | W_TZ_UNKNOWN: "&amp;SUBSTITUTE(IFERROR(INDEX(nMSG_Text,MATCH("W_TZ_UNKNOWN",nMSG_Code,0)),""),"[input]",""),"")&amp;IF(FE99=1," | W_SAME_DATE_ORDER_UNKNOWN: "&amp;SUBSTITUTE(IFERROR(INDEX(nMSG_Text,MATCH("W_SAME_DATE_ORDER_UNKNOWN",nMSG_Code,0)),""),"[input]",""),"")&amp;IF(FF99=1," | W_SEQUENCE_UNCERTAIN: "&amp;SUBSTITUTE(IFERROR(INDEX(nMSG_Text,MATCH("W_SEQUENCE_UNCERTAIN",nMSG_Code,0)),""),"[input]",""),"")&amp;IF(FG99=1," | W_ADMIN_SAME_DATE_AS_ONSET: "&amp;SUBSTITUTE(IFERROR(INDEX(nMSG_Text,MATCH("W_ADMIN_SAME_DATE_AS_ONSET",nMSG_Code,0)),""),"[input]",""),"")&amp;IF(FH99=1," | W_REPORTED_TIMING_CONFLICT: "&amp;SUBSTITUTE(IFERROR(INDEX(nMSG_Text,MATCH("W_REPORTED_TIMING_CONFLICT",nMSG_Code,0)),""),"[input]",""),"")&amp;IF(FI99=1," | W_INTERVENTION_BEFORE_RECOVERY: "&amp;SUBSTITUTE(IFERROR(INDEX(nMSG_Text,MATCH("W_INTERVENTION_BEFORE_RECOVERY",nMSG_Code,0)),""),"[input]",""),"")&amp;IF(FJ99=1," | I_TREATMENT_DAY_UNDEFINED: "&amp;SUBSTITUTE(IFERROR(INDEX(nMSG_Text,MATCH("I_TREATMENT_DAY_UNDEFINED",nMSG_Code,0)),""),"[input]",""),"")&amp;IF(FK99=1," | I_APPROXIMATE_NOT_COMPARED: "&amp;SUBSTITUTE(IFERROR(INDEX(nMSG_Text,MATCH("I_APPROXIMATE_NOT_COMPARED",nMSG_Code,0)),""),"[input]",""),""),4,9999))</f>
        <v/>
      </c>
      <c r="AE99" s="21" t="str">
        <f t="shared" si="136"/>
        <v/>
      </c>
      <c r="AF99" s="21" t="str">
        <f t="shared" si="137"/>
        <v/>
      </c>
      <c r="AG99" s="21" t="str">
        <f>IF(EN99="","",MID(IF(ISNUMBER(SEARCH("E_REVERSED_BOUNDS",EN99))," | E_REVERSED_BOUNDS: "&amp;SUBSTITUTE(IFERROR(INDEX(nMSG_Text,MATCH("E_REVERSED_BOUNDS",nMSG_Code,0)),""),"[input]",""),"")&amp;IF(ISNUMBER(SEARCH("E_MISSING_INPUT",EN99))," | E_MISSING_INPUT: "&amp;SUBSTITUTE(IFERROR(INDEX(nMSG_Text,MATCH("E_MISSING_INPUT",nMSG_Code,0)),""),"[input]",IF("the source of the constraint"="","an input","the source of the constraint")),""),4,999))</f>
        <v/>
      </c>
      <c r="AH99" s="21" t="str">
        <f t="shared" si="138"/>
        <v/>
      </c>
      <c r="AI99" s="21" t="str">
        <f t="shared" si="139"/>
        <v>EX1/STOP → MS-REC (recovery)</v>
      </c>
      <c r="AJ99" s="21" t="str">
        <f t="shared" si="140"/>
        <v>EX1/STOP</v>
      </c>
      <c r="AK99" s="21" t="str">
        <f t="shared" si="141"/>
        <v>MS-REC</v>
      </c>
      <c r="AL99" s="21" t="str">
        <f>IF(CY99=0,"",INDEX(nTP_ISO,CY99))</f>
        <v>2026-07-05</v>
      </c>
      <c r="AM99" s="21" t="str">
        <f>IF(CY99=0,"",INDEX(nTP_Display,CY99))</f>
        <v>5 July 2026</v>
      </c>
      <c r="AN99" s="21" t="str">
        <f>IF(BI99=0,"",INDEX(nTP_ISO,BI99))</f>
        <v>2026-07-08</v>
      </c>
      <c r="AO99" s="21" t="str">
        <f>IF(BI99=0,"",INDEX(nTP_Display,BI99))</f>
        <v>8 July 2026</v>
      </c>
      <c r="AP99" s="21" t="str">
        <f>IF(BA99=0,"",INDEX(nLNK_Exposure_Episode_ID,BA99)&amp;"")</f>
        <v>EX1</v>
      </c>
      <c r="AQ99" s="21" t="str">
        <f>IF(BA99=0,"",INDEX(nLNK_Event_Episode_ID,BA99)&amp;"")</f>
        <v>EV1</v>
      </c>
      <c r="AR99" s="21" t="str">
        <f t="shared" si="142"/>
        <v>Anchor (CESSATION) EX1/STOP: 2026-07-05 [day; case measurement; original: "cessation 2026-07-05"; source: tto_calc_test_vectors_v1.1.json V30] | End point MS-REC: 2026-07-08 [day; case measurement; original: "2026-07-08"; source: tto_calc_test_vectors_v1.1.json V30]</v>
      </c>
      <c r="AS99" s="21" t="str">
        <f>IF(EI99=0,"",MID(IF(DT99=1," | Recovery interval (C7) computed with "&amp;DS99&amp;".","")&amp;IF(BG99=1," | Anchor selected under C5 (CALC-SPEC 1.1): latest administration with an exact date or time at or before "&amp;IF(BH99=1,"onset","the end point")&amp;" ("&amp;AJ99&amp;"), ordered in UTC when offsets are known; later administrations are never selected.","")&amp;IF(AND(BG99=1,CE99&gt;0)," | Partial-date administrations wholly before the selected one were not candidates: "&amp;FC99&amp;".","")&amp;IF(BV99&lt;&gt;""," | "&amp;BV99,"")&amp;IF(AND(DS99="C2",EA99=0,DZ99&lt;&gt;"")," | Same calendar date; both times are known, so C1 decides the order ("&amp;AA99&amp;").","")&amp;IF(AND(DS99="C2",DD99*BN99=1,DT99=0)," | Calendar-date difference from the recorded local dates; it is never described as elapsed days.","")&amp;IF(AND(DS99="C4",DT99=0)," | Bounds are treated as independent; no single date is imputed from them.","")&amp;IF(EJ99=1," | Treatment day under the inclusive convention (C3); never written to E2B fields automatically.","")&amp;IF(AND(DS99="C4",DT99=0,EK99=0)," | No constraint applied.","")&amp;IF(AND(DS99="C4",EK99=1)," | Constraint applied to the anchor bounds: "&amp;IF(ISNUMBER(P99),"not before "&amp;DAY(P99)&amp;" "&amp;INDEX(nLIST_Months,MONTH(P99))&amp;" "&amp;YEAR(P99),"")&amp;IF(AND(ISNUMBER(P99),ISNUMBER(Q99)),", ","")&amp;IF(ISNUMBER(Q99),"not after "&amp;DAY(Q99)&amp;" "&amp;INDEX(nLIST_Months,MONTH(Q99))&amp;" "&amp;YEAR(Q99),"")&amp;". Source: "&amp;IF(R99="","not recorded",R99)&amp;IF(EN99="",". Constrained result shown beside the unconstrained one.",". Constrained result blocked ("&amp;EN99&amp;")."),"")&amp;IF(DT99=1,IF(EO99&gt;0," | Intervention recorded between cessation and recovery (ends included): "&amp;EZ99&amp;"."," | No intervention is recorded between cessation and recovery; absence of a record is not evidence that none was given."),"")&amp;IF(AND(DT99=1,DV99&gt;0)," | Intervention recorded without a date, so whether it came before recovery is unknown: "&amp;INDEX(nMS_Milestone_ID,MATCH(1,INDEX((nMS_CaseKey=AX99)*(nMS_Type="INTERVENTION")*nMS_Undated,0),0))&amp;IF(DV99&gt;1," and "&amp;(DV99-1)&amp;" more","")&amp;".","")&amp;IF(AND(DT99=1,EP99&gt;0)," | Not counted as interventions, because they are recorded as exposures rather than as intervention milestones (nothing is inferred): "&amp;FB99&amp;". If treatment was given, record it as an intervention milestone.",""),4,9999))</f>
        <v>Recovery interval (C7) computed with C2. | No intervention is recorded between cessation and recovery; absence of a record is not evidence that none was given. | Not counted as interventions, because they are recorded as exposures rather than as intervention milestones (nothing is inferred): EXO1/START (Other drug 1: Start). If treatment was given, record it as an intervention milestone.</v>
      </c>
      <c r="AT99" s="21" t="str">
        <f t="shared" si="143"/>
        <v>The interval describes the sequence and spacing of recorded times; it is not evidence of causation. A recovery interval is not, by itself, evidence of positive dechallenge.</v>
      </c>
      <c r="AU99" s="21" t="str">
        <f t="shared" si="144"/>
        <v/>
      </c>
      <c r="AV99" s="21" t="str">
        <f t="shared" si="145"/>
        <v>CALC-SPEC 1.1</v>
      </c>
      <c r="AW99" s="22">
        <f t="shared" si="146"/>
        <v>0</v>
      </c>
      <c r="AX99" s="21" t="str">
        <f t="shared" si="147"/>
        <v>VEC-V30|1</v>
      </c>
      <c r="AY99" s="21" t="str">
        <f t="shared" si="148"/>
        <v>VEC-V30|1|I1</v>
      </c>
      <c r="AZ99" s="22">
        <f>IF(AY99="",0,COUNTIF(nINT_Key,AY99))</f>
        <v>1</v>
      </c>
      <c r="BA99" s="22">
        <f>IF(D99="",0,IFERROR(MATCH(AX99&amp;"|"&amp;D99,nLNK_Key,0),0))</f>
        <v>46</v>
      </c>
      <c r="BB99" s="22">
        <f>IF(BA99=0,1,INDEX(nLNK_Exp_Found,BA99))</f>
        <v>1</v>
      </c>
      <c r="BC99" s="22">
        <f>IF(BA99=0,1,INDEX(nLNK_Evt_Found,BA99))</f>
        <v>1</v>
      </c>
      <c r="BD99" s="22">
        <f>IF(AP99="",0,COUNTIF(nEXP_Key,AX99&amp;"|"&amp;AP99))</f>
        <v>1</v>
      </c>
      <c r="BE99" s="22">
        <f>IF(AQ99="",0,COUNTIF(nEVT_Key,AX99&amp;"|"&amp;AQ99))</f>
        <v>1</v>
      </c>
      <c r="BF99" s="22">
        <f>IF(ISNA(MATCH(E99,nLIST_AnchorType,0)),0,1)</f>
        <v>1</v>
      </c>
      <c r="BG99" s="22">
        <f t="shared" si="149"/>
        <v>0</v>
      </c>
      <c r="BH99" s="22">
        <f t="shared" si="150"/>
        <v>0</v>
      </c>
      <c r="BI99" s="22">
        <f>IF(OR(AW99=1,AK99=""),0,IFERROR(MATCH(AX99&amp;"|"&amp;AK99,nTP_Key,0),0))</f>
        <v>451</v>
      </c>
      <c r="BJ99" s="21">
        <f>IF(BI99=0,0,INDEX(nTP_Dup,BI99))</f>
        <v>1</v>
      </c>
      <c r="BK99" s="21" t="str">
        <f>IF(BI99=0,"",INDEX(nTP_Record_Type,BI99))</f>
        <v>MILESTONE:RECOVERY</v>
      </c>
      <c r="BL99" s="21" t="str">
        <f>IF(BI99=0,"",INDEX(nTP_Precision,BI99))</f>
        <v>DATE</v>
      </c>
      <c r="BM99" s="21" t="str">
        <f>IF(BI99=0,"",INDEX(nTP_Err,BI99))</f>
        <v/>
      </c>
      <c r="BN99" s="21">
        <f>IF(BI99=0,0,INDEX(nTP_HT,BI99))</f>
        <v>0</v>
      </c>
      <c r="BO99" s="21">
        <f>IF(BI99=0,0,INDEX(nTP_OK,BI99))</f>
        <v>0</v>
      </c>
      <c r="BP99" s="21" t="str">
        <f>IF(BI99=0,"",INDEX(nTP_Loc,BI99))</f>
        <v/>
      </c>
      <c r="BQ99" s="21" t="str">
        <f>IF(BI99=0,"",INDEX(nTP_UTC,BI99))</f>
        <v/>
      </c>
      <c r="BR99" s="21">
        <f>IF(BI99=0,"",INDEX(nTP_Lo,BI99))</f>
        <v>46211</v>
      </c>
      <c r="BS99" s="21">
        <f>IF(BI99=0,"",INDEX(nTP_Hi,BI99))</f>
        <v>46211</v>
      </c>
      <c r="BT99" s="21" t="str">
        <f>IF(BI99=0,"",INDEX(nTP_Original_Text,BI99))</f>
        <v>2026-07-08</v>
      </c>
      <c r="BU99" s="21" t="str">
        <f>IF(BI99=0,"",INDEX(nTP_Source,BI99))</f>
        <v>tto_calc_test_vectors_v1.1.json V30</v>
      </c>
      <c r="BV99" s="21" t="str">
        <f>IF(BI99=0,"",INDEX(nTP_Lab_Note,BI99))</f>
        <v/>
      </c>
      <c r="BW99" s="22">
        <f t="shared" si="151"/>
        <v>1</v>
      </c>
      <c r="BX99" s="21" t="str">
        <f t="shared" si="152"/>
        <v>VEC-V30|1|EX1</v>
      </c>
      <c r="BY99" s="22">
        <f>IF(BG99=0,0,COUNTIF(nTP_CandKey,BX99))</f>
        <v>0</v>
      </c>
      <c r="BZ99" s="22">
        <f>IF(BG99=0,0,COUNTIFS(nTP_CandKey,BX99,nTP_Err,""))</f>
        <v>0</v>
      </c>
      <c r="CA99" s="21" t="str">
        <f>IF(BY99=BZ99,"",IF(COUNTIFS(nTP_CandKey,BX99,nTP_Err,"E_INVALID_DATE")&gt;0,"; E_INVALID_DATE","")&amp;IF(COUNTIFS(nTP_CandKey,BX99,nTP_Err,"E_REVERSED_BOUNDS")&gt;0,"; E_REVERSED_BOUNDS","")&amp;IF(COUNTIFS(nTP_CandKey,BX99,nTP_Err,"E_MISSING_INPUT")&gt;0,"; E_MISSING_INPUT","")&amp;IF(COUNTIFS(nTP_CandKey,BX99,nTP_Err,"E_INVALID_UNIT")&gt;0,"; E_INVALID_UNIT",""))</f>
        <v/>
      </c>
      <c r="CB99" s="22">
        <f t="shared" si="153"/>
        <v>0</v>
      </c>
      <c r="CC99" s="22">
        <f>IF(CB99=0,0,SUMPRODUCT((nTP_CandKey=BX99)*(nTP_Err="")*(1-(nTP_HT*BN99*((nTP_OK*BO99*(nTP_UTC_n-N(BQ99))+(1-nTP_OK*BO99)*(nTP_Loc_n-N(BP99)))&lt;=0)+(1-nTP_HT*BN99)*(nTP_Hi_n&lt;N(BR99)))-(nTP_HT*BN99*((nTP_OK*BO99*(nTP_UTC_n-N(BQ99))+(1-nTP_OK*BO99)*(nTP_Loc_n-N(BP99)))&gt;0)+(1-nTP_HT*BN99)*(nTP_Lo_n&gt;N(BS99)))-((1-nTP_HT*BN99)*(nTP_Lo_n=nTP_Hi_n)*(nTP_Lo_n=N(BR99))*(N(BR99)=N(BS99))))))</f>
        <v>0</v>
      </c>
      <c r="CD99" s="22">
        <f>IF(CB99=0,0,SUMPRODUCT((nTP_CandKey=BX99)*nTP_Exact*((nTP_HT*BN99*((nTP_OK*BO99*(nTP_UTC_n-N(BQ99))+(1-nTP_OK*BO99)*(nTP_Loc_n-N(BP99)))&lt;=0)+(1-nTP_HT*BN99)*(nTP_Hi_n&lt;N(BR99)))+((1-nTP_HT*BN99)*(nTP_Lo_n=nTP_Hi_n)*(nTP_Lo_n=N(BR99))*(N(BR99)=N(BS99))))))</f>
        <v>0</v>
      </c>
      <c r="CE99" s="22">
        <f>IF(CB99=0,0,SUMPRODUCT((nTP_CandKey=BX99)*(nTP_Err="")*(1-nTP_Exact)*((nTP_HT*BN99*((nTP_OK*BO99*(nTP_UTC_n-N(BQ99))+(1-nTP_OK*BO99)*(nTP_Loc_n-N(BP99)))&lt;=0)+(1-nTP_HT*BN99)*(nTP_Hi_n&lt;N(BR99)))+((1-nTP_HT*BN99)*(nTP_Lo_n=nTP_Hi_n)*(nTP_Lo_n=N(BR99))*(N(BR99)=N(BS99))))))</f>
        <v>0</v>
      </c>
      <c r="CF99" s="22">
        <f>IF(CD99=0,0,SUMPRODUCT(MAX((nTP_CandKey=BX99)*nTP_Exact*((nTP_HT*BN99*((nTP_OK*BO99*(nTP_UTC_n-N(BQ99))+(1-nTP_OK*BO99)*(nTP_Loc_n-N(BP99)))&lt;=0)+(1-nTP_HT*BN99)*(nTP_Hi_n&lt;N(BR99)))+((1-nTP_HT*BN99)*(nTP_Lo_n=nTP_Hi_n)*(nTP_Lo_n=N(BR99))*(N(BR99)=N(BS99))))*nTP_Lo_n)))</f>
        <v>0</v>
      </c>
      <c r="CG99" s="22">
        <f>IF(CD99=0,0,SUMPRODUCT((nTP_CandKey=BX99)*nTP_Exact*((nTP_HT*BN99*((nTP_OK*BO99*(nTP_UTC_n-N(BQ99))+(1-nTP_OK*BO99)*(nTP_Loc_n-N(BP99)))&lt;=0)+(1-nTP_HT*BN99)*(nTP_Hi_n&lt;N(BR99)))+((1-nTP_HT*BN99)*(nTP_Lo_n=nTP_Hi_n)*(nTP_Lo_n=N(BR99))*(N(BR99)=N(BS99))))*(nTP_Lo_n=CF99)))</f>
        <v>0</v>
      </c>
      <c r="CH99" s="22">
        <f>IF(CD99=0,0,SUMPRODUCT((nTP_CandKey=BX99)*nTP_Exact*((nTP_HT*BN99*((nTP_OK*BO99*(nTP_UTC_n-N(BQ99))+(1-nTP_OK*BO99)*(nTP_Loc_n-N(BP99)))&lt;=0)+(1-nTP_HT*BN99)*(nTP_Hi_n&lt;N(BR99)))+((1-nTP_HT*BN99)*(nTP_Lo_n=nTP_Hi_n)*(nTP_Lo_n=N(BR99))*(N(BR99)=N(BS99))))*(1-nTP_HT)*(nTP_Lo_n=CF99)))</f>
        <v>0</v>
      </c>
      <c r="CI99" s="22">
        <f>IF(CD99=0,0,SUMPRODUCT(MAX((nTP_CandKey=BX99)*nTP_Exact*((nTP_HT*BN99*((nTP_OK*BO99*(nTP_UTC_n-N(BQ99))+(1-nTP_OK*BO99)*(nTP_Loc_n-N(BP99)))&lt;=0)+(1-nTP_HT*BN99)*(nTP_Hi_n&lt;N(BR99)))+((1-nTP_HT*BN99)*(nTP_Lo_n=nTP_Hi_n)*(nTP_Lo_n=N(BR99))*(N(BR99)=N(BS99))))*(1-nTP_HT)*nTP_Lo_n)))</f>
        <v>0</v>
      </c>
      <c r="CJ99" s="22">
        <f>IF(CD99=0,0,SUMPRODUCT(MAX((nTP_CandKey=BX99)*nTP_Exact*((nTP_HT*BN99*((nTP_OK*BO99*(nTP_UTC_n-N(BQ99))+(1-nTP_OK*BO99)*(nTP_Loc_n-N(BP99)))&lt;=0)+(1-nTP_HT*BN99)*(nTP_Hi_n&lt;N(BR99)))+((1-nTP_HT*BN99)*(nTP_Lo_n=nTP_Hi_n)*(nTP_Lo_n=N(BR99))*(N(BR99)=N(BS99))))*nTP_HT*nTP_OK*nTP_UTC_n)))</f>
        <v>0</v>
      </c>
      <c r="CK99" s="22">
        <f>IF(CJ99=0,0,SUMPRODUCT((nTP_CandKey=BX99)*nTP_Exact*((nTP_HT*BN99*((nTP_OK*BO99*(nTP_UTC_n-N(BQ99))+(1-nTP_OK*BO99)*(nTP_Loc_n-N(BP99)))&lt;=0)+(1-nTP_HT*BN99)*(nTP_Hi_n&lt;N(BR99)))+((1-nTP_HT*BN99)*(nTP_Lo_n=nTP_Hi_n)*(nTP_Lo_n=N(BR99))*(N(BR99)=N(BS99))))*nTP_HT*nTP_OK*(nTP_UTC_n=CJ99)))</f>
        <v>0</v>
      </c>
      <c r="CL99" s="22">
        <f>IF(CK99&lt;&gt;1,0,SUMPRODUCT((nTP_CandKey=BX99)*nTP_Exact*((nTP_HT*BN99*((nTP_OK*BO99*(nTP_UTC_n-N(BQ99))+(1-nTP_OK*BO99)*(nTP_Loc_n-N(BP99)))&lt;=0)+(1-nTP_HT*BN99)*(nTP_Hi_n&lt;N(BR99)))+((1-nTP_HT*BN99)*(nTP_Lo_n=nTP_Hi_n)*(nTP_Lo_n=N(BR99))*(N(BR99)=N(BS99))))*nTP_HT*nTP_OK*(nTP_UTC_n=CJ99)*nTP_Loc_n))</f>
        <v>0</v>
      </c>
      <c r="CM99" s="22">
        <f>IF(CK99&lt;&gt;1,0,SUMPRODUCT((nTP_CandKey=BX99)*nTP_Exact*((nTP_HT*BN99*((nTP_OK*BO99*(nTP_UTC_n-N(BQ99))+(1-nTP_OK*BO99)*(nTP_Loc_n-N(BP99)))&lt;=0)+(1-nTP_HT*BN99)*(nTP_Hi_n&lt;N(BR99)))+((1-nTP_HT*BN99)*(nTP_Lo_n=nTP_Hi_n)*(nTP_Lo_n=N(BR99))*(N(BR99)=N(BS99))))*nTP_HT*nTP_OK*(nTP_UTC_n=CJ99)*nTP_Lo_n))</f>
        <v>0</v>
      </c>
      <c r="CN99" s="22">
        <f>IF(CD99=0,0,SUMPRODUCT(MAX((nTP_CandKey=BX99)*nTP_Exact*((nTP_HT*BN99*((nTP_OK*BO99*(nTP_UTC_n-N(BQ99))+(1-nTP_OK*BO99)*(nTP_Loc_n-N(BP99)))&lt;=0)+(1-nTP_HT*BN99)*(nTP_Hi_n&lt;N(BR99)))+((1-nTP_HT*BN99)*(nTP_Lo_n=nTP_Hi_n)*(nTP_Lo_n=N(BR99))*(N(BR99)=N(BS99))))*nTP_HT*(1-nTP_OK)*nTP_Loc_n)))</f>
        <v>0</v>
      </c>
      <c r="CO99" s="22">
        <f>IF(CN99=0,0,SUMPRODUCT((nTP_CandKey=BX99)*nTP_Exact*((nTP_HT*BN99*((nTP_OK*BO99*(nTP_UTC_n-N(BQ99))+(1-nTP_OK*BO99)*(nTP_Loc_n-N(BP99)))&lt;=0)+(1-nTP_HT*BN99)*(nTP_Hi_n&lt;N(BR99)))+((1-nTP_HT*BN99)*(nTP_Lo_n=nTP_Hi_n)*(nTP_Lo_n=N(BR99))*(N(BR99)=N(BS99))))*nTP_HT*(1-nTP_OK)*(nTP_Loc_n=CN99)))</f>
        <v>0</v>
      </c>
      <c r="CP99" s="22">
        <f>IF(CO99&lt;&gt;1,0,SUMPRODUCT((nTP_CandKey=BX99)*nTP_Exact*((nTP_HT*BN99*((nTP_OK*BO99*(nTP_UTC_n-N(BQ99))+(1-nTP_OK*BO99)*(nTP_Loc_n-N(BP99)))&lt;=0)+(1-nTP_HT*BN99)*(nTP_Hi_n&lt;N(BR99)))+((1-nTP_HT*BN99)*(nTP_Lo_n=nTP_Hi_n)*(nTP_Lo_n=N(BR99))*(N(BR99)=N(BS99))))*nTP_HT*(1-nTP_OK)*(nTP_Loc_n=CN99)*nTP_Lo_n))</f>
        <v>0</v>
      </c>
      <c r="CQ99" s="22">
        <f>IF(CD99=0,0,SUMPRODUCT(MAX((nTP_CandKey=BX99)*nTP_Exact*((nTP_HT*BN99*((nTP_OK*BO99*(nTP_UTC_n-N(BQ99))+(1-nTP_OK*BO99)*(nTP_Loc_n-N(BP99)))&lt;=0)+(1-nTP_HT*BN99)*(nTP_Hi_n&lt;N(BR99)))+((1-nTP_HT*BN99)*(nTP_Lo_n=nTP_Hi_n)*(nTP_Lo_n=N(BR99))*(N(BR99)=N(BS99))))*nTP_HT*nTP_OK*nTP_Loc_n)))</f>
        <v>0</v>
      </c>
      <c r="CR99" s="22">
        <f t="shared" si="154"/>
        <v>0</v>
      </c>
      <c r="CS99" s="22">
        <f>IF(CR99=0,0,IF(CR99=1,MATCH(1,INDEX((nTP_CandKey=BX99)*nTP_Exact*((nTP_HT*BN99*((nTP_OK*BO99*(nTP_UTC_n-N(BQ99))+(1-nTP_OK*BO99)*(nTP_Loc_n-N(BP99)))&lt;=0)+(1-nTP_HT*BN99)*(nTP_Hi_n&lt;N(BR99)))+((1-nTP_HT*BN99)*(nTP_Lo_n=nTP_Hi_n)*(nTP_Lo_n=N(BR99))*(N(BR99)=N(BS99))))*(1-nTP_HT)*(nTP_Lo_n=CF99),0),0),IF(CR99=2,MATCH(1,INDEX((nTP_CandKey=BX99)*nTP_Exact*((nTP_HT*BN99*((nTP_OK*BO99*(nTP_UTC_n-N(BQ99))+(1-nTP_OK*BO99)*(nTP_Loc_n-N(BP99)))&lt;=0)+(1-nTP_HT*BN99)*(nTP_Hi_n&lt;N(BR99)))+((1-nTP_HT*BN99)*(nTP_Lo_n=nTP_Hi_n)*(nTP_Lo_n=N(BR99))*(N(BR99)=N(BS99))))*nTP_HT*nTP_OK*(nTP_UTC_n=CJ99),0),0),MATCH(1,INDEX((nTP_CandKey=BX99)*nTP_Exact*((nTP_HT*BN99*((nTP_OK*BO99*(nTP_UTC_n-N(BQ99))+(1-nTP_OK*BO99)*(nTP_Loc_n-N(BP99)))&lt;=0)+(1-nTP_HT*BN99)*(nTP_Hi_n&lt;N(BR99)))+((1-nTP_HT*BN99)*(nTP_Lo_n=nTP_Hi_n)*(nTP_Lo_n=N(BR99))*(N(BR99)=N(BS99))))*nTP_HT*(1-nTP_OK)*(nTP_Loc_n=CN99),0),0))))</f>
        <v>0</v>
      </c>
      <c r="CT99" s="22">
        <f>IF(CS99=0,0,INDEX(nTP_Lo_n,CS99))</f>
        <v>0</v>
      </c>
      <c r="CU99" s="22">
        <f>IF(CS99=0,0,SUMPRODUCT((nTP_CandKey=BX99)*(nTP_Err="")*(1-nTP_Exact)*((nTP_HT*BN99*((nTP_OK*BO99*(nTP_UTC_n-N(BQ99))+(1-nTP_OK*BO99)*(nTP_Loc_n-N(BP99)))&lt;=0)+(1-nTP_HT*BN99)*(nTP_Hi_n&lt;N(BR99)))+((1-nTP_HT*BN99)*(nTP_Lo_n=nTP_Hi_n)*(nTP_Lo_n=N(BR99))*(N(BR99)=N(BS99))))*(nTP_Hi_n&gt;=CT99)))</f>
        <v>0</v>
      </c>
      <c r="CV99" s="21" t="str">
        <f t="shared" si="155"/>
        <v/>
      </c>
      <c r="CW99" s="21" t="str">
        <f>IF(AND(BG99=1,CB99=1,CV99="",CS99&gt;0),INDEX(nTP_Record_ID,CS99)&amp;"","")</f>
        <v/>
      </c>
      <c r="CX99" s="21" t="str">
        <f>IF(OR(CV99="",BG99=0),"",IF(CV99="none","an administration record (last dose before onset)",IF(CV99="uncertain","the anchor record: "&amp;INDEX(nTP_Record_ID,MATCH(1,INDEX((nTP_CandKey=BX99)*(nTP_Err="")*(1-(nTP_HT*BN99*((nTP_OK*BO99*(nTP_UTC_n-N(BQ99))+(1-nTP_OK*BO99)*(nTP_Loc_n-N(BP99)))&lt;=0)+(1-nTP_HT*BN99)*(nTP_Hi_n&lt;N(BR99)))-(nTP_HT*BN99*((nTP_OK*BO99*(nTP_UTC_n-N(BQ99))+(1-nTP_OK*BO99)*(nTP_Loc_n-N(BP99)))&gt;0)+(1-nTP_HT*BN99)*(nTP_Lo_n&gt;N(BS99)))-((1-nTP_HT*BN99)*(nTP_Lo_n=nTP_Hi_n)*(nTP_Lo_n=N(BR99))*(N(BR99)=N(BS99)))),0),0))&amp;IF(CC99&gt;1," and "&amp;(CC99-1)&amp;" more","")&amp;" may fall before or after the end point, so the last dose cannot be identified from the recorded dates",IF(CV99="noneligible","the anchor record: no administration with an exact date is recorded at or before the end point",IF(CV99="tie","the anchor record: the order of the latest administrations cannot be told from the recorded dates and times","the anchor record: partial-date administration "&amp;INDEX(nTP_Record_ID,MATCH(1,INDEX((nTP_CandKey=BX99)*(nTP_Err="")*(1-nTP_Exact)*((nTP_HT*BN99*((nTP_OK*BO99*(nTP_UTC_n-N(BQ99))+(1-nTP_OK*BO99)*(nTP_Loc_n-N(BP99)))&lt;=0)+(1-nTP_HT*BN99)*(nTP_Hi_n&lt;N(BR99)))+((1-nTP_HT*BN99)*(nTP_Lo_n=nTP_Hi_n)*(nTP_Lo_n=N(BR99))*(N(BR99)=N(BS99))))*(nTP_Hi_n&gt;=CT99),0),0))&amp;" could be the last dose before the end point")))))</f>
        <v/>
      </c>
      <c r="CY99" s="22">
        <f>IF(OR(AW99=1,AJ99=""),0,IFERROR(MATCH(AX99&amp;"|"&amp;AJ99,nTP_Key,0),0))</f>
        <v>138</v>
      </c>
      <c r="CZ99" s="21">
        <f>IF(CY99=0,0,INDEX(nTP_Dup,CY99))</f>
        <v>1</v>
      </c>
      <c r="DA99" s="21" t="str">
        <f>IF(CY99=0,"",INDEX(nTP_Record_Type,CY99))</f>
        <v>EXPOSURE_STOP</v>
      </c>
      <c r="DB99" s="21" t="str">
        <f>IF(CY99=0,"",INDEX(nTP_Precision,CY99))</f>
        <v>DATE</v>
      </c>
      <c r="DC99" s="21" t="str">
        <f>IF(CY99=0,"",INDEX(nTP_Err,CY99))</f>
        <v/>
      </c>
      <c r="DD99" s="21">
        <f>IF(CY99=0,0,INDEX(nTP_HT,CY99))</f>
        <v>0</v>
      </c>
      <c r="DE99" s="21">
        <f>IF(CY99=0,0,INDEX(nTP_OK,CY99))</f>
        <v>0</v>
      </c>
      <c r="DF99" s="21" t="str">
        <f>IF(CY99=0,"",INDEX(nTP_Loc,CY99))</f>
        <v/>
      </c>
      <c r="DG99" s="21" t="str">
        <f>IF(CY99=0,"",INDEX(nTP_UTC,CY99))</f>
        <v/>
      </c>
      <c r="DH99" s="21">
        <f>IF(CY99=0,"",INDEX(nTP_Lo,CY99))</f>
        <v>46208</v>
      </c>
      <c r="DI99" s="21">
        <f>IF(CY99=0,"",INDEX(nTP_Hi,CY99))</f>
        <v>46208</v>
      </c>
      <c r="DJ99" s="21" t="str">
        <f>IF(CY99=0,"",INDEX(nTP_Original_Text,CY99))</f>
        <v>cessation 2026-07-05</v>
      </c>
      <c r="DK99" s="21" t="str">
        <f>IF(CY99=0,"",INDEX(nTP_Source,CY99))</f>
        <v>tto_calc_test_vectors_v1.1.json V30</v>
      </c>
      <c r="DL99" s="22">
        <f t="shared" si="156"/>
        <v>1</v>
      </c>
      <c r="DM99" s="21" t="str">
        <f t="shared" si="157"/>
        <v/>
      </c>
      <c r="DN99" s="21" t="str">
        <f t="shared" si="158"/>
        <v/>
      </c>
      <c r="DO99" s="21" t="str">
        <f t="shared" si="159"/>
        <v/>
      </c>
      <c r="DP99" s="21" t="str">
        <f t="shared" si="160"/>
        <v/>
      </c>
      <c r="DQ99" s="21" t="str">
        <f t="shared" si="161"/>
        <v>C2</v>
      </c>
      <c r="DR99" s="22">
        <f>IF(OR(DQ99="",I99=""),0,IF(ISNA(MATCH(I99,nLIST_Mode,0)),1,IF(AND(I99="C1",DQ99&lt;&gt;"C1"),1,IF(AND(I99="C2",DQ99="C4"),1,0))))</f>
        <v>0</v>
      </c>
      <c r="DS99" s="21" t="str">
        <f t="shared" si="162"/>
        <v>C2</v>
      </c>
      <c r="DT99" s="22">
        <f t="shared" si="163"/>
        <v>1</v>
      </c>
      <c r="DU99" s="21" t="str">
        <f>IF(DT99=0,"",IF(COUNTIFS(nTP_Case_Key,AX99,nTP_Record_Type,"MILESTONE:INTERVENTION",nTP_Err,"E_INVALID_DATE")&gt;0,"; E_INVALID_DATE","")&amp;IF(COUNTIFS(nTP_Case_Key,AX99,nTP_Record_Type,"MILESTONE:INTERVENTION",nTP_Err,"E_REVERSED_BOUNDS")&gt;0,"; E_REVERSED_BOUNDS","")&amp;IF(COUNTIFS(nTP_Case_Key,AX99,nTP_Record_Type,"MILESTONE:INTERVENTION",nTP_Err,"E_MISSING_INPUT")&gt;0,"; E_MISSING_INPUT","")&amp;IF(COUNTIFS(nTP_Case_Key,AX99,nTP_Record_Type,"MILESTONE:INTERVENTION",nTP_Err,"E_INVALID_UNIT")&gt;0,"; E_INVALID_UNIT",""))</f>
        <v/>
      </c>
      <c r="DV99" s="22">
        <f>IF(DT99=0,0,SUMPRODUCT((nMS_CaseKey=AX99)*(nMS_Type="INTERVENTION")*nMS_Undated))</f>
        <v>0</v>
      </c>
      <c r="DW99" s="21" t="str">
        <f t="shared" si="164"/>
        <v/>
      </c>
      <c r="DX99" s="21" t="str">
        <f t="shared" si="165"/>
        <v/>
      </c>
      <c r="DY99" s="22">
        <f t="shared" si="166"/>
        <v>1</v>
      </c>
      <c r="DZ99" s="21" t="str">
        <f t="shared" si="167"/>
        <v/>
      </c>
      <c r="EA99" s="21">
        <f t="shared" si="168"/>
        <v>3</v>
      </c>
      <c r="EB99" s="21" t="str">
        <f t="shared" si="169"/>
        <v/>
      </c>
      <c r="EC99" s="21" t="str">
        <f t="shared" si="170"/>
        <v/>
      </c>
      <c r="ED99" s="22">
        <f t="shared" si="171"/>
        <v>0</v>
      </c>
      <c r="EE99" s="22">
        <f t="shared" si="172"/>
        <v>0</v>
      </c>
      <c r="EF99" s="21" t="str">
        <f>IF(ED99=0,"",IF(OR(NOT(ISNUMBER(L99)),NOT(ISNUMBER(M99))),"I_APPROXIMATE_NOT_COMPARED",IF(AND(N99&lt;&gt;"",ISNA(MATCH(N99,nLIST_ReportedUnit,0))),"E_INVALID_UNIT",IF(N99="","E_MISSING_INPUT",IF(L99&gt;M99,"E_REVERSED_BOUNDS",IF(OR(N99="weeks",N99="months",N99="years"),"I_APPROXIMATE_NOT_COMPARED",IF(DX99&lt;&gt;"","",IF(EE99=0,"I_APPROXIMATE_NOT_COMPARED",IF(AND(L99*EE99&lt;=IF(DS99="C4",EC99,IF(DS99="C1",DZ99,EA99)),M99*EE99&gt;=IF(DS99="C4",EB99,IF(DS99="C1",DZ99,EA99))),"OVERLAP","W_REPORTED_TIMING_CONFLICT")))))))))</f>
        <v/>
      </c>
      <c r="EG99" s="21" t="str">
        <f t="shared" si="173"/>
        <v/>
      </c>
      <c r="EH99" s="21" t="str">
        <f t="shared" si="174"/>
        <v/>
      </c>
      <c r="EI99" s="22">
        <f t="shared" si="175"/>
        <v>1</v>
      </c>
      <c r="EJ99" s="22">
        <f t="shared" si="176"/>
        <v>0</v>
      </c>
      <c r="EK99" s="22">
        <f t="shared" si="177"/>
        <v>0</v>
      </c>
      <c r="EL99" s="28" t="str">
        <f t="shared" si="178"/>
        <v/>
      </c>
      <c r="EM99" s="28" t="str">
        <f t="shared" si="179"/>
        <v/>
      </c>
      <c r="EN99" s="21" t="str">
        <f t="shared" si="180"/>
        <v/>
      </c>
      <c r="EO99" s="22">
        <f>IF(OR(DT99=0,DX99&lt;&gt;""),0,SUMPRODUCT((nTP_Case_Key=AX99)*(nTP_Record_Type="MILESTONE:INTERVENTION")*(nTP_Err="")*(nTP_HT*DD99*BN99*(nTP_OK*DE99*(nTP_UTC_n&gt;=N(DG99))+(1-nTP_OK*DE99)*(nTP_Loc_n&gt;=N(DF99)))*(nTP_OK*BO99*(nTP_UTC_n&lt;=N(BQ99))+(1-nTP_OK*BO99)*(nTP_Loc_n&lt;=N(BP99)))+(1-nTP_HT*DD99*BN99)*(nTP_Hi_n&gt;=N(DH99))*(nTP_Lo_n&lt;=N(BS99)))))</f>
        <v>0</v>
      </c>
      <c r="EP99" s="22">
        <f>IF(OR(DT99=0,DX99&lt;&gt;""),0,SUMPRODUCT((nTP_Case_Key=AX99)*(nTP_Role="treatment of the event")*((nTP_Record_Type="EXPOSURE_START")+(nTP_Record_Type="ADMINISTRATION"))*(nTP_Err="")*(nTP_HT*DD99*BN99*(nTP_OK*DE99*(nTP_UTC_n&gt;=N(DG99))+(1-nTP_OK*DE99)*(nTP_Loc_n&gt;=N(DF99)))*(nTP_OK*BO99*(nTP_UTC_n&lt;=N(BQ99))+(1-nTP_OK*BO99)*(nTP_Loc_n&lt;=N(BP99)))+(1-nTP_HT*DD99*BN99)*(nTP_Hi_n&gt;=N(DH99))*(nTP_Lo_n&lt;=N(BS99)))))</f>
        <v>1</v>
      </c>
      <c r="EQ99" s="22">
        <f>IF(EO99&lt;1,0,IFERROR(_xlfn.AGGREGATE(15,6,nTP_RowN/((nTP_Case_Key=AX99)*(nTP_Record_Type="MILESTONE:INTERVENTION")*(nTP_Err="")*(nTP_HT*DD99*BN99*(nTP_OK*DE99*(nTP_UTC_n&gt;=N(DG99))+(1-nTP_OK*DE99)*(nTP_Loc_n&gt;=N(DF99)))*(nTP_OK*BO99*(nTP_UTC_n&lt;=N(BQ99))+(1-nTP_OK*BO99)*(nTP_Loc_n&lt;=N(BP99)))+(1-nTP_HT*DD99*BN99)*(nTP_Hi_n&gt;=N(DH99))*(nTP_Lo_n&lt;=N(BS99)))),1),0))</f>
        <v>0</v>
      </c>
      <c r="ER99" s="22">
        <f>IF(EO99&lt;2,0,IFERROR(_xlfn.AGGREGATE(15,6,nTP_RowN/((nTP_Case_Key=AX99)*(nTP_Record_Type="MILESTONE:INTERVENTION")*(nTP_Err="")*(nTP_HT*DD99*BN99*(nTP_OK*DE99*(nTP_UTC_n&gt;=N(DG99))+(1-nTP_OK*DE99)*(nTP_Loc_n&gt;=N(DF99)))*(nTP_OK*BO99*(nTP_UTC_n&lt;=N(BQ99))+(1-nTP_OK*BO99)*(nTP_Loc_n&lt;=N(BP99)))+(1-nTP_HT*DD99*BN99)*(nTP_Hi_n&gt;=N(DH99))*(nTP_Lo_n&lt;=N(BS99)))),2),0))</f>
        <v>0</v>
      </c>
      <c r="ES99" s="22">
        <f>IF(EO99&lt;3,0,IFERROR(_xlfn.AGGREGATE(15,6,nTP_RowN/((nTP_Case_Key=AX99)*(nTP_Record_Type="MILESTONE:INTERVENTION")*(nTP_Err="")*(nTP_HT*DD99*BN99*(nTP_OK*DE99*(nTP_UTC_n&gt;=N(DG99))+(1-nTP_OK*DE99)*(nTP_Loc_n&gt;=N(DF99)))*(nTP_OK*BO99*(nTP_UTC_n&lt;=N(BQ99))+(1-nTP_OK*BO99)*(nTP_Loc_n&lt;=N(BP99)))+(1-nTP_HT*DD99*BN99)*(nTP_Hi_n&gt;=N(DH99))*(nTP_Lo_n&lt;=N(BS99)))),3),0))</f>
        <v>0</v>
      </c>
      <c r="ET99" s="22">
        <f>IF(EP99&lt;1,0,IFERROR(_xlfn.AGGREGATE(15,6,nTP_RowN/((nTP_Case_Key=AX99)*(nTP_Role="treatment of the event")*((nTP_Record_Type="EXPOSURE_START")+(nTP_Record_Type="ADMINISTRATION"))*(nTP_Err="")*(nTP_HT*DD99*BN99*(nTP_OK*DE99*(nTP_UTC_n&gt;=N(DG99))+(1-nTP_OK*DE99)*(nTP_Loc_n&gt;=N(DF99)))*(nTP_OK*BO99*(nTP_UTC_n&lt;=N(BQ99))+(1-nTP_OK*BO99)*(nTP_Loc_n&lt;=N(BP99)))+(1-nTP_HT*DD99*BN99)*(nTP_Hi_n&gt;=N(DH99))*(nTP_Lo_n&lt;=N(BS99)))),1),0))</f>
        <v>67</v>
      </c>
      <c r="EU99" s="22">
        <f>IF(EP99&lt;2,0,IFERROR(_xlfn.AGGREGATE(15,6,nTP_RowN/((nTP_Case_Key=AX99)*(nTP_Role="treatment of the event")*((nTP_Record_Type="EXPOSURE_START")+(nTP_Record_Type="ADMINISTRATION"))*(nTP_Err="")*(nTP_HT*DD99*BN99*(nTP_OK*DE99*(nTP_UTC_n&gt;=N(DG99))+(1-nTP_OK*DE99)*(nTP_Loc_n&gt;=N(DF99)))*(nTP_OK*BO99*(nTP_UTC_n&lt;=N(BQ99))+(1-nTP_OK*BO99)*(nTP_Loc_n&lt;=N(BP99)))+(1-nTP_HT*DD99*BN99)*(nTP_Hi_n&gt;=N(DH99))*(nTP_Lo_n&lt;=N(BS99)))),2),0))</f>
        <v>0</v>
      </c>
      <c r="EV99" s="22">
        <f>IF(EP99&lt;3,0,IFERROR(_xlfn.AGGREGATE(15,6,nTP_RowN/((nTP_Case_Key=AX99)*(nTP_Role="treatment of the event")*((nTP_Record_Type="EXPOSURE_START")+(nTP_Record_Type="ADMINISTRATION"))*(nTP_Err="")*(nTP_HT*DD99*BN99*(nTP_OK*DE99*(nTP_UTC_n&gt;=N(DG99))+(1-nTP_OK*DE99)*(nTP_Loc_n&gt;=N(DF99)))*(nTP_OK*BO99*(nTP_UTC_n&lt;=N(BQ99))+(1-nTP_OK*BO99)*(nTP_Loc_n&lt;=N(BP99)))+(1-nTP_HT*DD99*BN99)*(nTP_Hi_n&gt;=N(DH99))*(nTP_Lo_n&lt;=N(BS99)))),3),0))</f>
        <v>0</v>
      </c>
      <c r="EW99" s="22">
        <f>IF(CE99&lt;1,0,IFERROR(_xlfn.AGGREGATE(15,6,nTP_RowN/((nTP_CandKey=BX99)*(nTP_Err="")*(1-nTP_Exact)*((nTP_HT*BN99*((nTP_OK*BO99*(nTP_UTC_n-N(BQ99))+(1-nTP_OK*BO99)*(nTP_Loc_n-N(BP99)))&lt;=0)+(1-nTP_HT*BN99)*(nTP_Hi_n&lt;N(BR99)))+((1-nTP_HT*BN99)*(nTP_Lo_n=nTP_Hi_n)*(nTP_Lo_n=N(BR99))*(N(BR99)=N(BS99))))),1),0))</f>
        <v>0</v>
      </c>
      <c r="EX99" s="22">
        <f>IF(CE99&lt;2,0,IFERROR(_xlfn.AGGREGATE(15,6,nTP_RowN/((nTP_CandKey=BX99)*(nTP_Err="")*(1-nTP_Exact)*((nTP_HT*BN99*((nTP_OK*BO99*(nTP_UTC_n-N(BQ99))+(1-nTP_OK*BO99)*(nTP_Loc_n-N(BP99)))&lt;=0)+(1-nTP_HT*BN99)*(nTP_Hi_n&lt;N(BR99)))+((1-nTP_HT*BN99)*(nTP_Lo_n=nTP_Hi_n)*(nTP_Lo_n=N(BR99))*(N(BR99)=N(BS99))))),2),0))</f>
        <v>0</v>
      </c>
      <c r="EY99" s="22">
        <f>IF(CE99&lt;3,0,IFERROR(_xlfn.AGGREGATE(15,6,nTP_RowN/((nTP_CandKey=BX99)*(nTP_Err="")*(1-nTP_Exact)*((nTP_HT*BN99*((nTP_OK*BO99*(nTP_UTC_n-N(BQ99))+(1-nTP_OK*BO99)*(nTP_Loc_n-N(BP99)))&lt;=0)+(1-nTP_HT*BN99)*(nTP_Hi_n&lt;N(BR99)))+((1-nTP_HT*BN99)*(nTP_Lo_n=nTP_Hi_n)*(nTP_Lo_n=N(BR99))*(N(BR99)=N(BS99))))),3),0))</f>
        <v>0</v>
      </c>
      <c r="EZ99" s="21" t="str">
        <f>IF(EO99=0,"",MID(IF(EQ99&gt;0,"; "&amp;INDEX(nTP_Record_ID,EQ99)&amp;IF(INDEX(nTP_Label,EQ99)="",""," ("&amp;INDEX(nTP_Label,EQ99)&amp;")"),"")&amp;IF(ER99&gt;0,"; "&amp;INDEX(nTP_Record_ID,ER99)&amp;IF(INDEX(nTP_Label,ER99)="",""," ("&amp;INDEX(nTP_Label,ER99)&amp;")"),"")&amp;IF(ES99&gt;0,"; "&amp;INDEX(nTP_Record_ID,ES99)&amp;IF(INDEX(nTP_Label,ES99)="",""," ("&amp;INDEX(nTP_Label,ES99)&amp;")"),"")&amp;IF(EO99&gt;3,"; and "&amp;(EO99-3)&amp;" more",""),3,999))</f>
        <v/>
      </c>
      <c r="FA99" s="21" t="str">
        <f>IF(EO99=0,"",MID(IF(EQ99&gt;0,"; "&amp;INDEX(nTP_Record_ID,EQ99),"")&amp;IF(ER99&gt;0,"; "&amp;INDEX(nTP_Record_ID,ER99),"")&amp;IF(ES99&gt;0,"; "&amp;INDEX(nTP_Record_ID,ES99),"")&amp;IF(EO99&gt;3,"; and "&amp;(EO99-3)&amp;" more",""),3,999))</f>
        <v/>
      </c>
      <c r="FB99" s="21" t="str">
        <f>IF(EP99=0,"",MID(IF(ET99&gt;0,"; "&amp;INDEX(nTP_Record_ID,ET99)&amp;IF(INDEX(nTP_Label,ET99)="",""," ("&amp;INDEX(nTP_Label,ET99)&amp;")"),"")&amp;IF(EU99&gt;0,"; "&amp;INDEX(nTP_Record_ID,EU99)&amp;IF(INDEX(nTP_Label,EU99)="",""," ("&amp;INDEX(nTP_Label,EU99)&amp;")"),"")&amp;IF(EV99&gt;0,"; "&amp;INDEX(nTP_Record_ID,EV99)&amp;IF(INDEX(nTP_Label,EV99)="",""," ("&amp;INDEX(nTP_Label,EV99)&amp;")"),"")&amp;IF(EP99&gt;3,"; and "&amp;(EP99-3)&amp;" more",""),3,999))</f>
        <v>EXO1/START (Other drug 1: Start)</v>
      </c>
      <c r="FC99" s="21" t="str">
        <f>IF(CE99=0,"",MID(IF(EW99&gt;0,"; "&amp;INDEX(nTP_Record_ID,EW99),"")&amp;IF(EX99&gt;0,"; "&amp;INDEX(nTP_Record_ID,EX99),"")&amp;IF(EY99&gt;0,"; "&amp;INDEX(nTP_Record_ID,EY99),"")&amp;IF(CE99&gt;3,"; and "&amp;(CE99-3)&amp;" more",""),3,999))</f>
        <v/>
      </c>
      <c r="FD99" s="22">
        <f t="shared" si="181"/>
        <v>0</v>
      </c>
      <c r="FE99" s="22">
        <f t="shared" si="182"/>
        <v>0</v>
      </c>
      <c r="FF99" s="22">
        <f t="shared" si="183"/>
        <v>0</v>
      </c>
      <c r="FG99" s="22">
        <f t="shared" si="184"/>
        <v>0</v>
      </c>
      <c r="FH99" s="22">
        <f t="shared" si="185"/>
        <v>0</v>
      </c>
      <c r="FI99" s="22">
        <f t="shared" si="186"/>
        <v>0</v>
      </c>
      <c r="FJ99" s="22">
        <f t="shared" si="187"/>
        <v>0</v>
      </c>
      <c r="FK99" s="22">
        <f t="shared" si="188"/>
        <v>0</v>
      </c>
    </row>
    <row r="100" spans="1:167" x14ac:dyDescent="0.2">
      <c r="A100" s="9" t="s">
        <v>1180</v>
      </c>
      <c r="B100" s="9" t="s">
        <v>369</v>
      </c>
      <c r="C100" s="11">
        <v>1</v>
      </c>
      <c r="D100" s="9" t="s">
        <v>894</v>
      </c>
      <c r="E100" s="16" t="s">
        <v>51</v>
      </c>
      <c r="F100" s="9"/>
      <c r="G100" s="9"/>
      <c r="H100" s="9"/>
      <c r="I100" s="16"/>
      <c r="J100" s="16"/>
      <c r="K100" s="9"/>
      <c r="L100" s="16"/>
      <c r="M100" s="16"/>
      <c r="N100" s="16"/>
      <c r="O100" s="9"/>
      <c r="P100" s="14"/>
      <c r="Q100" s="14"/>
      <c r="R100" s="9"/>
      <c r="S100" s="9" t="s">
        <v>1198</v>
      </c>
      <c r="T100" s="21" t="str">
        <f t="shared" si="126"/>
        <v>14 to 28 calendar days</v>
      </c>
      <c r="U100" s="21" t="str">
        <f t="shared" si="127"/>
        <v>14 to 28 calendar days</v>
      </c>
      <c r="V100" s="21" t="str">
        <f t="shared" si="128"/>
        <v/>
      </c>
      <c r="W100" s="21">
        <f t="shared" si="129"/>
        <v>14</v>
      </c>
      <c r="X100" s="21">
        <f t="shared" si="130"/>
        <v>28</v>
      </c>
      <c r="Y100" s="21" t="str">
        <f t="shared" si="131"/>
        <v>calendar days</v>
      </c>
      <c r="Z100" s="21" t="str">
        <f t="shared" si="132"/>
        <v>C4</v>
      </c>
      <c r="AA100" s="21" t="str">
        <f t="shared" si="133"/>
        <v>AFTER</v>
      </c>
      <c r="AB100" s="21" t="str">
        <f t="shared" si="134"/>
        <v/>
      </c>
      <c r="AC100" s="21" t="str">
        <f t="shared" si="135"/>
        <v/>
      </c>
      <c r="AD100" s="21" t="str">
        <f>IF(AW100=1,"",MID(IF(ISNUMBER(SEARCH("E_INVALID_DATE",EG100))," | E_INVALID_DATE: "&amp;SUBSTITUTE(IFERROR(INDEX(nMSG_Text,MATCH("E_INVALID_DATE",nMSG_Code,0)),""),"[input]",""),"")&amp;IF(ISNUMBER(SEARCH("E_REVERSED_BOUNDS",EG100))," | E_REVERSED_BOUNDS: "&amp;SUBSTITUTE(IFERROR(INDEX(nMSG_Text,MATCH("E_REVERSED_BOUNDS",nMSG_Code,0)),""),"[input]",""),"")&amp;IF(ISNUMBER(SEARCH("E_DUPLICATE_ID",EG100))," | E_DUPLICATE_ID: "&amp;SUBSTITUTE(IFERROR(INDEX(nMSG_Text,MATCH("E_DUPLICATE_ID",nMSG_Code,0)),""),"[input]",""),"")&amp;IF(ISNUMBER(SEARCH("E_MISSING_LINK",EG100))," | E_MISSING_LINK: "&amp;SUBSTITUTE(IFERROR(INDEX(nMSG_Text,MATCH("E_MISSING_LINK",nMSG_Code,0)),""),"[input]",""),"")&amp;IF(ISNUMBER(SEARCH("E_MISSING_INPUT",EG100))," | E_MISSING_INPUT: "&amp;SUBSTITUTE(IFERROR(INDEX(nMSG_Text,MATCH("E_MISSING_INPUT",nMSG_Code,0)),""),"[input]",IF(EH100="","an input",EH100)),"")&amp;IF(ISNUMBER(SEARCH("E_INVALID_UNIT",EG100))," | E_INVALID_UNIT: "&amp;SUBSTITUTE(IFERROR(INDEX(nMSG_Text,MATCH("E_INVALID_UNIT",nMSG_Code,0)),""),"[input]",""),"")&amp;IF(FD100=1," | W_TZ_UNKNOWN: "&amp;SUBSTITUTE(IFERROR(INDEX(nMSG_Text,MATCH("W_TZ_UNKNOWN",nMSG_Code,0)),""),"[input]",""),"")&amp;IF(FE100=1," | W_SAME_DATE_ORDER_UNKNOWN: "&amp;SUBSTITUTE(IFERROR(INDEX(nMSG_Text,MATCH("W_SAME_DATE_ORDER_UNKNOWN",nMSG_Code,0)),""),"[input]",""),"")&amp;IF(FF100=1," | W_SEQUENCE_UNCERTAIN: "&amp;SUBSTITUTE(IFERROR(INDEX(nMSG_Text,MATCH("W_SEQUENCE_UNCERTAIN",nMSG_Code,0)),""),"[input]",""),"")&amp;IF(FG100=1," | W_ADMIN_SAME_DATE_AS_ONSET: "&amp;SUBSTITUTE(IFERROR(INDEX(nMSG_Text,MATCH("W_ADMIN_SAME_DATE_AS_ONSET",nMSG_Code,0)),""),"[input]",""),"")&amp;IF(FH100=1," | W_REPORTED_TIMING_CONFLICT: "&amp;SUBSTITUTE(IFERROR(INDEX(nMSG_Text,MATCH("W_REPORTED_TIMING_CONFLICT",nMSG_Code,0)),""),"[input]",""),"")&amp;IF(FI100=1," | W_INTERVENTION_BEFORE_RECOVERY: "&amp;SUBSTITUTE(IFERROR(INDEX(nMSG_Text,MATCH("W_INTERVENTION_BEFORE_RECOVERY",nMSG_Code,0)),""),"[input]",""),"")&amp;IF(FJ100=1," | I_TREATMENT_DAY_UNDEFINED: "&amp;SUBSTITUTE(IFERROR(INDEX(nMSG_Text,MATCH("I_TREATMENT_DAY_UNDEFINED",nMSG_Code,0)),""),"[input]",""),"")&amp;IF(FK100=1," | I_APPROXIMATE_NOT_COMPARED: "&amp;SUBSTITUTE(IFERROR(INDEX(nMSG_Text,MATCH("I_APPROXIMATE_NOT_COMPARED",nMSG_Code,0)),""),"[input]",""),""),4,9999))</f>
        <v/>
      </c>
      <c r="AE100" s="21" t="str">
        <f t="shared" si="136"/>
        <v/>
      </c>
      <c r="AF100" s="21" t="str">
        <f t="shared" si="137"/>
        <v/>
      </c>
      <c r="AG100" s="21" t="str">
        <f>IF(EN100="","",MID(IF(ISNUMBER(SEARCH("E_REVERSED_BOUNDS",EN100))," | E_REVERSED_BOUNDS: "&amp;SUBSTITUTE(IFERROR(INDEX(nMSG_Text,MATCH("E_REVERSED_BOUNDS",nMSG_Code,0)),""),"[input]",""),"")&amp;IF(ISNUMBER(SEARCH("E_MISSING_INPUT",EN100))," | E_MISSING_INPUT: "&amp;SUBSTITUTE(IFERROR(INDEX(nMSG_Text,MATCH("E_MISSING_INPUT",nMSG_Code,0)),""),"[input]",IF("the source of the constraint"="","an input","the source of the constraint")),""),4,999))</f>
        <v/>
      </c>
      <c r="AH100" s="21" t="str">
        <f t="shared" si="138"/>
        <v/>
      </c>
      <c r="AI100" s="21" t="str">
        <f t="shared" si="139"/>
        <v>EX1/START → EV1/ONSET</v>
      </c>
      <c r="AJ100" s="21" t="str">
        <f t="shared" si="140"/>
        <v>EX1/START</v>
      </c>
      <c r="AK100" s="21" t="str">
        <f t="shared" si="141"/>
        <v>EV1/ONSET</v>
      </c>
      <c r="AL100" s="21" t="str">
        <f>IF(CY100=0,"",INDEX(nTP_ISO,CY100))</f>
        <v>2026-03-01</v>
      </c>
      <c r="AM100" s="21" t="str">
        <f>IF(CY100=0,"",INDEX(nTP_Display,CY100))</f>
        <v>1 March 2026</v>
      </c>
      <c r="AN100" s="21" t="str">
        <f>IF(BI100=0,"",INDEX(nTP_ISO,BI100))</f>
        <v>2026-03-15/2026-03-29</v>
      </c>
      <c r="AO100" s="21" t="str">
        <f>IF(BI100=0,"",INDEX(nTP_Display,BI100))</f>
        <v>15 March 2026 to 29 March 2026 (laboratory-defined)</v>
      </c>
      <c r="AP100" s="21" t="str">
        <f>IF(BA100=0,"",INDEX(nLNK_Exposure_Episode_ID,BA100)&amp;"")</f>
        <v>EX1</v>
      </c>
      <c r="AQ100" s="21" t="str">
        <f>IF(BA100=0,"",INDEX(nLNK_Event_Episode_ID,BA100)&amp;"")</f>
        <v>EV1</v>
      </c>
      <c r="AR100" s="21" t="str">
        <f t="shared" si="142"/>
        <v>Anchor (FIRST_ADMIN) EX1/START: 2026-03-01 [day; case measurement; original: "2026-03-01"; source: tto_calc_test_vectors_v1.1.json V31] | End point EV1/ONSET: 2026-03-15/2026-03-29 [laboratory-defined range; case measurement; original: "between the tests"; source: tto_calc_test_vectors_v1.1.json V31 (laboratory-defined onset)]</v>
      </c>
      <c r="AS100" s="21" t="str">
        <f>IF(EI100=0,"",MID(IF(DT100=1," | Recovery interval (C7) computed with "&amp;DS100&amp;".","")&amp;IF(BG100=1," | Anchor selected under C5 (CALC-SPEC 1.1): latest administration with an exact date or time at or before "&amp;IF(BH100=1,"onset","the end point")&amp;" ("&amp;AJ100&amp;"), ordered in UTC when offsets are known; later administrations are never selected.","")&amp;IF(AND(BG100=1,CE100&gt;0)," | Partial-date administrations wholly before the selected one were not candidates: "&amp;FC100&amp;".","")&amp;IF(BV100&lt;&gt;""," | "&amp;BV100,"")&amp;IF(AND(DS100="C2",EA100=0,DZ100&lt;&gt;"")," | Same calendar date; both times are known, so C1 decides the order ("&amp;AA100&amp;").","")&amp;IF(AND(DS100="C2",DD100*BN100=1,DT100=0)," | Calendar-date difference from the recorded local dates; it is never described as elapsed days.","")&amp;IF(AND(DS100="C4",DT100=0)," | Bounds are treated as independent; no single date is imputed from them.","")&amp;IF(EJ100=1," | Treatment day under the inclusive convention (C3); never written to E2B fields automatically.","")&amp;IF(AND(DS100="C4",DT100=0,EK100=0)," | No constraint applied.","")&amp;IF(AND(DS100="C4",EK100=1)," | Constraint applied to the anchor bounds: "&amp;IF(ISNUMBER(P100),"not before "&amp;DAY(P100)&amp;" "&amp;INDEX(nLIST_Months,MONTH(P100))&amp;" "&amp;YEAR(P100),"")&amp;IF(AND(ISNUMBER(P100),ISNUMBER(Q100)),", ","")&amp;IF(ISNUMBER(Q100),"not after "&amp;DAY(Q100)&amp;" "&amp;INDEX(nLIST_Months,MONTH(Q100))&amp;" "&amp;YEAR(Q100),"")&amp;". Source: "&amp;IF(R100="","not recorded",R100)&amp;IF(EN100="",". Constrained result shown beside the unconstrained one.",". Constrained result blocked ("&amp;EN100&amp;")."),"")&amp;IF(DT100=1,IF(EO100&gt;0," | Intervention recorded between cessation and recovery (ends included): "&amp;EZ100&amp;"."," | No intervention is recorded between cessation and recovery; absence of a record is not evidence that none was given."),"")&amp;IF(AND(DT100=1,DV100&gt;0)," | Intervention recorded without a date, so whether it came before recovery is unknown: "&amp;INDEX(nMS_Milestone_ID,MATCH(1,INDEX((nMS_CaseKey=AX100)*(nMS_Type="INTERVENTION")*nMS_Undated,0),0))&amp;IF(DV100&gt;1," and "&amp;(DV100-1)&amp;" more","")&amp;".","")&amp;IF(AND(DT100=1,EP100&gt;0)," | Not counted as interventions, because they are recorded as exposures rather than as intervention milestones (nothing is inferred): "&amp;FB100&amp;". If treatment was given, record it as an intervention milestone.",""),4,9999))</f>
        <v>Onset is laboratory-defined (CALC-SPEC 1.1, C4): lower bound = date of the last normal test (MS-NORMAL), upper bound = date of the first abnormal test (MS-ABNORMAL). The reviewer decides which results are normal. | Bounds are treated as independent; no single date is imputed from them. | No constraint applied.</v>
      </c>
      <c r="AT100" s="21" t="str">
        <f t="shared" si="143"/>
        <v>The interval describes the sequence and spacing of recorded times; it is not evidence of causation. The true interval lies between the bounds; no single date is imputed.</v>
      </c>
      <c r="AU100" s="21" t="str">
        <f t="shared" si="144"/>
        <v/>
      </c>
      <c r="AV100" s="21" t="str">
        <f t="shared" si="145"/>
        <v>CALC-SPEC 1.1</v>
      </c>
      <c r="AW100" s="22">
        <f t="shared" si="146"/>
        <v>0</v>
      </c>
      <c r="AX100" s="21" t="str">
        <f t="shared" si="147"/>
        <v>VEC-V31|1</v>
      </c>
      <c r="AY100" s="21" t="str">
        <f t="shared" si="148"/>
        <v>VEC-V31|1|I1</v>
      </c>
      <c r="AZ100" s="22">
        <f>IF(AY100="",0,COUNTIF(nINT_Key,AY100))</f>
        <v>1</v>
      </c>
      <c r="BA100" s="22">
        <f>IF(D100="",0,IFERROR(MATCH(AX100&amp;"|"&amp;D100,nLNK_Key,0),0))</f>
        <v>47</v>
      </c>
      <c r="BB100" s="22">
        <f>IF(BA100=0,1,INDEX(nLNK_Exp_Found,BA100))</f>
        <v>1</v>
      </c>
      <c r="BC100" s="22">
        <f>IF(BA100=0,1,INDEX(nLNK_Evt_Found,BA100))</f>
        <v>1</v>
      </c>
      <c r="BD100" s="22">
        <f>IF(AP100="",0,COUNTIF(nEXP_Key,AX100&amp;"|"&amp;AP100))</f>
        <v>1</v>
      </c>
      <c r="BE100" s="22">
        <f>IF(AQ100="",0,COUNTIF(nEVT_Key,AX100&amp;"|"&amp;AQ100))</f>
        <v>1</v>
      </c>
      <c r="BF100" s="22">
        <f>IF(ISNA(MATCH(E100,nLIST_AnchorType,0)),0,1)</f>
        <v>1</v>
      </c>
      <c r="BG100" s="22">
        <f t="shared" si="149"/>
        <v>0</v>
      </c>
      <c r="BH100" s="22">
        <f t="shared" si="150"/>
        <v>1</v>
      </c>
      <c r="BI100" s="22">
        <f>IF(OR(AW100=1,AK100=""),0,IFERROR(MATCH(AX100&amp;"|"&amp;AK100,nTP_Key,0),0))</f>
        <v>336</v>
      </c>
      <c r="BJ100" s="21">
        <f>IF(BI100=0,0,INDEX(nTP_Dup,BI100))</f>
        <v>1</v>
      </c>
      <c r="BK100" s="21" t="str">
        <f>IF(BI100=0,"",INDEX(nTP_Record_Type,BI100))</f>
        <v>EVENT_ONSET</v>
      </c>
      <c r="BL100" s="21" t="str">
        <f>IF(BI100=0,"",INDEX(nTP_Precision,BI100))</f>
        <v>LAB</v>
      </c>
      <c r="BM100" s="21" t="str">
        <f>IF(BI100=0,"",INDEX(nTP_Err,BI100))</f>
        <v/>
      </c>
      <c r="BN100" s="21">
        <f>IF(BI100=0,0,INDEX(nTP_HT,BI100))</f>
        <v>0</v>
      </c>
      <c r="BO100" s="21">
        <f>IF(BI100=0,0,INDEX(nTP_OK,BI100))</f>
        <v>0</v>
      </c>
      <c r="BP100" s="21" t="str">
        <f>IF(BI100=0,"",INDEX(nTP_Loc,BI100))</f>
        <v/>
      </c>
      <c r="BQ100" s="21" t="str">
        <f>IF(BI100=0,"",INDEX(nTP_UTC,BI100))</f>
        <v/>
      </c>
      <c r="BR100" s="21">
        <f>IF(BI100=0,"",INDEX(nTP_Lo,BI100))</f>
        <v>46096</v>
      </c>
      <c r="BS100" s="21">
        <f>IF(BI100=0,"",INDEX(nTP_Hi,BI100))</f>
        <v>46110</v>
      </c>
      <c r="BT100" s="21" t="str">
        <f>IF(BI100=0,"",INDEX(nTP_Original_Text,BI100))</f>
        <v>between the tests</v>
      </c>
      <c r="BU100" s="21" t="str">
        <f>IF(BI100=0,"",INDEX(nTP_Source,BI100))</f>
        <v>tto_calc_test_vectors_v1.1.json V31 (laboratory-defined onset)</v>
      </c>
      <c r="BV100" s="21" t="str">
        <f>IF(BI100=0,"",INDEX(nTP_Lab_Note,BI100))</f>
        <v>Onset is laboratory-defined (CALC-SPEC 1.1, C4): lower bound = date of the last normal test (MS-NORMAL), upper bound = date of the first abnormal test (MS-ABNORMAL). The reviewer decides which results are normal.</v>
      </c>
      <c r="BW100" s="22">
        <f t="shared" si="151"/>
        <v>1</v>
      </c>
      <c r="BX100" s="21" t="str">
        <f t="shared" si="152"/>
        <v>VEC-V31|1|EX1</v>
      </c>
      <c r="BY100" s="22">
        <f>IF(BG100=0,0,COUNTIF(nTP_CandKey,BX100))</f>
        <v>0</v>
      </c>
      <c r="BZ100" s="22">
        <f>IF(BG100=0,0,COUNTIFS(nTP_CandKey,BX100,nTP_Err,""))</f>
        <v>0</v>
      </c>
      <c r="CA100" s="21" t="str">
        <f>IF(BY100=BZ100,"",IF(COUNTIFS(nTP_CandKey,BX100,nTP_Err,"E_INVALID_DATE")&gt;0,"; E_INVALID_DATE","")&amp;IF(COUNTIFS(nTP_CandKey,BX100,nTP_Err,"E_REVERSED_BOUNDS")&gt;0,"; E_REVERSED_BOUNDS","")&amp;IF(COUNTIFS(nTP_CandKey,BX100,nTP_Err,"E_MISSING_INPUT")&gt;0,"; E_MISSING_INPUT","")&amp;IF(COUNTIFS(nTP_CandKey,BX100,nTP_Err,"E_INVALID_UNIT")&gt;0,"; E_INVALID_UNIT",""))</f>
        <v/>
      </c>
      <c r="CB100" s="22">
        <f t="shared" si="153"/>
        <v>0</v>
      </c>
      <c r="CC100" s="22">
        <f>IF(CB100=0,0,SUMPRODUCT((nTP_CandKey=BX100)*(nTP_Err="")*(1-(nTP_HT*BN100*((nTP_OK*BO100*(nTP_UTC_n-N(BQ100))+(1-nTP_OK*BO100)*(nTP_Loc_n-N(BP100)))&lt;=0)+(1-nTP_HT*BN100)*(nTP_Hi_n&lt;N(BR100)))-(nTP_HT*BN100*((nTP_OK*BO100*(nTP_UTC_n-N(BQ100))+(1-nTP_OK*BO100)*(nTP_Loc_n-N(BP100)))&gt;0)+(1-nTP_HT*BN100)*(nTP_Lo_n&gt;N(BS100)))-((1-nTP_HT*BN100)*(nTP_Lo_n=nTP_Hi_n)*(nTP_Lo_n=N(BR100))*(N(BR100)=N(BS100))))))</f>
        <v>0</v>
      </c>
      <c r="CD100" s="22">
        <f>IF(CB100=0,0,SUMPRODUCT((nTP_CandKey=BX100)*nTP_Exact*((nTP_HT*BN100*((nTP_OK*BO100*(nTP_UTC_n-N(BQ100))+(1-nTP_OK*BO100)*(nTP_Loc_n-N(BP100)))&lt;=0)+(1-nTP_HT*BN100)*(nTP_Hi_n&lt;N(BR100)))+((1-nTP_HT*BN100)*(nTP_Lo_n=nTP_Hi_n)*(nTP_Lo_n=N(BR100))*(N(BR100)=N(BS100))))))</f>
        <v>0</v>
      </c>
      <c r="CE100" s="22">
        <f>IF(CB100=0,0,SUMPRODUCT((nTP_CandKey=BX100)*(nTP_Err="")*(1-nTP_Exact)*((nTP_HT*BN100*((nTP_OK*BO100*(nTP_UTC_n-N(BQ100))+(1-nTP_OK*BO100)*(nTP_Loc_n-N(BP100)))&lt;=0)+(1-nTP_HT*BN100)*(nTP_Hi_n&lt;N(BR100)))+((1-nTP_HT*BN100)*(nTP_Lo_n=nTP_Hi_n)*(nTP_Lo_n=N(BR100))*(N(BR100)=N(BS100))))))</f>
        <v>0</v>
      </c>
      <c r="CF100" s="22">
        <f>IF(CD100=0,0,SUMPRODUCT(MAX((nTP_CandKey=BX100)*nTP_Exact*((nTP_HT*BN100*((nTP_OK*BO100*(nTP_UTC_n-N(BQ100))+(1-nTP_OK*BO100)*(nTP_Loc_n-N(BP100)))&lt;=0)+(1-nTP_HT*BN100)*(nTP_Hi_n&lt;N(BR100)))+((1-nTP_HT*BN100)*(nTP_Lo_n=nTP_Hi_n)*(nTP_Lo_n=N(BR100))*(N(BR100)=N(BS100))))*nTP_Lo_n)))</f>
        <v>0</v>
      </c>
      <c r="CG100" s="22">
        <f>IF(CD100=0,0,SUMPRODUCT((nTP_CandKey=BX100)*nTP_Exact*((nTP_HT*BN100*((nTP_OK*BO100*(nTP_UTC_n-N(BQ100))+(1-nTP_OK*BO100)*(nTP_Loc_n-N(BP100)))&lt;=0)+(1-nTP_HT*BN100)*(nTP_Hi_n&lt;N(BR100)))+((1-nTP_HT*BN100)*(nTP_Lo_n=nTP_Hi_n)*(nTP_Lo_n=N(BR100))*(N(BR100)=N(BS100))))*(nTP_Lo_n=CF100)))</f>
        <v>0</v>
      </c>
      <c r="CH100" s="22">
        <f>IF(CD100=0,0,SUMPRODUCT((nTP_CandKey=BX100)*nTP_Exact*((nTP_HT*BN100*((nTP_OK*BO100*(nTP_UTC_n-N(BQ100))+(1-nTP_OK*BO100)*(nTP_Loc_n-N(BP100)))&lt;=0)+(1-nTP_HT*BN100)*(nTP_Hi_n&lt;N(BR100)))+((1-nTP_HT*BN100)*(nTP_Lo_n=nTP_Hi_n)*(nTP_Lo_n=N(BR100))*(N(BR100)=N(BS100))))*(1-nTP_HT)*(nTP_Lo_n=CF100)))</f>
        <v>0</v>
      </c>
      <c r="CI100" s="22">
        <f>IF(CD100=0,0,SUMPRODUCT(MAX((nTP_CandKey=BX100)*nTP_Exact*((nTP_HT*BN100*((nTP_OK*BO100*(nTP_UTC_n-N(BQ100))+(1-nTP_OK*BO100)*(nTP_Loc_n-N(BP100)))&lt;=0)+(1-nTP_HT*BN100)*(nTP_Hi_n&lt;N(BR100)))+((1-nTP_HT*BN100)*(nTP_Lo_n=nTP_Hi_n)*(nTP_Lo_n=N(BR100))*(N(BR100)=N(BS100))))*(1-nTP_HT)*nTP_Lo_n)))</f>
        <v>0</v>
      </c>
      <c r="CJ100" s="22">
        <f>IF(CD100=0,0,SUMPRODUCT(MAX((nTP_CandKey=BX100)*nTP_Exact*((nTP_HT*BN100*((nTP_OK*BO100*(nTP_UTC_n-N(BQ100))+(1-nTP_OK*BO100)*(nTP_Loc_n-N(BP100)))&lt;=0)+(1-nTP_HT*BN100)*(nTP_Hi_n&lt;N(BR100)))+((1-nTP_HT*BN100)*(nTP_Lo_n=nTP_Hi_n)*(nTP_Lo_n=N(BR100))*(N(BR100)=N(BS100))))*nTP_HT*nTP_OK*nTP_UTC_n)))</f>
        <v>0</v>
      </c>
      <c r="CK100" s="22">
        <f>IF(CJ100=0,0,SUMPRODUCT((nTP_CandKey=BX100)*nTP_Exact*((nTP_HT*BN100*((nTP_OK*BO100*(nTP_UTC_n-N(BQ100))+(1-nTP_OK*BO100)*(nTP_Loc_n-N(BP100)))&lt;=0)+(1-nTP_HT*BN100)*(nTP_Hi_n&lt;N(BR100)))+((1-nTP_HT*BN100)*(nTP_Lo_n=nTP_Hi_n)*(nTP_Lo_n=N(BR100))*(N(BR100)=N(BS100))))*nTP_HT*nTP_OK*(nTP_UTC_n=CJ100)))</f>
        <v>0</v>
      </c>
      <c r="CL100" s="22">
        <f>IF(CK100&lt;&gt;1,0,SUMPRODUCT((nTP_CandKey=BX100)*nTP_Exact*((nTP_HT*BN100*((nTP_OK*BO100*(nTP_UTC_n-N(BQ100))+(1-nTP_OK*BO100)*(nTP_Loc_n-N(BP100)))&lt;=0)+(1-nTP_HT*BN100)*(nTP_Hi_n&lt;N(BR100)))+((1-nTP_HT*BN100)*(nTP_Lo_n=nTP_Hi_n)*(nTP_Lo_n=N(BR100))*(N(BR100)=N(BS100))))*nTP_HT*nTP_OK*(nTP_UTC_n=CJ100)*nTP_Loc_n))</f>
        <v>0</v>
      </c>
      <c r="CM100" s="22">
        <f>IF(CK100&lt;&gt;1,0,SUMPRODUCT((nTP_CandKey=BX100)*nTP_Exact*((nTP_HT*BN100*((nTP_OK*BO100*(nTP_UTC_n-N(BQ100))+(1-nTP_OK*BO100)*(nTP_Loc_n-N(BP100)))&lt;=0)+(1-nTP_HT*BN100)*(nTP_Hi_n&lt;N(BR100)))+((1-nTP_HT*BN100)*(nTP_Lo_n=nTP_Hi_n)*(nTP_Lo_n=N(BR100))*(N(BR100)=N(BS100))))*nTP_HT*nTP_OK*(nTP_UTC_n=CJ100)*nTP_Lo_n))</f>
        <v>0</v>
      </c>
      <c r="CN100" s="22">
        <f>IF(CD100=0,0,SUMPRODUCT(MAX((nTP_CandKey=BX100)*nTP_Exact*((nTP_HT*BN100*((nTP_OK*BO100*(nTP_UTC_n-N(BQ100))+(1-nTP_OK*BO100)*(nTP_Loc_n-N(BP100)))&lt;=0)+(1-nTP_HT*BN100)*(nTP_Hi_n&lt;N(BR100)))+((1-nTP_HT*BN100)*(nTP_Lo_n=nTP_Hi_n)*(nTP_Lo_n=N(BR100))*(N(BR100)=N(BS100))))*nTP_HT*(1-nTP_OK)*nTP_Loc_n)))</f>
        <v>0</v>
      </c>
      <c r="CO100" s="22">
        <f>IF(CN100=0,0,SUMPRODUCT((nTP_CandKey=BX100)*nTP_Exact*((nTP_HT*BN100*((nTP_OK*BO100*(nTP_UTC_n-N(BQ100))+(1-nTP_OK*BO100)*(nTP_Loc_n-N(BP100)))&lt;=0)+(1-nTP_HT*BN100)*(nTP_Hi_n&lt;N(BR100)))+((1-nTP_HT*BN100)*(nTP_Lo_n=nTP_Hi_n)*(nTP_Lo_n=N(BR100))*(N(BR100)=N(BS100))))*nTP_HT*(1-nTP_OK)*(nTP_Loc_n=CN100)))</f>
        <v>0</v>
      </c>
      <c r="CP100" s="22">
        <f>IF(CO100&lt;&gt;1,0,SUMPRODUCT((nTP_CandKey=BX100)*nTP_Exact*((nTP_HT*BN100*((nTP_OK*BO100*(nTP_UTC_n-N(BQ100))+(1-nTP_OK*BO100)*(nTP_Loc_n-N(BP100)))&lt;=0)+(1-nTP_HT*BN100)*(nTP_Hi_n&lt;N(BR100)))+((1-nTP_HT*BN100)*(nTP_Lo_n=nTP_Hi_n)*(nTP_Lo_n=N(BR100))*(N(BR100)=N(BS100))))*nTP_HT*(1-nTP_OK)*(nTP_Loc_n=CN100)*nTP_Lo_n))</f>
        <v>0</v>
      </c>
      <c r="CQ100" s="22">
        <f>IF(CD100=0,0,SUMPRODUCT(MAX((nTP_CandKey=BX100)*nTP_Exact*((nTP_HT*BN100*((nTP_OK*BO100*(nTP_UTC_n-N(BQ100))+(1-nTP_OK*BO100)*(nTP_Loc_n-N(BP100)))&lt;=0)+(1-nTP_HT*BN100)*(nTP_Hi_n&lt;N(BR100)))+((1-nTP_HT*BN100)*(nTP_Lo_n=nTP_Hi_n)*(nTP_Lo_n=N(BR100))*(N(BR100)=N(BS100))))*nTP_HT*nTP_OK*nTP_Loc_n)))</f>
        <v>0</v>
      </c>
      <c r="CR100" s="22">
        <f t="shared" si="154"/>
        <v>0</v>
      </c>
      <c r="CS100" s="22">
        <f>IF(CR100=0,0,IF(CR100=1,MATCH(1,INDEX((nTP_CandKey=BX100)*nTP_Exact*((nTP_HT*BN100*((nTP_OK*BO100*(nTP_UTC_n-N(BQ100))+(1-nTP_OK*BO100)*(nTP_Loc_n-N(BP100)))&lt;=0)+(1-nTP_HT*BN100)*(nTP_Hi_n&lt;N(BR100)))+((1-nTP_HT*BN100)*(nTP_Lo_n=nTP_Hi_n)*(nTP_Lo_n=N(BR100))*(N(BR100)=N(BS100))))*(1-nTP_HT)*(nTP_Lo_n=CF100),0),0),IF(CR100=2,MATCH(1,INDEX((nTP_CandKey=BX100)*nTP_Exact*((nTP_HT*BN100*((nTP_OK*BO100*(nTP_UTC_n-N(BQ100))+(1-nTP_OK*BO100)*(nTP_Loc_n-N(BP100)))&lt;=0)+(1-nTP_HT*BN100)*(nTP_Hi_n&lt;N(BR100)))+((1-nTP_HT*BN100)*(nTP_Lo_n=nTP_Hi_n)*(nTP_Lo_n=N(BR100))*(N(BR100)=N(BS100))))*nTP_HT*nTP_OK*(nTP_UTC_n=CJ100),0),0),MATCH(1,INDEX((nTP_CandKey=BX100)*nTP_Exact*((nTP_HT*BN100*((nTP_OK*BO100*(nTP_UTC_n-N(BQ100))+(1-nTP_OK*BO100)*(nTP_Loc_n-N(BP100)))&lt;=0)+(1-nTP_HT*BN100)*(nTP_Hi_n&lt;N(BR100)))+((1-nTP_HT*BN100)*(nTP_Lo_n=nTP_Hi_n)*(nTP_Lo_n=N(BR100))*(N(BR100)=N(BS100))))*nTP_HT*(1-nTP_OK)*(nTP_Loc_n=CN100),0),0))))</f>
        <v>0</v>
      </c>
      <c r="CT100" s="22">
        <f>IF(CS100=0,0,INDEX(nTP_Lo_n,CS100))</f>
        <v>0</v>
      </c>
      <c r="CU100" s="22">
        <f>IF(CS100=0,0,SUMPRODUCT((nTP_CandKey=BX100)*(nTP_Err="")*(1-nTP_Exact)*((nTP_HT*BN100*((nTP_OK*BO100*(nTP_UTC_n-N(BQ100))+(1-nTP_OK*BO100)*(nTP_Loc_n-N(BP100)))&lt;=0)+(1-nTP_HT*BN100)*(nTP_Hi_n&lt;N(BR100)))+((1-nTP_HT*BN100)*(nTP_Lo_n=nTP_Hi_n)*(nTP_Lo_n=N(BR100))*(N(BR100)=N(BS100))))*(nTP_Hi_n&gt;=CT100)))</f>
        <v>0</v>
      </c>
      <c r="CV100" s="21" t="str">
        <f t="shared" si="155"/>
        <v/>
      </c>
      <c r="CW100" s="21" t="str">
        <f>IF(AND(BG100=1,CB100=1,CV100="",CS100&gt;0),INDEX(nTP_Record_ID,CS100)&amp;"","")</f>
        <v/>
      </c>
      <c r="CX100" s="21" t="str">
        <f>IF(OR(CV100="",BG100=0),"",IF(CV100="none","an administration record (last dose before onset)",IF(CV100="uncertain","the anchor record: "&amp;INDEX(nTP_Record_ID,MATCH(1,INDEX((nTP_CandKey=BX100)*(nTP_Err="")*(1-(nTP_HT*BN100*((nTP_OK*BO100*(nTP_UTC_n-N(BQ100))+(1-nTP_OK*BO100)*(nTP_Loc_n-N(BP100)))&lt;=0)+(1-nTP_HT*BN100)*(nTP_Hi_n&lt;N(BR100)))-(nTP_HT*BN100*((nTP_OK*BO100*(nTP_UTC_n-N(BQ100))+(1-nTP_OK*BO100)*(nTP_Loc_n-N(BP100)))&gt;0)+(1-nTP_HT*BN100)*(nTP_Lo_n&gt;N(BS100)))-((1-nTP_HT*BN100)*(nTP_Lo_n=nTP_Hi_n)*(nTP_Lo_n=N(BR100))*(N(BR100)=N(BS100)))),0),0))&amp;IF(CC100&gt;1," and "&amp;(CC100-1)&amp;" more","")&amp;" may fall before or after the end point, so the last dose cannot be identified from the recorded dates",IF(CV100="noneligible","the anchor record: no administration with an exact date is recorded at or before the end point",IF(CV100="tie","the anchor record: the order of the latest administrations cannot be told from the recorded dates and times","the anchor record: partial-date administration "&amp;INDEX(nTP_Record_ID,MATCH(1,INDEX((nTP_CandKey=BX100)*(nTP_Err="")*(1-nTP_Exact)*((nTP_HT*BN100*((nTP_OK*BO100*(nTP_UTC_n-N(BQ100))+(1-nTP_OK*BO100)*(nTP_Loc_n-N(BP100)))&lt;=0)+(1-nTP_HT*BN100)*(nTP_Hi_n&lt;N(BR100)))+((1-nTP_HT*BN100)*(nTP_Lo_n=nTP_Hi_n)*(nTP_Lo_n=N(BR100))*(N(BR100)=N(BS100))))*(nTP_Hi_n&gt;=CT100),0),0))&amp;" could be the last dose before the end point")))))</f>
        <v/>
      </c>
      <c r="CY100" s="22">
        <f>IF(OR(AW100=1,AJ100=""),0,IFERROR(MATCH(AX100&amp;"|"&amp;AJ100,nTP_Key,0),0))</f>
        <v>68</v>
      </c>
      <c r="CZ100" s="21">
        <f>IF(CY100=0,0,INDEX(nTP_Dup,CY100))</f>
        <v>1</v>
      </c>
      <c r="DA100" s="21" t="str">
        <f>IF(CY100=0,"",INDEX(nTP_Record_Type,CY100))</f>
        <v>EXPOSURE_START</v>
      </c>
      <c r="DB100" s="21" t="str">
        <f>IF(CY100=0,"",INDEX(nTP_Precision,CY100))</f>
        <v>DATE</v>
      </c>
      <c r="DC100" s="21" t="str">
        <f>IF(CY100=0,"",INDEX(nTP_Err,CY100))</f>
        <v/>
      </c>
      <c r="DD100" s="21">
        <f>IF(CY100=0,0,INDEX(nTP_HT,CY100))</f>
        <v>0</v>
      </c>
      <c r="DE100" s="21">
        <f>IF(CY100=0,0,INDEX(nTP_OK,CY100))</f>
        <v>0</v>
      </c>
      <c r="DF100" s="21" t="str">
        <f>IF(CY100=0,"",INDEX(nTP_Loc,CY100))</f>
        <v/>
      </c>
      <c r="DG100" s="21" t="str">
        <f>IF(CY100=0,"",INDEX(nTP_UTC,CY100))</f>
        <v/>
      </c>
      <c r="DH100" s="21">
        <f>IF(CY100=0,"",INDEX(nTP_Lo,CY100))</f>
        <v>46082</v>
      </c>
      <c r="DI100" s="21">
        <f>IF(CY100=0,"",INDEX(nTP_Hi,CY100))</f>
        <v>46082</v>
      </c>
      <c r="DJ100" s="21" t="str">
        <f>IF(CY100=0,"",INDEX(nTP_Original_Text,CY100))</f>
        <v>2026-03-01</v>
      </c>
      <c r="DK100" s="21" t="str">
        <f>IF(CY100=0,"",INDEX(nTP_Source,CY100))</f>
        <v>tto_calc_test_vectors_v1.1.json V31</v>
      </c>
      <c r="DL100" s="22">
        <f t="shared" si="156"/>
        <v>1</v>
      </c>
      <c r="DM100" s="21" t="str">
        <f t="shared" si="157"/>
        <v/>
      </c>
      <c r="DN100" s="21" t="str">
        <f t="shared" si="158"/>
        <v/>
      </c>
      <c r="DO100" s="21" t="str">
        <f t="shared" si="159"/>
        <v/>
      </c>
      <c r="DP100" s="21" t="str">
        <f t="shared" si="160"/>
        <v/>
      </c>
      <c r="DQ100" s="21" t="str">
        <f t="shared" si="161"/>
        <v>C4</v>
      </c>
      <c r="DR100" s="22">
        <f>IF(OR(DQ100="",I100=""),0,IF(ISNA(MATCH(I100,nLIST_Mode,0)),1,IF(AND(I100="C1",DQ100&lt;&gt;"C1"),1,IF(AND(I100="C2",DQ100="C4"),1,0))))</f>
        <v>0</v>
      </c>
      <c r="DS100" s="21" t="str">
        <f t="shared" si="162"/>
        <v>C4</v>
      </c>
      <c r="DT100" s="22">
        <f t="shared" si="163"/>
        <v>0</v>
      </c>
      <c r="DU100" s="21" t="str">
        <f>IF(DT100=0,"",IF(COUNTIFS(nTP_Case_Key,AX100,nTP_Record_Type,"MILESTONE:INTERVENTION",nTP_Err,"E_INVALID_DATE")&gt;0,"; E_INVALID_DATE","")&amp;IF(COUNTIFS(nTP_Case_Key,AX100,nTP_Record_Type,"MILESTONE:INTERVENTION",nTP_Err,"E_REVERSED_BOUNDS")&gt;0,"; E_REVERSED_BOUNDS","")&amp;IF(COUNTIFS(nTP_Case_Key,AX100,nTP_Record_Type,"MILESTONE:INTERVENTION",nTP_Err,"E_MISSING_INPUT")&gt;0,"; E_MISSING_INPUT","")&amp;IF(COUNTIFS(nTP_Case_Key,AX100,nTP_Record_Type,"MILESTONE:INTERVENTION",nTP_Err,"E_INVALID_UNIT")&gt;0,"; E_INVALID_UNIT",""))</f>
        <v/>
      </c>
      <c r="DV100" s="22">
        <f>IF(DT100=0,0,SUMPRODUCT((nMS_CaseKey=AX100)*(nMS_Type="INTERVENTION")*nMS_Undated))</f>
        <v>0</v>
      </c>
      <c r="DW100" s="21" t="str">
        <f t="shared" si="164"/>
        <v/>
      </c>
      <c r="DX100" s="21" t="str">
        <f t="shared" si="165"/>
        <v/>
      </c>
      <c r="DY100" s="22">
        <f t="shared" si="166"/>
        <v>1</v>
      </c>
      <c r="DZ100" s="21" t="str">
        <f t="shared" si="167"/>
        <v/>
      </c>
      <c r="EA100" s="21" t="str">
        <f t="shared" si="168"/>
        <v/>
      </c>
      <c r="EB100" s="21">
        <f t="shared" si="169"/>
        <v>14</v>
      </c>
      <c r="EC100" s="21">
        <f t="shared" si="170"/>
        <v>28</v>
      </c>
      <c r="ED100" s="22">
        <f t="shared" si="171"/>
        <v>0</v>
      </c>
      <c r="EE100" s="22">
        <f t="shared" si="172"/>
        <v>0</v>
      </c>
      <c r="EF100" s="21" t="str">
        <f>IF(ED100=0,"",IF(OR(NOT(ISNUMBER(L100)),NOT(ISNUMBER(M100))),"I_APPROXIMATE_NOT_COMPARED",IF(AND(N100&lt;&gt;"",ISNA(MATCH(N100,nLIST_ReportedUnit,0))),"E_INVALID_UNIT",IF(N100="","E_MISSING_INPUT",IF(L100&gt;M100,"E_REVERSED_BOUNDS",IF(OR(N100="weeks",N100="months",N100="years"),"I_APPROXIMATE_NOT_COMPARED",IF(DX100&lt;&gt;"","",IF(EE100=0,"I_APPROXIMATE_NOT_COMPARED",IF(AND(L100*EE100&lt;=IF(DS100="C4",EC100,IF(DS100="C1",DZ100,EA100)),M100*EE100&gt;=IF(DS100="C4",EB100,IF(DS100="C1",DZ100,EA100))),"OVERLAP","W_REPORTED_TIMING_CONFLICT")))))))))</f>
        <v/>
      </c>
      <c r="EG100" s="21" t="str">
        <f t="shared" si="173"/>
        <v/>
      </c>
      <c r="EH100" s="21" t="str">
        <f t="shared" si="174"/>
        <v/>
      </c>
      <c r="EI100" s="22">
        <f t="shared" si="175"/>
        <v>1</v>
      </c>
      <c r="EJ100" s="22">
        <f t="shared" si="176"/>
        <v>0</v>
      </c>
      <c r="EK100" s="22">
        <f t="shared" si="177"/>
        <v>0</v>
      </c>
      <c r="EL100" s="28" t="str">
        <f t="shared" si="178"/>
        <v/>
      </c>
      <c r="EM100" s="28" t="str">
        <f t="shared" si="179"/>
        <v/>
      </c>
      <c r="EN100" s="21" t="str">
        <f t="shared" si="180"/>
        <v/>
      </c>
      <c r="EO100" s="22">
        <f>IF(OR(DT100=0,DX100&lt;&gt;""),0,SUMPRODUCT((nTP_Case_Key=AX100)*(nTP_Record_Type="MILESTONE:INTERVENTION")*(nTP_Err="")*(nTP_HT*DD100*BN100*(nTP_OK*DE100*(nTP_UTC_n&gt;=N(DG100))+(1-nTP_OK*DE100)*(nTP_Loc_n&gt;=N(DF100)))*(nTP_OK*BO100*(nTP_UTC_n&lt;=N(BQ100))+(1-nTP_OK*BO100)*(nTP_Loc_n&lt;=N(BP100)))+(1-nTP_HT*DD100*BN100)*(nTP_Hi_n&gt;=N(DH100))*(nTP_Lo_n&lt;=N(BS100)))))</f>
        <v>0</v>
      </c>
      <c r="EP100" s="22">
        <f>IF(OR(DT100=0,DX100&lt;&gt;""),0,SUMPRODUCT((nTP_Case_Key=AX100)*(nTP_Role="treatment of the event")*((nTP_Record_Type="EXPOSURE_START")+(nTP_Record_Type="ADMINISTRATION"))*(nTP_Err="")*(nTP_HT*DD100*BN100*(nTP_OK*DE100*(nTP_UTC_n&gt;=N(DG100))+(1-nTP_OK*DE100)*(nTP_Loc_n&gt;=N(DF100)))*(nTP_OK*BO100*(nTP_UTC_n&lt;=N(BQ100))+(1-nTP_OK*BO100)*(nTP_Loc_n&lt;=N(BP100)))+(1-nTP_HT*DD100*BN100)*(nTP_Hi_n&gt;=N(DH100))*(nTP_Lo_n&lt;=N(BS100)))))</f>
        <v>0</v>
      </c>
      <c r="EQ100" s="22">
        <f>IF(EO100&lt;1,0,IFERROR(_xlfn.AGGREGATE(15,6,nTP_RowN/((nTP_Case_Key=AX100)*(nTP_Record_Type="MILESTONE:INTERVENTION")*(nTP_Err="")*(nTP_HT*DD100*BN100*(nTP_OK*DE100*(nTP_UTC_n&gt;=N(DG100))+(1-nTP_OK*DE100)*(nTP_Loc_n&gt;=N(DF100)))*(nTP_OK*BO100*(nTP_UTC_n&lt;=N(BQ100))+(1-nTP_OK*BO100)*(nTP_Loc_n&lt;=N(BP100)))+(1-nTP_HT*DD100*BN100)*(nTP_Hi_n&gt;=N(DH100))*(nTP_Lo_n&lt;=N(BS100)))),1),0))</f>
        <v>0</v>
      </c>
      <c r="ER100" s="22">
        <f>IF(EO100&lt;2,0,IFERROR(_xlfn.AGGREGATE(15,6,nTP_RowN/((nTP_Case_Key=AX100)*(nTP_Record_Type="MILESTONE:INTERVENTION")*(nTP_Err="")*(nTP_HT*DD100*BN100*(nTP_OK*DE100*(nTP_UTC_n&gt;=N(DG100))+(1-nTP_OK*DE100)*(nTP_Loc_n&gt;=N(DF100)))*(nTP_OK*BO100*(nTP_UTC_n&lt;=N(BQ100))+(1-nTP_OK*BO100)*(nTP_Loc_n&lt;=N(BP100)))+(1-nTP_HT*DD100*BN100)*(nTP_Hi_n&gt;=N(DH100))*(nTP_Lo_n&lt;=N(BS100)))),2),0))</f>
        <v>0</v>
      </c>
      <c r="ES100" s="22">
        <f>IF(EO100&lt;3,0,IFERROR(_xlfn.AGGREGATE(15,6,nTP_RowN/((nTP_Case_Key=AX100)*(nTP_Record_Type="MILESTONE:INTERVENTION")*(nTP_Err="")*(nTP_HT*DD100*BN100*(nTP_OK*DE100*(nTP_UTC_n&gt;=N(DG100))+(1-nTP_OK*DE100)*(nTP_Loc_n&gt;=N(DF100)))*(nTP_OK*BO100*(nTP_UTC_n&lt;=N(BQ100))+(1-nTP_OK*BO100)*(nTP_Loc_n&lt;=N(BP100)))+(1-nTP_HT*DD100*BN100)*(nTP_Hi_n&gt;=N(DH100))*(nTP_Lo_n&lt;=N(BS100)))),3),0))</f>
        <v>0</v>
      </c>
      <c r="ET100" s="22">
        <f>IF(EP100&lt;1,0,IFERROR(_xlfn.AGGREGATE(15,6,nTP_RowN/((nTP_Case_Key=AX100)*(nTP_Role="treatment of the event")*((nTP_Record_Type="EXPOSURE_START")+(nTP_Record_Type="ADMINISTRATION"))*(nTP_Err="")*(nTP_HT*DD100*BN100*(nTP_OK*DE100*(nTP_UTC_n&gt;=N(DG100))+(1-nTP_OK*DE100)*(nTP_Loc_n&gt;=N(DF100)))*(nTP_OK*BO100*(nTP_UTC_n&lt;=N(BQ100))+(1-nTP_OK*BO100)*(nTP_Loc_n&lt;=N(BP100)))+(1-nTP_HT*DD100*BN100)*(nTP_Hi_n&gt;=N(DH100))*(nTP_Lo_n&lt;=N(BS100)))),1),0))</f>
        <v>0</v>
      </c>
      <c r="EU100" s="22">
        <f>IF(EP100&lt;2,0,IFERROR(_xlfn.AGGREGATE(15,6,nTP_RowN/((nTP_Case_Key=AX100)*(nTP_Role="treatment of the event")*((nTP_Record_Type="EXPOSURE_START")+(nTP_Record_Type="ADMINISTRATION"))*(nTP_Err="")*(nTP_HT*DD100*BN100*(nTP_OK*DE100*(nTP_UTC_n&gt;=N(DG100))+(1-nTP_OK*DE100)*(nTP_Loc_n&gt;=N(DF100)))*(nTP_OK*BO100*(nTP_UTC_n&lt;=N(BQ100))+(1-nTP_OK*BO100)*(nTP_Loc_n&lt;=N(BP100)))+(1-nTP_HT*DD100*BN100)*(nTP_Hi_n&gt;=N(DH100))*(nTP_Lo_n&lt;=N(BS100)))),2),0))</f>
        <v>0</v>
      </c>
      <c r="EV100" s="22">
        <f>IF(EP100&lt;3,0,IFERROR(_xlfn.AGGREGATE(15,6,nTP_RowN/((nTP_Case_Key=AX100)*(nTP_Role="treatment of the event")*((nTP_Record_Type="EXPOSURE_START")+(nTP_Record_Type="ADMINISTRATION"))*(nTP_Err="")*(nTP_HT*DD100*BN100*(nTP_OK*DE100*(nTP_UTC_n&gt;=N(DG100))+(1-nTP_OK*DE100)*(nTP_Loc_n&gt;=N(DF100)))*(nTP_OK*BO100*(nTP_UTC_n&lt;=N(BQ100))+(1-nTP_OK*BO100)*(nTP_Loc_n&lt;=N(BP100)))+(1-nTP_HT*DD100*BN100)*(nTP_Hi_n&gt;=N(DH100))*(nTP_Lo_n&lt;=N(BS100)))),3),0))</f>
        <v>0</v>
      </c>
      <c r="EW100" s="22">
        <f>IF(CE100&lt;1,0,IFERROR(_xlfn.AGGREGATE(15,6,nTP_RowN/((nTP_CandKey=BX100)*(nTP_Err="")*(1-nTP_Exact)*((nTP_HT*BN100*((nTP_OK*BO100*(nTP_UTC_n-N(BQ100))+(1-nTP_OK*BO100)*(nTP_Loc_n-N(BP100)))&lt;=0)+(1-nTP_HT*BN100)*(nTP_Hi_n&lt;N(BR100)))+((1-nTP_HT*BN100)*(nTP_Lo_n=nTP_Hi_n)*(nTP_Lo_n=N(BR100))*(N(BR100)=N(BS100))))),1),0))</f>
        <v>0</v>
      </c>
      <c r="EX100" s="22">
        <f>IF(CE100&lt;2,0,IFERROR(_xlfn.AGGREGATE(15,6,nTP_RowN/((nTP_CandKey=BX100)*(nTP_Err="")*(1-nTP_Exact)*((nTP_HT*BN100*((nTP_OK*BO100*(nTP_UTC_n-N(BQ100))+(1-nTP_OK*BO100)*(nTP_Loc_n-N(BP100)))&lt;=0)+(1-nTP_HT*BN100)*(nTP_Hi_n&lt;N(BR100)))+((1-nTP_HT*BN100)*(nTP_Lo_n=nTP_Hi_n)*(nTP_Lo_n=N(BR100))*(N(BR100)=N(BS100))))),2),0))</f>
        <v>0</v>
      </c>
      <c r="EY100" s="22">
        <f>IF(CE100&lt;3,0,IFERROR(_xlfn.AGGREGATE(15,6,nTP_RowN/((nTP_CandKey=BX100)*(nTP_Err="")*(1-nTP_Exact)*((nTP_HT*BN100*((nTP_OK*BO100*(nTP_UTC_n-N(BQ100))+(1-nTP_OK*BO100)*(nTP_Loc_n-N(BP100)))&lt;=0)+(1-nTP_HT*BN100)*(nTP_Hi_n&lt;N(BR100)))+((1-nTP_HT*BN100)*(nTP_Lo_n=nTP_Hi_n)*(nTP_Lo_n=N(BR100))*(N(BR100)=N(BS100))))),3),0))</f>
        <v>0</v>
      </c>
      <c r="EZ100" s="21" t="str">
        <f>IF(EO100=0,"",MID(IF(EQ100&gt;0,"; "&amp;INDEX(nTP_Record_ID,EQ100)&amp;IF(INDEX(nTP_Label,EQ100)="",""," ("&amp;INDEX(nTP_Label,EQ100)&amp;")"),"")&amp;IF(ER100&gt;0,"; "&amp;INDEX(nTP_Record_ID,ER100)&amp;IF(INDEX(nTP_Label,ER100)="",""," ("&amp;INDEX(nTP_Label,ER100)&amp;")"),"")&amp;IF(ES100&gt;0,"; "&amp;INDEX(nTP_Record_ID,ES100)&amp;IF(INDEX(nTP_Label,ES100)="",""," ("&amp;INDEX(nTP_Label,ES100)&amp;")"),"")&amp;IF(EO100&gt;3,"; and "&amp;(EO100-3)&amp;" more",""),3,999))</f>
        <v/>
      </c>
      <c r="FA100" s="21" t="str">
        <f>IF(EO100=0,"",MID(IF(EQ100&gt;0,"; "&amp;INDEX(nTP_Record_ID,EQ100),"")&amp;IF(ER100&gt;0,"; "&amp;INDEX(nTP_Record_ID,ER100),"")&amp;IF(ES100&gt;0,"; "&amp;INDEX(nTP_Record_ID,ES100),"")&amp;IF(EO100&gt;3,"; and "&amp;(EO100-3)&amp;" more",""),3,999))</f>
        <v/>
      </c>
      <c r="FB100" s="21" t="str">
        <f>IF(EP100=0,"",MID(IF(ET100&gt;0,"; "&amp;INDEX(nTP_Record_ID,ET100)&amp;IF(INDEX(nTP_Label,ET100)="",""," ("&amp;INDEX(nTP_Label,ET100)&amp;")"),"")&amp;IF(EU100&gt;0,"; "&amp;INDEX(nTP_Record_ID,EU100)&amp;IF(INDEX(nTP_Label,EU100)="",""," ("&amp;INDEX(nTP_Label,EU100)&amp;")"),"")&amp;IF(EV100&gt;0,"; "&amp;INDEX(nTP_Record_ID,EV100)&amp;IF(INDEX(nTP_Label,EV100)="",""," ("&amp;INDEX(nTP_Label,EV100)&amp;")"),"")&amp;IF(EP100&gt;3,"; and "&amp;(EP100-3)&amp;" more",""),3,999))</f>
        <v/>
      </c>
      <c r="FC100" s="21" t="str">
        <f>IF(CE100=0,"",MID(IF(EW100&gt;0,"; "&amp;INDEX(nTP_Record_ID,EW100),"")&amp;IF(EX100&gt;0,"; "&amp;INDEX(nTP_Record_ID,EX100),"")&amp;IF(EY100&gt;0,"; "&amp;INDEX(nTP_Record_ID,EY100),"")&amp;IF(CE100&gt;3,"; and "&amp;(CE100-3)&amp;" more",""),3,999))</f>
        <v/>
      </c>
      <c r="FD100" s="22">
        <f t="shared" si="181"/>
        <v>0</v>
      </c>
      <c r="FE100" s="22">
        <f t="shared" si="182"/>
        <v>0</v>
      </c>
      <c r="FF100" s="22">
        <f t="shared" si="183"/>
        <v>0</v>
      </c>
      <c r="FG100" s="22">
        <f t="shared" si="184"/>
        <v>0</v>
      </c>
      <c r="FH100" s="22">
        <f t="shared" si="185"/>
        <v>0</v>
      </c>
      <c r="FI100" s="22">
        <f t="shared" si="186"/>
        <v>0</v>
      </c>
      <c r="FJ100" s="22">
        <f t="shared" si="187"/>
        <v>0</v>
      </c>
      <c r="FK100" s="22">
        <f t="shared" si="188"/>
        <v>0</v>
      </c>
    </row>
    <row r="101" spans="1:167" x14ac:dyDescent="0.2">
      <c r="A101" s="9" t="s">
        <v>1180</v>
      </c>
      <c r="B101" s="9" t="s">
        <v>373</v>
      </c>
      <c r="C101" s="11">
        <v>1</v>
      </c>
      <c r="D101" s="9" t="s">
        <v>894</v>
      </c>
      <c r="E101" s="16" t="s">
        <v>52</v>
      </c>
      <c r="F101" s="9"/>
      <c r="G101" s="9"/>
      <c r="H101" s="9"/>
      <c r="I101" s="16"/>
      <c r="J101" s="16"/>
      <c r="K101" s="9"/>
      <c r="L101" s="16"/>
      <c r="M101" s="16"/>
      <c r="N101" s="16"/>
      <c r="O101" s="9"/>
      <c r="P101" s="14"/>
      <c r="Q101" s="14"/>
      <c r="R101" s="9"/>
      <c r="S101" s="9"/>
      <c r="T101" s="21" t="str">
        <f t="shared" si="126"/>
        <v>720 minutes (12.0 hours)</v>
      </c>
      <c r="U101" s="21" t="str">
        <f t="shared" si="127"/>
        <v>720 minutes</v>
      </c>
      <c r="V101" s="21">
        <f t="shared" si="128"/>
        <v>720</v>
      </c>
      <c r="W101" s="21" t="str">
        <f t="shared" si="129"/>
        <v/>
      </c>
      <c r="X101" s="21" t="str">
        <f t="shared" si="130"/>
        <v/>
      </c>
      <c r="Y101" s="21" t="str">
        <f t="shared" si="131"/>
        <v>minutes</v>
      </c>
      <c r="Z101" s="21" t="str">
        <f t="shared" si="132"/>
        <v>C1</v>
      </c>
      <c r="AA101" s="21" t="str">
        <f t="shared" si="133"/>
        <v>AFTER</v>
      </c>
      <c r="AB101" s="21" t="str">
        <f t="shared" si="134"/>
        <v/>
      </c>
      <c r="AC101" s="21" t="str">
        <f t="shared" si="135"/>
        <v/>
      </c>
      <c r="AD101" s="21" t="str">
        <f>IF(AW101=1,"",MID(IF(ISNUMBER(SEARCH("E_INVALID_DATE",EG101))," | E_INVALID_DATE: "&amp;SUBSTITUTE(IFERROR(INDEX(nMSG_Text,MATCH("E_INVALID_DATE",nMSG_Code,0)),""),"[input]",""),"")&amp;IF(ISNUMBER(SEARCH("E_REVERSED_BOUNDS",EG101))," | E_REVERSED_BOUNDS: "&amp;SUBSTITUTE(IFERROR(INDEX(nMSG_Text,MATCH("E_REVERSED_BOUNDS",nMSG_Code,0)),""),"[input]",""),"")&amp;IF(ISNUMBER(SEARCH("E_DUPLICATE_ID",EG101))," | E_DUPLICATE_ID: "&amp;SUBSTITUTE(IFERROR(INDEX(nMSG_Text,MATCH("E_DUPLICATE_ID",nMSG_Code,0)),""),"[input]",""),"")&amp;IF(ISNUMBER(SEARCH("E_MISSING_LINK",EG101))," | E_MISSING_LINK: "&amp;SUBSTITUTE(IFERROR(INDEX(nMSG_Text,MATCH("E_MISSING_LINK",nMSG_Code,0)),""),"[input]",""),"")&amp;IF(ISNUMBER(SEARCH("E_MISSING_INPUT",EG101))," | E_MISSING_INPUT: "&amp;SUBSTITUTE(IFERROR(INDEX(nMSG_Text,MATCH("E_MISSING_INPUT",nMSG_Code,0)),""),"[input]",IF(EH101="","an input",EH101)),"")&amp;IF(ISNUMBER(SEARCH("E_INVALID_UNIT",EG101))," | E_INVALID_UNIT: "&amp;SUBSTITUTE(IFERROR(INDEX(nMSG_Text,MATCH("E_INVALID_UNIT",nMSG_Code,0)),""),"[input]",""),"")&amp;IF(FD101=1," | W_TZ_UNKNOWN: "&amp;SUBSTITUTE(IFERROR(INDEX(nMSG_Text,MATCH("W_TZ_UNKNOWN",nMSG_Code,0)),""),"[input]",""),"")&amp;IF(FE101=1," | W_SAME_DATE_ORDER_UNKNOWN: "&amp;SUBSTITUTE(IFERROR(INDEX(nMSG_Text,MATCH("W_SAME_DATE_ORDER_UNKNOWN",nMSG_Code,0)),""),"[input]",""),"")&amp;IF(FF101=1," | W_SEQUENCE_UNCERTAIN: "&amp;SUBSTITUTE(IFERROR(INDEX(nMSG_Text,MATCH("W_SEQUENCE_UNCERTAIN",nMSG_Code,0)),""),"[input]",""),"")&amp;IF(FG101=1," | W_ADMIN_SAME_DATE_AS_ONSET: "&amp;SUBSTITUTE(IFERROR(INDEX(nMSG_Text,MATCH("W_ADMIN_SAME_DATE_AS_ONSET",nMSG_Code,0)),""),"[input]",""),"")&amp;IF(FH101=1," | W_REPORTED_TIMING_CONFLICT: "&amp;SUBSTITUTE(IFERROR(INDEX(nMSG_Text,MATCH("W_REPORTED_TIMING_CONFLICT",nMSG_Code,0)),""),"[input]",""),"")&amp;IF(FI101=1," | W_INTERVENTION_BEFORE_RECOVERY: "&amp;SUBSTITUTE(IFERROR(INDEX(nMSG_Text,MATCH("W_INTERVENTION_BEFORE_RECOVERY",nMSG_Code,0)),""),"[input]",""),"")&amp;IF(FJ101=1," | I_TREATMENT_DAY_UNDEFINED: "&amp;SUBSTITUTE(IFERROR(INDEX(nMSG_Text,MATCH("I_TREATMENT_DAY_UNDEFINED",nMSG_Code,0)),""),"[input]",""),"")&amp;IF(FK101=1," | I_APPROXIMATE_NOT_COMPARED: "&amp;SUBSTITUTE(IFERROR(INDEX(nMSG_Text,MATCH("I_APPROXIMATE_NOT_COMPARED",nMSG_Code,0)),""),"[input]",""),""),4,9999))</f>
        <v/>
      </c>
      <c r="AE101" s="21" t="str">
        <f t="shared" si="136"/>
        <v/>
      </c>
      <c r="AF101" s="21" t="str">
        <f t="shared" si="137"/>
        <v/>
      </c>
      <c r="AG101" s="21" t="str">
        <f>IF(EN101="","",MID(IF(ISNUMBER(SEARCH("E_REVERSED_BOUNDS",EN101))," | E_REVERSED_BOUNDS: "&amp;SUBSTITUTE(IFERROR(INDEX(nMSG_Text,MATCH("E_REVERSED_BOUNDS",nMSG_Code,0)),""),"[input]",""),"")&amp;IF(ISNUMBER(SEARCH("E_MISSING_INPUT",EN101))," | E_MISSING_INPUT: "&amp;SUBSTITUTE(IFERROR(INDEX(nMSG_Text,MATCH("E_MISSING_INPUT",nMSG_Code,0)),""),"[input]",IF("the source of the constraint"="","an input","the source of the constraint")),""),4,999))</f>
        <v/>
      </c>
      <c r="AH101" s="21" t="str">
        <f t="shared" si="138"/>
        <v/>
      </c>
      <c r="AI101" s="21" t="str">
        <f t="shared" si="139"/>
        <v>EX1/START → EV1/ONSET</v>
      </c>
      <c r="AJ101" s="21" t="str">
        <f t="shared" si="140"/>
        <v>EX1/START</v>
      </c>
      <c r="AK101" s="21" t="str">
        <f t="shared" si="141"/>
        <v>EV1/ONSET</v>
      </c>
      <c r="AL101" s="21" t="str">
        <f>IF(CY101=0,"",INDEX(nTP_ISO,CY101))</f>
        <v>2026-03-02T08:00-05:00</v>
      </c>
      <c r="AM101" s="21" t="str">
        <f>IF(CY101=0,"",INDEX(nTP_Display,CY101))</f>
        <v>2 March 2026 08:00 (UTC-05:00)</v>
      </c>
      <c r="AN101" s="21" t="str">
        <f>IF(BI101=0,"",INDEX(nTP_ISO,BI101))</f>
        <v>2026-03-02T20:00-05:00</v>
      </c>
      <c r="AO101" s="21" t="str">
        <f>IF(BI101=0,"",INDEX(nTP_Display,BI101))</f>
        <v>2 March 2026 20:00 (UTC-05:00)</v>
      </c>
      <c r="AP101" s="21" t="str">
        <f>IF(BA101=0,"",INDEX(nLNK_Exposure_Episode_ID,BA101)&amp;"")</f>
        <v>EX1</v>
      </c>
      <c r="AQ101" s="21" t="str">
        <f>IF(BA101=0,"",INDEX(nLNK_Event_Episode_ID,BA101)&amp;"")</f>
        <v>EV1</v>
      </c>
      <c r="AR101" s="21" t="str">
        <f t="shared" si="142"/>
        <v>Anchor (LAST_DOSE_BEFORE_ONSET) EX1/START: 2026-03-02T08:00-05:00 [timestamp with UTC offset; case measurement; original: "2026-03-02T08:00-05:00"; source: tto_calc_test_vectors_v1.1.json V33 (first administration)] | End point EV1/ONSET: 2026-03-02T20:00-05:00 [timestamp with UTC offset; case measurement; original: "2026-03-02T20:00-05:00"; source: tto_calc_test_vectors_v1.1.json V33]</v>
      </c>
      <c r="AS101" s="21" t="str">
        <f>IF(EI101=0,"",MID(IF(DT101=1," | Recovery interval (C7) computed with "&amp;DS101&amp;".","")&amp;IF(BG101=1," | Anchor selected under C5 (CALC-SPEC 1.1): latest administration with an exact date or time at or before "&amp;IF(BH101=1,"onset","the end point")&amp;" ("&amp;AJ101&amp;"), ordered in UTC when offsets are known; later administrations are never selected.","")&amp;IF(AND(BG101=1,CE101&gt;0)," | Partial-date administrations wholly before the selected one were not candidates: "&amp;FC101&amp;".","")&amp;IF(BV101&lt;&gt;""," | "&amp;BV101,"")&amp;IF(AND(DS101="C2",EA101=0,DZ101&lt;&gt;"")," | Same calendar date; both times are known, so C1 decides the order ("&amp;AA101&amp;").","")&amp;IF(AND(DS101="C2",DD101*BN101=1,DT101=0)," | Calendar-date difference from the recorded local dates; it is never described as elapsed days.","")&amp;IF(AND(DS101="C4",DT101=0)," | Bounds are treated as independent; no single date is imputed from them.","")&amp;IF(EJ101=1," | Treatment day under the inclusive convention (C3); never written to E2B fields automatically.","")&amp;IF(AND(DS101="C4",DT101=0,EK101=0)," | No constraint applied.","")&amp;IF(AND(DS101="C4",EK101=1)," | Constraint applied to the anchor bounds: "&amp;IF(ISNUMBER(P101),"not before "&amp;DAY(P101)&amp;" "&amp;INDEX(nLIST_Months,MONTH(P101))&amp;" "&amp;YEAR(P101),"")&amp;IF(AND(ISNUMBER(P101),ISNUMBER(Q101)),", ","")&amp;IF(ISNUMBER(Q101),"not after "&amp;DAY(Q101)&amp;" "&amp;INDEX(nLIST_Months,MONTH(Q101))&amp;" "&amp;YEAR(Q101),"")&amp;". Source: "&amp;IF(R101="","not recorded",R101)&amp;IF(EN101="",". Constrained result shown beside the unconstrained one.",". Constrained result blocked ("&amp;EN101&amp;")."),"")&amp;IF(DT101=1,IF(EO101&gt;0," | Intervention recorded between cessation and recovery (ends included): "&amp;EZ101&amp;"."," | No intervention is recorded between cessation and recovery; absence of a record is not evidence that none was given."),"")&amp;IF(AND(DT101=1,DV101&gt;0)," | Intervention recorded without a date, so whether it came before recovery is unknown: "&amp;INDEX(nMS_Milestone_ID,MATCH(1,INDEX((nMS_CaseKey=AX101)*(nMS_Type="INTERVENTION")*nMS_Undated,0),0))&amp;IF(DV101&gt;1," and "&amp;(DV101-1)&amp;" more","")&amp;".","")&amp;IF(AND(DT101=1,EP101&gt;0)," | Not counted as interventions, because they are recorded as exposures rather than as intervention milestones (nothing is inferred): "&amp;FB101&amp;". If treatment was given, record it as an intervention milestone.",""),4,9999))</f>
        <v>Anchor selected under C5 (CALC-SPEC 1.1): latest administration with an exact date or time at or before onset (EX1/START), ordered in UTC when offsets are known; later administrations are never selected.</v>
      </c>
      <c r="AT101" s="21" t="str">
        <f t="shared" si="143"/>
        <v>The interval describes the sequence and spacing of recorded times; it is not evidence of causation.</v>
      </c>
      <c r="AU101" s="21" t="str">
        <f t="shared" si="144"/>
        <v/>
      </c>
      <c r="AV101" s="21" t="str">
        <f t="shared" si="145"/>
        <v>CALC-SPEC 1.1</v>
      </c>
      <c r="AW101" s="22">
        <f t="shared" si="146"/>
        <v>0</v>
      </c>
      <c r="AX101" s="21" t="str">
        <f t="shared" si="147"/>
        <v>VEC-V33|1</v>
      </c>
      <c r="AY101" s="21" t="str">
        <f t="shared" si="148"/>
        <v>VEC-V33|1|I1</v>
      </c>
      <c r="AZ101" s="22">
        <f>IF(AY101="",0,COUNTIF(nINT_Key,AY101))</f>
        <v>1</v>
      </c>
      <c r="BA101" s="22">
        <f>IF(D101="",0,IFERROR(MATCH(AX101&amp;"|"&amp;D101,nLNK_Key,0),0))</f>
        <v>48</v>
      </c>
      <c r="BB101" s="22">
        <f>IF(BA101=0,1,INDEX(nLNK_Exp_Found,BA101))</f>
        <v>1</v>
      </c>
      <c r="BC101" s="22">
        <f>IF(BA101=0,1,INDEX(nLNK_Evt_Found,BA101))</f>
        <v>1</v>
      </c>
      <c r="BD101" s="22">
        <f>IF(AP101="",0,COUNTIF(nEXP_Key,AX101&amp;"|"&amp;AP101))</f>
        <v>1</v>
      </c>
      <c r="BE101" s="22">
        <f>IF(AQ101="",0,COUNTIF(nEVT_Key,AX101&amp;"|"&amp;AQ101))</f>
        <v>1</v>
      </c>
      <c r="BF101" s="22">
        <f>IF(ISNA(MATCH(E101,nLIST_AnchorType,0)),0,1)</f>
        <v>1</v>
      </c>
      <c r="BG101" s="22">
        <f t="shared" si="149"/>
        <v>1</v>
      </c>
      <c r="BH101" s="22">
        <f t="shared" si="150"/>
        <v>1</v>
      </c>
      <c r="BI101" s="22">
        <f>IF(OR(AW101=1,AK101=""),0,IFERROR(MATCH(AX101&amp;"|"&amp;AK101,nTP_Key,0),0))</f>
        <v>337</v>
      </c>
      <c r="BJ101" s="21">
        <f>IF(BI101=0,0,INDEX(nTP_Dup,BI101))</f>
        <v>1</v>
      </c>
      <c r="BK101" s="21" t="str">
        <f>IF(BI101=0,"",INDEX(nTP_Record_Type,BI101))</f>
        <v>EVENT_ONSET</v>
      </c>
      <c r="BL101" s="21" t="str">
        <f>IF(BI101=0,"",INDEX(nTP_Precision,BI101))</f>
        <v>TIMESTAMP</v>
      </c>
      <c r="BM101" s="21" t="str">
        <f>IF(BI101=0,"",INDEX(nTP_Err,BI101))</f>
        <v/>
      </c>
      <c r="BN101" s="21">
        <f>IF(BI101=0,0,INDEX(nTP_HT,BI101))</f>
        <v>1</v>
      </c>
      <c r="BO101" s="21">
        <f>IF(BI101=0,0,INDEX(nTP_OK,BI101))</f>
        <v>1</v>
      </c>
      <c r="BP101" s="21">
        <f>IF(BI101=0,"",INDEX(nTP_Loc,BI101))</f>
        <v>66360720</v>
      </c>
      <c r="BQ101" s="21">
        <f>IF(BI101=0,"",INDEX(nTP_UTC,BI101))</f>
        <v>66361020</v>
      </c>
      <c r="BR101" s="21">
        <f>IF(BI101=0,"",INDEX(nTP_Lo,BI101))</f>
        <v>46083</v>
      </c>
      <c r="BS101" s="21">
        <f>IF(BI101=0,"",INDEX(nTP_Hi,BI101))</f>
        <v>46083</v>
      </c>
      <c r="BT101" s="21" t="str">
        <f>IF(BI101=0,"",INDEX(nTP_Original_Text,BI101))</f>
        <v>2026-03-02T20:00-05:00</v>
      </c>
      <c r="BU101" s="21" t="str">
        <f>IF(BI101=0,"",INDEX(nTP_Source,BI101))</f>
        <v>tto_calc_test_vectors_v1.1.json V33</v>
      </c>
      <c r="BV101" s="21" t="str">
        <f>IF(BI101=0,"",INDEX(nTP_Lab_Note,BI101))</f>
        <v/>
      </c>
      <c r="BW101" s="22">
        <f t="shared" si="151"/>
        <v>1</v>
      </c>
      <c r="BX101" s="21" t="str">
        <f t="shared" si="152"/>
        <v>VEC-V33|1|EX1</v>
      </c>
      <c r="BY101" s="22">
        <f>IF(BG101=0,0,COUNTIF(nTP_CandKey,BX101))</f>
        <v>2</v>
      </c>
      <c r="BZ101" s="22">
        <f>IF(BG101=0,0,COUNTIFS(nTP_CandKey,BX101,nTP_Err,""))</f>
        <v>2</v>
      </c>
      <c r="CA101" s="21" t="str">
        <f>IF(BY101=BZ101,"",IF(COUNTIFS(nTP_CandKey,BX101,nTP_Err,"E_INVALID_DATE")&gt;0,"; E_INVALID_DATE","")&amp;IF(COUNTIFS(nTP_CandKey,BX101,nTP_Err,"E_REVERSED_BOUNDS")&gt;0,"; E_REVERSED_BOUNDS","")&amp;IF(COUNTIFS(nTP_CandKey,BX101,nTP_Err,"E_MISSING_INPUT")&gt;0,"; E_MISSING_INPUT","")&amp;IF(COUNTIFS(nTP_CandKey,BX101,nTP_Err,"E_INVALID_UNIT")&gt;0,"; E_INVALID_UNIT",""))</f>
        <v/>
      </c>
      <c r="CB101" s="22">
        <f t="shared" si="153"/>
        <v>1</v>
      </c>
      <c r="CC101" s="22">
        <f>IF(CB101=0,0,SUMPRODUCT((nTP_CandKey=BX101)*(nTP_Err="")*(1-(nTP_HT*BN101*((nTP_OK*BO101*(nTP_UTC_n-N(BQ101))+(1-nTP_OK*BO101)*(nTP_Loc_n-N(BP101)))&lt;=0)+(1-nTP_HT*BN101)*(nTP_Hi_n&lt;N(BR101)))-(nTP_HT*BN101*((nTP_OK*BO101*(nTP_UTC_n-N(BQ101))+(1-nTP_OK*BO101)*(nTP_Loc_n-N(BP101)))&gt;0)+(1-nTP_HT*BN101)*(nTP_Lo_n&gt;N(BS101)))-((1-nTP_HT*BN101)*(nTP_Lo_n=nTP_Hi_n)*(nTP_Lo_n=N(BR101))*(N(BR101)=N(BS101))))))</f>
        <v>0</v>
      </c>
      <c r="CD101" s="22">
        <f>IF(CB101=0,0,SUMPRODUCT((nTP_CandKey=BX101)*nTP_Exact*((nTP_HT*BN101*((nTP_OK*BO101*(nTP_UTC_n-N(BQ101))+(1-nTP_OK*BO101)*(nTP_Loc_n-N(BP101)))&lt;=0)+(1-nTP_HT*BN101)*(nTP_Hi_n&lt;N(BR101)))+((1-nTP_HT*BN101)*(nTP_Lo_n=nTP_Hi_n)*(nTP_Lo_n=N(BR101))*(N(BR101)=N(BS101))))))</f>
        <v>2</v>
      </c>
      <c r="CE101" s="22">
        <f>IF(CB101=0,0,SUMPRODUCT((nTP_CandKey=BX101)*(nTP_Err="")*(1-nTP_Exact)*((nTP_HT*BN101*((nTP_OK*BO101*(nTP_UTC_n-N(BQ101))+(1-nTP_OK*BO101)*(nTP_Loc_n-N(BP101)))&lt;=0)+(1-nTP_HT*BN101)*(nTP_Hi_n&lt;N(BR101)))+((1-nTP_HT*BN101)*(nTP_Lo_n=nTP_Hi_n)*(nTP_Lo_n=N(BR101))*(N(BR101)=N(BS101))))))</f>
        <v>0</v>
      </c>
      <c r="CF101" s="22">
        <f>IF(CD101=0,0,SUMPRODUCT(MAX((nTP_CandKey=BX101)*nTP_Exact*((nTP_HT*BN101*((nTP_OK*BO101*(nTP_UTC_n-N(BQ101))+(1-nTP_OK*BO101)*(nTP_Loc_n-N(BP101)))&lt;=0)+(1-nTP_HT*BN101)*(nTP_Hi_n&lt;N(BR101)))+((1-nTP_HT*BN101)*(nTP_Lo_n=nTP_Hi_n)*(nTP_Lo_n=N(BR101))*(N(BR101)=N(BS101))))*nTP_Lo_n)))</f>
        <v>46083</v>
      </c>
      <c r="CG101" s="22">
        <f>IF(CD101=0,0,SUMPRODUCT((nTP_CandKey=BX101)*nTP_Exact*((nTP_HT*BN101*((nTP_OK*BO101*(nTP_UTC_n-N(BQ101))+(1-nTP_OK*BO101)*(nTP_Loc_n-N(BP101)))&lt;=0)+(1-nTP_HT*BN101)*(nTP_Hi_n&lt;N(BR101)))+((1-nTP_HT*BN101)*(nTP_Lo_n=nTP_Hi_n)*(nTP_Lo_n=N(BR101))*(N(BR101)=N(BS101))))*(nTP_Lo_n=CF101)))</f>
        <v>2</v>
      </c>
      <c r="CH101" s="22">
        <f>IF(CD101=0,0,SUMPRODUCT((nTP_CandKey=BX101)*nTP_Exact*((nTP_HT*BN101*((nTP_OK*BO101*(nTP_UTC_n-N(BQ101))+(1-nTP_OK*BO101)*(nTP_Loc_n-N(BP101)))&lt;=0)+(1-nTP_HT*BN101)*(nTP_Hi_n&lt;N(BR101)))+((1-nTP_HT*BN101)*(nTP_Lo_n=nTP_Hi_n)*(nTP_Lo_n=N(BR101))*(N(BR101)=N(BS101))))*(1-nTP_HT)*(nTP_Lo_n=CF101)))</f>
        <v>0</v>
      </c>
      <c r="CI101" s="22">
        <f>IF(CD101=0,0,SUMPRODUCT(MAX((nTP_CandKey=BX101)*nTP_Exact*((nTP_HT*BN101*((nTP_OK*BO101*(nTP_UTC_n-N(BQ101))+(1-nTP_OK*BO101)*(nTP_Loc_n-N(BP101)))&lt;=0)+(1-nTP_HT*BN101)*(nTP_Hi_n&lt;N(BR101)))+((1-nTP_HT*BN101)*(nTP_Lo_n=nTP_Hi_n)*(nTP_Lo_n=N(BR101))*(N(BR101)=N(BS101))))*(1-nTP_HT)*nTP_Lo_n)))</f>
        <v>0</v>
      </c>
      <c r="CJ101" s="22">
        <f>IF(CD101=0,0,SUMPRODUCT(MAX((nTP_CandKey=BX101)*nTP_Exact*((nTP_HT*BN101*((nTP_OK*BO101*(nTP_UTC_n-N(BQ101))+(1-nTP_OK*BO101)*(nTP_Loc_n-N(BP101)))&lt;=0)+(1-nTP_HT*BN101)*(nTP_Hi_n&lt;N(BR101)))+((1-nTP_HT*BN101)*(nTP_Lo_n=nTP_Hi_n)*(nTP_Lo_n=N(BR101))*(N(BR101)=N(BS101))))*nTP_HT*nTP_OK*nTP_UTC_n)))</f>
        <v>66360300</v>
      </c>
      <c r="CK101" s="22">
        <f>IF(CJ101=0,0,SUMPRODUCT((nTP_CandKey=BX101)*nTP_Exact*((nTP_HT*BN101*((nTP_OK*BO101*(nTP_UTC_n-N(BQ101))+(1-nTP_OK*BO101)*(nTP_Loc_n-N(BP101)))&lt;=0)+(1-nTP_HT*BN101)*(nTP_Hi_n&lt;N(BR101)))+((1-nTP_HT*BN101)*(nTP_Lo_n=nTP_Hi_n)*(nTP_Lo_n=N(BR101))*(N(BR101)=N(BS101))))*nTP_HT*nTP_OK*(nTP_UTC_n=CJ101)))</f>
        <v>1</v>
      </c>
      <c r="CL101" s="22">
        <f>IF(CK101&lt;&gt;1,0,SUMPRODUCT((nTP_CandKey=BX101)*nTP_Exact*((nTP_HT*BN101*((nTP_OK*BO101*(nTP_UTC_n-N(BQ101))+(1-nTP_OK*BO101)*(nTP_Loc_n-N(BP101)))&lt;=0)+(1-nTP_HT*BN101)*(nTP_Hi_n&lt;N(BR101)))+((1-nTP_HT*BN101)*(nTP_Lo_n=nTP_Hi_n)*(nTP_Lo_n=N(BR101))*(N(BR101)=N(BS101))))*nTP_HT*nTP_OK*(nTP_UTC_n=CJ101)*nTP_Loc_n))</f>
        <v>66360000</v>
      </c>
      <c r="CM101" s="22">
        <f>IF(CK101&lt;&gt;1,0,SUMPRODUCT((nTP_CandKey=BX101)*nTP_Exact*((nTP_HT*BN101*((nTP_OK*BO101*(nTP_UTC_n-N(BQ101))+(1-nTP_OK*BO101)*(nTP_Loc_n-N(BP101)))&lt;=0)+(1-nTP_HT*BN101)*(nTP_Hi_n&lt;N(BR101)))+((1-nTP_HT*BN101)*(nTP_Lo_n=nTP_Hi_n)*(nTP_Lo_n=N(BR101))*(N(BR101)=N(BS101))))*nTP_HT*nTP_OK*(nTP_UTC_n=CJ101)*nTP_Lo_n))</f>
        <v>46083</v>
      </c>
      <c r="CN101" s="22">
        <f>IF(CD101=0,0,SUMPRODUCT(MAX((nTP_CandKey=BX101)*nTP_Exact*((nTP_HT*BN101*((nTP_OK*BO101*(nTP_UTC_n-N(BQ101))+(1-nTP_OK*BO101)*(nTP_Loc_n-N(BP101)))&lt;=0)+(1-nTP_HT*BN101)*(nTP_Hi_n&lt;N(BR101)))+((1-nTP_HT*BN101)*(nTP_Lo_n=nTP_Hi_n)*(nTP_Lo_n=N(BR101))*(N(BR101)=N(BS101))))*nTP_HT*(1-nTP_OK)*nTP_Loc_n)))</f>
        <v>0</v>
      </c>
      <c r="CO101" s="22">
        <f>IF(CN101=0,0,SUMPRODUCT((nTP_CandKey=BX101)*nTP_Exact*((nTP_HT*BN101*((nTP_OK*BO101*(nTP_UTC_n-N(BQ101))+(1-nTP_OK*BO101)*(nTP_Loc_n-N(BP101)))&lt;=0)+(1-nTP_HT*BN101)*(nTP_Hi_n&lt;N(BR101)))+((1-nTP_HT*BN101)*(nTP_Lo_n=nTP_Hi_n)*(nTP_Lo_n=N(BR101))*(N(BR101)=N(BS101))))*nTP_HT*(1-nTP_OK)*(nTP_Loc_n=CN101)))</f>
        <v>0</v>
      </c>
      <c r="CP101" s="22">
        <f>IF(CO101&lt;&gt;1,0,SUMPRODUCT((nTP_CandKey=BX101)*nTP_Exact*((nTP_HT*BN101*((nTP_OK*BO101*(nTP_UTC_n-N(BQ101))+(1-nTP_OK*BO101)*(nTP_Loc_n-N(BP101)))&lt;=0)+(1-nTP_HT*BN101)*(nTP_Hi_n&lt;N(BR101)))+((1-nTP_HT*BN101)*(nTP_Lo_n=nTP_Hi_n)*(nTP_Lo_n=N(BR101))*(N(BR101)=N(BS101))))*nTP_HT*(1-nTP_OK)*(nTP_Loc_n=CN101)*nTP_Lo_n))</f>
        <v>0</v>
      </c>
      <c r="CQ101" s="22">
        <f>IF(CD101=0,0,SUMPRODUCT(MAX((nTP_CandKey=BX101)*nTP_Exact*((nTP_HT*BN101*((nTP_OK*BO101*(nTP_UTC_n-N(BQ101))+(1-nTP_OK*BO101)*(nTP_Loc_n-N(BP101)))&lt;=0)+(1-nTP_HT*BN101)*(nTP_Hi_n&lt;N(BR101)))+((1-nTP_HT*BN101)*(nTP_Lo_n=nTP_Hi_n)*(nTP_Lo_n=N(BR101))*(N(BR101)=N(BS101))))*nTP_HT*nTP_OK*nTP_Loc_n)))</f>
        <v>66360060</v>
      </c>
      <c r="CR101" s="22">
        <f t="shared" si="154"/>
        <v>2</v>
      </c>
      <c r="CS101" s="22">
        <f>IF(CR101=0,0,IF(CR101=1,MATCH(1,INDEX((nTP_CandKey=BX101)*nTP_Exact*((nTP_HT*BN101*((nTP_OK*BO101*(nTP_UTC_n-N(BQ101))+(1-nTP_OK*BO101)*(nTP_Loc_n-N(BP101)))&lt;=0)+(1-nTP_HT*BN101)*(nTP_Hi_n&lt;N(BR101)))+((1-nTP_HT*BN101)*(nTP_Lo_n=nTP_Hi_n)*(nTP_Lo_n=N(BR101))*(N(BR101)=N(BS101))))*(1-nTP_HT)*(nTP_Lo_n=CF101),0),0),IF(CR101=2,MATCH(1,INDEX((nTP_CandKey=BX101)*nTP_Exact*((nTP_HT*BN101*((nTP_OK*BO101*(nTP_UTC_n-N(BQ101))+(1-nTP_OK*BO101)*(nTP_Loc_n-N(BP101)))&lt;=0)+(1-nTP_HT*BN101)*(nTP_Hi_n&lt;N(BR101)))+((1-nTP_HT*BN101)*(nTP_Lo_n=nTP_Hi_n)*(nTP_Lo_n=N(BR101))*(N(BR101)=N(BS101))))*nTP_HT*nTP_OK*(nTP_UTC_n=CJ101),0),0),MATCH(1,INDEX((nTP_CandKey=BX101)*nTP_Exact*((nTP_HT*BN101*((nTP_OK*BO101*(nTP_UTC_n-N(BQ101))+(1-nTP_OK*BO101)*(nTP_Loc_n-N(BP101)))&lt;=0)+(1-nTP_HT*BN101)*(nTP_Hi_n&lt;N(BR101)))+((1-nTP_HT*BN101)*(nTP_Lo_n=nTP_Hi_n)*(nTP_Lo_n=N(BR101))*(N(BR101)=N(BS101))))*nTP_HT*(1-nTP_OK)*(nTP_Loc_n=CN101),0),0))))</f>
        <v>69</v>
      </c>
      <c r="CT101" s="22">
        <f>IF(CS101=0,0,INDEX(nTP_Lo_n,CS101))</f>
        <v>46083</v>
      </c>
      <c r="CU101" s="22">
        <f>IF(CS101=0,0,SUMPRODUCT((nTP_CandKey=BX101)*(nTP_Err="")*(1-nTP_Exact)*((nTP_HT*BN101*((nTP_OK*BO101*(nTP_UTC_n-N(BQ101))+(1-nTP_OK*BO101)*(nTP_Loc_n-N(BP101)))&lt;=0)+(1-nTP_HT*BN101)*(nTP_Hi_n&lt;N(BR101)))+((1-nTP_HT*BN101)*(nTP_Lo_n=nTP_Hi_n)*(nTP_Lo_n=N(BR101))*(N(BR101)=N(BS101))))*(nTP_Hi_n&gt;=CT101)))</f>
        <v>0</v>
      </c>
      <c r="CV101" s="21" t="str">
        <f t="shared" si="155"/>
        <v/>
      </c>
      <c r="CW101" s="21" t="str">
        <f>IF(AND(BG101=1,CB101=1,CV101="",CS101&gt;0),INDEX(nTP_Record_ID,CS101)&amp;"","")</f>
        <v>EX1/START</v>
      </c>
      <c r="CX101" s="21" t="str">
        <f>IF(OR(CV101="",BG101=0),"",IF(CV101="none","an administration record (last dose before onset)",IF(CV101="uncertain","the anchor record: "&amp;INDEX(nTP_Record_ID,MATCH(1,INDEX((nTP_CandKey=BX101)*(nTP_Err="")*(1-(nTP_HT*BN101*((nTP_OK*BO101*(nTP_UTC_n-N(BQ101))+(1-nTP_OK*BO101)*(nTP_Loc_n-N(BP101)))&lt;=0)+(1-nTP_HT*BN101)*(nTP_Hi_n&lt;N(BR101)))-(nTP_HT*BN101*((nTP_OK*BO101*(nTP_UTC_n-N(BQ101))+(1-nTP_OK*BO101)*(nTP_Loc_n-N(BP101)))&gt;0)+(1-nTP_HT*BN101)*(nTP_Lo_n&gt;N(BS101)))-((1-nTP_HT*BN101)*(nTP_Lo_n=nTP_Hi_n)*(nTP_Lo_n=N(BR101))*(N(BR101)=N(BS101)))),0),0))&amp;IF(CC101&gt;1," and "&amp;(CC101-1)&amp;" more","")&amp;" may fall before or after the end point, so the last dose cannot be identified from the recorded dates",IF(CV101="noneligible","the anchor record: no administration with an exact date is recorded at or before the end point",IF(CV101="tie","the anchor record: the order of the latest administrations cannot be told from the recorded dates and times","the anchor record: partial-date administration "&amp;INDEX(nTP_Record_ID,MATCH(1,INDEX((nTP_CandKey=BX101)*(nTP_Err="")*(1-nTP_Exact)*((nTP_HT*BN101*((nTP_OK*BO101*(nTP_UTC_n-N(BQ101))+(1-nTP_OK*BO101)*(nTP_Loc_n-N(BP101)))&lt;=0)+(1-nTP_HT*BN101)*(nTP_Hi_n&lt;N(BR101)))+((1-nTP_HT*BN101)*(nTP_Lo_n=nTP_Hi_n)*(nTP_Lo_n=N(BR101))*(N(BR101)=N(BS101))))*(nTP_Hi_n&gt;=CT101),0),0))&amp;" could be the last dose before the end point")))))</f>
        <v/>
      </c>
      <c r="CY101" s="22">
        <f>IF(OR(AW101=1,AJ101=""),0,IFERROR(MATCH(AX101&amp;"|"&amp;AJ101,nTP_Key,0),0))</f>
        <v>69</v>
      </c>
      <c r="CZ101" s="21">
        <f>IF(CY101=0,0,INDEX(nTP_Dup,CY101))</f>
        <v>1</v>
      </c>
      <c r="DA101" s="21" t="str">
        <f>IF(CY101=0,"",INDEX(nTP_Record_Type,CY101))</f>
        <v>EXPOSURE_START</v>
      </c>
      <c r="DB101" s="21" t="str">
        <f>IF(CY101=0,"",INDEX(nTP_Precision,CY101))</f>
        <v>TIMESTAMP</v>
      </c>
      <c r="DC101" s="21" t="str">
        <f>IF(CY101=0,"",INDEX(nTP_Err,CY101))</f>
        <v/>
      </c>
      <c r="DD101" s="21">
        <f>IF(CY101=0,0,INDEX(nTP_HT,CY101))</f>
        <v>1</v>
      </c>
      <c r="DE101" s="21">
        <f>IF(CY101=0,0,INDEX(nTP_OK,CY101))</f>
        <v>1</v>
      </c>
      <c r="DF101" s="21">
        <f>IF(CY101=0,"",INDEX(nTP_Loc,CY101))</f>
        <v>66360000</v>
      </c>
      <c r="DG101" s="21">
        <f>IF(CY101=0,"",INDEX(nTP_UTC,CY101))</f>
        <v>66360300</v>
      </c>
      <c r="DH101" s="21">
        <f>IF(CY101=0,"",INDEX(nTP_Lo,CY101))</f>
        <v>46083</v>
      </c>
      <c r="DI101" s="21">
        <f>IF(CY101=0,"",INDEX(nTP_Hi,CY101))</f>
        <v>46083</v>
      </c>
      <c r="DJ101" s="21" t="str">
        <f>IF(CY101=0,"",INDEX(nTP_Original_Text,CY101))</f>
        <v>2026-03-02T08:00-05:00</v>
      </c>
      <c r="DK101" s="21" t="str">
        <f>IF(CY101=0,"",INDEX(nTP_Source,CY101))</f>
        <v>tto_calc_test_vectors_v1.1.json V33 (first administration)</v>
      </c>
      <c r="DL101" s="22">
        <f t="shared" si="156"/>
        <v>1</v>
      </c>
      <c r="DM101" s="21" t="str">
        <f t="shared" si="157"/>
        <v/>
      </c>
      <c r="DN101" s="21" t="str">
        <f t="shared" si="158"/>
        <v/>
      </c>
      <c r="DO101" s="21" t="str">
        <f t="shared" si="159"/>
        <v/>
      </c>
      <c r="DP101" s="21" t="str">
        <f t="shared" si="160"/>
        <v/>
      </c>
      <c r="DQ101" s="21" t="str">
        <f t="shared" si="161"/>
        <v>C1</v>
      </c>
      <c r="DR101" s="22">
        <f>IF(OR(DQ101="",I101=""),0,IF(ISNA(MATCH(I101,nLIST_Mode,0)),1,IF(AND(I101="C1",DQ101&lt;&gt;"C1"),1,IF(AND(I101="C2",DQ101="C4"),1,0))))</f>
        <v>0</v>
      </c>
      <c r="DS101" s="21" t="str">
        <f t="shared" si="162"/>
        <v>C1</v>
      </c>
      <c r="DT101" s="22">
        <f t="shared" si="163"/>
        <v>0</v>
      </c>
      <c r="DU101" s="21" t="str">
        <f>IF(DT101=0,"",IF(COUNTIFS(nTP_Case_Key,AX101,nTP_Record_Type,"MILESTONE:INTERVENTION",nTP_Err,"E_INVALID_DATE")&gt;0,"; E_INVALID_DATE","")&amp;IF(COUNTIFS(nTP_Case_Key,AX101,nTP_Record_Type,"MILESTONE:INTERVENTION",nTP_Err,"E_REVERSED_BOUNDS")&gt;0,"; E_REVERSED_BOUNDS","")&amp;IF(COUNTIFS(nTP_Case_Key,AX101,nTP_Record_Type,"MILESTONE:INTERVENTION",nTP_Err,"E_MISSING_INPUT")&gt;0,"; E_MISSING_INPUT","")&amp;IF(COUNTIFS(nTP_Case_Key,AX101,nTP_Record_Type,"MILESTONE:INTERVENTION",nTP_Err,"E_INVALID_UNIT")&gt;0,"; E_INVALID_UNIT",""))</f>
        <v/>
      </c>
      <c r="DV101" s="22">
        <f>IF(DT101=0,0,SUMPRODUCT((nMS_CaseKey=AX101)*(nMS_Type="INTERVENTION")*nMS_Undated))</f>
        <v>0</v>
      </c>
      <c r="DW101" s="21" t="str">
        <f t="shared" si="164"/>
        <v/>
      </c>
      <c r="DX101" s="21" t="str">
        <f t="shared" si="165"/>
        <v/>
      </c>
      <c r="DY101" s="22">
        <f t="shared" si="166"/>
        <v>0</v>
      </c>
      <c r="DZ101" s="21">
        <f t="shared" si="167"/>
        <v>720</v>
      </c>
      <c r="EA101" s="21" t="str">
        <f t="shared" si="168"/>
        <v/>
      </c>
      <c r="EB101" s="21" t="str">
        <f t="shared" si="169"/>
        <v/>
      </c>
      <c r="EC101" s="21" t="str">
        <f t="shared" si="170"/>
        <v/>
      </c>
      <c r="ED101" s="22">
        <f t="shared" si="171"/>
        <v>0</v>
      </c>
      <c r="EE101" s="22">
        <f t="shared" si="172"/>
        <v>0</v>
      </c>
      <c r="EF101" s="21" t="str">
        <f>IF(ED101=0,"",IF(OR(NOT(ISNUMBER(L101)),NOT(ISNUMBER(M101))),"I_APPROXIMATE_NOT_COMPARED",IF(AND(N101&lt;&gt;"",ISNA(MATCH(N101,nLIST_ReportedUnit,0))),"E_INVALID_UNIT",IF(N101="","E_MISSING_INPUT",IF(L101&gt;M101,"E_REVERSED_BOUNDS",IF(OR(N101="weeks",N101="months",N101="years"),"I_APPROXIMATE_NOT_COMPARED",IF(DX101&lt;&gt;"","",IF(EE101=0,"I_APPROXIMATE_NOT_COMPARED",IF(AND(L101*EE101&lt;=IF(DS101="C4",EC101,IF(DS101="C1",DZ101,EA101)),M101*EE101&gt;=IF(DS101="C4",EB101,IF(DS101="C1",DZ101,EA101))),"OVERLAP","W_REPORTED_TIMING_CONFLICT")))))))))</f>
        <v/>
      </c>
      <c r="EG101" s="21" t="str">
        <f t="shared" si="173"/>
        <v/>
      </c>
      <c r="EH101" s="21" t="str">
        <f t="shared" si="174"/>
        <v/>
      </c>
      <c r="EI101" s="22">
        <f t="shared" si="175"/>
        <v>1</v>
      </c>
      <c r="EJ101" s="22">
        <f t="shared" si="176"/>
        <v>0</v>
      </c>
      <c r="EK101" s="22">
        <f t="shared" si="177"/>
        <v>0</v>
      </c>
      <c r="EL101" s="28" t="str">
        <f t="shared" si="178"/>
        <v/>
      </c>
      <c r="EM101" s="28" t="str">
        <f t="shared" si="179"/>
        <v/>
      </c>
      <c r="EN101" s="21" t="str">
        <f t="shared" si="180"/>
        <v/>
      </c>
      <c r="EO101" s="22">
        <f>IF(OR(DT101=0,DX101&lt;&gt;""),0,SUMPRODUCT((nTP_Case_Key=AX101)*(nTP_Record_Type="MILESTONE:INTERVENTION")*(nTP_Err="")*(nTP_HT*DD101*BN101*(nTP_OK*DE101*(nTP_UTC_n&gt;=N(DG101))+(1-nTP_OK*DE101)*(nTP_Loc_n&gt;=N(DF101)))*(nTP_OK*BO101*(nTP_UTC_n&lt;=N(BQ101))+(1-nTP_OK*BO101)*(nTP_Loc_n&lt;=N(BP101)))+(1-nTP_HT*DD101*BN101)*(nTP_Hi_n&gt;=N(DH101))*(nTP_Lo_n&lt;=N(BS101)))))</f>
        <v>0</v>
      </c>
      <c r="EP101" s="22">
        <f>IF(OR(DT101=0,DX101&lt;&gt;""),0,SUMPRODUCT((nTP_Case_Key=AX101)*(nTP_Role="treatment of the event")*((nTP_Record_Type="EXPOSURE_START")+(nTP_Record_Type="ADMINISTRATION"))*(nTP_Err="")*(nTP_HT*DD101*BN101*(nTP_OK*DE101*(nTP_UTC_n&gt;=N(DG101))+(1-nTP_OK*DE101)*(nTP_Loc_n&gt;=N(DF101)))*(nTP_OK*BO101*(nTP_UTC_n&lt;=N(BQ101))+(1-nTP_OK*BO101)*(nTP_Loc_n&lt;=N(BP101)))+(1-nTP_HT*DD101*BN101)*(nTP_Hi_n&gt;=N(DH101))*(nTP_Lo_n&lt;=N(BS101)))))</f>
        <v>0</v>
      </c>
      <c r="EQ101" s="22">
        <f>IF(EO101&lt;1,0,IFERROR(_xlfn.AGGREGATE(15,6,nTP_RowN/((nTP_Case_Key=AX101)*(nTP_Record_Type="MILESTONE:INTERVENTION")*(nTP_Err="")*(nTP_HT*DD101*BN101*(nTP_OK*DE101*(nTP_UTC_n&gt;=N(DG101))+(1-nTP_OK*DE101)*(nTP_Loc_n&gt;=N(DF101)))*(nTP_OK*BO101*(nTP_UTC_n&lt;=N(BQ101))+(1-nTP_OK*BO101)*(nTP_Loc_n&lt;=N(BP101)))+(1-nTP_HT*DD101*BN101)*(nTP_Hi_n&gt;=N(DH101))*(nTP_Lo_n&lt;=N(BS101)))),1),0))</f>
        <v>0</v>
      </c>
      <c r="ER101" s="22">
        <f>IF(EO101&lt;2,0,IFERROR(_xlfn.AGGREGATE(15,6,nTP_RowN/((nTP_Case_Key=AX101)*(nTP_Record_Type="MILESTONE:INTERVENTION")*(nTP_Err="")*(nTP_HT*DD101*BN101*(nTP_OK*DE101*(nTP_UTC_n&gt;=N(DG101))+(1-nTP_OK*DE101)*(nTP_Loc_n&gt;=N(DF101)))*(nTP_OK*BO101*(nTP_UTC_n&lt;=N(BQ101))+(1-nTP_OK*BO101)*(nTP_Loc_n&lt;=N(BP101)))+(1-nTP_HT*DD101*BN101)*(nTP_Hi_n&gt;=N(DH101))*(nTP_Lo_n&lt;=N(BS101)))),2),0))</f>
        <v>0</v>
      </c>
      <c r="ES101" s="22">
        <f>IF(EO101&lt;3,0,IFERROR(_xlfn.AGGREGATE(15,6,nTP_RowN/((nTP_Case_Key=AX101)*(nTP_Record_Type="MILESTONE:INTERVENTION")*(nTP_Err="")*(nTP_HT*DD101*BN101*(nTP_OK*DE101*(nTP_UTC_n&gt;=N(DG101))+(1-nTP_OK*DE101)*(nTP_Loc_n&gt;=N(DF101)))*(nTP_OK*BO101*(nTP_UTC_n&lt;=N(BQ101))+(1-nTP_OK*BO101)*(nTP_Loc_n&lt;=N(BP101)))+(1-nTP_HT*DD101*BN101)*(nTP_Hi_n&gt;=N(DH101))*(nTP_Lo_n&lt;=N(BS101)))),3),0))</f>
        <v>0</v>
      </c>
      <c r="ET101" s="22">
        <f>IF(EP101&lt;1,0,IFERROR(_xlfn.AGGREGATE(15,6,nTP_RowN/((nTP_Case_Key=AX101)*(nTP_Role="treatment of the event")*((nTP_Record_Type="EXPOSURE_START")+(nTP_Record_Type="ADMINISTRATION"))*(nTP_Err="")*(nTP_HT*DD101*BN101*(nTP_OK*DE101*(nTP_UTC_n&gt;=N(DG101))+(1-nTP_OK*DE101)*(nTP_Loc_n&gt;=N(DF101)))*(nTP_OK*BO101*(nTP_UTC_n&lt;=N(BQ101))+(1-nTP_OK*BO101)*(nTP_Loc_n&lt;=N(BP101)))+(1-nTP_HT*DD101*BN101)*(nTP_Hi_n&gt;=N(DH101))*(nTP_Lo_n&lt;=N(BS101)))),1),0))</f>
        <v>0</v>
      </c>
      <c r="EU101" s="22">
        <f>IF(EP101&lt;2,0,IFERROR(_xlfn.AGGREGATE(15,6,nTP_RowN/((nTP_Case_Key=AX101)*(nTP_Role="treatment of the event")*((nTP_Record_Type="EXPOSURE_START")+(nTP_Record_Type="ADMINISTRATION"))*(nTP_Err="")*(nTP_HT*DD101*BN101*(nTP_OK*DE101*(nTP_UTC_n&gt;=N(DG101))+(1-nTP_OK*DE101)*(nTP_Loc_n&gt;=N(DF101)))*(nTP_OK*BO101*(nTP_UTC_n&lt;=N(BQ101))+(1-nTP_OK*BO101)*(nTP_Loc_n&lt;=N(BP101)))+(1-nTP_HT*DD101*BN101)*(nTP_Hi_n&gt;=N(DH101))*(nTP_Lo_n&lt;=N(BS101)))),2),0))</f>
        <v>0</v>
      </c>
      <c r="EV101" s="22">
        <f>IF(EP101&lt;3,0,IFERROR(_xlfn.AGGREGATE(15,6,nTP_RowN/((nTP_Case_Key=AX101)*(nTP_Role="treatment of the event")*((nTP_Record_Type="EXPOSURE_START")+(nTP_Record_Type="ADMINISTRATION"))*(nTP_Err="")*(nTP_HT*DD101*BN101*(nTP_OK*DE101*(nTP_UTC_n&gt;=N(DG101))+(1-nTP_OK*DE101)*(nTP_Loc_n&gt;=N(DF101)))*(nTP_OK*BO101*(nTP_UTC_n&lt;=N(BQ101))+(1-nTP_OK*BO101)*(nTP_Loc_n&lt;=N(BP101)))+(1-nTP_HT*DD101*BN101)*(nTP_Hi_n&gt;=N(DH101))*(nTP_Lo_n&lt;=N(BS101)))),3),0))</f>
        <v>0</v>
      </c>
      <c r="EW101" s="22">
        <f>IF(CE101&lt;1,0,IFERROR(_xlfn.AGGREGATE(15,6,nTP_RowN/((nTP_CandKey=BX101)*(nTP_Err="")*(1-nTP_Exact)*((nTP_HT*BN101*((nTP_OK*BO101*(nTP_UTC_n-N(BQ101))+(1-nTP_OK*BO101)*(nTP_Loc_n-N(BP101)))&lt;=0)+(1-nTP_HT*BN101)*(nTP_Hi_n&lt;N(BR101)))+((1-nTP_HT*BN101)*(nTP_Lo_n=nTP_Hi_n)*(nTP_Lo_n=N(BR101))*(N(BR101)=N(BS101))))),1),0))</f>
        <v>0</v>
      </c>
      <c r="EX101" s="22">
        <f>IF(CE101&lt;2,0,IFERROR(_xlfn.AGGREGATE(15,6,nTP_RowN/((nTP_CandKey=BX101)*(nTP_Err="")*(1-nTP_Exact)*((nTP_HT*BN101*((nTP_OK*BO101*(nTP_UTC_n-N(BQ101))+(1-nTP_OK*BO101)*(nTP_Loc_n-N(BP101)))&lt;=0)+(1-nTP_HT*BN101)*(nTP_Hi_n&lt;N(BR101)))+((1-nTP_HT*BN101)*(nTP_Lo_n=nTP_Hi_n)*(nTP_Lo_n=N(BR101))*(N(BR101)=N(BS101))))),2),0))</f>
        <v>0</v>
      </c>
      <c r="EY101" s="22">
        <f>IF(CE101&lt;3,0,IFERROR(_xlfn.AGGREGATE(15,6,nTP_RowN/((nTP_CandKey=BX101)*(nTP_Err="")*(1-nTP_Exact)*((nTP_HT*BN101*((nTP_OK*BO101*(nTP_UTC_n-N(BQ101))+(1-nTP_OK*BO101)*(nTP_Loc_n-N(BP101)))&lt;=0)+(1-nTP_HT*BN101)*(nTP_Hi_n&lt;N(BR101)))+((1-nTP_HT*BN101)*(nTP_Lo_n=nTP_Hi_n)*(nTP_Lo_n=N(BR101))*(N(BR101)=N(BS101))))),3),0))</f>
        <v>0</v>
      </c>
      <c r="EZ101" s="21" t="str">
        <f>IF(EO101=0,"",MID(IF(EQ101&gt;0,"; "&amp;INDEX(nTP_Record_ID,EQ101)&amp;IF(INDEX(nTP_Label,EQ101)="",""," ("&amp;INDEX(nTP_Label,EQ101)&amp;")"),"")&amp;IF(ER101&gt;0,"; "&amp;INDEX(nTP_Record_ID,ER101)&amp;IF(INDEX(nTP_Label,ER101)="",""," ("&amp;INDEX(nTP_Label,ER101)&amp;")"),"")&amp;IF(ES101&gt;0,"; "&amp;INDEX(nTP_Record_ID,ES101)&amp;IF(INDEX(nTP_Label,ES101)="",""," ("&amp;INDEX(nTP_Label,ES101)&amp;")"),"")&amp;IF(EO101&gt;3,"; and "&amp;(EO101-3)&amp;" more",""),3,999))</f>
        <v/>
      </c>
      <c r="FA101" s="21" t="str">
        <f>IF(EO101=0,"",MID(IF(EQ101&gt;0,"; "&amp;INDEX(nTP_Record_ID,EQ101),"")&amp;IF(ER101&gt;0,"; "&amp;INDEX(nTP_Record_ID,ER101),"")&amp;IF(ES101&gt;0,"; "&amp;INDEX(nTP_Record_ID,ES101),"")&amp;IF(EO101&gt;3,"; and "&amp;(EO101-3)&amp;" more",""),3,999))</f>
        <v/>
      </c>
      <c r="FB101" s="21" t="str">
        <f>IF(EP101=0,"",MID(IF(ET101&gt;0,"; "&amp;INDEX(nTP_Record_ID,ET101)&amp;IF(INDEX(nTP_Label,ET101)="",""," ("&amp;INDEX(nTP_Label,ET101)&amp;")"),"")&amp;IF(EU101&gt;0,"; "&amp;INDEX(nTP_Record_ID,EU101)&amp;IF(INDEX(nTP_Label,EU101)="",""," ("&amp;INDEX(nTP_Label,EU101)&amp;")"),"")&amp;IF(EV101&gt;0,"; "&amp;INDEX(nTP_Record_ID,EV101)&amp;IF(INDEX(nTP_Label,EV101)="",""," ("&amp;INDEX(nTP_Label,EV101)&amp;")"),"")&amp;IF(EP101&gt;3,"; and "&amp;(EP101-3)&amp;" more",""),3,999))</f>
        <v/>
      </c>
      <c r="FC101" s="21" t="str">
        <f>IF(CE101=0,"",MID(IF(EW101&gt;0,"; "&amp;INDEX(nTP_Record_ID,EW101),"")&amp;IF(EX101&gt;0,"; "&amp;INDEX(nTP_Record_ID,EX101),"")&amp;IF(EY101&gt;0,"; "&amp;INDEX(nTP_Record_ID,EY101),"")&amp;IF(CE101&gt;3,"; and "&amp;(CE101-3)&amp;" more",""),3,999))</f>
        <v/>
      </c>
      <c r="FD101" s="22">
        <f t="shared" si="181"/>
        <v>0</v>
      </c>
      <c r="FE101" s="22">
        <f t="shared" si="182"/>
        <v>0</v>
      </c>
      <c r="FF101" s="22">
        <f t="shared" si="183"/>
        <v>0</v>
      </c>
      <c r="FG101" s="22">
        <f t="shared" si="184"/>
        <v>0</v>
      </c>
      <c r="FH101" s="22">
        <f t="shared" si="185"/>
        <v>0</v>
      </c>
      <c r="FI101" s="22">
        <f t="shared" si="186"/>
        <v>0</v>
      </c>
      <c r="FJ101" s="22">
        <f t="shared" si="187"/>
        <v>0</v>
      </c>
      <c r="FK101" s="22">
        <f t="shared" si="188"/>
        <v>0</v>
      </c>
    </row>
    <row r="102" spans="1:167" x14ac:dyDescent="0.2">
      <c r="A102" s="9" t="s">
        <v>1180</v>
      </c>
      <c r="B102" s="9" t="s">
        <v>375</v>
      </c>
      <c r="C102" s="11">
        <v>1</v>
      </c>
      <c r="D102" s="9" t="s">
        <v>894</v>
      </c>
      <c r="E102" s="16" t="s">
        <v>52</v>
      </c>
      <c r="F102" s="9"/>
      <c r="G102" s="9"/>
      <c r="H102" s="9"/>
      <c r="I102" s="16"/>
      <c r="J102" s="16"/>
      <c r="K102" s="9"/>
      <c r="L102" s="16"/>
      <c r="M102" s="16"/>
      <c r="N102" s="16"/>
      <c r="O102" s="9"/>
      <c r="P102" s="14"/>
      <c r="Q102" s="14"/>
      <c r="R102" s="9"/>
      <c r="S102" s="9"/>
      <c r="T102" s="21" t="str">
        <f t="shared" si="126"/>
        <v>E_MISSING_INPUT: no result is shown</v>
      </c>
      <c r="U102" s="21" t="str">
        <f t="shared" si="127"/>
        <v>Not calculable</v>
      </c>
      <c r="V102" s="21" t="str">
        <f t="shared" si="128"/>
        <v/>
      </c>
      <c r="W102" s="21" t="str">
        <f t="shared" si="129"/>
        <v/>
      </c>
      <c r="X102" s="21" t="str">
        <f t="shared" si="130"/>
        <v/>
      </c>
      <c r="Y102" s="21" t="str">
        <f t="shared" si="131"/>
        <v/>
      </c>
      <c r="Z102" s="21" t="str">
        <f t="shared" si="132"/>
        <v>C1–C6</v>
      </c>
      <c r="AA102" s="21" t="str">
        <f t="shared" si="133"/>
        <v/>
      </c>
      <c r="AB102" s="21" t="str">
        <f t="shared" si="134"/>
        <v/>
      </c>
      <c r="AC102" s="21" t="str">
        <f t="shared" si="135"/>
        <v>E_MISSING_INPUT</v>
      </c>
      <c r="AD102" s="21" t="str">
        <f>IF(AW102=1,"",MID(IF(ISNUMBER(SEARCH("E_INVALID_DATE",EG102))," | E_INVALID_DATE: "&amp;SUBSTITUTE(IFERROR(INDEX(nMSG_Text,MATCH("E_INVALID_DATE",nMSG_Code,0)),""),"[input]",""),"")&amp;IF(ISNUMBER(SEARCH("E_REVERSED_BOUNDS",EG102))," | E_REVERSED_BOUNDS: "&amp;SUBSTITUTE(IFERROR(INDEX(nMSG_Text,MATCH("E_REVERSED_BOUNDS",nMSG_Code,0)),""),"[input]",""),"")&amp;IF(ISNUMBER(SEARCH("E_DUPLICATE_ID",EG102))," | E_DUPLICATE_ID: "&amp;SUBSTITUTE(IFERROR(INDEX(nMSG_Text,MATCH("E_DUPLICATE_ID",nMSG_Code,0)),""),"[input]",""),"")&amp;IF(ISNUMBER(SEARCH("E_MISSING_LINK",EG102))," | E_MISSING_LINK: "&amp;SUBSTITUTE(IFERROR(INDEX(nMSG_Text,MATCH("E_MISSING_LINK",nMSG_Code,0)),""),"[input]",""),"")&amp;IF(ISNUMBER(SEARCH("E_MISSING_INPUT",EG102))," | E_MISSING_INPUT: "&amp;SUBSTITUTE(IFERROR(INDEX(nMSG_Text,MATCH("E_MISSING_INPUT",nMSG_Code,0)),""),"[input]",IF(EH102="","an input",EH102)),"")&amp;IF(ISNUMBER(SEARCH("E_INVALID_UNIT",EG102))," | E_INVALID_UNIT: "&amp;SUBSTITUTE(IFERROR(INDEX(nMSG_Text,MATCH("E_INVALID_UNIT",nMSG_Code,0)),""),"[input]",""),"")&amp;IF(FD102=1," | W_TZ_UNKNOWN: "&amp;SUBSTITUTE(IFERROR(INDEX(nMSG_Text,MATCH("W_TZ_UNKNOWN",nMSG_Code,0)),""),"[input]",""),"")&amp;IF(FE102=1," | W_SAME_DATE_ORDER_UNKNOWN: "&amp;SUBSTITUTE(IFERROR(INDEX(nMSG_Text,MATCH("W_SAME_DATE_ORDER_UNKNOWN",nMSG_Code,0)),""),"[input]",""),"")&amp;IF(FF102=1," | W_SEQUENCE_UNCERTAIN: "&amp;SUBSTITUTE(IFERROR(INDEX(nMSG_Text,MATCH("W_SEQUENCE_UNCERTAIN",nMSG_Code,0)),""),"[input]",""),"")&amp;IF(FG102=1," | W_ADMIN_SAME_DATE_AS_ONSET: "&amp;SUBSTITUTE(IFERROR(INDEX(nMSG_Text,MATCH("W_ADMIN_SAME_DATE_AS_ONSET",nMSG_Code,0)),""),"[input]",""),"")&amp;IF(FH102=1," | W_REPORTED_TIMING_CONFLICT: "&amp;SUBSTITUTE(IFERROR(INDEX(nMSG_Text,MATCH("W_REPORTED_TIMING_CONFLICT",nMSG_Code,0)),""),"[input]",""),"")&amp;IF(FI102=1," | W_INTERVENTION_BEFORE_RECOVERY: "&amp;SUBSTITUTE(IFERROR(INDEX(nMSG_Text,MATCH("W_INTERVENTION_BEFORE_RECOVERY",nMSG_Code,0)),""),"[input]",""),"")&amp;IF(FJ102=1," | I_TREATMENT_DAY_UNDEFINED: "&amp;SUBSTITUTE(IFERROR(INDEX(nMSG_Text,MATCH("I_TREATMENT_DAY_UNDEFINED",nMSG_Code,0)),""),"[input]",""),"")&amp;IF(FK102=1," | I_APPROXIMATE_NOT_COMPARED: "&amp;SUBSTITUTE(IFERROR(INDEX(nMSG_Text,MATCH("I_APPROXIMATE_NOT_COMPARED",nMSG_Code,0)),""),"[input]",""),""),4,9999))</f>
        <v>E_MISSING_INPUT: This result needs the anchor record: partial-date administration AD2 could be the last dose before the end point. It is left blank rather than estimated.</v>
      </c>
      <c r="AE102" s="21" t="str">
        <f t="shared" si="136"/>
        <v/>
      </c>
      <c r="AF102" s="21" t="str">
        <f t="shared" si="137"/>
        <v/>
      </c>
      <c r="AG102" s="21" t="str">
        <f>IF(EN102="","",MID(IF(ISNUMBER(SEARCH("E_REVERSED_BOUNDS",EN102))," | E_REVERSED_BOUNDS: "&amp;SUBSTITUTE(IFERROR(INDEX(nMSG_Text,MATCH("E_REVERSED_BOUNDS",nMSG_Code,0)),""),"[input]",""),"")&amp;IF(ISNUMBER(SEARCH("E_MISSING_INPUT",EN102))," | E_MISSING_INPUT: "&amp;SUBSTITUTE(IFERROR(INDEX(nMSG_Text,MATCH("E_MISSING_INPUT",nMSG_Code,0)),""),"[input]",IF("the source of the constraint"="","an input","the source of the constraint")),""),4,999))</f>
        <v/>
      </c>
      <c r="AH102" s="21" t="str">
        <f t="shared" si="138"/>
        <v/>
      </c>
      <c r="AI102" s="21" t="str">
        <f t="shared" si="139"/>
        <v>Interval I1</v>
      </c>
      <c r="AJ102" s="21" t="str">
        <f t="shared" si="140"/>
        <v/>
      </c>
      <c r="AK102" s="21" t="str">
        <f t="shared" si="141"/>
        <v>EV1/ONSET</v>
      </c>
      <c r="AL102" s="21" t="str">
        <f>IF(CY102=0,"",INDEX(nTP_ISO,CY102))</f>
        <v/>
      </c>
      <c r="AM102" s="21" t="str">
        <f>IF(CY102=0,"",INDEX(nTP_Display,CY102))</f>
        <v/>
      </c>
      <c r="AN102" s="21" t="str">
        <f>IF(BI102=0,"",INDEX(nTP_ISO,BI102))</f>
        <v>2026-03-12</v>
      </c>
      <c r="AO102" s="21" t="str">
        <f>IF(BI102=0,"",INDEX(nTP_Display,BI102))</f>
        <v>12 March 2026</v>
      </c>
      <c r="AP102" s="21" t="str">
        <f>IF(BA102=0,"",INDEX(nLNK_Exposure_Episode_ID,BA102)&amp;"")</f>
        <v>EX1</v>
      </c>
      <c r="AQ102" s="21" t="str">
        <f>IF(BA102=0,"",INDEX(nLNK_Event_Episode_ID,BA102)&amp;"")</f>
        <v>EV1</v>
      </c>
      <c r="AR102" s="21" t="str">
        <f t="shared" si="142"/>
        <v/>
      </c>
      <c r="AS102" s="21" t="str">
        <f>IF(EI102=0,"",MID(IF(DT102=1," | Recovery interval (C7) computed with "&amp;DS102&amp;".","")&amp;IF(BG102=1," | Anchor selected under C5 (CALC-SPEC 1.1): latest administration with an exact date or time at or before "&amp;IF(BH102=1,"onset","the end point")&amp;" ("&amp;AJ102&amp;"), ordered in UTC when offsets are known; later administrations are never selected.","")&amp;IF(AND(BG102=1,CE102&gt;0)," | Partial-date administrations wholly before the selected one were not candidates: "&amp;FC102&amp;".","")&amp;IF(BV102&lt;&gt;""," | "&amp;BV102,"")&amp;IF(AND(DS102="C2",EA102=0,DZ102&lt;&gt;"")," | Same calendar date; both times are known, so C1 decides the order ("&amp;AA102&amp;").","")&amp;IF(AND(DS102="C2",DD102*BN102=1,DT102=0)," | Calendar-date difference from the recorded local dates; it is never described as elapsed days.","")&amp;IF(AND(DS102="C4",DT102=0)," | Bounds are treated as independent; no single date is imputed from them.","")&amp;IF(EJ102=1," | Treatment day under the inclusive convention (C3); never written to E2B fields automatically.","")&amp;IF(AND(DS102="C4",DT102=0,EK102=0)," | No constraint applied.","")&amp;IF(AND(DS102="C4",EK102=1)," | Constraint applied to the anchor bounds: "&amp;IF(ISNUMBER(P102),"not before "&amp;DAY(P102)&amp;" "&amp;INDEX(nLIST_Months,MONTH(P102))&amp;" "&amp;YEAR(P102),"")&amp;IF(AND(ISNUMBER(P102),ISNUMBER(Q102)),", ","")&amp;IF(ISNUMBER(Q102),"not after "&amp;DAY(Q102)&amp;" "&amp;INDEX(nLIST_Months,MONTH(Q102))&amp;" "&amp;YEAR(Q102),"")&amp;". Source: "&amp;IF(R102="","not recorded",R102)&amp;IF(EN102="",". Constrained result shown beside the unconstrained one.",". Constrained result blocked ("&amp;EN102&amp;")."),"")&amp;IF(DT102=1,IF(EO102&gt;0," | Intervention recorded between cessation and recovery (ends included): "&amp;EZ102&amp;"."," | No intervention is recorded between cessation and recovery; absence of a record is not evidence that none was given."),"")&amp;IF(AND(DT102=1,DV102&gt;0)," | Intervention recorded without a date, so whether it came before recovery is unknown: "&amp;INDEX(nMS_Milestone_ID,MATCH(1,INDEX((nMS_CaseKey=AX102)*(nMS_Type="INTERVENTION")*nMS_Undated,0),0))&amp;IF(DV102&gt;1," and "&amp;(DV102-1)&amp;" more","")&amp;".","")&amp;IF(AND(DT102=1,EP102&gt;0)," | Not counted as interventions, because they are recorded as exposures rather than as intervention milestones (nothing is inferred): "&amp;FB102&amp;". If treatment was given, record it as an intervention milestone.",""),4,9999))</f>
        <v/>
      </c>
      <c r="AT102" s="21" t="str">
        <f t="shared" si="143"/>
        <v/>
      </c>
      <c r="AU102" s="21" t="str">
        <f t="shared" si="144"/>
        <v/>
      </c>
      <c r="AV102" s="21" t="str">
        <f t="shared" si="145"/>
        <v>CALC-SPEC 1.1</v>
      </c>
      <c r="AW102" s="22">
        <f t="shared" si="146"/>
        <v>0</v>
      </c>
      <c r="AX102" s="21" t="str">
        <f t="shared" si="147"/>
        <v>VEC-V34|1</v>
      </c>
      <c r="AY102" s="21" t="str">
        <f t="shared" si="148"/>
        <v>VEC-V34|1|I1</v>
      </c>
      <c r="AZ102" s="22">
        <f>IF(AY102="",0,COUNTIF(nINT_Key,AY102))</f>
        <v>1</v>
      </c>
      <c r="BA102" s="22">
        <f>IF(D102="",0,IFERROR(MATCH(AX102&amp;"|"&amp;D102,nLNK_Key,0),0))</f>
        <v>49</v>
      </c>
      <c r="BB102" s="22">
        <f>IF(BA102=0,1,INDEX(nLNK_Exp_Found,BA102))</f>
        <v>1</v>
      </c>
      <c r="BC102" s="22">
        <f>IF(BA102=0,1,INDEX(nLNK_Evt_Found,BA102))</f>
        <v>1</v>
      </c>
      <c r="BD102" s="22">
        <f>IF(AP102="",0,COUNTIF(nEXP_Key,AX102&amp;"|"&amp;AP102))</f>
        <v>1</v>
      </c>
      <c r="BE102" s="22">
        <f>IF(AQ102="",0,COUNTIF(nEVT_Key,AX102&amp;"|"&amp;AQ102))</f>
        <v>1</v>
      </c>
      <c r="BF102" s="22">
        <f>IF(ISNA(MATCH(E102,nLIST_AnchorType,0)),0,1)</f>
        <v>1</v>
      </c>
      <c r="BG102" s="22">
        <f t="shared" si="149"/>
        <v>1</v>
      </c>
      <c r="BH102" s="22">
        <f t="shared" si="150"/>
        <v>1</v>
      </c>
      <c r="BI102" s="22">
        <f>IF(OR(AW102=1,AK102=""),0,IFERROR(MATCH(AX102&amp;"|"&amp;AK102,nTP_Key,0),0))</f>
        <v>338</v>
      </c>
      <c r="BJ102" s="21">
        <f>IF(BI102=0,0,INDEX(nTP_Dup,BI102))</f>
        <v>1</v>
      </c>
      <c r="BK102" s="21" t="str">
        <f>IF(BI102=0,"",INDEX(nTP_Record_Type,BI102))</f>
        <v>EVENT_ONSET</v>
      </c>
      <c r="BL102" s="21" t="str">
        <f>IF(BI102=0,"",INDEX(nTP_Precision,BI102))</f>
        <v>DATE</v>
      </c>
      <c r="BM102" s="21" t="str">
        <f>IF(BI102=0,"",INDEX(nTP_Err,BI102))</f>
        <v/>
      </c>
      <c r="BN102" s="21">
        <f>IF(BI102=0,0,INDEX(nTP_HT,BI102))</f>
        <v>0</v>
      </c>
      <c r="BO102" s="21">
        <f>IF(BI102=0,0,INDEX(nTP_OK,BI102))</f>
        <v>0</v>
      </c>
      <c r="BP102" s="21" t="str">
        <f>IF(BI102=0,"",INDEX(nTP_Loc,BI102))</f>
        <v/>
      </c>
      <c r="BQ102" s="21" t="str">
        <f>IF(BI102=0,"",INDEX(nTP_UTC,BI102))</f>
        <v/>
      </c>
      <c r="BR102" s="21">
        <f>IF(BI102=0,"",INDEX(nTP_Lo,BI102))</f>
        <v>46093</v>
      </c>
      <c r="BS102" s="21">
        <f>IF(BI102=0,"",INDEX(nTP_Hi,BI102))</f>
        <v>46093</v>
      </c>
      <c r="BT102" s="21" t="str">
        <f>IF(BI102=0,"",INDEX(nTP_Original_Text,BI102))</f>
        <v>2026-03-12</v>
      </c>
      <c r="BU102" s="21" t="str">
        <f>IF(BI102=0,"",INDEX(nTP_Source,BI102))</f>
        <v>tto_calc_test_vectors_v1.1.json V34</v>
      </c>
      <c r="BV102" s="21" t="str">
        <f>IF(BI102=0,"",INDEX(nTP_Lab_Note,BI102))</f>
        <v/>
      </c>
      <c r="BW102" s="22">
        <f t="shared" si="151"/>
        <v>1</v>
      </c>
      <c r="BX102" s="21" t="str">
        <f t="shared" si="152"/>
        <v>VEC-V34|1|EX1</v>
      </c>
      <c r="BY102" s="22">
        <f>IF(BG102=0,0,COUNTIF(nTP_CandKey,BX102))</f>
        <v>2</v>
      </c>
      <c r="BZ102" s="22">
        <f>IF(BG102=0,0,COUNTIFS(nTP_CandKey,BX102,nTP_Err,""))</f>
        <v>2</v>
      </c>
      <c r="CA102" s="21" t="str">
        <f>IF(BY102=BZ102,"",IF(COUNTIFS(nTP_CandKey,BX102,nTP_Err,"E_INVALID_DATE")&gt;0,"; E_INVALID_DATE","")&amp;IF(COUNTIFS(nTP_CandKey,BX102,nTP_Err,"E_REVERSED_BOUNDS")&gt;0,"; E_REVERSED_BOUNDS","")&amp;IF(COUNTIFS(nTP_CandKey,BX102,nTP_Err,"E_MISSING_INPUT")&gt;0,"; E_MISSING_INPUT","")&amp;IF(COUNTIFS(nTP_CandKey,BX102,nTP_Err,"E_INVALID_UNIT")&gt;0,"; E_INVALID_UNIT",""))</f>
        <v/>
      </c>
      <c r="CB102" s="22">
        <f t="shared" si="153"/>
        <v>1</v>
      </c>
      <c r="CC102" s="22">
        <f>IF(CB102=0,0,SUMPRODUCT((nTP_CandKey=BX102)*(nTP_Err="")*(1-(nTP_HT*BN102*((nTP_OK*BO102*(nTP_UTC_n-N(BQ102))+(1-nTP_OK*BO102)*(nTP_Loc_n-N(BP102)))&lt;=0)+(1-nTP_HT*BN102)*(nTP_Hi_n&lt;N(BR102)))-(nTP_HT*BN102*((nTP_OK*BO102*(nTP_UTC_n-N(BQ102))+(1-nTP_OK*BO102)*(nTP_Loc_n-N(BP102)))&gt;0)+(1-nTP_HT*BN102)*(nTP_Lo_n&gt;N(BS102)))-((1-nTP_HT*BN102)*(nTP_Lo_n=nTP_Hi_n)*(nTP_Lo_n=N(BR102))*(N(BR102)=N(BS102))))))</f>
        <v>0</v>
      </c>
      <c r="CD102" s="22">
        <f>IF(CB102=0,0,SUMPRODUCT((nTP_CandKey=BX102)*nTP_Exact*((nTP_HT*BN102*((nTP_OK*BO102*(nTP_UTC_n-N(BQ102))+(1-nTP_OK*BO102)*(nTP_Loc_n-N(BP102)))&lt;=0)+(1-nTP_HT*BN102)*(nTP_Hi_n&lt;N(BR102)))+((1-nTP_HT*BN102)*(nTP_Lo_n=nTP_Hi_n)*(nTP_Lo_n=N(BR102))*(N(BR102)=N(BS102))))))</f>
        <v>1</v>
      </c>
      <c r="CE102" s="22">
        <f>IF(CB102=0,0,SUMPRODUCT((nTP_CandKey=BX102)*(nTP_Err="")*(1-nTP_Exact)*((nTP_HT*BN102*((nTP_OK*BO102*(nTP_UTC_n-N(BQ102))+(1-nTP_OK*BO102)*(nTP_Loc_n-N(BP102)))&lt;=0)+(1-nTP_HT*BN102)*(nTP_Hi_n&lt;N(BR102)))+((1-nTP_HT*BN102)*(nTP_Lo_n=nTP_Hi_n)*(nTP_Lo_n=N(BR102))*(N(BR102)=N(BS102))))))</f>
        <v>1</v>
      </c>
      <c r="CF102" s="22">
        <f>IF(CD102=0,0,SUMPRODUCT(MAX((nTP_CandKey=BX102)*nTP_Exact*((nTP_HT*BN102*((nTP_OK*BO102*(nTP_UTC_n-N(BQ102))+(1-nTP_OK*BO102)*(nTP_Loc_n-N(BP102)))&lt;=0)+(1-nTP_HT*BN102)*(nTP_Hi_n&lt;N(BR102)))+((1-nTP_HT*BN102)*(nTP_Lo_n=nTP_Hi_n)*(nTP_Lo_n=N(BR102))*(N(BR102)=N(BS102))))*nTP_Lo_n)))</f>
        <v>46082</v>
      </c>
      <c r="CG102" s="22">
        <f>IF(CD102=0,0,SUMPRODUCT((nTP_CandKey=BX102)*nTP_Exact*((nTP_HT*BN102*((nTP_OK*BO102*(nTP_UTC_n-N(BQ102))+(1-nTP_OK*BO102)*(nTP_Loc_n-N(BP102)))&lt;=0)+(1-nTP_HT*BN102)*(nTP_Hi_n&lt;N(BR102)))+((1-nTP_HT*BN102)*(nTP_Lo_n=nTP_Hi_n)*(nTP_Lo_n=N(BR102))*(N(BR102)=N(BS102))))*(nTP_Lo_n=CF102)))</f>
        <v>1</v>
      </c>
      <c r="CH102" s="22">
        <f>IF(CD102=0,0,SUMPRODUCT((nTP_CandKey=BX102)*nTP_Exact*((nTP_HT*BN102*((nTP_OK*BO102*(nTP_UTC_n-N(BQ102))+(1-nTP_OK*BO102)*(nTP_Loc_n-N(BP102)))&lt;=0)+(1-nTP_HT*BN102)*(nTP_Hi_n&lt;N(BR102)))+((1-nTP_HT*BN102)*(nTP_Lo_n=nTP_Hi_n)*(nTP_Lo_n=N(BR102))*(N(BR102)=N(BS102))))*(1-nTP_HT)*(nTP_Lo_n=CF102)))</f>
        <v>1</v>
      </c>
      <c r="CI102" s="22">
        <f>IF(CD102=0,0,SUMPRODUCT(MAX((nTP_CandKey=BX102)*nTP_Exact*((nTP_HT*BN102*((nTP_OK*BO102*(nTP_UTC_n-N(BQ102))+(1-nTP_OK*BO102)*(nTP_Loc_n-N(BP102)))&lt;=0)+(1-nTP_HT*BN102)*(nTP_Hi_n&lt;N(BR102)))+((1-nTP_HT*BN102)*(nTP_Lo_n=nTP_Hi_n)*(nTP_Lo_n=N(BR102))*(N(BR102)=N(BS102))))*(1-nTP_HT)*nTP_Lo_n)))</f>
        <v>46082</v>
      </c>
      <c r="CJ102" s="22">
        <f>IF(CD102=0,0,SUMPRODUCT(MAX((nTP_CandKey=BX102)*nTP_Exact*((nTP_HT*BN102*((nTP_OK*BO102*(nTP_UTC_n-N(BQ102))+(1-nTP_OK*BO102)*(nTP_Loc_n-N(BP102)))&lt;=0)+(1-nTP_HT*BN102)*(nTP_Hi_n&lt;N(BR102)))+((1-nTP_HT*BN102)*(nTP_Lo_n=nTP_Hi_n)*(nTP_Lo_n=N(BR102))*(N(BR102)=N(BS102))))*nTP_HT*nTP_OK*nTP_UTC_n)))</f>
        <v>0</v>
      </c>
      <c r="CK102" s="22">
        <f>IF(CJ102=0,0,SUMPRODUCT((nTP_CandKey=BX102)*nTP_Exact*((nTP_HT*BN102*((nTP_OK*BO102*(nTP_UTC_n-N(BQ102))+(1-nTP_OK*BO102)*(nTP_Loc_n-N(BP102)))&lt;=0)+(1-nTP_HT*BN102)*(nTP_Hi_n&lt;N(BR102)))+((1-nTP_HT*BN102)*(nTP_Lo_n=nTP_Hi_n)*(nTP_Lo_n=N(BR102))*(N(BR102)=N(BS102))))*nTP_HT*nTP_OK*(nTP_UTC_n=CJ102)))</f>
        <v>0</v>
      </c>
      <c r="CL102" s="22">
        <f>IF(CK102&lt;&gt;1,0,SUMPRODUCT((nTP_CandKey=BX102)*nTP_Exact*((nTP_HT*BN102*((nTP_OK*BO102*(nTP_UTC_n-N(BQ102))+(1-nTP_OK*BO102)*(nTP_Loc_n-N(BP102)))&lt;=0)+(1-nTP_HT*BN102)*(nTP_Hi_n&lt;N(BR102)))+((1-nTP_HT*BN102)*(nTP_Lo_n=nTP_Hi_n)*(nTP_Lo_n=N(BR102))*(N(BR102)=N(BS102))))*nTP_HT*nTP_OK*(nTP_UTC_n=CJ102)*nTP_Loc_n))</f>
        <v>0</v>
      </c>
      <c r="CM102" s="22">
        <f>IF(CK102&lt;&gt;1,0,SUMPRODUCT((nTP_CandKey=BX102)*nTP_Exact*((nTP_HT*BN102*((nTP_OK*BO102*(nTP_UTC_n-N(BQ102))+(1-nTP_OK*BO102)*(nTP_Loc_n-N(BP102)))&lt;=0)+(1-nTP_HT*BN102)*(nTP_Hi_n&lt;N(BR102)))+((1-nTP_HT*BN102)*(nTP_Lo_n=nTP_Hi_n)*(nTP_Lo_n=N(BR102))*(N(BR102)=N(BS102))))*nTP_HT*nTP_OK*(nTP_UTC_n=CJ102)*nTP_Lo_n))</f>
        <v>0</v>
      </c>
      <c r="CN102" s="22">
        <f>IF(CD102=0,0,SUMPRODUCT(MAX((nTP_CandKey=BX102)*nTP_Exact*((nTP_HT*BN102*((nTP_OK*BO102*(nTP_UTC_n-N(BQ102))+(1-nTP_OK*BO102)*(nTP_Loc_n-N(BP102)))&lt;=0)+(1-nTP_HT*BN102)*(nTP_Hi_n&lt;N(BR102)))+((1-nTP_HT*BN102)*(nTP_Lo_n=nTP_Hi_n)*(nTP_Lo_n=N(BR102))*(N(BR102)=N(BS102))))*nTP_HT*(1-nTP_OK)*nTP_Loc_n)))</f>
        <v>0</v>
      </c>
      <c r="CO102" s="22">
        <f>IF(CN102=0,0,SUMPRODUCT((nTP_CandKey=BX102)*nTP_Exact*((nTP_HT*BN102*((nTP_OK*BO102*(nTP_UTC_n-N(BQ102))+(1-nTP_OK*BO102)*(nTP_Loc_n-N(BP102)))&lt;=0)+(1-nTP_HT*BN102)*(nTP_Hi_n&lt;N(BR102)))+((1-nTP_HT*BN102)*(nTP_Lo_n=nTP_Hi_n)*(nTP_Lo_n=N(BR102))*(N(BR102)=N(BS102))))*nTP_HT*(1-nTP_OK)*(nTP_Loc_n=CN102)))</f>
        <v>0</v>
      </c>
      <c r="CP102" s="22">
        <f>IF(CO102&lt;&gt;1,0,SUMPRODUCT((nTP_CandKey=BX102)*nTP_Exact*((nTP_HT*BN102*((nTP_OK*BO102*(nTP_UTC_n-N(BQ102))+(1-nTP_OK*BO102)*(nTP_Loc_n-N(BP102)))&lt;=0)+(1-nTP_HT*BN102)*(nTP_Hi_n&lt;N(BR102)))+((1-nTP_HT*BN102)*(nTP_Lo_n=nTP_Hi_n)*(nTP_Lo_n=N(BR102))*(N(BR102)=N(BS102))))*nTP_HT*(1-nTP_OK)*(nTP_Loc_n=CN102)*nTP_Lo_n))</f>
        <v>0</v>
      </c>
      <c r="CQ102" s="22">
        <f>IF(CD102=0,0,SUMPRODUCT(MAX((nTP_CandKey=BX102)*nTP_Exact*((nTP_HT*BN102*((nTP_OK*BO102*(nTP_UTC_n-N(BQ102))+(1-nTP_OK*BO102)*(nTP_Loc_n-N(BP102)))&lt;=0)+(1-nTP_HT*BN102)*(nTP_Hi_n&lt;N(BR102)))+((1-nTP_HT*BN102)*(nTP_Lo_n=nTP_Hi_n)*(nTP_Lo_n=N(BR102))*(N(BR102)=N(BS102))))*nTP_HT*nTP_OK*nTP_Loc_n)))</f>
        <v>0</v>
      </c>
      <c r="CR102" s="22">
        <f t="shared" si="154"/>
        <v>1</v>
      </c>
      <c r="CS102" s="22">
        <f>IF(CR102=0,0,IF(CR102=1,MATCH(1,INDEX((nTP_CandKey=BX102)*nTP_Exact*((nTP_HT*BN102*((nTP_OK*BO102*(nTP_UTC_n-N(BQ102))+(1-nTP_OK*BO102)*(nTP_Loc_n-N(BP102)))&lt;=0)+(1-nTP_HT*BN102)*(nTP_Hi_n&lt;N(BR102)))+((1-nTP_HT*BN102)*(nTP_Lo_n=nTP_Hi_n)*(nTP_Lo_n=N(BR102))*(N(BR102)=N(BS102))))*(1-nTP_HT)*(nTP_Lo_n=CF102),0),0),IF(CR102=2,MATCH(1,INDEX((nTP_CandKey=BX102)*nTP_Exact*((nTP_HT*BN102*((nTP_OK*BO102*(nTP_UTC_n-N(BQ102))+(1-nTP_OK*BO102)*(nTP_Loc_n-N(BP102)))&lt;=0)+(1-nTP_HT*BN102)*(nTP_Hi_n&lt;N(BR102)))+((1-nTP_HT*BN102)*(nTP_Lo_n=nTP_Hi_n)*(nTP_Lo_n=N(BR102))*(N(BR102)=N(BS102))))*nTP_HT*nTP_OK*(nTP_UTC_n=CJ102),0),0),MATCH(1,INDEX((nTP_CandKey=BX102)*nTP_Exact*((nTP_HT*BN102*((nTP_OK*BO102*(nTP_UTC_n-N(BQ102))+(1-nTP_OK*BO102)*(nTP_Loc_n-N(BP102)))&lt;=0)+(1-nTP_HT*BN102)*(nTP_Hi_n&lt;N(BR102)))+((1-nTP_HT*BN102)*(nTP_Lo_n=nTP_Hi_n)*(nTP_Lo_n=N(BR102))*(N(BR102)=N(BS102))))*nTP_HT*(1-nTP_OK)*(nTP_Loc_n=CN102),0),0))))</f>
        <v>70</v>
      </c>
      <c r="CT102" s="22">
        <f>IF(CS102=0,0,INDEX(nTP_Lo_n,CS102))</f>
        <v>46082</v>
      </c>
      <c r="CU102" s="22">
        <f>IF(CS102=0,0,SUMPRODUCT((nTP_CandKey=BX102)*(nTP_Err="")*(1-nTP_Exact)*((nTP_HT*BN102*((nTP_OK*BO102*(nTP_UTC_n-N(BQ102))+(1-nTP_OK*BO102)*(nTP_Loc_n-N(BP102)))&lt;=0)+(1-nTP_HT*BN102)*(nTP_Hi_n&lt;N(BR102)))+((1-nTP_HT*BN102)*(nTP_Lo_n=nTP_Hi_n)*(nTP_Lo_n=N(BR102))*(N(BR102)=N(BS102))))*(nTP_Hi_n&gt;=CT102)))</f>
        <v>1</v>
      </c>
      <c r="CV102" s="21" t="str">
        <f t="shared" si="155"/>
        <v>partial</v>
      </c>
      <c r="CW102" s="21" t="str">
        <f>IF(AND(BG102=1,CB102=1,CV102="",CS102&gt;0),INDEX(nTP_Record_ID,CS102)&amp;"","")</f>
        <v/>
      </c>
      <c r="CX102" s="21" t="str">
        <f>IF(OR(CV102="",BG102=0),"",IF(CV102="none","an administration record (last dose before onset)",IF(CV102="uncertain","the anchor record: "&amp;INDEX(nTP_Record_ID,MATCH(1,INDEX((nTP_CandKey=BX102)*(nTP_Err="")*(1-(nTP_HT*BN102*((nTP_OK*BO102*(nTP_UTC_n-N(BQ102))+(1-nTP_OK*BO102)*(nTP_Loc_n-N(BP102)))&lt;=0)+(1-nTP_HT*BN102)*(nTP_Hi_n&lt;N(BR102)))-(nTP_HT*BN102*((nTP_OK*BO102*(nTP_UTC_n-N(BQ102))+(1-nTP_OK*BO102)*(nTP_Loc_n-N(BP102)))&gt;0)+(1-nTP_HT*BN102)*(nTP_Lo_n&gt;N(BS102)))-((1-nTP_HT*BN102)*(nTP_Lo_n=nTP_Hi_n)*(nTP_Lo_n=N(BR102))*(N(BR102)=N(BS102)))),0),0))&amp;IF(CC102&gt;1," and "&amp;(CC102-1)&amp;" more","")&amp;" may fall before or after the end point, so the last dose cannot be identified from the recorded dates",IF(CV102="noneligible","the anchor record: no administration with an exact date is recorded at or before the end point",IF(CV102="tie","the anchor record: the order of the latest administrations cannot be told from the recorded dates and times","the anchor record: partial-date administration "&amp;INDEX(nTP_Record_ID,MATCH(1,INDEX((nTP_CandKey=BX102)*(nTP_Err="")*(1-nTP_Exact)*((nTP_HT*BN102*((nTP_OK*BO102*(nTP_UTC_n-N(BQ102))+(1-nTP_OK*BO102)*(nTP_Loc_n-N(BP102)))&lt;=0)+(1-nTP_HT*BN102)*(nTP_Hi_n&lt;N(BR102)))+((1-nTP_HT*BN102)*(nTP_Lo_n=nTP_Hi_n)*(nTP_Lo_n=N(BR102))*(N(BR102)=N(BS102))))*(nTP_Hi_n&gt;=CT102),0),0))&amp;" could be the last dose before the end point")))))</f>
        <v>the anchor record: partial-date administration AD2 could be the last dose before the end point</v>
      </c>
      <c r="CY102" s="22">
        <f>IF(OR(AW102=1,AJ102=""),0,IFERROR(MATCH(AX102&amp;"|"&amp;AJ102,nTP_Key,0),0))</f>
        <v>0</v>
      </c>
      <c r="CZ102" s="21">
        <f>IF(CY102=0,0,INDEX(nTP_Dup,CY102))</f>
        <v>0</v>
      </c>
      <c r="DA102" s="21" t="str">
        <f>IF(CY102=0,"",INDEX(nTP_Record_Type,CY102))</f>
        <v/>
      </c>
      <c r="DB102" s="21" t="str">
        <f>IF(CY102=0,"",INDEX(nTP_Precision,CY102))</f>
        <v/>
      </c>
      <c r="DC102" s="21" t="str">
        <f>IF(CY102=0,"",INDEX(nTP_Err,CY102))</f>
        <v/>
      </c>
      <c r="DD102" s="21">
        <f>IF(CY102=0,0,INDEX(nTP_HT,CY102))</f>
        <v>0</v>
      </c>
      <c r="DE102" s="21">
        <f>IF(CY102=0,0,INDEX(nTP_OK,CY102))</f>
        <v>0</v>
      </c>
      <c r="DF102" s="21" t="str">
        <f>IF(CY102=0,"",INDEX(nTP_Loc,CY102))</f>
        <v/>
      </c>
      <c r="DG102" s="21" t="str">
        <f>IF(CY102=0,"",INDEX(nTP_UTC,CY102))</f>
        <v/>
      </c>
      <c r="DH102" s="21" t="str">
        <f>IF(CY102=0,"",INDEX(nTP_Lo,CY102))</f>
        <v/>
      </c>
      <c r="DI102" s="21" t="str">
        <f>IF(CY102=0,"",INDEX(nTP_Hi,CY102))</f>
        <v/>
      </c>
      <c r="DJ102" s="21" t="str">
        <f>IF(CY102=0,"",INDEX(nTP_Original_Text,CY102))</f>
        <v/>
      </c>
      <c r="DK102" s="21" t="str">
        <f>IF(CY102=0,"",INDEX(nTP_Source,CY102))</f>
        <v/>
      </c>
      <c r="DL102" s="22">
        <f t="shared" si="156"/>
        <v>0</v>
      </c>
      <c r="DM102" s="21" t="str">
        <f t="shared" si="157"/>
        <v>; E_MISSING_INPUT</v>
      </c>
      <c r="DN102" s="21" t="str">
        <f t="shared" si="158"/>
        <v>the anchor record: partial-date administration AD2 could be the last dose before the end point</v>
      </c>
      <c r="DO102" s="21" t="str">
        <f t="shared" si="159"/>
        <v/>
      </c>
      <c r="DP102" s="21" t="str">
        <f t="shared" si="160"/>
        <v/>
      </c>
      <c r="DQ102" s="21" t="str">
        <f t="shared" si="161"/>
        <v/>
      </c>
      <c r="DR102" s="22">
        <f>IF(OR(DQ102="",I102=""),0,IF(ISNA(MATCH(I102,nLIST_Mode,0)),1,IF(AND(I102="C1",DQ102&lt;&gt;"C1"),1,IF(AND(I102="C2",DQ102="C4"),1,0))))</f>
        <v>0</v>
      </c>
      <c r="DS102" s="21" t="str">
        <f t="shared" si="162"/>
        <v/>
      </c>
      <c r="DT102" s="22">
        <f t="shared" si="163"/>
        <v>0</v>
      </c>
      <c r="DU102" s="21" t="str">
        <f>IF(DT102=0,"",IF(COUNTIFS(nTP_Case_Key,AX102,nTP_Record_Type,"MILESTONE:INTERVENTION",nTP_Err,"E_INVALID_DATE")&gt;0,"; E_INVALID_DATE","")&amp;IF(COUNTIFS(nTP_Case_Key,AX102,nTP_Record_Type,"MILESTONE:INTERVENTION",nTP_Err,"E_REVERSED_BOUNDS")&gt;0,"; E_REVERSED_BOUNDS","")&amp;IF(COUNTIFS(nTP_Case_Key,AX102,nTP_Record_Type,"MILESTONE:INTERVENTION",nTP_Err,"E_MISSING_INPUT")&gt;0,"; E_MISSING_INPUT","")&amp;IF(COUNTIFS(nTP_Case_Key,AX102,nTP_Record_Type,"MILESTONE:INTERVENTION",nTP_Err,"E_INVALID_UNIT")&gt;0,"; E_INVALID_UNIT",""))</f>
        <v/>
      </c>
      <c r="DV102" s="22">
        <f>IF(DT102=0,0,SUMPRODUCT((nMS_CaseKey=AX102)*(nMS_Type="INTERVENTION")*nMS_Undated))</f>
        <v>0</v>
      </c>
      <c r="DW102" s="21" t="str">
        <f t="shared" si="164"/>
        <v>; E_MISSING_INPUT</v>
      </c>
      <c r="DX102" s="21" t="str">
        <f t="shared" si="165"/>
        <v>E_MISSING_INPUT</v>
      </c>
      <c r="DY102" s="22">
        <f t="shared" si="166"/>
        <v>1</v>
      </c>
      <c r="DZ102" s="21" t="str">
        <f t="shared" si="167"/>
        <v/>
      </c>
      <c r="EA102" s="21" t="str">
        <f t="shared" si="168"/>
        <v/>
      </c>
      <c r="EB102" s="21" t="str">
        <f t="shared" si="169"/>
        <v/>
      </c>
      <c r="EC102" s="21" t="str">
        <f t="shared" si="170"/>
        <v/>
      </c>
      <c r="ED102" s="22">
        <f t="shared" si="171"/>
        <v>0</v>
      </c>
      <c r="EE102" s="22">
        <f t="shared" si="172"/>
        <v>0</v>
      </c>
      <c r="EF102" s="21" t="str">
        <f>IF(ED102=0,"",IF(OR(NOT(ISNUMBER(L102)),NOT(ISNUMBER(M102))),"I_APPROXIMATE_NOT_COMPARED",IF(AND(N102&lt;&gt;"",ISNA(MATCH(N102,nLIST_ReportedUnit,0))),"E_INVALID_UNIT",IF(N102="","E_MISSING_INPUT",IF(L102&gt;M102,"E_REVERSED_BOUNDS",IF(OR(N102="weeks",N102="months",N102="years"),"I_APPROXIMATE_NOT_COMPARED",IF(DX102&lt;&gt;"","",IF(EE102=0,"I_APPROXIMATE_NOT_COMPARED",IF(AND(L102*EE102&lt;=IF(DS102="C4",EC102,IF(DS102="C1",DZ102,EA102)),M102*EE102&gt;=IF(DS102="C4",EB102,IF(DS102="C1",DZ102,EA102))),"OVERLAP","W_REPORTED_TIMING_CONFLICT")))))))))</f>
        <v/>
      </c>
      <c r="EG102" s="21" t="str">
        <f t="shared" si="173"/>
        <v>E_MISSING_INPUT</v>
      </c>
      <c r="EH102" s="21" t="str">
        <f t="shared" si="174"/>
        <v>the anchor record: partial-date administration AD2 could be the last dose before the end point</v>
      </c>
      <c r="EI102" s="22">
        <f t="shared" si="175"/>
        <v>0</v>
      </c>
      <c r="EJ102" s="22">
        <f t="shared" si="176"/>
        <v>0</v>
      </c>
      <c r="EK102" s="22">
        <f t="shared" si="177"/>
        <v>0</v>
      </c>
      <c r="EL102" s="28" t="str">
        <f t="shared" si="178"/>
        <v/>
      </c>
      <c r="EM102" s="28" t="str">
        <f t="shared" si="179"/>
        <v/>
      </c>
      <c r="EN102" s="21" t="str">
        <f t="shared" si="180"/>
        <v/>
      </c>
      <c r="EO102" s="22">
        <f>IF(OR(DT102=0,DX102&lt;&gt;""),0,SUMPRODUCT((nTP_Case_Key=AX102)*(nTP_Record_Type="MILESTONE:INTERVENTION")*(nTP_Err="")*(nTP_HT*DD102*BN102*(nTP_OK*DE102*(nTP_UTC_n&gt;=N(DG102))+(1-nTP_OK*DE102)*(nTP_Loc_n&gt;=N(DF102)))*(nTP_OK*BO102*(nTP_UTC_n&lt;=N(BQ102))+(1-nTP_OK*BO102)*(nTP_Loc_n&lt;=N(BP102)))+(1-nTP_HT*DD102*BN102)*(nTP_Hi_n&gt;=N(DH102))*(nTP_Lo_n&lt;=N(BS102)))))</f>
        <v>0</v>
      </c>
      <c r="EP102" s="22">
        <f>IF(OR(DT102=0,DX102&lt;&gt;""),0,SUMPRODUCT((nTP_Case_Key=AX102)*(nTP_Role="treatment of the event")*((nTP_Record_Type="EXPOSURE_START")+(nTP_Record_Type="ADMINISTRATION"))*(nTP_Err="")*(nTP_HT*DD102*BN102*(nTP_OK*DE102*(nTP_UTC_n&gt;=N(DG102))+(1-nTP_OK*DE102)*(nTP_Loc_n&gt;=N(DF102)))*(nTP_OK*BO102*(nTP_UTC_n&lt;=N(BQ102))+(1-nTP_OK*BO102)*(nTP_Loc_n&lt;=N(BP102)))+(1-nTP_HT*DD102*BN102)*(nTP_Hi_n&gt;=N(DH102))*(nTP_Lo_n&lt;=N(BS102)))))</f>
        <v>0</v>
      </c>
      <c r="EQ102" s="22">
        <f>IF(EO102&lt;1,0,IFERROR(_xlfn.AGGREGATE(15,6,nTP_RowN/((nTP_Case_Key=AX102)*(nTP_Record_Type="MILESTONE:INTERVENTION")*(nTP_Err="")*(nTP_HT*DD102*BN102*(nTP_OK*DE102*(nTP_UTC_n&gt;=N(DG102))+(1-nTP_OK*DE102)*(nTP_Loc_n&gt;=N(DF102)))*(nTP_OK*BO102*(nTP_UTC_n&lt;=N(BQ102))+(1-nTP_OK*BO102)*(nTP_Loc_n&lt;=N(BP102)))+(1-nTP_HT*DD102*BN102)*(nTP_Hi_n&gt;=N(DH102))*(nTP_Lo_n&lt;=N(BS102)))),1),0))</f>
        <v>0</v>
      </c>
      <c r="ER102" s="22">
        <f>IF(EO102&lt;2,0,IFERROR(_xlfn.AGGREGATE(15,6,nTP_RowN/((nTP_Case_Key=AX102)*(nTP_Record_Type="MILESTONE:INTERVENTION")*(nTP_Err="")*(nTP_HT*DD102*BN102*(nTP_OK*DE102*(nTP_UTC_n&gt;=N(DG102))+(1-nTP_OK*DE102)*(nTP_Loc_n&gt;=N(DF102)))*(nTP_OK*BO102*(nTP_UTC_n&lt;=N(BQ102))+(1-nTP_OK*BO102)*(nTP_Loc_n&lt;=N(BP102)))+(1-nTP_HT*DD102*BN102)*(nTP_Hi_n&gt;=N(DH102))*(nTP_Lo_n&lt;=N(BS102)))),2),0))</f>
        <v>0</v>
      </c>
      <c r="ES102" s="22">
        <f>IF(EO102&lt;3,0,IFERROR(_xlfn.AGGREGATE(15,6,nTP_RowN/((nTP_Case_Key=AX102)*(nTP_Record_Type="MILESTONE:INTERVENTION")*(nTP_Err="")*(nTP_HT*DD102*BN102*(nTP_OK*DE102*(nTP_UTC_n&gt;=N(DG102))+(1-nTP_OK*DE102)*(nTP_Loc_n&gt;=N(DF102)))*(nTP_OK*BO102*(nTP_UTC_n&lt;=N(BQ102))+(1-nTP_OK*BO102)*(nTP_Loc_n&lt;=N(BP102)))+(1-nTP_HT*DD102*BN102)*(nTP_Hi_n&gt;=N(DH102))*(nTP_Lo_n&lt;=N(BS102)))),3),0))</f>
        <v>0</v>
      </c>
      <c r="ET102" s="22">
        <f>IF(EP102&lt;1,0,IFERROR(_xlfn.AGGREGATE(15,6,nTP_RowN/((nTP_Case_Key=AX102)*(nTP_Role="treatment of the event")*((nTP_Record_Type="EXPOSURE_START")+(nTP_Record_Type="ADMINISTRATION"))*(nTP_Err="")*(nTP_HT*DD102*BN102*(nTP_OK*DE102*(nTP_UTC_n&gt;=N(DG102))+(1-nTP_OK*DE102)*(nTP_Loc_n&gt;=N(DF102)))*(nTP_OK*BO102*(nTP_UTC_n&lt;=N(BQ102))+(1-nTP_OK*BO102)*(nTP_Loc_n&lt;=N(BP102)))+(1-nTP_HT*DD102*BN102)*(nTP_Hi_n&gt;=N(DH102))*(nTP_Lo_n&lt;=N(BS102)))),1),0))</f>
        <v>0</v>
      </c>
      <c r="EU102" s="22">
        <f>IF(EP102&lt;2,0,IFERROR(_xlfn.AGGREGATE(15,6,nTP_RowN/((nTP_Case_Key=AX102)*(nTP_Role="treatment of the event")*((nTP_Record_Type="EXPOSURE_START")+(nTP_Record_Type="ADMINISTRATION"))*(nTP_Err="")*(nTP_HT*DD102*BN102*(nTP_OK*DE102*(nTP_UTC_n&gt;=N(DG102))+(1-nTP_OK*DE102)*(nTP_Loc_n&gt;=N(DF102)))*(nTP_OK*BO102*(nTP_UTC_n&lt;=N(BQ102))+(1-nTP_OK*BO102)*(nTP_Loc_n&lt;=N(BP102)))+(1-nTP_HT*DD102*BN102)*(nTP_Hi_n&gt;=N(DH102))*(nTP_Lo_n&lt;=N(BS102)))),2),0))</f>
        <v>0</v>
      </c>
      <c r="EV102" s="22">
        <f>IF(EP102&lt;3,0,IFERROR(_xlfn.AGGREGATE(15,6,nTP_RowN/((nTP_Case_Key=AX102)*(nTP_Role="treatment of the event")*((nTP_Record_Type="EXPOSURE_START")+(nTP_Record_Type="ADMINISTRATION"))*(nTP_Err="")*(nTP_HT*DD102*BN102*(nTP_OK*DE102*(nTP_UTC_n&gt;=N(DG102))+(1-nTP_OK*DE102)*(nTP_Loc_n&gt;=N(DF102)))*(nTP_OK*BO102*(nTP_UTC_n&lt;=N(BQ102))+(1-nTP_OK*BO102)*(nTP_Loc_n&lt;=N(BP102)))+(1-nTP_HT*DD102*BN102)*(nTP_Hi_n&gt;=N(DH102))*(nTP_Lo_n&lt;=N(BS102)))),3),0))</f>
        <v>0</v>
      </c>
      <c r="EW102" s="22">
        <f>IF(CE102&lt;1,0,IFERROR(_xlfn.AGGREGATE(15,6,nTP_RowN/((nTP_CandKey=BX102)*(nTP_Err="")*(1-nTP_Exact)*((nTP_HT*BN102*((nTP_OK*BO102*(nTP_UTC_n-N(BQ102))+(1-nTP_OK*BO102)*(nTP_Loc_n-N(BP102)))&lt;=0)+(1-nTP_HT*BN102)*(nTP_Hi_n&lt;N(BR102)))+((1-nTP_HT*BN102)*(nTP_Lo_n=nTP_Hi_n)*(nTP_Lo_n=N(BR102))*(N(BR102)=N(BS102))))),1),0))</f>
        <v>292</v>
      </c>
      <c r="EX102" s="22">
        <f>IF(CE102&lt;2,0,IFERROR(_xlfn.AGGREGATE(15,6,nTP_RowN/((nTP_CandKey=BX102)*(nTP_Err="")*(1-nTP_Exact)*((nTP_HT*BN102*((nTP_OK*BO102*(nTP_UTC_n-N(BQ102))+(1-nTP_OK*BO102)*(nTP_Loc_n-N(BP102)))&lt;=0)+(1-nTP_HT*BN102)*(nTP_Hi_n&lt;N(BR102)))+((1-nTP_HT*BN102)*(nTP_Lo_n=nTP_Hi_n)*(nTP_Lo_n=N(BR102))*(N(BR102)=N(BS102))))),2),0))</f>
        <v>0</v>
      </c>
      <c r="EY102" s="22">
        <f>IF(CE102&lt;3,0,IFERROR(_xlfn.AGGREGATE(15,6,nTP_RowN/((nTP_CandKey=BX102)*(nTP_Err="")*(1-nTP_Exact)*((nTP_HT*BN102*((nTP_OK*BO102*(nTP_UTC_n-N(BQ102))+(1-nTP_OK*BO102)*(nTP_Loc_n-N(BP102)))&lt;=0)+(1-nTP_HT*BN102)*(nTP_Hi_n&lt;N(BR102)))+((1-nTP_HT*BN102)*(nTP_Lo_n=nTP_Hi_n)*(nTP_Lo_n=N(BR102))*(N(BR102)=N(BS102))))),3),0))</f>
        <v>0</v>
      </c>
      <c r="EZ102" s="21" t="str">
        <f>IF(EO102=0,"",MID(IF(EQ102&gt;0,"; "&amp;INDEX(nTP_Record_ID,EQ102)&amp;IF(INDEX(nTP_Label,EQ102)="",""," ("&amp;INDEX(nTP_Label,EQ102)&amp;")"),"")&amp;IF(ER102&gt;0,"; "&amp;INDEX(nTP_Record_ID,ER102)&amp;IF(INDEX(nTP_Label,ER102)="",""," ("&amp;INDEX(nTP_Label,ER102)&amp;")"),"")&amp;IF(ES102&gt;0,"; "&amp;INDEX(nTP_Record_ID,ES102)&amp;IF(INDEX(nTP_Label,ES102)="",""," ("&amp;INDEX(nTP_Label,ES102)&amp;")"),"")&amp;IF(EO102&gt;3,"; and "&amp;(EO102-3)&amp;" more",""),3,999))</f>
        <v/>
      </c>
      <c r="FA102" s="21" t="str">
        <f>IF(EO102=0,"",MID(IF(EQ102&gt;0,"; "&amp;INDEX(nTP_Record_ID,EQ102),"")&amp;IF(ER102&gt;0,"; "&amp;INDEX(nTP_Record_ID,ER102),"")&amp;IF(ES102&gt;0,"; "&amp;INDEX(nTP_Record_ID,ES102),"")&amp;IF(EO102&gt;3,"; and "&amp;(EO102-3)&amp;" more",""),3,999))</f>
        <v/>
      </c>
      <c r="FB102" s="21" t="str">
        <f>IF(EP102=0,"",MID(IF(ET102&gt;0,"; "&amp;INDEX(nTP_Record_ID,ET102)&amp;IF(INDEX(nTP_Label,ET102)="",""," ("&amp;INDEX(nTP_Label,ET102)&amp;")"),"")&amp;IF(EU102&gt;0,"; "&amp;INDEX(nTP_Record_ID,EU102)&amp;IF(INDEX(nTP_Label,EU102)="",""," ("&amp;INDEX(nTP_Label,EU102)&amp;")"),"")&amp;IF(EV102&gt;0,"; "&amp;INDEX(nTP_Record_ID,EV102)&amp;IF(INDEX(nTP_Label,EV102)="",""," ("&amp;INDEX(nTP_Label,EV102)&amp;")"),"")&amp;IF(EP102&gt;3,"; and "&amp;(EP102-3)&amp;" more",""),3,999))</f>
        <v/>
      </c>
      <c r="FC102" s="21" t="str">
        <f>IF(CE102=0,"",MID(IF(EW102&gt;0,"; "&amp;INDEX(nTP_Record_ID,EW102),"")&amp;IF(EX102&gt;0,"; "&amp;INDEX(nTP_Record_ID,EX102),"")&amp;IF(EY102&gt;0,"; "&amp;INDEX(nTP_Record_ID,EY102),"")&amp;IF(CE102&gt;3,"; and "&amp;(CE102-3)&amp;" more",""),3,999))</f>
        <v>AD2</v>
      </c>
      <c r="FD102" s="22">
        <f t="shared" si="181"/>
        <v>0</v>
      </c>
      <c r="FE102" s="22">
        <f t="shared" si="182"/>
        <v>0</v>
      </c>
      <c r="FF102" s="22">
        <f t="shared" si="183"/>
        <v>0</v>
      </c>
      <c r="FG102" s="22">
        <f t="shared" si="184"/>
        <v>0</v>
      </c>
      <c r="FH102" s="22">
        <f t="shared" si="185"/>
        <v>0</v>
      </c>
      <c r="FI102" s="22">
        <f t="shared" si="186"/>
        <v>0</v>
      </c>
      <c r="FJ102" s="22">
        <f t="shared" si="187"/>
        <v>0</v>
      </c>
      <c r="FK102" s="22">
        <f t="shared" si="188"/>
        <v>0</v>
      </c>
    </row>
    <row r="103" spans="1:167" x14ac:dyDescent="0.2">
      <c r="A103" s="9" t="s">
        <v>1180</v>
      </c>
      <c r="B103" s="9" t="s">
        <v>377</v>
      </c>
      <c r="C103" s="11">
        <v>1</v>
      </c>
      <c r="D103" s="9" t="s">
        <v>894</v>
      </c>
      <c r="E103" s="16" t="s">
        <v>51</v>
      </c>
      <c r="F103" s="9"/>
      <c r="G103" s="9" t="s">
        <v>1179</v>
      </c>
      <c r="H103" s="9" t="s">
        <v>1181</v>
      </c>
      <c r="I103" s="16"/>
      <c r="J103" s="16"/>
      <c r="K103" s="9"/>
      <c r="L103" s="16"/>
      <c r="M103" s="16"/>
      <c r="N103" s="16"/>
      <c r="O103" s="9"/>
      <c r="P103" s="14"/>
      <c r="Q103" s="14"/>
      <c r="R103" s="9"/>
      <c r="S103" s="9" t="s">
        <v>1199</v>
      </c>
      <c r="T103" s="21" t="str">
        <f t="shared" si="126"/>
        <v>E_INVALID_DATE; E_MISSING_LINK: no result is shown</v>
      </c>
      <c r="U103" s="21" t="str">
        <f t="shared" si="127"/>
        <v>Not calculable</v>
      </c>
      <c r="V103" s="21" t="str">
        <f t="shared" si="128"/>
        <v/>
      </c>
      <c r="W103" s="21" t="str">
        <f t="shared" si="129"/>
        <v/>
      </c>
      <c r="X103" s="21" t="str">
        <f t="shared" si="130"/>
        <v/>
      </c>
      <c r="Y103" s="21" t="str">
        <f t="shared" si="131"/>
        <v/>
      </c>
      <c r="Z103" s="21" t="str">
        <f t="shared" si="132"/>
        <v>C1–C6</v>
      </c>
      <c r="AA103" s="21" t="str">
        <f t="shared" si="133"/>
        <v/>
      </c>
      <c r="AB103" s="21" t="str">
        <f t="shared" si="134"/>
        <v/>
      </c>
      <c r="AC103" s="21" t="str">
        <f t="shared" si="135"/>
        <v>E_INVALID_DATE; E_MISSING_LINK</v>
      </c>
      <c r="AD103" s="21" t="str">
        <f>IF(AW103=1,"",MID(IF(ISNUMBER(SEARCH("E_INVALID_DATE",EG103))," | E_INVALID_DATE: "&amp;SUBSTITUTE(IFERROR(INDEX(nMSG_Text,MATCH("E_INVALID_DATE",nMSG_Code,0)),""),"[input]",""),"")&amp;IF(ISNUMBER(SEARCH("E_REVERSED_BOUNDS",EG103))," | E_REVERSED_BOUNDS: "&amp;SUBSTITUTE(IFERROR(INDEX(nMSG_Text,MATCH("E_REVERSED_BOUNDS",nMSG_Code,0)),""),"[input]",""),"")&amp;IF(ISNUMBER(SEARCH("E_DUPLICATE_ID",EG103))," | E_DUPLICATE_ID: "&amp;SUBSTITUTE(IFERROR(INDEX(nMSG_Text,MATCH("E_DUPLICATE_ID",nMSG_Code,0)),""),"[input]",""),"")&amp;IF(ISNUMBER(SEARCH("E_MISSING_LINK",EG103))," | E_MISSING_LINK: "&amp;SUBSTITUTE(IFERROR(INDEX(nMSG_Text,MATCH("E_MISSING_LINK",nMSG_Code,0)),""),"[input]",""),"")&amp;IF(ISNUMBER(SEARCH("E_MISSING_INPUT",EG103))," | E_MISSING_INPUT: "&amp;SUBSTITUTE(IFERROR(INDEX(nMSG_Text,MATCH("E_MISSING_INPUT",nMSG_Code,0)),""),"[input]",IF(EH103="","an input",EH103)),"")&amp;IF(ISNUMBER(SEARCH("E_INVALID_UNIT",EG103))," | E_INVALID_UNIT: "&amp;SUBSTITUTE(IFERROR(INDEX(nMSG_Text,MATCH("E_INVALID_UNIT",nMSG_Code,0)),""),"[input]",""),"")&amp;IF(FD103=1," | W_TZ_UNKNOWN: "&amp;SUBSTITUTE(IFERROR(INDEX(nMSG_Text,MATCH("W_TZ_UNKNOWN",nMSG_Code,0)),""),"[input]",""),"")&amp;IF(FE103=1," | W_SAME_DATE_ORDER_UNKNOWN: "&amp;SUBSTITUTE(IFERROR(INDEX(nMSG_Text,MATCH("W_SAME_DATE_ORDER_UNKNOWN",nMSG_Code,0)),""),"[input]",""),"")&amp;IF(FF103=1," | W_SEQUENCE_UNCERTAIN: "&amp;SUBSTITUTE(IFERROR(INDEX(nMSG_Text,MATCH("W_SEQUENCE_UNCERTAIN",nMSG_Code,0)),""),"[input]",""),"")&amp;IF(FG103=1," | W_ADMIN_SAME_DATE_AS_ONSET: "&amp;SUBSTITUTE(IFERROR(INDEX(nMSG_Text,MATCH("W_ADMIN_SAME_DATE_AS_ONSET",nMSG_Code,0)),""),"[input]",""),"")&amp;IF(FH103=1," | W_REPORTED_TIMING_CONFLICT: "&amp;SUBSTITUTE(IFERROR(INDEX(nMSG_Text,MATCH("W_REPORTED_TIMING_CONFLICT",nMSG_Code,0)),""),"[input]",""),"")&amp;IF(FI103=1," | W_INTERVENTION_BEFORE_RECOVERY: "&amp;SUBSTITUTE(IFERROR(INDEX(nMSG_Text,MATCH("W_INTERVENTION_BEFORE_RECOVERY",nMSG_Code,0)),""),"[input]",""),"")&amp;IF(FJ103=1," | I_TREATMENT_DAY_UNDEFINED: "&amp;SUBSTITUTE(IFERROR(INDEX(nMSG_Text,MATCH("I_TREATMENT_DAY_UNDEFINED",nMSG_Code,0)),""),"[input]",""),"")&amp;IF(FK103=1," | I_APPROXIMATE_NOT_COMPARED: "&amp;SUBSTITUTE(IFERROR(INDEX(nMSG_Text,MATCH("I_APPROXIMATE_NOT_COMPARED",nMSG_Code,0)),""),"[input]",""),""),4,9999))</f>
        <v>E_INVALID_DATE: This date does not exist. Check the source, or record it as a partial date. | E_MISSING_LINK: Link this drug episode to this event before calculating an interval.</v>
      </c>
      <c r="AE103" s="21" t="str">
        <f t="shared" si="136"/>
        <v/>
      </c>
      <c r="AF103" s="21" t="str">
        <f t="shared" si="137"/>
        <v/>
      </c>
      <c r="AG103" s="21" t="str">
        <f>IF(EN103="","",MID(IF(ISNUMBER(SEARCH("E_REVERSED_BOUNDS",EN103))," | E_REVERSED_BOUNDS: "&amp;SUBSTITUTE(IFERROR(INDEX(nMSG_Text,MATCH("E_REVERSED_BOUNDS",nMSG_Code,0)),""),"[input]",""),"")&amp;IF(ISNUMBER(SEARCH("E_MISSING_INPUT",EN103))," | E_MISSING_INPUT: "&amp;SUBSTITUTE(IFERROR(INDEX(nMSG_Text,MATCH("E_MISSING_INPUT",nMSG_Code,0)),""),"[input]",IF("the source of the constraint"="","an input","the source of the constraint")),""),4,999))</f>
        <v/>
      </c>
      <c r="AH103" s="21" t="str">
        <f t="shared" si="138"/>
        <v/>
      </c>
      <c r="AI103" s="21" t="str">
        <f t="shared" si="139"/>
        <v>Interval I1</v>
      </c>
      <c r="AJ103" s="21" t="str">
        <f t="shared" si="140"/>
        <v>EX1/START</v>
      </c>
      <c r="AK103" s="21" t="str">
        <f t="shared" si="141"/>
        <v>EV1/ONSET</v>
      </c>
      <c r="AL103" s="21" t="str">
        <f>IF(CY103=0,"",INDEX(nTP_ISO,CY103))</f>
        <v>2026-01-01</v>
      </c>
      <c r="AM103" s="21" t="str">
        <f>IF(CY103=0,"",INDEX(nTP_Display,CY103))</f>
        <v>1 January 2026</v>
      </c>
      <c r="AN103" s="21" t="str">
        <f>IF(BI103=0,"",INDEX(nTP_ISO,BI103))</f>
        <v/>
      </c>
      <c r="AO103" s="21" t="str">
        <f>IF(BI103=0,"",INDEX(nTP_Display,BI103))</f>
        <v>E_INVALID_DATE</v>
      </c>
      <c r="AP103" s="21" t="str">
        <f>IF(BA103=0,"",INDEX(nLNK_Exposure_Episode_ID,BA103)&amp;"")</f>
        <v/>
      </c>
      <c r="AQ103" s="21" t="str">
        <f>IF(BA103=0,"",INDEX(nLNK_Event_Episode_ID,BA103)&amp;"")</f>
        <v/>
      </c>
      <c r="AR103" s="21" t="str">
        <f t="shared" si="142"/>
        <v/>
      </c>
      <c r="AS103" s="21" t="str">
        <f>IF(EI103=0,"",MID(IF(DT103=1," | Recovery interval (C7) computed with "&amp;DS103&amp;".","")&amp;IF(BG103=1," | Anchor selected under C5 (CALC-SPEC 1.1): latest administration with an exact date or time at or before "&amp;IF(BH103=1,"onset","the end point")&amp;" ("&amp;AJ103&amp;"), ordered in UTC when offsets are known; later administrations are never selected.","")&amp;IF(AND(BG103=1,CE103&gt;0)," | Partial-date administrations wholly before the selected one were not candidates: "&amp;FC103&amp;".","")&amp;IF(BV103&lt;&gt;""," | "&amp;BV103,"")&amp;IF(AND(DS103="C2",EA103=0,DZ103&lt;&gt;"")," | Same calendar date; both times are known, so C1 decides the order ("&amp;AA103&amp;").","")&amp;IF(AND(DS103="C2",DD103*BN103=1,DT103=0)," | Calendar-date difference from the recorded local dates; it is never described as elapsed days.","")&amp;IF(AND(DS103="C4",DT103=0)," | Bounds are treated as independent; no single date is imputed from them.","")&amp;IF(EJ103=1," | Treatment day under the inclusive convention (C3); never written to E2B fields automatically.","")&amp;IF(AND(DS103="C4",DT103=0,EK103=0)," | No constraint applied.","")&amp;IF(AND(DS103="C4",EK103=1)," | Constraint applied to the anchor bounds: "&amp;IF(ISNUMBER(P103),"not before "&amp;DAY(P103)&amp;" "&amp;INDEX(nLIST_Months,MONTH(P103))&amp;" "&amp;YEAR(P103),"")&amp;IF(AND(ISNUMBER(P103),ISNUMBER(Q103)),", ","")&amp;IF(ISNUMBER(Q103),"not after "&amp;DAY(Q103)&amp;" "&amp;INDEX(nLIST_Months,MONTH(Q103))&amp;" "&amp;YEAR(Q103),"")&amp;". Source: "&amp;IF(R103="","not recorded",R103)&amp;IF(EN103="",". Constrained result shown beside the unconstrained one.",". Constrained result blocked ("&amp;EN103&amp;")."),"")&amp;IF(DT103=1,IF(EO103&gt;0," | Intervention recorded between cessation and recovery (ends included): "&amp;EZ103&amp;"."," | No intervention is recorded between cessation and recovery; absence of a record is not evidence that none was given."),"")&amp;IF(AND(DT103=1,DV103&gt;0)," | Intervention recorded without a date, so whether it came before recovery is unknown: "&amp;INDEX(nMS_Milestone_ID,MATCH(1,INDEX((nMS_CaseKey=AX103)*(nMS_Type="INTERVENTION")*nMS_Undated,0),0))&amp;IF(DV103&gt;1," and "&amp;(DV103-1)&amp;" more","")&amp;".","")&amp;IF(AND(DT103=1,EP103&gt;0)," | Not counted as interventions, because they are recorded as exposures rather than as intervention milestones (nothing is inferred): "&amp;FB103&amp;". If treatment was given, record it as an intervention milestone.",""),4,9999))</f>
        <v/>
      </c>
      <c r="AT103" s="21" t="str">
        <f t="shared" si="143"/>
        <v/>
      </c>
      <c r="AU103" s="21" t="str">
        <f t="shared" si="144"/>
        <v/>
      </c>
      <c r="AV103" s="21" t="str">
        <f t="shared" si="145"/>
        <v>CALC-SPEC 1.1</v>
      </c>
      <c r="AW103" s="22">
        <f t="shared" si="146"/>
        <v>0</v>
      </c>
      <c r="AX103" s="21" t="str">
        <f t="shared" si="147"/>
        <v>VEC-V35|1</v>
      </c>
      <c r="AY103" s="21" t="str">
        <f t="shared" si="148"/>
        <v>VEC-V35|1|I1</v>
      </c>
      <c r="AZ103" s="22">
        <f>IF(AY103="",0,COUNTIF(nINT_Key,AY103))</f>
        <v>1</v>
      </c>
      <c r="BA103" s="22">
        <f>IF(D103="",0,IFERROR(MATCH(AX103&amp;"|"&amp;D103,nLNK_Key,0),0))</f>
        <v>0</v>
      </c>
      <c r="BB103" s="22">
        <f>IF(BA103=0,1,INDEX(nLNK_Exp_Found,BA103))</f>
        <v>1</v>
      </c>
      <c r="BC103" s="22">
        <f>IF(BA103=0,1,INDEX(nLNK_Evt_Found,BA103))</f>
        <v>1</v>
      </c>
      <c r="BD103" s="22">
        <f>IF(AP103="",0,COUNTIF(nEXP_Key,AX103&amp;"|"&amp;AP103))</f>
        <v>0</v>
      </c>
      <c r="BE103" s="22">
        <f>IF(AQ103="",0,COUNTIF(nEVT_Key,AX103&amp;"|"&amp;AQ103))</f>
        <v>0</v>
      </c>
      <c r="BF103" s="22">
        <f>IF(ISNA(MATCH(E103,nLIST_AnchorType,0)),0,1)</f>
        <v>1</v>
      </c>
      <c r="BG103" s="22">
        <f t="shared" si="149"/>
        <v>0</v>
      </c>
      <c r="BH103" s="22">
        <f t="shared" si="150"/>
        <v>1</v>
      </c>
      <c r="BI103" s="22">
        <f>IF(OR(AW103=1,AK103=""),0,IFERROR(MATCH(AX103&amp;"|"&amp;AK103,nTP_Key,0),0))</f>
        <v>339</v>
      </c>
      <c r="BJ103" s="21">
        <f>IF(BI103=0,0,INDEX(nTP_Dup,BI103))</f>
        <v>1</v>
      </c>
      <c r="BK103" s="21" t="str">
        <f>IF(BI103=0,"",INDEX(nTP_Record_Type,BI103))</f>
        <v>EVENT_ONSET</v>
      </c>
      <c r="BL103" s="21" t="str">
        <f>IF(BI103=0,"",INDEX(nTP_Precision,BI103))</f>
        <v>DATE</v>
      </c>
      <c r="BM103" s="21" t="str">
        <f>IF(BI103=0,"",INDEX(nTP_Err,BI103))</f>
        <v>E_INVALID_DATE</v>
      </c>
      <c r="BN103" s="21">
        <f>IF(BI103=0,0,INDEX(nTP_HT,BI103))</f>
        <v>0</v>
      </c>
      <c r="BO103" s="21">
        <f>IF(BI103=0,0,INDEX(nTP_OK,BI103))</f>
        <v>0</v>
      </c>
      <c r="BP103" s="21" t="str">
        <f>IF(BI103=0,"",INDEX(nTP_Loc,BI103))</f>
        <v/>
      </c>
      <c r="BQ103" s="21" t="str">
        <f>IF(BI103=0,"",INDEX(nTP_UTC,BI103))</f>
        <v/>
      </c>
      <c r="BR103" s="21" t="str">
        <f>IF(BI103=0,"",INDEX(nTP_Lo,BI103))</f>
        <v/>
      </c>
      <c r="BS103" s="21" t="str">
        <f>IF(BI103=0,"",INDEX(nTP_Hi,BI103))</f>
        <v/>
      </c>
      <c r="BT103" s="21" t="str">
        <f>IF(BI103=0,"",INDEX(nTP_Original_Text,BI103))</f>
        <v>2026-02-30</v>
      </c>
      <c r="BU103" s="21" t="str">
        <f>IF(BI103=0,"",INDEX(nTP_Source,BI103))</f>
        <v>tto_calc_test_vectors_v1.1.json V35</v>
      </c>
      <c r="BV103" s="21" t="str">
        <f>IF(BI103=0,"",INDEX(nTP_Lab_Note,BI103))</f>
        <v/>
      </c>
      <c r="BW103" s="22">
        <f t="shared" si="151"/>
        <v>0</v>
      </c>
      <c r="BX103" s="21" t="str">
        <f t="shared" si="152"/>
        <v>VEC-V35|1|</v>
      </c>
      <c r="BY103" s="22">
        <f>IF(BG103=0,0,COUNTIF(nTP_CandKey,BX103))</f>
        <v>0</v>
      </c>
      <c r="BZ103" s="22">
        <f>IF(BG103=0,0,COUNTIFS(nTP_CandKey,BX103,nTP_Err,""))</f>
        <v>0</v>
      </c>
      <c r="CA103" s="21" t="str">
        <f>IF(BY103=BZ103,"",IF(COUNTIFS(nTP_CandKey,BX103,nTP_Err,"E_INVALID_DATE")&gt;0,"; E_INVALID_DATE","")&amp;IF(COUNTIFS(nTP_CandKey,BX103,nTP_Err,"E_REVERSED_BOUNDS")&gt;0,"; E_REVERSED_BOUNDS","")&amp;IF(COUNTIFS(nTP_CandKey,BX103,nTP_Err,"E_MISSING_INPUT")&gt;0,"; E_MISSING_INPUT","")&amp;IF(COUNTIFS(nTP_CandKey,BX103,nTP_Err,"E_INVALID_UNIT")&gt;0,"; E_INVALID_UNIT",""))</f>
        <v/>
      </c>
      <c r="CB103" s="22">
        <f t="shared" si="153"/>
        <v>0</v>
      </c>
      <c r="CC103" s="22">
        <f>IF(CB103=0,0,SUMPRODUCT((nTP_CandKey=BX103)*(nTP_Err="")*(1-(nTP_HT*BN103*((nTP_OK*BO103*(nTP_UTC_n-N(BQ103))+(1-nTP_OK*BO103)*(nTP_Loc_n-N(BP103)))&lt;=0)+(1-nTP_HT*BN103)*(nTP_Hi_n&lt;N(BR103)))-(nTP_HT*BN103*((nTP_OK*BO103*(nTP_UTC_n-N(BQ103))+(1-nTP_OK*BO103)*(nTP_Loc_n-N(BP103)))&gt;0)+(1-nTP_HT*BN103)*(nTP_Lo_n&gt;N(BS103)))-((1-nTP_HT*BN103)*(nTP_Lo_n=nTP_Hi_n)*(nTP_Lo_n=N(BR103))*(N(BR103)=N(BS103))))))</f>
        <v>0</v>
      </c>
      <c r="CD103" s="22">
        <f>IF(CB103=0,0,SUMPRODUCT((nTP_CandKey=BX103)*nTP_Exact*((nTP_HT*BN103*((nTP_OK*BO103*(nTP_UTC_n-N(BQ103))+(1-nTP_OK*BO103)*(nTP_Loc_n-N(BP103)))&lt;=0)+(1-nTP_HT*BN103)*(nTP_Hi_n&lt;N(BR103)))+((1-nTP_HT*BN103)*(nTP_Lo_n=nTP_Hi_n)*(nTP_Lo_n=N(BR103))*(N(BR103)=N(BS103))))))</f>
        <v>0</v>
      </c>
      <c r="CE103" s="22">
        <f>IF(CB103=0,0,SUMPRODUCT((nTP_CandKey=BX103)*(nTP_Err="")*(1-nTP_Exact)*((nTP_HT*BN103*((nTP_OK*BO103*(nTP_UTC_n-N(BQ103))+(1-nTP_OK*BO103)*(nTP_Loc_n-N(BP103)))&lt;=0)+(1-nTP_HT*BN103)*(nTP_Hi_n&lt;N(BR103)))+((1-nTP_HT*BN103)*(nTP_Lo_n=nTP_Hi_n)*(nTP_Lo_n=N(BR103))*(N(BR103)=N(BS103))))))</f>
        <v>0</v>
      </c>
      <c r="CF103" s="22">
        <f>IF(CD103=0,0,SUMPRODUCT(MAX((nTP_CandKey=BX103)*nTP_Exact*((nTP_HT*BN103*((nTP_OK*BO103*(nTP_UTC_n-N(BQ103))+(1-nTP_OK*BO103)*(nTP_Loc_n-N(BP103)))&lt;=0)+(1-nTP_HT*BN103)*(nTP_Hi_n&lt;N(BR103)))+((1-nTP_HT*BN103)*(nTP_Lo_n=nTP_Hi_n)*(nTP_Lo_n=N(BR103))*(N(BR103)=N(BS103))))*nTP_Lo_n)))</f>
        <v>0</v>
      </c>
      <c r="CG103" s="22">
        <f>IF(CD103=0,0,SUMPRODUCT((nTP_CandKey=BX103)*nTP_Exact*((nTP_HT*BN103*((nTP_OK*BO103*(nTP_UTC_n-N(BQ103))+(1-nTP_OK*BO103)*(nTP_Loc_n-N(BP103)))&lt;=0)+(1-nTP_HT*BN103)*(nTP_Hi_n&lt;N(BR103)))+((1-nTP_HT*BN103)*(nTP_Lo_n=nTP_Hi_n)*(nTP_Lo_n=N(BR103))*(N(BR103)=N(BS103))))*(nTP_Lo_n=CF103)))</f>
        <v>0</v>
      </c>
      <c r="CH103" s="22">
        <f>IF(CD103=0,0,SUMPRODUCT((nTP_CandKey=BX103)*nTP_Exact*((nTP_HT*BN103*((nTP_OK*BO103*(nTP_UTC_n-N(BQ103))+(1-nTP_OK*BO103)*(nTP_Loc_n-N(BP103)))&lt;=0)+(1-nTP_HT*BN103)*(nTP_Hi_n&lt;N(BR103)))+((1-nTP_HT*BN103)*(nTP_Lo_n=nTP_Hi_n)*(nTP_Lo_n=N(BR103))*(N(BR103)=N(BS103))))*(1-nTP_HT)*(nTP_Lo_n=CF103)))</f>
        <v>0</v>
      </c>
      <c r="CI103" s="22">
        <f>IF(CD103=0,0,SUMPRODUCT(MAX((nTP_CandKey=BX103)*nTP_Exact*((nTP_HT*BN103*((nTP_OK*BO103*(nTP_UTC_n-N(BQ103))+(1-nTP_OK*BO103)*(nTP_Loc_n-N(BP103)))&lt;=0)+(1-nTP_HT*BN103)*(nTP_Hi_n&lt;N(BR103)))+((1-nTP_HT*BN103)*(nTP_Lo_n=nTP_Hi_n)*(nTP_Lo_n=N(BR103))*(N(BR103)=N(BS103))))*(1-nTP_HT)*nTP_Lo_n)))</f>
        <v>0</v>
      </c>
      <c r="CJ103" s="22">
        <f>IF(CD103=0,0,SUMPRODUCT(MAX((nTP_CandKey=BX103)*nTP_Exact*((nTP_HT*BN103*((nTP_OK*BO103*(nTP_UTC_n-N(BQ103))+(1-nTP_OK*BO103)*(nTP_Loc_n-N(BP103)))&lt;=0)+(1-nTP_HT*BN103)*(nTP_Hi_n&lt;N(BR103)))+((1-nTP_HT*BN103)*(nTP_Lo_n=nTP_Hi_n)*(nTP_Lo_n=N(BR103))*(N(BR103)=N(BS103))))*nTP_HT*nTP_OK*nTP_UTC_n)))</f>
        <v>0</v>
      </c>
      <c r="CK103" s="22">
        <f>IF(CJ103=0,0,SUMPRODUCT((nTP_CandKey=BX103)*nTP_Exact*((nTP_HT*BN103*((nTP_OK*BO103*(nTP_UTC_n-N(BQ103))+(1-nTP_OK*BO103)*(nTP_Loc_n-N(BP103)))&lt;=0)+(1-nTP_HT*BN103)*(nTP_Hi_n&lt;N(BR103)))+((1-nTP_HT*BN103)*(nTP_Lo_n=nTP_Hi_n)*(nTP_Lo_n=N(BR103))*(N(BR103)=N(BS103))))*nTP_HT*nTP_OK*(nTP_UTC_n=CJ103)))</f>
        <v>0</v>
      </c>
      <c r="CL103" s="22">
        <f>IF(CK103&lt;&gt;1,0,SUMPRODUCT((nTP_CandKey=BX103)*nTP_Exact*((nTP_HT*BN103*((nTP_OK*BO103*(nTP_UTC_n-N(BQ103))+(1-nTP_OK*BO103)*(nTP_Loc_n-N(BP103)))&lt;=0)+(1-nTP_HT*BN103)*(nTP_Hi_n&lt;N(BR103)))+((1-nTP_HT*BN103)*(nTP_Lo_n=nTP_Hi_n)*(nTP_Lo_n=N(BR103))*(N(BR103)=N(BS103))))*nTP_HT*nTP_OK*(nTP_UTC_n=CJ103)*nTP_Loc_n))</f>
        <v>0</v>
      </c>
      <c r="CM103" s="22">
        <f>IF(CK103&lt;&gt;1,0,SUMPRODUCT((nTP_CandKey=BX103)*nTP_Exact*((nTP_HT*BN103*((nTP_OK*BO103*(nTP_UTC_n-N(BQ103))+(1-nTP_OK*BO103)*(nTP_Loc_n-N(BP103)))&lt;=0)+(1-nTP_HT*BN103)*(nTP_Hi_n&lt;N(BR103)))+((1-nTP_HT*BN103)*(nTP_Lo_n=nTP_Hi_n)*(nTP_Lo_n=N(BR103))*(N(BR103)=N(BS103))))*nTP_HT*nTP_OK*(nTP_UTC_n=CJ103)*nTP_Lo_n))</f>
        <v>0</v>
      </c>
      <c r="CN103" s="22">
        <f>IF(CD103=0,0,SUMPRODUCT(MAX((nTP_CandKey=BX103)*nTP_Exact*((nTP_HT*BN103*((nTP_OK*BO103*(nTP_UTC_n-N(BQ103))+(1-nTP_OK*BO103)*(nTP_Loc_n-N(BP103)))&lt;=0)+(1-nTP_HT*BN103)*(nTP_Hi_n&lt;N(BR103)))+((1-nTP_HT*BN103)*(nTP_Lo_n=nTP_Hi_n)*(nTP_Lo_n=N(BR103))*(N(BR103)=N(BS103))))*nTP_HT*(1-nTP_OK)*nTP_Loc_n)))</f>
        <v>0</v>
      </c>
      <c r="CO103" s="22">
        <f>IF(CN103=0,0,SUMPRODUCT((nTP_CandKey=BX103)*nTP_Exact*((nTP_HT*BN103*((nTP_OK*BO103*(nTP_UTC_n-N(BQ103))+(1-nTP_OK*BO103)*(nTP_Loc_n-N(BP103)))&lt;=0)+(1-nTP_HT*BN103)*(nTP_Hi_n&lt;N(BR103)))+((1-nTP_HT*BN103)*(nTP_Lo_n=nTP_Hi_n)*(nTP_Lo_n=N(BR103))*(N(BR103)=N(BS103))))*nTP_HT*(1-nTP_OK)*(nTP_Loc_n=CN103)))</f>
        <v>0</v>
      </c>
      <c r="CP103" s="22">
        <f>IF(CO103&lt;&gt;1,0,SUMPRODUCT((nTP_CandKey=BX103)*nTP_Exact*((nTP_HT*BN103*((nTP_OK*BO103*(nTP_UTC_n-N(BQ103))+(1-nTP_OK*BO103)*(nTP_Loc_n-N(BP103)))&lt;=0)+(1-nTP_HT*BN103)*(nTP_Hi_n&lt;N(BR103)))+((1-nTP_HT*BN103)*(nTP_Lo_n=nTP_Hi_n)*(nTP_Lo_n=N(BR103))*(N(BR103)=N(BS103))))*nTP_HT*(1-nTP_OK)*(nTP_Loc_n=CN103)*nTP_Lo_n))</f>
        <v>0</v>
      </c>
      <c r="CQ103" s="22">
        <f>IF(CD103=0,0,SUMPRODUCT(MAX((nTP_CandKey=BX103)*nTP_Exact*((nTP_HT*BN103*((nTP_OK*BO103*(nTP_UTC_n-N(BQ103))+(1-nTP_OK*BO103)*(nTP_Loc_n-N(BP103)))&lt;=0)+(1-nTP_HT*BN103)*(nTP_Hi_n&lt;N(BR103)))+((1-nTP_HT*BN103)*(nTP_Lo_n=nTP_Hi_n)*(nTP_Lo_n=N(BR103))*(N(BR103)=N(BS103))))*nTP_HT*nTP_OK*nTP_Loc_n)))</f>
        <v>0</v>
      </c>
      <c r="CR103" s="22">
        <f t="shared" si="154"/>
        <v>0</v>
      </c>
      <c r="CS103" s="22">
        <f>IF(CR103=0,0,IF(CR103=1,MATCH(1,INDEX((nTP_CandKey=BX103)*nTP_Exact*((nTP_HT*BN103*((nTP_OK*BO103*(nTP_UTC_n-N(BQ103))+(1-nTP_OK*BO103)*(nTP_Loc_n-N(BP103)))&lt;=0)+(1-nTP_HT*BN103)*(nTP_Hi_n&lt;N(BR103)))+((1-nTP_HT*BN103)*(nTP_Lo_n=nTP_Hi_n)*(nTP_Lo_n=N(BR103))*(N(BR103)=N(BS103))))*(1-nTP_HT)*(nTP_Lo_n=CF103),0),0),IF(CR103=2,MATCH(1,INDEX((nTP_CandKey=BX103)*nTP_Exact*((nTP_HT*BN103*((nTP_OK*BO103*(nTP_UTC_n-N(BQ103))+(1-nTP_OK*BO103)*(nTP_Loc_n-N(BP103)))&lt;=0)+(1-nTP_HT*BN103)*(nTP_Hi_n&lt;N(BR103)))+((1-nTP_HT*BN103)*(nTP_Lo_n=nTP_Hi_n)*(nTP_Lo_n=N(BR103))*(N(BR103)=N(BS103))))*nTP_HT*nTP_OK*(nTP_UTC_n=CJ103),0),0),MATCH(1,INDEX((nTP_CandKey=BX103)*nTP_Exact*((nTP_HT*BN103*((nTP_OK*BO103*(nTP_UTC_n-N(BQ103))+(1-nTP_OK*BO103)*(nTP_Loc_n-N(BP103)))&lt;=0)+(1-nTP_HT*BN103)*(nTP_Hi_n&lt;N(BR103)))+((1-nTP_HT*BN103)*(nTP_Lo_n=nTP_Hi_n)*(nTP_Lo_n=N(BR103))*(N(BR103)=N(BS103))))*nTP_HT*(1-nTP_OK)*(nTP_Loc_n=CN103),0),0))))</f>
        <v>0</v>
      </c>
      <c r="CT103" s="22">
        <f>IF(CS103=0,0,INDEX(nTP_Lo_n,CS103))</f>
        <v>0</v>
      </c>
      <c r="CU103" s="22">
        <f>IF(CS103=0,0,SUMPRODUCT((nTP_CandKey=BX103)*(nTP_Err="")*(1-nTP_Exact)*((nTP_HT*BN103*((nTP_OK*BO103*(nTP_UTC_n-N(BQ103))+(1-nTP_OK*BO103)*(nTP_Loc_n-N(BP103)))&lt;=0)+(1-nTP_HT*BN103)*(nTP_Hi_n&lt;N(BR103)))+((1-nTP_HT*BN103)*(nTP_Lo_n=nTP_Hi_n)*(nTP_Lo_n=N(BR103))*(N(BR103)=N(BS103))))*(nTP_Hi_n&gt;=CT103)))</f>
        <v>0</v>
      </c>
      <c r="CV103" s="21" t="str">
        <f t="shared" si="155"/>
        <v/>
      </c>
      <c r="CW103" s="21" t="str">
        <f>IF(AND(BG103=1,CB103=1,CV103="",CS103&gt;0),INDEX(nTP_Record_ID,CS103)&amp;"","")</f>
        <v/>
      </c>
      <c r="CX103" s="21" t="str">
        <f>IF(OR(CV103="",BG103=0),"",IF(CV103="none","an administration record (last dose before onset)",IF(CV103="uncertain","the anchor record: "&amp;INDEX(nTP_Record_ID,MATCH(1,INDEX((nTP_CandKey=BX103)*(nTP_Err="")*(1-(nTP_HT*BN103*((nTP_OK*BO103*(nTP_UTC_n-N(BQ103))+(1-nTP_OK*BO103)*(nTP_Loc_n-N(BP103)))&lt;=0)+(1-nTP_HT*BN103)*(nTP_Hi_n&lt;N(BR103)))-(nTP_HT*BN103*((nTP_OK*BO103*(nTP_UTC_n-N(BQ103))+(1-nTP_OK*BO103)*(nTP_Loc_n-N(BP103)))&gt;0)+(1-nTP_HT*BN103)*(nTP_Lo_n&gt;N(BS103)))-((1-nTP_HT*BN103)*(nTP_Lo_n=nTP_Hi_n)*(nTP_Lo_n=N(BR103))*(N(BR103)=N(BS103)))),0),0))&amp;IF(CC103&gt;1," and "&amp;(CC103-1)&amp;" more","")&amp;" may fall before or after the end point, so the last dose cannot be identified from the recorded dates",IF(CV103="noneligible","the anchor record: no administration with an exact date is recorded at or before the end point",IF(CV103="tie","the anchor record: the order of the latest administrations cannot be told from the recorded dates and times","the anchor record: partial-date administration "&amp;INDEX(nTP_Record_ID,MATCH(1,INDEX((nTP_CandKey=BX103)*(nTP_Err="")*(1-nTP_Exact)*((nTP_HT*BN103*((nTP_OK*BO103*(nTP_UTC_n-N(BQ103))+(1-nTP_OK*BO103)*(nTP_Loc_n-N(BP103)))&lt;=0)+(1-nTP_HT*BN103)*(nTP_Hi_n&lt;N(BR103)))+((1-nTP_HT*BN103)*(nTP_Lo_n=nTP_Hi_n)*(nTP_Lo_n=N(BR103))*(N(BR103)=N(BS103))))*(nTP_Hi_n&gt;=CT103),0),0))&amp;" could be the last dose before the end point")))))</f>
        <v/>
      </c>
      <c r="CY103" s="22">
        <f>IF(OR(AW103=1,AJ103=""),0,IFERROR(MATCH(AX103&amp;"|"&amp;AJ103,nTP_Key,0),0))</f>
        <v>71</v>
      </c>
      <c r="CZ103" s="21">
        <f>IF(CY103=0,0,INDEX(nTP_Dup,CY103))</f>
        <v>1</v>
      </c>
      <c r="DA103" s="21" t="str">
        <f>IF(CY103=0,"",INDEX(nTP_Record_Type,CY103))</f>
        <v>EXPOSURE_START</v>
      </c>
      <c r="DB103" s="21" t="str">
        <f>IF(CY103=0,"",INDEX(nTP_Precision,CY103))</f>
        <v>DATE</v>
      </c>
      <c r="DC103" s="21" t="str">
        <f>IF(CY103=0,"",INDEX(nTP_Err,CY103))</f>
        <v/>
      </c>
      <c r="DD103" s="21">
        <f>IF(CY103=0,0,INDEX(nTP_HT,CY103))</f>
        <v>0</v>
      </c>
      <c r="DE103" s="21">
        <f>IF(CY103=0,0,INDEX(nTP_OK,CY103))</f>
        <v>0</v>
      </c>
      <c r="DF103" s="21" t="str">
        <f>IF(CY103=0,"",INDEX(nTP_Loc,CY103))</f>
        <v/>
      </c>
      <c r="DG103" s="21" t="str">
        <f>IF(CY103=0,"",INDEX(nTP_UTC,CY103))</f>
        <v/>
      </c>
      <c r="DH103" s="21">
        <f>IF(CY103=0,"",INDEX(nTP_Lo,CY103))</f>
        <v>46023</v>
      </c>
      <c r="DI103" s="21">
        <f>IF(CY103=0,"",INDEX(nTP_Hi,CY103))</f>
        <v>46023</v>
      </c>
      <c r="DJ103" s="21" t="str">
        <f>IF(CY103=0,"",INDEX(nTP_Original_Text,CY103))</f>
        <v>2026-01-01</v>
      </c>
      <c r="DK103" s="21" t="str">
        <f>IF(CY103=0,"",INDEX(nTP_Source,CY103))</f>
        <v>tto_calc_test_vectors_v1.1.json V35</v>
      </c>
      <c r="DL103" s="22">
        <f t="shared" si="156"/>
        <v>1</v>
      </c>
      <c r="DM103" s="21" t="str">
        <f t="shared" si="157"/>
        <v/>
      </c>
      <c r="DN103" s="21" t="str">
        <f t="shared" si="158"/>
        <v/>
      </c>
      <c r="DO103" s="21" t="str">
        <f t="shared" si="159"/>
        <v>; E_INVALID_DATE</v>
      </c>
      <c r="DP103" s="21" t="str">
        <f t="shared" si="160"/>
        <v/>
      </c>
      <c r="DQ103" s="21" t="str">
        <f t="shared" si="161"/>
        <v/>
      </c>
      <c r="DR103" s="22">
        <f>IF(OR(DQ103="",I103=""),0,IF(ISNA(MATCH(I103,nLIST_Mode,0)),1,IF(AND(I103="C1",DQ103&lt;&gt;"C1"),1,IF(AND(I103="C2",DQ103="C4"),1,0))))</f>
        <v>0</v>
      </c>
      <c r="DS103" s="21" t="str">
        <f t="shared" si="162"/>
        <v/>
      </c>
      <c r="DT103" s="22">
        <f t="shared" si="163"/>
        <v>0</v>
      </c>
      <c r="DU103" s="21" t="str">
        <f>IF(DT103=0,"",IF(COUNTIFS(nTP_Case_Key,AX103,nTP_Record_Type,"MILESTONE:INTERVENTION",nTP_Err,"E_INVALID_DATE")&gt;0,"; E_INVALID_DATE","")&amp;IF(COUNTIFS(nTP_Case_Key,AX103,nTP_Record_Type,"MILESTONE:INTERVENTION",nTP_Err,"E_REVERSED_BOUNDS")&gt;0,"; E_REVERSED_BOUNDS","")&amp;IF(COUNTIFS(nTP_Case_Key,AX103,nTP_Record_Type,"MILESTONE:INTERVENTION",nTP_Err,"E_MISSING_INPUT")&gt;0,"; E_MISSING_INPUT","")&amp;IF(COUNTIFS(nTP_Case_Key,AX103,nTP_Record_Type,"MILESTONE:INTERVENTION",nTP_Err,"E_INVALID_UNIT")&gt;0,"; E_INVALID_UNIT",""))</f>
        <v/>
      </c>
      <c r="DV103" s="22">
        <f>IF(DT103=0,0,SUMPRODUCT((nMS_CaseKey=AX103)*(nMS_Type="INTERVENTION")*nMS_Undated))</f>
        <v>0</v>
      </c>
      <c r="DW103" s="21" t="str">
        <f t="shared" si="164"/>
        <v>; E_MISSING_LINK; E_INVALID_DATE</v>
      </c>
      <c r="DX103" s="21" t="str">
        <f t="shared" si="165"/>
        <v>E_INVALID_DATE; E_MISSING_LINK</v>
      </c>
      <c r="DY103" s="22">
        <f t="shared" si="166"/>
        <v>1</v>
      </c>
      <c r="DZ103" s="21" t="str">
        <f t="shared" si="167"/>
        <v/>
      </c>
      <c r="EA103" s="21" t="str">
        <f t="shared" si="168"/>
        <v/>
      </c>
      <c r="EB103" s="21" t="str">
        <f t="shared" si="169"/>
        <v/>
      </c>
      <c r="EC103" s="21" t="str">
        <f t="shared" si="170"/>
        <v/>
      </c>
      <c r="ED103" s="22">
        <f t="shared" si="171"/>
        <v>0</v>
      </c>
      <c r="EE103" s="22">
        <f t="shared" si="172"/>
        <v>0</v>
      </c>
      <c r="EF103" s="21" t="str">
        <f>IF(ED103=0,"",IF(OR(NOT(ISNUMBER(L103)),NOT(ISNUMBER(M103))),"I_APPROXIMATE_NOT_COMPARED",IF(AND(N103&lt;&gt;"",ISNA(MATCH(N103,nLIST_ReportedUnit,0))),"E_INVALID_UNIT",IF(N103="","E_MISSING_INPUT",IF(L103&gt;M103,"E_REVERSED_BOUNDS",IF(OR(N103="weeks",N103="months",N103="years"),"I_APPROXIMATE_NOT_COMPARED",IF(DX103&lt;&gt;"","",IF(EE103=0,"I_APPROXIMATE_NOT_COMPARED",IF(AND(L103*EE103&lt;=IF(DS103="C4",EC103,IF(DS103="C1",DZ103,EA103)),M103*EE103&gt;=IF(DS103="C4",EB103,IF(DS103="C1",DZ103,EA103))),"OVERLAP","W_REPORTED_TIMING_CONFLICT")))))))))</f>
        <v/>
      </c>
      <c r="EG103" s="21" t="str">
        <f t="shared" si="173"/>
        <v>E_INVALID_DATE; E_MISSING_LINK</v>
      </c>
      <c r="EH103" s="21" t="str">
        <f t="shared" si="174"/>
        <v/>
      </c>
      <c r="EI103" s="22">
        <f t="shared" si="175"/>
        <v>0</v>
      </c>
      <c r="EJ103" s="22">
        <f t="shared" si="176"/>
        <v>0</v>
      </c>
      <c r="EK103" s="22">
        <f t="shared" si="177"/>
        <v>0</v>
      </c>
      <c r="EL103" s="28" t="str">
        <f t="shared" si="178"/>
        <v/>
      </c>
      <c r="EM103" s="28" t="str">
        <f t="shared" si="179"/>
        <v/>
      </c>
      <c r="EN103" s="21" t="str">
        <f t="shared" si="180"/>
        <v/>
      </c>
      <c r="EO103" s="22">
        <f>IF(OR(DT103=0,DX103&lt;&gt;""),0,SUMPRODUCT((nTP_Case_Key=AX103)*(nTP_Record_Type="MILESTONE:INTERVENTION")*(nTP_Err="")*(nTP_HT*DD103*BN103*(nTP_OK*DE103*(nTP_UTC_n&gt;=N(DG103))+(1-nTP_OK*DE103)*(nTP_Loc_n&gt;=N(DF103)))*(nTP_OK*BO103*(nTP_UTC_n&lt;=N(BQ103))+(1-nTP_OK*BO103)*(nTP_Loc_n&lt;=N(BP103)))+(1-nTP_HT*DD103*BN103)*(nTP_Hi_n&gt;=N(DH103))*(nTP_Lo_n&lt;=N(BS103)))))</f>
        <v>0</v>
      </c>
      <c r="EP103" s="22">
        <f>IF(OR(DT103=0,DX103&lt;&gt;""),0,SUMPRODUCT((nTP_Case_Key=AX103)*(nTP_Role="treatment of the event")*((nTP_Record_Type="EXPOSURE_START")+(nTP_Record_Type="ADMINISTRATION"))*(nTP_Err="")*(nTP_HT*DD103*BN103*(nTP_OK*DE103*(nTP_UTC_n&gt;=N(DG103))+(1-nTP_OK*DE103)*(nTP_Loc_n&gt;=N(DF103)))*(nTP_OK*BO103*(nTP_UTC_n&lt;=N(BQ103))+(1-nTP_OK*BO103)*(nTP_Loc_n&lt;=N(BP103)))+(1-nTP_HT*DD103*BN103)*(nTP_Hi_n&gt;=N(DH103))*(nTP_Lo_n&lt;=N(BS103)))))</f>
        <v>0</v>
      </c>
      <c r="EQ103" s="22">
        <f>IF(EO103&lt;1,0,IFERROR(_xlfn.AGGREGATE(15,6,nTP_RowN/((nTP_Case_Key=AX103)*(nTP_Record_Type="MILESTONE:INTERVENTION")*(nTP_Err="")*(nTP_HT*DD103*BN103*(nTP_OK*DE103*(nTP_UTC_n&gt;=N(DG103))+(1-nTP_OK*DE103)*(nTP_Loc_n&gt;=N(DF103)))*(nTP_OK*BO103*(nTP_UTC_n&lt;=N(BQ103))+(1-nTP_OK*BO103)*(nTP_Loc_n&lt;=N(BP103)))+(1-nTP_HT*DD103*BN103)*(nTP_Hi_n&gt;=N(DH103))*(nTP_Lo_n&lt;=N(BS103)))),1),0))</f>
        <v>0</v>
      </c>
      <c r="ER103" s="22">
        <f>IF(EO103&lt;2,0,IFERROR(_xlfn.AGGREGATE(15,6,nTP_RowN/((nTP_Case_Key=AX103)*(nTP_Record_Type="MILESTONE:INTERVENTION")*(nTP_Err="")*(nTP_HT*DD103*BN103*(nTP_OK*DE103*(nTP_UTC_n&gt;=N(DG103))+(1-nTP_OK*DE103)*(nTP_Loc_n&gt;=N(DF103)))*(nTP_OK*BO103*(nTP_UTC_n&lt;=N(BQ103))+(1-nTP_OK*BO103)*(nTP_Loc_n&lt;=N(BP103)))+(1-nTP_HT*DD103*BN103)*(nTP_Hi_n&gt;=N(DH103))*(nTP_Lo_n&lt;=N(BS103)))),2),0))</f>
        <v>0</v>
      </c>
      <c r="ES103" s="22">
        <f>IF(EO103&lt;3,0,IFERROR(_xlfn.AGGREGATE(15,6,nTP_RowN/((nTP_Case_Key=AX103)*(nTP_Record_Type="MILESTONE:INTERVENTION")*(nTP_Err="")*(nTP_HT*DD103*BN103*(nTP_OK*DE103*(nTP_UTC_n&gt;=N(DG103))+(1-nTP_OK*DE103)*(nTP_Loc_n&gt;=N(DF103)))*(nTP_OK*BO103*(nTP_UTC_n&lt;=N(BQ103))+(1-nTP_OK*BO103)*(nTP_Loc_n&lt;=N(BP103)))+(1-nTP_HT*DD103*BN103)*(nTP_Hi_n&gt;=N(DH103))*(nTP_Lo_n&lt;=N(BS103)))),3),0))</f>
        <v>0</v>
      </c>
      <c r="ET103" s="22">
        <f>IF(EP103&lt;1,0,IFERROR(_xlfn.AGGREGATE(15,6,nTP_RowN/((nTP_Case_Key=AX103)*(nTP_Role="treatment of the event")*((nTP_Record_Type="EXPOSURE_START")+(nTP_Record_Type="ADMINISTRATION"))*(nTP_Err="")*(nTP_HT*DD103*BN103*(nTP_OK*DE103*(nTP_UTC_n&gt;=N(DG103))+(1-nTP_OK*DE103)*(nTP_Loc_n&gt;=N(DF103)))*(nTP_OK*BO103*(nTP_UTC_n&lt;=N(BQ103))+(1-nTP_OK*BO103)*(nTP_Loc_n&lt;=N(BP103)))+(1-nTP_HT*DD103*BN103)*(nTP_Hi_n&gt;=N(DH103))*(nTP_Lo_n&lt;=N(BS103)))),1),0))</f>
        <v>0</v>
      </c>
      <c r="EU103" s="22">
        <f>IF(EP103&lt;2,0,IFERROR(_xlfn.AGGREGATE(15,6,nTP_RowN/((nTP_Case_Key=AX103)*(nTP_Role="treatment of the event")*((nTP_Record_Type="EXPOSURE_START")+(nTP_Record_Type="ADMINISTRATION"))*(nTP_Err="")*(nTP_HT*DD103*BN103*(nTP_OK*DE103*(nTP_UTC_n&gt;=N(DG103))+(1-nTP_OK*DE103)*(nTP_Loc_n&gt;=N(DF103)))*(nTP_OK*BO103*(nTP_UTC_n&lt;=N(BQ103))+(1-nTP_OK*BO103)*(nTP_Loc_n&lt;=N(BP103)))+(1-nTP_HT*DD103*BN103)*(nTP_Hi_n&gt;=N(DH103))*(nTP_Lo_n&lt;=N(BS103)))),2),0))</f>
        <v>0</v>
      </c>
      <c r="EV103" s="22">
        <f>IF(EP103&lt;3,0,IFERROR(_xlfn.AGGREGATE(15,6,nTP_RowN/((nTP_Case_Key=AX103)*(nTP_Role="treatment of the event")*((nTP_Record_Type="EXPOSURE_START")+(nTP_Record_Type="ADMINISTRATION"))*(nTP_Err="")*(nTP_HT*DD103*BN103*(nTP_OK*DE103*(nTP_UTC_n&gt;=N(DG103))+(1-nTP_OK*DE103)*(nTP_Loc_n&gt;=N(DF103)))*(nTP_OK*BO103*(nTP_UTC_n&lt;=N(BQ103))+(1-nTP_OK*BO103)*(nTP_Loc_n&lt;=N(BP103)))+(1-nTP_HT*DD103*BN103)*(nTP_Hi_n&gt;=N(DH103))*(nTP_Lo_n&lt;=N(BS103)))),3),0))</f>
        <v>0</v>
      </c>
      <c r="EW103" s="22">
        <f>IF(CE103&lt;1,0,IFERROR(_xlfn.AGGREGATE(15,6,nTP_RowN/((nTP_CandKey=BX103)*(nTP_Err="")*(1-nTP_Exact)*((nTP_HT*BN103*((nTP_OK*BO103*(nTP_UTC_n-N(BQ103))+(1-nTP_OK*BO103)*(nTP_Loc_n-N(BP103)))&lt;=0)+(1-nTP_HT*BN103)*(nTP_Hi_n&lt;N(BR103)))+((1-nTP_HT*BN103)*(nTP_Lo_n=nTP_Hi_n)*(nTP_Lo_n=N(BR103))*(N(BR103)=N(BS103))))),1),0))</f>
        <v>0</v>
      </c>
      <c r="EX103" s="22">
        <f>IF(CE103&lt;2,0,IFERROR(_xlfn.AGGREGATE(15,6,nTP_RowN/((nTP_CandKey=BX103)*(nTP_Err="")*(1-nTP_Exact)*((nTP_HT*BN103*((nTP_OK*BO103*(nTP_UTC_n-N(BQ103))+(1-nTP_OK*BO103)*(nTP_Loc_n-N(BP103)))&lt;=0)+(1-nTP_HT*BN103)*(nTP_Hi_n&lt;N(BR103)))+((1-nTP_HT*BN103)*(nTP_Lo_n=nTP_Hi_n)*(nTP_Lo_n=N(BR103))*(N(BR103)=N(BS103))))),2),0))</f>
        <v>0</v>
      </c>
      <c r="EY103" s="22">
        <f>IF(CE103&lt;3,0,IFERROR(_xlfn.AGGREGATE(15,6,nTP_RowN/((nTP_CandKey=BX103)*(nTP_Err="")*(1-nTP_Exact)*((nTP_HT*BN103*((nTP_OK*BO103*(nTP_UTC_n-N(BQ103))+(1-nTP_OK*BO103)*(nTP_Loc_n-N(BP103)))&lt;=0)+(1-nTP_HT*BN103)*(nTP_Hi_n&lt;N(BR103)))+((1-nTP_HT*BN103)*(nTP_Lo_n=nTP_Hi_n)*(nTP_Lo_n=N(BR103))*(N(BR103)=N(BS103))))),3),0))</f>
        <v>0</v>
      </c>
      <c r="EZ103" s="21" t="str">
        <f>IF(EO103=0,"",MID(IF(EQ103&gt;0,"; "&amp;INDEX(nTP_Record_ID,EQ103)&amp;IF(INDEX(nTP_Label,EQ103)="",""," ("&amp;INDEX(nTP_Label,EQ103)&amp;")"),"")&amp;IF(ER103&gt;0,"; "&amp;INDEX(nTP_Record_ID,ER103)&amp;IF(INDEX(nTP_Label,ER103)="",""," ("&amp;INDEX(nTP_Label,ER103)&amp;")"),"")&amp;IF(ES103&gt;0,"; "&amp;INDEX(nTP_Record_ID,ES103)&amp;IF(INDEX(nTP_Label,ES103)="",""," ("&amp;INDEX(nTP_Label,ES103)&amp;")"),"")&amp;IF(EO103&gt;3,"; and "&amp;(EO103-3)&amp;" more",""),3,999))</f>
        <v/>
      </c>
      <c r="FA103" s="21" t="str">
        <f>IF(EO103=0,"",MID(IF(EQ103&gt;0,"; "&amp;INDEX(nTP_Record_ID,EQ103),"")&amp;IF(ER103&gt;0,"; "&amp;INDEX(nTP_Record_ID,ER103),"")&amp;IF(ES103&gt;0,"; "&amp;INDEX(nTP_Record_ID,ES103),"")&amp;IF(EO103&gt;3,"; and "&amp;(EO103-3)&amp;" more",""),3,999))</f>
        <v/>
      </c>
      <c r="FB103" s="21" t="str">
        <f>IF(EP103=0,"",MID(IF(ET103&gt;0,"; "&amp;INDEX(nTP_Record_ID,ET103)&amp;IF(INDEX(nTP_Label,ET103)="",""," ("&amp;INDEX(nTP_Label,ET103)&amp;")"),"")&amp;IF(EU103&gt;0,"; "&amp;INDEX(nTP_Record_ID,EU103)&amp;IF(INDEX(nTP_Label,EU103)="",""," ("&amp;INDEX(nTP_Label,EU103)&amp;")"),"")&amp;IF(EV103&gt;0,"; "&amp;INDEX(nTP_Record_ID,EV103)&amp;IF(INDEX(nTP_Label,EV103)="",""," ("&amp;INDEX(nTP_Label,EV103)&amp;")"),"")&amp;IF(EP103&gt;3,"; and "&amp;(EP103-3)&amp;" more",""),3,999))</f>
        <v/>
      </c>
      <c r="FC103" s="21" t="str">
        <f>IF(CE103=0,"",MID(IF(EW103&gt;0,"; "&amp;INDEX(nTP_Record_ID,EW103),"")&amp;IF(EX103&gt;0,"; "&amp;INDEX(nTP_Record_ID,EX103),"")&amp;IF(EY103&gt;0,"; "&amp;INDEX(nTP_Record_ID,EY103),"")&amp;IF(CE103&gt;3,"; and "&amp;(CE103-3)&amp;" more",""),3,999))</f>
        <v/>
      </c>
      <c r="FD103" s="22">
        <f t="shared" si="181"/>
        <v>0</v>
      </c>
      <c r="FE103" s="22">
        <f t="shared" si="182"/>
        <v>0</v>
      </c>
      <c r="FF103" s="22">
        <f t="shared" si="183"/>
        <v>0</v>
      </c>
      <c r="FG103" s="22">
        <f t="shared" si="184"/>
        <v>0</v>
      </c>
      <c r="FH103" s="22">
        <f t="shared" si="185"/>
        <v>0</v>
      </c>
      <c r="FI103" s="22">
        <f t="shared" si="186"/>
        <v>0</v>
      </c>
      <c r="FJ103" s="22">
        <f t="shared" si="187"/>
        <v>0</v>
      </c>
      <c r="FK103" s="22">
        <f t="shared" si="188"/>
        <v>0</v>
      </c>
    </row>
  </sheetData>
  <sheetProtection sheet="1" objects="1" scenarios="1" formatColumns="0" formatRows="0" autoFilter="0"/>
  <autoFilter ref="A4:FK103" xr:uid="{87AF5F89-01A6-4203-9E08-9B6B3F26A171}"/>
  <dataValidations count="7">
    <dataValidation type="whole" operator="greaterThanOrEqual" allowBlank="1" showInputMessage="1" showErrorMessage="1" sqref="C5:C44" xr:uid="{65E41040-1198-419C-9AEE-1E02802ACBC0}">
      <formula1>1</formula1>
    </dataValidation>
    <dataValidation type="list" allowBlank="1" showInputMessage="1" showErrorMessage="1" sqref="E5:E44" xr:uid="{D59791B9-BB43-42FD-9D52-F63C89E2C645}">
      <formula1>nLIST_AnchorType</formula1>
    </dataValidation>
    <dataValidation type="list" allowBlank="1" showInputMessage="1" showErrorMessage="1" sqref="I5:I44" xr:uid="{5208D4AE-5B5C-46F0-8641-8FCCC0F4183A}">
      <formula1>nLIST_Mode</formula1>
    </dataValidation>
    <dataValidation type="list" allowBlank="1" showInputMessage="1" showErrorMessage="1" sqref="J5:J44" xr:uid="{B347E7E1-A31B-4BBF-93BC-A237FB67A0F4}">
      <formula1>nLIST_TD</formula1>
    </dataValidation>
    <dataValidation type="decimal" allowBlank="1" showInputMessage="1" showErrorMessage="1" sqref="L5:L44 M5:M44" xr:uid="{DAA2E566-DF0A-4C45-85BA-CD35AD87B012}">
      <formula1>-1000000000000</formula1>
      <formula2>1000000000000</formula2>
    </dataValidation>
    <dataValidation type="list" allowBlank="1" showInputMessage="1" showErrorMessage="1" sqref="N5:N44" xr:uid="{C7525551-6A31-4DFD-8674-A339F7603EF5}">
      <formula1>nLIST_ReportedUnit</formula1>
    </dataValidation>
    <dataValidation type="date" allowBlank="1" showInputMessage="1" showErrorMessage="1" sqref="P5:P44 Q5:Q44" xr:uid="{AC2D5425-CAEA-4CAB-BA7C-A44CD7F9B9DA}">
      <formula1>1</formula1>
      <formula2>2958465</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7DD94-F8E2-4FA1-BFF4-950F27AEE428}">
  <dimension ref="A1:P45"/>
  <sheetViews>
    <sheetView zoomScale="90" zoomScaleNormal="90" workbookViewId="0">
      <pane xSplit="1" ySplit="4" topLeftCell="B5" activePane="bottomRight" state="frozenSplit"/>
      <selection pane="topRight" activeCell="B1" sqref="B1"/>
      <selection pane="bottomLeft" activeCell="A5" sqref="A5"/>
      <selection pane="bottomRight"/>
    </sheetView>
  </sheetViews>
  <sheetFormatPr defaultRowHeight="12.75" x14ac:dyDescent="0.2"/>
  <cols>
    <col min="1" max="1" width="12.7109375" style="1" customWidth="1"/>
    <col min="2" max="2" width="10.7109375" style="1" customWidth="1"/>
    <col min="3" max="3" width="14.7109375" style="1" customWidth="1"/>
    <col min="4" max="4" width="16.7109375" style="1" customWidth="1"/>
    <col min="5" max="5" width="11.7109375" style="1" customWidth="1"/>
    <col min="6" max="6" width="10.7109375" style="1" customWidth="1"/>
    <col min="7" max="7" width="22.7109375" style="1" customWidth="1"/>
    <col min="8" max="9" width="14.7109375" style="1" customWidth="1"/>
    <col min="10" max="10" width="8.7109375" style="1" customWidth="1"/>
    <col min="11" max="11" width="50.7109375" style="1" customWidth="1"/>
    <col min="12" max="12" width="22.7109375" style="1" customWidth="1"/>
    <col min="13" max="13" width="11.7109375" style="1" customWidth="1"/>
    <col min="14" max="15" width="26.7109375" style="1" customWidth="1"/>
    <col min="16" max="16" width="30.7109375" style="1" customWidth="1"/>
    <col min="17" max="16384" width="9.140625" style="1"/>
  </cols>
  <sheetData>
    <row r="1" spans="1:16" ht="17.25" x14ac:dyDescent="0.3">
      <c r="A1" s="6" t="s">
        <v>1544</v>
      </c>
    </row>
    <row r="2" spans="1:16" x14ac:dyDescent="0.2">
      <c r="A2" s="7" t="s">
        <v>1545</v>
      </c>
    </row>
    <row r="3" spans="1:16" x14ac:dyDescent="0.2">
      <c r="P3" s="2" t="s">
        <v>1560</v>
      </c>
    </row>
    <row r="4" spans="1:16" ht="66" customHeight="1" x14ac:dyDescent="0.2">
      <c r="A4" s="8" t="s">
        <v>1546</v>
      </c>
      <c r="B4" s="8" t="s">
        <v>1547</v>
      </c>
      <c r="C4" s="8" t="s">
        <v>389</v>
      </c>
      <c r="D4" s="8" t="s">
        <v>1548</v>
      </c>
      <c r="E4" s="8" t="s">
        <v>1549</v>
      </c>
      <c r="F4" s="8" t="s">
        <v>1550</v>
      </c>
      <c r="G4" s="8" t="s">
        <v>1551</v>
      </c>
      <c r="H4" s="8" t="s">
        <v>1552</v>
      </c>
      <c r="I4" s="8" t="s">
        <v>1553</v>
      </c>
      <c r="J4" s="8" t="s">
        <v>1554</v>
      </c>
      <c r="K4" s="8" t="s">
        <v>1555</v>
      </c>
      <c r="L4" s="8" t="s">
        <v>1556</v>
      </c>
      <c r="M4" s="8" t="s">
        <v>1557</v>
      </c>
      <c r="N4" s="8" t="s">
        <v>1558</v>
      </c>
      <c r="O4" s="8" t="s">
        <v>1559</v>
      </c>
      <c r="P4" s="19" t="s">
        <v>1561</v>
      </c>
    </row>
    <row r="5" spans="1:16" x14ac:dyDescent="0.2">
      <c r="A5" s="10"/>
      <c r="B5" s="10"/>
      <c r="C5" s="10"/>
      <c r="D5" s="10"/>
      <c r="E5" s="17"/>
      <c r="F5" s="10"/>
      <c r="G5" s="10"/>
      <c r="H5" s="10"/>
      <c r="I5" s="15"/>
      <c r="J5" s="10"/>
      <c r="K5" s="10"/>
      <c r="L5" s="17"/>
      <c r="M5" s="17"/>
      <c r="N5" s="10"/>
      <c r="O5" s="10"/>
      <c r="P5" s="21" t="str">
        <f t="shared" ref="P5:P34" si="0">IF(K5="","",IF(OR(D5="",G5="",J5=""),"Incomplete: document, version and section are needed","Document, version and section recorded"))</f>
        <v/>
      </c>
    </row>
    <row r="6" spans="1:16" x14ac:dyDescent="0.2">
      <c r="A6" s="10"/>
      <c r="B6" s="10"/>
      <c r="C6" s="10"/>
      <c r="D6" s="10"/>
      <c r="E6" s="17"/>
      <c r="F6" s="10"/>
      <c r="G6" s="10"/>
      <c r="H6" s="10"/>
      <c r="I6" s="15"/>
      <c r="J6" s="10"/>
      <c r="K6" s="10"/>
      <c r="L6" s="17"/>
      <c r="M6" s="17"/>
      <c r="N6" s="10"/>
      <c r="O6" s="10"/>
      <c r="P6" s="21" t="str">
        <f t="shared" si="0"/>
        <v/>
      </c>
    </row>
    <row r="7" spans="1:16" x14ac:dyDescent="0.2">
      <c r="A7" s="10"/>
      <c r="B7" s="10"/>
      <c r="C7" s="10"/>
      <c r="D7" s="10"/>
      <c r="E7" s="17"/>
      <c r="F7" s="10"/>
      <c r="G7" s="10"/>
      <c r="H7" s="10"/>
      <c r="I7" s="15"/>
      <c r="J7" s="10"/>
      <c r="K7" s="10"/>
      <c r="L7" s="17"/>
      <c r="M7" s="17"/>
      <c r="N7" s="10"/>
      <c r="O7" s="10"/>
      <c r="P7" s="21" t="str">
        <f t="shared" si="0"/>
        <v/>
      </c>
    </row>
    <row r="8" spans="1:16" x14ac:dyDescent="0.2">
      <c r="A8" s="10"/>
      <c r="B8" s="10"/>
      <c r="C8" s="10"/>
      <c r="D8" s="10"/>
      <c r="E8" s="17"/>
      <c r="F8" s="10"/>
      <c r="G8" s="10"/>
      <c r="H8" s="10"/>
      <c r="I8" s="15"/>
      <c r="J8" s="10"/>
      <c r="K8" s="10"/>
      <c r="L8" s="17"/>
      <c r="M8" s="17"/>
      <c r="N8" s="10"/>
      <c r="O8" s="10"/>
      <c r="P8" s="21" t="str">
        <f t="shared" si="0"/>
        <v/>
      </c>
    </row>
    <row r="9" spans="1:16" x14ac:dyDescent="0.2">
      <c r="A9" s="10"/>
      <c r="B9" s="10"/>
      <c r="C9" s="10"/>
      <c r="D9" s="10"/>
      <c r="E9" s="17"/>
      <c r="F9" s="10"/>
      <c r="G9" s="10"/>
      <c r="H9" s="10"/>
      <c r="I9" s="15"/>
      <c r="J9" s="10"/>
      <c r="K9" s="10"/>
      <c r="L9" s="17"/>
      <c r="M9" s="17"/>
      <c r="N9" s="10"/>
      <c r="O9" s="10"/>
      <c r="P9" s="21" t="str">
        <f t="shared" si="0"/>
        <v/>
      </c>
    </row>
    <row r="10" spans="1:16" x14ac:dyDescent="0.2">
      <c r="A10" s="10"/>
      <c r="B10" s="10"/>
      <c r="C10" s="10"/>
      <c r="D10" s="10"/>
      <c r="E10" s="17"/>
      <c r="F10" s="10"/>
      <c r="G10" s="10"/>
      <c r="H10" s="10"/>
      <c r="I10" s="15"/>
      <c r="J10" s="10"/>
      <c r="K10" s="10"/>
      <c r="L10" s="17"/>
      <c r="M10" s="17"/>
      <c r="N10" s="10"/>
      <c r="O10" s="10"/>
      <c r="P10" s="21" t="str">
        <f t="shared" si="0"/>
        <v/>
      </c>
    </row>
    <row r="11" spans="1:16" x14ac:dyDescent="0.2">
      <c r="A11" s="10"/>
      <c r="B11" s="10"/>
      <c r="C11" s="10"/>
      <c r="D11" s="10"/>
      <c r="E11" s="17"/>
      <c r="F11" s="10"/>
      <c r="G11" s="10"/>
      <c r="H11" s="10"/>
      <c r="I11" s="15"/>
      <c r="J11" s="10"/>
      <c r="K11" s="10"/>
      <c r="L11" s="17"/>
      <c r="M11" s="17"/>
      <c r="N11" s="10"/>
      <c r="O11" s="10"/>
      <c r="P11" s="21" t="str">
        <f t="shared" si="0"/>
        <v/>
      </c>
    </row>
    <row r="12" spans="1:16" x14ac:dyDescent="0.2">
      <c r="A12" s="10"/>
      <c r="B12" s="10"/>
      <c r="C12" s="10"/>
      <c r="D12" s="10"/>
      <c r="E12" s="17"/>
      <c r="F12" s="10"/>
      <c r="G12" s="10"/>
      <c r="H12" s="10"/>
      <c r="I12" s="15"/>
      <c r="J12" s="10"/>
      <c r="K12" s="10"/>
      <c r="L12" s="17"/>
      <c r="M12" s="17"/>
      <c r="N12" s="10"/>
      <c r="O12" s="10"/>
      <c r="P12" s="21" t="str">
        <f t="shared" si="0"/>
        <v/>
      </c>
    </row>
    <row r="13" spans="1:16" x14ac:dyDescent="0.2">
      <c r="A13" s="10"/>
      <c r="B13" s="10"/>
      <c r="C13" s="10"/>
      <c r="D13" s="10"/>
      <c r="E13" s="17"/>
      <c r="F13" s="10"/>
      <c r="G13" s="10"/>
      <c r="H13" s="10"/>
      <c r="I13" s="15"/>
      <c r="J13" s="10"/>
      <c r="K13" s="10"/>
      <c r="L13" s="17"/>
      <c r="M13" s="17"/>
      <c r="N13" s="10"/>
      <c r="O13" s="10"/>
      <c r="P13" s="21" t="str">
        <f t="shared" si="0"/>
        <v/>
      </c>
    </row>
    <row r="14" spans="1:16" x14ac:dyDescent="0.2">
      <c r="A14" s="10"/>
      <c r="B14" s="10"/>
      <c r="C14" s="10"/>
      <c r="D14" s="10"/>
      <c r="E14" s="17"/>
      <c r="F14" s="10"/>
      <c r="G14" s="10"/>
      <c r="H14" s="10"/>
      <c r="I14" s="15"/>
      <c r="J14" s="10"/>
      <c r="K14" s="10"/>
      <c r="L14" s="17"/>
      <c r="M14" s="17"/>
      <c r="N14" s="10"/>
      <c r="O14" s="10"/>
      <c r="P14" s="21" t="str">
        <f t="shared" si="0"/>
        <v/>
      </c>
    </row>
    <row r="15" spans="1:16" x14ac:dyDescent="0.2">
      <c r="A15" s="10"/>
      <c r="B15" s="10"/>
      <c r="C15" s="10"/>
      <c r="D15" s="10"/>
      <c r="E15" s="17"/>
      <c r="F15" s="10"/>
      <c r="G15" s="10"/>
      <c r="H15" s="10"/>
      <c r="I15" s="15"/>
      <c r="J15" s="10"/>
      <c r="K15" s="10"/>
      <c r="L15" s="17"/>
      <c r="M15" s="17"/>
      <c r="N15" s="10"/>
      <c r="O15" s="10"/>
      <c r="P15" s="21" t="str">
        <f t="shared" si="0"/>
        <v/>
      </c>
    </row>
    <row r="16" spans="1:16" x14ac:dyDescent="0.2">
      <c r="A16" s="10"/>
      <c r="B16" s="10"/>
      <c r="C16" s="10"/>
      <c r="D16" s="10"/>
      <c r="E16" s="17"/>
      <c r="F16" s="10"/>
      <c r="G16" s="10"/>
      <c r="H16" s="10"/>
      <c r="I16" s="15"/>
      <c r="J16" s="10"/>
      <c r="K16" s="10"/>
      <c r="L16" s="17"/>
      <c r="M16" s="17"/>
      <c r="N16" s="10"/>
      <c r="O16" s="10"/>
      <c r="P16" s="21" t="str">
        <f t="shared" si="0"/>
        <v/>
      </c>
    </row>
    <row r="17" spans="1:16" x14ac:dyDescent="0.2">
      <c r="A17" s="10"/>
      <c r="B17" s="10"/>
      <c r="C17" s="10"/>
      <c r="D17" s="10"/>
      <c r="E17" s="17"/>
      <c r="F17" s="10"/>
      <c r="G17" s="10"/>
      <c r="H17" s="10"/>
      <c r="I17" s="15"/>
      <c r="J17" s="10"/>
      <c r="K17" s="10"/>
      <c r="L17" s="17"/>
      <c r="M17" s="17"/>
      <c r="N17" s="10"/>
      <c r="O17" s="10"/>
      <c r="P17" s="21" t="str">
        <f t="shared" si="0"/>
        <v/>
      </c>
    </row>
    <row r="18" spans="1:16" x14ac:dyDescent="0.2">
      <c r="A18" s="10"/>
      <c r="B18" s="10"/>
      <c r="C18" s="10"/>
      <c r="D18" s="10"/>
      <c r="E18" s="17"/>
      <c r="F18" s="10"/>
      <c r="G18" s="10"/>
      <c r="H18" s="10"/>
      <c r="I18" s="15"/>
      <c r="J18" s="10"/>
      <c r="K18" s="10"/>
      <c r="L18" s="17"/>
      <c r="M18" s="17"/>
      <c r="N18" s="10"/>
      <c r="O18" s="10"/>
      <c r="P18" s="21" t="str">
        <f t="shared" si="0"/>
        <v/>
      </c>
    </row>
    <row r="19" spans="1:16" x14ac:dyDescent="0.2">
      <c r="A19" s="10"/>
      <c r="B19" s="10"/>
      <c r="C19" s="10"/>
      <c r="D19" s="10"/>
      <c r="E19" s="17"/>
      <c r="F19" s="10"/>
      <c r="G19" s="10"/>
      <c r="H19" s="10"/>
      <c r="I19" s="15"/>
      <c r="J19" s="10"/>
      <c r="K19" s="10"/>
      <c r="L19" s="17"/>
      <c r="M19" s="17"/>
      <c r="N19" s="10"/>
      <c r="O19" s="10"/>
      <c r="P19" s="21" t="str">
        <f t="shared" si="0"/>
        <v/>
      </c>
    </row>
    <row r="20" spans="1:16" x14ac:dyDescent="0.2">
      <c r="A20" s="10"/>
      <c r="B20" s="10"/>
      <c r="C20" s="10"/>
      <c r="D20" s="10"/>
      <c r="E20" s="17"/>
      <c r="F20" s="10"/>
      <c r="G20" s="10"/>
      <c r="H20" s="10"/>
      <c r="I20" s="15"/>
      <c r="J20" s="10"/>
      <c r="K20" s="10"/>
      <c r="L20" s="17"/>
      <c r="M20" s="17"/>
      <c r="N20" s="10"/>
      <c r="O20" s="10"/>
      <c r="P20" s="21" t="str">
        <f t="shared" si="0"/>
        <v/>
      </c>
    </row>
    <row r="21" spans="1:16" x14ac:dyDescent="0.2">
      <c r="A21" s="10"/>
      <c r="B21" s="10"/>
      <c r="C21" s="10"/>
      <c r="D21" s="10"/>
      <c r="E21" s="17"/>
      <c r="F21" s="10"/>
      <c r="G21" s="10"/>
      <c r="H21" s="10"/>
      <c r="I21" s="15"/>
      <c r="J21" s="10"/>
      <c r="K21" s="10"/>
      <c r="L21" s="17"/>
      <c r="M21" s="17"/>
      <c r="N21" s="10"/>
      <c r="O21" s="10"/>
      <c r="P21" s="21" t="str">
        <f t="shared" si="0"/>
        <v/>
      </c>
    </row>
    <row r="22" spans="1:16" x14ac:dyDescent="0.2">
      <c r="A22" s="10"/>
      <c r="B22" s="10"/>
      <c r="C22" s="10"/>
      <c r="D22" s="10"/>
      <c r="E22" s="17"/>
      <c r="F22" s="10"/>
      <c r="G22" s="10"/>
      <c r="H22" s="10"/>
      <c r="I22" s="15"/>
      <c r="J22" s="10"/>
      <c r="K22" s="10"/>
      <c r="L22" s="17"/>
      <c r="M22" s="17"/>
      <c r="N22" s="10"/>
      <c r="O22" s="10"/>
      <c r="P22" s="21" t="str">
        <f t="shared" si="0"/>
        <v/>
      </c>
    </row>
    <row r="23" spans="1:16" x14ac:dyDescent="0.2">
      <c r="A23" s="10"/>
      <c r="B23" s="10"/>
      <c r="C23" s="10"/>
      <c r="D23" s="10"/>
      <c r="E23" s="17"/>
      <c r="F23" s="10"/>
      <c r="G23" s="10"/>
      <c r="H23" s="10"/>
      <c r="I23" s="15"/>
      <c r="J23" s="10"/>
      <c r="K23" s="10"/>
      <c r="L23" s="17"/>
      <c r="M23" s="17"/>
      <c r="N23" s="10"/>
      <c r="O23" s="10"/>
      <c r="P23" s="21" t="str">
        <f t="shared" si="0"/>
        <v/>
      </c>
    </row>
    <row r="24" spans="1:16" x14ac:dyDescent="0.2">
      <c r="A24" s="10"/>
      <c r="B24" s="10"/>
      <c r="C24" s="10"/>
      <c r="D24" s="10"/>
      <c r="E24" s="17"/>
      <c r="F24" s="10"/>
      <c r="G24" s="10"/>
      <c r="H24" s="10"/>
      <c r="I24" s="15"/>
      <c r="J24" s="10"/>
      <c r="K24" s="10"/>
      <c r="L24" s="17"/>
      <c r="M24" s="17"/>
      <c r="N24" s="10"/>
      <c r="O24" s="10"/>
      <c r="P24" s="21" t="str">
        <f t="shared" si="0"/>
        <v/>
      </c>
    </row>
    <row r="25" spans="1:16" x14ac:dyDescent="0.2">
      <c r="A25" s="10"/>
      <c r="B25" s="10"/>
      <c r="C25" s="10"/>
      <c r="D25" s="10"/>
      <c r="E25" s="17"/>
      <c r="F25" s="10"/>
      <c r="G25" s="10"/>
      <c r="H25" s="10"/>
      <c r="I25" s="15"/>
      <c r="J25" s="10"/>
      <c r="K25" s="10"/>
      <c r="L25" s="17"/>
      <c r="M25" s="17"/>
      <c r="N25" s="10"/>
      <c r="O25" s="10"/>
      <c r="P25" s="21" t="str">
        <f t="shared" si="0"/>
        <v/>
      </c>
    </row>
    <row r="26" spans="1:16" x14ac:dyDescent="0.2">
      <c r="A26" s="10"/>
      <c r="B26" s="10"/>
      <c r="C26" s="10"/>
      <c r="D26" s="10"/>
      <c r="E26" s="17"/>
      <c r="F26" s="10"/>
      <c r="G26" s="10"/>
      <c r="H26" s="10"/>
      <c r="I26" s="15"/>
      <c r="J26" s="10"/>
      <c r="K26" s="10"/>
      <c r="L26" s="17"/>
      <c r="M26" s="17"/>
      <c r="N26" s="10"/>
      <c r="O26" s="10"/>
      <c r="P26" s="21" t="str">
        <f t="shared" si="0"/>
        <v/>
      </c>
    </row>
    <row r="27" spans="1:16" x14ac:dyDescent="0.2">
      <c r="A27" s="10"/>
      <c r="B27" s="10"/>
      <c r="C27" s="10"/>
      <c r="D27" s="10"/>
      <c r="E27" s="17"/>
      <c r="F27" s="10"/>
      <c r="G27" s="10"/>
      <c r="H27" s="10"/>
      <c r="I27" s="15"/>
      <c r="J27" s="10"/>
      <c r="K27" s="10"/>
      <c r="L27" s="17"/>
      <c r="M27" s="17"/>
      <c r="N27" s="10"/>
      <c r="O27" s="10"/>
      <c r="P27" s="21" t="str">
        <f t="shared" si="0"/>
        <v/>
      </c>
    </row>
    <row r="28" spans="1:16" x14ac:dyDescent="0.2">
      <c r="A28" s="10"/>
      <c r="B28" s="10"/>
      <c r="C28" s="10"/>
      <c r="D28" s="10"/>
      <c r="E28" s="17"/>
      <c r="F28" s="10"/>
      <c r="G28" s="10"/>
      <c r="H28" s="10"/>
      <c r="I28" s="15"/>
      <c r="J28" s="10"/>
      <c r="K28" s="10"/>
      <c r="L28" s="17"/>
      <c r="M28" s="17"/>
      <c r="N28" s="10"/>
      <c r="O28" s="10"/>
      <c r="P28" s="21" t="str">
        <f t="shared" si="0"/>
        <v/>
      </c>
    </row>
    <row r="29" spans="1:16" x14ac:dyDescent="0.2">
      <c r="A29" s="10"/>
      <c r="B29" s="10"/>
      <c r="C29" s="10"/>
      <c r="D29" s="10"/>
      <c r="E29" s="17"/>
      <c r="F29" s="10"/>
      <c r="G29" s="10"/>
      <c r="H29" s="10"/>
      <c r="I29" s="15"/>
      <c r="J29" s="10"/>
      <c r="K29" s="10"/>
      <c r="L29" s="17"/>
      <c r="M29" s="17"/>
      <c r="N29" s="10"/>
      <c r="O29" s="10"/>
      <c r="P29" s="21" t="str">
        <f t="shared" si="0"/>
        <v/>
      </c>
    </row>
    <row r="30" spans="1:16" x14ac:dyDescent="0.2">
      <c r="A30" s="10"/>
      <c r="B30" s="10"/>
      <c r="C30" s="10"/>
      <c r="D30" s="10"/>
      <c r="E30" s="17"/>
      <c r="F30" s="10"/>
      <c r="G30" s="10"/>
      <c r="H30" s="10"/>
      <c r="I30" s="15"/>
      <c r="J30" s="10"/>
      <c r="K30" s="10"/>
      <c r="L30" s="17"/>
      <c r="M30" s="17"/>
      <c r="N30" s="10"/>
      <c r="O30" s="10"/>
      <c r="P30" s="21" t="str">
        <f t="shared" si="0"/>
        <v/>
      </c>
    </row>
    <row r="31" spans="1:16" x14ac:dyDescent="0.2">
      <c r="A31" s="10"/>
      <c r="B31" s="10"/>
      <c r="C31" s="10"/>
      <c r="D31" s="10"/>
      <c r="E31" s="17"/>
      <c r="F31" s="10"/>
      <c r="G31" s="10"/>
      <c r="H31" s="10"/>
      <c r="I31" s="15"/>
      <c r="J31" s="10"/>
      <c r="K31" s="10"/>
      <c r="L31" s="17"/>
      <c r="M31" s="17"/>
      <c r="N31" s="10"/>
      <c r="O31" s="10"/>
      <c r="P31" s="21" t="str">
        <f t="shared" si="0"/>
        <v/>
      </c>
    </row>
    <row r="32" spans="1:16" x14ac:dyDescent="0.2">
      <c r="A32" s="10"/>
      <c r="B32" s="10"/>
      <c r="C32" s="10"/>
      <c r="D32" s="10"/>
      <c r="E32" s="17"/>
      <c r="F32" s="10"/>
      <c r="G32" s="10"/>
      <c r="H32" s="10"/>
      <c r="I32" s="15"/>
      <c r="J32" s="10"/>
      <c r="K32" s="10"/>
      <c r="L32" s="17"/>
      <c r="M32" s="17"/>
      <c r="N32" s="10"/>
      <c r="O32" s="10"/>
      <c r="P32" s="21" t="str">
        <f t="shared" si="0"/>
        <v/>
      </c>
    </row>
    <row r="33" spans="1:16" x14ac:dyDescent="0.2">
      <c r="A33" s="10"/>
      <c r="B33" s="10"/>
      <c r="C33" s="10"/>
      <c r="D33" s="10"/>
      <c r="E33" s="17"/>
      <c r="F33" s="10"/>
      <c r="G33" s="10"/>
      <c r="H33" s="10"/>
      <c r="I33" s="15"/>
      <c r="J33" s="10"/>
      <c r="K33" s="10"/>
      <c r="L33" s="17"/>
      <c r="M33" s="17"/>
      <c r="N33" s="10"/>
      <c r="O33" s="10"/>
      <c r="P33" s="21" t="str">
        <f t="shared" si="0"/>
        <v/>
      </c>
    </row>
    <row r="34" spans="1:16" x14ac:dyDescent="0.2">
      <c r="A34" s="10"/>
      <c r="B34" s="10"/>
      <c r="C34" s="10"/>
      <c r="D34" s="10"/>
      <c r="E34" s="17"/>
      <c r="F34" s="10"/>
      <c r="G34" s="10"/>
      <c r="H34" s="10"/>
      <c r="I34" s="15"/>
      <c r="J34" s="10"/>
      <c r="K34" s="10"/>
      <c r="L34" s="17"/>
      <c r="M34" s="17"/>
      <c r="N34" s="10"/>
      <c r="O34" s="10"/>
      <c r="P34" s="21" t="str">
        <f t="shared" si="0"/>
        <v/>
      </c>
    </row>
    <row r="35" spans="1:16" x14ac:dyDescent="0.2">
      <c r="A35" s="24" t="s">
        <v>294</v>
      </c>
      <c r="B35" s="23"/>
      <c r="C35" s="23"/>
      <c r="D35" s="23"/>
      <c r="E35" s="23"/>
      <c r="F35" s="23"/>
      <c r="G35" s="23"/>
      <c r="H35" s="23"/>
      <c r="I35" s="23"/>
      <c r="J35" s="23"/>
      <c r="K35" s="23"/>
      <c r="L35" s="23"/>
      <c r="M35" s="23"/>
      <c r="N35" s="23"/>
      <c r="O35" s="23"/>
      <c r="P35" s="23"/>
    </row>
    <row r="36" spans="1:16" x14ac:dyDescent="0.2">
      <c r="A36" s="9" t="s">
        <v>1564</v>
      </c>
      <c r="B36" s="9" t="s">
        <v>301</v>
      </c>
      <c r="C36" s="9" t="s">
        <v>1568</v>
      </c>
      <c r="D36" s="9" t="s">
        <v>1569</v>
      </c>
      <c r="E36" s="16" t="s">
        <v>149</v>
      </c>
      <c r="F36" s="9" t="s">
        <v>1565</v>
      </c>
      <c r="G36" s="9" t="s">
        <v>1567</v>
      </c>
      <c r="H36" s="9" t="s">
        <v>1562</v>
      </c>
      <c r="I36" s="14">
        <v>46315</v>
      </c>
      <c r="J36" s="9" t="s">
        <v>1570</v>
      </c>
      <c r="K36" s="9" t="s">
        <v>1566</v>
      </c>
      <c r="L36" s="16" t="s">
        <v>147</v>
      </c>
      <c r="M36" s="16" t="s">
        <v>86</v>
      </c>
      <c r="N36" s="9"/>
      <c r="O36" s="9" t="s">
        <v>1563</v>
      </c>
      <c r="P36" s="21" t="str">
        <f t="shared" ref="P36:P45" si="1">IF(K36="","",IF(OR(D36="",G36="",J36=""),"Incomplete: document, version and section are needed","Document, version and section recorded"))</f>
        <v>Document, version and section recorded</v>
      </c>
    </row>
    <row r="37" spans="1:16" x14ac:dyDescent="0.2">
      <c r="A37" s="9" t="s">
        <v>1571</v>
      </c>
      <c r="B37" s="9" t="s">
        <v>301</v>
      </c>
      <c r="C37" s="9" t="s">
        <v>1568</v>
      </c>
      <c r="D37" s="9" t="s">
        <v>1569</v>
      </c>
      <c r="E37" s="16" t="s">
        <v>149</v>
      </c>
      <c r="F37" s="9" t="s">
        <v>1565</v>
      </c>
      <c r="G37" s="9" t="s">
        <v>1567</v>
      </c>
      <c r="H37" s="9" t="s">
        <v>1562</v>
      </c>
      <c r="I37" s="14">
        <v>46315</v>
      </c>
      <c r="J37" s="9" t="s">
        <v>1573</v>
      </c>
      <c r="K37" s="9" t="s">
        <v>1572</v>
      </c>
      <c r="L37" s="16" t="s">
        <v>147</v>
      </c>
      <c r="M37" s="16" t="s">
        <v>86</v>
      </c>
      <c r="N37" s="9"/>
      <c r="O37" s="9" t="s">
        <v>1563</v>
      </c>
      <c r="P37" s="21" t="str">
        <f t="shared" si="1"/>
        <v>Document, version and section recorded</v>
      </c>
    </row>
    <row r="38" spans="1:16" x14ac:dyDescent="0.2">
      <c r="A38" s="9" t="s">
        <v>1575</v>
      </c>
      <c r="B38" s="9" t="s">
        <v>301</v>
      </c>
      <c r="C38" s="9" t="s">
        <v>1568</v>
      </c>
      <c r="D38" s="9" t="s">
        <v>1569</v>
      </c>
      <c r="E38" s="16" t="s">
        <v>149</v>
      </c>
      <c r="F38" s="9" t="s">
        <v>1565</v>
      </c>
      <c r="G38" s="9" t="s">
        <v>1567</v>
      </c>
      <c r="H38" s="9" t="s">
        <v>1562</v>
      </c>
      <c r="I38" s="14">
        <v>46315</v>
      </c>
      <c r="J38" s="9" t="s">
        <v>1577</v>
      </c>
      <c r="K38" s="9" t="s">
        <v>1576</v>
      </c>
      <c r="L38" s="16" t="s">
        <v>147</v>
      </c>
      <c r="M38" s="16" t="s">
        <v>86</v>
      </c>
      <c r="N38" s="9"/>
      <c r="O38" s="9" t="s">
        <v>1574</v>
      </c>
      <c r="P38" s="21" t="str">
        <f t="shared" si="1"/>
        <v>Document, version and section recorded</v>
      </c>
    </row>
    <row r="39" spans="1:16" x14ac:dyDescent="0.2">
      <c r="A39" s="9" t="s">
        <v>1579</v>
      </c>
      <c r="B39" s="9" t="s">
        <v>301</v>
      </c>
      <c r="C39" s="9" t="s">
        <v>1568</v>
      </c>
      <c r="D39" s="9" t="s">
        <v>1569</v>
      </c>
      <c r="E39" s="16" t="s">
        <v>149</v>
      </c>
      <c r="F39" s="9" t="s">
        <v>1565</v>
      </c>
      <c r="G39" s="9" t="s">
        <v>1567</v>
      </c>
      <c r="H39" s="9" t="s">
        <v>1562</v>
      </c>
      <c r="I39" s="14">
        <v>46315</v>
      </c>
      <c r="J39" s="9" t="s">
        <v>1581</v>
      </c>
      <c r="K39" s="9" t="s">
        <v>1580</v>
      </c>
      <c r="L39" s="16" t="s">
        <v>145</v>
      </c>
      <c r="M39" s="16" t="s">
        <v>86</v>
      </c>
      <c r="N39" s="9"/>
      <c r="O39" s="9" t="s">
        <v>1578</v>
      </c>
      <c r="P39" s="21" t="str">
        <f t="shared" si="1"/>
        <v>Document, version and section recorded</v>
      </c>
    </row>
    <row r="40" spans="1:16" x14ac:dyDescent="0.2">
      <c r="A40" s="9" t="s">
        <v>1585</v>
      </c>
      <c r="B40" s="9" t="s">
        <v>305</v>
      </c>
      <c r="C40" s="9" t="s">
        <v>1588</v>
      </c>
      <c r="D40" s="9" t="s">
        <v>1589</v>
      </c>
      <c r="E40" s="16" t="s">
        <v>149</v>
      </c>
      <c r="F40" s="9" t="s">
        <v>1565</v>
      </c>
      <c r="G40" s="9" t="s">
        <v>1587</v>
      </c>
      <c r="H40" s="9" t="s">
        <v>1583</v>
      </c>
      <c r="I40" s="14">
        <v>46314</v>
      </c>
      <c r="J40" s="9" t="s">
        <v>1577</v>
      </c>
      <c r="K40" s="9" t="s">
        <v>1586</v>
      </c>
      <c r="L40" s="16" t="s">
        <v>144</v>
      </c>
      <c r="M40" s="16" t="s">
        <v>86</v>
      </c>
      <c r="N40" s="9" t="s">
        <v>1582</v>
      </c>
      <c r="O40" s="9" t="s">
        <v>1584</v>
      </c>
      <c r="P40" s="21" t="str">
        <f t="shared" si="1"/>
        <v>Document, version and section recorded</v>
      </c>
    </row>
    <row r="41" spans="1:16" x14ac:dyDescent="0.2">
      <c r="A41" s="9" t="s">
        <v>1593</v>
      </c>
      <c r="B41" s="9" t="s">
        <v>305</v>
      </c>
      <c r="C41" s="9" t="s">
        <v>1588</v>
      </c>
      <c r="D41" s="9" t="s">
        <v>1597</v>
      </c>
      <c r="E41" s="16" t="s">
        <v>150</v>
      </c>
      <c r="F41" s="9" t="s">
        <v>1594</v>
      </c>
      <c r="G41" s="9" t="s">
        <v>1596</v>
      </c>
      <c r="H41" s="9" t="s">
        <v>1591</v>
      </c>
      <c r="I41" s="14">
        <v>46314</v>
      </c>
      <c r="J41" s="9" t="s">
        <v>1598</v>
      </c>
      <c r="K41" s="9" t="s">
        <v>1595</v>
      </c>
      <c r="L41" s="16" t="s">
        <v>147</v>
      </c>
      <c r="M41" s="16" t="s">
        <v>86</v>
      </c>
      <c r="N41" s="9" t="s">
        <v>1590</v>
      </c>
      <c r="O41" s="9" t="s">
        <v>1592</v>
      </c>
      <c r="P41" s="21" t="str">
        <f t="shared" si="1"/>
        <v>Document, version and section recorded</v>
      </c>
    </row>
    <row r="42" spans="1:16" x14ac:dyDescent="0.2">
      <c r="A42" s="9" t="s">
        <v>1601</v>
      </c>
      <c r="B42" s="9" t="s">
        <v>305</v>
      </c>
      <c r="C42" s="9" t="s">
        <v>1588</v>
      </c>
      <c r="D42" s="9" t="s">
        <v>1589</v>
      </c>
      <c r="E42" s="16" t="s">
        <v>149</v>
      </c>
      <c r="F42" s="9" t="s">
        <v>1565</v>
      </c>
      <c r="G42" s="9" t="s">
        <v>1587</v>
      </c>
      <c r="H42" s="9" t="s">
        <v>1583</v>
      </c>
      <c r="I42" s="14">
        <v>46314</v>
      </c>
      <c r="J42" s="9" t="s">
        <v>1570</v>
      </c>
      <c r="K42" s="9" t="s">
        <v>1602</v>
      </c>
      <c r="L42" s="16" t="s">
        <v>147</v>
      </c>
      <c r="M42" s="16" t="s">
        <v>86</v>
      </c>
      <c r="N42" s="9" t="s">
        <v>1599</v>
      </c>
      <c r="O42" s="9" t="s">
        <v>1600</v>
      </c>
      <c r="P42" s="21" t="str">
        <f t="shared" si="1"/>
        <v>Document, version and section recorded</v>
      </c>
    </row>
    <row r="43" spans="1:16" x14ac:dyDescent="0.2">
      <c r="A43" s="9" t="s">
        <v>1605</v>
      </c>
      <c r="B43" s="9" t="s">
        <v>305</v>
      </c>
      <c r="C43" s="9" t="s">
        <v>1588</v>
      </c>
      <c r="D43" s="9" t="s">
        <v>1589</v>
      </c>
      <c r="E43" s="16" t="s">
        <v>149</v>
      </c>
      <c r="F43" s="9" t="s">
        <v>1565</v>
      </c>
      <c r="G43" s="9" t="s">
        <v>1587</v>
      </c>
      <c r="H43" s="9" t="s">
        <v>1583</v>
      </c>
      <c r="I43" s="14">
        <v>46314</v>
      </c>
      <c r="J43" s="9" t="s">
        <v>1607</v>
      </c>
      <c r="K43" s="9" t="s">
        <v>1606</v>
      </c>
      <c r="L43" s="16" t="s">
        <v>147</v>
      </c>
      <c r="M43" s="16" t="s">
        <v>86</v>
      </c>
      <c r="N43" s="9" t="s">
        <v>1603</v>
      </c>
      <c r="O43" s="9" t="s">
        <v>1604</v>
      </c>
      <c r="P43" s="21" t="str">
        <f t="shared" si="1"/>
        <v>Document, version and section recorded</v>
      </c>
    </row>
    <row r="44" spans="1:16" x14ac:dyDescent="0.2">
      <c r="A44" s="9" t="s">
        <v>1609</v>
      </c>
      <c r="B44" s="9" t="s">
        <v>305</v>
      </c>
      <c r="C44" s="9" t="s">
        <v>1588</v>
      </c>
      <c r="D44" s="9" t="s">
        <v>1597</v>
      </c>
      <c r="E44" s="16" t="s">
        <v>150</v>
      </c>
      <c r="F44" s="9" t="s">
        <v>1594</v>
      </c>
      <c r="G44" s="9" t="s">
        <v>1596</v>
      </c>
      <c r="H44" s="9" t="s">
        <v>1591</v>
      </c>
      <c r="I44" s="14">
        <v>46314</v>
      </c>
      <c r="J44" s="9" t="s">
        <v>1611</v>
      </c>
      <c r="K44" s="9" t="s">
        <v>1610</v>
      </c>
      <c r="L44" s="16" t="s">
        <v>147</v>
      </c>
      <c r="M44" s="16" t="s">
        <v>86</v>
      </c>
      <c r="N44" s="9" t="s">
        <v>1608</v>
      </c>
      <c r="O44" s="9" t="s">
        <v>1604</v>
      </c>
      <c r="P44" s="21" t="str">
        <f t="shared" si="1"/>
        <v>Document, version and section recorded</v>
      </c>
    </row>
    <row r="45" spans="1:16" x14ac:dyDescent="0.2">
      <c r="A45" s="9" t="s">
        <v>1613</v>
      </c>
      <c r="B45" s="9"/>
      <c r="C45" s="9" t="s">
        <v>1588</v>
      </c>
      <c r="D45" s="9" t="s">
        <v>1589</v>
      </c>
      <c r="E45" s="16" t="s">
        <v>149</v>
      </c>
      <c r="F45" s="9" t="s">
        <v>1565</v>
      </c>
      <c r="G45" s="9" t="s">
        <v>1587</v>
      </c>
      <c r="H45" s="9" t="s">
        <v>1583</v>
      </c>
      <c r="I45" s="14">
        <v>46314</v>
      </c>
      <c r="J45" s="9" t="s">
        <v>1615</v>
      </c>
      <c r="K45" s="9" t="s">
        <v>1614</v>
      </c>
      <c r="L45" s="16" t="s">
        <v>146</v>
      </c>
      <c r="M45" s="16" t="s">
        <v>85</v>
      </c>
      <c r="N45" s="9"/>
      <c r="O45" s="9" t="s">
        <v>1612</v>
      </c>
      <c r="P45" s="21" t="str">
        <f t="shared" si="1"/>
        <v>Document, version and section recorded</v>
      </c>
    </row>
  </sheetData>
  <sheetProtection sheet="1" objects="1" scenarios="1" formatColumns="0" formatRows="0" autoFilter="0"/>
  <autoFilter ref="A4:P45" xr:uid="{2AC7DD94-F8E2-4FA1-BFF4-950F27AEE428}"/>
  <dataValidations count="4">
    <dataValidation type="list" allowBlank="1" showInputMessage="1" showErrorMessage="1" sqref="E5:E34" xr:uid="{8296FAF2-21AD-41A4-91AC-849F1B277B6F}">
      <formula1>nLIST_DocType</formula1>
    </dataValidation>
    <dataValidation type="date" allowBlank="1" showInputMessage="1" showErrorMessage="1" sqref="I5:I34" xr:uid="{D46877F4-E7AE-46BF-85FD-687EC1F6FE09}">
      <formula1>1</formula1>
      <formula2>2958465</formula2>
    </dataValidation>
    <dataValidation type="list" allowBlank="1" showInputMessage="1" showErrorMessage="1" sqref="L5:L34" xr:uid="{B86E67E0-2044-402D-BCCB-327EF38EA0DE}">
      <formula1>nLIST_TimingType</formula1>
    </dataValidation>
    <dataValidation type="list" allowBlank="1" showInputMessage="1" showErrorMessage="1" sqref="M5:M34" xr:uid="{25994877-FA6F-4C14-93D3-A12EA25D077F}">
      <formula1>nLIST_YesNo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268DF-BF07-4CA4-9AF0-50BCD6CE0AAC}">
  <dimension ref="A1:S35"/>
  <sheetViews>
    <sheetView zoomScale="90" zoomScaleNormal="90" workbookViewId="0">
      <pane xSplit="1" ySplit="4" topLeftCell="B5" activePane="bottomRight" state="frozenSplit"/>
      <selection pane="topRight" activeCell="B1" sqref="B1"/>
      <selection pane="bottomLeft" activeCell="A5" sqref="A5"/>
      <selection pane="bottomRight"/>
    </sheetView>
  </sheetViews>
  <sheetFormatPr defaultRowHeight="12.75" x14ac:dyDescent="0.2"/>
  <cols>
    <col min="1" max="2" width="12.7109375" style="1" customWidth="1"/>
    <col min="3" max="3" width="22.7109375" style="1" customWidth="1"/>
    <col min="4" max="6" width="8.7109375" style="1" customWidth="1"/>
    <col min="7" max="7" width="9.7109375" style="1" customWidth="1"/>
    <col min="8" max="8" width="12.7109375" style="1" customWidth="1"/>
    <col min="9" max="9" width="14.7109375" style="1" customWidth="1"/>
    <col min="10" max="10" width="26.7109375" style="1" customWidth="1"/>
    <col min="11" max="11" width="10.7109375" style="1" customWidth="1"/>
    <col min="12" max="14" width="14.7109375" style="1" customWidth="1"/>
    <col min="15" max="15" width="8.7109375" style="1" customWidth="1"/>
    <col min="16" max="16" width="18.7109375" style="1" customWidth="1"/>
    <col min="17" max="17" width="14.7109375" style="1" customWidth="1"/>
    <col min="18" max="18" width="12.7109375" style="1" customWidth="1"/>
    <col min="19" max="19" width="34.7109375" style="1" customWidth="1"/>
    <col min="20" max="16384" width="9.140625" style="1"/>
  </cols>
  <sheetData>
    <row r="1" spans="1:19" ht="17.25" x14ac:dyDescent="0.3">
      <c r="A1" s="6" t="s">
        <v>1616</v>
      </c>
    </row>
    <row r="2" spans="1:19" x14ac:dyDescent="0.2">
      <c r="A2" s="7" t="s">
        <v>1617</v>
      </c>
    </row>
    <row r="3" spans="1:19" x14ac:dyDescent="0.2">
      <c r="S3" s="2" t="s">
        <v>1560</v>
      </c>
    </row>
    <row r="4" spans="1:19" ht="66" customHeight="1" x14ac:dyDescent="0.2">
      <c r="A4" s="8" t="s">
        <v>1618</v>
      </c>
      <c r="B4" s="8" t="s">
        <v>389</v>
      </c>
      <c r="C4" s="8" t="s">
        <v>1619</v>
      </c>
      <c r="D4" s="8" t="s">
        <v>775</v>
      </c>
      <c r="E4" s="8" t="s">
        <v>1620</v>
      </c>
      <c r="F4" s="8" t="s">
        <v>1621</v>
      </c>
      <c r="G4" s="8" t="s">
        <v>776</v>
      </c>
      <c r="H4" s="8" t="s">
        <v>1622</v>
      </c>
      <c r="I4" s="8" t="s">
        <v>1623</v>
      </c>
      <c r="J4" s="8" t="s">
        <v>1624</v>
      </c>
      <c r="K4" s="8" t="s">
        <v>390</v>
      </c>
      <c r="L4" s="8" t="s">
        <v>1625</v>
      </c>
      <c r="M4" s="8" t="s">
        <v>1626</v>
      </c>
      <c r="N4" s="8" t="s">
        <v>1627</v>
      </c>
      <c r="O4" s="8" t="s">
        <v>1554</v>
      </c>
      <c r="P4" s="8" t="s">
        <v>1628</v>
      </c>
      <c r="Q4" s="8" t="s">
        <v>1553</v>
      </c>
      <c r="R4" s="8" t="s">
        <v>1629</v>
      </c>
      <c r="S4" s="19" t="s">
        <v>1630</v>
      </c>
    </row>
    <row r="5" spans="1:19" x14ac:dyDescent="0.2">
      <c r="A5" s="10"/>
      <c r="B5" s="10"/>
      <c r="C5" s="10"/>
      <c r="D5" s="17"/>
      <c r="E5" s="17"/>
      <c r="F5" s="17"/>
      <c r="G5" s="10"/>
      <c r="H5" s="10"/>
      <c r="I5" s="17"/>
      <c r="J5" s="10"/>
      <c r="K5" s="10"/>
      <c r="L5" s="10"/>
      <c r="M5" s="17"/>
      <c r="N5" s="10"/>
      <c r="O5" s="10"/>
      <c r="P5" s="10"/>
      <c r="Q5" s="15"/>
      <c r="R5" s="17"/>
      <c r="S5" s="21" t="str">
        <f t="shared" ref="S5:S29" si="0">IF(C5="","",IF(M5="","Not ready: Parameter_Status missing",IF(J5="","Not ready: population missing",IF(AND(ISNUMBER(SEARCH("half",C5)),I5=""),"Not ready: half-life type missing",IF(OR(N5="",O5=""),"Not ready: source document and section missing","Ready: status, population and source recorded")))))</f>
        <v/>
      </c>
    </row>
    <row r="6" spans="1:19" x14ac:dyDescent="0.2">
      <c r="A6" s="10"/>
      <c r="B6" s="10"/>
      <c r="C6" s="10"/>
      <c r="D6" s="17"/>
      <c r="E6" s="17"/>
      <c r="F6" s="17"/>
      <c r="G6" s="10"/>
      <c r="H6" s="10"/>
      <c r="I6" s="17"/>
      <c r="J6" s="10"/>
      <c r="K6" s="10"/>
      <c r="L6" s="10"/>
      <c r="M6" s="17"/>
      <c r="N6" s="10"/>
      <c r="O6" s="10"/>
      <c r="P6" s="10"/>
      <c r="Q6" s="15"/>
      <c r="R6" s="17"/>
      <c r="S6" s="21" t="str">
        <f t="shared" si="0"/>
        <v/>
      </c>
    </row>
    <row r="7" spans="1:19" x14ac:dyDescent="0.2">
      <c r="A7" s="10"/>
      <c r="B7" s="10"/>
      <c r="C7" s="10"/>
      <c r="D7" s="17"/>
      <c r="E7" s="17"/>
      <c r="F7" s="17"/>
      <c r="G7" s="10"/>
      <c r="H7" s="10"/>
      <c r="I7" s="17"/>
      <c r="J7" s="10"/>
      <c r="K7" s="10"/>
      <c r="L7" s="10"/>
      <c r="M7" s="17"/>
      <c r="N7" s="10"/>
      <c r="O7" s="10"/>
      <c r="P7" s="10"/>
      <c r="Q7" s="15"/>
      <c r="R7" s="17"/>
      <c r="S7" s="21" t="str">
        <f t="shared" si="0"/>
        <v/>
      </c>
    </row>
    <row r="8" spans="1:19" x14ac:dyDescent="0.2">
      <c r="A8" s="10"/>
      <c r="B8" s="10"/>
      <c r="C8" s="10"/>
      <c r="D8" s="17"/>
      <c r="E8" s="17"/>
      <c r="F8" s="17"/>
      <c r="G8" s="10"/>
      <c r="H8" s="10"/>
      <c r="I8" s="17"/>
      <c r="J8" s="10"/>
      <c r="K8" s="10"/>
      <c r="L8" s="10"/>
      <c r="M8" s="17"/>
      <c r="N8" s="10"/>
      <c r="O8" s="10"/>
      <c r="P8" s="10"/>
      <c r="Q8" s="15"/>
      <c r="R8" s="17"/>
      <c r="S8" s="21" t="str">
        <f t="shared" si="0"/>
        <v/>
      </c>
    </row>
    <row r="9" spans="1:19" x14ac:dyDescent="0.2">
      <c r="A9" s="10"/>
      <c r="B9" s="10"/>
      <c r="C9" s="10"/>
      <c r="D9" s="17"/>
      <c r="E9" s="17"/>
      <c r="F9" s="17"/>
      <c r="G9" s="10"/>
      <c r="H9" s="10"/>
      <c r="I9" s="17"/>
      <c r="J9" s="10"/>
      <c r="K9" s="10"/>
      <c r="L9" s="10"/>
      <c r="M9" s="17"/>
      <c r="N9" s="10"/>
      <c r="O9" s="10"/>
      <c r="P9" s="10"/>
      <c r="Q9" s="15"/>
      <c r="R9" s="17"/>
      <c r="S9" s="21" t="str">
        <f t="shared" si="0"/>
        <v/>
      </c>
    </row>
    <row r="10" spans="1:19" x14ac:dyDescent="0.2">
      <c r="A10" s="10"/>
      <c r="B10" s="10"/>
      <c r="C10" s="10"/>
      <c r="D10" s="17"/>
      <c r="E10" s="17"/>
      <c r="F10" s="17"/>
      <c r="G10" s="10"/>
      <c r="H10" s="10"/>
      <c r="I10" s="17"/>
      <c r="J10" s="10"/>
      <c r="K10" s="10"/>
      <c r="L10" s="10"/>
      <c r="M10" s="17"/>
      <c r="N10" s="10"/>
      <c r="O10" s="10"/>
      <c r="P10" s="10"/>
      <c r="Q10" s="15"/>
      <c r="R10" s="17"/>
      <c r="S10" s="21" t="str">
        <f t="shared" si="0"/>
        <v/>
      </c>
    </row>
    <row r="11" spans="1:19" x14ac:dyDescent="0.2">
      <c r="A11" s="10"/>
      <c r="B11" s="10"/>
      <c r="C11" s="10"/>
      <c r="D11" s="17"/>
      <c r="E11" s="17"/>
      <c r="F11" s="17"/>
      <c r="G11" s="10"/>
      <c r="H11" s="10"/>
      <c r="I11" s="17"/>
      <c r="J11" s="10"/>
      <c r="K11" s="10"/>
      <c r="L11" s="10"/>
      <c r="M11" s="17"/>
      <c r="N11" s="10"/>
      <c r="O11" s="10"/>
      <c r="P11" s="10"/>
      <c r="Q11" s="15"/>
      <c r="R11" s="17"/>
      <c r="S11" s="21" t="str">
        <f t="shared" si="0"/>
        <v/>
      </c>
    </row>
    <row r="12" spans="1:19" x14ac:dyDescent="0.2">
      <c r="A12" s="10"/>
      <c r="B12" s="10"/>
      <c r="C12" s="10"/>
      <c r="D12" s="17"/>
      <c r="E12" s="17"/>
      <c r="F12" s="17"/>
      <c r="G12" s="10"/>
      <c r="H12" s="10"/>
      <c r="I12" s="17"/>
      <c r="J12" s="10"/>
      <c r="K12" s="10"/>
      <c r="L12" s="10"/>
      <c r="M12" s="17"/>
      <c r="N12" s="10"/>
      <c r="O12" s="10"/>
      <c r="P12" s="10"/>
      <c r="Q12" s="15"/>
      <c r="R12" s="17"/>
      <c r="S12" s="21" t="str">
        <f t="shared" si="0"/>
        <v/>
      </c>
    </row>
    <row r="13" spans="1:19" x14ac:dyDescent="0.2">
      <c r="A13" s="10"/>
      <c r="B13" s="10"/>
      <c r="C13" s="10"/>
      <c r="D13" s="17"/>
      <c r="E13" s="17"/>
      <c r="F13" s="17"/>
      <c r="G13" s="10"/>
      <c r="H13" s="10"/>
      <c r="I13" s="17"/>
      <c r="J13" s="10"/>
      <c r="K13" s="10"/>
      <c r="L13" s="10"/>
      <c r="M13" s="17"/>
      <c r="N13" s="10"/>
      <c r="O13" s="10"/>
      <c r="P13" s="10"/>
      <c r="Q13" s="15"/>
      <c r="R13" s="17"/>
      <c r="S13" s="21" t="str">
        <f t="shared" si="0"/>
        <v/>
      </c>
    </row>
    <row r="14" spans="1:19" x14ac:dyDescent="0.2">
      <c r="A14" s="10"/>
      <c r="B14" s="10"/>
      <c r="C14" s="10"/>
      <c r="D14" s="17"/>
      <c r="E14" s="17"/>
      <c r="F14" s="17"/>
      <c r="G14" s="10"/>
      <c r="H14" s="10"/>
      <c r="I14" s="17"/>
      <c r="J14" s="10"/>
      <c r="K14" s="10"/>
      <c r="L14" s="10"/>
      <c r="M14" s="17"/>
      <c r="N14" s="10"/>
      <c r="O14" s="10"/>
      <c r="P14" s="10"/>
      <c r="Q14" s="15"/>
      <c r="R14" s="17"/>
      <c r="S14" s="21" t="str">
        <f t="shared" si="0"/>
        <v/>
      </c>
    </row>
    <row r="15" spans="1:19" x14ac:dyDescent="0.2">
      <c r="A15" s="10"/>
      <c r="B15" s="10"/>
      <c r="C15" s="10"/>
      <c r="D15" s="17"/>
      <c r="E15" s="17"/>
      <c r="F15" s="17"/>
      <c r="G15" s="10"/>
      <c r="H15" s="10"/>
      <c r="I15" s="17"/>
      <c r="J15" s="10"/>
      <c r="K15" s="10"/>
      <c r="L15" s="10"/>
      <c r="M15" s="17"/>
      <c r="N15" s="10"/>
      <c r="O15" s="10"/>
      <c r="P15" s="10"/>
      <c r="Q15" s="15"/>
      <c r="R15" s="17"/>
      <c r="S15" s="21" t="str">
        <f t="shared" si="0"/>
        <v/>
      </c>
    </row>
    <row r="16" spans="1:19" x14ac:dyDescent="0.2">
      <c r="A16" s="10"/>
      <c r="B16" s="10"/>
      <c r="C16" s="10"/>
      <c r="D16" s="17"/>
      <c r="E16" s="17"/>
      <c r="F16" s="17"/>
      <c r="G16" s="10"/>
      <c r="H16" s="10"/>
      <c r="I16" s="17"/>
      <c r="J16" s="10"/>
      <c r="K16" s="10"/>
      <c r="L16" s="10"/>
      <c r="M16" s="17"/>
      <c r="N16" s="10"/>
      <c r="O16" s="10"/>
      <c r="P16" s="10"/>
      <c r="Q16" s="15"/>
      <c r="R16" s="17"/>
      <c r="S16" s="21" t="str">
        <f t="shared" si="0"/>
        <v/>
      </c>
    </row>
    <row r="17" spans="1:19" x14ac:dyDescent="0.2">
      <c r="A17" s="10"/>
      <c r="B17" s="10"/>
      <c r="C17" s="10"/>
      <c r="D17" s="17"/>
      <c r="E17" s="17"/>
      <c r="F17" s="17"/>
      <c r="G17" s="10"/>
      <c r="H17" s="10"/>
      <c r="I17" s="17"/>
      <c r="J17" s="10"/>
      <c r="K17" s="10"/>
      <c r="L17" s="10"/>
      <c r="M17" s="17"/>
      <c r="N17" s="10"/>
      <c r="O17" s="10"/>
      <c r="P17" s="10"/>
      <c r="Q17" s="15"/>
      <c r="R17" s="17"/>
      <c r="S17" s="21" t="str">
        <f t="shared" si="0"/>
        <v/>
      </c>
    </row>
    <row r="18" spans="1:19" x14ac:dyDescent="0.2">
      <c r="A18" s="10"/>
      <c r="B18" s="10"/>
      <c r="C18" s="10"/>
      <c r="D18" s="17"/>
      <c r="E18" s="17"/>
      <c r="F18" s="17"/>
      <c r="G18" s="10"/>
      <c r="H18" s="10"/>
      <c r="I18" s="17"/>
      <c r="J18" s="10"/>
      <c r="K18" s="10"/>
      <c r="L18" s="10"/>
      <c r="M18" s="17"/>
      <c r="N18" s="10"/>
      <c r="O18" s="10"/>
      <c r="P18" s="10"/>
      <c r="Q18" s="15"/>
      <c r="R18" s="17"/>
      <c r="S18" s="21" t="str">
        <f t="shared" si="0"/>
        <v/>
      </c>
    </row>
    <row r="19" spans="1:19" x14ac:dyDescent="0.2">
      <c r="A19" s="10"/>
      <c r="B19" s="10"/>
      <c r="C19" s="10"/>
      <c r="D19" s="17"/>
      <c r="E19" s="17"/>
      <c r="F19" s="17"/>
      <c r="G19" s="10"/>
      <c r="H19" s="10"/>
      <c r="I19" s="17"/>
      <c r="J19" s="10"/>
      <c r="K19" s="10"/>
      <c r="L19" s="10"/>
      <c r="M19" s="17"/>
      <c r="N19" s="10"/>
      <c r="O19" s="10"/>
      <c r="P19" s="10"/>
      <c r="Q19" s="15"/>
      <c r="R19" s="17"/>
      <c r="S19" s="21" t="str">
        <f t="shared" si="0"/>
        <v/>
      </c>
    </row>
    <row r="20" spans="1:19" x14ac:dyDescent="0.2">
      <c r="A20" s="10"/>
      <c r="B20" s="10"/>
      <c r="C20" s="10"/>
      <c r="D20" s="17"/>
      <c r="E20" s="17"/>
      <c r="F20" s="17"/>
      <c r="G20" s="10"/>
      <c r="H20" s="10"/>
      <c r="I20" s="17"/>
      <c r="J20" s="10"/>
      <c r="K20" s="10"/>
      <c r="L20" s="10"/>
      <c r="M20" s="17"/>
      <c r="N20" s="10"/>
      <c r="O20" s="10"/>
      <c r="P20" s="10"/>
      <c r="Q20" s="15"/>
      <c r="R20" s="17"/>
      <c r="S20" s="21" t="str">
        <f t="shared" si="0"/>
        <v/>
      </c>
    </row>
    <row r="21" spans="1:19" x14ac:dyDescent="0.2">
      <c r="A21" s="10"/>
      <c r="B21" s="10"/>
      <c r="C21" s="10"/>
      <c r="D21" s="17"/>
      <c r="E21" s="17"/>
      <c r="F21" s="17"/>
      <c r="G21" s="10"/>
      <c r="H21" s="10"/>
      <c r="I21" s="17"/>
      <c r="J21" s="10"/>
      <c r="K21" s="10"/>
      <c r="L21" s="10"/>
      <c r="M21" s="17"/>
      <c r="N21" s="10"/>
      <c r="O21" s="10"/>
      <c r="P21" s="10"/>
      <c r="Q21" s="15"/>
      <c r="R21" s="17"/>
      <c r="S21" s="21" t="str">
        <f t="shared" si="0"/>
        <v/>
      </c>
    </row>
    <row r="22" spans="1:19" x14ac:dyDescent="0.2">
      <c r="A22" s="10"/>
      <c r="B22" s="10"/>
      <c r="C22" s="10"/>
      <c r="D22" s="17"/>
      <c r="E22" s="17"/>
      <c r="F22" s="17"/>
      <c r="G22" s="10"/>
      <c r="H22" s="10"/>
      <c r="I22" s="17"/>
      <c r="J22" s="10"/>
      <c r="K22" s="10"/>
      <c r="L22" s="10"/>
      <c r="M22" s="17"/>
      <c r="N22" s="10"/>
      <c r="O22" s="10"/>
      <c r="P22" s="10"/>
      <c r="Q22" s="15"/>
      <c r="R22" s="17"/>
      <c r="S22" s="21" t="str">
        <f t="shared" si="0"/>
        <v/>
      </c>
    </row>
    <row r="23" spans="1:19" x14ac:dyDescent="0.2">
      <c r="A23" s="10"/>
      <c r="B23" s="10"/>
      <c r="C23" s="10"/>
      <c r="D23" s="17"/>
      <c r="E23" s="17"/>
      <c r="F23" s="17"/>
      <c r="G23" s="10"/>
      <c r="H23" s="10"/>
      <c r="I23" s="17"/>
      <c r="J23" s="10"/>
      <c r="K23" s="10"/>
      <c r="L23" s="10"/>
      <c r="M23" s="17"/>
      <c r="N23" s="10"/>
      <c r="O23" s="10"/>
      <c r="P23" s="10"/>
      <c r="Q23" s="15"/>
      <c r="R23" s="17"/>
      <c r="S23" s="21" t="str">
        <f t="shared" si="0"/>
        <v/>
      </c>
    </row>
    <row r="24" spans="1:19" x14ac:dyDescent="0.2">
      <c r="A24" s="10"/>
      <c r="B24" s="10"/>
      <c r="C24" s="10"/>
      <c r="D24" s="17"/>
      <c r="E24" s="17"/>
      <c r="F24" s="17"/>
      <c r="G24" s="10"/>
      <c r="H24" s="10"/>
      <c r="I24" s="17"/>
      <c r="J24" s="10"/>
      <c r="K24" s="10"/>
      <c r="L24" s="10"/>
      <c r="M24" s="17"/>
      <c r="N24" s="10"/>
      <c r="O24" s="10"/>
      <c r="P24" s="10"/>
      <c r="Q24" s="15"/>
      <c r="R24" s="17"/>
      <c r="S24" s="21" t="str">
        <f t="shared" si="0"/>
        <v/>
      </c>
    </row>
    <row r="25" spans="1:19" x14ac:dyDescent="0.2">
      <c r="A25" s="10"/>
      <c r="B25" s="10"/>
      <c r="C25" s="10"/>
      <c r="D25" s="17"/>
      <c r="E25" s="17"/>
      <c r="F25" s="17"/>
      <c r="G25" s="10"/>
      <c r="H25" s="10"/>
      <c r="I25" s="17"/>
      <c r="J25" s="10"/>
      <c r="K25" s="10"/>
      <c r="L25" s="10"/>
      <c r="M25" s="17"/>
      <c r="N25" s="10"/>
      <c r="O25" s="10"/>
      <c r="P25" s="10"/>
      <c r="Q25" s="15"/>
      <c r="R25" s="17"/>
      <c r="S25" s="21" t="str">
        <f t="shared" si="0"/>
        <v/>
      </c>
    </row>
    <row r="26" spans="1:19" x14ac:dyDescent="0.2">
      <c r="A26" s="10"/>
      <c r="B26" s="10"/>
      <c r="C26" s="10"/>
      <c r="D26" s="17"/>
      <c r="E26" s="17"/>
      <c r="F26" s="17"/>
      <c r="G26" s="10"/>
      <c r="H26" s="10"/>
      <c r="I26" s="17"/>
      <c r="J26" s="10"/>
      <c r="K26" s="10"/>
      <c r="L26" s="10"/>
      <c r="M26" s="17"/>
      <c r="N26" s="10"/>
      <c r="O26" s="10"/>
      <c r="P26" s="10"/>
      <c r="Q26" s="15"/>
      <c r="R26" s="17"/>
      <c r="S26" s="21" t="str">
        <f t="shared" si="0"/>
        <v/>
      </c>
    </row>
    <row r="27" spans="1:19" x14ac:dyDescent="0.2">
      <c r="A27" s="10"/>
      <c r="B27" s="10"/>
      <c r="C27" s="10"/>
      <c r="D27" s="17"/>
      <c r="E27" s="17"/>
      <c r="F27" s="17"/>
      <c r="G27" s="10"/>
      <c r="H27" s="10"/>
      <c r="I27" s="17"/>
      <c r="J27" s="10"/>
      <c r="K27" s="10"/>
      <c r="L27" s="10"/>
      <c r="M27" s="17"/>
      <c r="N27" s="10"/>
      <c r="O27" s="10"/>
      <c r="P27" s="10"/>
      <c r="Q27" s="15"/>
      <c r="R27" s="17"/>
      <c r="S27" s="21" t="str">
        <f t="shared" si="0"/>
        <v/>
      </c>
    </row>
    <row r="28" spans="1:19" x14ac:dyDescent="0.2">
      <c r="A28" s="10"/>
      <c r="B28" s="10"/>
      <c r="C28" s="10"/>
      <c r="D28" s="17"/>
      <c r="E28" s="17"/>
      <c r="F28" s="17"/>
      <c r="G28" s="10"/>
      <c r="H28" s="10"/>
      <c r="I28" s="17"/>
      <c r="J28" s="10"/>
      <c r="K28" s="10"/>
      <c r="L28" s="10"/>
      <c r="M28" s="17"/>
      <c r="N28" s="10"/>
      <c r="O28" s="10"/>
      <c r="P28" s="10"/>
      <c r="Q28" s="15"/>
      <c r="R28" s="17"/>
      <c r="S28" s="21" t="str">
        <f t="shared" si="0"/>
        <v/>
      </c>
    </row>
    <row r="29" spans="1:19" x14ac:dyDescent="0.2">
      <c r="A29" s="10"/>
      <c r="B29" s="10"/>
      <c r="C29" s="10"/>
      <c r="D29" s="17"/>
      <c r="E29" s="17"/>
      <c r="F29" s="17"/>
      <c r="G29" s="10"/>
      <c r="H29" s="10"/>
      <c r="I29" s="17"/>
      <c r="J29" s="10"/>
      <c r="K29" s="10"/>
      <c r="L29" s="10"/>
      <c r="M29" s="17"/>
      <c r="N29" s="10"/>
      <c r="O29" s="10"/>
      <c r="P29" s="10"/>
      <c r="Q29" s="15"/>
      <c r="R29" s="17"/>
      <c r="S29" s="21" t="str">
        <f t="shared" si="0"/>
        <v/>
      </c>
    </row>
    <row r="30" spans="1:19" x14ac:dyDescent="0.2">
      <c r="A30" s="24" t="s">
        <v>294</v>
      </c>
      <c r="B30" s="23"/>
      <c r="C30" s="23"/>
      <c r="D30" s="23"/>
      <c r="E30" s="23"/>
      <c r="F30" s="23"/>
      <c r="G30" s="23"/>
      <c r="H30" s="23"/>
      <c r="I30" s="23"/>
      <c r="J30" s="23"/>
      <c r="K30" s="23"/>
      <c r="L30" s="23"/>
      <c r="M30" s="23"/>
      <c r="N30" s="23"/>
      <c r="O30" s="23"/>
      <c r="P30" s="23"/>
      <c r="Q30" s="23"/>
      <c r="R30" s="23"/>
      <c r="S30" s="23"/>
    </row>
    <row r="31" spans="1:19" x14ac:dyDescent="0.2">
      <c r="A31" s="9" t="s">
        <v>1631</v>
      </c>
      <c r="B31" s="9" t="s">
        <v>1568</v>
      </c>
      <c r="C31" s="9" t="s">
        <v>1634</v>
      </c>
      <c r="D31" s="16"/>
      <c r="E31" s="16">
        <v>1.5</v>
      </c>
      <c r="F31" s="16">
        <v>2</v>
      </c>
      <c r="G31" s="9" t="s">
        <v>68</v>
      </c>
      <c r="H31" s="9" t="s">
        <v>1635</v>
      </c>
      <c r="I31" s="16" t="s">
        <v>158</v>
      </c>
      <c r="J31" s="9" t="s">
        <v>1633</v>
      </c>
      <c r="K31" s="9"/>
      <c r="L31" s="9"/>
      <c r="M31" s="16" t="s">
        <v>79</v>
      </c>
      <c r="N31" s="9" t="s">
        <v>1569</v>
      </c>
      <c r="O31" s="9" t="s">
        <v>1570</v>
      </c>
      <c r="P31" s="9" t="s">
        <v>1632</v>
      </c>
      <c r="Q31" s="14">
        <v>46315</v>
      </c>
      <c r="R31" s="16"/>
      <c r="S31" s="21" t="str">
        <f t="shared" ref="S31:S35" si="1">IF(C31="","",IF(M31="","Not ready: Parameter_Status missing",IF(J31="","Not ready: population missing",IF(AND(ISNUMBER(SEARCH("half",C31)),I31=""),"Not ready: half-life type missing",IF(OR(N31="",O31=""),"Not ready: source document and section missing","Ready: status, population and source recorded")))))</f>
        <v>Ready: status, population and source recorded</v>
      </c>
    </row>
    <row r="32" spans="1:19" x14ac:dyDescent="0.2">
      <c r="A32" s="9" t="s">
        <v>1636</v>
      </c>
      <c r="B32" s="9" t="s">
        <v>1568</v>
      </c>
      <c r="C32" s="9" t="s">
        <v>1634</v>
      </c>
      <c r="D32" s="16"/>
      <c r="E32" s="16">
        <v>3.5</v>
      </c>
      <c r="F32" s="16">
        <v>5</v>
      </c>
      <c r="G32" s="9" t="s">
        <v>68</v>
      </c>
      <c r="H32" s="9" t="s">
        <v>1635</v>
      </c>
      <c r="I32" s="16" t="s">
        <v>158</v>
      </c>
      <c r="J32" s="9" t="s">
        <v>1637</v>
      </c>
      <c r="K32" s="9"/>
      <c r="L32" s="9"/>
      <c r="M32" s="16" t="s">
        <v>79</v>
      </c>
      <c r="N32" s="9" t="s">
        <v>1569</v>
      </c>
      <c r="O32" s="9" t="s">
        <v>1570</v>
      </c>
      <c r="P32" s="9" t="s">
        <v>1632</v>
      </c>
      <c r="Q32" s="14">
        <v>46315</v>
      </c>
      <c r="R32" s="16"/>
      <c r="S32" s="21" t="str">
        <f t="shared" si="1"/>
        <v>Ready: status, population and source recorded</v>
      </c>
    </row>
    <row r="33" spans="1:19" x14ac:dyDescent="0.2">
      <c r="A33" s="9" t="s">
        <v>1638</v>
      </c>
      <c r="B33" s="9" t="s">
        <v>1568</v>
      </c>
      <c r="C33" s="9" t="s">
        <v>1641</v>
      </c>
      <c r="D33" s="16"/>
      <c r="E33" s="16">
        <v>0.5</v>
      </c>
      <c r="F33" s="16">
        <v>0.7</v>
      </c>
      <c r="G33" s="9" t="s">
        <v>1639</v>
      </c>
      <c r="H33" s="9" t="s">
        <v>1635</v>
      </c>
      <c r="I33" s="16" t="s">
        <v>161</v>
      </c>
      <c r="J33" s="9" t="s">
        <v>1640</v>
      </c>
      <c r="K33" s="9" t="s">
        <v>494</v>
      </c>
      <c r="L33" s="9"/>
      <c r="M33" s="16" t="s">
        <v>79</v>
      </c>
      <c r="N33" s="9" t="s">
        <v>1569</v>
      </c>
      <c r="O33" s="9" t="s">
        <v>1570</v>
      </c>
      <c r="P33" s="9" t="s">
        <v>1632</v>
      </c>
      <c r="Q33" s="14">
        <v>46315</v>
      </c>
      <c r="R33" s="16"/>
      <c r="S33" s="21" t="str">
        <f t="shared" si="1"/>
        <v>Ready: status, population and source recorded</v>
      </c>
    </row>
    <row r="34" spans="1:19" x14ac:dyDescent="0.2">
      <c r="A34" s="9" t="s">
        <v>1642</v>
      </c>
      <c r="B34" s="9" t="s">
        <v>1588</v>
      </c>
      <c r="C34" s="9" t="s">
        <v>1645</v>
      </c>
      <c r="D34" s="16">
        <v>22</v>
      </c>
      <c r="E34" s="16">
        <v>6.1</v>
      </c>
      <c r="F34" s="16">
        <v>52</v>
      </c>
      <c r="G34" s="9" t="s">
        <v>68</v>
      </c>
      <c r="H34" s="9" t="s">
        <v>1646</v>
      </c>
      <c r="I34" s="16" t="s">
        <v>158</v>
      </c>
      <c r="J34" s="9" t="s">
        <v>1644</v>
      </c>
      <c r="K34" s="9" t="s">
        <v>494</v>
      </c>
      <c r="L34" s="9"/>
      <c r="M34" s="16" t="s">
        <v>79</v>
      </c>
      <c r="N34" s="9" t="s">
        <v>1589</v>
      </c>
      <c r="O34" s="9" t="s">
        <v>1570</v>
      </c>
      <c r="P34" s="9" t="s">
        <v>1643</v>
      </c>
      <c r="Q34" s="14">
        <v>46314</v>
      </c>
      <c r="R34" s="16"/>
      <c r="S34" s="21" t="str">
        <f t="shared" si="1"/>
        <v>Ready: status, population and source recorded</v>
      </c>
    </row>
    <row r="35" spans="1:19" x14ac:dyDescent="0.2">
      <c r="A35" s="9" t="s">
        <v>1647</v>
      </c>
      <c r="B35" s="9" t="s">
        <v>1588</v>
      </c>
      <c r="C35" s="9" t="s">
        <v>1649</v>
      </c>
      <c r="D35" s="16">
        <v>32</v>
      </c>
      <c r="E35" s="16">
        <v>14</v>
      </c>
      <c r="F35" s="16">
        <v>62</v>
      </c>
      <c r="G35" s="9" t="s">
        <v>68</v>
      </c>
      <c r="H35" s="9" t="s">
        <v>1650</v>
      </c>
      <c r="I35" s="16" t="s">
        <v>158</v>
      </c>
      <c r="J35" s="9" t="s">
        <v>1648</v>
      </c>
      <c r="K35" s="9" t="s">
        <v>494</v>
      </c>
      <c r="L35" s="9"/>
      <c r="M35" s="16" t="s">
        <v>79</v>
      </c>
      <c r="N35" s="9" t="s">
        <v>1589</v>
      </c>
      <c r="O35" s="9" t="s">
        <v>1570</v>
      </c>
      <c r="P35" s="9" t="s">
        <v>1643</v>
      </c>
      <c r="Q35" s="14">
        <v>46314</v>
      </c>
      <c r="R35" s="16"/>
      <c r="S35" s="21" t="str">
        <f t="shared" si="1"/>
        <v>Ready: status, population and source recorded</v>
      </c>
    </row>
  </sheetData>
  <sheetProtection sheet="1" objects="1" scenarios="1" formatColumns="0" formatRows="0" autoFilter="0"/>
  <autoFilter ref="A4:S35" xr:uid="{8C3268DF-BF07-4CA4-9AF0-50BCD6CE0AAC}"/>
  <dataValidations count="5">
    <dataValidation type="decimal" allowBlank="1" showInputMessage="1" showErrorMessage="1" sqref="D5:D29 E5:E29 F5:F29" xr:uid="{8AF4C65D-C497-415B-A230-BF625ABF6B89}">
      <formula1>-1000000000000</formula1>
      <formula2>1000000000000</formula2>
    </dataValidation>
    <dataValidation type="list" allowBlank="1" showInputMessage="1" showErrorMessage="1" sqref="I5:I29" xr:uid="{879C405E-7093-4FA2-A9DD-CA4B4E8AC248}">
      <formula1>nLIST_HalfLifeType</formula1>
    </dataValidation>
    <dataValidation type="list" allowBlank="1" showInputMessage="1" showErrorMessage="1" sqref="M5:M29" xr:uid="{5BF12E2D-D5C3-4872-9C0C-F247FE0C1027}">
      <formula1>nLIST_Status</formula1>
    </dataValidation>
    <dataValidation type="date" allowBlank="1" showInputMessage="1" showErrorMessage="1" sqref="Q5:Q29" xr:uid="{5324FF8C-C2EA-48D5-B83C-08A13B7C5B73}">
      <formula1>1</formula1>
      <formula2>2958465</formula2>
    </dataValidation>
    <dataValidation type="list" errorStyle="information" allowBlank="1" showInputMessage="1" showErrorMessage="1" sqref="R5:R29" xr:uid="{720EF99B-610A-4A94-9BF8-FC1ED916EB3D}">
      <formula1>nLIST_MissingReason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0B632-CE00-4A57-A4CF-1ED0097911D1}">
  <dimension ref="A1:AY197"/>
  <sheetViews>
    <sheetView zoomScale="90" zoomScaleNormal="90" workbookViewId="0"/>
  </sheetViews>
  <sheetFormatPr defaultRowHeight="12.75" x14ac:dyDescent="0.2"/>
  <cols>
    <col min="1" max="1" width="14.7109375" style="1" customWidth="1"/>
    <col min="2" max="2" width="10.7109375" style="1" customWidth="1"/>
    <col min="3" max="3" width="7.7109375" style="1" customWidth="1"/>
    <col min="4" max="4" width="30.7109375" style="1" customWidth="1"/>
    <col min="5" max="5" width="22.7109375" style="1" customWidth="1"/>
    <col min="6" max="6" width="12.7109375" style="1" customWidth="1"/>
    <col min="7" max="7" width="26.7109375" style="1" customWidth="1"/>
    <col min="8" max="8" width="16.7109375" style="1" customWidth="1"/>
    <col min="9" max="9" width="18.7109375" style="1" customWidth="1"/>
    <col min="10" max="11" width="36.7109375" style="1" customWidth="1"/>
    <col min="12" max="12" width="30.7109375" style="1" customWidth="1"/>
    <col min="13" max="14" width="12.7109375" style="1" customWidth="1"/>
    <col min="15" max="15" width="13.7109375" style="1" customWidth="1"/>
    <col min="16" max="16" width="18.7109375" style="1" customWidth="1"/>
    <col min="17" max="17" width="22.7109375" style="1" customWidth="1"/>
    <col min="18" max="21" width="40.7109375" style="1" customWidth="1"/>
    <col min="22" max="22" width="36.7109375" style="1" customWidth="1"/>
    <col min="23" max="23" width="20.7109375" style="1" customWidth="1"/>
    <col min="24" max="35" width="40.7109375" style="1" customWidth="1"/>
    <col min="36" max="36" width="30.7109375" style="1" customWidth="1"/>
    <col min="37" max="38" width="40.7109375" style="1" customWidth="1"/>
    <col min="39" max="39" width="30.7109375" style="1" customWidth="1"/>
    <col min="40" max="50" width="14.7109375" style="1" customWidth="1"/>
    <col min="51" max="51" width="5.7109375" style="1" customWidth="1"/>
    <col min="52" max="16384" width="9.140625" style="1"/>
  </cols>
  <sheetData>
    <row r="1" spans="1:45" ht="18.75" x14ac:dyDescent="0.3">
      <c r="A1" s="30" t="s">
        <v>1200</v>
      </c>
    </row>
    <row r="2" spans="1:45" x14ac:dyDescent="0.2">
      <c r="A2" s="1" t="s">
        <v>1201</v>
      </c>
    </row>
    <row r="4" spans="1:45" ht="17.25" x14ac:dyDescent="0.3">
      <c r="A4" s="6" t="s">
        <v>1202</v>
      </c>
    </row>
    <row r="5" spans="1:45" x14ac:dyDescent="0.2">
      <c r="A5" s="7" t="s">
        <v>1203</v>
      </c>
    </row>
    <row r="6" spans="1:45" x14ac:dyDescent="0.2">
      <c r="A6" s="2" t="s">
        <v>1204</v>
      </c>
      <c r="F6" s="2" t="s">
        <v>1208</v>
      </c>
      <c r="N6" s="2" t="s">
        <v>1217</v>
      </c>
      <c r="U6" s="2" t="s">
        <v>1225</v>
      </c>
      <c r="AK6" s="2" t="s">
        <v>1237</v>
      </c>
    </row>
    <row r="7" spans="1:45" ht="66" customHeight="1" x14ac:dyDescent="0.2">
      <c r="A7" s="8" t="s">
        <v>1205</v>
      </c>
      <c r="B7" s="8" t="s">
        <v>280</v>
      </c>
      <c r="C7" s="8" t="s">
        <v>281</v>
      </c>
      <c r="D7" s="8" t="s">
        <v>1206</v>
      </c>
      <c r="E7" s="8" t="s">
        <v>1207</v>
      </c>
      <c r="F7" s="8" t="s">
        <v>1209</v>
      </c>
      <c r="G7" s="8" t="s">
        <v>1210</v>
      </c>
      <c r="H7" s="8" t="s">
        <v>1211</v>
      </c>
      <c r="I7" s="8" t="s">
        <v>1212</v>
      </c>
      <c r="J7" s="8" t="s">
        <v>1213</v>
      </c>
      <c r="K7" s="8" t="s">
        <v>1214</v>
      </c>
      <c r="L7" s="8" t="s">
        <v>1215</v>
      </c>
      <c r="M7" s="8" t="s">
        <v>1216</v>
      </c>
      <c r="N7" s="8" t="s">
        <v>1218</v>
      </c>
      <c r="O7" s="8" t="s">
        <v>1219</v>
      </c>
      <c r="P7" s="8" t="s">
        <v>1220</v>
      </c>
      <c r="Q7" s="8" t="s">
        <v>1221</v>
      </c>
      <c r="R7" s="8" t="s">
        <v>1222</v>
      </c>
      <c r="S7" s="8" t="s">
        <v>1223</v>
      </c>
      <c r="T7" s="8" t="s">
        <v>1224</v>
      </c>
      <c r="U7" s="19" t="s">
        <v>1226</v>
      </c>
      <c r="V7" s="19" t="s">
        <v>981</v>
      </c>
      <c r="W7" s="19" t="s">
        <v>1227</v>
      </c>
      <c r="X7" s="19" t="s">
        <v>1228</v>
      </c>
      <c r="Y7" s="19" t="s">
        <v>1229</v>
      </c>
      <c r="Z7" s="19" t="s">
        <v>1230</v>
      </c>
      <c r="AA7" s="19" t="s">
        <v>988</v>
      </c>
      <c r="AB7" s="19" t="s">
        <v>1231</v>
      </c>
      <c r="AC7" s="19" t="s">
        <v>1232</v>
      </c>
      <c r="AD7" s="19" t="s">
        <v>1003</v>
      </c>
      <c r="AE7" s="19" t="s">
        <v>1233</v>
      </c>
      <c r="AF7" s="19" t="s">
        <v>1234</v>
      </c>
      <c r="AG7" s="19" t="s">
        <v>954</v>
      </c>
      <c r="AH7" s="19" t="s">
        <v>1235</v>
      </c>
      <c r="AI7" s="19" t="s">
        <v>1236</v>
      </c>
      <c r="AJ7" s="19" t="s">
        <v>1006</v>
      </c>
      <c r="AK7" s="19" t="s">
        <v>1008</v>
      </c>
      <c r="AL7" s="19" t="s">
        <v>1009</v>
      </c>
      <c r="AM7" s="19" t="s">
        <v>1238</v>
      </c>
      <c r="AN7" s="19" t="s">
        <v>1239</v>
      </c>
      <c r="AO7" s="19" t="s">
        <v>1085</v>
      </c>
      <c r="AP7" s="19" t="s">
        <v>1240</v>
      </c>
      <c r="AQ7" s="19" t="s">
        <v>1095</v>
      </c>
      <c r="AR7" s="19" t="s">
        <v>1241</v>
      </c>
      <c r="AS7" s="19" t="s">
        <v>1097</v>
      </c>
    </row>
    <row r="8" spans="1:45" x14ac:dyDescent="0.2">
      <c r="A8" s="10"/>
      <c r="B8" s="10"/>
      <c r="C8" s="12"/>
      <c r="D8" s="10"/>
      <c r="E8" s="10"/>
      <c r="F8" s="17"/>
      <c r="G8" s="17"/>
      <c r="H8" s="10"/>
      <c r="I8" s="10"/>
      <c r="J8" s="10"/>
      <c r="K8" s="17"/>
      <c r="L8" s="10"/>
      <c r="M8" s="17"/>
      <c r="N8" s="17"/>
      <c r="O8" s="17"/>
      <c r="P8" s="17"/>
      <c r="Q8" s="10"/>
      <c r="R8" s="17"/>
      <c r="S8" s="17"/>
      <c r="T8" s="10"/>
      <c r="U8" s="21" t="str">
        <f t="shared" ref="U8:U15" si="0">IF(AK8=1,"",IF(AQ8&lt;&gt;"",AQ8&amp;": no result is shown",IF(X8=0,"0",IF(ABS(X8)&lt;0.0001,FIXED(IF(ABS(ROUND(X8/10^INT(LOG10(ABS(X8))),2))&gt;=10,ROUND(X8/10^INT(LOG10(ABS(X8))),2)/10,ROUND(X8/10^INT(LOG10(ABS(X8))),2)),2,TRUE)&amp;" × 10"&amp;SUBSTITUTE(SUBSTITUTE(SUBSTITUTE(SUBSTITUTE(SUBSTITUTE(SUBSTITUTE(SUBSTITUTE(SUBSTITUTE(SUBSTITUTE(SUBSTITUTE(SUBSTITUTE(TEXT((INT(LOG10(ABS(X8)))+IF(ABS(ROUND(X8/10^INT(LOG10(ABS(X8))),2))&gt;=10,1,0)),"0"),"-","⁻"),"0","⁰"),"1","¹"),"2","²"),"3","³"),"4","⁴"),"5","⁵"),"6","⁶"),"7","⁷"),"8","⁸"),"9","⁹"),FIXED(ROUND(X8,MAX(0,2-INT(LOG10(ABS(X8))))),MAX(0,2-INT(LOG10(ABS(ROUND(X8,MAX(0,2-INT(LOG10(ABS(X8))))))))),FALSE)))&amp;"% of the reference remains after "&amp;R8&amp;" "&amp;N8&amp;"; k = "&amp;IF(Y8=0,"0",FIXED(Y8,MAX(0,2-INT(LOG10(ABS(Y8)))),TRUE))&amp;" per "&amp;LEFT(N8,LEN(N8)-1)))</f>
        <v/>
      </c>
      <c r="V8" s="21" t="str">
        <f t="shared" ref="V8:V15" si="1">IF(AK8=1,"",IF(AS8=0,"Not calculable",MID(IF(TRUE,"; "&amp;"Fraction remaining"&amp;": "&amp;IF(100*W8=0,"0",IF(ABS(100*W8)&lt;0.0001,FIXED(IF(ABS(ROUND(100*W8/10^INT(LOG10(ABS(100*W8))),2))&gt;=10,ROUND(100*W8/10^INT(LOG10(ABS(100*W8))),2)/10,ROUND(100*W8/10^INT(LOG10(ABS(100*W8))),2)),2,TRUE)&amp;" × 10"&amp;SUBSTITUTE(SUBSTITUTE(SUBSTITUTE(SUBSTITUTE(SUBSTITUTE(SUBSTITUTE(SUBSTITUTE(SUBSTITUTE(SUBSTITUTE(SUBSTITUTE(SUBSTITUTE(TEXT((INT(LOG10(ABS(100*W8)))+IF(ABS(ROUND(100*W8/10^INT(LOG10(ABS(100*W8))),2))&gt;=10,1,0)),"0"),"-","⁻"),"0","⁰"),"1","¹"),"2","²"),"3","³"),"4","⁴"),"5","⁵"),"6","⁶"),"7","⁷"),"8","⁸"),"9","⁹"),FIXED(ROUND(100*W8,MAX(0,2-INT(LOG10(ABS(100*W8))))),MAX(0,2-INT(LOG10(ABS(ROUND(100*W8,MAX(0,2-INT(LOG10(ABS(100*W8))))))))),FALSE)))&amp;"%","")&amp;IF(TRUE,"; "&amp;"Elimination rate constant k"&amp;": "&amp;IF(Y8=0,"0",FIXED(Y8,MAX(0,2-INT(LOG10(ABS(Y8)))),TRUE))&amp;" per "&amp;LEFT(N8,LEN(N8)-1),""),3,9999)))</f>
        <v/>
      </c>
      <c r="W8" s="21" t="str">
        <f t="shared" ref="W8:W15" si="2">IF(AS8=1,2^(-R8/O8),"")</f>
        <v/>
      </c>
      <c r="X8" s="21" t="str">
        <f t="shared" ref="X8:X15" si="3">IF(AS8=1,100*W8,"")</f>
        <v/>
      </c>
      <c r="Y8" s="21" t="str">
        <f t="shared" ref="Y8:Y15" si="4">IF(AS8=1,LN(2)/O8,"")</f>
        <v/>
      </c>
      <c r="Z8" s="21" t="str">
        <f t="shared" ref="Z8:Z15" si="5">IF(AS8=1,LN(2)/(O8*IF(N8="minutes",1/60,IF(N8="hours",1,24))),"")</f>
        <v/>
      </c>
      <c r="AA8" s="21" t="str">
        <f t="shared" ref="AA8:AA15" si="6">IF(AK8=1,"",IF(AQ8&lt;&gt;"",AQ8,""))</f>
        <v/>
      </c>
      <c r="AB8" s="21" t="str">
        <f>IF(AK8=1,"",MID(IF(ISNUMBER(SEARCH("E_INVALID_DATE",AQ8))," | E_INVALID_DATE: "&amp;SUBSTITUTE(IFERROR(INDEX(nMSG_Text,MATCH("E_INVALID_DATE",nMSG_Code,0)),""),"[input]",""),"")&amp;IF(ISNUMBER(SEARCH("E_REVERSED_BOUNDS",AQ8))," | E_REVERSED_BOUNDS: "&amp;SUBSTITUTE(IFERROR(INDEX(nMSG_Text,MATCH("E_REVERSED_BOUNDS",nMSG_Code,0)),""),"[input]",""),"")&amp;IF(ISNUMBER(SEARCH("E_DUPLICATE_ID",AQ8))," | E_DUPLICATE_ID: "&amp;SUBSTITUTE(IFERROR(INDEX(nMSG_Text,MATCH("E_DUPLICATE_ID",nMSG_Code,0)),""),"[input]",""),"")&amp;IF(ISNUMBER(SEARCH("E_MISSING_LINK",AQ8))," | E_MISSING_LINK: "&amp;SUBSTITUTE(IFERROR(INDEX(nMSG_Text,MATCH("E_MISSING_LINK",nMSG_Code,0)),""),"[input]",""),"")&amp;IF(ISNUMBER(SEARCH("E_MISSING_INPUT",AQ8))," | E_MISSING_INPUT: "&amp;SUBSTITUTE(IFERROR(INDEX(nMSG_Text,MATCH("E_MISSING_INPUT",nMSG_Code,0)),""),"[input]",IF(AR8="","an input",AR8)),"")&amp;IF(ISNUMBER(SEARCH("E_INVALID_UNIT",AQ8))," | E_INVALID_UNIT: "&amp;SUBSTITUTE(IFERROR(INDEX(nMSG_Text,MATCH("E_INVALID_UNIT",nMSG_Code,0)),""),"[input]",""),"")&amp;IF(ISNUMBER(SEARCH("E_NONPOSITIVE_PARAMETER",AQ8))," | E_NONPOSITIVE_PARAMETER: "&amp;SUBSTITUTE(IFERROR(INDEX(nMSG_Text,MATCH("E_NONPOSITIVE_PARAMETER",nMSG_Code,0)),""),"[input]",""),"")&amp;IF(ISNUMBER(SEARCH("E_OUT_OF_RANGE",AQ8))," | E_OUT_OF_RANGE: "&amp;SUBSTITUTE(IFERROR(INDEX(nMSG_Text,MATCH("E_OUT_OF_RANGE",nMSG_Code,0)),""),"[input]",""),"")&amp;IF(ISNUMBER(SEARCH("E_APPLICABILITY_UNCONFIRMED",AQ8))," | E_APPLICABILITY_UNCONFIRMED: "&amp;SUBSTITUTE(IFERROR(INDEX(nMSG_Text,MATCH("E_APPLICABILITY_UNCONFIRMED",nMSG_Code,0)),""),"[input]",""),"")&amp;IF(ISNUMBER(SEARCH("E_CREATININE_STABILITY_UNCONFIRMED",AQ8))," | E_CREATININE_STABILITY_UNCONFIRMED: "&amp;SUBSTITUTE(IFERROR(INDEX(nMSG_Text,MATCH("E_CREATININE_STABILITY_UNCONFIRMED",nMSG_Code,0)),""),"[input]",""),"")&amp;IF(ISNUMBER(SEARCH("E_OVERLAPPING_SEGMENTS",AQ8))," | E_OVERLAPPING_SEGMENTS: "&amp;SUBSTITUTE(IFERROR(INDEX(nMSG_Text,MATCH("E_OVERLAPPING_SEGMENTS",nMSG_Code,0)),""),"[input]",""),""),4,9999))</f>
        <v/>
      </c>
      <c r="AC8" s="21" t="str">
        <f t="shared" ref="AC8:AC15" si="7">IF(AK8=1,"","t_half = "&amp;O8&amp;" "&amp;N8&amp;" ["&amp;IF(P8="","status not recorded",P8)&amp;IF(Q8&lt;&gt;"","; "&amp;Q8,"")&amp;"]"&amp;"; "&amp;"t = "&amp;R8&amp;" "&amp;N8&amp;" ["&amp;IF(S8="","status not recorded",S8)&amp;IF(T8&lt;&gt;"","; "&amp;T8,"")&amp;"]")</f>
        <v/>
      </c>
      <c r="AD8" s="21" t="str">
        <f t="shared" ref="AD8:AD15" si="8">IF(AK8=1,"",MID(""&amp;IF(AN8=1," | Gate confirmed: the simple model applies (one compartment, linear first-order elimination, constant parameters over the period). | Gate confirmed: the half-life used – type: "&amp;H8&amp;"; population: "&amp;I8&amp;"; source: "&amp;J8&amp;". | Gate confirmed: reference time – "&amp;L8&amp;". | Gate confirmed: each input’s Parameter_Status is recorded."," | Common gate not confirmed"&amp;IF(AND(F8="Yes",G8="Yes",K8="Yes",M8="Yes"),": a gate detail or a Parameter_Status is blank.",": "&amp;MID(IF(F8&lt;&gt;"Yes",", model","")&amp;IF(G8&lt;&gt;"Yes",", half-life used","")&amp;IF(K8&lt;&gt;"Yes",", reference time","")&amp;IF(M8&lt;&gt;"Yes",", Parameter_Status",""),3,99)&amp;" not confirmed."))&amp;IF(TRIM(E8&amp;"")&lt;&gt;""," | "&amp;E8,""),4,9999))</f>
        <v/>
      </c>
      <c r="AE8" s="21" t="str">
        <f t="shared" ref="AE8:AE15" si="9">IF(AS8=0,"",MID(IF(TRUE,"; "&amp;"Fraction remaining"&amp;" = "&amp;W8&amp;" ("&amp;IF(100*W8=0,"0",IF(ABS(100*W8)&lt;0.0001,FIXED(IF(ABS(ROUND(100*W8/10^INT(LOG10(ABS(100*W8))),2))&gt;=10,ROUND(100*W8/10^INT(LOG10(ABS(100*W8))),2)/10,ROUND(100*W8/10^INT(LOG10(ABS(100*W8))),2)),2,TRUE)&amp;" × 10"&amp;SUBSTITUTE(SUBSTITUTE(SUBSTITUTE(SUBSTITUTE(SUBSTITUTE(SUBSTITUTE(SUBSTITUTE(SUBSTITUTE(SUBSTITUTE(SUBSTITUTE(SUBSTITUTE(TEXT((INT(LOG10(ABS(100*W8)))+IF(ABS(ROUND(100*W8/10^INT(LOG10(ABS(100*W8))),2))&gt;=10,1,0)),"0"),"-","⁻"),"0","⁰"),"1","¹"),"2","²"),"3","³"),"4","⁴"),"5","⁵"),"6","⁶"),"7","⁷"),"8","⁸"),"9","⁹"),FIXED(ROUND(100*W8,MAX(0,2-INT(LOG10(ABS(100*W8))))),MAX(0,2-INT(LOG10(ABS(ROUND(100*W8,MAX(0,2-INT(LOG10(ABS(100*W8))))))))),FALSE)))&amp;"%"&amp;")","")&amp;IF(TRUE,"; "&amp;"Elimination rate constant k"&amp;" = "&amp;Y8&amp;" ("&amp;IF(Y8=0,"0",FIXED(Y8,MAX(0,2-INT(LOG10(ABS(Y8)))),TRUE))&amp;" per "&amp;LEFT(N8,LEN(N8)-1)&amp;")",""),3,9999))</f>
        <v/>
      </c>
      <c r="AF8" s="21" t="str">
        <f t="shared" ref="AF8:AF15" si="10">IF(AS8=0,"","fraction (shown as percent)")</f>
        <v/>
      </c>
      <c r="AG8" s="21" t="str">
        <f t="shared" ref="AG8:AG15" si="11">IF(AK8=1,"",IF(TRIM(D8&amp;"")&lt;&gt;"",D8,"Q1 Elimination and fractional persistence"))</f>
        <v/>
      </c>
      <c r="AH8" s="21" t="str">
        <f t="shared" ref="AH8:AH15" si="12">IF(AK8=1,"","Fraction of the chosen reference amount or concentration under the stated model. It is not a causal or pharmacological threshold.")</f>
        <v/>
      </c>
      <c r="AI8" s="21" t="str">
        <f t="shared" ref="AI8:AI15" si="13">IF(AK8=1,"","k = ln 2 / t_half; fraction remaining = 2^(-t / t_half) = exp(-k x t)")</f>
        <v/>
      </c>
      <c r="AJ8" s="21" t="str">
        <f t="shared" ref="AJ8:AJ15" si="14">IF(AK8=1,"","CALC-SPEC 1.1")</f>
        <v/>
      </c>
      <c r="AK8" s="22">
        <f t="shared" ref="AK8:AK15" si="15">IF(AND(A8="",O8="",R8=""),1,0)</f>
        <v>1</v>
      </c>
      <c r="AL8" s="21" t="str">
        <f t="shared" ref="AL8:AL15" si="16">IF(AK8=1,"",B8&amp;"|"&amp;C8)</f>
        <v/>
      </c>
      <c r="AM8" s="21" t="str">
        <f t="shared" ref="AM8:AM15" si="17">IF(A8="","",B8&amp;"|"&amp;C8&amp;"|"&amp;A8)</f>
        <v/>
      </c>
      <c r="AN8" s="22">
        <f t="shared" ref="AN8:AN15" si="18">IF(AND(F8="Yes",G8="Yes",K8="Yes",M8="Yes",TRIM(H8&amp;"")&lt;&gt;"",TRIM(I8&amp;"")&lt;&gt;"",TRIM(J8&amp;"")&lt;&gt;"",TRIM(L8&amp;"")&lt;&gt;"",P8&lt;&gt;"",S8&lt;&gt;""),1,0)</f>
        <v>0</v>
      </c>
      <c r="AO8" s="21" t="str">
        <f>IF(AK8=1,"",IF(A8="","; E_MISSING_INPUT","")&amp;IF(N8="","; E_MISSING_INPUT","")&amp;IF(AND(N8&lt;&gt;"",ISNA(MATCH(N8,nLIST_TimeUnit,0))),"; E_INVALID_UNIT","")&amp;IF(O8="","; E_MISSING_INPUT","")&amp;IF(AND(O8&lt;&gt;"",NOT(ISNUMBER(O8))),"; E_MISSING_INPUT","")&amp;IF(AND(ISNUMBER(O8),O8&lt;=0),"; E_NONPOSITIVE_PARAMETER","")&amp;IF(R8="","; E_MISSING_INPUT","")&amp;IF(AND(R8&lt;&gt;"",NOT(ISNUMBER(R8))),"; E_MISSING_INPUT","")&amp;IF(AND(ISNUMBER(R8),R8&lt;0),"; E_OUT_OF_RANGE","")&amp;IF(TRIM(H8&amp;"")="","; E_MISSING_INPUT","")&amp;IF(TRIM(I8&amp;"")="","; E_MISSING_INPUT","")&amp;IF(TRIM(J8&amp;"")="","; E_MISSING_INPUT","")&amp;IF(TRIM(L8&amp;"")="","; E_MISSING_INPUT","")&amp;IF(P8="","; E_MISSING_INPUT","")&amp;IF(S8="","; E_MISSING_INPUT","")&amp;IF(AN8=0,"; E_APPLICABILITY_UNCONFIRMED",""))</f>
        <v/>
      </c>
      <c r="AP8" s="21" t="str">
        <f t="shared" ref="AP8:AP15" si="19">IF(AK8=1,"",IF(A8="",", a Calc_ID","")&amp;IF(N8="",", a time unit","")&amp;IF(O8="",", the half-life","")&amp;IF(AND(O8&lt;&gt;"",NOT(ISNUMBER(O8))),", the half-life as a number","")&amp;IF(R8="",", the time","")&amp;IF(AND(R8&lt;&gt;"",NOT(ISNUMBER(R8))),", the time as a number","")&amp;IF(TRIM(H8&amp;"")="",", the type of the half-life used","")&amp;IF(TRIM(I8&amp;"")="",", the population of the half-life used","")&amp;IF(TRIM(J8&amp;"")="",", the source of the half-life used","")&amp;IF(TRIM(L8&amp;"")="",", the reference time","")&amp;IF(P8="",", the Parameter_Status of t_half","")&amp;IF(S8="",", the Parameter_Status of t",""))</f>
        <v/>
      </c>
      <c r="AQ8" s="21" t="str">
        <f t="shared" ref="AQ8:AQ15" si="20">IF(AK8=1,"",MID(IF(ISNUMBER(SEARCH("E_INVALID_DATE",AO8)),"; E_INVALID_DATE","")&amp;IF(ISNUMBER(SEARCH("E_REVERSED_BOUNDS",AO8)),"; E_REVERSED_BOUNDS","")&amp;IF(ISNUMBER(SEARCH("E_DUPLICATE_ID",AO8)),"; E_DUPLICATE_ID","")&amp;IF(ISNUMBER(SEARCH("E_MISSING_LINK",AO8)),"; E_MISSING_LINK","")&amp;IF(ISNUMBER(SEARCH("E_MISSING_INPUT",AO8)),"; E_MISSING_INPUT","")&amp;IF(ISNUMBER(SEARCH("E_INVALID_UNIT",AO8)),"; E_INVALID_UNIT","")&amp;IF(ISNUMBER(SEARCH("E_NONPOSITIVE_PARAMETER",AO8)),"; E_NONPOSITIVE_PARAMETER","")&amp;IF(ISNUMBER(SEARCH("E_OUT_OF_RANGE",AO8)),"; E_OUT_OF_RANGE","")&amp;IF(ISNUMBER(SEARCH("E_APPLICABILITY_UNCONFIRMED",AO8)),"; E_APPLICABILITY_UNCONFIRMED","")&amp;IF(ISNUMBER(SEARCH("E_CREATININE_STABILITY_UNCONFIRMED",AO8)),"; E_CREATININE_STABILITY_UNCONFIRMED","")&amp;IF(ISNUMBER(SEARCH("E_OVERLAPPING_SEGMENTS",AO8)),"; E_OVERLAPPING_SEGMENTS",""),3,999))</f>
        <v/>
      </c>
      <c r="AR8" s="21" t="str">
        <f t="shared" ref="AR8:AR15" si="21">MID(AP8,3,999)</f>
        <v/>
      </c>
      <c r="AS8" s="22">
        <f t="shared" ref="AS8:AS15" si="22">IF(AND(AK8=0,AQ8=""),1,0)</f>
        <v>0</v>
      </c>
    </row>
    <row r="9" spans="1:45" x14ac:dyDescent="0.2">
      <c r="A9" s="10"/>
      <c r="B9" s="10"/>
      <c r="C9" s="12"/>
      <c r="D9" s="10"/>
      <c r="E9" s="10"/>
      <c r="F9" s="17"/>
      <c r="G9" s="17"/>
      <c r="H9" s="10"/>
      <c r="I9" s="10"/>
      <c r="J9" s="10"/>
      <c r="K9" s="17"/>
      <c r="L9" s="10"/>
      <c r="M9" s="17"/>
      <c r="N9" s="17"/>
      <c r="O9" s="17"/>
      <c r="P9" s="17"/>
      <c r="Q9" s="10"/>
      <c r="R9" s="17"/>
      <c r="S9" s="17"/>
      <c r="T9" s="10"/>
      <c r="U9" s="21" t="str">
        <f t="shared" si="0"/>
        <v/>
      </c>
      <c r="V9" s="21" t="str">
        <f t="shared" si="1"/>
        <v/>
      </c>
      <c r="W9" s="21" t="str">
        <f t="shared" si="2"/>
        <v/>
      </c>
      <c r="X9" s="21" t="str">
        <f t="shared" si="3"/>
        <v/>
      </c>
      <c r="Y9" s="21" t="str">
        <f t="shared" si="4"/>
        <v/>
      </c>
      <c r="Z9" s="21" t="str">
        <f t="shared" si="5"/>
        <v/>
      </c>
      <c r="AA9" s="21" t="str">
        <f t="shared" si="6"/>
        <v/>
      </c>
      <c r="AB9" s="21" t="str">
        <f>IF(AK9=1,"",MID(IF(ISNUMBER(SEARCH("E_INVALID_DATE",AQ9))," | E_INVALID_DATE: "&amp;SUBSTITUTE(IFERROR(INDEX(nMSG_Text,MATCH("E_INVALID_DATE",nMSG_Code,0)),""),"[input]",""),"")&amp;IF(ISNUMBER(SEARCH("E_REVERSED_BOUNDS",AQ9))," | E_REVERSED_BOUNDS: "&amp;SUBSTITUTE(IFERROR(INDEX(nMSG_Text,MATCH("E_REVERSED_BOUNDS",nMSG_Code,0)),""),"[input]",""),"")&amp;IF(ISNUMBER(SEARCH("E_DUPLICATE_ID",AQ9))," | E_DUPLICATE_ID: "&amp;SUBSTITUTE(IFERROR(INDEX(nMSG_Text,MATCH("E_DUPLICATE_ID",nMSG_Code,0)),""),"[input]",""),"")&amp;IF(ISNUMBER(SEARCH("E_MISSING_LINK",AQ9))," | E_MISSING_LINK: "&amp;SUBSTITUTE(IFERROR(INDEX(nMSG_Text,MATCH("E_MISSING_LINK",nMSG_Code,0)),""),"[input]",""),"")&amp;IF(ISNUMBER(SEARCH("E_MISSING_INPUT",AQ9))," | E_MISSING_INPUT: "&amp;SUBSTITUTE(IFERROR(INDEX(nMSG_Text,MATCH("E_MISSING_INPUT",nMSG_Code,0)),""),"[input]",IF(AR9="","an input",AR9)),"")&amp;IF(ISNUMBER(SEARCH("E_INVALID_UNIT",AQ9))," | E_INVALID_UNIT: "&amp;SUBSTITUTE(IFERROR(INDEX(nMSG_Text,MATCH("E_INVALID_UNIT",nMSG_Code,0)),""),"[input]",""),"")&amp;IF(ISNUMBER(SEARCH("E_NONPOSITIVE_PARAMETER",AQ9))," | E_NONPOSITIVE_PARAMETER: "&amp;SUBSTITUTE(IFERROR(INDEX(nMSG_Text,MATCH("E_NONPOSITIVE_PARAMETER",nMSG_Code,0)),""),"[input]",""),"")&amp;IF(ISNUMBER(SEARCH("E_OUT_OF_RANGE",AQ9))," | E_OUT_OF_RANGE: "&amp;SUBSTITUTE(IFERROR(INDEX(nMSG_Text,MATCH("E_OUT_OF_RANGE",nMSG_Code,0)),""),"[input]",""),"")&amp;IF(ISNUMBER(SEARCH("E_APPLICABILITY_UNCONFIRMED",AQ9))," | E_APPLICABILITY_UNCONFIRMED: "&amp;SUBSTITUTE(IFERROR(INDEX(nMSG_Text,MATCH("E_APPLICABILITY_UNCONFIRMED",nMSG_Code,0)),""),"[input]",""),"")&amp;IF(ISNUMBER(SEARCH("E_CREATININE_STABILITY_UNCONFIRMED",AQ9))," | E_CREATININE_STABILITY_UNCONFIRMED: "&amp;SUBSTITUTE(IFERROR(INDEX(nMSG_Text,MATCH("E_CREATININE_STABILITY_UNCONFIRMED",nMSG_Code,0)),""),"[input]",""),"")&amp;IF(ISNUMBER(SEARCH("E_OVERLAPPING_SEGMENTS",AQ9))," | E_OVERLAPPING_SEGMENTS: "&amp;SUBSTITUTE(IFERROR(INDEX(nMSG_Text,MATCH("E_OVERLAPPING_SEGMENTS",nMSG_Code,0)),""),"[input]",""),""),4,9999))</f>
        <v/>
      </c>
      <c r="AC9" s="21" t="str">
        <f t="shared" si="7"/>
        <v/>
      </c>
      <c r="AD9" s="21" t="str">
        <f t="shared" si="8"/>
        <v/>
      </c>
      <c r="AE9" s="21" t="str">
        <f t="shared" si="9"/>
        <v/>
      </c>
      <c r="AF9" s="21" t="str">
        <f t="shared" si="10"/>
        <v/>
      </c>
      <c r="AG9" s="21" t="str">
        <f t="shared" si="11"/>
        <v/>
      </c>
      <c r="AH9" s="21" t="str">
        <f t="shared" si="12"/>
        <v/>
      </c>
      <c r="AI9" s="21" t="str">
        <f t="shared" si="13"/>
        <v/>
      </c>
      <c r="AJ9" s="21" t="str">
        <f t="shared" si="14"/>
        <v/>
      </c>
      <c r="AK9" s="22">
        <f t="shared" si="15"/>
        <v>1</v>
      </c>
      <c r="AL9" s="21" t="str">
        <f t="shared" si="16"/>
        <v/>
      </c>
      <c r="AM9" s="21" t="str">
        <f t="shared" si="17"/>
        <v/>
      </c>
      <c r="AN9" s="22">
        <f t="shared" si="18"/>
        <v>0</v>
      </c>
      <c r="AO9" s="21" t="str">
        <f>IF(AK9=1,"",IF(A9="","; E_MISSING_INPUT","")&amp;IF(N9="","; E_MISSING_INPUT","")&amp;IF(AND(N9&lt;&gt;"",ISNA(MATCH(N9,nLIST_TimeUnit,0))),"; E_INVALID_UNIT","")&amp;IF(O9="","; E_MISSING_INPUT","")&amp;IF(AND(O9&lt;&gt;"",NOT(ISNUMBER(O9))),"; E_MISSING_INPUT","")&amp;IF(AND(ISNUMBER(O9),O9&lt;=0),"; E_NONPOSITIVE_PARAMETER","")&amp;IF(R9="","; E_MISSING_INPUT","")&amp;IF(AND(R9&lt;&gt;"",NOT(ISNUMBER(R9))),"; E_MISSING_INPUT","")&amp;IF(AND(ISNUMBER(R9),R9&lt;0),"; E_OUT_OF_RANGE","")&amp;IF(TRIM(H9&amp;"")="","; E_MISSING_INPUT","")&amp;IF(TRIM(I9&amp;"")="","; E_MISSING_INPUT","")&amp;IF(TRIM(J9&amp;"")="","; E_MISSING_INPUT","")&amp;IF(TRIM(L9&amp;"")="","; E_MISSING_INPUT","")&amp;IF(P9="","; E_MISSING_INPUT","")&amp;IF(S9="","; E_MISSING_INPUT","")&amp;IF(AN9=0,"; E_APPLICABILITY_UNCONFIRMED",""))</f>
        <v/>
      </c>
      <c r="AP9" s="21" t="str">
        <f t="shared" si="19"/>
        <v/>
      </c>
      <c r="AQ9" s="21" t="str">
        <f t="shared" si="20"/>
        <v/>
      </c>
      <c r="AR9" s="21" t="str">
        <f t="shared" si="21"/>
        <v/>
      </c>
      <c r="AS9" s="22">
        <f t="shared" si="22"/>
        <v>0</v>
      </c>
    </row>
    <row r="10" spans="1:45" x14ac:dyDescent="0.2">
      <c r="A10" s="10"/>
      <c r="B10" s="10"/>
      <c r="C10" s="12"/>
      <c r="D10" s="10"/>
      <c r="E10" s="10"/>
      <c r="F10" s="17"/>
      <c r="G10" s="17"/>
      <c r="H10" s="10"/>
      <c r="I10" s="10"/>
      <c r="J10" s="10"/>
      <c r="K10" s="17"/>
      <c r="L10" s="10"/>
      <c r="M10" s="17"/>
      <c r="N10" s="17"/>
      <c r="O10" s="17"/>
      <c r="P10" s="17"/>
      <c r="Q10" s="10"/>
      <c r="R10" s="17"/>
      <c r="S10" s="17"/>
      <c r="T10" s="10"/>
      <c r="U10" s="21" t="str">
        <f t="shared" si="0"/>
        <v/>
      </c>
      <c r="V10" s="21" t="str">
        <f t="shared" si="1"/>
        <v/>
      </c>
      <c r="W10" s="21" t="str">
        <f t="shared" si="2"/>
        <v/>
      </c>
      <c r="X10" s="21" t="str">
        <f t="shared" si="3"/>
        <v/>
      </c>
      <c r="Y10" s="21" t="str">
        <f t="shared" si="4"/>
        <v/>
      </c>
      <c r="Z10" s="21" t="str">
        <f t="shared" si="5"/>
        <v/>
      </c>
      <c r="AA10" s="21" t="str">
        <f t="shared" si="6"/>
        <v/>
      </c>
      <c r="AB10" s="21" t="str">
        <f>IF(AK10=1,"",MID(IF(ISNUMBER(SEARCH("E_INVALID_DATE",AQ10))," | E_INVALID_DATE: "&amp;SUBSTITUTE(IFERROR(INDEX(nMSG_Text,MATCH("E_INVALID_DATE",nMSG_Code,0)),""),"[input]",""),"")&amp;IF(ISNUMBER(SEARCH("E_REVERSED_BOUNDS",AQ10))," | E_REVERSED_BOUNDS: "&amp;SUBSTITUTE(IFERROR(INDEX(nMSG_Text,MATCH("E_REVERSED_BOUNDS",nMSG_Code,0)),""),"[input]",""),"")&amp;IF(ISNUMBER(SEARCH("E_DUPLICATE_ID",AQ10))," | E_DUPLICATE_ID: "&amp;SUBSTITUTE(IFERROR(INDEX(nMSG_Text,MATCH("E_DUPLICATE_ID",nMSG_Code,0)),""),"[input]",""),"")&amp;IF(ISNUMBER(SEARCH("E_MISSING_LINK",AQ10))," | E_MISSING_LINK: "&amp;SUBSTITUTE(IFERROR(INDEX(nMSG_Text,MATCH("E_MISSING_LINK",nMSG_Code,0)),""),"[input]",""),"")&amp;IF(ISNUMBER(SEARCH("E_MISSING_INPUT",AQ10))," | E_MISSING_INPUT: "&amp;SUBSTITUTE(IFERROR(INDEX(nMSG_Text,MATCH("E_MISSING_INPUT",nMSG_Code,0)),""),"[input]",IF(AR10="","an input",AR10)),"")&amp;IF(ISNUMBER(SEARCH("E_INVALID_UNIT",AQ10))," | E_INVALID_UNIT: "&amp;SUBSTITUTE(IFERROR(INDEX(nMSG_Text,MATCH("E_INVALID_UNIT",nMSG_Code,0)),""),"[input]",""),"")&amp;IF(ISNUMBER(SEARCH("E_NONPOSITIVE_PARAMETER",AQ10))," | E_NONPOSITIVE_PARAMETER: "&amp;SUBSTITUTE(IFERROR(INDEX(nMSG_Text,MATCH("E_NONPOSITIVE_PARAMETER",nMSG_Code,0)),""),"[input]",""),"")&amp;IF(ISNUMBER(SEARCH("E_OUT_OF_RANGE",AQ10))," | E_OUT_OF_RANGE: "&amp;SUBSTITUTE(IFERROR(INDEX(nMSG_Text,MATCH("E_OUT_OF_RANGE",nMSG_Code,0)),""),"[input]",""),"")&amp;IF(ISNUMBER(SEARCH("E_APPLICABILITY_UNCONFIRMED",AQ10))," | E_APPLICABILITY_UNCONFIRMED: "&amp;SUBSTITUTE(IFERROR(INDEX(nMSG_Text,MATCH("E_APPLICABILITY_UNCONFIRMED",nMSG_Code,0)),""),"[input]",""),"")&amp;IF(ISNUMBER(SEARCH("E_CREATININE_STABILITY_UNCONFIRMED",AQ10))," | E_CREATININE_STABILITY_UNCONFIRMED: "&amp;SUBSTITUTE(IFERROR(INDEX(nMSG_Text,MATCH("E_CREATININE_STABILITY_UNCONFIRMED",nMSG_Code,0)),""),"[input]",""),"")&amp;IF(ISNUMBER(SEARCH("E_OVERLAPPING_SEGMENTS",AQ10))," | E_OVERLAPPING_SEGMENTS: "&amp;SUBSTITUTE(IFERROR(INDEX(nMSG_Text,MATCH("E_OVERLAPPING_SEGMENTS",nMSG_Code,0)),""),"[input]",""),""),4,9999))</f>
        <v/>
      </c>
      <c r="AC10" s="21" t="str">
        <f t="shared" si="7"/>
        <v/>
      </c>
      <c r="AD10" s="21" t="str">
        <f t="shared" si="8"/>
        <v/>
      </c>
      <c r="AE10" s="21" t="str">
        <f t="shared" si="9"/>
        <v/>
      </c>
      <c r="AF10" s="21" t="str">
        <f t="shared" si="10"/>
        <v/>
      </c>
      <c r="AG10" s="21" t="str">
        <f t="shared" si="11"/>
        <v/>
      </c>
      <c r="AH10" s="21" t="str">
        <f t="shared" si="12"/>
        <v/>
      </c>
      <c r="AI10" s="21" t="str">
        <f t="shared" si="13"/>
        <v/>
      </c>
      <c r="AJ10" s="21" t="str">
        <f t="shared" si="14"/>
        <v/>
      </c>
      <c r="AK10" s="22">
        <f t="shared" si="15"/>
        <v>1</v>
      </c>
      <c r="AL10" s="21" t="str">
        <f t="shared" si="16"/>
        <v/>
      </c>
      <c r="AM10" s="21" t="str">
        <f t="shared" si="17"/>
        <v/>
      </c>
      <c r="AN10" s="22">
        <f t="shared" si="18"/>
        <v>0</v>
      </c>
      <c r="AO10" s="21" t="str">
        <f>IF(AK10=1,"",IF(A10="","; E_MISSING_INPUT","")&amp;IF(N10="","; E_MISSING_INPUT","")&amp;IF(AND(N10&lt;&gt;"",ISNA(MATCH(N10,nLIST_TimeUnit,0))),"; E_INVALID_UNIT","")&amp;IF(O10="","; E_MISSING_INPUT","")&amp;IF(AND(O10&lt;&gt;"",NOT(ISNUMBER(O10))),"; E_MISSING_INPUT","")&amp;IF(AND(ISNUMBER(O10),O10&lt;=0),"; E_NONPOSITIVE_PARAMETER","")&amp;IF(R10="","; E_MISSING_INPUT","")&amp;IF(AND(R10&lt;&gt;"",NOT(ISNUMBER(R10))),"; E_MISSING_INPUT","")&amp;IF(AND(ISNUMBER(R10),R10&lt;0),"; E_OUT_OF_RANGE","")&amp;IF(TRIM(H10&amp;"")="","; E_MISSING_INPUT","")&amp;IF(TRIM(I10&amp;"")="","; E_MISSING_INPUT","")&amp;IF(TRIM(J10&amp;"")="","; E_MISSING_INPUT","")&amp;IF(TRIM(L10&amp;"")="","; E_MISSING_INPUT","")&amp;IF(P10="","; E_MISSING_INPUT","")&amp;IF(S10="","; E_MISSING_INPUT","")&amp;IF(AN10=0,"; E_APPLICABILITY_UNCONFIRMED",""))</f>
        <v/>
      </c>
      <c r="AP10" s="21" t="str">
        <f t="shared" si="19"/>
        <v/>
      </c>
      <c r="AQ10" s="21" t="str">
        <f t="shared" si="20"/>
        <v/>
      </c>
      <c r="AR10" s="21" t="str">
        <f t="shared" si="21"/>
        <v/>
      </c>
      <c r="AS10" s="22">
        <f t="shared" si="22"/>
        <v>0</v>
      </c>
    </row>
    <row r="11" spans="1:45" x14ac:dyDescent="0.2">
      <c r="A11" s="10"/>
      <c r="B11" s="10"/>
      <c r="C11" s="12"/>
      <c r="D11" s="10"/>
      <c r="E11" s="10"/>
      <c r="F11" s="17"/>
      <c r="G11" s="17"/>
      <c r="H11" s="10"/>
      <c r="I11" s="10"/>
      <c r="J11" s="10"/>
      <c r="K11" s="17"/>
      <c r="L11" s="10"/>
      <c r="M11" s="17"/>
      <c r="N11" s="17"/>
      <c r="O11" s="17"/>
      <c r="P11" s="17"/>
      <c r="Q11" s="10"/>
      <c r="R11" s="17"/>
      <c r="S11" s="17"/>
      <c r="T11" s="10"/>
      <c r="U11" s="21" t="str">
        <f t="shared" si="0"/>
        <v/>
      </c>
      <c r="V11" s="21" t="str">
        <f t="shared" si="1"/>
        <v/>
      </c>
      <c r="W11" s="21" t="str">
        <f t="shared" si="2"/>
        <v/>
      </c>
      <c r="X11" s="21" t="str">
        <f t="shared" si="3"/>
        <v/>
      </c>
      <c r="Y11" s="21" t="str">
        <f t="shared" si="4"/>
        <v/>
      </c>
      <c r="Z11" s="21" t="str">
        <f t="shared" si="5"/>
        <v/>
      </c>
      <c r="AA11" s="21" t="str">
        <f t="shared" si="6"/>
        <v/>
      </c>
      <c r="AB11" s="21" t="str">
        <f>IF(AK11=1,"",MID(IF(ISNUMBER(SEARCH("E_INVALID_DATE",AQ11))," | E_INVALID_DATE: "&amp;SUBSTITUTE(IFERROR(INDEX(nMSG_Text,MATCH("E_INVALID_DATE",nMSG_Code,0)),""),"[input]",""),"")&amp;IF(ISNUMBER(SEARCH("E_REVERSED_BOUNDS",AQ11))," | E_REVERSED_BOUNDS: "&amp;SUBSTITUTE(IFERROR(INDEX(nMSG_Text,MATCH("E_REVERSED_BOUNDS",nMSG_Code,0)),""),"[input]",""),"")&amp;IF(ISNUMBER(SEARCH("E_DUPLICATE_ID",AQ11))," | E_DUPLICATE_ID: "&amp;SUBSTITUTE(IFERROR(INDEX(nMSG_Text,MATCH("E_DUPLICATE_ID",nMSG_Code,0)),""),"[input]",""),"")&amp;IF(ISNUMBER(SEARCH("E_MISSING_LINK",AQ11))," | E_MISSING_LINK: "&amp;SUBSTITUTE(IFERROR(INDEX(nMSG_Text,MATCH("E_MISSING_LINK",nMSG_Code,0)),""),"[input]",""),"")&amp;IF(ISNUMBER(SEARCH("E_MISSING_INPUT",AQ11))," | E_MISSING_INPUT: "&amp;SUBSTITUTE(IFERROR(INDEX(nMSG_Text,MATCH("E_MISSING_INPUT",nMSG_Code,0)),""),"[input]",IF(AR11="","an input",AR11)),"")&amp;IF(ISNUMBER(SEARCH("E_INVALID_UNIT",AQ11))," | E_INVALID_UNIT: "&amp;SUBSTITUTE(IFERROR(INDEX(nMSG_Text,MATCH("E_INVALID_UNIT",nMSG_Code,0)),""),"[input]",""),"")&amp;IF(ISNUMBER(SEARCH("E_NONPOSITIVE_PARAMETER",AQ11))," | E_NONPOSITIVE_PARAMETER: "&amp;SUBSTITUTE(IFERROR(INDEX(nMSG_Text,MATCH("E_NONPOSITIVE_PARAMETER",nMSG_Code,0)),""),"[input]",""),"")&amp;IF(ISNUMBER(SEARCH("E_OUT_OF_RANGE",AQ11))," | E_OUT_OF_RANGE: "&amp;SUBSTITUTE(IFERROR(INDEX(nMSG_Text,MATCH("E_OUT_OF_RANGE",nMSG_Code,0)),""),"[input]",""),"")&amp;IF(ISNUMBER(SEARCH("E_APPLICABILITY_UNCONFIRMED",AQ11))," | E_APPLICABILITY_UNCONFIRMED: "&amp;SUBSTITUTE(IFERROR(INDEX(nMSG_Text,MATCH("E_APPLICABILITY_UNCONFIRMED",nMSG_Code,0)),""),"[input]",""),"")&amp;IF(ISNUMBER(SEARCH("E_CREATININE_STABILITY_UNCONFIRMED",AQ11))," | E_CREATININE_STABILITY_UNCONFIRMED: "&amp;SUBSTITUTE(IFERROR(INDEX(nMSG_Text,MATCH("E_CREATININE_STABILITY_UNCONFIRMED",nMSG_Code,0)),""),"[input]",""),"")&amp;IF(ISNUMBER(SEARCH("E_OVERLAPPING_SEGMENTS",AQ11))," | E_OVERLAPPING_SEGMENTS: "&amp;SUBSTITUTE(IFERROR(INDEX(nMSG_Text,MATCH("E_OVERLAPPING_SEGMENTS",nMSG_Code,0)),""),"[input]",""),""),4,9999))</f>
        <v/>
      </c>
      <c r="AC11" s="21" t="str">
        <f t="shared" si="7"/>
        <v/>
      </c>
      <c r="AD11" s="21" t="str">
        <f t="shared" si="8"/>
        <v/>
      </c>
      <c r="AE11" s="21" t="str">
        <f t="shared" si="9"/>
        <v/>
      </c>
      <c r="AF11" s="21" t="str">
        <f t="shared" si="10"/>
        <v/>
      </c>
      <c r="AG11" s="21" t="str">
        <f t="shared" si="11"/>
        <v/>
      </c>
      <c r="AH11" s="21" t="str">
        <f t="shared" si="12"/>
        <v/>
      </c>
      <c r="AI11" s="21" t="str">
        <f t="shared" si="13"/>
        <v/>
      </c>
      <c r="AJ11" s="21" t="str">
        <f t="shared" si="14"/>
        <v/>
      </c>
      <c r="AK11" s="22">
        <f t="shared" si="15"/>
        <v>1</v>
      </c>
      <c r="AL11" s="21" t="str">
        <f t="shared" si="16"/>
        <v/>
      </c>
      <c r="AM11" s="21" t="str">
        <f t="shared" si="17"/>
        <v/>
      </c>
      <c r="AN11" s="22">
        <f t="shared" si="18"/>
        <v>0</v>
      </c>
      <c r="AO11" s="21" t="str">
        <f>IF(AK11=1,"",IF(A11="","; E_MISSING_INPUT","")&amp;IF(N11="","; E_MISSING_INPUT","")&amp;IF(AND(N11&lt;&gt;"",ISNA(MATCH(N11,nLIST_TimeUnit,0))),"; E_INVALID_UNIT","")&amp;IF(O11="","; E_MISSING_INPUT","")&amp;IF(AND(O11&lt;&gt;"",NOT(ISNUMBER(O11))),"; E_MISSING_INPUT","")&amp;IF(AND(ISNUMBER(O11),O11&lt;=0),"; E_NONPOSITIVE_PARAMETER","")&amp;IF(R11="","; E_MISSING_INPUT","")&amp;IF(AND(R11&lt;&gt;"",NOT(ISNUMBER(R11))),"; E_MISSING_INPUT","")&amp;IF(AND(ISNUMBER(R11),R11&lt;0),"; E_OUT_OF_RANGE","")&amp;IF(TRIM(H11&amp;"")="","; E_MISSING_INPUT","")&amp;IF(TRIM(I11&amp;"")="","; E_MISSING_INPUT","")&amp;IF(TRIM(J11&amp;"")="","; E_MISSING_INPUT","")&amp;IF(TRIM(L11&amp;"")="","; E_MISSING_INPUT","")&amp;IF(P11="","; E_MISSING_INPUT","")&amp;IF(S11="","; E_MISSING_INPUT","")&amp;IF(AN11=0,"; E_APPLICABILITY_UNCONFIRMED",""))</f>
        <v/>
      </c>
      <c r="AP11" s="21" t="str">
        <f t="shared" si="19"/>
        <v/>
      </c>
      <c r="AQ11" s="21" t="str">
        <f t="shared" si="20"/>
        <v/>
      </c>
      <c r="AR11" s="21" t="str">
        <f t="shared" si="21"/>
        <v/>
      </c>
      <c r="AS11" s="22">
        <f t="shared" si="22"/>
        <v>0</v>
      </c>
    </row>
    <row r="12" spans="1:45" x14ac:dyDescent="0.2">
      <c r="A12" s="10"/>
      <c r="B12" s="10"/>
      <c r="C12" s="12"/>
      <c r="D12" s="10"/>
      <c r="E12" s="10"/>
      <c r="F12" s="17"/>
      <c r="G12" s="17"/>
      <c r="H12" s="10"/>
      <c r="I12" s="10"/>
      <c r="J12" s="10"/>
      <c r="K12" s="17"/>
      <c r="L12" s="10"/>
      <c r="M12" s="17"/>
      <c r="N12" s="17"/>
      <c r="O12" s="17"/>
      <c r="P12" s="17"/>
      <c r="Q12" s="10"/>
      <c r="R12" s="17"/>
      <c r="S12" s="17"/>
      <c r="T12" s="10"/>
      <c r="U12" s="21" t="str">
        <f t="shared" si="0"/>
        <v/>
      </c>
      <c r="V12" s="21" t="str">
        <f t="shared" si="1"/>
        <v/>
      </c>
      <c r="W12" s="21" t="str">
        <f t="shared" si="2"/>
        <v/>
      </c>
      <c r="X12" s="21" t="str">
        <f t="shared" si="3"/>
        <v/>
      </c>
      <c r="Y12" s="21" t="str">
        <f t="shared" si="4"/>
        <v/>
      </c>
      <c r="Z12" s="21" t="str">
        <f t="shared" si="5"/>
        <v/>
      </c>
      <c r="AA12" s="21" t="str">
        <f t="shared" si="6"/>
        <v/>
      </c>
      <c r="AB12" s="21" t="str">
        <f>IF(AK12=1,"",MID(IF(ISNUMBER(SEARCH("E_INVALID_DATE",AQ12))," | E_INVALID_DATE: "&amp;SUBSTITUTE(IFERROR(INDEX(nMSG_Text,MATCH("E_INVALID_DATE",nMSG_Code,0)),""),"[input]",""),"")&amp;IF(ISNUMBER(SEARCH("E_REVERSED_BOUNDS",AQ12))," | E_REVERSED_BOUNDS: "&amp;SUBSTITUTE(IFERROR(INDEX(nMSG_Text,MATCH("E_REVERSED_BOUNDS",nMSG_Code,0)),""),"[input]",""),"")&amp;IF(ISNUMBER(SEARCH("E_DUPLICATE_ID",AQ12))," | E_DUPLICATE_ID: "&amp;SUBSTITUTE(IFERROR(INDEX(nMSG_Text,MATCH("E_DUPLICATE_ID",nMSG_Code,0)),""),"[input]",""),"")&amp;IF(ISNUMBER(SEARCH("E_MISSING_LINK",AQ12))," | E_MISSING_LINK: "&amp;SUBSTITUTE(IFERROR(INDEX(nMSG_Text,MATCH("E_MISSING_LINK",nMSG_Code,0)),""),"[input]",""),"")&amp;IF(ISNUMBER(SEARCH("E_MISSING_INPUT",AQ12))," | E_MISSING_INPUT: "&amp;SUBSTITUTE(IFERROR(INDEX(nMSG_Text,MATCH("E_MISSING_INPUT",nMSG_Code,0)),""),"[input]",IF(AR12="","an input",AR12)),"")&amp;IF(ISNUMBER(SEARCH("E_INVALID_UNIT",AQ12))," | E_INVALID_UNIT: "&amp;SUBSTITUTE(IFERROR(INDEX(nMSG_Text,MATCH("E_INVALID_UNIT",nMSG_Code,0)),""),"[input]",""),"")&amp;IF(ISNUMBER(SEARCH("E_NONPOSITIVE_PARAMETER",AQ12))," | E_NONPOSITIVE_PARAMETER: "&amp;SUBSTITUTE(IFERROR(INDEX(nMSG_Text,MATCH("E_NONPOSITIVE_PARAMETER",nMSG_Code,0)),""),"[input]",""),"")&amp;IF(ISNUMBER(SEARCH("E_OUT_OF_RANGE",AQ12))," | E_OUT_OF_RANGE: "&amp;SUBSTITUTE(IFERROR(INDEX(nMSG_Text,MATCH("E_OUT_OF_RANGE",nMSG_Code,0)),""),"[input]",""),"")&amp;IF(ISNUMBER(SEARCH("E_APPLICABILITY_UNCONFIRMED",AQ12))," | E_APPLICABILITY_UNCONFIRMED: "&amp;SUBSTITUTE(IFERROR(INDEX(nMSG_Text,MATCH("E_APPLICABILITY_UNCONFIRMED",nMSG_Code,0)),""),"[input]",""),"")&amp;IF(ISNUMBER(SEARCH("E_CREATININE_STABILITY_UNCONFIRMED",AQ12))," | E_CREATININE_STABILITY_UNCONFIRMED: "&amp;SUBSTITUTE(IFERROR(INDEX(nMSG_Text,MATCH("E_CREATININE_STABILITY_UNCONFIRMED",nMSG_Code,0)),""),"[input]",""),"")&amp;IF(ISNUMBER(SEARCH("E_OVERLAPPING_SEGMENTS",AQ12))," | E_OVERLAPPING_SEGMENTS: "&amp;SUBSTITUTE(IFERROR(INDEX(nMSG_Text,MATCH("E_OVERLAPPING_SEGMENTS",nMSG_Code,0)),""),"[input]",""),""),4,9999))</f>
        <v/>
      </c>
      <c r="AC12" s="21" t="str">
        <f t="shared" si="7"/>
        <v/>
      </c>
      <c r="AD12" s="21" t="str">
        <f t="shared" si="8"/>
        <v/>
      </c>
      <c r="AE12" s="21" t="str">
        <f t="shared" si="9"/>
        <v/>
      </c>
      <c r="AF12" s="21" t="str">
        <f t="shared" si="10"/>
        <v/>
      </c>
      <c r="AG12" s="21" t="str">
        <f t="shared" si="11"/>
        <v/>
      </c>
      <c r="AH12" s="21" t="str">
        <f t="shared" si="12"/>
        <v/>
      </c>
      <c r="AI12" s="21" t="str">
        <f t="shared" si="13"/>
        <v/>
      </c>
      <c r="AJ12" s="21" t="str">
        <f t="shared" si="14"/>
        <v/>
      </c>
      <c r="AK12" s="22">
        <f t="shared" si="15"/>
        <v>1</v>
      </c>
      <c r="AL12" s="21" t="str">
        <f t="shared" si="16"/>
        <v/>
      </c>
      <c r="AM12" s="21" t="str">
        <f t="shared" si="17"/>
        <v/>
      </c>
      <c r="AN12" s="22">
        <f t="shared" si="18"/>
        <v>0</v>
      </c>
      <c r="AO12" s="21" t="str">
        <f>IF(AK12=1,"",IF(A12="","; E_MISSING_INPUT","")&amp;IF(N12="","; E_MISSING_INPUT","")&amp;IF(AND(N12&lt;&gt;"",ISNA(MATCH(N12,nLIST_TimeUnit,0))),"; E_INVALID_UNIT","")&amp;IF(O12="","; E_MISSING_INPUT","")&amp;IF(AND(O12&lt;&gt;"",NOT(ISNUMBER(O12))),"; E_MISSING_INPUT","")&amp;IF(AND(ISNUMBER(O12),O12&lt;=0),"; E_NONPOSITIVE_PARAMETER","")&amp;IF(R12="","; E_MISSING_INPUT","")&amp;IF(AND(R12&lt;&gt;"",NOT(ISNUMBER(R12))),"; E_MISSING_INPUT","")&amp;IF(AND(ISNUMBER(R12),R12&lt;0),"; E_OUT_OF_RANGE","")&amp;IF(TRIM(H12&amp;"")="","; E_MISSING_INPUT","")&amp;IF(TRIM(I12&amp;"")="","; E_MISSING_INPUT","")&amp;IF(TRIM(J12&amp;"")="","; E_MISSING_INPUT","")&amp;IF(TRIM(L12&amp;"")="","; E_MISSING_INPUT","")&amp;IF(P12="","; E_MISSING_INPUT","")&amp;IF(S12="","; E_MISSING_INPUT","")&amp;IF(AN12=0,"; E_APPLICABILITY_UNCONFIRMED",""))</f>
        <v/>
      </c>
      <c r="AP12" s="21" t="str">
        <f t="shared" si="19"/>
        <v/>
      </c>
      <c r="AQ12" s="21" t="str">
        <f t="shared" si="20"/>
        <v/>
      </c>
      <c r="AR12" s="21" t="str">
        <f t="shared" si="21"/>
        <v/>
      </c>
      <c r="AS12" s="22">
        <f t="shared" si="22"/>
        <v>0</v>
      </c>
    </row>
    <row r="13" spans="1:45" x14ac:dyDescent="0.2">
      <c r="A13" s="10"/>
      <c r="B13" s="10"/>
      <c r="C13" s="12"/>
      <c r="D13" s="10"/>
      <c r="E13" s="10"/>
      <c r="F13" s="17"/>
      <c r="G13" s="17"/>
      <c r="H13" s="10"/>
      <c r="I13" s="10"/>
      <c r="J13" s="10"/>
      <c r="K13" s="17"/>
      <c r="L13" s="10"/>
      <c r="M13" s="17"/>
      <c r="N13" s="17"/>
      <c r="O13" s="17"/>
      <c r="P13" s="17"/>
      <c r="Q13" s="10"/>
      <c r="R13" s="17"/>
      <c r="S13" s="17"/>
      <c r="T13" s="10"/>
      <c r="U13" s="21" t="str">
        <f t="shared" si="0"/>
        <v/>
      </c>
      <c r="V13" s="21" t="str">
        <f t="shared" si="1"/>
        <v/>
      </c>
      <c r="W13" s="21" t="str">
        <f t="shared" si="2"/>
        <v/>
      </c>
      <c r="X13" s="21" t="str">
        <f t="shared" si="3"/>
        <v/>
      </c>
      <c r="Y13" s="21" t="str">
        <f t="shared" si="4"/>
        <v/>
      </c>
      <c r="Z13" s="21" t="str">
        <f t="shared" si="5"/>
        <v/>
      </c>
      <c r="AA13" s="21" t="str">
        <f t="shared" si="6"/>
        <v/>
      </c>
      <c r="AB13" s="21" t="str">
        <f>IF(AK13=1,"",MID(IF(ISNUMBER(SEARCH("E_INVALID_DATE",AQ13))," | E_INVALID_DATE: "&amp;SUBSTITUTE(IFERROR(INDEX(nMSG_Text,MATCH("E_INVALID_DATE",nMSG_Code,0)),""),"[input]",""),"")&amp;IF(ISNUMBER(SEARCH("E_REVERSED_BOUNDS",AQ13))," | E_REVERSED_BOUNDS: "&amp;SUBSTITUTE(IFERROR(INDEX(nMSG_Text,MATCH("E_REVERSED_BOUNDS",nMSG_Code,0)),""),"[input]",""),"")&amp;IF(ISNUMBER(SEARCH("E_DUPLICATE_ID",AQ13))," | E_DUPLICATE_ID: "&amp;SUBSTITUTE(IFERROR(INDEX(nMSG_Text,MATCH("E_DUPLICATE_ID",nMSG_Code,0)),""),"[input]",""),"")&amp;IF(ISNUMBER(SEARCH("E_MISSING_LINK",AQ13))," | E_MISSING_LINK: "&amp;SUBSTITUTE(IFERROR(INDEX(nMSG_Text,MATCH("E_MISSING_LINK",nMSG_Code,0)),""),"[input]",""),"")&amp;IF(ISNUMBER(SEARCH("E_MISSING_INPUT",AQ13))," | E_MISSING_INPUT: "&amp;SUBSTITUTE(IFERROR(INDEX(nMSG_Text,MATCH("E_MISSING_INPUT",nMSG_Code,0)),""),"[input]",IF(AR13="","an input",AR13)),"")&amp;IF(ISNUMBER(SEARCH("E_INVALID_UNIT",AQ13))," | E_INVALID_UNIT: "&amp;SUBSTITUTE(IFERROR(INDEX(nMSG_Text,MATCH("E_INVALID_UNIT",nMSG_Code,0)),""),"[input]",""),"")&amp;IF(ISNUMBER(SEARCH("E_NONPOSITIVE_PARAMETER",AQ13))," | E_NONPOSITIVE_PARAMETER: "&amp;SUBSTITUTE(IFERROR(INDEX(nMSG_Text,MATCH("E_NONPOSITIVE_PARAMETER",nMSG_Code,0)),""),"[input]",""),"")&amp;IF(ISNUMBER(SEARCH("E_OUT_OF_RANGE",AQ13))," | E_OUT_OF_RANGE: "&amp;SUBSTITUTE(IFERROR(INDEX(nMSG_Text,MATCH("E_OUT_OF_RANGE",nMSG_Code,0)),""),"[input]",""),"")&amp;IF(ISNUMBER(SEARCH("E_APPLICABILITY_UNCONFIRMED",AQ13))," | E_APPLICABILITY_UNCONFIRMED: "&amp;SUBSTITUTE(IFERROR(INDEX(nMSG_Text,MATCH("E_APPLICABILITY_UNCONFIRMED",nMSG_Code,0)),""),"[input]",""),"")&amp;IF(ISNUMBER(SEARCH("E_CREATININE_STABILITY_UNCONFIRMED",AQ13))," | E_CREATININE_STABILITY_UNCONFIRMED: "&amp;SUBSTITUTE(IFERROR(INDEX(nMSG_Text,MATCH("E_CREATININE_STABILITY_UNCONFIRMED",nMSG_Code,0)),""),"[input]",""),"")&amp;IF(ISNUMBER(SEARCH("E_OVERLAPPING_SEGMENTS",AQ13))," | E_OVERLAPPING_SEGMENTS: "&amp;SUBSTITUTE(IFERROR(INDEX(nMSG_Text,MATCH("E_OVERLAPPING_SEGMENTS",nMSG_Code,0)),""),"[input]",""),""),4,9999))</f>
        <v/>
      </c>
      <c r="AC13" s="21" t="str">
        <f t="shared" si="7"/>
        <v/>
      </c>
      <c r="AD13" s="21" t="str">
        <f t="shared" si="8"/>
        <v/>
      </c>
      <c r="AE13" s="21" t="str">
        <f t="shared" si="9"/>
        <v/>
      </c>
      <c r="AF13" s="21" t="str">
        <f t="shared" si="10"/>
        <v/>
      </c>
      <c r="AG13" s="21" t="str">
        <f t="shared" si="11"/>
        <v/>
      </c>
      <c r="AH13" s="21" t="str">
        <f t="shared" si="12"/>
        <v/>
      </c>
      <c r="AI13" s="21" t="str">
        <f t="shared" si="13"/>
        <v/>
      </c>
      <c r="AJ13" s="21" t="str">
        <f t="shared" si="14"/>
        <v/>
      </c>
      <c r="AK13" s="22">
        <f t="shared" si="15"/>
        <v>1</v>
      </c>
      <c r="AL13" s="21" t="str">
        <f t="shared" si="16"/>
        <v/>
      </c>
      <c r="AM13" s="21" t="str">
        <f t="shared" si="17"/>
        <v/>
      </c>
      <c r="AN13" s="22">
        <f t="shared" si="18"/>
        <v>0</v>
      </c>
      <c r="AO13" s="21" t="str">
        <f>IF(AK13=1,"",IF(A13="","; E_MISSING_INPUT","")&amp;IF(N13="","; E_MISSING_INPUT","")&amp;IF(AND(N13&lt;&gt;"",ISNA(MATCH(N13,nLIST_TimeUnit,0))),"; E_INVALID_UNIT","")&amp;IF(O13="","; E_MISSING_INPUT","")&amp;IF(AND(O13&lt;&gt;"",NOT(ISNUMBER(O13))),"; E_MISSING_INPUT","")&amp;IF(AND(ISNUMBER(O13),O13&lt;=0),"; E_NONPOSITIVE_PARAMETER","")&amp;IF(R13="","; E_MISSING_INPUT","")&amp;IF(AND(R13&lt;&gt;"",NOT(ISNUMBER(R13))),"; E_MISSING_INPUT","")&amp;IF(AND(ISNUMBER(R13),R13&lt;0),"; E_OUT_OF_RANGE","")&amp;IF(TRIM(H13&amp;"")="","; E_MISSING_INPUT","")&amp;IF(TRIM(I13&amp;"")="","; E_MISSING_INPUT","")&amp;IF(TRIM(J13&amp;"")="","; E_MISSING_INPUT","")&amp;IF(TRIM(L13&amp;"")="","; E_MISSING_INPUT","")&amp;IF(P13="","; E_MISSING_INPUT","")&amp;IF(S13="","; E_MISSING_INPUT","")&amp;IF(AN13=0,"; E_APPLICABILITY_UNCONFIRMED",""))</f>
        <v/>
      </c>
      <c r="AP13" s="21" t="str">
        <f t="shared" si="19"/>
        <v/>
      </c>
      <c r="AQ13" s="21" t="str">
        <f t="shared" si="20"/>
        <v/>
      </c>
      <c r="AR13" s="21" t="str">
        <f t="shared" si="21"/>
        <v/>
      </c>
      <c r="AS13" s="22">
        <f t="shared" si="22"/>
        <v>0</v>
      </c>
    </row>
    <row r="14" spans="1:45" x14ac:dyDescent="0.2">
      <c r="A14" s="10"/>
      <c r="B14" s="10"/>
      <c r="C14" s="12"/>
      <c r="D14" s="10"/>
      <c r="E14" s="10"/>
      <c r="F14" s="17"/>
      <c r="G14" s="17"/>
      <c r="H14" s="10"/>
      <c r="I14" s="10"/>
      <c r="J14" s="10"/>
      <c r="K14" s="17"/>
      <c r="L14" s="10"/>
      <c r="M14" s="17"/>
      <c r="N14" s="17"/>
      <c r="O14" s="17"/>
      <c r="P14" s="17"/>
      <c r="Q14" s="10"/>
      <c r="R14" s="17"/>
      <c r="S14" s="17"/>
      <c r="T14" s="10"/>
      <c r="U14" s="21" t="str">
        <f t="shared" si="0"/>
        <v/>
      </c>
      <c r="V14" s="21" t="str">
        <f t="shared" si="1"/>
        <v/>
      </c>
      <c r="W14" s="21" t="str">
        <f t="shared" si="2"/>
        <v/>
      </c>
      <c r="X14" s="21" t="str">
        <f t="shared" si="3"/>
        <v/>
      </c>
      <c r="Y14" s="21" t="str">
        <f t="shared" si="4"/>
        <v/>
      </c>
      <c r="Z14" s="21" t="str">
        <f t="shared" si="5"/>
        <v/>
      </c>
      <c r="AA14" s="21" t="str">
        <f t="shared" si="6"/>
        <v/>
      </c>
      <c r="AB14" s="21" t="str">
        <f>IF(AK14=1,"",MID(IF(ISNUMBER(SEARCH("E_INVALID_DATE",AQ14))," | E_INVALID_DATE: "&amp;SUBSTITUTE(IFERROR(INDEX(nMSG_Text,MATCH("E_INVALID_DATE",nMSG_Code,0)),""),"[input]",""),"")&amp;IF(ISNUMBER(SEARCH("E_REVERSED_BOUNDS",AQ14))," | E_REVERSED_BOUNDS: "&amp;SUBSTITUTE(IFERROR(INDEX(nMSG_Text,MATCH("E_REVERSED_BOUNDS",nMSG_Code,0)),""),"[input]",""),"")&amp;IF(ISNUMBER(SEARCH("E_DUPLICATE_ID",AQ14))," | E_DUPLICATE_ID: "&amp;SUBSTITUTE(IFERROR(INDEX(nMSG_Text,MATCH("E_DUPLICATE_ID",nMSG_Code,0)),""),"[input]",""),"")&amp;IF(ISNUMBER(SEARCH("E_MISSING_LINK",AQ14))," | E_MISSING_LINK: "&amp;SUBSTITUTE(IFERROR(INDEX(nMSG_Text,MATCH("E_MISSING_LINK",nMSG_Code,0)),""),"[input]",""),"")&amp;IF(ISNUMBER(SEARCH("E_MISSING_INPUT",AQ14))," | E_MISSING_INPUT: "&amp;SUBSTITUTE(IFERROR(INDEX(nMSG_Text,MATCH("E_MISSING_INPUT",nMSG_Code,0)),""),"[input]",IF(AR14="","an input",AR14)),"")&amp;IF(ISNUMBER(SEARCH("E_INVALID_UNIT",AQ14))," | E_INVALID_UNIT: "&amp;SUBSTITUTE(IFERROR(INDEX(nMSG_Text,MATCH("E_INVALID_UNIT",nMSG_Code,0)),""),"[input]",""),"")&amp;IF(ISNUMBER(SEARCH("E_NONPOSITIVE_PARAMETER",AQ14))," | E_NONPOSITIVE_PARAMETER: "&amp;SUBSTITUTE(IFERROR(INDEX(nMSG_Text,MATCH("E_NONPOSITIVE_PARAMETER",nMSG_Code,0)),""),"[input]",""),"")&amp;IF(ISNUMBER(SEARCH("E_OUT_OF_RANGE",AQ14))," | E_OUT_OF_RANGE: "&amp;SUBSTITUTE(IFERROR(INDEX(nMSG_Text,MATCH("E_OUT_OF_RANGE",nMSG_Code,0)),""),"[input]",""),"")&amp;IF(ISNUMBER(SEARCH("E_APPLICABILITY_UNCONFIRMED",AQ14))," | E_APPLICABILITY_UNCONFIRMED: "&amp;SUBSTITUTE(IFERROR(INDEX(nMSG_Text,MATCH("E_APPLICABILITY_UNCONFIRMED",nMSG_Code,0)),""),"[input]",""),"")&amp;IF(ISNUMBER(SEARCH("E_CREATININE_STABILITY_UNCONFIRMED",AQ14))," | E_CREATININE_STABILITY_UNCONFIRMED: "&amp;SUBSTITUTE(IFERROR(INDEX(nMSG_Text,MATCH("E_CREATININE_STABILITY_UNCONFIRMED",nMSG_Code,0)),""),"[input]",""),"")&amp;IF(ISNUMBER(SEARCH("E_OVERLAPPING_SEGMENTS",AQ14))," | E_OVERLAPPING_SEGMENTS: "&amp;SUBSTITUTE(IFERROR(INDEX(nMSG_Text,MATCH("E_OVERLAPPING_SEGMENTS",nMSG_Code,0)),""),"[input]",""),""),4,9999))</f>
        <v/>
      </c>
      <c r="AC14" s="21" t="str">
        <f t="shared" si="7"/>
        <v/>
      </c>
      <c r="AD14" s="21" t="str">
        <f t="shared" si="8"/>
        <v/>
      </c>
      <c r="AE14" s="21" t="str">
        <f t="shared" si="9"/>
        <v/>
      </c>
      <c r="AF14" s="21" t="str">
        <f t="shared" si="10"/>
        <v/>
      </c>
      <c r="AG14" s="21" t="str">
        <f t="shared" si="11"/>
        <v/>
      </c>
      <c r="AH14" s="21" t="str">
        <f t="shared" si="12"/>
        <v/>
      </c>
      <c r="AI14" s="21" t="str">
        <f t="shared" si="13"/>
        <v/>
      </c>
      <c r="AJ14" s="21" t="str">
        <f t="shared" si="14"/>
        <v/>
      </c>
      <c r="AK14" s="22">
        <f t="shared" si="15"/>
        <v>1</v>
      </c>
      <c r="AL14" s="21" t="str">
        <f t="shared" si="16"/>
        <v/>
      </c>
      <c r="AM14" s="21" t="str">
        <f t="shared" si="17"/>
        <v/>
      </c>
      <c r="AN14" s="22">
        <f t="shared" si="18"/>
        <v>0</v>
      </c>
      <c r="AO14" s="21" t="str">
        <f>IF(AK14=1,"",IF(A14="","; E_MISSING_INPUT","")&amp;IF(N14="","; E_MISSING_INPUT","")&amp;IF(AND(N14&lt;&gt;"",ISNA(MATCH(N14,nLIST_TimeUnit,0))),"; E_INVALID_UNIT","")&amp;IF(O14="","; E_MISSING_INPUT","")&amp;IF(AND(O14&lt;&gt;"",NOT(ISNUMBER(O14))),"; E_MISSING_INPUT","")&amp;IF(AND(ISNUMBER(O14),O14&lt;=0),"; E_NONPOSITIVE_PARAMETER","")&amp;IF(R14="","; E_MISSING_INPUT","")&amp;IF(AND(R14&lt;&gt;"",NOT(ISNUMBER(R14))),"; E_MISSING_INPUT","")&amp;IF(AND(ISNUMBER(R14),R14&lt;0),"; E_OUT_OF_RANGE","")&amp;IF(TRIM(H14&amp;"")="","; E_MISSING_INPUT","")&amp;IF(TRIM(I14&amp;"")="","; E_MISSING_INPUT","")&amp;IF(TRIM(J14&amp;"")="","; E_MISSING_INPUT","")&amp;IF(TRIM(L14&amp;"")="","; E_MISSING_INPUT","")&amp;IF(P14="","; E_MISSING_INPUT","")&amp;IF(S14="","; E_MISSING_INPUT","")&amp;IF(AN14=0,"; E_APPLICABILITY_UNCONFIRMED",""))</f>
        <v/>
      </c>
      <c r="AP14" s="21" t="str">
        <f t="shared" si="19"/>
        <v/>
      </c>
      <c r="AQ14" s="21" t="str">
        <f t="shared" si="20"/>
        <v/>
      </c>
      <c r="AR14" s="21" t="str">
        <f t="shared" si="21"/>
        <v/>
      </c>
      <c r="AS14" s="22">
        <f t="shared" si="22"/>
        <v>0</v>
      </c>
    </row>
    <row r="15" spans="1:45" x14ac:dyDescent="0.2">
      <c r="A15" s="10"/>
      <c r="B15" s="10"/>
      <c r="C15" s="12"/>
      <c r="D15" s="10"/>
      <c r="E15" s="10"/>
      <c r="F15" s="17"/>
      <c r="G15" s="17"/>
      <c r="H15" s="10"/>
      <c r="I15" s="10"/>
      <c r="J15" s="10"/>
      <c r="K15" s="17"/>
      <c r="L15" s="10"/>
      <c r="M15" s="17"/>
      <c r="N15" s="17"/>
      <c r="O15" s="17"/>
      <c r="P15" s="17"/>
      <c r="Q15" s="10"/>
      <c r="R15" s="17"/>
      <c r="S15" s="17"/>
      <c r="T15" s="10"/>
      <c r="U15" s="21" t="str">
        <f t="shared" si="0"/>
        <v/>
      </c>
      <c r="V15" s="21" t="str">
        <f t="shared" si="1"/>
        <v/>
      </c>
      <c r="W15" s="21" t="str">
        <f t="shared" si="2"/>
        <v/>
      </c>
      <c r="X15" s="21" t="str">
        <f t="shared" si="3"/>
        <v/>
      </c>
      <c r="Y15" s="21" t="str">
        <f t="shared" si="4"/>
        <v/>
      </c>
      <c r="Z15" s="21" t="str">
        <f t="shared" si="5"/>
        <v/>
      </c>
      <c r="AA15" s="21" t="str">
        <f t="shared" si="6"/>
        <v/>
      </c>
      <c r="AB15" s="21" t="str">
        <f>IF(AK15=1,"",MID(IF(ISNUMBER(SEARCH("E_INVALID_DATE",AQ15))," | E_INVALID_DATE: "&amp;SUBSTITUTE(IFERROR(INDEX(nMSG_Text,MATCH("E_INVALID_DATE",nMSG_Code,0)),""),"[input]",""),"")&amp;IF(ISNUMBER(SEARCH("E_REVERSED_BOUNDS",AQ15))," | E_REVERSED_BOUNDS: "&amp;SUBSTITUTE(IFERROR(INDEX(nMSG_Text,MATCH("E_REVERSED_BOUNDS",nMSG_Code,0)),""),"[input]",""),"")&amp;IF(ISNUMBER(SEARCH("E_DUPLICATE_ID",AQ15))," | E_DUPLICATE_ID: "&amp;SUBSTITUTE(IFERROR(INDEX(nMSG_Text,MATCH("E_DUPLICATE_ID",nMSG_Code,0)),""),"[input]",""),"")&amp;IF(ISNUMBER(SEARCH("E_MISSING_LINK",AQ15))," | E_MISSING_LINK: "&amp;SUBSTITUTE(IFERROR(INDEX(nMSG_Text,MATCH("E_MISSING_LINK",nMSG_Code,0)),""),"[input]",""),"")&amp;IF(ISNUMBER(SEARCH("E_MISSING_INPUT",AQ15))," | E_MISSING_INPUT: "&amp;SUBSTITUTE(IFERROR(INDEX(nMSG_Text,MATCH("E_MISSING_INPUT",nMSG_Code,0)),""),"[input]",IF(AR15="","an input",AR15)),"")&amp;IF(ISNUMBER(SEARCH("E_INVALID_UNIT",AQ15))," | E_INVALID_UNIT: "&amp;SUBSTITUTE(IFERROR(INDEX(nMSG_Text,MATCH("E_INVALID_UNIT",nMSG_Code,0)),""),"[input]",""),"")&amp;IF(ISNUMBER(SEARCH("E_NONPOSITIVE_PARAMETER",AQ15))," | E_NONPOSITIVE_PARAMETER: "&amp;SUBSTITUTE(IFERROR(INDEX(nMSG_Text,MATCH("E_NONPOSITIVE_PARAMETER",nMSG_Code,0)),""),"[input]",""),"")&amp;IF(ISNUMBER(SEARCH("E_OUT_OF_RANGE",AQ15))," | E_OUT_OF_RANGE: "&amp;SUBSTITUTE(IFERROR(INDEX(nMSG_Text,MATCH("E_OUT_OF_RANGE",nMSG_Code,0)),""),"[input]",""),"")&amp;IF(ISNUMBER(SEARCH("E_APPLICABILITY_UNCONFIRMED",AQ15))," | E_APPLICABILITY_UNCONFIRMED: "&amp;SUBSTITUTE(IFERROR(INDEX(nMSG_Text,MATCH("E_APPLICABILITY_UNCONFIRMED",nMSG_Code,0)),""),"[input]",""),"")&amp;IF(ISNUMBER(SEARCH("E_CREATININE_STABILITY_UNCONFIRMED",AQ15))," | E_CREATININE_STABILITY_UNCONFIRMED: "&amp;SUBSTITUTE(IFERROR(INDEX(nMSG_Text,MATCH("E_CREATININE_STABILITY_UNCONFIRMED",nMSG_Code,0)),""),"[input]",""),"")&amp;IF(ISNUMBER(SEARCH("E_OVERLAPPING_SEGMENTS",AQ15))," | E_OVERLAPPING_SEGMENTS: "&amp;SUBSTITUTE(IFERROR(INDEX(nMSG_Text,MATCH("E_OVERLAPPING_SEGMENTS",nMSG_Code,0)),""),"[input]",""),""),4,9999))</f>
        <v/>
      </c>
      <c r="AC15" s="21" t="str">
        <f t="shared" si="7"/>
        <v/>
      </c>
      <c r="AD15" s="21" t="str">
        <f t="shared" si="8"/>
        <v/>
      </c>
      <c r="AE15" s="21" t="str">
        <f t="shared" si="9"/>
        <v/>
      </c>
      <c r="AF15" s="21" t="str">
        <f t="shared" si="10"/>
        <v/>
      </c>
      <c r="AG15" s="21" t="str">
        <f t="shared" si="11"/>
        <v/>
      </c>
      <c r="AH15" s="21" t="str">
        <f t="shared" si="12"/>
        <v/>
      </c>
      <c r="AI15" s="21" t="str">
        <f t="shared" si="13"/>
        <v/>
      </c>
      <c r="AJ15" s="21" t="str">
        <f t="shared" si="14"/>
        <v/>
      </c>
      <c r="AK15" s="22">
        <f t="shared" si="15"/>
        <v>1</v>
      </c>
      <c r="AL15" s="21" t="str">
        <f t="shared" si="16"/>
        <v/>
      </c>
      <c r="AM15" s="21" t="str">
        <f t="shared" si="17"/>
        <v/>
      </c>
      <c r="AN15" s="22">
        <f t="shared" si="18"/>
        <v>0</v>
      </c>
      <c r="AO15" s="21" t="str">
        <f>IF(AK15=1,"",IF(A15="","; E_MISSING_INPUT","")&amp;IF(N15="","; E_MISSING_INPUT","")&amp;IF(AND(N15&lt;&gt;"",ISNA(MATCH(N15,nLIST_TimeUnit,0))),"; E_INVALID_UNIT","")&amp;IF(O15="","; E_MISSING_INPUT","")&amp;IF(AND(O15&lt;&gt;"",NOT(ISNUMBER(O15))),"; E_MISSING_INPUT","")&amp;IF(AND(ISNUMBER(O15),O15&lt;=0),"; E_NONPOSITIVE_PARAMETER","")&amp;IF(R15="","; E_MISSING_INPUT","")&amp;IF(AND(R15&lt;&gt;"",NOT(ISNUMBER(R15))),"; E_MISSING_INPUT","")&amp;IF(AND(ISNUMBER(R15),R15&lt;0),"; E_OUT_OF_RANGE","")&amp;IF(TRIM(H15&amp;"")="","; E_MISSING_INPUT","")&amp;IF(TRIM(I15&amp;"")="","; E_MISSING_INPUT","")&amp;IF(TRIM(J15&amp;"")="","; E_MISSING_INPUT","")&amp;IF(TRIM(L15&amp;"")="","; E_MISSING_INPUT","")&amp;IF(P15="","; E_MISSING_INPUT","")&amp;IF(S15="","; E_MISSING_INPUT","")&amp;IF(AN15=0,"; E_APPLICABILITY_UNCONFIRMED",""))</f>
        <v/>
      </c>
      <c r="AP15" s="21" t="str">
        <f t="shared" si="19"/>
        <v/>
      </c>
      <c r="AQ15" s="21" t="str">
        <f t="shared" si="20"/>
        <v/>
      </c>
      <c r="AR15" s="21" t="str">
        <f t="shared" si="21"/>
        <v/>
      </c>
      <c r="AS15" s="22">
        <f t="shared" si="22"/>
        <v>0</v>
      </c>
    </row>
    <row r="16" spans="1:45" x14ac:dyDescent="0.2">
      <c r="A16" s="24" t="s">
        <v>295</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row>
    <row r="17" spans="1:45" x14ac:dyDescent="0.2">
      <c r="A17" s="9" t="s">
        <v>1242</v>
      </c>
      <c r="B17" s="9" t="s">
        <v>339</v>
      </c>
      <c r="C17" s="11">
        <v>1</v>
      </c>
      <c r="D17" s="9" t="s">
        <v>1243</v>
      </c>
      <c r="E17" s="9"/>
      <c r="F17" s="16" t="s">
        <v>85</v>
      </c>
      <c r="G17" s="16" t="s">
        <v>85</v>
      </c>
      <c r="H17" s="9" t="s">
        <v>1247</v>
      </c>
      <c r="I17" s="9" t="s">
        <v>1244</v>
      </c>
      <c r="J17" s="9" t="s">
        <v>1246</v>
      </c>
      <c r="K17" s="16" t="s">
        <v>85</v>
      </c>
      <c r="L17" s="9" t="s">
        <v>1245</v>
      </c>
      <c r="M17" s="16" t="s">
        <v>85</v>
      </c>
      <c r="N17" s="16" t="s">
        <v>67</v>
      </c>
      <c r="O17" s="16">
        <v>24</v>
      </c>
      <c r="P17" s="16" t="s">
        <v>83</v>
      </c>
      <c r="Q17" s="9" t="s">
        <v>1248</v>
      </c>
      <c r="R17" s="16">
        <v>72</v>
      </c>
      <c r="S17" s="16" t="s">
        <v>83</v>
      </c>
      <c r="T17" s="9" t="s">
        <v>1248</v>
      </c>
      <c r="U17" s="21" t="str">
        <f t="shared" ref="U17:U24" si="23">IF(AK17=1,"",IF(AQ17&lt;&gt;"",AQ17&amp;": no result is shown",IF(X17=0,"0",IF(ABS(X17)&lt;0.0001,FIXED(IF(ABS(ROUND(X17/10^INT(LOG10(ABS(X17))),2))&gt;=10,ROUND(X17/10^INT(LOG10(ABS(X17))),2)/10,ROUND(X17/10^INT(LOG10(ABS(X17))),2)),2,TRUE)&amp;" × 10"&amp;SUBSTITUTE(SUBSTITUTE(SUBSTITUTE(SUBSTITUTE(SUBSTITUTE(SUBSTITUTE(SUBSTITUTE(SUBSTITUTE(SUBSTITUTE(SUBSTITUTE(SUBSTITUTE(TEXT((INT(LOG10(ABS(X17)))+IF(ABS(ROUND(X17/10^INT(LOG10(ABS(X17))),2))&gt;=10,1,0)),"0"),"-","⁻"),"0","⁰"),"1","¹"),"2","²"),"3","³"),"4","⁴"),"5","⁵"),"6","⁶"),"7","⁷"),"8","⁸"),"9","⁹"),FIXED(ROUND(X17,MAX(0,2-INT(LOG10(ABS(X17))))),MAX(0,2-INT(LOG10(ABS(ROUND(X17,MAX(0,2-INT(LOG10(ABS(X17))))))))),FALSE)))&amp;"% of the reference remains after "&amp;R17&amp;" "&amp;N17&amp;"; k = "&amp;IF(Y17=0,"0",FIXED(Y17,MAX(0,2-INT(LOG10(ABS(Y17)))),TRUE))&amp;" per "&amp;LEFT(N17,LEN(N17)-1)))</f>
        <v>12.5% of the reference remains after 72 hours; k = 0.0289 per hour</v>
      </c>
      <c r="V17" s="21" t="str">
        <f t="shared" ref="V17:V24" si="24">IF(AK17=1,"",IF(AS17=0,"Not calculable",MID(IF(TRUE,"; "&amp;"Fraction remaining"&amp;": "&amp;IF(100*W17=0,"0",IF(ABS(100*W17)&lt;0.0001,FIXED(IF(ABS(ROUND(100*W17/10^INT(LOG10(ABS(100*W17))),2))&gt;=10,ROUND(100*W17/10^INT(LOG10(ABS(100*W17))),2)/10,ROUND(100*W17/10^INT(LOG10(ABS(100*W17))),2)),2,TRUE)&amp;" × 10"&amp;SUBSTITUTE(SUBSTITUTE(SUBSTITUTE(SUBSTITUTE(SUBSTITUTE(SUBSTITUTE(SUBSTITUTE(SUBSTITUTE(SUBSTITUTE(SUBSTITUTE(SUBSTITUTE(TEXT((INT(LOG10(ABS(100*W17)))+IF(ABS(ROUND(100*W17/10^INT(LOG10(ABS(100*W17))),2))&gt;=10,1,0)),"0"),"-","⁻"),"0","⁰"),"1","¹"),"2","²"),"3","³"),"4","⁴"),"5","⁵"),"6","⁶"),"7","⁷"),"8","⁸"),"9","⁹"),FIXED(ROUND(100*W17,MAX(0,2-INT(LOG10(ABS(100*W17))))),MAX(0,2-INT(LOG10(ABS(ROUND(100*W17,MAX(0,2-INT(LOG10(ABS(100*W17))))))))),FALSE)))&amp;"%","")&amp;IF(TRUE,"; "&amp;"Elimination rate constant k"&amp;": "&amp;IF(Y17=0,"0",FIXED(Y17,MAX(0,2-INT(LOG10(ABS(Y17)))),TRUE))&amp;" per "&amp;LEFT(N17,LEN(N17)-1),""),3,9999)))</f>
        <v>Fraction remaining: 12.5%; Elimination rate constant k: 0.0289 per hour</v>
      </c>
      <c r="W17" s="21">
        <f t="shared" ref="W17:W24" si="25">IF(AS17=1,2^(-R17/O17),"")</f>
        <v>0.125</v>
      </c>
      <c r="X17" s="21">
        <f t="shared" ref="X17:X24" si="26">IF(AS17=1,100*W17,"")</f>
        <v>12.5</v>
      </c>
      <c r="Y17" s="21">
        <f t="shared" ref="Y17:Y24" si="27">IF(AS17=1,LN(2)/O17,"")</f>
        <v>2.8881132523331052E-2</v>
      </c>
      <c r="Z17" s="21">
        <f t="shared" ref="Z17:Z24" si="28">IF(AS17=1,LN(2)/(O17*IF(N17="minutes",1/60,IF(N17="hours",1,24))),"")</f>
        <v>2.8881132523331052E-2</v>
      </c>
      <c r="AA17" s="21" t="str">
        <f t="shared" ref="AA17:AA24" si="29">IF(AK17=1,"",IF(AQ17&lt;&gt;"",AQ17,""))</f>
        <v/>
      </c>
      <c r="AB17" s="21" t="str">
        <f>IF(AK17=1,"",MID(IF(ISNUMBER(SEARCH("E_INVALID_DATE",AQ17))," | E_INVALID_DATE: "&amp;SUBSTITUTE(IFERROR(INDEX(nMSG_Text,MATCH("E_INVALID_DATE",nMSG_Code,0)),""),"[input]",""),"")&amp;IF(ISNUMBER(SEARCH("E_REVERSED_BOUNDS",AQ17))," | E_REVERSED_BOUNDS: "&amp;SUBSTITUTE(IFERROR(INDEX(nMSG_Text,MATCH("E_REVERSED_BOUNDS",nMSG_Code,0)),""),"[input]",""),"")&amp;IF(ISNUMBER(SEARCH("E_DUPLICATE_ID",AQ17))," | E_DUPLICATE_ID: "&amp;SUBSTITUTE(IFERROR(INDEX(nMSG_Text,MATCH("E_DUPLICATE_ID",nMSG_Code,0)),""),"[input]",""),"")&amp;IF(ISNUMBER(SEARCH("E_MISSING_LINK",AQ17))," | E_MISSING_LINK: "&amp;SUBSTITUTE(IFERROR(INDEX(nMSG_Text,MATCH("E_MISSING_LINK",nMSG_Code,0)),""),"[input]",""),"")&amp;IF(ISNUMBER(SEARCH("E_MISSING_INPUT",AQ17))," | E_MISSING_INPUT: "&amp;SUBSTITUTE(IFERROR(INDEX(nMSG_Text,MATCH("E_MISSING_INPUT",nMSG_Code,0)),""),"[input]",IF(AR17="","an input",AR17)),"")&amp;IF(ISNUMBER(SEARCH("E_INVALID_UNIT",AQ17))," | E_INVALID_UNIT: "&amp;SUBSTITUTE(IFERROR(INDEX(nMSG_Text,MATCH("E_INVALID_UNIT",nMSG_Code,0)),""),"[input]",""),"")&amp;IF(ISNUMBER(SEARCH("E_NONPOSITIVE_PARAMETER",AQ17))," | E_NONPOSITIVE_PARAMETER: "&amp;SUBSTITUTE(IFERROR(INDEX(nMSG_Text,MATCH("E_NONPOSITIVE_PARAMETER",nMSG_Code,0)),""),"[input]",""),"")&amp;IF(ISNUMBER(SEARCH("E_OUT_OF_RANGE",AQ17))," | E_OUT_OF_RANGE: "&amp;SUBSTITUTE(IFERROR(INDEX(nMSG_Text,MATCH("E_OUT_OF_RANGE",nMSG_Code,0)),""),"[input]",""),"")&amp;IF(ISNUMBER(SEARCH("E_APPLICABILITY_UNCONFIRMED",AQ17))," | E_APPLICABILITY_UNCONFIRMED: "&amp;SUBSTITUTE(IFERROR(INDEX(nMSG_Text,MATCH("E_APPLICABILITY_UNCONFIRMED",nMSG_Code,0)),""),"[input]",""),"")&amp;IF(ISNUMBER(SEARCH("E_CREATININE_STABILITY_UNCONFIRMED",AQ17))," | E_CREATININE_STABILITY_UNCONFIRMED: "&amp;SUBSTITUTE(IFERROR(INDEX(nMSG_Text,MATCH("E_CREATININE_STABILITY_UNCONFIRMED",nMSG_Code,0)),""),"[input]",""),"")&amp;IF(ISNUMBER(SEARCH("E_OVERLAPPING_SEGMENTS",AQ17))," | E_OVERLAPPING_SEGMENTS: "&amp;SUBSTITUTE(IFERROR(INDEX(nMSG_Text,MATCH("E_OVERLAPPING_SEGMENTS",nMSG_Code,0)),""),"[input]",""),""),4,9999))</f>
        <v/>
      </c>
      <c r="AC17" s="21" t="str">
        <f t="shared" ref="AC17:AC24" si="30">IF(AK17=1,"","t_half = "&amp;O17&amp;" "&amp;N17&amp;" ["&amp;IF(P17="","status not recorded",P17)&amp;IF(Q17&lt;&gt;"","; "&amp;Q17,"")&amp;"]"&amp;"; "&amp;"t = "&amp;R17&amp;" "&amp;N17&amp;" ["&amp;IF(S17="","status not recorded",S17)&amp;IF(T17&lt;&gt;"","; "&amp;T17,"")&amp;"]")</f>
        <v>t_half = 24 hours [hypothetical example; V34 V16]; t = 72 hours [hypothetical example; V34 V16]</v>
      </c>
      <c r="AD17" s="21" t="str">
        <f t="shared" ref="AD17:AD24" si="31">IF(AK17=1,"",MID(""&amp;IF(AN17=1," | Gate confirmed: the simple model applies (one compartment, linear first-order elimination, constant parameters over the period). | Gate confirmed: the half-life used – type: "&amp;H17&amp;"; population: "&amp;I17&amp;"; source: "&amp;J17&amp;". | Gate confirmed: reference time – "&amp;L17&amp;". | Gate confirmed: each input’s Parameter_Status is recorded."," | Common gate not confirmed"&amp;IF(AND(F17="Yes",G17="Yes",K17="Yes",M17="Yes"),": a gate detail or a Parameter_Status is blank.",": "&amp;MID(IF(F17&lt;&gt;"Yes",", model","")&amp;IF(G17&lt;&gt;"Yes",", half-life used","")&amp;IF(K17&lt;&gt;"Yes",", reference time","")&amp;IF(M17&lt;&gt;"Yes",", Parameter_Status",""),3,99)&amp;" not confirmed."))&amp;IF(TRIM(E17&amp;"")&lt;&gt;""," | "&amp;E17,""),4,9999))</f>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v>
      </c>
      <c r="AE17" s="21" t="str">
        <f t="shared" ref="AE17:AE24" si="32">IF(AS17=0,"",MID(IF(TRUE,"; "&amp;"Fraction remaining"&amp;" = "&amp;W17&amp;" ("&amp;IF(100*W17=0,"0",IF(ABS(100*W17)&lt;0.0001,FIXED(IF(ABS(ROUND(100*W17/10^INT(LOG10(ABS(100*W17))),2))&gt;=10,ROUND(100*W17/10^INT(LOG10(ABS(100*W17))),2)/10,ROUND(100*W17/10^INT(LOG10(ABS(100*W17))),2)),2,TRUE)&amp;" × 10"&amp;SUBSTITUTE(SUBSTITUTE(SUBSTITUTE(SUBSTITUTE(SUBSTITUTE(SUBSTITUTE(SUBSTITUTE(SUBSTITUTE(SUBSTITUTE(SUBSTITUTE(SUBSTITUTE(TEXT((INT(LOG10(ABS(100*W17)))+IF(ABS(ROUND(100*W17/10^INT(LOG10(ABS(100*W17))),2))&gt;=10,1,0)),"0"),"-","⁻"),"0","⁰"),"1","¹"),"2","²"),"3","³"),"4","⁴"),"5","⁵"),"6","⁶"),"7","⁷"),"8","⁸"),"9","⁹"),FIXED(ROUND(100*W17,MAX(0,2-INT(LOG10(ABS(100*W17))))),MAX(0,2-INT(LOG10(ABS(ROUND(100*W17,MAX(0,2-INT(LOG10(ABS(100*W17))))))))),FALSE)))&amp;"%"&amp;")","")&amp;IF(TRUE,"; "&amp;"Elimination rate constant k"&amp;" = "&amp;Y17&amp;" ("&amp;IF(Y17=0,"0",FIXED(Y17,MAX(0,2-INT(LOG10(ABS(Y17)))),TRUE))&amp;" per "&amp;LEFT(N17,LEN(N17)-1)&amp;")",""),3,9999))</f>
        <v>Fraction remaining = 0.125 (12.5%); Elimination rate constant k = 0.0288811325233311 (0.0289 per hour)</v>
      </c>
      <c r="AF17" s="21" t="str">
        <f t="shared" ref="AF17:AF24" si="33">IF(AS17=0,"","fraction (shown as percent)")</f>
        <v>fraction (shown as percent)</v>
      </c>
      <c r="AG17" s="21" t="str">
        <f t="shared" ref="AG17:AG24" si="34">IF(AK17=1,"",IF(TRIM(D17&amp;"")&lt;&gt;"",D17,"Q1 Elimination and fractional persistence"))</f>
        <v>Vector V16</v>
      </c>
      <c r="AH17" s="21" t="str">
        <f t="shared" ref="AH17:AH24" si="35">IF(AK17=1,"","Fraction of the chosen reference amount or concentration under the stated model. It is not a causal or pharmacological threshold.")</f>
        <v>Fraction of the chosen reference amount or concentration under the stated model. It is not a causal or pharmacological threshold.</v>
      </c>
      <c r="AI17" s="21" t="str">
        <f t="shared" ref="AI17:AI24" si="36">IF(AK17=1,"","k = ln 2 / t_half; fraction remaining = 2^(-t / t_half) = exp(-k x t)")</f>
        <v>k = ln 2 / t_half; fraction remaining = 2^(-t / t_half) = exp(-k x t)</v>
      </c>
      <c r="AJ17" s="21" t="str">
        <f t="shared" ref="AJ17:AJ24" si="37">IF(AK17=1,"","CALC-SPEC 1.1")</f>
        <v>CALC-SPEC 1.1</v>
      </c>
      <c r="AK17" s="22">
        <f t="shared" ref="AK17:AK24" si="38">IF(AND(A17="",O17="",R17=""),1,0)</f>
        <v>0</v>
      </c>
      <c r="AL17" s="21" t="str">
        <f t="shared" ref="AL17:AL24" si="39">IF(AK17=1,"",B17&amp;"|"&amp;C17)</f>
        <v>VEC-V16|1</v>
      </c>
      <c r="AM17" s="21" t="str">
        <f t="shared" ref="AM17:AM24" si="40">IF(A17="","",B17&amp;"|"&amp;C17&amp;"|"&amp;A17)</f>
        <v>VEC-V16|1|Q1-V16</v>
      </c>
      <c r="AN17" s="22">
        <f t="shared" ref="AN17:AN24" si="41">IF(AND(F17="Yes",G17="Yes",K17="Yes",M17="Yes",TRIM(H17&amp;"")&lt;&gt;"",TRIM(I17&amp;"")&lt;&gt;"",TRIM(J17&amp;"")&lt;&gt;"",TRIM(L17&amp;"")&lt;&gt;"",P17&lt;&gt;"",S17&lt;&gt;""),1,0)</f>
        <v>1</v>
      </c>
      <c r="AO17" s="21" t="str">
        <f>IF(AK17=1,"",IF(A17="","; E_MISSING_INPUT","")&amp;IF(N17="","; E_MISSING_INPUT","")&amp;IF(AND(N17&lt;&gt;"",ISNA(MATCH(N17,nLIST_TimeUnit,0))),"; E_INVALID_UNIT","")&amp;IF(O17="","; E_MISSING_INPUT","")&amp;IF(AND(O17&lt;&gt;"",NOT(ISNUMBER(O17))),"; E_MISSING_INPUT","")&amp;IF(AND(ISNUMBER(O17),O17&lt;=0),"; E_NONPOSITIVE_PARAMETER","")&amp;IF(R17="","; E_MISSING_INPUT","")&amp;IF(AND(R17&lt;&gt;"",NOT(ISNUMBER(R17))),"; E_MISSING_INPUT","")&amp;IF(AND(ISNUMBER(R17),R17&lt;0),"; E_OUT_OF_RANGE","")&amp;IF(TRIM(H17&amp;"")="","; E_MISSING_INPUT","")&amp;IF(TRIM(I17&amp;"")="","; E_MISSING_INPUT","")&amp;IF(TRIM(J17&amp;"")="","; E_MISSING_INPUT","")&amp;IF(TRIM(L17&amp;"")="","; E_MISSING_INPUT","")&amp;IF(P17="","; E_MISSING_INPUT","")&amp;IF(S17="","; E_MISSING_INPUT","")&amp;IF(AN17=0,"; E_APPLICABILITY_UNCONFIRMED",""))</f>
        <v/>
      </c>
      <c r="AP17" s="21" t="str">
        <f t="shared" ref="AP17:AP24" si="42">IF(AK17=1,"",IF(A17="",", a Calc_ID","")&amp;IF(N17="",", a time unit","")&amp;IF(O17="",", the half-life","")&amp;IF(AND(O17&lt;&gt;"",NOT(ISNUMBER(O17))),", the half-life as a number","")&amp;IF(R17="",", the time","")&amp;IF(AND(R17&lt;&gt;"",NOT(ISNUMBER(R17))),", the time as a number","")&amp;IF(TRIM(H17&amp;"")="",", the type of the half-life used","")&amp;IF(TRIM(I17&amp;"")="",", the population of the half-life used","")&amp;IF(TRIM(J17&amp;"")="",", the source of the half-life used","")&amp;IF(TRIM(L17&amp;"")="",", the reference time","")&amp;IF(P17="",", the Parameter_Status of t_half","")&amp;IF(S17="",", the Parameter_Status of t",""))</f>
        <v/>
      </c>
      <c r="AQ17" s="21" t="str">
        <f t="shared" ref="AQ17:AQ24" si="43">IF(AK17=1,"",MID(IF(ISNUMBER(SEARCH("E_INVALID_DATE",AO17)),"; E_INVALID_DATE","")&amp;IF(ISNUMBER(SEARCH("E_REVERSED_BOUNDS",AO17)),"; E_REVERSED_BOUNDS","")&amp;IF(ISNUMBER(SEARCH("E_DUPLICATE_ID",AO17)),"; E_DUPLICATE_ID","")&amp;IF(ISNUMBER(SEARCH("E_MISSING_LINK",AO17)),"; E_MISSING_LINK","")&amp;IF(ISNUMBER(SEARCH("E_MISSING_INPUT",AO17)),"; E_MISSING_INPUT","")&amp;IF(ISNUMBER(SEARCH("E_INVALID_UNIT",AO17)),"; E_INVALID_UNIT","")&amp;IF(ISNUMBER(SEARCH("E_NONPOSITIVE_PARAMETER",AO17)),"; E_NONPOSITIVE_PARAMETER","")&amp;IF(ISNUMBER(SEARCH("E_OUT_OF_RANGE",AO17)),"; E_OUT_OF_RANGE","")&amp;IF(ISNUMBER(SEARCH("E_APPLICABILITY_UNCONFIRMED",AO17)),"; E_APPLICABILITY_UNCONFIRMED","")&amp;IF(ISNUMBER(SEARCH("E_CREATININE_STABILITY_UNCONFIRMED",AO17)),"; E_CREATININE_STABILITY_UNCONFIRMED","")&amp;IF(ISNUMBER(SEARCH("E_OVERLAPPING_SEGMENTS",AO17)),"; E_OVERLAPPING_SEGMENTS",""),3,999))</f>
        <v/>
      </c>
      <c r="AR17" s="21" t="str">
        <f t="shared" ref="AR17:AR24" si="44">MID(AP17,3,999)</f>
        <v/>
      </c>
      <c r="AS17" s="22">
        <f t="shared" ref="AS17:AS24" si="45">IF(AND(AK17=0,AQ17=""),1,0)</f>
        <v>1</v>
      </c>
    </row>
    <row r="18" spans="1:45" x14ac:dyDescent="0.2">
      <c r="A18" s="9" t="s">
        <v>1249</v>
      </c>
      <c r="B18" s="9" t="s">
        <v>355</v>
      </c>
      <c r="C18" s="11">
        <v>1</v>
      </c>
      <c r="D18" s="9" t="s">
        <v>1250</v>
      </c>
      <c r="E18" s="9"/>
      <c r="F18" s="16" t="s">
        <v>85</v>
      </c>
      <c r="G18" s="16" t="s">
        <v>85</v>
      </c>
      <c r="H18" s="9" t="s">
        <v>1247</v>
      </c>
      <c r="I18" s="9" t="s">
        <v>1244</v>
      </c>
      <c r="J18" s="9" t="s">
        <v>1246</v>
      </c>
      <c r="K18" s="16" t="s">
        <v>85</v>
      </c>
      <c r="L18" s="9" t="s">
        <v>1245</v>
      </c>
      <c r="M18" s="16" t="s">
        <v>85</v>
      </c>
      <c r="N18" s="16" t="s">
        <v>67</v>
      </c>
      <c r="O18" s="16">
        <v>0</v>
      </c>
      <c r="P18" s="16" t="s">
        <v>83</v>
      </c>
      <c r="Q18" s="9" t="s">
        <v>1251</v>
      </c>
      <c r="R18" s="16">
        <v>72</v>
      </c>
      <c r="S18" s="16" t="s">
        <v>83</v>
      </c>
      <c r="T18" s="9" t="s">
        <v>1251</v>
      </c>
      <c r="U18" s="21" t="str">
        <f t="shared" si="23"/>
        <v>E_NONPOSITIVE_PARAMETER: no result is shown</v>
      </c>
      <c r="V18" s="21" t="str">
        <f t="shared" si="24"/>
        <v>Not calculable</v>
      </c>
      <c r="W18" s="21" t="str">
        <f t="shared" si="25"/>
        <v/>
      </c>
      <c r="X18" s="21" t="str">
        <f t="shared" si="26"/>
        <v/>
      </c>
      <c r="Y18" s="21" t="str">
        <f t="shared" si="27"/>
        <v/>
      </c>
      <c r="Z18" s="21" t="str">
        <f t="shared" si="28"/>
        <v/>
      </c>
      <c r="AA18" s="21" t="str">
        <f t="shared" si="29"/>
        <v>E_NONPOSITIVE_PARAMETER</v>
      </c>
      <c r="AB18" s="21" t="str">
        <f>IF(AK18=1,"",MID(IF(ISNUMBER(SEARCH("E_INVALID_DATE",AQ18))," | E_INVALID_DATE: "&amp;SUBSTITUTE(IFERROR(INDEX(nMSG_Text,MATCH("E_INVALID_DATE",nMSG_Code,0)),""),"[input]",""),"")&amp;IF(ISNUMBER(SEARCH("E_REVERSED_BOUNDS",AQ18))," | E_REVERSED_BOUNDS: "&amp;SUBSTITUTE(IFERROR(INDEX(nMSG_Text,MATCH("E_REVERSED_BOUNDS",nMSG_Code,0)),""),"[input]",""),"")&amp;IF(ISNUMBER(SEARCH("E_DUPLICATE_ID",AQ18))," | E_DUPLICATE_ID: "&amp;SUBSTITUTE(IFERROR(INDEX(nMSG_Text,MATCH("E_DUPLICATE_ID",nMSG_Code,0)),""),"[input]",""),"")&amp;IF(ISNUMBER(SEARCH("E_MISSING_LINK",AQ18))," | E_MISSING_LINK: "&amp;SUBSTITUTE(IFERROR(INDEX(nMSG_Text,MATCH("E_MISSING_LINK",nMSG_Code,0)),""),"[input]",""),"")&amp;IF(ISNUMBER(SEARCH("E_MISSING_INPUT",AQ18))," | E_MISSING_INPUT: "&amp;SUBSTITUTE(IFERROR(INDEX(nMSG_Text,MATCH("E_MISSING_INPUT",nMSG_Code,0)),""),"[input]",IF(AR18="","an input",AR18)),"")&amp;IF(ISNUMBER(SEARCH("E_INVALID_UNIT",AQ18))," | E_INVALID_UNIT: "&amp;SUBSTITUTE(IFERROR(INDEX(nMSG_Text,MATCH("E_INVALID_UNIT",nMSG_Code,0)),""),"[input]",""),"")&amp;IF(ISNUMBER(SEARCH("E_NONPOSITIVE_PARAMETER",AQ18))," | E_NONPOSITIVE_PARAMETER: "&amp;SUBSTITUTE(IFERROR(INDEX(nMSG_Text,MATCH("E_NONPOSITIVE_PARAMETER",nMSG_Code,0)),""),"[input]",""),"")&amp;IF(ISNUMBER(SEARCH("E_OUT_OF_RANGE",AQ18))," | E_OUT_OF_RANGE: "&amp;SUBSTITUTE(IFERROR(INDEX(nMSG_Text,MATCH("E_OUT_OF_RANGE",nMSG_Code,0)),""),"[input]",""),"")&amp;IF(ISNUMBER(SEARCH("E_APPLICABILITY_UNCONFIRMED",AQ18))," | E_APPLICABILITY_UNCONFIRMED: "&amp;SUBSTITUTE(IFERROR(INDEX(nMSG_Text,MATCH("E_APPLICABILITY_UNCONFIRMED",nMSG_Code,0)),""),"[input]",""),"")&amp;IF(ISNUMBER(SEARCH("E_CREATININE_STABILITY_UNCONFIRMED",AQ18))," | E_CREATININE_STABILITY_UNCONFIRMED: "&amp;SUBSTITUTE(IFERROR(INDEX(nMSG_Text,MATCH("E_CREATININE_STABILITY_UNCONFIRMED",nMSG_Code,0)),""),"[input]",""),"")&amp;IF(ISNUMBER(SEARCH("E_OVERLAPPING_SEGMENTS",AQ18))," | E_OVERLAPPING_SEGMENTS: "&amp;SUBSTITUTE(IFERROR(INDEX(nMSG_Text,MATCH("E_OVERLAPPING_SEGMENTS",nMSG_Code,0)),""),"[input]",""),""),4,9999))</f>
        <v>E_NONPOSITIVE_PARAMETER: This value must be greater than zero.</v>
      </c>
      <c r="AC18" s="21" t="str">
        <f t="shared" si="30"/>
        <v>t_half = 0 hours [hypothetical example; V34 V24]; t = 72 hours [hypothetical example; V34 V24]</v>
      </c>
      <c r="AD18" s="21" t="str">
        <f t="shared" si="31"/>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v>
      </c>
      <c r="AE18" s="21" t="str">
        <f t="shared" si="32"/>
        <v/>
      </c>
      <c r="AF18" s="21" t="str">
        <f t="shared" si="33"/>
        <v/>
      </c>
      <c r="AG18" s="21" t="str">
        <f t="shared" si="34"/>
        <v>Vector V24, case 1: half-life 0</v>
      </c>
      <c r="AH18" s="21" t="str">
        <f t="shared" si="35"/>
        <v>Fraction of the chosen reference amount or concentration under the stated model. It is not a causal or pharmacological threshold.</v>
      </c>
      <c r="AI18" s="21" t="str">
        <f t="shared" si="36"/>
        <v>k = ln 2 / t_half; fraction remaining = 2^(-t / t_half) = exp(-k x t)</v>
      </c>
      <c r="AJ18" s="21" t="str">
        <f t="shared" si="37"/>
        <v>CALC-SPEC 1.1</v>
      </c>
      <c r="AK18" s="22">
        <f t="shared" si="38"/>
        <v>0</v>
      </c>
      <c r="AL18" s="21" t="str">
        <f t="shared" si="39"/>
        <v>VEC-V24|1</v>
      </c>
      <c r="AM18" s="21" t="str">
        <f t="shared" si="40"/>
        <v>VEC-V24|1|Q1-V24a</v>
      </c>
      <c r="AN18" s="22">
        <f t="shared" si="41"/>
        <v>1</v>
      </c>
      <c r="AO18" s="21" t="str">
        <f>IF(AK18=1,"",IF(A18="","; E_MISSING_INPUT","")&amp;IF(N18="","; E_MISSING_INPUT","")&amp;IF(AND(N18&lt;&gt;"",ISNA(MATCH(N18,nLIST_TimeUnit,0))),"; E_INVALID_UNIT","")&amp;IF(O18="","; E_MISSING_INPUT","")&amp;IF(AND(O18&lt;&gt;"",NOT(ISNUMBER(O18))),"; E_MISSING_INPUT","")&amp;IF(AND(ISNUMBER(O18),O18&lt;=0),"; E_NONPOSITIVE_PARAMETER","")&amp;IF(R18="","; E_MISSING_INPUT","")&amp;IF(AND(R18&lt;&gt;"",NOT(ISNUMBER(R18))),"; E_MISSING_INPUT","")&amp;IF(AND(ISNUMBER(R18),R18&lt;0),"; E_OUT_OF_RANGE","")&amp;IF(TRIM(H18&amp;"")="","; E_MISSING_INPUT","")&amp;IF(TRIM(I18&amp;"")="","; E_MISSING_INPUT","")&amp;IF(TRIM(J18&amp;"")="","; E_MISSING_INPUT","")&amp;IF(TRIM(L18&amp;"")="","; E_MISSING_INPUT","")&amp;IF(P18="","; E_MISSING_INPUT","")&amp;IF(S18="","; E_MISSING_INPUT","")&amp;IF(AN18=0,"; E_APPLICABILITY_UNCONFIRMED",""))</f>
        <v>; E_NONPOSITIVE_PARAMETER</v>
      </c>
      <c r="AP18" s="21" t="str">
        <f t="shared" si="42"/>
        <v/>
      </c>
      <c r="AQ18" s="21" t="str">
        <f t="shared" si="43"/>
        <v>E_NONPOSITIVE_PARAMETER</v>
      </c>
      <c r="AR18" s="21" t="str">
        <f t="shared" si="44"/>
        <v/>
      </c>
      <c r="AS18" s="22">
        <f t="shared" si="45"/>
        <v>0</v>
      </c>
    </row>
    <row r="19" spans="1:45" x14ac:dyDescent="0.2">
      <c r="A19" s="9" t="s">
        <v>1252</v>
      </c>
      <c r="B19" s="9" t="s">
        <v>355</v>
      </c>
      <c r="C19" s="11">
        <v>1</v>
      </c>
      <c r="D19" s="9" t="s">
        <v>1253</v>
      </c>
      <c r="E19" s="9"/>
      <c r="F19" s="16" t="s">
        <v>85</v>
      </c>
      <c r="G19" s="16" t="s">
        <v>85</v>
      </c>
      <c r="H19" s="9" t="s">
        <v>1247</v>
      </c>
      <c r="I19" s="9" t="s">
        <v>1244</v>
      </c>
      <c r="J19" s="9" t="s">
        <v>1246</v>
      </c>
      <c r="K19" s="16" t="s">
        <v>85</v>
      </c>
      <c r="L19" s="9" t="s">
        <v>1245</v>
      </c>
      <c r="M19" s="16" t="s">
        <v>85</v>
      </c>
      <c r="N19" s="16" t="s">
        <v>1254</v>
      </c>
      <c r="O19" s="16">
        <v>24</v>
      </c>
      <c r="P19" s="16" t="s">
        <v>83</v>
      </c>
      <c r="Q19" s="9" t="s">
        <v>1251</v>
      </c>
      <c r="R19" s="16">
        <v>72</v>
      </c>
      <c r="S19" s="16" t="s">
        <v>83</v>
      </c>
      <c r="T19" s="9" t="s">
        <v>1251</v>
      </c>
      <c r="U19" s="21" t="str">
        <f t="shared" si="23"/>
        <v>E_INVALID_UNIT: no result is shown</v>
      </c>
      <c r="V19" s="21" t="str">
        <f t="shared" si="24"/>
        <v>Not calculable</v>
      </c>
      <c r="W19" s="21" t="str">
        <f t="shared" si="25"/>
        <v/>
      </c>
      <c r="X19" s="21" t="str">
        <f t="shared" si="26"/>
        <v/>
      </c>
      <c r="Y19" s="21" t="str">
        <f t="shared" si="27"/>
        <v/>
      </c>
      <c r="Z19" s="21" t="str">
        <f t="shared" si="28"/>
        <v/>
      </c>
      <c r="AA19" s="21" t="str">
        <f t="shared" si="29"/>
        <v>E_INVALID_UNIT</v>
      </c>
      <c r="AB19" s="21" t="str">
        <f>IF(AK19=1,"",MID(IF(ISNUMBER(SEARCH("E_INVALID_DATE",AQ19))," | E_INVALID_DATE: "&amp;SUBSTITUTE(IFERROR(INDEX(nMSG_Text,MATCH("E_INVALID_DATE",nMSG_Code,0)),""),"[input]",""),"")&amp;IF(ISNUMBER(SEARCH("E_REVERSED_BOUNDS",AQ19))," | E_REVERSED_BOUNDS: "&amp;SUBSTITUTE(IFERROR(INDEX(nMSG_Text,MATCH("E_REVERSED_BOUNDS",nMSG_Code,0)),""),"[input]",""),"")&amp;IF(ISNUMBER(SEARCH("E_DUPLICATE_ID",AQ19))," | E_DUPLICATE_ID: "&amp;SUBSTITUTE(IFERROR(INDEX(nMSG_Text,MATCH("E_DUPLICATE_ID",nMSG_Code,0)),""),"[input]",""),"")&amp;IF(ISNUMBER(SEARCH("E_MISSING_LINK",AQ19))," | E_MISSING_LINK: "&amp;SUBSTITUTE(IFERROR(INDEX(nMSG_Text,MATCH("E_MISSING_LINK",nMSG_Code,0)),""),"[input]",""),"")&amp;IF(ISNUMBER(SEARCH("E_MISSING_INPUT",AQ19))," | E_MISSING_INPUT: "&amp;SUBSTITUTE(IFERROR(INDEX(nMSG_Text,MATCH("E_MISSING_INPUT",nMSG_Code,0)),""),"[input]",IF(AR19="","an input",AR19)),"")&amp;IF(ISNUMBER(SEARCH("E_INVALID_UNIT",AQ19))," | E_INVALID_UNIT: "&amp;SUBSTITUTE(IFERROR(INDEX(nMSG_Text,MATCH("E_INVALID_UNIT",nMSG_Code,0)),""),"[input]",""),"")&amp;IF(ISNUMBER(SEARCH("E_NONPOSITIVE_PARAMETER",AQ19))," | E_NONPOSITIVE_PARAMETER: "&amp;SUBSTITUTE(IFERROR(INDEX(nMSG_Text,MATCH("E_NONPOSITIVE_PARAMETER",nMSG_Code,0)),""),"[input]",""),"")&amp;IF(ISNUMBER(SEARCH("E_OUT_OF_RANGE",AQ19))," | E_OUT_OF_RANGE: "&amp;SUBSTITUTE(IFERROR(INDEX(nMSG_Text,MATCH("E_OUT_OF_RANGE",nMSG_Code,0)),""),"[input]",""),"")&amp;IF(ISNUMBER(SEARCH("E_APPLICABILITY_UNCONFIRMED",AQ19))," | E_APPLICABILITY_UNCONFIRMED: "&amp;SUBSTITUTE(IFERROR(INDEX(nMSG_Text,MATCH("E_APPLICABILITY_UNCONFIRMED",nMSG_Code,0)),""),"[input]",""),"")&amp;IF(ISNUMBER(SEARCH("E_CREATININE_STABILITY_UNCONFIRMED",AQ19))," | E_CREATININE_STABILITY_UNCONFIRMED: "&amp;SUBSTITUTE(IFERROR(INDEX(nMSG_Text,MATCH("E_CREATININE_STABILITY_UNCONFIRMED",nMSG_Code,0)),""),"[input]",""),"")&amp;IF(ISNUMBER(SEARCH("E_OVERLAPPING_SEGMENTS",AQ19))," | E_OVERLAPPING_SEGMENTS: "&amp;SUBSTITUTE(IFERROR(INDEX(nMSG_Text,MATCH("E_OVERLAPPING_SEGMENTS",nMSG_Code,0)),""),"[input]",""),""),4,9999))</f>
        <v>E_INVALID_UNIT: This unit is not supported here. Use one of the listed units.</v>
      </c>
      <c r="AC19" s="21" t="str">
        <f t="shared" si="30"/>
        <v>t_half = 24 fortnights [hypothetical example; V34 V24]; t = 72 fortnights [hypothetical example; V34 V24]</v>
      </c>
      <c r="AD19" s="21" t="str">
        <f t="shared" si="31"/>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v>
      </c>
      <c r="AE19" s="21" t="str">
        <f t="shared" si="32"/>
        <v/>
      </c>
      <c r="AF19" s="21" t="str">
        <f t="shared" si="33"/>
        <v/>
      </c>
      <c r="AG19" s="21" t="str">
        <f t="shared" si="34"/>
        <v>Vector V24, case 2: unit fortnights</v>
      </c>
      <c r="AH19" s="21" t="str">
        <f t="shared" si="35"/>
        <v>Fraction of the chosen reference amount or concentration under the stated model. It is not a causal or pharmacological threshold.</v>
      </c>
      <c r="AI19" s="21" t="str">
        <f t="shared" si="36"/>
        <v>k = ln 2 / t_half; fraction remaining = 2^(-t / t_half) = exp(-k x t)</v>
      </c>
      <c r="AJ19" s="21" t="str">
        <f t="shared" si="37"/>
        <v>CALC-SPEC 1.1</v>
      </c>
      <c r="AK19" s="22">
        <f t="shared" si="38"/>
        <v>0</v>
      </c>
      <c r="AL19" s="21" t="str">
        <f t="shared" si="39"/>
        <v>VEC-V24|1</v>
      </c>
      <c r="AM19" s="21" t="str">
        <f t="shared" si="40"/>
        <v>VEC-V24|1|Q1-V24b</v>
      </c>
      <c r="AN19" s="22">
        <f t="shared" si="41"/>
        <v>1</v>
      </c>
      <c r="AO19" s="21" t="str">
        <f>IF(AK19=1,"",IF(A19="","; E_MISSING_INPUT","")&amp;IF(N19="","; E_MISSING_INPUT","")&amp;IF(AND(N19&lt;&gt;"",ISNA(MATCH(N19,nLIST_TimeUnit,0))),"; E_INVALID_UNIT","")&amp;IF(O19="","; E_MISSING_INPUT","")&amp;IF(AND(O19&lt;&gt;"",NOT(ISNUMBER(O19))),"; E_MISSING_INPUT","")&amp;IF(AND(ISNUMBER(O19),O19&lt;=0),"; E_NONPOSITIVE_PARAMETER","")&amp;IF(R19="","; E_MISSING_INPUT","")&amp;IF(AND(R19&lt;&gt;"",NOT(ISNUMBER(R19))),"; E_MISSING_INPUT","")&amp;IF(AND(ISNUMBER(R19),R19&lt;0),"; E_OUT_OF_RANGE","")&amp;IF(TRIM(H19&amp;"")="","; E_MISSING_INPUT","")&amp;IF(TRIM(I19&amp;"")="","; E_MISSING_INPUT","")&amp;IF(TRIM(J19&amp;"")="","; E_MISSING_INPUT","")&amp;IF(TRIM(L19&amp;"")="","; E_MISSING_INPUT","")&amp;IF(P19="","; E_MISSING_INPUT","")&amp;IF(S19="","; E_MISSING_INPUT","")&amp;IF(AN19=0,"; E_APPLICABILITY_UNCONFIRMED",""))</f>
        <v>; E_INVALID_UNIT</v>
      </c>
      <c r="AP19" s="21" t="str">
        <f t="shared" si="42"/>
        <v/>
      </c>
      <c r="AQ19" s="21" t="str">
        <f t="shared" si="43"/>
        <v>E_INVALID_UNIT</v>
      </c>
      <c r="AR19" s="21" t="str">
        <f t="shared" si="44"/>
        <v/>
      </c>
      <c r="AS19" s="22">
        <f t="shared" si="45"/>
        <v>0</v>
      </c>
    </row>
    <row r="20" spans="1:45" x14ac:dyDescent="0.2">
      <c r="A20" s="9" t="s">
        <v>1255</v>
      </c>
      <c r="B20" s="9" t="s">
        <v>355</v>
      </c>
      <c r="C20" s="11">
        <v>1</v>
      </c>
      <c r="D20" s="9" t="s">
        <v>1256</v>
      </c>
      <c r="E20" s="9"/>
      <c r="F20" s="16" t="s">
        <v>86</v>
      </c>
      <c r="G20" s="16" t="s">
        <v>85</v>
      </c>
      <c r="H20" s="9" t="s">
        <v>1247</v>
      </c>
      <c r="I20" s="9" t="s">
        <v>1244</v>
      </c>
      <c r="J20" s="9" t="s">
        <v>1246</v>
      </c>
      <c r="K20" s="16" t="s">
        <v>85</v>
      </c>
      <c r="L20" s="9" t="s">
        <v>1245</v>
      </c>
      <c r="M20" s="16" t="s">
        <v>85</v>
      </c>
      <c r="N20" s="16" t="s">
        <v>67</v>
      </c>
      <c r="O20" s="16">
        <v>24</v>
      </c>
      <c r="P20" s="16" t="s">
        <v>83</v>
      </c>
      <c r="Q20" s="9" t="s">
        <v>1251</v>
      </c>
      <c r="R20" s="16">
        <v>72</v>
      </c>
      <c r="S20" s="16" t="s">
        <v>83</v>
      </c>
      <c r="T20" s="9" t="s">
        <v>1251</v>
      </c>
      <c r="U20" s="21" t="str">
        <f t="shared" si="23"/>
        <v>E_APPLICABILITY_UNCONFIRMED: no result is shown</v>
      </c>
      <c r="V20" s="21" t="str">
        <f t="shared" si="24"/>
        <v>Not calculable</v>
      </c>
      <c r="W20" s="21" t="str">
        <f t="shared" si="25"/>
        <v/>
      </c>
      <c r="X20" s="21" t="str">
        <f t="shared" si="26"/>
        <v/>
      </c>
      <c r="Y20" s="21" t="str">
        <f t="shared" si="27"/>
        <v/>
      </c>
      <c r="Z20" s="21" t="str">
        <f t="shared" si="28"/>
        <v/>
      </c>
      <c r="AA20" s="21" t="str">
        <f t="shared" si="29"/>
        <v>E_APPLICABILITY_UNCONFIRMED</v>
      </c>
      <c r="AB20" s="21" t="str">
        <f>IF(AK20=1,"",MID(IF(ISNUMBER(SEARCH("E_INVALID_DATE",AQ20))," | E_INVALID_DATE: "&amp;SUBSTITUTE(IFERROR(INDEX(nMSG_Text,MATCH("E_INVALID_DATE",nMSG_Code,0)),""),"[input]",""),"")&amp;IF(ISNUMBER(SEARCH("E_REVERSED_BOUNDS",AQ20))," | E_REVERSED_BOUNDS: "&amp;SUBSTITUTE(IFERROR(INDEX(nMSG_Text,MATCH("E_REVERSED_BOUNDS",nMSG_Code,0)),""),"[input]",""),"")&amp;IF(ISNUMBER(SEARCH("E_DUPLICATE_ID",AQ20))," | E_DUPLICATE_ID: "&amp;SUBSTITUTE(IFERROR(INDEX(nMSG_Text,MATCH("E_DUPLICATE_ID",nMSG_Code,0)),""),"[input]",""),"")&amp;IF(ISNUMBER(SEARCH("E_MISSING_LINK",AQ20))," | E_MISSING_LINK: "&amp;SUBSTITUTE(IFERROR(INDEX(nMSG_Text,MATCH("E_MISSING_LINK",nMSG_Code,0)),""),"[input]",""),"")&amp;IF(ISNUMBER(SEARCH("E_MISSING_INPUT",AQ20))," | E_MISSING_INPUT: "&amp;SUBSTITUTE(IFERROR(INDEX(nMSG_Text,MATCH("E_MISSING_INPUT",nMSG_Code,0)),""),"[input]",IF(AR20="","an input",AR20)),"")&amp;IF(ISNUMBER(SEARCH("E_INVALID_UNIT",AQ20))," | E_INVALID_UNIT: "&amp;SUBSTITUTE(IFERROR(INDEX(nMSG_Text,MATCH("E_INVALID_UNIT",nMSG_Code,0)),""),"[input]",""),"")&amp;IF(ISNUMBER(SEARCH("E_NONPOSITIVE_PARAMETER",AQ20))," | E_NONPOSITIVE_PARAMETER: "&amp;SUBSTITUTE(IFERROR(INDEX(nMSG_Text,MATCH("E_NONPOSITIVE_PARAMETER",nMSG_Code,0)),""),"[input]",""),"")&amp;IF(ISNUMBER(SEARCH("E_OUT_OF_RANGE",AQ20))," | E_OUT_OF_RANGE: "&amp;SUBSTITUTE(IFERROR(INDEX(nMSG_Text,MATCH("E_OUT_OF_RANGE",nMSG_Code,0)),""),"[input]",""),"")&amp;IF(ISNUMBER(SEARCH("E_APPLICABILITY_UNCONFIRMED",AQ20))," | E_APPLICABILITY_UNCONFIRMED: "&amp;SUBSTITUTE(IFERROR(INDEX(nMSG_Text,MATCH("E_APPLICABILITY_UNCONFIRMED",nMSG_Code,0)),""),"[input]",""),"")&amp;IF(ISNUMBER(SEARCH("E_CREATININE_STABILITY_UNCONFIRMED",AQ20))," | E_CREATININE_STABILITY_UNCONFIRMED: "&amp;SUBSTITUTE(IFERROR(INDEX(nMSG_Text,MATCH("E_CREATININE_STABILITY_UNCONFIRMED",nMSG_Code,0)),""),"[input]",""),"")&amp;IF(ISNUMBER(SEARCH("E_OVERLAPPING_SEGMENTS",AQ20))," | E_OVERLAPPING_SEGMENTS: "&amp;SUBSTITUTE(IFERROR(INDEX(nMSG_Text,MATCH("E_OVERLAPPING_SEGMENTS",nMSG_Code,0)),""),"[input]",""),""),4,9999))</f>
        <v>E_APPLICABILITY_UNCONFIRMED: Confirm the model, the half-life used, the reference time and each input’s status before a result is shown.</v>
      </c>
      <c r="AC20" s="21" t="str">
        <f t="shared" si="30"/>
        <v>t_half = 24 hours [hypothetical example; V34 V24]; t = 72 hours [hypothetical example; V34 V24]</v>
      </c>
      <c r="AD20" s="21" t="str">
        <f t="shared" si="31"/>
        <v>Common gate not confirmed: model not confirmed.</v>
      </c>
      <c r="AE20" s="21" t="str">
        <f t="shared" si="32"/>
        <v/>
      </c>
      <c r="AF20" s="21" t="str">
        <f t="shared" si="33"/>
        <v/>
      </c>
      <c r="AG20" s="21" t="str">
        <f t="shared" si="34"/>
        <v>Vector V24, case 3: gate unconfirmed</v>
      </c>
      <c r="AH20" s="21" t="str">
        <f t="shared" si="35"/>
        <v>Fraction of the chosen reference amount or concentration under the stated model. It is not a causal or pharmacological threshold.</v>
      </c>
      <c r="AI20" s="21" t="str">
        <f t="shared" si="36"/>
        <v>k = ln 2 / t_half; fraction remaining = 2^(-t / t_half) = exp(-k x t)</v>
      </c>
      <c r="AJ20" s="21" t="str">
        <f t="shared" si="37"/>
        <v>CALC-SPEC 1.1</v>
      </c>
      <c r="AK20" s="22">
        <f t="shared" si="38"/>
        <v>0</v>
      </c>
      <c r="AL20" s="21" t="str">
        <f t="shared" si="39"/>
        <v>VEC-V24|1</v>
      </c>
      <c r="AM20" s="21" t="str">
        <f t="shared" si="40"/>
        <v>VEC-V24|1|Q1-V24c</v>
      </c>
      <c r="AN20" s="22">
        <f t="shared" si="41"/>
        <v>0</v>
      </c>
      <c r="AO20" s="21" t="str">
        <f>IF(AK20=1,"",IF(A20="","; E_MISSING_INPUT","")&amp;IF(N20="","; E_MISSING_INPUT","")&amp;IF(AND(N20&lt;&gt;"",ISNA(MATCH(N20,nLIST_TimeUnit,0))),"; E_INVALID_UNIT","")&amp;IF(O20="","; E_MISSING_INPUT","")&amp;IF(AND(O20&lt;&gt;"",NOT(ISNUMBER(O20))),"; E_MISSING_INPUT","")&amp;IF(AND(ISNUMBER(O20),O20&lt;=0),"; E_NONPOSITIVE_PARAMETER","")&amp;IF(R20="","; E_MISSING_INPUT","")&amp;IF(AND(R20&lt;&gt;"",NOT(ISNUMBER(R20))),"; E_MISSING_INPUT","")&amp;IF(AND(ISNUMBER(R20),R20&lt;0),"; E_OUT_OF_RANGE","")&amp;IF(TRIM(H20&amp;"")="","; E_MISSING_INPUT","")&amp;IF(TRIM(I20&amp;"")="","; E_MISSING_INPUT","")&amp;IF(TRIM(J20&amp;"")="","; E_MISSING_INPUT","")&amp;IF(TRIM(L20&amp;"")="","; E_MISSING_INPUT","")&amp;IF(P20="","; E_MISSING_INPUT","")&amp;IF(S20="","; E_MISSING_INPUT","")&amp;IF(AN20=0,"; E_APPLICABILITY_UNCONFIRMED",""))</f>
        <v>; E_APPLICABILITY_UNCONFIRMED</v>
      </c>
      <c r="AP20" s="21" t="str">
        <f t="shared" si="42"/>
        <v/>
      </c>
      <c r="AQ20" s="21" t="str">
        <f t="shared" si="43"/>
        <v>E_APPLICABILITY_UNCONFIRMED</v>
      </c>
      <c r="AR20" s="21" t="str">
        <f t="shared" si="44"/>
        <v/>
      </c>
      <c r="AS20" s="22">
        <f t="shared" si="45"/>
        <v>0</v>
      </c>
    </row>
    <row r="21" spans="1:45" x14ac:dyDescent="0.2">
      <c r="A21" s="9" t="s">
        <v>1257</v>
      </c>
      <c r="B21" s="9" t="s">
        <v>377</v>
      </c>
      <c r="C21" s="11">
        <v>1</v>
      </c>
      <c r="D21" s="9" t="s">
        <v>1258</v>
      </c>
      <c r="E21" s="9"/>
      <c r="F21" s="16" t="s">
        <v>86</v>
      </c>
      <c r="G21" s="16" t="s">
        <v>85</v>
      </c>
      <c r="H21" s="9" t="s">
        <v>1247</v>
      </c>
      <c r="I21" s="9" t="s">
        <v>1244</v>
      </c>
      <c r="J21" s="9" t="s">
        <v>1246</v>
      </c>
      <c r="K21" s="16" t="s">
        <v>85</v>
      </c>
      <c r="L21" s="9" t="s">
        <v>1245</v>
      </c>
      <c r="M21" s="16" t="s">
        <v>85</v>
      </c>
      <c r="N21" s="16" t="s">
        <v>1254</v>
      </c>
      <c r="O21" s="16">
        <v>0</v>
      </c>
      <c r="P21" s="16" t="s">
        <v>83</v>
      </c>
      <c r="Q21" s="9" t="s">
        <v>1259</v>
      </c>
      <c r="R21" s="16">
        <v>72</v>
      </c>
      <c r="S21" s="16" t="s">
        <v>83</v>
      </c>
      <c r="T21" s="9" t="s">
        <v>1259</v>
      </c>
      <c r="U21" s="21" t="str">
        <f t="shared" si="23"/>
        <v>E_INVALID_UNIT; E_NONPOSITIVE_PARAMETER; E_APPLICABILITY_UNCONFIRMED: no result is shown</v>
      </c>
      <c r="V21" s="21" t="str">
        <f t="shared" si="24"/>
        <v>Not calculable</v>
      </c>
      <c r="W21" s="21" t="str">
        <f t="shared" si="25"/>
        <v/>
      </c>
      <c r="X21" s="21" t="str">
        <f t="shared" si="26"/>
        <v/>
      </c>
      <c r="Y21" s="21" t="str">
        <f t="shared" si="27"/>
        <v/>
      </c>
      <c r="Z21" s="21" t="str">
        <f t="shared" si="28"/>
        <v/>
      </c>
      <c r="AA21" s="21" t="str">
        <f t="shared" si="29"/>
        <v>E_INVALID_UNIT; E_NONPOSITIVE_PARAMETER; E_APPLICABILITY_UNCONFIRMED</v>
      </c>
      <c r="AB21" s="21" t="str">
        <f>IF(AK21=1,"",MID(IF(ISNUMBER(SEARCH("E_INVALID_DATE",AQ21))," | E_INVALID_DATE: "&amp;SUBSTITUTE(IFERROR(INDEX(nMSG_Text,MATCH("E_INVALID_DATE",nMSG_Code,0)),""),"[input]",""),"")&amp;IF(ISNUMBER(SEARCH("E_REVERSED_BOUNDS",AQ21))," | E_REVERSED_BOUNDS: "&amp;SUBSTITUTE(IFERROR(INDEX(nMSG_Text,MATCH("E_REVERSED_BOUNDS",nMSG_Code,0)),""),"[input]",""),"")&amp;IF(ISNUMBER(SEARCH("E_DUPLICATE_ID",AQ21))," | E_DUPLICATE_ID: "&amp;SUBSTITUTE(IFERROR(INDEX(nMSG_Text,MATCH("E_DUPLICATE_ID",nMSG_Code,0)),""),"[input]",""),"")&amp;IF(ISNUMBER(SEARCH("E_MISSING_LINK",AQ21))," | E_MISSING_LINK: "&amp;SUBSTITUTE(IFERROR(INDEX(nMSG_Text,MATCH("E_MISSING_LINK",nMSG_Code,0)),""),"[input]",""),"")&amp;IF(ISNUMBER(SEARCH("E_MISSING_INPUT",AQ21))," | E_MISSING_INPUT: "&amp;SUBSTITUTE(IFERROR(INDEX(nMSG_Text,MATCH("E_MISSING_INPUT",nMSG_Code,0)),""),"[input]",IF(AR21="","an input",AR21)),"")&amp;IF(ISNUMBER(SEARCH("E_INVALID_UNIT",AQ21))," | E_INVALID_UNIT: "&amp;SUBSTITUTE(IFERROR(INDEX(nMSG_Text,MATCH("E_INVALID_UNIT",nMSG_Code,0)),""),"[input]",""),"")&amp;IF(ISNUMBER(SEARCH("E_NONPOSITIVE_PARAMETER",AQ21))," | E_NONPOSITIVE_PARAMETER: "&amp;SUBSTITUTE(IFERROR(INDEX(nMSG_Text,MATCH("E_NONPOSITIVE_PARAMETER",nMSG_Code,0)),""),"[input]",""),"")&amp;IF(ISNUMBER(SEARCH("E_OUT_OF_RANGE",AQ21))," | E_OUT_OF_RANGE: "&amp;SUBSTITUTE(IFERROR(INDEX(nMSG_Text,MATCH("E_OUT_OF_RANGE",nMSG_Code,0)),""),"[input]",""),"")&amp;IF(ISNUMBER(SEARCH("E_APPLICABILITY_UNCONFIRMED",AQ21))," | E_APPLICABILITY_UNCONFIRMED: "&amp;SUBSTITUTE(IFERROR(INDEX(nMSG_Text,MATCH("E_APPLICABILITY_UNCONFIRMED",nMSG_Code,0)),""),"[input]",""),"")&amp;IF(ISNUMBER(SEARCH("E_CREATININE_STABILITY_UNCONFIRMED",AQ21))," | E_CREATININE_STABILITY_UNCONFIRMED: "&amp;SUBSTITUTE(IFERROR(INDEX(nMSG_Text,MATCH("E_CREATININE_STABILITY_UNCONFIRMED",nMSG_Code,0)),""),"[input]",""),"")&amp;IF(ISNUMBER(SEARCH("E_OVERLAPPING_SEGMENTS",AQ21))," | E_OVERLAPPING_SEGMENTS: "&amp;SUBSTITUTE(IFERROR(INDEX(nMSG_Text,MATCH("E_OVERLAPPING_SEGMENTS",nMSG_Code,0)),""),"[input]",""),""),4,9999))</f>
        <v>E_INVALID_UNIT: This unit is not supported here. Use one of the listed units. | E_NONPOSITIVE_PARAMETER: This value must be greater than zero. | E_APPLICABILITY_UNCONFIRMED: Confirm the model, the half-life used, the reference time and each input’s status before a result is shown.</v>
      </c>
      <c r="AC21" s="21" t="str">
        <f t="shared" si="30"/>
        <v>t_half = 0 fortnights [hypothetical example; V34 V35]; t = 72 fortnights [hypothetical example; V34 V35]</v>
      </c>
      <c r="AD21" s="21" t="str">
        <f t="shared" si="31"/>
        <v>Common gate not confirmed: model not confirmed.</v>
      </c>
      <c r="AE21" s="21" t="str">
        <f t="shared" si="32"/>
        <v/>
      </c>
      <c r="AF21" s="21" t="str">
        <f t="shared" si="33"/>
        <v/>
      </c>
      <c r="AG21" s="21" t="str">
        <f t="shared" si="34"/>
        <v>Vector V35, case 1: half-life 0, unit fortnights, gate unconfirmed (every E-code listed)</v>
      </c>
      <c r="AH21" s="21" t="str">
        <f t="shared" si="35"/>
        <v>Fraction of the chosen reference amount or concentration under the stated model. It is not a causal or pharmacological threshold.</v>
      </c>
      <c r="AI21" s="21" t="str">
        <f t="shared" si="36"/>
        <v>k = ln 2 / t_half; fraction remaining = 2^(-t / t_half) = exp(-k x t)</v>
      </c>
      <c r="AJ21" s="21" t="str">
        <f t="shared" si="37"/>
        <v>CALC-SPEC 1.1</v>
      </c>
      <c r="AK21" s="22">
        <f t="shared" si="38"/>
        <v>0</v>
      </c>
      <c r="AL21" s="21" t="str">
        <f t="shared" si="39"/>
        <v>VEC-V35|1</v>
      </c>
      <c r="AM21" s="21" t="str">
        <f t="shared" si="40"/>
        <v>VEC-V35|1|Q1-V35a</v>
      </c>
      <c r="AN21" s="22">
        <f t="shared" si="41"/>
        <v>0</v>
      </c>
      <c r="AO21" s="21" t="str">
        <f>IF(AK21=1,"",IF(A21="","; E_MISSING_INPUT","")&amp;IF(N21="","; E_MISSING_INPUT","")&amp;IF(AND(N21&lt;&gt;"",ISNA(MATCH(N21,nLIST_TimeUnit,0))),"; E_INVALID_UNIT","")&amp;IF(O21="","; E_MISSING_INPUT","")&amp;IF(AND(O21&lt;&gt;"",NOT(ISNUMBER(O21))),"; E_MISSING_INPUT","")&amp;IF(AND(ISNUMBER(O21),O21&lt;=0),"; E_NONPOSITIVE_PARAMETER","")&amp;IF(R21="","; E_MISSING_INPUT","")&amp;IF(AND(R21&lt;&gt;"",NOT(ISNUMBER(R21))),"; E_MISSING_INPUT","")&amp;IF(AND(ISNUMBER(R21),R21&lt;0),"; E_OUT_OF_RANGE","")&amp;IF(TRIM(H21&amp;"")="","; E_MISSING_INPUT","")&amp;IF(TRIM(I21&amp;"")="","; E_MISSING_INPUT","")&amp;IF(TRIM(J21&amp;"")="","; E_MISSING_INPUT","")&amp;IF(TRIM(L21&amp;"")="","; E_MISSING_INPUT","")&amp;IF(P21="","; E_MISSING_INPUT","")&amp;IF(S21="","; E_MISSING_INPUT","")&amp;IF(AN21=0,"; E_APPLICABILITY_UNCONFIRMED",""))</f>
        <v>; E_INVALID_UNIT; E_NONPOSITIVE_PARAMETER; E_APPLICABILITY_UNCONFIRMED</v>
      </c>
      <c r="AP21" s="21" t="str">
        <f t="shared" si="42"/>
        <v/>
      </c>
      <c r="AQ21" s="21" t="str">
        <f t="shared" si="43"/>
        <v>E_INVALID_UNIT; E_NONPOSITIVE_PARAMETER; E_APPLICABILITY_UNCONFIRMED</v>
      </c>
      <c r="AR21" s="21" t="str">
        <f t="shared" si="44"/>
        <v/>
      </c>
      <c r="AS21" s="22">
        <f t="shared" si="45"/>
        <v>0</v>
      </c>
    </row>
    <row r="22" spans="1:45" x14ac:dyDescent="0.2">
      <c r="A22" s="9" t="s">
        <v>1260</v>
      </c>
      <c r="B22" s="9" t="s">
        <v>379</v>
      </c>
      <c r="C22" s="11">
        <v>1</v>
      </c>
      <c r="D22" s="9" t="s">
        <v>1261</v>
      </c>
      <c r="E22" s="9"/>
      <c r="F22" s="16" t="s">
        <v>85</v>
      </c>
      <c r="G22" s="16" t="s">
        <v>85</v>
      </c>
      <c r="H22" s="9"/>
      <c r="I22" s="9" t="s">
        <v>1262</v>
      </c>
      <c r="J22" s="9" t="s">
        <v>1264</v>
      </c>
      <c r="K22" s="16" t="s">
        <v>85</v>
      </c>
      <c r="L22" s="9" t="s">
        <v>1263</v>
      </c>
      <c r="M22" s="16" t="s">
        <v>85</v>
      </c>
      <c r="N22" s="16" t="s">
        <v>67</v>
      </c>
      <c r="O22" s="16">
        <v>24</v>
      </c>
      <c r="P22" s="16" t="s">
        <v>79</v>
      </c>
      <c r="Q22" s="9" t="s">
        <v>1265</v>
      </c>
      <c r="R22" s="16">
        <v>72</v>
      </c>
      <c r="S22" s="16"/>
      <c r="T22" s="9" t="s">
        <v>1265</v>
      </c>
      <c r="U22" s="21" t="str">
        <f t="shared" si="23"/>
        <v>E_MISSING_INPUT; E_APPLICABILITY_UNCONFIRMED: no result is shown</v>
      </c>
      <c r="V22" s="21" t="str">
        <f t="shared" si="24"/>
        <v>Not calculable</v>
      </c>
      <c r="W22" s="21" t="str">
        <f t="shared" si="25"/>
        <v/>
      </c>
      <c r="X22" s="21" t="str">
        <f t="shared" si="26"/>
        <v/>
      </c>
      <c r="Y22" s="21" t="str">
        <f t="shared" si="27"/>
        <v/>
      </c>
      <c r="Z22" s="21" t="str">
        <f t="shared" si="28"/>
        <v/>
      </c>
      <c r="AA22" s="21" t="str">
        <f t="shared" si="29"/>
        <v>E_MISSING_INPUT; E_APPLICABILITY_UNCONFIRMED</v>
      </c>
      <c r="AB22" s="21" t="str">
        <f>IF(AK22=1,"",MID(IF(ISNUMBER(SEARCH("E_INVALID_DATE",AQ22))," | E_INVALID_DATE: "&amp;SUBSTITUTE(IFERROR(INDEX(nMSG_Text,MATCH("E_INVALID_DATE",nMSG_Code,0)),""),"[input]",""),"")&amp;IF(ISNUMBER(SEARCH("E_REVERSED_BOUNDS",AQ22))," | E_REVERSED_BOUNDS: "&amp;SUBSTITUTE(IFERROR(INDEX(nMSG_Text,MATCH("E_REVERSED_BOUNDS",nMSG_Code,0)),""),"[input]",""),"")&amp;IF(ISNUMBER(SEARCH("E_DUPLICATE_ID",AQ22))," | E_DUPLICATE_ID: "&amp;SUBSTITUTE(IFERROR(INDEX(nMSG_Text,MATCH("E_DUPLICATE_ID",nMSG_Code,0)),""),"[input]",""),"")&amp;IF(ISNUMBER(SEARCH("E_MISSING_LINK",AQ22))," | E_MISSING_LINK: "&amp;SUBSTITUTE(IFERROR(INDEX(nMSG_Text,MATCH("E_MISSING_LINK",nMSG_Code,0)),""),"[input]",""),"")&amp;IF(ISNUMBER(SEARCH("E_MISSING_INPUT",AQ22))," | E_MISSING_INPUT: "&amp;SUBSTITUTE(IFERROR(INDEX(nMSG_Text,MATCH("E_MISSING_INPUT",nMSG_Code,0)),""),"[input]",IF(AR22="","an input",AR22)),"")&amp;IF(ISNUMBER(SEARCH("E_INVALID_UNIT",AQ22))," | E_INVALID_UNIT: "&amp;SUBSTITUTE(IFERROR(INDEX(nMSG_Text,MATCH("E_INVALID_UNIT",nMSG_Code,0)),""),"[input]",""),"")&amp;IF(ISNUMBER(SEARCH("E_NONPOSITIVE_PARAMETER",AQ22))," | E_NONPOSITIVE_PARAMETER: "&amp;SUBSTITUTE(IFERROR(INDEX(nMSG_Text,MATCH("E_NONPOSITIVE_PARAMETER",nMSG_Code,0)),""),"[input]",""),"")&amp;IF(ISNUMBER(SEARCH("E_OUT_OF_RANGE",AQ22))," | E_OUT_OF_RANGE: "&amp;SUBSTITUTE(IFERROR(INDEX(nMSG_Text,MATCH("E_OUT_OF_RANGE",nMSG_Code,0)),""),"[input]",""),"")&amp;IF(ISNUMBER(SEARCH("E_APPLICABILITY_UNCONFIRMED",AQ22))," | E_APPLICABILITY_UNCONFIRMED: "&amp;SUBSTITUTE(IFERROR(INDEX(nMSG_Text,MATCH("E_APPLICABILITY_UNCONFIRMED",nMSG_Code,0)),""),"[input]",""),"")&amp;IF(ISNUMBER(SEARCH("E_CREATININE_STABILITY_UNCONFIRMED",AQ22))," | E_CREATININE_STABILITY_UNCONFIRMED: "&amp;SUBSTITUTE(IFERROR(INDEX(nMSG_Text,MATCH("E_CREATININE_STABILITY_UNCONFIRMED",nMSG_Code,0)),""),"[input]",""),"")&amp;IF(ISNUMBER(SEARCH("E_OVERLAPPING_SEGMENTS",AQ22))," | E_OVERLAPPING_SEGMENTS: "&amp;SUBSTITUTE(IFERROR(INDEX(nMSG_Text,MATCH("E_OVERLAPPING_SEGMENTS",nMSG_Code,0)),""),"[input]",""),""),4,9999))</f>
        <v>E_MISSING_INPUT: This result needs the type of the half-life used, the Parameter_Status of t. It is left blank rather than estimated. | E_APPLICABILITY_UNCONFIRMED: Confirm the model, the half-life used, the reference time and each input’s status before a result is shown.</v>
      </c>
      <c r="AC22" s="21" t="str">
        <f t="shared" si="30"/>
        <v>t_half = 24 hours [label fact; V34 V36]; t = 72 hours [status not recorded; V34 V36]</v>
      </c>
      <c r="AD22" s="21" t="str">
        <f t="shared" si="31"/>
        <v>Common gate not confirmed: a gate detail or a Parameter_Status is blank.</v>
      </c>
      <c r="AE22" s="21" t="str">
        <f t="shared" si="32"/>
        <v/>
      </c>
      <c r="AF22" s="21" t="str">
        <f t="shared" si="33"/>
        <v/>
      </c>
      <c r="AG22" s="21" t="str">
        <f t="shared" si="34"/>
        <v>Vector V36, case 1: half-life type blank and the Parameter_Status of t missing</v>
      </c>
      <c r="AH22" s="21" t="str">
        <f t="shared" si="35"/>
        <v>Fraction of the chosen reference amount or concentration under the stated model. It is not a causal or pharmacological threshold.</v>
      </c>
      <c r="AI22" s="21" t="str">
        <f t="shared" si="36"/>
        <v>k = ln 2 / t_half; fraction remaining = 2^(-t / t_half) = exp(-k x t)</v>
      </c>
      <c r="AJ22" s="21" t="str">
        <f t="shared" si="37"/>
        <v>CALC-SPEC 1.1</v>
      </c>
      <c r="AK22" s="22">
        <f t="shared" si="38"/>
        <v>0</v>
      </c>
      <c r="AL22" s="21" t="str">
        <f t="shared" si="39"/>
        <v>VEC-V36|1</v>
      </c>
      <c r="AM22" s="21" t="str">
        <f t="shared" si="40"/>
        <v>VEC-V36|1|Q1-V36a</v>
      </c>
      <c r="AN22" s="22">
        <f t="shared" si="41"/>
        <v>0</v>
      </c>
      <c r="AO22" s="21" t="str">
        <f>IF(AK22=1,"",IF(A22="","; E_MISSING_INPUT","")&amp;IF(N22="","; E_MISSING_INPUT","")&amp;IF(AND(N22&lt;&gt;"",ISNA(MATCH(N22,nLIST_TimeUnit,0))),"; E_INVALID_UNIT","")&amp;IF(O22="","; E_MISSING_INPUT","")&amp;IF(AND(O22&lt;&gt;"",NOT(ISNUMBER(O22))),"; E_MISSING_INPUT","")&amp;IF(AND(ISNUMBER(O22),O22&lt;=0),"; E_NONPOSITIVE_PARAMETER","")&amp;IF(R22="","; E_MISSING_INPUT","")&amp;IF(AND(R22&lt;&gt;"",NOT(ISNUMBER(R22))),"; E_MISSING_INPUT","")&amp;IF(AND(ISNUMBER(R22),R22&lt;0),"; E_OUT_OF_RANGE","")&amp;IF(TRIM(H22&amp;"")="","; E_MISSING_INPUT","")&amp;IF(TRIM(I22&amp;"")="","; E_MISSING_INPUT","")&amp;IF(TRIM(J22&amp;"")="","; E_MISSING_INPUT","")&amp;IF(TRIM(L22&amp;"")="","; E_MISSING_INPUT","")&amp;IF(P22="","; E_MISSING_INPUT","")&amp;IF(S22="","; E_MISSING_INPUT","")&amp;IF(AN22=0,"; E_APPLICABILITY_UNCONFIRMED",""))</f>
        <v>; E_MISSING_INPUT; E_MISSING_INPUT; E_APPLICABILITY_UNCONFIRMED</v>
      </c>
      <c r="AP22" s="21" t="str">
        <f t="shared" si="42"/>
        <v>, the type of the half-life used, the Parameter_Status of t</v>
      </c>
      <c r="AQ22" s="21" t="str">
        <f t="shared" si="43"/>
        <v>E_MISSING_INPUT; E_APPLICABILITY_UNCONFIRMED</v>
      </c>
      <c r="AR22" s="21" t="str">
        <f t="shared" si="44"/>
        <v>the type of the half-life used, the Parameter_Status of t</v>
      </c>
      <c r="AS22" s="22">
        <f t="shared" si="45"/>
        <v>0</v>
      </c>
    </row>
    <row r="23" spans="1:45" x14ac:dyDescent="0.2">
      <c r="A23" s="9" t="s">
        <v>1266</v>
      </c>
      <c r="B23" s="9" t="s">
        <v>379</v>
      </c>
      <c r="C23" s="11">
        <v>1</v>
      </c>
      <c r="D23" s="9" t="s">
        <v>1267</v>
      </c>
      <c r="E23" s="9"/>
      <c r="F23" s="16" t="s">
        <v>85</v>
      </c>
      <c r="G23" s="16" t="s">
        <v>85</v>
      </c>
      <c r="H23" s="9" t="s">
        <v>1268</v>
      </c>
      <c r="I23" s="9" t="s">
        <v>1262</v>
      </c>
      <c r="J23" s="9" t="s">
        <v>1264</v>
      </c>
      <c r="K23" s="16" t="s">
        <v>85</v>
      </c>
      <c r="L23" s="9" t="s">
        <v>1263</v>
      </c>
      <c r="M23" s="16" t="s">
        <v>85</v>
      </c>
      <c r="N23" s="16" t="s">
        <v>67</v>
      </c>
      <c r="O23" s="16">
        <v>24</v>
      </c>
      <c r="P23" s="16" t="s">
        <v>79</v>
      </c>
      <c r="Q23" s="9" t="s">
        <v>1265</v>
      </c>
      <c r="R23" s="16">
        <v>72</v>
      </c>
      <c r="S23" s="16" t="s">
        <v>81</v>
      </c>
      <c r="T23" s="9" t="s">
        <v>1265</v>
      </c>
      <c r="U23" s="21" t="str">
        <f t="shared" si="23"/>
        <v>12.5% of the reference remains after 72 hours; k = 0.0289 per hour</v>
      </c>
      <c r="V23" s="21" t="str">
        <f t="shared" si="24"/>
        <v>Fraction remaining: 12.5%; Elimination rate constant k: 0.0289 per hour</v>
      </c>
      <c r="W23" s="21">
        <f t="shared" si="25"/>
        <v>0.125</v>
      </c>
      <c r="X23" s="21">
        <f t="shared" si="26"/>
        <v>12.5</v>
      </c>
      <c r="Y23" s="21">
        <f t="shared" si="27"/>
        <v>2.8881132523331052E-2</v>
      </c>
      <c r="Z23" s="21">
        <f t="shared" si="28"/>
        <v>2.8881132523331052E-2</v>
      </c>
      <c r="AA23" s="21" t="str">
        <f t="shared" si="29"/>
        <v/>
      </c>
      <c r="AB23" s="21" t="str">
        <f>IF(AK23=1,"",MID(IF(ISNUMBER(SEARCH("E_INVALID_DATE",AQ23))," | E_INVALID_DATE: "&amp;SUBSTITUTE(IFERROR(INDEX(nMSG_Text,MATCH("E_INVALID_DATE",nMSG_Code,0)),""),"[input]",""),"")&amp;IF(ISNUMBER(SEARCH("E_REVERSED_BOUNDS",AQ23))," | E_REVERSED_BOUNDS: "&amp;SUBSTITUTE(IFERROR(INDEX(nMSG_Text,MATCH("E_REVERSED_BOUNDS",nMSG_Code,0)),""),"[input]",""),"")&amp;IF(ISNUMBER(SEARCH("E_DUPLICATE_ID",AQ23))," | E_DUPLICATE_ID: "&amp;SUBSTITUTE(IFERROR(INDEX(nMSG_Text,MATCH("E_DUPLICATE_ID",nMSG_Code,0)),""),"[input]",""),"")&amp;IF(ISNUMBER(SEARCH("E_MISSING_LINK",AQ23))," | E_MISSING_LINK: "&amp;SUBSTITUTE(IFERROR(INDEX(nMSG_Text,MATCH("E_MISSING_LINK",nMSG_Code,0)),""),"[input]",""),"")&amp;IF(ISNUMBER(SEARCH("E_MISSING_INPUT",AQ23))," | E_MISSING_INPUT: "&amp;SUBSTITUTE(IFERROR(INDEX(nMSG_Text,MATCH("E_MISSING_INPUT",nMSG_Code,0)),""),"[input]",IF(AR23="","an input",AR23)),"")&amp;IF(ISNUMBER(SEARCH("E_INVALID_UNIT",AQ23))," | E_INVALID_UNIT: "&amp;SUBSTITUTE(IFERROR(INDEX(nMSG_Text,MATCH("E_INVALID_UNIT",nMSG_Code,0)),""),"[input]",""),"")&amp;IF(ISNUMBER(SEARCH("E_NONPOSITIVE_PARAMETER",AQ23))," | E_NONPOSITIVE_PARAMETER: "&amp;SUBSTITUTE(IFERROR(INDEX(nMSG_Text,MATCH("E_NONPOSITIVE_PARAMETER",nMSG_Code,0)),""),"[input]",""),"")&amp;IF(ISNUMBER(SEARCH("E_OUT_OF_RANGE",AQ23))," | E_OUT_OF_RANGE: "&amp;SUBSTITUTE(IFERROR(INDEX(nMSG_Text,MATCH("E_OUT_OF_RANGE",nMSG_Code,0)),""),"[input]",""),"")&amp;IF(ISNUMBER(SEARCH("E_APPLICABILITY_UNCONFIRMED",AQ23))," | E_APPLICABILITY_UNCONFIRMED: "&amp;SUBSTITUTE(IFERROR(INDEX(nMSG_Text,MATCH("E_APPLICABILITY_UNCONFIRMED",nMSG_Code,0)),""),"[input]",""),"")&amp;IF(ISNUMBER(SEARCH("E_CREATININE_STABILITY_UNCONFIRMED",AQ23))," | E_CREATININE_STABILITY_UNCONFIRMED: "&amp;SUBSTITUTE(IFERROR(INDEX(nMSG_Text,MATCH("E_CREATININE_STABILITY_UNCONFIRMED",nMSG_Code,0)),""),"[input]",""),"")&amp;IF(ISNUMBER(SEARCH("E_OVERLAPPING_SEGMENTS",AQ23))," | E_OVERLAPPING_SEGMENTS: "&amp;SUBSTITUTE(IFERROR(INDEX(nMSG_Text,MATCH("E_OVERLAPPING_SEGMENTS",nMSG_Code,0)),""),"[input]",""),""),4,9999))</f>
        <v/>
      </c>
      <c r="AC23" s="21" t="str">
        <f t="shared" si="30"/>
        <v>t_half = 24 hours [label fact; V34 V36]; t = 72 hours [case measurement; V34 V36]</v>
      </c>
      <c r="AD23" s="21" t="str">
        <f t="shared" si="31"/>
        <v>Gate confirmed: the simple model applies (one compartment, linear first-order elimination, constant parameters over the period). | Gate confirmed: the half-life used – type: terminal half-life; population: adults; source: Label 12.3. | Gate confirmed: reference time – end of the last infusion. | Gate confirmed: each input’s Parameter_Status is recorded.</v>
      </c>
      <c r="AE23" s="21" t="str">
        <f t="shared" si="32"/>
        <v>Fraction remaining = 0.125 (12.5%); Elimination rate constant k = 0.0288811325233311 (0.0289 per hour)</v>
      </c>
      <c r="AF23" s="21" t="str">
        <f t="shared" si="33"/>
        <v>fraction (shown as percent)</v>
      </c>
      <c r="AG23" s="21" t="str">
        <f t="shared" si="34"/>
        <v>Vector V36, case 2: gate complete</v>
      </c>
      <c r="AH23" s="21" t="str">
        <f t="shared" si="35"/>
        <v>Fraction of the chosen reference amount or concentration under the stated model. It is not a causal or pharmacological threshold.</v>
      </c>
      <c r="AI23" s="21" t="str">
        <f t="shared" si="36"/>
        <v>k = ln 2 / t_half; fraction remaining = 2^(-t / t_half) = exp(-k x t)</v>
      </c>
      <c r="AJ23" s="21" t="str">
        <f t="shared" si="37"/>
        <v>CALC-SPEC 1.1</v>
      </c>
      <c r="AK23" s="22">
        <f t="shared" si="38"/>
        <v>0</v>
      </c>
      <c r="AL23" s="21" t="str">
        <f t="shared" si="39"/>
        <v>VEC-V36|1</v>
      </c>
      <c r="AM23" s="21" t="str">
        <f t="shared" si="40"/>
        <v>VEC-V36|1|Q1-V36b</v>
      </c>
      <c r="AN23" s="22">
        <f t="shared" si="41"/>
        <v>1</v>
      </c>
      <c r="AO23" s="21" t="str">
        <f>IF(AK23=1,"",IF(A23="","; E_MISSING_INPUT","")&amp;IF(N23="","; E_MISSING_INPUT","")&amp;IF(AND(N23&lt;&gt;"",ISNA(MATCH(N23,nLIST_TimeUnit,0))),"; E_INVALID_UNIT","")&amp;IF(O23="","; E_MISSING_INPUT","")&amp;IF(AND(O23&lt;&gt;"",NOT(ISNUMBER(O23))),"; E_MISSING_INPUT","")&amp;IF(AND(ISNUMBER(O23),O23&lt;=0),"; E_NONPOSITIVE_PARAMETER","")&amp;IF(R23="","; E_MISSING_INPUT","")&amp;IF(AND(R23&lt;&gt;"",NOT(ISNUMBER(R23))),"; E_MISSING_INPUT","")&amp;IF(AND(ISNUMBER(R23),R23&lt;0),"; E_OUT_OF_RANGE","")&amp;IF(TRIM(H23&amp;"")="","; E_MISSING_INPUT","")&amp;IF(TRIM(I23&amp;"")="","; E_MISSING_INPUT","")&amp;IF(TRIM(J23&amp;"")="","; E_MISSING_INPUT","")&amp;IF(TRIM(L23&amp;"")="","; E_MISSING_INPUT","")&amp;IF(P23="","; E_MISSING_INPUT","")&amp;IF(S23="","; E_MISSING_INPUT","")&amp;IF(AN23=0,"; E_APPLICABILITY_UNCONFIRMED",""))</f>
        <v/>
      </c>
      <c r="AP23" s="21" t="str">
        <f t="shared" si="42"/>
        <v/>
      </c>
      <c r="AQ23" s="21" t="str">
        <f t="shared" si="43"/>
        <v/>
      </c>
      <c r="AR23" s="21" t="str">
        <f t="shared" si="44"/>
        <v/>
      </c>
      <c r="AS23" s="22">
        <f t="shared" si="45"/>
        <v>1</v>
      </c>
    </row>
    <row r="24" spans="1:45" x14ac:dyDescent="0.2">
      <c r="A24" s="9" t="s">
        <v>1269</v>
      </c>
      <c r="B24" s="9" t="s">
        <v>379</v>
      </c>
      <c r="C24" s="11">
        <v>1</v>
      </c>
      <c r="D24" s="9" t="s">
        <v>1270</v>
      </c>
      <c r="E24" s="9"/>
      <c r="F24" s="16" t="s">
        <v>86</v>
      </c>
      <c r="G24" s="16" t="s">
        <v>85</v>
      </c>
      <c r="H24" s="9" t="s">
        <v>1268</v>
      </c>
      <c r="I24" s="9" t="s">
        <v>1262</v>
      </c>
      <c r="J24" s="9" t="s">
        <v>1264</v>
      </c>
      <c r="K24" s="16" t="s">
        <v>85</v>
      </c>
      <c r="L24" s="9" t="s">
        <v>1263</v>
      </c>
      <c r="M24" s="16" t="s">
        <v>85</v>
      </c>
      <c r="N24" s="16" t="s">
        <v>67</v>
      </c>
      <c r="O24" s="16">
        <v>24</v>
      </c>
      <c r="P24" s="16" t="s">
        <v>79</v>
      </c>
      <c r="Q24" s="9" t="s">
        <v>1265</v>
      </c>
      <c r="R24" s="16">
        <v>72</v>
      </c>
      <c r="S24" s="16" t="s">
        <v>81</v>
      </c>
      <c r="T24" s="9" t="s">
        <v>1265</v>
      </c>
      <c r="U24" s="21" t="str">
        <f t="shared" si="23"/>
        <v>E_APPLICABILITY_UNCONFIRMED: no result is shown</v>
      </c>
      <c r="V24" s="21" t="str">
        <f t="shared" si="24"/>
        <v>Not calculable</v>
      </c>
      <c r="W24" s="21" t="str">
        <f t="shared" si="25"/>
        <v/>
      </c>
      <c r="X24" s="21" t="str">
        <f t="shared" si="26"/>
        <v/>
      </c>
      <c r="Y24" s="21" t="str">
        <f t="shared" si="27"/>
        <v/>
      </c>
      <c r="Z24" s="21" t="str">
        <f t="shared" si="28"/>
        <v/>
      </c>
      <c r="AA24" s="21" t="str">
        <f t="shared" si="29"/>
        <v>E_APPLICABILITY_UNCONFIRMED</v>
      </c>
      <c r="AB24" s="21" t="str">
        <f>IF(AK24=1,"",MID(IF(ISNUMBER(SEARCH("E_INVALID_DATE",AQ24))," | E_INVALID_DATE: "&amp;SUBSTITUTE(IFERROR(INDEX(nMSG_Text,MATCH("E_INVALID_DATE",nMSG_Code,0)),""),"[input]",""),"")&amp;IF(ISNUMBER(SEARCH("E_REVERSED_BOUNDS",AQ24))," | E_REVERSED_BOUNDS: "&amp;SUBSTITUTE(IFERROR(INDEX(nMSG_Text,MATCH("E_REVERSED_BOUNDS",nMSG_Code,0)),""),"[input]",""),"")&amp;IF(ISNUMBER(SEARCH("E_DUPLICATE_ID",AQ24))," | E_DUPLICATE_ID: "&amp;SUBSTITUTE(IFERROR(INDEX(nMSG_Text,MATCH("E_DUPLICATE_ID",nMSG_Code,0)),""),"[input]",""),"")&amp;IF(ISNUMBER(SEARCH("E_MISSING_LINK",AQ24))," | E_MISSING_LINK: "&amp;SUBSTITUTE(IFERROR(INDEX(nMSG_Text,MATCH("E_MISSING_LINK",nMSG_Code,0)),""),"[input]",""),"")&amp;IF(ISNUMBER(SEARCH("E_MISSING_INPUT",AQ24))," | E_MISSING_INPUT: "&amp;SUBSTITUTE(IFERROR(INDEX(nMSG_Text,MATCH("E_MISSING_INPUT",nMSG_Code,0)),""),"[input]",IF(AR24="","an input",AR24)),"")&amp;IF(ISNUMBER(SEARCH("E_INVALID_UNIT",AQ24))," | E_INVALID_UNIT: "&amp;SUBSTITUTE(IFERROR(INDEX(nMSG_Text,MATCH("E_INVALID_UNIT",nMSG_Code,0)),""),"[input]",""),"")&amp;IF(ISNUMBER(SEARCH("E_NONPOSITIVE_PARAMETER",AQ24))," | E_NONPOSITIVE_PARAMETER: "&amp;SUBSTITUTE(IFERROR(INDEX(nMSG_Text,MATCH("E_NONPOSITIVE_PARAMETER",nMSG_Code,0)),""),"[input]",""),"")&amp;IF(ISNUMBER(SEARCH("E_OUT_OF_RANGE",AQ24))," | E_OUT_OF_RANGE: "&amp;SUBSTITUTE(IFERROR(INDEX(nMSG_Text,MATCH("E_OUT_OF_RANGE",nMSG_Code,0)),""),"[input]",""),"")&amp;IF(ISNUMBER(SEARCH("E_APPLICABILITY_UNCONFIRMED",AQ24))," | E_APPLICABILITY_UNCONFIRMED: "&amp;SUBSTITUTE(IFERROR(INDEX(nMSG_Text,MATCH("E_APPLICABILITY_UNCONFIRMED",nMSG_Code,0)),""),"[input]",""),"")&amp;IF(ISNUMBER(SEARCH("E_CREATININE_STABILITY_UNCONFIRMED",AQ24))," | E_CREATININE_STABILITY_UNCONFIRMED: "&amp;SUBSTITUTE(IFERROR(INDEX(nMSG_Text,MATCH("E_CREATININE_STABILITY_UNCONFIRMED",nMSG_Code,0)),""),"[input]",""),"")&amp;IF(ISNUMBER(SEARCH("E_OVERLAPPING_SEGMENTS",AQ24))," | E_OVERLAPPING_SEGMENTS: "&amp;SUBSTITUTE(IFERROR(INDEX(nMSG_Text,MATCH("E_OVERLAPPING_SEGMENTS",nMSG_Code,0)),""),"[input]",""),""),4,9999))</f>
        <v>E_APPLICABILITY_UNCONFIRMED: Confirm the model, the half-life used, the reference time and each input’s status before a result is shown.</v>
      </c>
      <c r="AC24" s="21" t="str">
        <f t="shared" si="30"/>
        <v>t_half = 24 hours [label fact; V34 V36]; t = 72 hours [case measurement; V34 V36]</v>
      </c>
      <c r="AD24" s="21" t="str">
        <f t="shared" si="31"/>
        <v>Common gate not confirmed: model not confirmed.</v>
      </c>
      <c r="AE24" s="21" t="str">
        <f t="shared" si="32"/>
        <v/>
      </c>
      <c r="AF24" s="21" t="str">
        <f t="shared" si="33"/>
        <v/>
      </c>
      <c r="AG24" s="21" t="str">
        <f t="shared" si="34"/>
        <v>Vector V36, case 3: model not confirmed</v>
      </c>
      <c r="AH24" s="21" t="str">
        <f t="shared" si="35"/>
        <v>Fraction of the chosen reference amount or concentration under the stated model. It is not a causal or pharmacological threshold.</v>
      </c>
      <c r="AI24" s="21" t="str">
        <f t="shared" si="36"/>
        <v>k = ln 2 / t_half; fraction remaining = 2^(-t / t_half) = exp(-k x t)</v>
      </c>
      <c r="AJ24" s="21" t="str">
        <f t="shared" si="37"/>
        <v>CALC-SPEC 1.1</v>
      </c>
      <c r="AK24" s="22">
        <f t="shared" si="38"/>
        <v>0</v>
      </c>
      <c r="AL24" s="21" t="str">
        <f t="shared" si="39"/>
        <v>VEC-V36|1</v>
      </c>
      <c r="AM24" s="21" t="str">
        <f t="shared" si="40"/>
        <v>VEC-V36|1|Q1-V36c</v>
      </c>
      <c r="AN24" s="22">
        <f t="shared" si="41"/>
        <v>0</v>
      </c>
      <c r="AO24" s="21" t="str">
        <f>IF(AK24=1,"",IF(A24="","; E_MISSING_INPUT","")&amp;IF(N24="","; E_MISSING_INPUT","")&amp;IF(AND(N24&lt;&gt;"",ISNA(MATCH(N24,nLIST_TimeUnit,0))),"; E_INVALID_UNIT","")&amp;IF(O24="","; E_MISSING_INPUT","")&amp;IF(AND(O24&lt;&gt;"",NOT(ISNUMBER(O24))),"; E_MISSING_INPUT","")&amp;IF(AND(ISNUMBER(O24),O24&lt;=0),"; E_NONPOSITIVE_PARAMETER","")&amp;IF(R24="","; E_MISSING_INPUT","")&amp;IF(AND(R24&lt;&gt;"",NOT(ISNUMBER(R24))),"; E_MISSING_INPUT","")&amp;IF(AND(ISNUMBER(R24),R24&lt;0),"; E_OUT_OF_RANGE","")&amp;IF(TRIM(H24&amp;"")="","; E_MISSING_INPUT","")&amp;IF(TRIM(I24&amp;"")="","; E_MISSING_INPUT","")&amp;IF(TRIM(J24&amp;"")="","; E_MISSING_INPUT","")&amp;IF(TRIM(L24&amp;"")="","; E_MISSING_INPUT","")&amp;IF(P24="","; E_MISSING_INPUT","")&amp;IF(S24="","; E_MISSING_INPUT","")&amp;IF(AN24=0,"; E_APPLICABILITY_UNCONFIRMED",""))</f>
        <v>; E_APPLICABILITY_UNCONFIRMED</v>
      </c>
      <c r="AP24" s="21" t="str">
        <f t="shared" si="42"/>
        <v/>
      </c>
      <c r="AQ24" s="21" t="str">
        <f t="shared" si="43"/>
        <v>E_APPLICABILITY_UNCONFIRMED</v>
      </c>
      <c r="AR24" s="21" t="str">
        <f t="shared" si="44"/>
        <v/>
      </c>
      <c r="AS24" s="22">
        <f t="shared" si="45"/>
        <v>0</v>
      </c>
    </row>
    <row r="27" spans="1:45" ht="17.25" x14ac:dyDescent="0.3">
      <c r="A27" s="6" t="s">
        <v>1271</v>
      </c>
    </row>
    <row r="28" spans="1:45" x14ac:dyDescent="0.2">
      <c r="A28" s="7" t="s">
        <v>1203</v>
      </c>
    </row>
    <row r="29" spans="1:45" x14ac:dyDescent="0.2">
      <c r="A29" s="2" t="s">
        <v>1204</v>
      </c>
      <c r="F29" s="2" t="s">
        <v>1208</v>
      </c>
      <c r="N29" s="2" t="s">
        <v>1204</v>
      </c>
      <c r="U29" s="2" t="s">
        <v>1225</v>
      </c>
      <c r="AI29" s="2" t="s">
        <v>1237</v>
      </c>
    </row>
    <row r="30" spans="1:45" ht="66" customHeight="1" x14ac:dyDescent="0.2">
      <c r="A30" s="8" t="s">
        <v>1205</v>
      </c>
      <c r="B30" s="8" t="s">
        <v>280</v>
      </c>
      <c r="C30" s="8" t="s">
        <v>281</v>
      </c>
      <c r="D30" s="8" t="s">
        <v>1206</v>
      </c>
      <c r="E30" s="8" t="s">
        <v>1207</v>
      </c>
      <c r="F30" s="8" t="s">
        <v>1209</v>
      </c>
      <c r="G30" s="8" t="s">
        <v>1210</v>
      </c>
      <c r="H30" s="8" t="s">
        <v>1211</v>
      </c>
      <c r="I30" s="8" t="s">
        <v>1212</v>
      </c>
      <c r="J30" s="8" t="s">
        <v>1213</v>
      </c>
      <c r="K30" s="8" t="s">
        <v>1214</v>
      </c>
      <c r="L30" s="8" t="s">
        <v>1215</v>
      </c>
      <c r="M30" s="8" t="s">
        <v>1216</v>
      </c>
      <c r="N30" s="8" t="s">
        <v>1218</v>
      </c>
      <c r="O30" s="8" t="s">
        <v>1219</v>
      </c>
      <c r="P30" s="8" t="s">
        <v>1220</v>
      </c>
      <c r="Q30" s="8" t="s">
        <v>1221</v>
      </c>
      <c r="R30" s="8" t="s">
        <v>1272</v>
      </c>
      <c r="S30" s="8" t="s">
        <v>1273</v>
      </c>
      <c r="T30" s="8" t="s">
        <v>1274</v>
      </c>
      <c r="U30" s="19" t="s">
        <v>1226</v>
      </c>
      <c r="V30" s="19" t="s">
        <v>981</v>
      </c>
      <c r="W30" s="19" t="s">
        <v>1275</v>
      </c>
      <c r="X30" s="19" t="s">
        <v>1276</v>
      </c>
      <c r="Y30" s="19" t="s">
        <v>988</v>
      </c>
      <c r="Z30" s="19" t="s">
        <v>1231</v>
      </c>
      <c r="AA30" s="19" t="s">
        <v>1232</v>
      </c>
      <c r="AB30" s="19" t="s">
        <v>1003</v>
      </c>
      <c r="AC30" s="19" t="s">
        <v>1233</v>
      </c>
      <c r="AD30" s="19" t="s">
        <v>1234</v>
      </c>
      <c r="AE30" s="19" t="s">
        <v>954</v>
      </c>
      <c r="AF30" s="19" t="s">
        <v>1235</v>
      </c>
      <c r="AG30" s="19" t="s">
        <v>1236</v>
      </c>
      <c r="AH30" s="19" t="s">
        <v>1006</v>
      </c>
      <c r="AI30" s="19" t="s">
        <v>1008</v>
      </c>
      <c r="AJ30" s="19" t="s">
        <v>1009</v>
      </c>
      <c r="AK30" s="19" t="s">
        <v>1238</v>
      </c>
      <c r="AL30" s="19" t="s">
        <v>1239</v>
      </c>
      <c r="AM30" s="19" t="s">
        <v>1085</v>
      </c>
      <c r="AN30" s="19" t="s">
        <v>1240</v>
      </c>
      <c r="AO30" s="19" t="s">
        <v>1095</v>
      </c>
      <c r="AP30" s="19" t="s">
        <v>1241</v>
      </c>
      <c r="AQ30" s="19" t="s">
        <v>1097</v>
      </c>
    </row>
    <row r="31" spans="1:45" x14ac:dyDescent="0.2">
      <c r="A31" s="10"/>
      <c r="B31" s="10"/>
      <c r="C31" s="12"/>
      <c r="D31" s="10"/>
      <c r="E31" s="10"/>
      <c r="F31" s="17"/>
      <c r="G31" s="17"/>
      <c r="H31" s="10"/>
      <c r="I31" s="10"/>
      <c r="J31" s="10"/>
      <c r="K31" s="17"/>
      <c r="L31" s="10"/>
      <c r="M31" s="17"/>
      <c r="N31" s="17"/>
      <c r="O31" s="17"/>
      <c r="P31" s="17"/>
      <c r="Q31" s="10"/>
      <c r="R31" s="17"/>
      <c r="S31" s="17"/>
      <c r="T31" s="10"/>
      <c r="U31" s="21" t="str">
        <f t="shared" ref="U31:U38" si="46">IF(AI31=1,"",IF(AO31&lt;&gt;"",AO31&amp;": no result is shown",IF(N31="minutes",SUBSTITUTE(FIXED(X31,0,FALSE),"-","−"),FIXED(X31,1,FALSE))&amp;" "&amp;N31&amp;" to reach "&amp;IF(100*R31=0,"0",IF(ABS(100*R31)&lt;0.0001,FIXED(IF(ABS(ROUND(100*R31/10^INT(LOG10(ABS(100*R31))),2))&gt;=10,ROUND(100*R31/10^INT(LOG10(ABS(100*R31))),2)/10,ROUND(100*R31/10^INT(LOG10(ABS(100*R31))),2)),2,TRUE)&amp;" × 10"&amp;SUBSTITUTE(SUBSTITUTE(SUBSTITUTE(SUBSTITUTE(SUBSTITUTE(SUBSTITUTE(SUBSTITUTE(SUBSTITUTE(SUBSTITUTE(SUBSTITUTE(SUBSTITUTE(TEXT((INT(LOG10(ABS(100*R31)))+IF(ABS(ROUND(100*R31/10^INT(LOG10(ABS(100*R31))),2))&gt;=10,1,0)),"0"),"-","⁻"),"0","⁰"),"1","¹"),"2","²"),"3","³"),"4","⁴"),"5","⁵"),"6","⁶"),"7","⁷"),"8","⁸"),"9","⁹"),FIXED(ROUND(100*R31,MAX(0,2-INT(LOG10(ABS(100*R31))))),MAX(0,2-INT(LOG10(ABS(ROUND(100*R31,MAX(0,2-INT(LOG10(ABS(100*R31))))))))),FALSE)))&amp;"% of steady state ("&amp;FIXED(W31,2,TRUE)&amp;" half-lives)"))</f>
        <v/>
      </c>
      <c r="V31" s="21" t="str">
        <f t="shared" ref="V31:V38" si="47">IF(AI31=1,"",IF(AQ31=0,"Not calculable",MID(IF(TRUE,"; "&amp;"Time to reach "&amp;IF(100*R31=0,"0",IF(ABS(100*R31)&lt;0.0001,FIXED(IF(ABS(ROUND(100*R31/10^INT(LOG10(ABS(100*R31))),2))&gt;=10,ROUND(100*R31/10^INT(LOG10(ABS(100*R31))),2)/10,ROUND(100*R31/10^INT(LOG10(ABS(100*R31))),2)),2,TRUE)&amp;" × 10"&amp;SUBSTITUTE(SUBSTITUTE(SUBSTITUTE(SUBSTITUTE(SUBSTITUTE(SUBSTITUTE(SUBSTITUTE(SUBSTITUTE(SUBSTITUTE(SUBSTITUTE(SUBSTITUTE(TEXT((INT(LOG10(ABS(100*R31)))+IF(ABS(ROUND(100*R31/10^INT(LOG10(ABS(100*R31))),2))&gt;=10,1,0)),"0"),"-","⁻"),"0","⁰"),"1","¹"),"2","²"),"3","³"),"4","⁴"),"5","⁵"),"6","⁶"),"7","⁷"),"8","⁸"),"9","⁹"),FIXED(ROUND(100*R31,MAX(0,2-INT(LOG10(ABS(100*R31))))),MAX(0,2-INT(LOG10(ABS(ROUND(100*R31,MAX(0,2-INT(LOG10(ABS(100*R31))))))))),FALSE)))&amp;"%"&amp;": "&amp;IF(N31="minutes",SUBSTITUTE(FIXED(X31,0,FALSE),"-","−"),FIXED(X31,1,FALSE))&amp;" "&amp;N31,"")&amp;IF(TRUE,"; "&amp;"Half-lives needed n"&amp;": "&amp;FIXED(W31,2,TRUE)&amp;" half-lives",""),3,9999)))</f>
        <v/>
      </c>
      <c r="W31" s="21" t="str">
        <f t="shared" ref="W31:W38" si="48">IF(AQ31=1,-LOG(1-R31,2),"")</f>
        <v/>
      </c>
      <c r="X31" s="21" t="str">
        <f t="shared" ref="X31:X38" si="49">IF(AQ31=1,W31*O31,"")</f>
        <v/>
      </c>
      <c r="Y31" s="21" t="str">
        <f t="shared" ref="Y31:Y38" si="50">IF(AI31=1,"",IF(AO31&lt;&gt;"",AO31,""))</f>
        <v/>
      </c>
      <c r="Z31" s="21" t="str">
        <f>IF(AI31=1,"",MID(IF(ISNUMBER(SEARCH("E_INVALID_DATE",AO31))," | E_INVALID_DATE: "&amp;SUBSTITUTE(IFERROR(INDEX(nMSG_Text,MATCH("E_INVALID_DATE",nMSG_Code,0)),""),"[input]",""),"")&amp;IF(ISNUMBER(SEARCH("E_REVERSED_BOUNDS",AO31))," | E_REVERSED_BOUNDS: "&amp;SUBSTITUTE(IFERROR(INDEX(nMSG_Text,MATCH("E_REVERSED_BOUNDS",nMSG_Code,0)),""),"[input]",""),"")&amp;IF(ISNUMBER(SEARCH("E_DUPLICATE_ID",AO31))," | E_DUPLICATE_ID: "&amp;SUBSTITUTE(IFERROR(INDEX(nMSG_Text,MATCH("E_DUPLICATE_ID",nMSG_Code,0)),""),"[input]",""),"")&amp;IF(ISNUMBER(SEARCH("E_MISSING_LINK",AO31))," | E_MISSING_LINK: "&amp;SUBSTITUTE(IFERROR(INDEX(nMSG_Text,MATCH("E_MISSING_LINK",nMSG_Code,0)),""),"[input]",""),"")&amp;IF(ISNUMBER(SEARCH("E_MISSING_INPUT",AO31))," | E_MISSING_INPUT: "&amp;SUBSTITUTE(IFERROR(INDEX(nMSG_Text,MATCH("E_MISSING_INPUT",nMSG_Code,0)),""),"[input]",IF(AP31="","an input",AP31)),"")&amp;IF(ISNUMBER(SEARCH("E_INVALID_UNIT",AO31))," | E_INVALID_UNIT: "&amp;SUBSTITUTE(IFERROR(INDEX(nMSG_Text,MATCH("E_INVALID_UNIT",nMSG_Code,0)),""),"[input]",""),"")&amp;IF(ISNUMBER(SEARCH("E_NONPOSITIVE_PARAMETER",AO31))," | E_NONPOSITIVE_PARAMETER: "&amp;SUBSTITUTE(IFERROR(INDEX(nMSG_Text,MATCH("E_NONPOSITIVE_PARAMETER",nMSG_Code,0)),""),"[input]",""),"")&amp;IF(ISNUMBER(SEARCH("E_OUT_OF_RANGE",AO31))," | E_OUT_OF_RANGE: "&amp;SUBSTITUTE(IFERROR(INDEX(nMSG_Text,MATCH("E_OUT_OF_RANGE",nMSG_Code,0)),""),"[input]",""),"")&amp;IF(ISNUMBER(SEARCH("E_APPLICABILITY_UNCONFIRMED",AO31))," | E_APPLICABILITY_UNCONFIRMED: "&amp;SUBSTITUTE(IFERROR(INDEX(nMSG_Text,MATCH("E_APPLICABILITY_UNCONFIRMED",nMSG_Code,0)),""),"[input]",""),"")&amp;IF(ISNUMBER(SEARCH("E_CREATININE_STABILITY_UNCONFIRMED",AO31))," | E_CREATININE_STABILITY_UNCONFIRMED: "&amp;SUBSTITUTE(IFERROR(INDEX(nMSG_Text,MATCH("E_CREATININE_STABILITY_UNCONFIRMED",nMSG_Code,0)),""),"[input]",""),"")&amp;IF(ISNUMBER(SEARCH("E_OVERLAPPING_SEGMENTS",AO31))," | E_OVERLAPPING_SEGMENTS: "&amp;SUBSTITUTE(IFERROR(INDEX(nMSG_Text,MATCH("E_OVERLAPPING_SEGMENTS",nMSG_Code,0)),""),"[input]",""),""),4,9999))</f>
        <v/>
      </c>
      <c r="AA31" s="21" t="str">
        <f t="shared" ref="AA31:AA38" si="51">IF(AI31=1,"","t_half = "&amp;O31&amp;" "&amp;N31&amp;" ["&amp;IF(P31="","status not recorded",P31)&amp;IF(Q31&lt;&gt;"","; "&amp;Q31,"")&amp;"]"&amp;"; "&amp;"f_target = "&amp;R31&amp;" "&amp;"(fraction)"&amp;" ["&amp;IF(S31="","status not recorded",S31)&amp;IF(T31&lt;&gt;"","; "&amp;T31,"")&amp;"]")</f>
        <v/>
      </c>
      <c r="AB31" s="21" t="str">
        <f t="shared" ref="AB31:AB38" si="52">IF(AI31=1,"",MID(""&amp;IF(AL31=1," | Gate confirmed: the simple model applies (one compartment, linear first-order elimination, constant parameters over the period). | Gate confirmed: the half-life used – type: "&amp;H31&amp;"; population: "&amp;I31&amp;"; source: "&amp;J31&amp;". | Gate confirmed: reference time – "&amp;L31&amp;". | Gate confirmed: each input’s Parameter_Status is recorded."," | Common gate not confirmed"&amp;IF(AND(F31="Yes",G31="Yes",K31="Yes",M31="Yes"),": a gate detail or a Parameter_Status is blank.",": "&amp;MID(IF(F31&lt;&gt;"Yes",", model","")&amp;IF(G31&lt;&gt;"Yes",", half-life used","")&amp;IF(K31&lt;&gt;"Yes",", reference time","")&amp;IF(M31&lt;&gt;"Yes",", Parameter_Status",""),3,99)&amp;" not confirmed."))&amp;IF(TRIM(E31&amp;"")&lt;&gt;""," | "&amp;E31,""),4,9999))</f>
        <v/>
      </c>
      <c r="AC31" s="21" t="str">
        <f t="shared" ref="AC31:AC38" si="53">IF(AQ31=0,"",MID(IF(TRUE,"; "&amp;"Time to reach "&amp;IF(100*R31=0,"0",IF(ABS(100*R31)&lt;0.0001,FIXED(IF(ABS(ROUND(100*R31/10^INT(LOG10(ABS(100*R31))),2))&gt;=10,ROUND(100*R31/10^INT(LOG10(ABS(100*R31))),2)/10,ROUND(100*R31/10^INT(LOG10(ABS(100*R31))),2)),2,TRUE)&amp;" × 10"&amp;SUBSTITUTE(SUBSTITUTE(SUBSTITUTE(SUBSTITUTE(SUBSTITUTE(SUBSTITUTE(SUBSTITUTE(SUBSTITUTE(SUBSTITUTE(SUBSTITUTE(SUBSTITUTE(TEXT((INT(LOG10(ABS(100*R31)))+IF(ABS(ROUND(100*R31/10^INT(LOG10(ABS(100*R31))),2))&gt;=10,1,0)),"0"),"-","⁻"),"0","⁰"),"1","¹"),"2","²"),"3","³"),"4","⁴"),"5","⁵"),"6","⁶"),"7","⁷"),"8","⁸"),"9","⁹"),FIXED(ROUND(100*R31,MAX(0,2-INT(LOG10(ABS(100*R31))))),MAX(0,2-INT(LOG10(ABS(ROUND(100*R31,MAX(0,2-INT(LOG10(ABS(100*R31))))))))),FALSE)))&amp;"%"&amp;" = "&amp;X31&amp;" ("&amp;IF(N31="minutes",SUBSTITUTE(FIXED(X31,0,FALSE),"-","−"),FIXED(X31,1,FALSE))&amp;" "&amp;N31&amp;")","")&amp;IF(TRUE,"; "&amp;"Half-lives needed n"&amp;" = "&amp;W31&amp;" ("&amp;FIXED(W31,2,TRUE)&amp;" half-lives"&amp;")",""),3,9999))</f>
        <v/>
      </c>
      <c r="AD31" s="21" t="str">
        <f t="shared" ref="AD31:AD38" si="54">IF(AQ31=0,"",N31)</f>
        <v/>
      </c>
      <c r="AE31" s="21" t="str">
        <f t="shared" ref="AE31:AE38" si="55">IF(AI31=1,"",IF(TRIM(D31&amp;"")&lt;&gt;"",D31,"Q2 Time to approach steady state"))</f>
        <v/>
      </c>
      <c r="AF31" s="21" t="str">
        <f t="shared" ref="AF31:AF38" si="56">IF(AI31=1,"","Assumes constant input from zero. Intermittent dosing compares corresponding points in the dosing cycle. Toxicity need not wait for steady state.")</f>
        <v/>
      </c>
      <c r="AG31" s="21" t="str">
        <f t="shared" ref="AG31:AG38" si="57">IF(AI31=1,"","n = -log2(1 - f); time = n x t_half")</f>
        <v/>
      </c>
      <c r="AH31" s="21" t="str">
        <f t="shared" ref="AH31:AH38" si="58">IF(AI31=1,"","CALC-SPEC 1.1")</f>
        <v/>
      </c>
      <c r="AI31" s="22">
        <f t="shared" ref="AI31:AI38" si="59">IF(AND(A31="",O31="",R31=""),1,0)</f>
        <v>1</v>
      </c>
      <c r="AJ31" s="21" t="str">
        <f t="shared" ref="AJ31:AJ38" si="60">IF(AI31=1,"",B31&amp;"|"&amp;C31)</f>
        <v/>
      </c>
      <c r="AK31" s="21" t="str">
        <f t="shared" ref="AK31:AK38" si="61">IF(A31="","",B31&amp;"|"&amp;C31&amp;"|"&amp;A31)</f>
        <v/>
      </c>
      <c r="AL31" s="22">
        <f t="shared" ref="AL31:AL38" si="62">IF(AND(F31="Yes",G31="Yes",K31="Yes",M31="Yes",TRIM(H31&amp;"")&lt;&gt;"",TRIM(I31&amp;"")&lt;&gt;"",TRIM(J31&amp;"")&lt;&gt;"",TRIM(L31&amp;"")&lt;&gt;"",P31&lt;&gt;"",S31&lt;&gt;""),1,0)</f>
        <v>0</v>
      </c>
      <c r="AM31" s="21" t="str">
        <f>IF(AI31=1,"",IF(A31="","; E_MISSING_INPUT","")&amp;IF(N31="","; E_MISSING_INPUT","")&amp;IF(AND(N31&lt;&gt;"",ISNA(MATCH(N31,nLIST_TimeUnit,0))),"; E_INVALID_UNIT","")&amp;IF(O31="","; E_MISSING_INPUT","")&amp;IF(AND(O31&lt;&gt;"",NOT(ISNUMBER(O31))),"; E_MISSING_INPUT","")&amp;IF(AND(ISNUMBER(O31),O31&lt;=0),"; E_NONPOSITIVE_PARAMETER","")&amp;IF(R31="","; E_MISSING_INPUT","")&amp;IF(AND(R31&lt;&gt;"",NOT(ISNUMBER(R31))),"; E_MISSING_INPUT","")&amp;IF(AND(ISNUMBER(R31),OR(R31&lt;=0,R31&gt;=1)),"; E_OUT_OF_RANGE","")&amp;IF(TRIM(H31&amp;"")="","; E_MISSING_INPUT","")&amp;IF(TRIM(I31&amp;"")="","; E_MISSING_INPUT","")&amp;IF(TRIM(J31&amp;"")="","; E_MISSING_INPUT","")&amp;IF(TRIM(L31&amp;"")="","; E_MISSING_INPUT","")&amp;IF(P31="","; E_MISSING_INPUT","")&amp;IF(S31="","; E_MISSING_INPUT","")&amp;IF(AL31=0,"; E_APPLICABILITY_UNCONFIRMED",""))</f>
        <v/>
      </c>
      <c r="AN31" s="21" t="str">
        <f t="shared" ref="AN31:AN38" si="63">IF(AI31=1,"",IF(A31="",", a Calc_ID","")&amp;IF(N31="",", a time unit","")&amp;IF(O31="",", the half-life","")&amp;IF(AND(O31&lt;&gt;"",NOT(ISNUMBER(O31))),", the half-life as a number","")&amp;IF(R31="",", the target fraction","")&amp;IF(AND(R31&lt;&gt;"",NOT(ISNUMBER(R31))),", the target fraction as a number","")&amp;IF(TRIM(H31&amp;"")="",", the type of the half-life used","")&amp;IF(TRIM(I31&amp;"")="",", the population of the half-life used","")&amp;IF(TRIM(J31&amp;"")="",", the source of the half-life used","")&amp;IF(TRIM(L31&amp;"")="",", the reference time","")&amp;IF(P31="",", the Parameter_Status of t_half","")&amp;IF(S31="",", the Parameter_Status of the target fraction",""))</f>
        <v/>
      </c>
      <c r="AO31" s="21" t="str">
        <f t="shared" ref="AO31:AO38" si="64">IF(AI31=1,"",MID(IF(ISNUMBER(SEARCH("E_INVALID_DATE",AM31)),"; E_INVALID_DATE","")&amp;IF(ISNUMBER(SEARCH("E_REVERSED_BOUNDS",AM31)),"; E_REVERSED_BOUNDS","")&amp;IF(ISNUMBER(SEARCH("E_DUPLICATE_ID",AM31)),"; E_DUPLICATE_ID","")&amp;IF(ISNUMBER(SEARCH("E_MISSING_LINK",AM31)),"; E_MISSING_LINK","")&amp;IF(ISNUMBER(SEARCH("E_MISSING_INPUT",AM31)),"; E_MISSING_INPUT","")&amp;IF(ISNUMBER(SEARCH("E_INVALID_UNIT",AM31)),"; E_INVALID_UNIT","")&amp;IF(ISNUMBER(SEARCH("E_NONPOSITIVE_PARAMETER",AM31)),"; E_NONPOSITIVE_PARAMETER","")&amp;IF(ISNUMBER(SEARCH("E_OUT_OF_RANGE",AM31)),"; E_OUT_OF_RANGE","")&amp;IF(ISNUMBER(SEARCH("E_APPLICABILITY_UNCONFIRMED",AM31)),"; E_APPLICABILITY_UNCONFIRMED","")&amp;IF(ISNUMBER(SEARCH("E_CREATININE_STABILITY_UNCONFIRMED",AM31)),"; E_CREATININE_STABILITY_UNCONFIRMED","")&amp;IF(ISNUMBER(SEARCH("E_OVERLAPPING_SEGMENTS",AM31)),"; E_OVERLAPPING_SEGMENTS",""),3,999))</f>
        <v/>
      </c>
      <c r="AP31" s="21" t="str">
        <f t="shared" ref="AP31:AP38" si="65">MID(AN31,3,999)</f>
        <v/>
      </c>
      <c r="AQ31" s="22">
        <f t="shared" ref="AQ31:AQ38" si="66">IF(AND(AI31=0,AO31=""),1,0)</f>
        <v>0</v>
      </c>
    </row>
    <row r="32" spans="1:45" x14ac:dyDescent="0.2">
      <c r="A32" s="10"/>
      <c r="B32" s="10"/>
      <c r="C32" s="12"/>
      <c r="D32" s="10"/>
      <c r="E32" s="10"/>
      <c r="F32" s="17"/>
      <c r="G32" s="17"/>
      <c r="H32" s="10"/>
      <c r="I32" s="10"/>
      <c r="J32" s="10"/>
      <c r="K32" s="17"/>
      <c r="L32" s="10"/>
      <c r="M32" s="17"/>
      <c r="N32" s="17"/>
      <c r="O32" s="17"/>
      <c r="P32" s="17"/>
      <c r="Q32" s="10"/>
      <c r="R32" s="17"/>
      <c r="S32" s="17"/>
      <c r="T32" s="10"/>
      <c r="U32" s="21" t="str">
        <f t="shared" si="46"/>
        <v/>
      </c>
      <c r="V32" s="21" t="str">
        <f t="shared" si="47"/>
        <v/>
      </c>
      <c r="W32" s="21" t="str">
        <f t="shared" si="48"/>
        <v/>
      </c>
      <c r="X32" s="21" t="str">
        <f t="shared" si="49"/>
        <v/>
      </c>
      <c r="Y32" s="21" t="str">
        <f t="shared" si="50"/>
        <v/>
      </c>
      <c r="Z32" s="21" t="str">
        <f>IF(AI32=1,"",MID(IF(ISNUMBER(SEARCH("E_INVALID_DATE",AO32))," | E_INVALID_DATE: "&amp;SUBSTITUTE(IFERROR(INDEX(nMSG_Text,MATCH("E_INVALID_DATE",nMSG_Code,0)),""),"[input]",""),"")&amp;IF(ISNUMBER(SEARCH("E_REVERSED_BOUNDS",AO32))," | E_REVERSED_BOUNDS: "&amp;SUBSTITUTE(IFERROR(INDEX(nMSG_Text,MATCH("E_REVERSED_BOUNDS",nMSG_Code,0)),""),"[input]",""),"")&amp;IF(ISNUMBER(SEARCH("E_DUPLICATE_ID",AO32))," | E_DUPLICATE_ID: "&amp;SUBSTITUTE(IFERROR(INDEX(nMSG_Text,MATCH("E_DUPLICATE_ID",nMSG_Code,0)),""),"[input]",""),"")&amp;IF(ISNUMBER(SEARCH("E_MISSING_LINK",AO32))," | E_MISSING_LINK: "&amp;SUBSTITUTE(IFERROR(INDEX(nMSG_Text,MATCH("E_MISSING_LINK",nMSG_Code,0)),""),"[input]",""),"")&amp;IF(ISNUMBER(SEARCH("E_MISSING_INPUT",AO32))," | E_MISSING_INPUT: "&amp;SUBSTITUTE(IFERROR(INDEX(nMSG_Text,MATCH("E_MISSING_INPUT",nMSG_Code,0)),""),"[input]",IF(AP32="","an input",AP32)),"")&amp;IF(ISNUMBER(SEARCH("E_INVALID_UNIT",AO32))," | E_INVALID_UNIT: "&amp;SUBSTITUTE(IFERROR(INDEX(nMSG_Text,MATCH("E_INVALID_UNIT",nMSG_Code,0)),""),"[input]",""),"")&amp;IF(ISNUMBER(SEARCH("E_NONPOSITIVE_PARAMETER",AO32))," | E_NONPOSITIVE_PARAMETER: "&amp;SUBSTITUTE(IFERROR(INDEX(nMSG_Text,MATCH("E_NONPOSITIVE_PARAMETER",nMSG_Code,0)),""),"[input]",""),"")&amp;IF(ISNUMBER(SEARCH("E_OUT_OF_RANGE",AO32))," | E_OUT_OF_RANGE: "&amp;SUBSTITUTE(IFERROR(INDEX(nMSG_Text,MATCH("E_OUT_OF_RANGE",nMSG_Code,0)),""),"[input]",""),"")&amp;IF(ISNUMBER(SEARCH("E_APPLICABILITY_UNCONFIRMED",AO32))," | E_APPLICABILITY_UNCONFIRMED: "&amp;SUBSTITUTE(IFERROR(INDEX(nMSG_Text,MATCH("E_APPLICABILITY_UNCONFIRMED",nMSG_Code,0)),""),"[input]",""),"")&amp;IF(ISNUMBER(SEARCH("E_CREATININE_STABILITY_UNCONFIRMED",AO32))," | E_CREATININE_STABILITY_UNCONFIRMED: "&amp;SUBSTITUTE(IFERROR(INDEX(nMSG_Text,MATCH("E_CREATININE_STABILITY_UNCONFIRMED",nMSG_Code,0)),""),"[input]",""),"")&amp;IF(ISNUMBER(SEARCH("E_OVERLAPPING_SEGMENTS",AO32))," | E_OVERLAPPING_SEGMENTS: "&amp;SUBSTITUTE(IFERROR(INDEX(nMSG_Text,MATCH("E_OVERLAPPING_SEGMENTS",nMSG_Code,0)),""),"[input]",""),""),4,9999))</f>
        <v/>
      </c>
      <c r="AA32" s="21" t="str">
        <f t="shared" si="51"/>
        <v/>
      </c>
      <c r="AB32" s="21" t="str">
        <f t="shared" si="52"/>
        <v/>
      </c>
      <c r="AC32" s="21" t="str">
        <f t="shared" si="53"/>
        <v/>
      </c>
      <c r="AD32" s="21" t="str">
        <f t="shared" si="54"/>
        <v/>
      </c>
      <c r="AE32" s="21" t="str">
        <f t="shared" si="55"/>
        <v/>
      </c>
      <c r="AF32" s="21" t="str">
        <f t="shared" si="56"/>
        <v/>
      </c>
      <c r="AG32" s="21" t="str">
        <f t="shared" si="57"/>
        <v/>
      </c>
      <c r="AH32" s="21" t="str">
        <f t="shared" si="58"/>
        <v/>
      </c>
      <c r="AI32" s="22">
        <f t="shared" si="59"/>
        <v>1</v>
      </c>
      <c r="AJ32" s="21" t="str">
        <f t="shared" si="60"/>
        <v/>
      </c>
      <c r="AK32" s="21" t="str">
        <f t="shared" si="61"/>
        <v/>
      </c>
      <c r="AL32" s="22">
        <f t="shared" si="62"/>
        <v>0</v>
      </c>
      <c r="AM32" s="21" t="str">
        <f>IF(AI32=1,"",IF(A32="","; E_MISSING_INPUT","")&amp;IF(N32="","; E_MISSING_INPUT","")&amp;IF(AND(N32&lt;&gt;"",ISNA(MATCH(N32,nLIST_TimeUnit,0))),"; E_INVALID_UNIT","")&amp;IF(O32="","; E_MISSING_INPUT","")&amp;IF(AND(O32&lt;&gt;"",NOT(ISNUMBER(O32))),"; E_MISSING_INPUT","")&amp;IF(AND(ISNUMBER(O32),O32&lt;=0),"; E_NONPOSITIVE_PARAMETER","")&amp;IF(R32="","; E_MISSING_INPUT","")&amp;IF(AND(R32&lt;&gt;"",NOT(ISNUMBER(R32))),"; E_MISSING_INPUT","")&amp;IF(AND(ISNUMBER(R32),OR(R32&lt;=0,R32&gt;=1)),"; E_OUT_OF_RANGE","")&amp;IF(TRIM(H32&amp;"")="","; E_MISSING_INPUT","")&amp;IF(TRIM(I32&amp;"")="","; E_MISSING_INPUT","")&amp;IF(TRIM(J32&amp;"")="","; E_MISSING_INPUT","")&amp;IF(TRIM(L32&amp;"")="","; E_MISSING_INPUT","")&amp;IF(P32="","; E_MISSING_INPUT","")&amp;IF(S32="","; E_MISSING_INPUT","")&amp;IF(AL32=0,"; E_APPLICABILITY_UNCONFIRMED",""))</f>
        <v/>
      </c>
      <c r="AN32" s="21" t="str">
        <f t="shared" si="63"/>
        <v/>
      </c>
      <c r="AO32" s="21" t="str">
        <f t="shared" si="64"/>
        <v/>
      </c>
      <c r="AP32" s="21" t="str">
        <f t="shared" si="65"/>
        <v/>
      </c>
      <c r="AQ32" s="22">
        <f t="shared" si="66"/>
        <v>0</v>
      </c>
    </row>
    <row r="33" spans="1:43" x14ac:dyDescent="0.2">
      <c r="A33" s="10"/>
      <c r="B33" s="10"/>
      <c r="C33" s="12"/>
      <c r="D33" s="10"/>
      <c r="E33" s="10"/>
      <c r="F33" s="17"/>
      <c r="G33" s="17"/>
      <c r="H33" s="10"/>
      <c r="I33" s="10"/>
      <c r="J33" s="10"/>
      <c r="K33" s="17"/>
      <c r="L33" s="10"/>
      <c r="M33" s="17"/>
      <c r="N33" s="17"/>
      <c r="O33" s="17"/>
      <c r="P33" s="17"/>
      <c r="Q33" s="10"/>
      <c r="R33" s="17"/>
      <c r="S33" s="17"/>
      <c r="T33" s="10"/>
      <c r="U33" s="21" t="str">
        <f t="shared" si="46"/>
        <v/>
      </c>
      <c r="V33" s="21" t="str">
        <f t="shared" si="47"/>
        <v/>
      </c>
      <c r="W33" s="21" t="str">
        <f t="shared" si="48"/>
        <v/>
      </c>
      <c r="X33" s="21" t="str">
        <f t="shared" si="49"/>
        <v/>
      </c>
      <c r="Y33" s="21" t="str">
        <f t="shared" si="50"/>
        <v/>
      </c>
      <c r="Z33" s="21" t="str">
        <f>IF(AI33=1,"",MID(IF(ISNUMBER(SEARCH("E_INVALID_DATE",AO33))," | E_INVALID_DATE: "&amp;SUBSTITUTE(IFERROR(INDEX(nMSG_Text,MATCH("E_INVALID_DATE",nMSG_Code,0)),""),"[input]",""),"")&amp;IF(ISNUMBER(SEARCH("E_REVERSED_BOUNDS",AO33))," | E_REVERSED_BOUNDS: "&amp;SUBSTITUTE(IFERROR(INDEX(nMSG_Text,MATCH("E_REVERSED_BOUNDS",nMSG_Code,0)),""),"[input]",""),"")&amp;IF(ISNUMBER(SEARCH("E_DUPLICATE_ID",AO33))," | E_DUPLICATE_ID: "&amp;SUBSTITUTE(IFERROR(INDEX(nMSG_Text,MATCH("E_DUPLICATE_ID",nMSG_Code,0)),""),"[input]",""),"")&amp;IF(ISNUMBER(SEARCH("E_MISSING_LINK",AO33))," | E_MISSING_LINK: "&amp;SUBSTITUTE(IFERROR(INDEX(nMSG_Text,MATCH("E_MISSING_LINK",nMSG_Code,0)),""),"[input]",""),"")&amp;IF(ISNUMBER(SEARCH("E_MISSING_INPUT",AO33))," | E_MISSING_INPUT: "&amp;SUBSTITUTE(IFERROR(INDEX(nMSG_Text,MATCH("E_MISSING_INPUT",nMSG_Code,0)),""),"[input]",IF(AP33="","an input",AP33)),"")&amp;IF(ISNUMBER(SEARCH("E_INVALID_UNIT",AO33))," | E_INVALID_UNIT: "&amp;SUBSTITUTE(IFERROR(INDEX(nMSG_Text,MATCH("E_INVALID_UNIT",nMSG_Code,0)),""),"[input]",""),"")&amp;IF(ISNUMBER(SEARCH("E_NONPOSITIVE_PARAMETER",AO33))," | E_NONPOSITIVE_PARAMETER: "&amp;SUBSTITUTE(IFERROR(INDEX(nMSG_Text,MATCH("E_NONPOSITIVE_PARAMETER",nMSG_Code,0)),""),"[input]",""),"")&amp;IF(ISNUMBER(SEARCH("E_OUT_OF_RANGE",AO33))," | E_OUT_OF_RANGE: "&amp;SUBSTITUTE(IFERROR(INDEX(nMSG_Text,MATCH("E_OUT_OF_RANGE",nMSG_Code,0)),""),"[input]",""),"")&amp;IF(ISNUMBER(SEARCH("E_APPLICABILITY_UNCONFIRMED",AO33))," | E_APPLICABILITY_UNCONFIRMED: "&amp;SUBSTITUTE(IFERROR(INDEX(nMSG_Text,MATCH("E_APPLICABILITY_UNCONFIRMED",nMSG_Code,0)),""),"[input]",""),"")&amp;IF(ISNUMBER(SEARCH("E_CREATININE_STABILITY_UNCONFIRMED",AO33))," | E_CREATININE_STABILITY_UNCONFIRMED: "&amp;SUBSTITUTE(IFERROR(INDEX(nMSG_Text,MATCH("E_CREATININE_STABILITY_UNCONFIRMED",nMSG_Code,0)),""),"[input]",""),"")&amp;IF(ISNUMBER(SEARCH("E_OVERLAPPING_SEGMENTS",AO33))," | E_OVERLAPPING_SEGMENTS: "&amp;SUBSTITUTE(IFERROR(INDEX(nMSG_Text,MATCH("E_OVERLAPPING_SEGMENTS",nMSG_Code,0)),""),"[input]",""),""),4,9999))</f>
        <v/>
      </c>
      <c r="AA33" s="21" t="str">
        <f t="shared" si="51"/>
        <v/>
      </c>
      <c r="AB33" s="21" t="str">
        <f t="shared" si="52"/>
        <v/>
      </c>
      <c r="AC33" s="21" t="str">
        <f t="shared" si="53"/>
        <v/>
      </c>
      <c r="AD33" s="21" t="str">
        <f t="shared" si="54"/>
        <v/>
      </c>
      <c r="AE33" s="21" t="str">
        <f t="shared" si="55"/>
        <v/>
      </c>
      <c r="AF33" s="21" t="str">
        <f t="shared" si="56"/>
        <v/>
      </c>
      <c r="AG33" s="21" t="str">
        <f t="shared" si="57"/>
        <v/>
      </c>
      <c r="AH33" s="21" t="str">
        <f t="shared" si="58"/>
        <v/>
      </c>
      <c r="AI33" s="22">
        <f t="shared" si="59"/>
        <v>1</v>
      </c>
      <c r="AJ33" s="21" t="str">
        <f t="shared" si="60"/>
        <v/>
      </c>
      <c r="AK33" s="21" t="str">
        <f t="shared" si="61"/>
        <v/>
      </c>
      <c r="AL33" s="22">
        <f t="shared" si="62"/>
        <v>0</v>
      </c>
      <c r="AM33" s="21" t="str">
        <f>IF(AI33=1,"",IF(A33="","; E_MISSING_INPUT","")&amp;IF(N33="","; E_MISSING_INPUT","")&amp;IF(AND(N33&lt;&gt;"",ISNA(MATCH(N33,nLIST_TimeUnit,0))),"; E_INVALID_UNIT","")&amp;IF(O33="","; E_MISSING_INPUT","")&amp;IF(AND(O33&lt;&gt;"",NOT(ISNUMBER(O33))),"; E_MISSING_INPUT","")&amp;IF(AND(ISNUMBER(O33),O33&lt;=0),"; E_NONPOSITIVE_PARAMETER","")&amp;IF(R33="","; E_MISSING_INPUT","")&amp;IF(AND(R33&lt;&gt;"",NOT(ISNUMBER(R33))),"; E_MISSING_INPUT","")&amp;IF(AND(ISNUMBER(R33),OR(R33&lt;=0,R33&gt;=1)),"; E_OUT_OF_RANGE","")&amp;IF(TRIM(H33&amp;"")="","; E_MISSING_INPUT","")&amp;IF(TRIM(I33&amp;"")="","; E_MISSING_INPUT","")&amp;IF(TRIM(J33&amp;"")="","; E_MISSING_INPUT","")&amp;IF(TRIM(L33&amp;"")="","; E_MISSING_INPUT","")&amp;IF(P33="","; E_MISSING_INPUT","")&amp;IF(S33="","; E_MISSING_INPUT","")&amp;IF(AL33=0,"; E_APPLICABILITY_UNCONFIRMED",""))</f>
        <v/>
      </c>
      <c r="AN33" s="21" t="str">
        <f t="shared" si="63"/>
        <v/>
      </c>
      <c r="AO33" s="21" t="str">
        <f t="shared" si="64"/>
        <v/>
      </c>
      <c r="AP33" s="21" t="str">
        <f t="shared" si="65"/>
        <v/>
      </c>
      <c r="AQ33" s="22">
        <f t="shared" si="66"/>
        <v>0</v>
      </c>
    </row>
    <row r="34" spans="1:43" x14ac:dyDescent="0.2">
      <c r="A34" s="10"/>
      <c r="B34" s="10"/>
      <c r="C34" s="12"/>
      <c r="D34" s="10"/>
      <c r="E34" s="10"/>
      <c r="F34" s="17"/>
      <c r="G34" s="17"/>
      <c r="H34" s="10"/>
      <c r="I34" s="10"/>
      <c r="J34" s="10"/>
      <c r="K34" s="17"/>
      <c r="L34" s="10"/>
      <c r="M34" s="17"/>
      <c r="N34" s="17"/>
      <c r="O34" s="17"/>
      <c r="P34" s="17"/>
      <c r="Q34" s="10"/>
      <c r="R34" s="17"/>
      <c r="S34" s="17"/>
      <c r="T34" s="10"/>
      <c r="U34" s="21" t="str">
        <f t="shared" si="46"/>
        <v/>
      </c>
      <c r="V34" s="21" t="str">
        <f t="shared" si="47"/>
        <v/>
      </c>
      <c r="W34" s="21" t="str">
        <f t="shared" si="48"/>
        <v/>
      </c>
      <c r="X34" s="21" t="str">
        <f t="shared" si="49"/>
        <v/>
      </c>
      <c r="Y34" s="21" t="str">
        <f t="shared" si="50"/>
        <v/>
      </c>
      <c r="Z34" s="21" t="str">
        <f>IF(AI34=1,"",MID(IF(ISNUMBER(SEARCH("E_INVALID_DATE",AO34))," | E_INVALID_DATE: "&amp;SUBSTITUTE(IFERROR(INDEX(nMSG_Text,MATCH("E_INVALID_DATE",nMSG_Code,0)),""),"[input]",""),"")&amp;IF(ISNUMBER(SEARCH("E_REVERSED_BOUNDS",AO34))," | E_REVERSED_BOUNDS: "&amp;SUBSTITUTE(IFERROR(INDEX(nMSG_Text,MATCH("E_REVERSED_BOUNDS",nMSG_Code,0)),""),"[input]",""),"")&amp;IF(ISNUMBER(SEARCH("E_DUPLICATE_ID",AO34))," | E_DUPLICATE_ID: "&amp;SUBSTITUTE(IFERROR(INDEX(nMSG_Text,MATCH("E_DUPLICATE_ID",nMSG_Code,0)),""),"[input]",""),"")&amp;IF(ISNUMBER(SEARCH("E_MISSING_LINK",AO34))," | E_MISSING_LINK: "&amp;SUBSTITUTE(IFERROR(INDEX(nMSG_Text,MATCH("E_MISSING_LINK",nMSG_Code,0)),""),"[input]",""),"")&amp;IF(ISNUMBER(SEARCH("E_MISSING_INPUT",AO34))," | E_MISSING_INPUT: "&amp;SUBSTITUTE(IFERROR(INDEX(nMSG_Text,MATCH("E_MISSING_INPUT",nMSG_Code,0)),""),"[input]",IF(AP34="","an input",AP34)),"")&amp;IF(ISNUMBER(SEARCH("E_INVALID_UNIT",AO34))," | E_INVALID_UNIT: "&amp;SUBSTITUTE(IFERROR(INDEX(nMSG_Text,MATCH("E_INVALID_UNIT",nMSG_Code,0)),""),"[input]",""),"")&amp;IF(ISNUMBER(SEARCH("E_NONPOSITIVE_PARAMETER",AO34))," | E_NONPOSITIVE_PARAMETER: "&amp;SUBSTITUTE(IFERROR(INDEX(nMSG_Text,MATCH("E_NONPOSITIVE_PARAMETER",nMSG_Code,0)),""),"[input]",""),"")&amp;IF(ISNUMBER(SEARCH("E_OUT_OF_RANGE",AO34))," | E_OUT_OF_RANGE: "&amp;SUBSTITUTE(IFERROR(INDEX(nMSG_Text,MATCH("E_OUT_OF_RANGE",nMSG_Code,0)),""),"[input]",""),"")&amp;IF(ISNUMBER(SEARCH("E_APPLICABILITY_UNCONFIRMED",AO34))," | E_APPLICABILITY_UNCONFIRMED: "&amp;SUBSTITUTE(IFERROR(INDEX(nMSG_Text,MATCH("E_APPLICABILITY_UNCONFIRMED",nMSG_Code,0)),""),"[input]",""),"")&amp;IF(ISNUMBER(SEARCH("E_CREATININE_STABILITY_UNCONFIRMED",AO34))," | E_CREATININE_STABILITY_UNCONFIRMED: "&amp;SUBSTITUTE(IFERROR(INDEX(nMSG_Text,MATCH("E_CREATININE_STABILITY_UNCONFIRMED",nMSG_Code,0)),""),"[input]",""),"")&amp;IF(ISNUMBER(SEARCH("E_OVERLAPPING_SEGMENTS",AO34))," | E_OVERLAPPING_SEGMENTS: "&amp;SUBSTITUTE(IFERROR(INDEX(nMSG_Text,MATCH("E_OVERLAPPING_SEGMENTS",nMSG_Code,0)),""),"[input]",""),""),4,9999))</f>
        <v/>
      </c>
      <c r="AA34" s="21" t="str">
        <f t="shared" si="51"/>
        <v/>
      </c>
      <c r="AB34" s="21" t="str">
        <f t="shared" si="52"/>
        <v/>
      </c>
      <c r="AC34" s="21" t="str">
        <f t="shared" si="53"/>
        <v/>
      </c>
      <c r="AD34" s="21" t="str">
        <f t="shared" si="54"/>
        <v/>
      </c>
      <c r="AE34" s="21" t="str">
        <f t="shared" si="55"/>
        <v/>
      </c>
      <c r="AF34" s="21" t="str">
        <f t="shared" si="56"/>
        <v/>
      </c>
      <c r="AG34" s="21" t="str">
        <f t="shared" si="57"/>
        <v/>
      </c>
      <c r="AH34" s="21" t="str">
        <f t="shared" si="58"/>
        <v/>
      </c>
      <c r="AI34" s="22">
        <f t="shared" si="59"/>
        <v>1</v>
      </c>
      <c r="AJ34" s="21" t="str">
        <f t="shared" si="60"/>
        <v/>
      </c>
      <c r="AK34" s="21" t="str">
        <f t="shared" si="61"/>
        <v/>
      </c>
      <c r="AL34" s="22">
        <f t="shared" si="62"/>
        <v>0</v>
      </c>
      <c r="AM34" s="21" t="str">
        <f>IF(AI34=1,"",IF(A34="","; E_MISSING_INPUT","")&amp;IF(N34="","; E_MISSING_INPUT","")&amp;IF(AND(N34&lt;&gt;"",ISNA(MATCH(N34,nLIST_TimeUnit,0))),"; E_INVALID_UNIT","")&amp;IF(O34="","; E_MISSING_INPUT","")&amp;IF(AND(O34&lt;&gt;"",NOT(ISNUMBER(O34))),"; E_MISSING_INPUT","")&amp;IF(AND(ISNUMBER(O34),O34&lt;=0),"; E_NONPOSITIVE_PARAMETER","")&amp;IF(R34="","; E_MISSING_INPUT","")&amp;IF(AND(R34&lt;&gt;"",NOT(ISNUMBER(R34))),"; E_MISSING_INPUT","")&amp;IF(AND(ISNUMBER(R34),OR(R34&lt;=0,R34&gt;=1)),"; E_OUT_OF_RANGE","")&amp;IF(TRIM(H34&amp;"")="","; E_MISSING_INPUT","")&amp;IF(TRIM(I34&amp;"")="","; E_MISSING_INPUT","")&amp;IF(TRIM(J34&amp;"")="","; E_MISSING_INPUT","")&amp;IF(TRIM(L34&amp;"")="","; E_MISSING_INPUT","")&amp;IF(P34="","; E_MISSING_INPUT","")&amp;IF(S34="","; E_MISSING_INPUT","")&amp;IF(AL34=0,"; E_APPLICABILITY_UNCONFIRMED",""))</f>
        <v/>
      </c>
      <c r="AN34" s="21" t="str">
        <f t="shared" si="63"/>
        <v/>
      </c>
      <c r="AO34" s="21" t="str">
        <f t="shared" si="64"/>
        <v/>
      </c>
      <c r="AP34" s="21" t="str">
        <f t="shared" si="65"/>
        <v/>
      </c>
      <c r="AQ34" s="22">
        <f t="shared" si="66"/>
        <v>0</v>
      </c>
    </row>
    <row r="35" spans="1:43" x14ac:dyDescent="0.2">
      <c r="A35" s="10"/>
      <c r="B35" s="10"/>
      <c r="C35" s="12"/>
      <c r="D35" s="10"/>
      <c r="E35" s="10"/>
      <c r="F35" s="17"/>
      <c r="G35" s="17"/>
      <c r="H35" s="10"/>
      <c r="I35" s="10"/>
      <c r="J35" s="10"/>
      <c r="K35" s="17"/>
      <c r="L35" s="10"/>
      <c r="M35" s="17"/>
      <c r="N35" s="17"/>
      <c r="O35" s="17"/>
      <c r="P35" s="17"/>
      <c r="Q35" s="10"/>
      <c r="R35" s="17"/>
      <c r="S35" s="17"/>
      <c r="T35" s="10"/>
      <c r="U35" s="21" t="str">
        <f t="shared" si="46"/>
        <v/>
      </c>
      <c r="V35" s="21" t="str">
        <f t="shared" si="47"/>
        <v/>
      </c>
      <c r="W35" s="21" t="str">
        <f t="shared" si="48"/>
        <v/>
      </c>
      <c r="X35" s="21" t="str">
        <f t="shared" si="49"/>
        <v/>
      </c>
      <c r="Y35" s="21" t="str">
        <f t="shared" si="50"/>
        <v/>
      </c>
      <c r="Z35" s="21" t="str">
        <f>IF(AI35=1,"",MID(IF(ISNUMBER(SEARCH("E_INVALID_DATE",AO35))," | E_INVALID_DATE: "&amp;SUBSTITUTE(IFERROR(INDEX(nMSG_Text,MATCH("E_INVALID_DATE",nMSG_Code,0)),""),"[input]",""),"")&amp;IF(ISNUMBER(SEARCH("E_REVERSED_BOUNDS",AO35))," | E_REVERSED_BOUNDS: "&amp;SUBSTITUTE(IFERROR(INDEX(nMSG_Text,MATCH("E_REVERSED_BOUNDS",nMSG_Code,0)),""),"[input]",""),"")&amp;IF(ISNUMBER(SEARCH("E_DUPLICATE_ID",AO35))," | E_DUPLICATE_ID: "&amp;SUBSTITUTE(IFERROR(INDEX(nMSG_Text,MATCH("E_DUPLICATE_ID",nMSG_Code,0)),""),"[input]",""),"")&amp;IF(ISNUMBER(SEARCH("E_MISSING_LINK",AO35))," | E_MISSING_LINK: "&amp;SUBSTITUTE(IFERROR(INDEX(nMSG_Text,MATCH("E_MISSING_LINK",nMSG_Code,0)),""),"[input]",""),"")&amp;IF(ISNUMBER(SEARCH("E_MISSING_INPUT",AO35))," | E_MISSING_INPUT: "&amp;SUBSTITUTE(IFERROR(INDEX(nMSG_Text,MATCH("E_MISSING_INPUT",nMSG_Code,0)),""),"[input]",IF(AP35="","an input",AP35)),"")&amp;IF(ISNUMBER(SEARCH("E_INVALID_UNIT",AO35))," | E_INVALID_UNIT: "&amp;SUBSTITUTE(IFERROR(INDEX(nMSG_Text,MATCH("E_INVALID_UNIT",nMSG_Code,0)),""),"[input]",""),"")&amp;IF(ISNUMBER(SEARCH("E_NONPOSITIVE_PARAMETER",AO35))," | E_NONPOSITIVE_PARAMETER: "&amp;SUBSTITUTE(IFERROR(INDEX(nMSG_Text,MATCH("E_NONPOSITIVE_PARAMETER",nMSG_Code,0)),""),"[input]",""),"")&amp;IF(ISNUMBER(SEARCH("E_OUT_OF_RANGE",AO35))," | E_OUT_OF_RANGE: "&amp;SUBSTITUTE(IFERROR(INDEX(nMSG_Text,MATCH("E_OUT_OF_RANGE",nMSG_Code,0)),""),"[input]",""),"")&amp;IF(ISNUMBER(SEARCH("E_APPLICABILITY_UNCONFIRMED",AO35))," | E_APPLICABILITY_UNCONFIRMED: "&amp;SUBSTITUTE(IFERROR(INDEX(nMSG_Text,MATCH("E_APPLICABILITY_UNCONFIRMED",nMSG_Code,0)),""),"[input]",""),"")&amp;IF(ISNUMBER(SEARCH("E_CREATININE_STABILITY_UNCONFIRMED",AO35))," | E_CREATININE_STABILITY_UNCONFIRMED: "&amp;SUBSTITUTE(IFERROR(INDEX(nMSG_Text,MATCH("E_CREATININE_STABILITY_UNCONFIRMED",nMSG_Code,0)),""),"[input]",""),"")&amp;IF(ISNUMBER(SEARCH("E_OVERLAPPING_SEGMENTS",AO35))," | E_OVERLAPPING_SEGMENTS: "&amp;SUBSTITUTE(IFERROR(INDEX(nMSG_Text,MATCH("E_OVERLAPPING_SEGMENTS",nMSG_Code,0)),""),"[input]",""),""),4,9999))</f>
        <v/>
      </c>
      <c r="AA35" s="21" t="str">
        <f t="shared" si="51"/>
        <v/>
      </c>
      <c r="AB35" s="21" t="str">
        <f t="shared" si="52"/>
        <v/>
      </c>
      <c r="AC35" s="21" t="str">
        <f t="shared" si="53"/>
        <v/>
      </c>
      <c r="AD35" s="21" t="str">
        <f t="shared" si="54"/>
        <v/>
      </c>
      <c r="AE35" s="21" t="str">
        <f t="shared" si="55"/>
        <v/>
      </c>
      <c r="AF35" s="21" t="str">
        <f t="shared" si="56"/>
        <v/>
      </c>
      <c r="AG35" s="21" t="str">
        <f t="shared" si="57"/>
        <v/>
      </c>
      <c r="AH35" s="21" t="str">
        <f t="shared" si="58"/>
        <v/>
      </c>
      <c r="AI35" s="22">
        <f t="shared" si="59"/>
        <v>1</v>
      </c>
      <c r="AJ35" s="21" t="str">
        <f t="shared" si="60"/>
        <v/>
      </c>
      <c r="AK35" s="21" t="str">
        <f t="shared" si="61"/>
        <v/>
      </c>
      <c r="AL35" s="22">
        <f t="shared" si="62"/>
        <v>0</v>
      </c>
      <c r="AM35" s="21" t="str">
        <f>IF(AI35=1,"",IF(A35="","; E_MISSING_INPUT","")&amp;IF(N35="","; E_MISSING_INPUT","")&amp;IF(AND(N35&lt;&gt;"",ISNA(MATCH(N35,nLIST_TimeUnit,0))),"; E_INVALID_UNIT","")&amp;IF(O35="","; E_MISSING_INPUT","")&amp;IF(AND(O35&lt;&gt;"",NOT(ISNUMBER(O35))),"; E_MISSING_INPUT","")&amp;IF(AND(ISNUMBER(O35),O35&lt;=0),"; E_NONPOSITIVE_PARAMETER","")&amp;IF(R35="","; E_MISSING_INPUT","")&amp;IF(AND(R35&lt;&gt;"",NOT(ISNUMBER(R35))),"; E_MISSING_INPUT","")&amp;IF(AND(ISNUMBER(R35),OR(R35&lt;=0,R35&gt;=1)),"; E_OUT_OF_RANGE","")&amp;IF(TRIM(H35&amp;"")="","; E_MISSING_INPUT","")&amp;IF(TRIM(I35&amp;"")="","; E_MISSING_INPUT","")&amp;IF(TRIM(J35&amp;"")="","; E_MISSING_INPUT","")&amp;IF(TRIM(L35&amp;"")="","; E_MISSING_INPUT","")&amp;IF(P35="","; E_MISSING_INPUT","")&amp;IF(S35="","; E_MISSING_INPUT","")&amp;IF(AL35=0,"; E_APPLICABILITY_UNCONFIRMED",""))</f>
        <v/>
      </c>
      <c r="AN35" s="21" t="str">
        <f t="shared" si="63"/>
        <v/>
      </c>
      <c r="AO35" s="21" t="str">
        <f t="shared" si="64"/>
        <v/>
      </c>
      <c r="AP35" s="21" t="str">
        <f t="shared" si="65"/>
        <v/>
      </c>
      <c r="AQ35" s="22">
        <f t="shared" si="66"/>
        <v>0</v>
      </c>
    </row>
    <row r="36" spans="1:43" x14ac:dyDescent="0.2">
      <c r="A36" s="10"/>
      <c r="B36" s="10"/>
      <c r="C36" s="12"/>
      <c r="D36" s="10"/>
      <c r="E36" s="10"/>
      <c r="F36" s="17"/>
      <c r="G36" s="17"/>
      <c r="H36" s="10"/>
      <c r="I36" s="10"/>
      <c r="J36" s="10"/>
      <c r="K36" s="17"/>
      <c r="L36" s="10"/>
      <c r="M36" s="17"/>
      <c r="N36" s="17"/>
      <c r="O36" s="17"/>
      <c r="P36" s="17"/>
      <c r="Q36" s="10"/>
      <c r="R36" s="17"/>
      <c r="S36" s="17"/>
      <c r="T36" s="10"/>
      <c r="U36" s="21" t="str">
        <f t="shared" si="46"/>
        <v/>
      </c>
      <c r="V36" s="21" t="str">
        <f t="shared" si="47"/>
        <v/>
      </c>
      <c r="W36" s="21" t="str">
        <f t="shared" si="48"/>
        <v/>
      </c>
      <c r="X36" s="21" t="str">
        <f t="shared" si="49"/>
        <v/>
      </c>
      <c r="Y36" s="21" t="str">
        <f t="shared" si="50"/>
        <v/>
      </c>
      <c r="Z36" s="21" t="str">
        <f>IF(AI36=1,"",MID(IF(ISNUMBER(SEARCH("E_INVALID_DATE",AO36))," | E_INVALID_DATE: "&amp;SUBSTITUTE(IFERROR(INDEX(nMSG_Text,MATCH("E_INVALID_DATE",nMSG_Code,0)),""),"[input]",""),"")&amp;IF(ISNUMBER(SEARCH("E_REVERSED_BOUNDS",AO36))," | E_REVERSED_BOUNDS: "&amp;SUBSTITUTE(IFERROR(INDEX(nMSG_Text,MATCH("E_REVERSED_BOUNDS",nMSG_Code,0)),""),"[input]",""),"")&amp;IF(ISNUMBER(SEARCH("E_DUPLICATE_ID",AO36))," | E_DUPLICATE_ID: "&amp;SUBSTITUTE(IFERROR(INDEX(nMSG_Text,MATCH("E_DUPLICATE_ID",nMSG_Code,0)),""),"[input]",""),"")&amp;IF(ISNUMBER(SEARCH("E_MISSING_LINK",AO36))," | E_MISSING_LINK: "&amp;SUBSTITUTE(IFERROR(INDEX(nMSG_Text,MATCH("E_MISSING_LINK",nMSG_Code,0)),""),"[input]",""),"")&amp;IF(ISNUMBER(SEARCH("E_MISSING_INPUT",AO36))," | E_MISSING_INPUT: "&amp;SUBSTITUTE(IFERROR(INDEX(nMSG_Text,MATCH("E_MISSING_INPUT",nMSG_Code,0)),""),"[input]",IF(AP36="","an input",AP36)),"")&amp;IF(ISNUMBER(SEARCH("E_INVALID_UNIT",AO36))," | E_INVALID_UNIT: "&amp;SUBSTITUTE(IFERROR(INDEX(nMSG_Text,MATCH("E_INVALID_UNIT",nMSG_Code,0)),""),"[input]",""),"")&amp;IF(ISNUMBER(SEARCH("E_NONPOSITIVE_PARAMETER",AO36))," | E_NONPOSITIVE_PARAMETER: "&amp;SUBSTITUTE(IFERROR(INDEX(nMSG_Text,MATCH("E_NONPOSITIVE_PARAMETER",nMSG_Code,0)),""),"[input]",""),"")&amp;IF(ISNUMBER(SEARCH("E_OUT_OF_RANGE",AO36))," | E_OUT_OF_RANGE: "&amp;SUBSTITUTE(IFERROR(INDEX(nMSG_Text,MATCH("E_OUT_OF_RANGE",nMSG_Code,0)),""),"[input]",""),"")&amp;IF(ISNUMBER(SEARCH("E_APPLICABILITY_UNCONFIRMED",AO36))," | E_APPLICABILITY_UNCONFIRMED: "&amp;SUBSTITUTE(IFERROR(INDEX(nMSG_Text,MATCH("E_APPLICABILITY_UNCONFIRMED",nMSG_Code,0)),""),"[input]",""),"")&amp;IF(ISNUMBER(SEARCH("E_CREATININE_STABILITY_UNCONFIRMED",AO36))," | E_CREATININE_STABILITY_UNCONFIRMED: "&amp;SUBSTITUTE(IFERROR(INDEX(nMSG_Text,MATCH("E_CREATININE_STABILITY_UNCONFIRMED",nMSG_Code,0)),""),"[input]",""),"")&amp;IF(ISNUMBER(SEARCH("E_OVERLAPPING_SEGMENTS",AO36))," | E_OVERLAPPING_SEGMENTS: "&amp;SUBSTITUTE(IFERROR(INDEX(nMSG_Text,MATCH("E_OVERLAPPING_SEGMENTS",nMSG_Code,0)),""),"[input]",""),""),4,9999))</f>
        <v/>
      </c>
      <c r="AA36" s="21" t="str">
        <f t="shared" si="51"/>
        <v/>
      </c>
      <c r="AB36" s="21" t="str">
        <f t="shared" si="52"/>
        <v/>
      </c>
      <c r="AC36" s="21" t="str">
        <f t="shared" si="53"/>
        <v/>
      </c>
      <c r="AD36" s="21" t="str">
        <f t="shared" si="54"/>
        <v/>
      </c>
      <c r="AE36" s="21" t="str">
        <f t="shared" si="55"/>
        <v/>
      </c>
      <c r="AF36" s="21" t="str">
        <f t="shared" si="56"/>
        <v/>
      </c>
      <c r="AG36" s="21" t="str">
        <f t="shared" si="57"/>
        <v/>
      </c>
      <c r="AH36" s="21" t="str">
        <f t="shared" si="58"/>
        <v/>
      </c>
      <c r="AI36" s="22">
        <f t="shared" si="59"/>
        <v>1</v>
      </c>
      <c r="AJ36" s="21" t="str">
        <f t="shared" si="60"/>
        <v/>
      </c>
      <c r="AK36" s="21" t="str">
        <f t="shared" si="61"/>
        <v/>
      </c>
      <c r="AL36" s="22">
        <f t="shared" si="62"/>
        <v>0</v>
      </c>
      <c r="AM36" s="21" t="str">
        <f>IF(AI36=1,"",IF(A36="","; E_MISSING_INPUT","")&amp;IF(N36="","; E_MISSING_INPUT","")&amp;IF(AND(N36&lt;&gt;"",ISNA(MATCH(N36,nLIST_TimeUnit,0))),"; E_INVALID_UNIT","")&amp;IF(O36="","; E_MISSING_INPUT","")&amp;IF(AND(O36&lt;&gt;"",NOT(ISNUMBER(O36))),"; E_MISSING_INPUT","")&amp;IF(AND(ISNUMBER(O36),O36&lt;=0),"; E_NONPOSITIVE_PARAMETER","")&amp;IF(R36="","; E_MISSING_INPUT","")&amp;IF(AND(R36&lt;&gt;"",NOT(ISNUMBER(R36))),"; E_MISSING_INPUT","")&amp;IF(AND(ISNUMBER(R36),OR(R36&lt;=0,R36&gt;=1)),"; E_OUT_OF_RANGE","")&amp;IF(TRIM(H36&amp;"")="","; E_MISSING_INPUT","")&amp;IF(TRIM(I36&amp;"")="","; E_MISSING_INPUT","")&amp;IF(TRIM(J36&amp;"")="","; E_MISSING_INPUT","")&amp;IF(TRIM(L36&amp;"")="","; E_MISSING_INPUT","")&amp;IF(P36="","; E_MISSING_INPUT","")&amp;IF(S36="","; E_MISSING_INPUT","")&amp;IF(AL36=0,"; E_APPLICABILITY_UNCONFIRMED",""))</f>
        <v/>
      </c>
      <c r="AN36" s="21" t="str">
        <f t="shared" si="63"/>
        <v/>
      </c>
      <c r="AO36" s="21" t="str">
        <f t="shared" si="64"/>
        <v/>
      </c>
      <c r="AP36" s="21" t="str">
        <f t="shared" si="65"/>
        <v/>
      </c>
      <c r="AQ36" s="22">
        <f t="shared" si="66"/>
        <v>0</v>
      </c>
    </row>
    <row r="37" spans="1:43" x14ac:dyDescent="0.2">
      <c r="A37" s="10"/>
      <c r="B37" s="10"/>
      <c r="C37" s="12"/>
      <c r="D37" s="10"/>
      <c r="E37" s="10"/>
      <c r="F37" s="17"/>
      <c r="G37" s="17"/>
      <c r="H37" s="10"/>
      <c r="I37" s="10"/>
      <c r="J37" s="10"/>
      <c r="K37" s="17"/>
      <c r="L37" s="10"/>
      <c r="M37" s="17"/>
      <c r="N37" s="17"/>
      <c r="O37" s="17"/>
      <c r="P37" s="17"/>
      <c r="Q37" s="10"/>
      <c r="R37" s="17"/>
      <c r="S37" s="17"/>
      <c r="T37" s="10"/>
      <c r="U37" s="21" t="str">
        <f t="shared" si="46"/>
        <v/>
      </c>
      <c r="V37" s="21" t="str">
        <f t="shared" si="47"/>
        <v/>
      </c>
      <c r="W37" s="21" t="str">
        <f t="shared" si="48"/>
        <v/>
      </c>
      <c r="X37" s="21" t="str">
        <f t="shared" si="49"/>
        <v/>
      </c>
      <c r="Y37" s="21" t="str">
        <f t="shared" si="50"/>
        <v/>
      </c>
      <c r="Z37" s="21" t="str">
        <f>IF(AI37=1,"",MID(IF(ISNUMBER(SEARCH("E_INVALID_DATE",AO37))," | E_INVALID_DATE: "&amp;SUBSTITUTE(IFERROR(INDEX(nMSG_Text,MATCH("E_INVALID_DATE",nMSG_Code,0)),""),"[input]",""),"")&amp;IF(ISNUMBER(SEARCH("E_REVERSED_BOUNDS",AO37))," | E_REVERSED_BOUNDS: "&amp;SUBSTITUTE(IFERROR(INDEX(nMSG_Text,MATCH("E_REVERSED_BOUNDS",nMSG_Code,0)),""),"[input]",""),"")&amp;IF(ISNUMBER(SEARCH("E_DUPLICATE_ID",AO37))," | E_DUPLICATE_ID: "&amp;SUBSTITUTE(IFERROR(INDEX(nMSG_Text,MATCH("E_DUPLICATE_ID",nMSG_Code,0)),""),"[input]",""),"")&amp;IF(ISNUMBER(SEARCH("E_MISSING_LINK",AO37))," | E_MISSING_LINK: "&amp;SUBSTITUTE(IFERROR(INDEX(nMSG_Text,MATCH("E_MISSING_LINK",nMSG_Code,0)),""),"[input]",""),"")&amp;IF(ISNUMBER(SEARCH("E_MISSING_INPUT",AO37))," | E_MISSING_INPUT: "&amp;SUBSTITUTE(IFERROR(INDEX(nMSG_Text,MATCH("E_MISSING_INPUT",nMSG_Code,0)),""),"[input]",IF(AP37="","an input",AP37)),"")&amp;IF(ISNUMBER(SEARCH("E_INVALID_UNIT",AO37))," | E_INVALID_UNIT: "&amp;SUBSTITUTE(IFERROR(INDEX(nMSG_Text,MATCH("E_INVALID_UNIT",nMSG_Code,0)),""),"[input]",""),"")&amp;IF(ISNUMBER(SEARCH("E_NONPOSITIVE_PARAMETER",AO37))," | E_NONPOSITIVE_PARAMETER: "&amp;SUBSTITUTE(IFERROR(INDEX(nMSG_Text,MATCH("E_NONPOSITIVE_PARAMETER",nMSG_Code,0)),""),"[input]",""),"")&amp;IF(ISNUMBER(SEARCH("E_OUT_OF_RANGE",AO37))," | E_OUT_OF_RANGE: "&amp;SUBSTITUTE(IFERROR(INDEX(nMSG_Text,MATCH("E_OUT_OF_RANGE",nMSG_Code,0)),""),"[input]",""),"")&amp;IF(ISNUMBER(SEARCH("E_APPLICABILITY_UNCONFIRMED",AO37))," | E_APPLICABILITY_UNCONFIRMED: "&amp;SUBSTITUTE(IFERROR(INDEX(nMSG_Text,MATCH("E_APPLICABILITY_UNCONFIRMED",nMSG_Code,0)),""),"[input]",""),"")&amp;IF(ISNUMBER(SEARCH("E_CREATININE_STABILITY_UNCONFIRMED",AO37))," | E_CREATININE_STABILITY_UNCONFIRMED: "&amp;SUBSTITUTE(IFERROR(INDEX(nMSG_Text,MATCH("E_CREATININE_STABILITY_UNCONFIRMED",nMSG_Code,0)),""),"[input]",""),"")&amp;IF(ISNUMBER(SEARCH("E_OVERLAPPING_SEGMENTS",AO37))," | E_OVERLAPPING_SEGMENTS: "&amp;SUBSTITUTE(IFERROR(INDEX(nMSG_Text,MATCH("E_OVERLAPPING_SEGMENTS",nMSG_Code,0)),""),"[input]",""),""),4,9999))</f>
        <v/>
      </c>
      <c r="AA37" s="21" t="str">
        <f t="shared" si="51"/>
        <v/>
      </c>
      <c r="AB37" s="21" t="str">
        <f t="shared" si="52"/>
        <v/>
      </c>
      <c r="AC37" s="21" t="str">
        <f t="shared" si="53"/>
        <v/>
      </c>
      <c r="AD37" s="21" t="str">
        <f t="shared" si="54"/>
        <v/>
      </c>
      <c r="AE37" s="21" t="str">
        <f t="shared" si="55"/>
        <v/>
      </c>
      <c r="AF37" s="21" t="str">
        <f t="shared" si="56"/>
        <v/>
      </c>
      <c r="AG37" s="21" t="str">
        <f t="shared" si="57"/>
        <v/>
      </c>
      <c r="AH37" s="21" t="str">
        <f t="shared" si="58"/>
        <v/>
      </c>
      <c r="AI37" s="22">
        <f t="shared" si="59"/>
        <v>1</v>
      </c>
      <c r="AJ37" s="21" t="str">
        <f t="shared" si="60"/>
        <v/>
      </c>
      <c r="AK37" s="21" t="str">
        <f t="shared" si="61"/>
        <v/>
      </c>
      <c r="AL37" s="22">
        <f t="shared" si="62"/>
        <v>0</v>
      </c>
      <c r="AM37" s="21" t="str">
        <f>IF(AI37=1,"",IF(A37="","; E_MISSING_INPUT","")&amp;IF(N37="","; E_MISSING_INPUT","")&amp;IF(AND(N37&lt;&gt;"",ISNA(MATCH(N37,nLIST_TimeUnit,0))),"; E_INVALID_UNIT","")&amp;IF(O37="","; E_MISSING_INPUT","")&amp;IF(AND(O37&lt;&gt;"",NOT(ISNUMBER(O37))),"; E_MISSING_INPUT","")&amp;IF(AND(ISNUMBER(O37),O37&lt;=0),"; E_NONPOSITIVE_PARAMETER","")&amp;IF(R37="","; E_MISSING_INPUT","")&amp;IF(AND(R37&lt;&gt;"",NOT(ISNUMBER(R37))),"; E_MISSING_INPUT","")&amp;IF(AND(ISNUMBER(R37),OR(R37&lt;=0,R37&gt;=1)),"; E_OUT_OF_RANGE","")&amp;IF(TRIM(H37&amp;"")="","; E_MISSING_INPUT","")&amp;IF(TRIM(I37&amp;"")="","; E_MISSING_INPUT","")&amp;IF(TRIM(J37&amp;"")="","; E_MISSING_INPUT","")&amp;IF(TRIM(L37&amp;"")="","; E_MISSING_INPUT","")&amp;IF(P37="","; E_MISSING_INPUT","")&amp;IF(S37="","; E_MISSING_INPUT","")&amp;IF(AL37=0,"; E_APPLICABILITY_UNCONFIRMED",""))</f>
        <v/>
      </c>
      <c r="AN37" s="21" t="str">
        <f t="shared" si="63"/>
        <v/>
      </c>
      <c r="AO37" s="21" t="str">
        <f t="shared" si="64"/>
        <v/>
      </c>
      <c r="AP37" s="21" t="str">
        <f t="shared" si="65"/>
        <v/>
      </c>
      <c r="AQ37" s="22">
        <f t="shared" si="66"/>
        <v>0</v>
      </c>
    </row>
    <row r="38" spans="1:43" x14ac:dyDescent="0.2">
      <c r="A38" s="10"/>
      <c r="B38" s="10"/>
      <c r="C38" s="12"/>
      <c r="D38" s="10"/>
      <c r="E38" s="10"/>
      <c r="F38" s="17"/>
      <c r="G38" s="17"/>
      <c r="H38" s="10"/>
      <c r="I38" s="10"/>
      <c r="J38" s="10"/>
      <c r="K38" s="17"/>
      <c r="L38" s="10"/>
      <c r="M38" s="17"/>
      <c r="N38" s="17"/>
      <c r="O38" s="17"/>
      <c r="P38" s="17"/>
      <c r="Q38" s="10"/>
      <c r="R38" s="17"/>
      <c r="S38" s="17"/>
      <c r="T38" s="10"/>
      <c r="U38" s="21" t="str">
        <f t="shared" si="46"/>
        <v/>
      </c>
      <c r="V38" s="21" t="str">
        <f t="shared" si="47"/>
        <v/>
      </c>
      <c r="W38" s="21" t="str">
        <f t="shared" si="48"/>
        <v/>
      </c>
      <c r="X38" s="21" t="str">
        <f t="shared" si="49"/>
        <v/>
      </c>
      <c r="Y38" s="21" t="str">
        <f t="shared" si="50"/>
        <v/>
      </c>
      <c r="Z38" s="21" t="str">
        <f>IF(AI38=1,"",MID(IF(ISNUMBER(SEARCH("E_INVALID_DATE",AO38))," | E_INVALID_DATE: "&amp;SUBSTITUTE(IFERROR(INDEX(nMSG_Text,MATCH("E_INVALID_DATE",nMSG_Code,0)),""),"[input]",""),"")&amp;IF(ISNUMBER(SEARCH("E_REVERSED_BOUNDS",AO38))," | E_REVERSED_BOUNDS: "&amp;SUBSTITUTE(IFERROR(INDEX(nMSG_Text,MATCH("E_REVERSED_BOUNDS",nMSG_Code,0)),""),"[input]",""),"")&amp;IF(ISNUMBER(SEARCH("E_DUPLICATE_ID",AO38))," | E_DUPLICATE_ID: "&amp;SUBSTITUTE(IFERROR(INDEX(nMSG_Text,MATCH("E_DUPLICATE_ID",nMSG_Code,0)),""),"[input]",""),"")&amp;IF(ISNUMBER(SEARCH("E_MISSING_LINK",AO38))," | E_MISSING_LINK: "&amp;SUBSTITUTE(IFERROR(INDEX(nMSG_Text,MATCH("E_MISSING_LINK",nMSG_Code,0)),""),"[input]",""),"")&amp;IF(ISNUMBER(SEARCH("E_MISSING_INPUT",AO38))," | E_MISSING_INPUT: "&amp;SUBSTITUTE(IFERROR(INDEX(nMSG_Text,MATCH("E_MISSING_INPUT",nMSG_Code,0)),""),"[input]",IF(AP38="","an input",AP38)),"")&amp;IF(ISNUMBER(SEARCH("E_INVALID_UNIT",AO38))," | E_INVALID_UNIT: "&amp;SUBSTITUTE(IFERROR(INDEX(nMSG_Text,MATCH("E_INVALID_UNIT",nMSG_Code,0)),""),"[input]",""),"")&amp;IF(ISNUMBER(SEARCH("E_NONPOSITIVE_PARAMETER",AO38))," | E_NONPOSITIVE_PARAMETER: "&amp;SUBSTITUTE(IFERROR(INDEX(nMSG_Text,MATCH("E_NONPOSITIVE_PARAMETER",nMSG_Code,0)),""),"[input]",""),"")&amp;IF(ISNUMBER(SEARCH("E_OUT_OF_RANGE",AO38))," | E_OUT_OF_RANGE: "&amp;SUBSTITUTE(IFERROR(INDEX(nMSG_Text,MATCH("E_OUT_OF_RANGE",nMSG_Code,0)),""),"[input]",""),"")&amp;IF(ISNUMBER(SEARCH("E_APPLICABILITY_UNCONFIRMED",AO38))," | E_APPLICABILITY_UNCONFIRMED: "&amp;SUBSTITUTE(IFERROR(INDEX(nMSG_Text,MATCH("E_APPLICABILITY_UNCONFIRMED",nMSG_Code,0)),""),"[input]",""),"")&amp;IF(ISNUMBER(SEARCH("E_CREATININE_STABILITY_UNCONFIRMED",AO38))," | E_CREATININE_STABILITY_UNCONFIRMED: "&amp;SUBSTITUTE(IFERROR(INDEX(nMSG_Text,MATCH("E_CREATININE_STABILITY_UNCONFIRMED",nMSG_Code,0)),""),"[input]",""),"")&amp;IF(ISNUMBER(SEARCH("E_OVERLAPPING_SEGMENTS",AO38))," | E_OVERLAPPING_SEGMENTS: "&amp;SUBSTITUTE(IFERROR(INDEX(nMSG_Text,MATCH("E_OVERLAPPING_SEGMENTS",nMSG_Code,0)),""),"[input]",""),""),4,9999))</f>
        <v/>
      </c>
      <c r="AA38" s="21" t="str">
        <f t="shared" si="51"/>
        <v/>
      </c>
      <c r="AB38" s="21" t="str">
        <f t="shared" si="52"/>
        <v/>
      </c>
      <c r="AC38" s="21" t="str">
        <f t="shared" si="53"/>
        <v/>
      </c>
      <c r="AD38" s="21" t="str">
        <f t="shared" si="54"/>
        <v/>
      </c>
      <c r="AE38" s="21" t="str">
        <f t="shared" si="55"/>
        <v/>
      </c>
      <c r="AF38" s="21" t="str">
        <f t="shared" si="56"/>
        <v/>
      </c>
      <c r="AG38" s="21" t="str">
        <f t="shared" si="57"/>
        <v/>
      </c>
      <c r="AH38" s="21" t="str">
        <f t="shared" si="58"/>
        <v/>
      </c>
      <c r="AI38" s="22">
        <f t="shared" si="59"/>
        <v>1</v>
      </c>
      <c r="AJ38" s="21" t="str">
        <f t="shared" si="60"/>
        <v/>
      </c>
      <c r="AK38" s="21" t="str">
        <f t="shared" si="61"/>
        <v/>
      </c>
      <c r="AL38" s="22">
        <f t="shared" si="62"/>
        <v>0</v>
      </c>
      <c r="AM38" s="21" t="str">
        <f>IF(AI38=1,"",IF(A38="","; E_MISSING_INPUT","")&amp;IF(N38="","; E_MISSING_INPUT","")&amp;IF(AND(N38&lt;&gt;"",ISNA(MATCH(N38,nLIST_TimeUnit,0))),"; E_INVALID_UNIT","")&amp;IF(O38="","; E_MISSING_INPUT","")&amp;IF(AND(O38&lt;&gt;"",NOT(ISNUMBER(O38))),"; E_MISSING_INPUT","")&amp;IF(AND(ISNUMBER(O38),O38&lt;=0),"; E_NONPOSITIVE_PARAMETER","")&amp;IF(R38="","; E_MISSING_INPUT","")&amp;IF(AND(R38&lt;&gt;"",NOT(ISNUMBER(R38))),"; E_MISSING_INPUT","")&amp;IF(AND(ISNUMBER(R38),OR(R38&lt;=0,R38&gt;=1)),"; E_OUT_OF_RANGE","")&amp;IF(TRIM(H38&amp;"")="","; E_MISSING_INPUT","")&amp;IF(TRIM(I38&amp;"")="","; E_MISSING_INPUT","")&amp;IF(TRIM(J38&amp;"")="","; E_MISSING_INPUT","")&amp;IF(TRIM(L38&amp;"")="","; E_MISSING_INPUT","")&amp;IF(P38="","; E_MISSING_INPUT","")&amp;IF(S38="","; E_MISSING_INPUT","")&amp;IF(AL38=0,"; E_APPLICABILITY_UNCONFIRMED",""))</f>
        <v/>
      </c>
      <c r="AN38" s="21" t="str">
        <f t="shared" si="63"/>
        <v/>
      </c>
      <c r="AO38" s="21" t="str">
        <f t="shared" si="64"/>
        <v/>
      </c>
      <c r="AP38" s="21" t="str">
        <f t="shared" si="65"/>
        <v/>
      </c>
      <c r="AQ38" s="22">
        <f t="shared" si="66"/>
        <v>0</v>
      </c>
    </row>
    <row r="39" spans="1:43" x14ac:dyDescent="0.2">
      <c r="A39" s="24" t="s">
        <v>295</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row>
    <row r="40" spans="1:43" x14ac:dyDescent="0.2">
      <c r="A40" s="9" t="s">
        <v>1277</v>
      </c>
      <c r="B40" s="9" t="s">
        <v>341</v>
      </c>
      <c r="C40" s="11">
        <v>1</v>
      </c>
      <c r="D40" s="9" t="s">
        <v>1278</v>
      </c>
      <c r="E40" s="9"/>
      <c r="F40" s="16" t="s">
        <v>85</v>
      </c>
      <c r="G40" s="16" t="s">
        <v>85</v>
      </c>
      <c r="H40" s="9" t="s">
        <v>1247</v>
      </c>
      <c r="I40" s="9" t="s">
        <v>1244</v>
      </c>
      <c r="J40" s="9" t="s">
        <v>1246</v>
      </c>
      <c r="K40" s="16" t="s">
        <v>85</v>
      </c>
      <c r="L40" s="9" t="s">
        <v>1245</v>
      </c>
      <c r="M40" s="16" t="s">
        <v>85</v>
      </c>
      <c r="N40" s="16" t="s">
        <v>67</v>
      </c>
      <c r="O40" s="16">
        <v>24</v>
      </c>
      <c r="P40" s="16" t="s">
        <v>83</v>
      </c>
      <c r="Q40" s="9" t="s">
        <v>1279</v>
      </c>
      <c r="R40" s="16">
        <v>0.9</v>
      </c>
      <c r="S40" s="16" t="s">
        <v>83</v>
      </c>
      <c r="T40" s="9" t="s">
        <v>1279</v>
      </c>
      <c r="U40" s="21" t="str">
        <f>IF(AI40=1,"",IF(AO40&lt;&gt;"",AO40&amp;": no result is shown",IF(N40="minutes",SUBSTITUTE(FIXED(X40,0,FALSE),"-","−"),FIXED(X40,1,FALSE))&amp;" "&amp;N40&amp;" to reach "&amp;IF(100*R40=0,"0",IF(ABS(100*R40)&lt;0.0001,FIXED(IF(ABS(ROUND(100*R40/10^INT(LOG10(ABS(100*R40))),2))&gt;=10,ROUND(100*R40/10^INT(LOG10(ABS(100*R40))),2)/10,ROUND(100*R40/10^INT(LOG10(ABS(100*R40))),2)),2,TRUE)&amp;" × 10"&amp;SUBSTITUTE(SUBSTITUTE(SUBSTITUTE(SUBSTITUTE(SUBSTITUTE(SUBSTITUTE(SUBSTITUTE(SUBSTITUTE(SUBSTITUTE(SUBSTITUTE(SUBSTITUTE(TEXT((INT(LOG10(ABS(100*R40)))+IF(ABS(ROUND(100*R40/10^INT(LOG10(ABS(100*R40))),2))&gt;=10,1,0)),"0"),"-","⁻"),"0","⁰"),"1","¹"),"2","²"),"3","³"),"4","⁴"),"5","⁵"),"6","⁶"),"7","⁷"),"8","⁸"),"9","⁹"),FIXED(ROUND(100*R40,MAX(0,2-INT(LOG10(ABS(100*R40))))),MAX(0,2-INT(LOG10(ABS(ROUND(100*R40,MAX(0,2-INT(LOG10(ABS(100*R40))))))))),FALSE)))&amp;"% of steady state ("&amp;FIXED(W40,2,TRUE)&amp;" half-lives)"))</f>
        <v>79.7 hours to reach 90.0% of steady state (3.32 half-lives)</v>
      </c>
      <c r="V40" s="21" t="str">
        <f>IF(AI40=1,"",IF(AQ40=0,"Not calculable",MID(IF(TRUE,"; "&amp;"Time to reach "&amp;IF(100*R40=0,"0",IF(ABS(100*R40)&lt;0.0001,FIXED(IF(ABS(ROUND(100*R40/10^INT(LOG10(ABS(100*R40))),2))&gt;=10,ROUND(100*R40/10^INT(LOG10(ABS(100*R40))),2)/10,ROUND(100*R40/10^INT(LOG10(ABS(100*R40))),2)),2,TRUE)&amp;" × 10"&amp;SUBSTITUTE(SUBSTITUTE(SUBSTITUTE(SUBSTITUTE(SUBSTITUTE(SUBSTITUTE(SUBSTITUTE(SUBSTITUTE(SUBSTITUTE(SUBSTITUTE(SUBSTITUTE(TEXT((INT(LOG10(ABS(100*R40)))+IF(ABS(ROUND(100*R40/10^INT(LOG10(ABS(100*R40))),2))&gt;=10,1,0)),"0"),"-","⁻"),"0","⁰"),"1","¹"),"2","²"),"3","³"),"4","⁴"),"5","⁵"),"6","⁶"),"7","⁷"),"8","⁸"),"9","⁹"),FIXED(ROUND(100*R40,MAX(0,2-INT(LOG10(ABS(100*R40))))),MAX(0,2-INT(LOG10(ABS(ROUND(100*R40,MAX(0,2-INT(LOG10(ABS(100*R40))))))))),FALSE)))&amp;"%"&amp;": "&amp;IF(N40="minutes",SUBSTITUTE(FIXED(X40,0,FALSE),"-","−"),FIXED(X40,1,FALSE))&amp;" "&amp;N40,"")&amp;IF(TRUE,"; "&amp;"Half-lives needed n"&amp;": "&amp;FIXED(W40,2,TRUE)&amp;" half-lives",""),3,9999)))</f>
        <v>Time to reach 90.0%: 79.7 hours; Half-lives needed n: 3.32 half-lives</v>
      </c>
      <c r="W40" s="21">
        <f>IF(AQ40=1,-LOG(1-R40,2),"")</f>
        <v>3.3219280948873626</v>
      </c>
      <c r="X40" s="21">
        <f>IF(AQ40=1,W40*O40,"")</f>
        <v>79.72627427729671</v>
      </c>
      <c r="Y40" s="21" t="str">
        <f>IF(AI40=1,"",IF(AO40&lt;&gt;"",AO40,""))</f>
        <v/>
      </c>
      <c r="Z40" s="21" t="str">
        <f>IF(AI40=1,"",MID(IF(ISNUMBER(SEARCH("E_INVALID_DATE",AO40))," | E_INVALID_DATE: "&amp;SUBSTITUTE(IFERROR(INDEX(nMSG_Text,MATCH("E_INVALID_DATE",nMSG_Code,0)),""),"[input]",""),"")&amp;IF(ISNUMBER(SEARCH("E_REVERSED_BOUNDS",AO40))," | E_REVERSED_BOUNDS: "&amp;SUBSTITUTE(IFERROR(INDEX(nMSG_Text,MATCH("E_REVERSED_BOUNDS",nMSG_Code,0)),""),"[input]",""),"")&amp;IF(ISNUMBER(SEARCH("E_DUPLICATE_ID",AO40))," | E_DUPLICATE_ID: "&amp;SUBSTITUTE(IFERROR(INDEX(nMSG_Text,MATCH("E_DUPLICATE_ID",nMSG_Code,0)),""),"[input]",""),"")&amp;IF(ISNUMBER(SEARCH("E_MISSING_LINK",AO40))," | E_MISSING_LINK: "&amp;SUBSTITUTE(IFERROR(INDEX(nMSG_Text,MATCH("E_MISSING_LINK",nMSG_Code,0)),""),"[input]",""),"")&amp;IF(ISNUMBER(SEARCH("E_MISSING_INPUT",AO40))," | E_MISSING_INPUT: "&amp;SUBSTITUTE(IFERROR(INDEX(nMSG_Text,MATCH("E_MISSING_INPUT",nMSG_Code,0)),""),"[input]",IF(AP40="","an input",AP40)),"")&amp;IF(ISNUMBER(SEARCH("E_INVALID_UNIT",AO40))," | E_INVALID_UNIT: "&amp;SUBSTITUTE(IFERROR(INDEX(nMSG_Text,MATCH("E_INVALID_UNIT",nMSG_Code,0)),""),"[input]",""),"")&amp;IF(ISNUMBER(SEARCH("E_NONPOSITIVE_PARAMETER",AO40))," | E_NONPOSITIVE_PARAMETER: "&amp;SUBSTITUTE(IFERROR(INDEX(nMSG_Text,MATCH("E_NONPOSITIVE_PARAMETER",nMSG_Code,0)),""),"[input]",""),"")&amp;IF(ISNUMBER(SEARCH("E_OUT_OF_RANGE",AO40))," | E_OUT_OF_RANGE: "&amp;SUBSTITUTE(IFERROR(INDEX(nMSG_Text,MATCH("E_OUT_OF_RANGE",nMSG_Code,0)),""),"[input]",""),"")&amp;IF(ISNUMBER(SEARCH("E_APPLICABILITY_UNCONFIRMED",AO40))," | E_APPLICABILITY_UNCONFIRMED: "&amp;SUBSTITUTE(IFERROR(INDEX(nMSG_Text,MATCH("E_APPLICABILITY_UNCONFIRMED",nMSG_Code,0)),""),"[input]",""),"")&amp;IF(ISNUMBER(SEARCH("E_CREATININE_STABILITY_UNCONFIRMED",AO40))," | E_CREATININE_STABILITY_UNCONFIRMED: "&amp;SUBSTITUTE(IFERROR(INDEX(nMSG_Text,MATCH("E_CREATININE_STABILITY_UNCONFIRMED",nMSG_Code,0)),""),"[input]",""),"")&amp;IF(ISNUMBER(SEARCH("E_OVERLAPPING_SEGMENTS",AO40))," | E_OVERLAPPING_SEGMENTS: "&amp;SUBSTITUTE(IFERROR(INDEX(nMSG_Text,MATCH("E_OVERLAPPING_SEGMENTS",nMSG_Code,0)),""),"[input]",""),""),4,9999))</f>
        <v/>
      </c>
      <c r="AA40" s="21" t="str">
        <f>IF(AI40=1,"","t_half = "&amp;O40&amp;" "&amp;N40&amp;" ["&amp;IF(P40="","status not recorded",P40)&amp;IF(Q40&lt;&gt;"","; "&amp;Q40,"")&amp;"]"&amp;"; "&amp;"f_target = "&amp;R40&amp;" "&amp;"(fraction)"&amp;" ["&amp;IF(S40="","status not recorded",S40)&amp;IF(T40&lt;&gt;"","; "&amp;T40,"")&amp;"]")</f>
        <v>t_half = 24 hours [hypothetical example; V34 V17]; f_target = 0.9 (fraction) [hypothetical example; V34 V17]</v>
      </c>
      <c r="AB40" s="21" t="str">
        <f>IF(AI40=1,"",MID(""&amp;IF(AL40=1," | Gate confirmed: the simple model applies (one compartment, linear first-order elimination, constant parameters over the period). | Gate confirmed: the half-life used – type: "&amp;H40&amp;"; population: "&amp;I40&amp;"; source: "&amp;J40&amp;". | Gate confirmed: reference time – "&amp;L40&amp;". | Gate confirmed: each input’s Parameter_Status is recorded."," | Common gate not confirmed"&amp;IF(AND(F40="Yes",G40="Yes",K40="Yes",M40="Yes"),": a gate detail or a Parameter_Status is blank.",": "&amp;MID(IF(F40&lt;&gt;"Yes",", model","")&amp;IF(G40&lt;&gt;"Yes",", half-life used","")&amp;IF(K40&lt;&gt;"Yes",", reference time","")&amp;IF(M40&lt;&gt;"Yes",", Parameter_Status",""),3,99)&amp;" not confirmed."))&amp;IF(TRIM(E40&amp;"")&lt;&gt;""," | "&amp;E40,""),4,9999))</f>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v>
      </c>
      <c r="AC40" s="21" t="str">
        <f>IF(AQ40=0,"",MID(IF(TRUE,"; "&amp;"Time to reach "&amp;IF(100*R40=0,"0",IF(ABS(100*R40)&lt;0.0001,FIXED(IF(ABS(ROUND(100*R40/10^INT(LOG10(ABS(100*R40))),2))&gt;=10,ROUND(100*R40/10^INT(LOG10(ABS(100*R40))),2)/10,ROUND(100*R40/10^INT(LOG10(ABS(100*R40))),2)),2,TRUE)&amp;" × 10"&amp;SUBSTITUTE(SUBSTITUTE(SUBSTITUTE(SUBSTITUTE(SUBSTITUTE(SUBSTITUTE(SUBSTITUTE(SUBSTITUTE(SUBSTITUTE(SUBSTITUTE(SUBSTITUTE(TEXT((INT(LOG10(ABS(100*R40)))+IF(ABS(ROUND(100*R40/10^INT(LOG10(ABS(100*R40))),2))&gt;=10,1,0)),"0"),"-","⁻"),"0","⁰"),"1","¹"),"2","²"),"3","³"),"4","⁴"),"5","⁵"),"6","⁶"),"7","⁷"),"8","⁸"),"9","⁹"),FIXED(ROUND(100*R40,MAX(0,2-INT(LOG10(ABS(100*R40))))),MAX(0,2-INT(LOG10(ABS(ROUND(100*R40,MAX(0,2-INT(LOG10(ABS(100*R40))))))))),FALSE)))&amp;"%"&amp;" = "&amp;X40&amp;" ("&amp;IF(N40="minutes",SUBSTITUTE(FIXED(X40,0,FALSE),"-","−"),FIXED(X40,1,FALSE))&amp;" "&amp;N40&amp;")","")&amp;IF(TRUE,"; "&amp;"Half-lives needed n"&amp;" = "&amp;W40&amp;" ("&amp;FIXED(W40,2,TRUE)&amp;" half-lives"&amp;")",""),3,9999))</f>
        <v>Time to reach 90.0% = 79.7262742772967 (79.7 hours); Half-lives needed n = 3.32192809488736 (3.32 half-lives)</v>
      </c>
      <c r="AD40" s="21" t="str">
        <f>IF(AQ40=0,"",N40)</f>
        <v>hours</v>
      </c>
      <c r="AE40" s="21" t="str">
        <f>IF(AI40=1,"",IF(TRIM(D40&amp;"")&lt;&gt;"",D40,"Q2 Time to approach steady state"))</f>
        <v>Vector V17</v>
      </c>
      <c r="AF40" s="21" t="str">
        <f>IF(AI40=1,"","Assumes constant input from zero. Intermittent dosing compares corresponding points in the dosing cycle. Toxicity need not wait for steady state.")</f>
        <v>Assumes constant input from zero. Intermittent dosing compares corresponding points in the dosing cycle. Toxicity need not wait for steady state.</v>
      </c>
      <c r="AG40" s="21" t="str">
        <f>IF(AI40=1,"","n = -log2(1 - f); time = n x t_half")</f>
        <v>n = -log2(1 - f); time = n x t_half</v>
      </c>
      <c r="AH40" s="21" t="str">
        <f>IF(AI40=1,"","CALC-SPEC 1.1")</f>
        <v>CALC-SPEC 1.1</v>
      </c>
      <c r="AI40" s="22">
        <f>IF(AND(A40="",O40="",R40=""),1,0)</f>
        <v>0</v>
      </c>
      <c r="AJ40" s="21" t="str">
        <f>IF(AI40=1,"",B40&amp;"|"&amp;C40)</f>
        <v>VEC-V17|1</v>
      </c>
      <c r="AK40" s="21" t="str">
        <f>IF(A40="","",B40&amp;"|"&amp;C40&amp;"|"&amp;A40)</f>
        <v>VEC-V17|1|Q2-V17</v>
      </c>
      <c r="AL40" s="22">
        <f>IF(AND(F40="Yes",G40="Yes",K40="Yes",M40="Yes",TRIM(H40&amp;"")&lt;&gt;"",TRIM(I40&amp;"")&lt;&gt;"",TRIM(J40&amp;"")&lt;&gt;"",TRIM(L40&amp;"")&lt;&gt;"",P40&lt;&gt;"",S40&lt;&gt;""),1,0)</f>
        <v>1</v>
      </c>
      <c r="AM40" s="21" t="str">
        <f>IF(AI40=1,"",IF(A40="","; E_MISSING_INPUT","")&amp;IF(N40="","; E_MISSING_INPUT","")&amp;IF(AND(N40&lt;&gt;"",ISNA(MATCH(N40,nLIST_TimeUnit,0))),"; E_INVALID_UNIT","")&amp;IF(O40="","; E_MISSING_INPUT","")&amp;IF(AND(O40&lt;&gt;"",NOT(ISNUMBER(O40))),"; E_MISSING_INPUT","")&amp;IF(AND(ISNUMBER(O40),O40&lt;=0),"; E_NONPOSITIVE_PARAMETER","")&amp;IF(R40="","; E_MISSING_INPUT","")&amp;IF(AND(R40&lt;&gt;"",NOT(ISNUMBER(R40))),"; E_MISSING_INPUT","")&amp;IF(AND(ISNUMBER(R40),OR(R40&lt;=0,R40&gt;=1)),"; E_OUT_OF_RANGE","")&amp;IF(TRIM(H40&amp;"")="","; E_MISSING_INPUT","")&amp;IF(TRIM(I40&amp;"")="","; E_MISSING_INPUT","")&amp;IF(TRIM(J40&amp;"")="","; E_MISSING_INPUT","")&amp;IF(TRIM(L40&amp;"")="","; E_MISSING_INPUT","")&amp;IF(P40="","; E_MISSING_INPUT","")&amp;IF(S40="","; E_MISSING_INPUT","")&amp;IF(AL40=0,"; E_APPLICABILITY_UNCONFIRMED",""))</f>
        <v/>
      </c>
      <c r="AN40" s="21" t="str">
        <f>IF(AI40=1,"",IF(A40="",", a Calc_ID","")&amp;IF(N40="",", a time unit","")&amp;IF(O40="",", the half-life","")&amp;IF(AND(O40&lt;&gt;"",NOT(ISNUMBER(O40))),", the half-life as a number","")&amp;IF(R40="",", the target fraction","")&amp;IF(AND(R40&lt;&gt;"",NOT(ISNUMBER(R40))),", the target fraction as a number","")&amp;IF(TRIM(H40&amp;"")="",", the type of the half-life used","")&amp;IF(TRIM(I40&amp;"")="",", the population of the half-life used","")&amp;IF(TRIM(J40&amp;"")="",", the source of the half-life used","")&amp;IF(TRIM(L40&amp;"")="",", the reference time","")&amp;IF(P40="",", the Parameter_Status of t_half","")&amp;IF(S40="",", the Parameter_Status of the target fraction",""))</f>
        <v/>
      </c>
      <c r="AO40" s="21" t="str">
        <f>IF(AI40=1,"",MID(IF(ISNUMBER(SEARCH("E_INVALID_DATE",AM40)),"; E_INVALID_DATE","")&amp;IF(ISNUMBER(SEARCH("E_REVERSED_BOUNDS",AM40)),"; E_REVERSED_BOUNDS","")&amp;IF(ISNUMBER(SEARCH("E_DUPLICATE_ID",AM40)),"; E_DUPLICATE_ID","")&amp;IF(ISNUMBER(SEARCH("E_MISSING_LINK",AM40)),"; E_MISSING_LINK","")&amp;IF(ISNUMBER(SEARCH("E_MISSING_INPUT",AM40)),"; E_MISSING_INPUT","")&amp;IF(ISNUMBER(SEARCH("E_INVALID_UNIT",AM40)),"; E_INVALID_UNIT","")&amp;IF(ISNUMBER(SEARCH("E_NONPOSITIVE_PARAMETER",AM40)),"; E_NONPOSITIVE_PARAMETER","")&amp;IF(ISNUMBER(SEARCH("E_OUT_OF_RANGE",AM40)),"; E_OUT_OF_RANGE","")&amp;IF(ISNUMBER(SEARCH("E_APPLICABILITY_UNCONFIRMED",AM40)),"; E_APPLICABILITY_UNCONFIRMED","")&amp;IF(ISNUMBER(SEARCH("E_CREATININE_STABILITY_UNCONFIRMED",AM40)),"; E_CREATININE_STABILITY_UNCONFIRMED","")&amp;IF(ISNUMBER(SEARCH("E_OVERLAPPING_SEGMENTS",AM40)),"; E_OVERLAPPING_SEGMENTS",""),3,999))</f>
        <v/>
      </c>
      <c r="AP40" s="21" t="str">
        <f>MID(AN40,3,999)</f>
        <v/>
      </c>
      <c r="AQ40" s="22">
        <f>IF(AND(AI40=0,AO40=""),1,0)</f>
        <v>1</v>
      </c>
    </row>
    <row r="43" spans="1:43" ht="17.25" x14ac:dyDescent="0.3">
      <c r="A43" s="6" t="s">
        <v>1280</v>
      </c>
    </row>
    <row r="44" spans="1:43" x14ac:dyDescent="0.2">
      <c r="A44" s="7" t="s">
        <v>1203</v>
      </c>
    </row>
    <row r="45" spans="1:43" x14ac:dyDescent="0.2">
      <c r="A45" s="2" t="s">
        <v>1204</v>
      </c>
      <c r="F45" s="2" t="s">
        <v>1208</v>
      </c>
      <c r="N45" s="2" t="s">
        <v>1204</v>
      </c>
      <c r="U45" s="2" t="s">
        <v>1225</v>
      </c>
      <c r="AH45" s="2" t="s">
        <v>1237</v>
      </c>
    </row>
    <row r="46" spans="1:43" ht="66" customHeight="1" x14ac:dyDescent="0.2">
      <c r="A46" s="8" t="s">
        <v>1205</v>
      </c>
      <c r="B46" s="8" t="s">
        <v>280</v>
      </c>
      <c r="C46" s="8" t="s">
        <v>281</v>
      </c>
      <c r="D46" s="8" t="s">
        <v>1206</v>
      </c>
      <c r="E46" s="8" t="s">
        <v>1207</v>
      </c>
      <c r="F46" s="8" t="s">
        <v>1209</v>
      </c>
      <c r="G46" s="8" t="s">
        <v>1210</v>
      </c>
      <c r="H46" s="8" t="s">
        <v>1211</v>
      </c>
      <c r="I46" s="8" t="s">
        <v>1212</v>
      </c>
      <c r="J46" s="8" t="s">
        <v>1213</v>
      </c>
      <c r="K46" s="8" t="s">
        <v>1214</v>
      </c>
      <c r="L46" s="8" t="s">
        <v>1215</v>
      </c>
      <c r="M46" s="8" t="s">
        <v>1216</v>
      </c>
      <c r="N46" s="8" t="s">
        <v>1218</v>
      </c>
      <c r="O46" s="8" t="s">
        <v>1219</v>
      </c>
      <c r="P46" s="8" t="s">
        <v>1220</v>
      </c>
      <c r="Q46" s="8" t="s">
        <v>1221</v>
      </c>
      <c r="R46" s="8" t="s">
        <v>1281</v>
      </c>
      <c r="S46" s="8" t="s">
        <v>1282</v>
      </c>
      <c r="T46" s="8" t="s">
        <v>1283</v>
      </c>
      <c r="U46" s="19" t="s">
        <v>1226</v>
      </c>
      <c r="V46" s="19" t="s">
        <v>981</v>
      </c>
      <c r="W46" s="19" t="s">
        <v>1284</v>
      </c>
      <c r="X46" s="19" t="s">
        <v>988</v>
      </c>
      <c r="Y46" s="19" t="s">
        <v>1231</v>
      </c>
      <c r="Z46" s="19" t="s">
        <v>1232</v>
      </c>
      <c r="AA46" s="19" t="s">
        <v>1003</v>
      </c>
      <c r="AB46" s="19" t="s">
        <v>1233</v>
      </c>
      <c r="AC46" s="19" t="s">
        <v>1234</v>
      </c>
      <c r="AD46" s="19" t="s">
        <v>954</v>
      </c>
      <c r="AE46" s="19" t="s">
        <v>1235</v>
      </c>
      <c r="AF46" s="19" t="s">
        <v>1236</v>
      </c>
      <c r="AG46" s="19" t="s">
        <v>1006</v>
      </c>
      <c r="AH46" s="19" t="s">
        <v>1008</v>
      </c>
      <c r="AI46" s="19" t="s">
        <v>1009</v>
      </c>
      <c r="AJ46" s="19" t="s">
        <v>1238</v>
      </c>
      <c r="AK46" s="19" t="s">
        <v>1239</v>
      </c>
      <c r="AL46" s="19" t="s">
        <v>1085</v>
      </c>
      <c r="AM46" s="19" t="s">
        <v>1240</v>
      </c>
      <c r="AN46" s="19" t="s">
        <v>1095</v>
      </c>
      <c r="AO46" s="19" t="s">
        <v>1241</v>
      </c>
      <c r="AP46" s="19" t="s">
        <v>1097</v>
      </c>
    </row>
    <row r="47" spans="1:43" x14ac:dyDescent="0.2">
      <c r="A47" s="10"/>
      <c r="B47" s="10"/>
      <c r="C47" s="12"/>
      <c r="D47" s="10"/>
      <c r="E47" s="10"/>
      <c r="F47" s="17"/>
      <c r="G47" s="17"/>
      <c r="H47" s="10"/>
      <c r="I47" s="10"/>
      <c r="J47" s="10"/>
      <c r="K47" s="17"/>
      <c r="L47" s="10"/>
      <c r="M47" s="17"/>
      <c r="N47" s="17"/>
      <c r="O47" s="17"/>
      <c r="P47" s="17"/>
      <c r="Q47" s="10"/>
      <c r="R47" s="17"/>
      <c r="S47" s="17"/>
      <c r="T47" s="10"/>
      <c r="U47" s="21" t="str">
        <f t="shared" ref="U47:U54" si="67">IF(AH47=1,"",IF(AN47&lt;&gt;"",AN47&amp;": no result is shown","Accumulation factor R = "&amp;FIXED(W47,2,TRUE)&amp;" at corresponding points in the dosing cycle"))</f>
        <v/>
      </c>
      <c r="V47" s="21" t="str">
        <f t="shared" ref="V47:V54" si="68">IF(AH47=1,"",IF(AP47=0,"Not calculable",MID(IF(TRUE,"; "&amp;"Accumulation factor R"&amp;": "&amp;FIXED(W47,2,TRUE),""),3,9999)))</f>
        <v/>
      </c>
      <c r="W47" s="21" t="str">
        <f t="shared" ref="W47:W54" si="69">IF(AP47=1,1/(1-2^(-R47/O47)),"")</f>
        <v/>
      </c>
      <c r="X47" s="21" t="str">
        <f t="shared" ref="X47:X54" si="70">IF(AH47=1,"",IF(AN47&lt;&gt;"",AN47,""))</f>
        <v/>
      </c>
      <c r="Y47" s="21" t="str">
        <f>IF(AH47=1,"",MID(IF(ISNUMBER(SEARCH("E_INVALID_DATE",AN47))," | E_INVALID_DATE: "&amp;SUBSTITUTE(IFERROR(INDEX(nMSG_Text,MATCH("E_INVALID_DATE",nMSG_Code,0)),""),"[input]",""),"")&amp;IF(ISNUMBER(SEARCH("E_REVERSED_BOUNDS",AN47))," | E_REVERSED_BOUNDS: "&amp;SUBSTITUTE(IFERROR(INDEX(nMSG_Text,MATCH("E_REVERSED_BOUNDS",nMSG_Code,0)),""),"[input]",""),"")&amp;IF(ISNUMBER(SEARCH("E_DUPLICATE_ID",AN47))," | E_DUPLICATE_ID: "&amp;SUBSTITUTE(IFERROR(INDEX(nMSG_Text,MATCH("E_DUPLICATE_ID",nMSG_Code,0)),""),"[input]",""),"")&amp;IF(ISNUMBER(SEARCH("E_MISSING_LINK",AN47))," | E_MISSING_LINK: "&amp;SUBSTITUTE(IFERROR(INDEX(nMSG_Text,MATCH("E_MISSING_LINK",nMSG_Code,0)),""),"[input]",""),"")&amp;IF(ISNUMBER(SEARCH("E_MISSING_INPUT",AN47))," | E_MISSING_INPUT: "&amp;SUBSTITUTE(IFERROR(INDEX(nMSG_Text,MATCH("E_MISSING_INPUT",nMSG_Code,0)),""),"[input]",IF(AO47="","an input",AO47)),"")&amp;IF(ISNUMBER(SEARCH("E_INVALID_UNIT",AN47))," | E_INVALID_UNIT: "&amp;SUBSTITUTE(IFERROR(INDEX(nMSG_Text,MATCH("E_INVALID_UNIT",nMSG_Code,0)),""),"[input]",""),"")&amp;IF(ISNUMBER(SEARCH("E_NONPOSITIVE_PARAMETER",AN47))," | E_NONPOSITIVE_PARAMETER: "&amp;SUBSTITUTE(IFERROR(INDEX(nMSG_Text,MATCH("E_NONPOSITIVE_PARAMETER",nMSG_Code,0)),""),"[input]",""),"")&amp;IF(ISNUMBER(SEARCH("E_OUT_OF_RANGE",AN47))," | E_OUT_OF_RANGE: "&amp;SUBSTITUTE(IFERROR(INDEX(nMSG_Text,MATCH("E_OUT_OF_RANGE",nMSG_Code,0)),""),"[input]",""),"")&amp;IF(ISNUMBER(SEARCH("E_APPLICABILITY_UNCONFIRMED",AN47))," | E_APPLICABILITY_UNCONFIRMED: "&amp;SUBSTITUTE(IFERROR(INDEX(nMSG_Text,MATCH("E_APPLICABILITY_UNCONFIRMED",nMSG_Code,0)),""),"[input]",""),"")&amp;IF(ISNUMBER(SEARCH("E_CREATININE_STABILITY_UNCONFIRMED",AN47))," | E_CREATININE_STABILITY_UNCONFIRMED: "&amp;SUBSTITUTE(IFERROR(INDEX(nMSG_Text,MATCH("E_CREATININE_STABILITY_UNCONFIRMED",nMSG_Code,0)),""),"[input]",""),"")&amp;IF(ISNUMBER(SEARCH("E_OVERLAPPING_SEGMENTS",AN47))," | E_OVERLAPPING_SEGMENTS: "&amp;SUBSTITUTE(IFERROR(INDEX(nMSG_Text,MATCH("E_OVERLAPPING_SEGMENTS",nMSG_Code,0)),""),"[input]",""),""),4,9999))</f>
        <v/>
      </c>
      <c r="Z47" s="21" t="str">
        <f t="shared" ref="Z47:Z54" si="71">IF(AH47=1,"","t_half = "&amp;O47&amp;" "&amp;N47&amp;" ["&amp;IF(P47="","status not recorded",P47)&amp;IF(Q47&lt;&gt;"","; "&amp;Q47,"")&amp;"]"&amp;"; "&amp;"tau = "&amp;R47&amp;" "&amp;N47&amp;" ["&amp;IF(S47="","status not recorded",S47)&amp;IF(T47&lt;&gt;"","; "&amp;T47,"")&amp;"]")</f>
        <v/>
      </c>
      <c r="AA47" s="21" t="str">
        <f t="shared" ref="AA47:AA54" si="72">IF(AH47=1,"",MID(""&amp;IF(AK47=1," | Gate confirmed: the simple model applies (one compartment, linear first-order elimination, constant parameters over the period). | Gate confirmed: the half-life used – type: "&amp;H47&amp;"; population: "&amp;I47&amp;"; source: "&amp;J47&amp;". | Gate confirmed: reference time – "&amp;L47&amp;". | Gate confirmed: each input’s Parameter_Status is recorded."," | Common gate not confirmed"&amp;IF(AND(F47="Yes",G47="Yes",K47="Yes",M47="Yes"),": a gate detail or a Parameter_Status is blank.",": "&amp;MID(IF(F47&lt;&gt;"Yes",", model","")&amp;IF(G47&lt;&gt;"Yes",", half-life used","")&amp;IF(K47&lt;&gt;"Yes",", reference time","")&amp;IF(M47&lt;&gt;"Yes",", Parameter_Status",""),3,99)&amp;" not confirmed."))&amp;IF(TRIM(E47&amp;"")&lt;&gt;""," | "&amp;E47,""),4,9999))</f>
        <v/>
      </c>
      <c r="AB47" s="21" t="str">
        <f t="shared" ref="AB47:AB54" si="73">IF(AP47=0,"",MID(IF(TRUE,"; "&amp;"Accumulation factor R"&amp;" = "&amp;W47&amp;" ("&amp;FIXED(W47,2,TRUE)&amp;")",""),3,9999))</f>
        <v/>
      </c>
      <c r="AC47" s="21" t="str">
        <f t="shared" ref="AC47:AC54" si="74">IF(AP47=0,"","ratio")</f>
        <v/>
      </c>
      <c r="AD47" s="21" t="str">
        <f t="shared" ref="AD47:AD54" si="75">IF(AH47=1,"",IF(TRIM(D47&amp;"")&lt;&gt;"",D47,"Q3 Accumulation during regular dosing"))</f>
        <v/>
      </c>
      <c r="AE47" s="21" t="str">
        <f t="shared" ref="AE47:AE54" si="76">IF(AH47=1,"","Model-based repeated-dose comparison. It is not a toxicity multiplier and does not give the time of clinical onset.")</f>
        <v/>
      </c>
      <c r="AF47" s="21" t="str">
        <f t="shared" ref="AF47:AF54" si="77">IF(AH47=1,"","R = 1 / (1 - 2^(-tau / t_half))")</f>
        <v/>
      </c>
      <c r="AG47" s="21" t="str">
        <f t="shared" ref="AG47:AG54" si="78">IF(AH47=1,"","CALC-SPEC 1.1")</f>
        <v/>
      </c>
      <c r="AH47" s="22">
        <f t="shared" ref="AH47:AH54" si="79">IF(AND(A47="",O47="",R47=""),1,0)</f>
        <v>1</v>
      </c>
      <c r="AI47" s="21" t="str">
        <f t="shared" ref="AI47:AI54" si="80">IF(AH47=1,"",B47&amp;"|"&amp;C47)</f>
        <v/>
      </c>
      <c r="AJ47" s="21" t="str">
        <f t="shared" ref="AJ47:AJ54" si="81">IF(A47="","",B47&amp;"|"&amp;C47&amp;"|"&amp;A47)</f>
        <v/>
      </c>
      <c r="AK47" s="22">
        <f t="shared" ref="AK47:AK54" si="82">IF(AND(F47="Yes",G47="Yes",K47="Yes",M47="Yes",TRIM(H47&amp;"")&lt;&gt;"",TRIM(I47&amp;"")&lt;&gt;"",TRIM(J47&amp;"")&lt;&gt;"",TRIM(L47&amp;"")&lt;&gt;"",P47&lt;&gt;"",S47&lt;&gt;""),1,0)</f>
        <v>0</v>
      </c>
      <c r="AL47" s="21" t="str">
        <f>IF(AH47=1,"",IF(A47="","; E_MISSING_INPUT","")&amp;IF(N47="","; E_MISSING_INPUT","")&amp;IF(AND(N47&lt;&gt;"",ISNA(MATCH(N47,nLIST_TimeUnit,0))),"; E_INVALID_UNIT","")&amp;IF(O47="","; E_MISSING_INPUT","")&amp;IF(AND(O47&lt;&gt;"",NOT(ISNUMBER(O47))),"; E_MISSING_INPUT","")&amp;IF(AND(ISNUMBER(O47),O47&lt;=0),"; E_NONPOSITIVE_PARAMETER","")&amp;IF(R47="","; E_MISSING_INPUT","")&amp;IF(AND(R47&lt;&gt;"",NOT(ISNUMBER(R47))),"; E_MISSING_INPUT","")&amp;IF(AND(ISNUMBER(R47),R47&lt;=0),"; E_NONPOSITIVE_PARAMETER","")&amp;IF(TRIM(H47&amp;"")="","; E_MISSING_INPUT","")&amp;IF(TRIM(I47&amp;"")="","; E_MISSING_INPUT","")&amp;IF(TRIM(J47&amp;"")="","; E_MISSING_INPUT","")&amp;IF(TRIM(L47&amp;"")="","; E_MISSING_INPUT","")&amp;IF(P47="","; E_MISSING_INPUT","")&amp;IF(S47="","; E_MISSING_INPUT","")&amp;IF(AK47=0,"; E_APPLICABILITY_UNCONFIRMED",""))</f>
        <v/>
      </c>
      <c r="AM47" s="21" t="str">
        <f t="shared" ref="AM47:AM54" si="83">IF(AH47=1,"",IF(A47="",", a Calc_ID","")&amp;IF(N47="",", a time unit","")&amp;IF(O47="",", the half-life","")&amp;IF(AND(O47&lt;&gt;"",NOT(ISNUMBER(O47))),", the half-life as a number","")&amp;IF(R47="",", the dosing interval","")&amp;IF(AND(R47&lt;&gt;"",NOT(ISNUMBER(R47))),", the dosing interval as a number","")&amp;IF(TRIM(H47&amp;"")="",", the type of the half-life used","")&amp;IF(TRIM(I47&amp;"")="",", the population of the half-life used","")&amp;IF(TRIM(J47&amp;"")="",", the source of the half-life used","")&amp;IF(TRIM(L47&amp;"")="",", the reference time","")&amp;IF(P47="",", the Parameter_Status of t_half","")&amp;IF(S47="",", the Parameter_Status of the dosing interval",""))</f>
        <v/>
      </c>
      <c r="AN47" s="21" t="str">
        <f t="shared" ref="AN47:AN54" si="84">IF(AH47=1,"",MID(IF(ISNUMBER(SEARCH("E_INVALID_DATE",AL47)),"; E_INVALID_DATE","")&amp;IF(ISNUMBER(SEARCH("E_REVERSED_BOUNDS",AL47)),"; E_REVERSED_BOUNDS","")&amp;IF(ISNUMBER(SEARCH("E_DUPLICATE_ID",AL47)),"; E_DUPLICATE_ID","")&amp;IF(ISNUMBER(SEARCH("E_MISSING_LINK",AL47)),"; E_MISSING_LINK","")&amp;IF(ISNUMBER(SEARCH("E_MISSING_INPUT",AL47)),"; E_MISSING_INPUT","")&amp;IF(ISNUMBER(SEARCH("E_INVALID_UNIT",AL47)),"; E_INVALID_UNIT","")&amp;IF(ISNUMBER(SEARCH("E_NONPOSITIVE_PARAMETER",AL47)),"; E_NONPOSITIVE_PARAMETER","")&amp;IF(ISNUMBER(SEARCH("E_OUT_OF_RANGE",AL47)),"; E_OUT_OF_RANGE","")&amp;IF(ISNUMBER(SEARCH("E_APPLICABILITY_UNCONFIRMED",AL47)),"; E_APPLICABILITY_UNCONFIRMED","")&amp;IF(ISNUMBER(SEARCH("E_CREATININE_STABILITY_UNCONFIRMED",AL47)),"; E_CREATININE_STABILITY_UNCONFIRMED","")&amp;IF(ISNUMBER(SEARCH("E_OVERLAPPING_SEGMENTS",AL47)),"; E_OVERLAPPING_SEGMENTS",""),3,999))</f>
        <v/>
      </c>
      <c r="AO47" s="21" t="str">
        <f t="shared" ref="AO47:AO54" si="85">MID(AM47,3,999)</f>
        <v/>
      </c>
      <c r="AP47" s="22">
        <f t="shared" ref="AP47:AP54" si="86">IF(AND(AH47=0,AN47=""),1,0)</f>
        <v>0</v>
      </c>
    </row>
    <row r="48" spans="1:43" x14ac:dyDescent="0.2">
      <c r="A48" s="10"/>
      <c r="B48" s="10"/>
      <c r="C48" s="12"/>
      <c r="D48" s="10"/>
      <c r="E48" s="10"/>
      <c r="F48" s="17"/>
      <c r="G48" s="17"/>
      <c r="H48" s="10"/>
      <c r="I48" s="10"/>
      <c r="J48" s="10"/>
      <c r="K48" s="17"/>
      <c r="L48" s="10"/>
      <c r="M48" s="17"/>
      <c r="N48" s="17"/>
      <c r="O48" s="17"/>
      <c r="P48" s="17"/>
      <c r="Q48" s="10"/>
      <c r="R48" s="17"/>
      <c r="S48" s="17"/>
      <c r="T48" s="10"/>
      <c r="U48" s="21" t="str">
        <f t="shared" si="67"/>
        <v/>
      </c>
      <c r="V48" s="21" t="str">
        <f t="shared" si="68"/>
        <v/>
      </c>
      <c r="W48" s="21" t="str">
        <f t="shared" si="69"/>
        <v/>
      </c>
      <c r="X48" s="21" t="str">
        <f t="shared" si="70"/>
        <v/>
      </c>
      <c r="Y48" s="21" t="str">
        <f>IF(AH48=1,"",MID(IF(ISNUMBER(SEARCH("E_INVALID_DATE",AN48))," | E_INVALID_DATE: "&amp;SUBSTITUTE(IFERROR(INDEX(nMSG_Text,MATCH("E_INVALID_DATE",nMSG_Code,0)),""),"[input]",""),"")&amp;IF(ISNUMBER(SEARCH("E_REVERSED_BOUNDS",AN48))," | E_REVERSED_BOUNDS: "&amp;SUBSTITUTE(IFERROR(INDEX(nMSG_Text,MATCH("E_REVERSED_BOUNDS",nMSG_Code,0)),""),"[input]",""),"")&amp;IF(ISNUMBER(SEARCH("E_DUPLICATE_ID",AN48))," | E_DUPLICATE_ID: "&amp;SUBSTITUTE(IFERROR(INDEX(nMSG_Text,MATCH("E_DUPLICATE_ID",nMSG_Code,0)),""),"[input]",""),"")&amp;IF(ISNUMBER(SEARCH("E_MISSING_LINK",AN48))," | E_MISSING_LINK: "&amp;SUBSTITUTE(IFERROR(INDEX(nMSG_Text,MATCH("E_MISSING_LINK",nMSG_Code,0)),""),"[input]",""),"")&amp;IF(ISNUMBER(SEARCH("E_MISSING_INPUT",AN48))," | E_MISSING_INPUT: "&amp;SUBSTITUTE(IFERROR(INDEX(nMSG_Text,MATCH("E_MISSING_INPUT",nMSG_Code,0)),""),"[input]",IF(AO48="","an input",AO48)),"")&amp;IF(ISNUMBER(SEARCH("E_INVALID_UNIT",AN48))," | E_INVALID_UNIT: "&amp;SUBSTITUTE(IFERROR(INDEX(nMSG_Text,MATCH("E_INVALID_UNIT",nMSG_Code,0)),""),"[input]",""),"")&amp;IF(ISNUMBER(SEARCH("E_NONPOSITIVE_PARAMETER",AN48))," | E_NONPOSITIVE_PARAMETER: "&amp;SUBSTITUTE(IFERROR(INDEX(nMSG_Text,MATCH("E_NONPOSITIVE_PARAMETER",nMSG_Code,0)),""),"[input]",""),"")&amp;IF(ISNUMBER(SEARCH("E_OUT_OF_RANGE",AN48))," | E_OUT_OF_RANGE: "&amp;SUBSTITUTE(IFERROR(INDEX(nMSG_Text,MATCH("E_OUT_OF_RANGE",nMSG_Code,0)),""),"[input]",""),"")&amp;IF(ISNUMBER(SEARCH("E_APPLICABILITY_UNCONFIRMED",AN48))," | E_APPLICABILITY_UNCONFIRMED: "&amp;SUBSTITUTE(IFERROR(INDEX(nMSG_Text,MATCH("E_APPLICABILITY_UNCONFIRMED",nMSG_Code,0)),""),"[input]",""),"")&amp;IF(ISNUMBER(SEARCH("E_CREATININE_STABILITY_UNCONFIRMED",AN48))," | E_CREATININE_STABILITY_UNCONFIRMED: "&amp;SUBSTITUTE(IFERROR(INDEX(nMSG_Text,MATCH("E_CREATININE_STABILITY_UNCONFIRMED",nMSG_Code,0)),""),"[input]",""),"")&amp;IF(ISNUMBER(SEARCH("E_OVERLAPPING_SEGMENTS",AN48))," | E_OVERLAPPING_SEGMENTS: "&amp;SUBSTITUTE(IFERROR(INDEX(nMSG_Text,MATCH("E_OVERLAPPING_SEGMENTS",nMSG_Code,0)),""),"[input]",""),""),4,9999))</f>
        <v/>
      </c>
      <c r="Z48" s="21" t="str">
        <f t="shared" si="71"/>
        <v/>
      </c>
      <c r="AA48" s="21" t="str">
        <f t="shared" si="72"/>
        <v/>
      </c>
      <c r="AB48" s="21" t="str">
        <f t="shared" si="73"/>
        <v/>
      </c>
      <c r="AC48" s="21" t="str">
        <f t="shared" si="74"/>
        <v/>
      </c>
      <c r="AD48" s="21" t="str">
        <f t="shared" si="75"/>
        <v/>
      </c>
      <c r="AE48" s="21" t="str">
        <f t="shared" si="76"/>
        <v/>
      </c>
      <c r="AF48" s="21" t="str">
        <f t="shared" si="77"/>
        <v/>
      </c>
      <c r="AG48" s="21" t="str">
        <f t="shared" si="78"/>
        <v/>
      </c>
      <c r="AH48" s="22">
        <f t="shared" si="79"/>
        <v>1</v>
      </c>
      <c r="AI48" s="21" t="str">
        <f t="shared" si="80"/>
        <v/>
      </c>
      <c r="AJ48" s="21" t="str">
        <f t="shared" si="81"/>
        <v/>
      </c>
      <c r="AK48" s="22">
        <f t="shared" si="82"/>
        <v>0</v>
      </c>
      <c r="AL48" s="21" t="str">
        <f>IF(AH48=1,"",IF(A48="","; E_MISSING_INPUT","")&amp;IF(N48="","; E_MISSING_INPUT","")&amp;IF(AND(N48&lt;&gt;"",ISNA(MATCH(N48,nLIST_TimeUnit,0))),"; E_INVALID_UNIT","")&amp;IF(O48="","; E_MISSING_INPUT","")&amp;IF(AND(O48&lt;&gt;"",NOT(ISNUMBER(O48))),"; E_MISSING_INPUT","")&amp;IF(AND(ISNUMBER(O48),O48&lt;=0),"; E_NONPOSITIVE_PARAMETER","")&amp;IF(R48="","; E_MISSING_INPUT","")&amp;IF(AND(R48&lt;&gt;"",NOT(ISNUMBER(R48))),"; E_MISSING_INPUT","")&amp;IF(AND(ISNUMBER(R48),R48&lt;=0),"; E_NONPOSITIVE_PARAMETER","")&amp;IF(TRIM(H48&amp;"")="","; E_MISSING_INPUT","")&amp;IF(TRIM(I48&amp;"")="","; E_MISSING_INPUT","")&amp;IF(TRIM(J48&amp;"")="","; E_MISSING_INPUT","")&amp;IF(TRIM(L48&amp;"")="","; E_MISSING_INPUT","")&amp;IF(P48="","; E_MISSING_INPUT","")&amp;IF(S48="","; E_MISSING_INPUT","")&amp;IF(AK48=0,"; E_APPLICABILITY_UNCONFIRMED",""))</f>
        <v/>
      </c>
      <c r="AM48" s="21" t="str">
        <f t="shared" si="83"/>
        <v/>
      </c>
      <c r="AN48" s="21" t="str">
        <f t="shared" si="84"/>
        <v/>
      </c>
      <c r="AO48" s="21" t="str">
        <f t="shared" si="85"/>
        <v/>
      </c>
      <c r="AP48" s="22">
        <f t="shared" si="86"/>
        <v>0</v>
      </c>
    </row>
    <row r="49" spans="1:48" x14ac:dyDescent="0.2">
      <c r="A49" s="10"/>
      <c r="B49" s="10"/>
      <c r="C49" s="12"/>
      <c r="D49" s="10"/>
      <c r="E49" s="10"/>
      <c r="F49" s="17"/>
      <c r="G49" s="17"/>
      <c r="H49" s="10"/>
      <c r="I49" s="10"/>
      <c r="J49" s="10"/>
      <c r="K49" s="17"/>
      <c r="L49" s="10"/>
      <c r="M49" s="17"/>
      <c r="N49" s="17"/>
      <c r="O49" s="17"/>
      <c r="P49" s="17"/>
      <c r="Q49" s="10"/>
      <c r="R49" s="17"/>
      <c r="S49" s="17"/>
      <c r="T49" s="10"/>
      <c r="U49" s="21" t="str">
        <f t="shared" si="67"/>
        <v/>
      </c>
      <c r="V49" s="21" t="str">
        <f t="shared" si="68"/>
        <v/>
      </c>
      <c r="W49" s="21" t="str">
        <f t="shared" si="69"/>
        <v/>
      </c>
      <c r="X49" s="21" t="str">
        <f t="shared" si="70"/>
        <v/>
      </c>
      <c r="Y49" s="21" t="str">
        <f>IF(AH49=1,"",MID(IF(ISNUMBER(SEARCH("E_INVALID_DATE",AN49))," | E_INVALID_DATE: "&amp;SUBSTITUTE(IFERROR(INDEX(nMSG_Text,MATCH("E_INVALID_DATE",nMSG_Code,0)),""),"[input]",""),"")&amp;IF(ISNUMBER(SEARCH("E_REVERSED_BOUNDS",AN49))," | E_REVERSED_BOUNDS: "&amp;SUBSTITUTE(IFERROR(INDEX(nMSG_Text,MATCH("E_REVERSED_BOUNDS",nMSG_Code,0)),""),"[input]",""),"")&amp;IF(ISNUMBER(SEARCH("E_DUPLICATE_ID",AN49))," | E_DUPLICATE_ID: "&amp;SUBSTITUTE(IFERROR(INDEX(nMSG_Text,MATCH("E_DUPLICATE_ID",nMSG_Code,0)),""),"[input]",""),"")&amp;IF(ISNUMBER(SEARCH("E_MISSING_LINK",AN49))," | E_MISSING_LINK: "&amp;SUBSTITUTE(IFERROR(INDEX(nMSG_Text,MATCH("E_MISSING_LINK",nMSG_Code,0)),""),"[input]",""),"")&amp;IF(ISNUMBER(SEARCH("E_MISSING_INPUT",AN49))," | E_MISSING_INPUT: "&amp;SUBSTITUTE(IFERROR(INDEX(nMSG_Text,MATCH("E_MISSING_INPUT",nMSG_Code,0)),""),"[input]",IF(AO49="","an input",AO49)),"")&amp;IF(ISNUMBER(SEARCH("E_INVALID_UNIT",AN49))," | E_INVALID_UNIT: "&amp;SUBSTITUTE(IFERROR(INDEX(nMSG_Text,MATCH("E_INVALID_UNIT",nMSG_Code,0)),""),"[input]",""),"")&amp;IF(ISNUMBER(SEARCH("E_NONPOSITIVE_PARAMETER",AN49))," | E_NONPOSITIVE_PARAMETER: "&amp;SUBSTITUTE(IFERROR(INDEX(nMSG_Text,MATCH("E_NONPOSITIVE_PARAMETER",nMSG_Code,0)),""),"[input]",""),"")&amp;IF(ISNUMBER(SEARCH("E_OUT_OF_RANGE",AN49))," | E_OUT_OF_RANGE: "&amp;SUBSTITUTE(IFERROR(INDEX(nMSG_Text,MATCH("E_OUT_OF_RANGE",nMSG_Code,0)),""),"[input]",""),"")&amp;IF(ISNUMBER(SEARCH("E_APPLICABILITY_UNCONFIRMED",AN49))," | E_APPLICABILITY_UNCONFIRMED: "&amp;SUBSTITUTE(IFERROR(INDEX(nMSG_Text,MATCH("E_APPLICABILITY_UNCONFIRMED",nMSG_Code,0)),""),"[input]",""),"")&amp;IF(ISNUMBER(SEARCH("E_CREATININE_STABILITY_UNCONFIRMED",AN49))," | E_CREATININE_STABILITY_UNCONFIRMED: "&amp;SUBSTITUTE(IFERROR(INDEX(nMSG_Text,MATCH("E_CREATININE_STABILITY_UNCONFIRMED",nMSG_Code,0)),""),"[input]",""),"")&amp;IF(ISNUMBER(SEARCH("E_OVERLAPPING_SEGMENTS",AN49))," | E_OVERLAPPING_SEGMENTS: "&amp;SUBSTITUTE(IFERROR(INDEX(nMSG_Text,MATCH("E_OVERLAPPING_SEGMENTS",nMSG_Code,0)),""),"[input]",""),""),4,9999))</f>
        <v/>
      </c>
      <c r="Z49" s="21" t="str">
        <f t="shared" si="71"/>
        <v/>
      </c>
      <c r="AA49" s="21" t="str">
        <f t="shared" si="72"/>
        <v/>
      </c>
      <c r="AB49" s="21" t="str">
        <f t="shared" si="73"/>
        <v/>
      </c>
      <c r="AC49" s="21" t="str">
        <f t="shared" si="74"/>
        <v/>
      </c>
      <c r="AD49" s="21" t="str">
        <f t="shared" si="75"/>
        <v/>
      </c>
      <c r="AE49" s="21" t="str">
        <f t="shared" si="76"/>
        <v/>
      </c>
      <c r="AF49" s="21" t="str">
        <f t="shared" si="77"/>
        <v/>
      </c>
      <c r="AG49" s="21" t="str">
        <f t="shared" si="78"/>
        <v/>
      </c>
      <c r="AH49" s="22">
        <f t="shared" si="79"/>
        <v>1</v>
      </c>
      <c r="AI49" s="21" t="str">
        <f t="shared" si="80"/>
        <v/>
      </c>
      <c r="AJ49" s="21" t="str">
        <f t="shared" si="81"/>
        <v/>
      </c>
      <c r="AK49" s="22">
        <f t="shared" si="82"/>
        <v>0</v>
      </c>
      <c r="AL49" s="21" t="str">
        <f>IF(AH49=1,"",IF(A49="","; E_MISSING_INPUT","")&amp;IF(N49="","; E_MISSING_INPUT","")&amp;IF(AND(N49&lt;&gt;"",ISNA(MATCH(N49,nLIST_TimeUnit,0))),"; E_INVALID_UNIT","")&amp;IF(O49="","; E_MISSING_INPUT","")&amp;IF(AND(O49&lt;&gt;"",NOT(ISNUMBER(O49))),"; E_MISSING_INPUT","")&amp;IF(AND(ISNUMBER(O49),O49&lt;=0),"; E_NONPOSITIVE_PARAMETER","")&amp;IF(R49="","; E_MISSING_INPUT","")&amp;IF(AND(R49&lt;&gt;"",NOT(ISNUMBER(R49))),"; E_MISSING_INPUT","")&amp;IF(AND(ISNUMBER(R49),R49&lt;=0),"; E_NONPOSITIVE_PARAMETER","")&amp;IF(TRIM(H49&amp;"")="","; E_MISSING_INPUT","")&amp;IF(TRIM(I49&amp;"")="","; E_MISSING_INPUT","")&amp;IF(TRIM(J49&amp;"")="","; E_MISSING_INPUT","")&amp;IF(TRIM(L49&amp;"")="","; E_MISSING_INPUT","")&amp;IF(P49="","; E_MISSING_INPUT","")&amp;IF(S49="","; E_MISSING_INPUT","")&amp;IF(AK49=0,"; E_APPLICABILITY_UNCONFIRMED",""))</f>
        <v/>
      </c>
      <c r="AM49" s="21" t="str">
        <f t="shared" si="83"/>
        <v/>
      </c>
      <c r="AN49" s="21" t="str">
        <f t="shared" si="84"/>
        <v/>
      </c>
      <c r="AO49" s="21" t="str">
        <f t="shared" si="85"/>
        <v/>
      </c>
      <c r="AP49" s="22">
        <f t="shared" si="86"/>
        <v>0</v>
      </c>
    </row>
    <row r="50" spans="1:48" x14ac:dyDescent="0.2">
      <c r="A50" s="10"/>
      <c r="B50" s="10"/>
      <c r="C50" s="12"/>
      <c r="D50" s="10"/>
      <c r="E50" s="10"/>
      <c r="F50" s="17"/>
      <c r="G50" s="17"/>
      <c r="H50" s="10"/>
      <c r="I50" s="10"/>
      <c r="J50" s="10"/>
      <c r="K50" s="17"/>
      <c r="L50" s="10"/>
      <c r="M50" s="17"/>
      <c r="N50" s="17"/>
      <c r="O50" s="17"/>
      <c r="P50" s="17"/>
      <c r="Q50" s="10"/>
      <c r="R50" s="17"/>
      <c r="S50" s="17"/>
      <c r="T50" s="10"/>
      <c r="U50" s="21" t="str">
        <f t="shared" si="67"/>
        <v/>
      </c>
      <c r="V50" s="21" t="str">
        <f t="shared" si="68"/>
        <v/>
      </c>
      <c r="W50" s="21" t="str">
        <f t="shared" si="69"/>
        <v/>
      </c>
      <c r="X50" s="21" t="str">
        <f t="shared" si="70"/>
        <v/>
      </c>
      <c r="Y50" s="21" t="str">
        <f>IF(AH50=1,"",MID(IF(ISNUMBER(SEARCH("E_INVALID_DATE",AN50))," | E_INVALID_DATE: "&amp;SUBSTITUTE(IFERROR(INDEX(nMSG_Text,MATCH("E_INVALID_DATE",nMSG_Code,0)),""),"[input]",""),"")&amp;IF(ISNUMBER(SEARCH("E_REVERSED_BOUNDS",AN50))," | E_REVERSED_BOUNDS: "&amp;SUBSTITUTE(IFERROR(INDEX(nMSG_Text,MATCH("E_REVERSED_BOUNDS",nMSG_Code,0)),""),"[input]",""),"")&amp;IF(ISNUMBER(SEARCH("E_DUPLICATE_ID",AN50))," | E_DUPLICATE_ID: "&amp;SUBSTITUTE(IFERROR(INDEX(nMSG_Text,MATCH("E_DUPLICATE_ID",nMSG_Code,0)),""),"[input]",""),"")&amp;IF(ISNUMBER(SEARCH("E_MISSING_LINK",AN50))," | E_MISSING_LINK: "&amp;SUBSTITUTE(IFERROR(INDEX(nMSG_Text,MATCH("E_MISSING_LINK",nMSG_Code,0)),""),"[input]",""),"")&amp;IF(ISNUMBER(SEARCH("E_MISSING_INPUT",AN50))," | E_MISSING_INPUT: "&amp;SUBSTITUTE(IFERROR(INDEX(nMSG_Text,MATCH("E_MISSING_INPUT",nMSG_Code,0)),""),"[input]",IF(AO50="","an input",AO50)),"")&amp;IF(ISNUMBER(SEARCH("E_INVALID_UNIT",AN50))," | E_INVALID_UNIT: "&amp;SUBSTITUTE(IFERROR(INDEX(nMSG_Text,MATCH("E_INVALID_UNIT",nMSG_Code,0)),""),"[input]",""),"")&amp;IF(ISNUMBER(SEARCH("E_NONPOSITIVE_PARAMETER",AN50))," | E_NONPOSITIVE_PARAMETER: "&amp;SUBSTITUTE(IFERROR(INDEX(nMSG_Text,MATCH("E_NONPOSITIVE_PARAMETER",nMSG_Code,0)),""),"[input]",""),"")&amp;IF(ISNUMBER(SEARCH("E_OUT_OF_RANGE",AN50))," | E_OUT_OF_RANGE: "&amp;SUBSTITUTE(IFERROR(INDEX(nMSG_Text,MATCH("E_OUT_OF_RANGE",nMSG_Code,0)),""),"[input]",""),"")&amp;IF(ISNUMBER(SEARCH("E_APPLICABILITY_UNCONFIRMED",AN50))," | E_APPLICABILITY_UNCONFIRMED: "&amp;SUBSTITUTE(IFERROR(INDEX(nMSG_Text,MATCH("E_APPLICABILITY_UNCONFIRMED",nMSG_Code,0)),""),"[input]",""),"")&amp;IF(ISNUMBER(SEARCH("E_CREATININE_STABILITY_UNCONFIRMED",AN50))," | E_CREATININE_STABILITY_UNCONFIRMED: "&amp;SUBSTITUTE(IFERROR(INDEX(nMSG_Text,MATCH("E_CREATININE_STABILITY_UNCONFIRMED",nMSG_Code,0)),""),"[input]",""),"")&amp;IF(ISNUMBER(SEARCH("E_OVERLAPPING_SEGMENTS",AN50))," | E_OVERLAPPING_SEGMENTS: "&amp;SUBSTITUTE(IFERROR(INDEX(nMSG_Text,MATCH("E_OVERLAPPING_SEGMENTS",nMSG_Code,0)),""),"[input]",""),""),4,9999))</f>
        <v/>
      </c>
      <c r="Z50" s="21" t="str">
        <f t="shared" si="71"/>
        <v/>
      </c>
      <c r="AA50" s="21" t="str">
        <f t="shared" si="72"/>
        <v/>
      </c>
      <c r="AB50" s="21" t="str">
        <f t="shared" si="73"/>
        <v/>
      </c>
      <c r="AC50" s="21" t="str">
        <f t="shared" si="74"/>
        <v/>
      </c>
      <c r="AD50" s="21" t="str">
        <f t="shared" si="75"/>
        <v/>
      </c>
      <c r="AE50" s="21" t="str">
        <f t="shared" si="76"/>
        <v/>
      </c>
      <c r="AF50" s="21" t="str">
        <f t="shared" si="77"/>
        <v/>
      </c>
      <c r="AG50" s="21" t="str">
        <f t="shared" si="78"/>
        <v/>
      </c>
      <c r="AH50" s="22">
        <f t="shared" si="79"/>
        <v>1</v>
      </c>
      <c r="AI50" s="21" t="str">
        <f t="shared" si="80"/>
        <v/>
      </c>
      <c r="AJ50" s="21" t="str">
        <f t="shared" si="81"/>
        <v/>
      </c>
      <c r="AK50" s="22">
        <f t="shared" si="82"/>
        <v>0</v>
      </c>
      <c r="AL50" s="21" t="str">
        <f>IF(AH50=1,"",IF(A50="","; E_MISSING_INPUT","")&amp;IF(N50="","; E_MISSING_INPUT","")&amp;IF(AND(N50&lt;&gt;"",ISNA(MATCH(N50,nLIST_TimeUnit,0))),"; E_INVALID_UNIT","")&amp;IF(O50="","; E_MISSING_INPUT","")&amp;IF(AND(O50&lt;&gt;"",NOT(ISNUMBER(O50))),"; E_MISSING_INPUT","")&amp;IF(AND(ISNUMBER(O50),O50&lt;=0),"; E_NONPOSITIVE_PARAMETER","")&amp;IF(R50="","; E_MISSING_INPUT","")&amp;IF(AND(R50&lt;&gt;"",NOT(ISNUMBER(R50))),"; E_MISSING_INPUT","")&amp;IF(AND(ISNUMBER(R50),R50&lt;=0),"; E_NONPOSITIVE_PARAMETER","")&amp;IF(TRIM(H50&amp;"")="","; E_MISSING_INPUT","")&amp;IF(TRIM(I50&amp;"")="","; E_MISSING_INPUT","")&amp;IF(TRIM(J50&amp;"")="","; E_MISSING_INPUT","")&amp;IF(TRIM(L50&amp;"")="","; E_MISSING_INPUT","")&amp;IF(P50="","; E_MISSING_INPUT","")&amp;IF(S50="","; E_MISSING_INPUT","")&amp;IF(AK50=0,"; E_APPLICABILITY_UNCONFIRMED",""))</f>
        <v/>
      </c>
      <c r="AM50" s="21" t="str">
        <f t="shared" si="83"/>
        <v/>
      </c>
      <c r="AN50" s="21" t="str">
        <f t="shared" si="84"/>
        <v/>
      </c>
      <c r="AO50" s="21" t="str">
        <f t="shared" si="85"/>
        <v/>
      </c>
      <c r="AP50" s="22">
        <f t="shared" si="86"/>
        <v>0</v>
      </c>
    </row>
    <row r="51" spans="1:48" x14ac:dyDescent="0.2">
      <c r="A51" s="10"/>
      <c r="B51" s="10"/>
      <c r="C51" s="12"/>
      <c r="D51" s="10"/>
      <c r="E51" s="10"/>
      <c r="F51" s="17"/>
      <c r="G51" s="17"/>
      <c r="H51" s="10"/>
      <c r="I51" s="10"/>
      <c r="J51" s="10"/>
      <c r="K51" s="17"/>
      <c r="L51" s="10"/>
      <c r="M51" s="17"/>
      <c r="N51" s="17"/>
      <c r="O51" s="17"/>
      <c r="P51" s="17"/>
      <c r="Q51" s="10"/>
      <c r="R51" s="17"/>
      <c r="S51" s="17"/>
      <c r="T51" s="10"/>
      <c r="U51" s="21" t="str">
        <f t="shared" si="67"/>
        <v/>
      </c>
      <c r="V51" s="21" t="str">
        <f t="shared" si="68"/>
        <v/>
      </c>
      <c r="W51" s="21" t="str">
        <f t="shared" si="69"/>
        <v/>
      </c>
      <c r="X51" s="21" t="str">
        <f t="shared" si="70"/>
        <v/>
      </c>
      <c r="Y51" s="21" t="str">
        <f>IF(AH51=1,"",MID(IF(ISNUMBER(SEARCH("E_INVALID_DATE",AN51))," | E_INVALID_DATE: "&amp;SUBSTITUTE(IFERROR(INDEX(nMSG_Text,MATCH("E_INVALID_DATE",nMSG_Code,0)),""),"[input]",""),"")&amp;IF(ISNUMBER(SEARCH("E_REVERSED_BOUNDS",AN51))," | E_REVERSED_BOUNDS: "&amp;SUBSTITUTE(IFERROR(INDEX(nMSG_Text,MATCH("E_REVERSED_BOUNDS",nMSG_Code,0)),""),"[input]",""),"")&amp;IF(ISNUMBER(SEARCH("E_DUPLICATE_ID",AN51))," | E_DUPLICATE_ID: "&amp;SUBSTITUTE(IFERROR(INDEX(nMSG_Text,MATCH("E_DUPLICATE_ID",nMSG_Code,0)),""),"[input]",""),"")&amp;IF(ISNUMBER(SEARCH("E_MISSING_LINK",AN51))," | E_MISSING_LINK: "&amp;SUBSTITUTE(IFERROR(INDEX(nMSG_Text,MATCH("E_MISSING_LINK",nMSG_Code,0)),""),"[input]",""),"")&amp;IF(ISNUMBER(SEARCH("E_MISSING_INPUT",AN51))," | E_MISSING_INPUT: "&amp;SUBSTITUTE(IFERROR(INDEX(nMSG_Text,MATCH("E_MISSING_INPUT",nMSG_Code,0)),""),"[input]",IF(AO51="","an input",AO51)),"")&amp;IF(ISNUMBER(SEARCH("E_INVALID_UNIT",AN51))," | E_INVALID_UNIT: "&amp;SUBSTITUTE(IFERROR(INDEX(nMSG_Text,MATCH("E_INVALID_UNIT",nMSG_Code,0)),""),"[input]",""),"")&amp;IF(ISNUMBER(SEARCH("E_NONPOSITIVE_PARAMETER",AN51))," | E_NONPOSITIVE_PARAMETER: "&amp;SUBSTITUTE(IFERROR(INDEX(nMSG_Text,MATCH("E_NONPOSITIVE_PARAMETER",nMSG_Code,0)),""),"[input]",""),"")&amp;IF(ISNUMBER(SEARCH("E_OUT_OF_RANGE",AN51))," | E_OUT_OF_RANGE: "&amp;SUBSTITUTE(IFERROR(INDEX(nMSG_Text,MATCH("E_OUT_OF_RANGE",nMSG_Code,0)),""),"[input]",""),"")&amp;IF(ISNUMBER(SEARCH("E_APPLICABILITY_UNCONFIRMED",AN51))," | E_APPLICABILITY_UNCONFIRMED: "&amp;SUBSTITUTE(IFERROR(INDEX(nMSG_Text,MATCH("E_APPLICABILITY_UNCONFIRMED",nMSG_Code,0)),""),"[input]",""),"")&amp;IF(ISNUMBER(SEARCH("E_CREATININE_STABILITY_UNCONFIRMED",AN51))," | E_CREATININE_STABILITY_UNCONFIRMED: "&amp;SUBSTITUTE(IFERROR(INDEX(nMSG_Text,MATCH("E_CREATININE_STABILITY_UNCONFIRMED",nMSG_Code,0)),""),"[input]",""),"")&amp;IF(ISNUMBER(SEARCH("E_OVERLAPPING_SEGMENTS",AN51))," | E_OVERLAPPING_SEGMENTS: "&amp;SUBSTITUTE(IFERROR(INDEX(nMSG_Text,MATCH("E_OVERLAPPING_SEGMENTS",nMSG_Code,0)),""),"[input]",""),""),4,9999))</f>
        <v/>
      </c>
      <c r="Z51" s="21" t="str">
        <f t="shared" si="71"/>
        <v/>
      </c>
      <c r="AA51" s="21" t="str">
        <f t="shared" si="72"/>
        <v/>
      </c>
      <c r="AB51" s="21" t="str">
        <f t="shared" si="73"/>
        <v/>
      </c>
      <c r="AC51" s="21" t="str">
        <f t="shared" si="74"/>
        <v/>
      </c>
      <c r="AD51" s="21" t="str">
        <f t="shared" si="75"/>
        <v/>
      </c>
      <c r="AE51" s="21" t="str">
        <f t="shared" si="76"/>
        <v/>
      </c>
      <c r="AF51" s="21" t="str">
        <f t="shared" si="77"/>
        <v/>
      </c>
      <c r="AG51" s="21" t="str">
        <f t="shared" si="78"/>
        <v/>
      </c>
      <c r="AH51" s="22">
        <f t="shared" si="79"/>
        <v>1</v>
      </c>
      <c r="AI51" s="21" t="str">
        <f t="shared" si="80"/>
        <v/>
      </c>
      <c r="AJ51" s="21" t="str">
        <f t="shared" si="81"/>
        <v/>
      </c>
      <c r="AK51" s="22">
        <f t="shared" si="82"/>
        <v>0</v>
      </c>
      <c r="AL51" s="21" t="str">
        <f>IF(AH51=1,"",IF(A51="","; E_MISSING_INPUT","")&amp;IF(N51="","; E_MISSING_INPUT","")&amp;IF(AND(N51&lt;&gt;"",ISNA(MATCH(N51,nLIST_TimeUnit,0))),"; E_INVALID_UNIT","")&amp;IF(O51="","; E_MISSING_INPUT","")&amp;IF(AND(O51&lt;&gt;"",NOT(ISNUMBER(O51))),"; E_MISSING_INPUT","")&amp;IF(AND(ISNUMBER(O51),O51&lt;=0),"; E_NONPOSITIVE_PARAMETER","")&amp;IF(R51="","; E_MISSING_INPUT","")&amp;IF(AND(R51&lt;&gt;"",NOT(ISNUMBER(R51))),"; E_MISSING_INPUT","")&amp;IF(AND(ISNUMBER(R51),R51&lt;=0),"; E_NONPOSITIVE_PARAMETER","")&amp;IF(TRIM(H51&amp;"")="","; E_MISSING_INPUT","")&amp;IF(TRIM(I51&amp;"")="","; E_MISSING_INPUT","")&amp;IF(TRIM(J51&amp;"")="","; E_MISSING_INPUT","")&amp;IF(TRIM(L51&amp;"")="","; E_MISSING_INPUT","")&amp;IF(P51="","; E_MISSING_INPUT","")&amp;IF(S51="","; E_MISSING_INPUT","")&amp;IF(AK51=0,"; E_APPLICABILITY_UNCONFIRMED",""))</f>
        <v/>
      </c>
      <c r="AM51" s="21" t="str">
        <f t="shared" si="83"/>
        <v/>
      </c>
      <c r="AN51" s="21" t="str">
        <f t="shared" si="84"/>
        <v/>
      </c>
      <c r="AO51" s="21" t="str">
        <f t="shared" si="85"/>
        <v/>
      </c>
      <c r="AP51" s="22">
        <f t="shared" si="86"/>
        <v>0</v>
      </c>
    </row>
    <row r="52" spans="1:48" x14ac:dyDescent="0.2">
      <c r="A52" s="10"/>
      <c r="B52" s="10"/>
      <c r="C52" s="12"/>
      <c r="D52" s="10"/>
      <c r="E52" s="10"/>
      <c r="F52" s="17"/>
      <c r="G52" s="17"/>
      <c r="H52" s="10"/>
      <c r="I52" s="10"/>
      <c r="J52" s="10"/>
      <c r="K52" s="17"/>
      <c r="L52" s="10"/>
      <c r="M52" s="17"/>
      <c r="N52" s="17"/>
      <c r="O52" s="17"/>
      <c r="P52" s="17"/>
      <c r="Q52" s="10"/>
      <c r="R52" s="17"/>
      <c r="S52" s="17"/>
      <c r="T52" s="10"/>
      <c r="U52" s="21" t="str">
        <f t="shared" si="67"/>
        <v/>
      </c>
      <c r="V52" s="21" t="str">
        <f t="shared" si="68"/>
        <v/>
      </c>
      <c r="W52" s="21" t="str">
        <f t="shared" si="69"/>
        <v/>
      </c>
      <c r="X52" s="21" t="str">
        <f t="shared" si="70"/>
        <v/>
      </c>
      <c r="Y52" s="21" t="str">
        <f>IF(AH52=1,"",MID(IF(ISNUMBER(SEARCH("E_INVALID_DATE",AN52))," | E_INVALID_DATE: "&amp;SUBSTITUTE(IFERROR(INDEX(nMSG_Text,MATCH("E_INVALID_DATE",nMSG_Code,0)),""),"[input]",""),"")&amp;IF(ISNUMBER(SEARCH("E_REVERSED_BOUNDS",AN52))," | E_REVERSED_BOUNDS: "&amp;SUBSTITUTE(IFERROR(INDEX(nMSG_Text,MATCH("E_REVERSED_BOUNDS",nMSG_Code,0)),""),"[input]",""),"")&amp;IF(ISNUMBER(SEARCH("E_DUPLICATE_ID",AN52))," | E_DUPLICATE_ID: "&amp;SUBSTITUTE(IFERROR(INDEX(nMSG_Text,MATCH("E_DUPLICATE_ID",nMSG_Code,0)),""),"[input]",""),"")&amp;IF(ISNUMBER(SEARCH("E_MISSING_LINK",AN52))," | E_MISSING_LINK: "&amp;SUBSTITUTE(IFERROR(INDEX(nMSG_Text,MATCH("E_MISSING_LINK",nMSG_Code,0)),""),"[input]",""),"")&amp;IF(ISNUMBER(SEARCH("E_MISSING_INPUT",AN52))," | E_MISSING_INPUT: "&amp;SUBSTITUTE(IFERROR(INDEX(nMSG_Text,MATCH("E_MISSING_INPUT",nMSG_Code,0)),""),"[input]",IF(AO52="","an input",AO52)),"")&amp;IF(ISNUMBER(SEARCH("E_INVALID_UNIT",AN52))," | E_INVALID_UNIT: "&amp;SUBSTITUTE(IFERROR(INDEX(nMSG_Text,MATCH("E_INVALID_UNIT",nMSG_Code,0)),""),"[input]",""),"")&amp;IF(ISNUMBER(SEARCH("E_NONPOSITIVE_PARAMETER",AN52))," | E_NONPOSITIVE_PARAMETER: "&amp;SUBSTITUTE(IFERROR(INDEX(nMSG_Text,MATCH("E_NONPOSITIVE_PARAMETER",nMSG_Code,0)),""),"[input]",""),"")&amp;IF(ISNUMBER(SEARCH("E_OUT_OF_RANGE",AN52))," | E_OUT_OF_RANGE: "&amp;SUBSTITUTE(IFERROR(INDEX(nMSG_Text,MATCH("E_OUT_OF_RANGE",nMSG_Code,0)),""),"[input]",""),"")&amp;IF(ISNUMBER(SEARCH("E_APPLICABILITY_UNCONFIRMED",AN52))," | E_APPLICABILITY_UNCONFIRMED: "&amp;SUBSTITUTE(IFERROR(INDEX(nMSG_Text,MATCH("E_APPLICABILITY_UNCONFIRMED",nMSG_Code,0)),""),"[input]",""),"")&amp;IF(ISNUMBER(SEARCH("E_CREATININE_STABILITY_UNCONFIRMED",AN52))," | E_CREATININE_STABILITY_UNCONFIRMED: "&amp;SUBSTITUTE(IFERROR(INDEX(nMSG_Text,MATCH("E_CREATININE_STABILITY_UNCONFIRMED",nMSG_Code,0)),""),"[input]",""),"")&amp;IF(ISNUMBER(SEARCH("E_OVERLAPPING_SEGMENTS",AN52))," | E_OVERLAPPING_SEGMENTS: "&amp;SUBSTITUTE(IFERROR(INDEX(nMSG_Text,MATCH("E_OVERLAPPING_SEGMENTS",nMSG_Code,0)),""),"[input]",""),""),4,9999))</f>
        <v/>
      </c>
      <c r="Z52" s="21" t="str">
        <f t="shared" si="71"/>
        <v/>
      </c>
      <c r="AA52" s="21" t="str">
        <f t="shared" si="72"/>
        <v/>
      </c>
      <c r="AB52" s="21" t="str">
        <f t="shared" si="73"/>
        <v/>
      </c>
      <c r="AC52" s="21" t="str">
        <f t="shared" si="74"/>
        <v/>
      </c>
      <c r="AD52" s="21" t="str">
        <f t="shared" si="75"/>
        <v/>
      </c>
      <c r="AE52" s="21" t="str">
        <f t="shared" si="76"/>
        <v/>
      </c>
      <c r="AF52" s="21" t="str">
        <f t="shared" si="77"/>
        <v/>
      </c>
      <c r="AG52" s="21" t="str">
        <f t="shared" si="78"/>
        <v/>
      </c>
      <c r="AH52" s="22">
        <f t="shared" si="79"/>
        <v>1</v>
      </c>
      <c r="AI52" s="21" t="str">
        <f t="shared" si="80"/>
        <v/>
      </c>
      <c r="AJ52" s="21" t="str">
        <f t="shared" si="81"/>
        <v/>
      </c>
      <c r="AK52" s="22">
        <f t="shared" si="82"/>
        <v>0</v>
      </c>
      <c r="AL52" s="21" t="str">
        <f>IF(AH52=1,"",IF(A52="","; E_MISSING_INPUT","")&amp;IF(N52="","; E_MISSING_INPUT","")&amp;IF(AND(N52&lt;&gt;"",ISNA(MATCH(N52,nLIST_TimeUnit,0))),"; E_INVALID_UNIT","")&amp;IF(O52="","; E_MISSING_INPUT","")&amp;IF(AND(O52&lt;&gt;"",NOT(ISNUMBER(O52))),"; E_MISSING_INPUT","")&amp;IF(AND(ISNUMBER(O52),O52&lt;=0),"; E_NONPOSITIVE_PARAMETER","")&amp;IF(R52="","; E_MISSING_INPUT","")&amp;IF(AND(R52&lt;&gt;"",NOT(ISNUMBER(R52))),"; E_MISSING_INPUT","")&amp;IF(AND(ISNUMBER(R52),R52&lt;=0),"; E_NONPOSITIVE_PARAMETER","")&amp;IF(TRIM(H52&amp;"")="","; E_MISSING_INPUT","")&amp;IF(TRIM(I52&amp;"")="","; E_MISSING_INPUT","")&amp;IF(TRIM(J52&amp;"")="","; E_MISSING_INPUT","")&amp;IF(TRIM(L52&amp;"")="","; E_MISSING_INPUT","")&amp;IF(P52="","; E_MISSING_INPUT","")&amp;IF(S52="","; E_MISSING_INPUT","")&amp;IF(AK52=0,"; E_APPLICABILITY_UNCONFIRMED",""))</f>
        <v/>
      </c>
      <c r="AM52" s="21" t="str">
        <f t="shared" si="83"/>
        <v/>
      </c>
      <c r="AN52" s="21" t="str">
        <f t="shared" si="84"/>
        <v/>
      </c>
      <c r="AO52" s="21" t="str">
        <f t="shared" si="85"/>
        <v/>
      </c>
      <c r="AP52" s="22">
        <f t="shared" si="86"/>
        <v>0</v>
      </c>
    </row>
    <row r="53" spans="1:48" x14ac:dyDescent="0.2">
      <c r="A53" s="10"/>
      <c r="B53" s="10"/>
      <c r="C53" s="12"/>
      <c r="D53" s="10"/>
      <c r="E53" s="10"/>
      <c r="F53" s="17"/>
      <c r="G53" s="17"/>
      <c r="H53" s="10"/>
      <c r="I53" s="10"/>
      <c r="J53" s="10"/>
      <c r="K53" s="17"/>
      <c r="L53" s="10"/>
      <c r="M53" s="17"/>
      <c r="N53" s="17"/>
      <c r="O53" s="17"/>
      <c r="P53" s="17"/>
      <c r="Q53" s="10"/>
      <c r="R53" s="17"/>
      <c r="S53" s="17"/>
      <c r="T53" s="10"/>
      <c r="U53" s="21" t="str">
        <f t="shared" si="67"/>
        <v/>
      </c>
      <c r="V53" s="21" t="str">
        <f t="shared" si="68"/>
        <v/>
      </c>
      <c r="W53" s="21" t="str">
        <f t="shared" si="69"/>
        <v/>
      </c>
      <c r="X53" s="21" t="str">
        <f t="shared" si="70"/>
        <v/>
      </c>
      <c r="Y53" s="21" t="str">
        <f>IF(AH53=1,"",MID(IF(ISNUMBER(SEARCH("E_INVALID_DATE",AN53))," | E_INVALID_DATE: "&amp;SUBSTITUTE(IFERROR(INDEX(nMSG_Text,MATCH("E_INVALID_DATE",nMSG_Code,0)),""),"[input]",""),"")&amp;IF(ISNUMBER(SEARCH("E_REVERSED_BOUNDS",AN53))," | E_REVERSED_BOUNDS: "&amp;SUBSTITUTE(IFERROR(INDEX(nMSG_Text,MATCH("E_REVERSED_BOUNDS",nMSG_Code,0)),""),"[input]",""),"")&amp;IF(ISNUMBER(SEARCH("E_DUPLICATE_ID",AN53))," | E_DUPLICATE_ID: "&amp;SUBSTITUTE(IFERROR(INDEX(nMSG_Text,MATCH("E_DUPLICATE_ID",nMSG_Code,0)),""),"[input]",""),"")&amp;IF(ISNUMBER(SEARCH("E_MISSING_LINK",AN53))," | E_MISSING_LINK: "&amp;SUBSTITUTE(IFERROR(INDEX(nMSG_Text,MATCH("E_MISSING_LINK",nMSG_Code,0)),""),"[input]",""),"")&amp;IF(ISNUMBER(SEARCH("E_MISSING_INPUT",AN53))," | E_MISSING_INPUT: "&amp;SUBSTITUTE(IFERROR(INDEX(nMSG_Text,MATCH("E_MISSING_INPUT",nMSG_Code,0)),""),"[input]",IF(AO53="","an input",AO53)),"")&amp;IF(ISNUMBER(SEARCH("E_INVALID_UNIT",AN53))," | E_INVALID_UNIT: "&amp;SUBSTITUTE(IFERROR(INDEX(nMSG_Text,MATCH("E_INVALID_UNIT",nMSG_Code,0)),""),"[input]",""),"")&amp;IF(ISNUMBER(SEARCH("E_NONPOSITIVE_PARAMETER",AN53))," | E_NONPOSITIVE_PARAMETER: "&amp;SUBSTITUTE(IFERROR(INDEX(nMSG_Text,MATCH("E_NONPOSITIVE_PARAMETER",nMSG_Code,0)),""),"[input]",""),"")&amp;IF(ISNUMBER(SEARCH("E_OUT_OF_RANGE",AN53))," | E_OUT_OF_RANGE: "&amp;SUBSTITUTE(IFERROR(INDEX(nMSG_Text,MATCH("E_OUT_OF_RANGE",nMSG_Code,0)),""),"[input]",""),"")&amp;IF(ISNUMBER(SEARCH("E_APPLICABILITY_UNCONFIRMED",AN53))," | E_APPLICABILITY_UNCONFIRMED: "&amp;SUBSTITUTE(IFERROR(INDEX(nMSG_Text,MATCH("E_APPLICABILITY_UNCONFIRMED",nMSG_Code,0)),""),"[input]",""),"")&amp;IF(ISNUMBER(SEARCH("E_CREATININE_STABILITY_UNCONFIRMED",AN53))," | E_CREATININE_STABILITY_UNCONFIRMED: "&amp;SUBSTITUTE(IFERROR(INDEX(nMSG_Text,MATCH("E_CREATININE_STABILITY_UNCONFIRMED",nMSG_Code,0)),""),"[input]",""),"")&amp;IF(ISNUMBER(SEARCH("E_OVERLAPPING_SEGMENTS",AN53))," | E_OVERLAPPING_SEGMENTS: "&amp;SUBSTITUTE(IFERROR(INDEX(nMSG_Text,MATCH("E_OVERLAPPING_SEGMENTS",nMSG_Code,0)),""),"[input]",""),""),4,9999))</f>
        <v/>
      </c>
      <c r="Z53" s="21" t="str">
        <f t="shared" si="71"/>
        <v/>
      </c>
      <c r="AA53" s="21" t="str">
        <f t="shared" si="72"/>
        <v/>
      </c>
      <c r="AB53" s="21" t="str">
        <f t="shared" si="73"/>
        <v/>
      </c>
      <c r="AC53" s="21" t="str">
        <f t="shared" si="74"/>
        <v/>
      </c>
      <c r="AD53" s="21" t="str">
        <f t="shared" si="75"/>
        <v/>
      </c>
      <c r="AE53" s="21" t="str">
        <f t="shared" si="76"/>
        <v/>
      </c>
      <c r="AF53" s="21" t="str">
        <f t="shared" si="77"/>
        <v/>
      </c>
      <c r="AG53" s="21" t="str">
        <f t="shared" si="78"/>
        <v/>
      </c>
      <c r="AH53" s="22">
        <f t="shared" si="79"/>
        <v>1</v>
      </c>
      <c r="AI53" s="21" t="str">
        <f t="shared" si="80"/>
        <v/>
      </c>
      <c r="AJ53" s="21" t="str">
        <f t="shared" si="81"/>
        <v/>
      </c>
      <c r="AK53" s="22">
        <f t="shared" si="82"/>
        <v>0</v>
      </c>
      <c r="AL53" s="21" t="str">
        <f>IF(AH53=1,"",IF(A53="","; E_MISSING_INPUT","")&amp;IF(N53="","; E_MISSING_INPUT","")&amp;IF(AND(N53&lt;&gt;"",ISNA(MATCH(N53,nLIST_TimeUnit,0))),"; E_INVALID_UNIT","")&amp;IF(O53="","; E_MISSING_INPUT","")&amp;IF(AND(O53&lt;&gt;"",NOT(ISNUMBER(O53))),"; E_MISSING_INPUT","")&amp;IF(AND(ISNUMBER(O53),O53&lt;=0),"; E_NONPOSITIVE_PARAMETER","")&amp;IF(R53="","; E_MISSING_INPUT","")&amp;IF(AND(R53&lt;&gt;"",NOT(ISNUMBER(R53))),"; E_MISSING_INPUT","")&amp;IF(AND(ISNUMBER(R53),R53&lt;=0),"; E_NONPOSITIVE_PARAMETER","")&amp;IF(TRIM(H53&amp;"")="","; E_MISSING_INPUT","")&amp;IF(TRIM(I53&amp;"")="","; E_MISSING_INPUT","")&amp;IF(TRIM(J53&amp;"")="","; E_MISSING_INPUT","")&amp;IF(TRIM(L53&amp;"")="","; E_MISSING_INPUT","")&amp;IF(P53="","; E_MISSING_INPUT","")&amp;IF(S53="","; E_MISSING_INPUT","")&amp;IF(AK53=0,"; E_APPLICABILITY_UNCONFIRMED",""))</f>
        <v/>
      </c>
      <c r="AM53" s="21" t="str">
        <f t="shared" si="83"/>
        <v/>
      </c>
      <c r="AN53" s="21" t="str">
        <f t="shared" si="84"/>
        <v/>
      </c>
      <c r="AO53" s="21" t="str">
        <f t="shared" si="85"/>
        <v/>
      </c>
      <c r="AP53" s="22">
        <f t="shared" si="86"/>
        <v>0</v>
      </c>
    </row>
    <row r="54" spans="1:48" x14ac:dyDescent="0.2">
      <c r="A54" s="10"/>
      <c r="B54" s="10"/>
      <c r="C54" s="12"/>
      <c r="D54" s="10"/>
      <c r="E54" s="10"/>
      <c r="F54" s="17"/>
      <c r="G54" s="17"/>
      <c r="H54" s="10"/>
      <c r="I54" s="10"/>
      <c r="J54" s="10"/>
      <c r="K54" s="17"/>
      <c r="L54" s="10"/>
      <c r="M54" s="17"/>
      <c r="N54" s="17"/>
      <c r="O54" s="17"/>
      <c r="P54" s="17"/>
      <c r="Q54" s="10"/>
      <c r="R54" s="17"/>
      <c r="S54" s="17"/>
      <c r="T54" s="10"/>
      <c r="U54" s="21" t="str">
        <f t="shared" si="67"/>
        <v/>
      </c>
      <c r="V54" s="21" t="str">
        <f t="shared" si="68"/>
        <v/>
      </c>
      <c r="W54" s="21" t="str">
        <f t="shared" si="69"/>
        <v/>
      </c>
      <c r="X54" s="21" t="str">
        <f t="shared" si="70"/>
        <v/>
      </c>
      <c r="Y54" s="21" t="str">
        <f>IF(AH54=1,"",MID(IF(ISNUMBER(SEARCH("E_INVALID_DATE",AN54))," | E_INVALID_DATE: "&amp;SUBSTITUTE(IFERROR(INDEX(nMSG_Text,MATCH("E_INVALID_DATE",nMSG_Code,0)),""),"[input]",""),"")&amp;IF(ISNUMBER(SEARCH("E_REVERSED_BOUNDS",AN54))," | E_REVERSED_BOUNDS: "&amp;SUBSTITUTE(IFERROR(INDEX(nMSG_Text,MATCH("E_REVERSED_BOUNDS",nMSG_Code,0)),""),"[input]",""),"")&amp;IF(ISNUMBER(SEARCH("E_DUPLICATE_ID",AN54))," | E_DUPLICATE_ID: "&amp;SUBSTITUTE(IFERROR(INDEX(nMSG_Text,MATCH("E_DUPLICATE_ID",nMSG_Code,0)),""),"[input]",""),"")&amp;IF(ISNUMBER(SEARCH("E_MISSING_LINK",AN54))," | E_MISSING_LINK: "&amp;SUBSTITUTE(IFERROR(INDEX(nMSG_Text,MATCH("E_MISSING_LINK",nMSG_Code,0)),""),"[input]",""),"")&amp;IF(ISNUMBER(SEARCH("E_MISSING_INPUT",AN54))," | E_MISSING_INPUT: "&amp;SUBSTITUTE(IFERROR(INDEX(nMSG_Text,MATCH("E_MISSING_INPUT",nMSG_Code,0)),""),"[input]",IF(AO54="","an input",AO54)),"")&amp;IF(ISNUMBER(SEARCH("E_INVALID_UNIT",AN54))," | E_INVALID_UNIT: "&amp;SUBSTITUTE(IFERROR(INDEX(nMSG_Text,MATCH("E_INVALID_UNIT",nMSG_Code,0)),""),"[input]",""),"")&amp;IF(ISNUMBER(SEARCH("E_NONPOSITIVE_PARAMETER",AN54))," | E_NONPOSITIVE_PARAMETER: "&amp;SUBSTITUTE(IFERROR(INDEX(nMSG_Text,MATCH("E_NONPOSITIVE_PARAMETER",nMSG_Code,0)),""),"[input]",""),"")&amp;IF(ISNUMBER(SEARCH("E_OUT_OF_RANGE",AN54))," | E_OUT_OF_RANGE: "&amp;SUBSTITUTE(IFERROR(INDEX(nMSG_Text,MATCH("E_OUT_OF_RANGE",nMSG_Code,0)),""),"[input]",""),"")&amp;IF(ISNUMBER(SEARCH("E_APPLICABILITY_UNCONFIRMED",AN54))," | E_APPLICABILITY_UNCONFIRMED: "&amp;SUBSTITUTE(IFERROR(INDEX(nMSG_Text,MATCH("E_APPLICABILITY_UNCONFIRMED",nMSG_Code,0)),""),"[input]",""),"")&amp;IF(ISNUMBER(SEARCH("E_CREATININE_STABILITY_UNCONFIRMED",AN54))," | E_CREATININE_STABILITY_UNCONFIRMED: "&amp;SUBSTITUTE(IFERROR(INDEX(nMSG_Text,MATCH("E_CREATININE_STABILITY_UNCONFIRMED",nMSG_Code,0)),""),"[input]",""),"")&amp;IF(ISNUMBER(SEARCH("E_OVERLAPPING_SEGMENTS",AN54))," | E_OVERLAPPING_SEGMENTS: "&amp;SUBSTITUTE(IFERROR(INDEX(nMSG_Text,MATCH("E_OVERLAPPING_SEGMENTS",nMSG_Code,0)),""),"[input]",""),""),4,9999))</f>
        <v/>
      </c>
      <c r="Z54" s="21" t="str">
        <f t="shared" si="71"/>
        <v/>
      </c>
      <c r="AA54" s="21" t="str">
        <f t="shared" si="72"/>
        <v/>
      </c>
      <c r="AB54" s="21" t="str">
        <f t="shared" si="73"/>
        <v/>
      </c>
      <c r="AC54" s="21" t="str">
        <f t="shared" si="74"/>
        <v/>
      </c>
      <c r="AD54" s="21" t="str">
        <f t="shared" si="75"/>
        <v/>
      </c>
      <c r="AE54" s="21" t="str">
        <f t="shared" si="76"/>
        <v/>
      </c>
      <c r="AF54" s="21" t="str">
        <f t="shared" si="77"/>
        <v/>
      </c>
      <c r="AG54" s="21" t="str">
        <f t="shared" si="78"/>
        <v/>
      </c>
      <c r="AH54" s="22">
        <f t="shared" si="79"/>
        <v>1</v>
      </c>
      <c r="AI54" s="21" t="str">
        <f t="shared" si="80"/>
        <v/>
      </c>
      <c r="AJ54" s="21" t="str">
        <f t="shared" si="81"/>
        <v/>
      </c>
      <c r="AK54" s="22">
        <f t="shared" si="82"/>
        <v>0</v>
      </c>
      <c r="AL54" s="21" t="str">
        <f>IF(AH54=1,"",IF(A54="","; E_MISSING_INPUT","")&amp;IF(N54="","; E_MISSING_INPUT","")&amp;IF(AND(N54&lt;&gt;"",ISNA(MATCH(N54,nLIST_TimeUnit,0))),"; E_INVALID_UNIT","")&amp;IF(O54="","; E_MISSING_INPUT","")&amp;IF(AND(O54&lt;&gt;"",NOT(ISNUMBER(O54))),"; E_MISSING_INPUT","")&amp;IF(AND(ISNUMBER(O54),O54&lt;=0),"; E_NONPOSITIVE_PARAMETER","")&amp;IF(R54="","; E_MISSING_INPUT","")&amp;IF(AND(R54&lt;&gt;"",NOT(ISNUMBER(R54))),"; E_MISSING_INPUT","")&amp;IF(AND(ISNUMBER(R54),R54&lt;=0),"; E_NONPOSITIVE_PARAMETER","")&amp;IF(TRIM(H54&amp;"")="","; E_MISSING_INPUT","")&amp;IF(TRIM(I54&amp;"")="","; E_MISSING_INPUT","")&amp;IF(TRIM(J54&amp;"")="","; E_MISSING_INPUT","")&amp;IF(TRIM(L54&amp;"")="","; E_MISSING_INPUT","")&amp;IF(P54="","; E_MISSING_INPUT","")&amp;IF(S54="","; E_MISSING_INPUT","")&amp;IF(AK54=0,"; E_APPLICABILITY_UNCONFIRMED",""))</f>
        <v/>
      </c>
      <c r="AM54" s="21" t="str">
        <f t="shared" si="83"/>
        <v/>
      </c>
      <c r="AN54" s="21" t="str">
        <f t="shared" si="84"/>
        <v/>
      </c>
      <c r="AO54" s="21" t="str">
        <f t="shared" si="85"/>
        <v/>
      </c>
      <c r="AP54" s="22">
        <f t="shared" si="86"/>
        <v>0</v>
      </c>
    </row>
    <row r="55" spans="1:48" x14ac:dyDescent="0.2">
      <c r="A55" s="24" t="s">
        <v>295</v>
      </c>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row>
    <row r="56" spans="1:48" x14ac:dyDescent="0.2">
      <c r="A56" s="9" t="s">
        <v>1285</v>
      </c>
      <c r="B56" s="9" t="s">
        <v>343</v>
      </c>
      <c r="C56" s="11">
        <v>1</v>
      </c>
      <c r="D56" s="9" t="s">
        <v>1286</v>
      </c>
      <c r="E56" s="9"/>
      <c r="F56" s="16" t="s">
        <v>85</v>
      </c>
      <c r="G56" s="16" t="s">
        <v>85</v>
      </c>
      <c r="H56" s="9" t="s">
        <v>1247</v>
      </c>
      <c r="I56" s="9" t="s">
        <v>1244</v>
      </c>
      <c r="J56" s="9" t="s">
        <v>1246</v>
      </c>
      <c r="K56" s="16" t="s">
        <v>85</v>
      </c>
      <c r="L56" s="9" t="s">
        <v>1245</v>
      </c>
      <c r="M56" s="16" t="s">
        <v>85</v>
      </c>
      <c r="N56" s="16" t="s">
        <v>67</v>
      </c>
      <c r="O56" s="16">
        <v>24</v>
      </c>
      <c r="P56" s="16" t="s">
        <v>83</v>
      </c>
      <c r="Q56" s="9" t="s">
        <v>1287</v>
      </c>
      <c r="R56" s="16">
        <v>12</v>
      </c>
      <c r="S56" s="16" t="s">
        <v>83</v>
      </c>
      <c r="T56" s="9" t="s">
        <v>1287</v>
      </c>
      <c r="U56" s="21" t="str">
        <f>IF(AH56=1,"",IF(AN56&lt;&gt;"",AN56&amp;": no result is shown","Accumulation factor R = "&amp;FIXED(W56,2,TRUE)&amp;" at corresponding points in the dosing cycle"))</f>
        <v>Accumulation factor R = 3.41 at corresponding points in the dosing cycle</v>
      </c>
      <c r="V56" s="21" t="str">
        <f>IF(AH56=1,"",IF(AP56=0,"Not calculable",MID(IF(TRUE,"; "&amp;"Accumulation factor R"&amp;": "&amp;FIXED(W56,2,TRUE),""),3,9999)))</f>
        <v>Accumulation factor R: 3.41</v>
      </c>
      <c r="W56" s="21">
        <f>IF(AP56=1,1/(1-2^(-R56/O56)),"")</f>
        <v>3.4142135623730945</v>
      </c>
      <c r="X56" s="21" t="str">
        <f>IF(AH56=1,"",IF(AN56&lt;&gt;"",AN56,""))</f>
        <v/>
      </c>
      <c r="Y56" s="21" t="str">
        <f>IF(AH56=1,"",MID(IF(ISNUMBER(SEARCH("E_INVALID_DATE",AN56))," | E_INVALID_DATE: "&amp;SUBSTITUTE(IFERROR(INDEX(nMSG_Text,MATCH("E_INVALID_DATE",nMSG_Code,0)),""),"[input]",""),"")&amp;IF(ISNUMBER(SEARCH("E_REVERSED_BOUNDS",AN56))," | E_REVERSED_BOUNDS: "&amp;SUBSTITUTE(IFERROR(INDEX(nMSG_Text,MATCH("E_REVERSED_BOUNDS",nMSG_Code,0)),""),"[input]",""),"")&amp;IF(ISNUMBER(SEARCH("E_DUPLICATE_ID",AN56))," | E_DUPLICATE_ID: "&amp;SUBSTITUTE(IFERROR(INDEX(nMSG_Text,MATCH("E_DUPLICATE_ID",nMSG_Code,0)),""),"[input]",""),"")&amp;IF(ISNUMBER(SEARCH("E_MISSING_LINK",AN56))," | E_MISSING_LINK: "&amp;SUBSTITUTE(IFERROR(INDEX(nMSG_Text,MATCH("E_MISSING_LINK",nMSG_Code,0)),""),"[input]",""),"")&amp;IF(ISNUMBER(SEARCH("E_MISSING_INPUT",AN56))," | E_MISSING_INPUT: "&amp;SUBSTITUTE(IFERROR(INDEX(nMSG_Text,MATCH("E_MISSING_INPUT",nMSG_Code,0)),""),"[input]",IF(AO56="","an input",AO56)),"")&amp;IF(ISNUMBER(SEARCH("E_INVALID_UNIT",AN56))," | E_INVALID_UNIT: "&amp;SUBSTITUTE(IFERROR(INDEX(nMSG_Text,MATCH("E_INVALID_UNIT",nMSG_Code,0)),""),"[input]",""),"")&amp;IF(ISNUMBER(SEARCH("E_NONPOSITIVE_PARAMETER",AN56))," | E_NONPOSITIVE_PARAMETER: "&amp;SUBSTITUTE(IFERROR(INDEX(nMSG_Text,MATCH("E_NONPOSITIVE_PARAMETER",nMSG_Code,0)),""),"[input]",""),"")&amp;IF(ISNUMBER(SEARCH("E_OUT_OF_RANGE",AN56))," | E_OUT_OF_RANGE: "&amp;SUBSTITUTE(IFERROR(INDEX(nMSG_Text,MATCH("E_OUT_OF_RANGE",nMSG_Code,0)),""),"[input]",""),"")&amp;IF(ISNUMBER(SEARCH("E_APPLICABILITY_UNCONFIRMED",AN56))," | E_APPLICABILITY_UNCONFIRMED: "&amp;SUBSTITUTE(IFERROR(INDEX(nMSG_Text,MATCH("E_APPLICABILITY_UNCONFIRMED",nMSG_Code,0)),""),"[input]",""),"")&amp;IF(ISNUMBER(SEARCH("E_CREATININE_STABILITY_UNCONFIRMED",AN56))," | E_CREATININE_STABILITY_UNCONFIRMED: "&amp;SUBSTITUTE(IFERROR(INDEX(nMSG_Text,MATCH("E_CREATININE_STABILITY_UNCONFIRMED",nMSG_Code,0)),""),"[input]",""),"")&amp;IF(ISNUMBER(SEARCH("E_OVERLAPPING_SEGMENTS",AN56))," | E_OVERLAPPING_SEGMENTS: "&amp;SUBSTITUTE(IFERROR(INDEX(nMSG_Text,MATCH("E_OVERLAPPING_SEGMENTS",nMSG_Code,0)),""),"[input]",""),""),4,9999))</f>
        <v/>
      </c>
      <c r="Z56" s="21" t="str">
        <f>IF(AH56=1,"","t_half = "&amp;O56&amp;" "&amp;N56&amp;" ["&amp;IF(P56="","status not recorded",P56)&amp;IF(Q56&lt;&gt;"","; "&amp;Q56,"")&amp;"]"&amp;"; "&amp;"tau = "&amp;R56&amp;" "&amp;N56&amp;" ["&amp;IF(S56="","status not recorded",S56)&amp;IF(T56&lt;&gt;"","; "&amp;T56,"")&amp;"]")</f>
        <v>t_half = 24 hours [hypothetical example; V34 V18]; tau = 12 hours [hypothetical example; V34 V18]</v>
      </c>
      <c r="AA56" s="21" t="str">
        <f>IF(AH56=1,"",MID(""&amp;IF(AK56=1," | Gate confirmed: the simple model applies (one compartment, linear first-order elimination, constant parameters over the period). | Gate confirmed: the half-life used – type: "&amp;H56&amp;"; population: "&amp;I56&amp;"; source: "&amp;J56&amp;". | Gate confirmed: reference time – "&amp;L56&amp;". | Gate confirmed: each input’s Parameter_Status is recorded."," | Common gate not confirmed"&amp;IF(AND(F56="Yes",G56="Yes",K56="Yes",M56="Yes"),": a gate detail or a Parameter_Status is blank.",": "&amp;MID(IF(F56&lt;&gt;"Yes",", model","")&amp;IF(G56&lt;&gt;"Yes",", half-life used","")&amp;IF(K56&lt;&gt;"Yes",", reference time","")&amp;IF(M56&lt;&gt;"Yes",", Parameter_Status",""),3,99)&amp;" not confirmed."))&amp;IF(TRIM(E56&amp;"")&lt;&gt;""," | "&amp;E56,""),4,9999))</f>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v>
      </c>
      <c r="AB56" s="21" t="str">
        <f>IF(AP56=0,"",MID(IF(TRUE,"; "&amp;"Accumulation factor R"&amp;" = "&amp;W56&amp;" ("&amp;FIXED(W56,2,TRUE)&amp;")",""),3,9999))</f>
        <v>Accumulation factor R = 3.41421356237309 (3.41)</v>
      </c>
      <c r="AC56" s="21" t="str">
        <f>IF(AP56=0,"","ratio")</f>
        <v>ratio</v>
      </c>
      <c r="AD56" s="21" t="str">
        <f>IF(AH56=1,"",IF(TRIM(D56&amp;"")&lt;&gt;"",D56,"Q3 Accumulation during regular dosing"))</f>
        <v>Vector V18</v>
      </c>
      <c r="AE56" s="21" t="str">
        <f>IF(AH56=1,"","Model-based repeated-dose comparison. It is not a toxicity multiplier and does not give the time of clinical onset.")</f>
        <v>Model-based repeated-dose comparison. It is not a toxicity multiplier and does not give the time of clinical onset.</v>
      </c>
      <c r="AF56" s="21" t="str">
        <f>IF(AH56=1,"","R = 1 / (1 - 2^(-tau / t_half))")</f>
        <v>R = 1 / (1 - 2^(-tau / t_half))</v>
      </c>
      <c r="AG56" s="21" t="str">
        <f>IF(AH56=1,"","CALC-SPEC 1.1")</f>
        <v>CALC-SPEC 1.1</v>
      </c>
      <c r="AH56" s="22">
        <f>IF(AND(A56="",O56="",R56=""),1,0)</f>
        <v>0</v>
      </c>
      <c r="AI56" s="21" t="str">
        <f>IF(AH56=1,"",B56&amp;"|"&amp;C56)</f>
        <v>VEC-V18|1</v>
      </c>
      <c r="AJ56" s="21" t="str">
        <f>IF(A56="","",B56&amp;"|"&amp;C56&amp;"|"&amp;A56)</f>
        <v>VEC-V18|1|Q3-V18</v>
      </c>
      <c r="AK56" s="22">
        <f>IF(AND(F56="Yes",G56="Yes",K56="Yes",M56="Yes",TRIM(H56&amp;"")&lt;&gt;"",TRIM(I56&amp;"")&lt;&gt;"",TRIM(J56&amp;"")&lt;&gt;"",TRIM(L56&amp;"")&lt;&gt;"",P56&lt;&gt;"",S56&lt;&gt;""),1,0)</f>
        <v>1</v>
      </c>
      <c r="AL56" s="21" t="str">
        <f>IF(AH56=1,"",IF(A56="","; E_MISSING_INPUT","")&amp;IF(N56="","; E_MISSING_INPUT","")&amp;IF(AND(N56&lt;&gt;"",ISNA(MATCH(N56,nLIST_TimeUnit,0))),"; E_INVALID_UNIT","")&amp;IF(O56="","; E_MISSING_INPUT","")&amp;IF(AND(O56&lt;&gt;"",NOT(ISNUMBER(O56))),"; E_MISSING_INPUT","")&amp;IF(AND(ISNUMBER(O56),O56&lt;=0),"; E_NONPOSITIVE_PARAMETER","")&amp;IF(R56="","; E_MISSING_INPUT","")&amp;IF(AND(R56&lt;&gt;"",NOT(ISNUMBER(R56))),"; E_MISSING_INPUT","")&amp;IF(AND(ISNUMBER(R56),R56&lt;=0),"; E_NONPOSITIVE_PARAMETER","")&amp;IF(TRIM(H56&amp;"")="","; E_MISSING_INPUT","")&amp;IF(TRIM(I56&amp;"")="","; E_MISSING_INPUT","")&amp;IF(TRIM(J56&amp;"")="","; E_MISSING_INPUT","")&amp;IF(TRIM(L56&amp;"")="","; E_MISSING_INPUT","")&amp;IF(P56="","; E_MISSING_INPUT","")&amp;IF(S56="","; E_MISSING_INPUT","")&amp;IF(AK56=0,"; E_APPLICABILITY_UNCONFIRMED",""))</f>
        <v/>
      </c>
      <c r="AM56" s="21" t="str">
        <f>IF(AH56=1,"",IF(A56="",", a Calc_ID","")&amp;IF(N56="",", a time unit","")&amp;IF(O56="",", the half-life","")&amp;IF(AND(O56&lt;&gt;"",NOT(ISNUMBER(O56))),", the half-life as a number","")&amp;IF(R56="",", the dosing interval","")&amp;IF(AND(R56&lt;&gt;"",NOT(ISNUMBER(R56))),", the dosing interval as a number","")&amp;IF(TRIM(H56&amp;"")="",", the type of the half-life used","")&amp;IF(TRIM(I56&amp;"")="",", the population of the half-life used","")&amp;IF(TRIM(J56&amp;"")="",", the source of the half-life used","")&amp;IF(TRIM(L56&amp;"")="",", the reference time","")&amp;IF(P56="",", the Parameter_Status of t_half","")&amp;IF(S56="",", the Parameter_Status of the dosing interval",""))</f>
        <v/>
      </c>
      <c r="AN56" s="21" t="str">
        <f>IF(AH56=1,"",MID(IF(ISNUMBER(SEARCH("E_INVALID_DATE",AL56)),"; E_INVALID_DATE","")&amp;IF(ISNUMBER(SEARCH("E_REVERSED_BOUNDS",AL56)),"; E_REVERSED_BOUNDS","")&amp;IF(ISNUMBER(SEARCH("E_DUPLICATE_ID",AL56)),"; E_DUPLICATE_ID","")&amp;IF(ISNUMBER(SEARCH("E_MISSING_LINK",AL56)),"; E_MISSING_LINK","")&amp;IF(ISNUMBER(SEARCH("E_MISSING_INPUT",AL56)),"; E_MISSING_INPUT","")&amp;IF(ISNUMBER(SEARCH("E_INVALID_UNIT",AL56)),"; E_INVALID_UNIT","")&amp;IF(ISNUMBER(SEARCH("E_NONPOSITIVE_PARAMETER",AL56)),"; E_NONPOSITIVE_PARAMETER","")&amp;IF(ISNUMBER(SEARCH("E_OUT_OF_RANGE",AL56)),"; E_OUT_OF_RANGE","")&amp;IF(ISNUMBER(SEARCH("E_APPLICABILITY_UNCONFIRMED",AL56)),"; E_APPLICABILITY_UNCONFIRMED","")&amp;IF(ISNUMBER(SEARCH("E_CREATININE_STABILITY_UNCONFIRMED",AL56)),"; E_CREATININE_STABILITY_UNCONFIRMED","")&amp;IF(ISNUMBER(SEARCH("E_OVERLAPPING_SEGMENTS",AL56)),"; E_OVERLAPPING_SEGMENTS",""),3,999))</f>
        <v/>
      </c>
      <c r="AO56" s="21" t="str">
        <f>MID(AM56,3,999)</f>
        <v/>
      </c>
      <c r="AP56" s="22">
        <f>IF(AND(AH56=0,AN56=""),1,0)</f>
        <v>1</v>
      </c>
    </row>
    <row r="59" spans="1:48" ht="17.25" x14ac:dyDescent="0.3">
      <c r="A59" s="6" t="s">
        <v>1288</v>
      </c>
    </row>
    <row r="60" spans="1:48" x14ac:dyDescent="0.2">
      <c r="A60" s="7" t="s">
        <v>1203</v>
      </c>
    </row>
    <row r="61" spans="1:48" x14ac:dyDescent="0.2">
      <c r="A61" s="2" t="s">
        <v>1204</v>
      </c>
      <c r="F61" s="2" t="s">
        <v>1208</v>
      </c>
      <c r="N61" s="2" t="s">
        <v>1204</v>
      </c>
      <c r="X61" s="2" t="s">
        <v>1225</v>
      </c>
      <c r="AN61" s="2" t="s">
        <v>1237</v>
      </c>
    </row>
    <row r="62" spans="1:48" ht="66" customHeight="1" x14ac:dyDescent="0.2">
      <c r="A62" s="8" t="s">
        <v>1205</v>
      </c>
      <c r="B62" s="8" t="s">
        <v>280</v>
      </c>
      <c r="C62" s="8" t="s">
        <v>281</v>
      </c>
      <c r="D62" s="8" t="s">
        <v>1206</v>
      </c>
      <c r="E62" s="8" t="s">
        <v>1207</v>
      </c>
      <c r="F62" s="8" t="s">
        <v>1209</v>
      </c>
      <c r="G62" s="8" t="s">
        <v>1289</v>
      </c>
      <c r="H62" s="8" t="s">
        <v>1290</v>
      </c>
      <c r="I62" s="8" t="s">
        <v>1291</v>
      </c>
      <c r="J62" s="8" t="s">
        <v>1292</v>
      </c>
      <c r="K62" s="8" t="s">
        <v>1214</v>
      </c>
      <c r="L62" s="8" t="s">
        <v>1215</v>
      </c>
      <c r="M62" s="8" t="s">
        <v>1216</v>
      </c>
      <c r="N62" s="8" t="s">
        <v>1293</v>
      </c>
      <c r="O62" s="8" t="s">
        <v>1294</v>
      </c>
      <c r="P62" s="8" t="s">
        <v>1295</v>
      </c>
      <c r="Q62" s="8" t="s">
        <v>1296</v>
      </c>
      <c r="R62" s="8" t="s">
        <v>1297</v>
      </c>
      <c r="S62" s="8" t="s">
        <v>1298</v>
      </c>
      <c r="T62" s="8" t="s">
        <v>1299</v>
      </c>
      <c r="U62" s="8" t="s">
        <v>1300</v>
      </c>
      <c r="V62" s="8" t="s">
        <v>1301</v>
      </c>
      <c r="W62" s="8" t="s">
        <v>1302</v>
      </c>
      <c r="X62" s="19" t="s">
        <v>1226</v>
      </c>
      <c r="Y62" s="19" t="s">
        <v>981</v>
      </c>
      <c r="Z62" s="19" t="s">
        <v>1303</v>
      </c>
      <c r="AA62" s="19" t="s">
        <v>1304</v>
      </c>
      <c r="AB62" s="19" t="s">
        <v>1305</v>
      </c>
      <c r="AC62" s="19" t="s">
        <v>1306</v>
      </c>
      <c r="AD62" s="19" t="s">
        <v>988</v>
      </c>
      <c r="AE62" s="19" t="s">
        <v>1231</v>
      </c>
      <c r="AF62" s="19" t="s">
        <v>1232</v>
      </c>
      <c r="AG62" s="19" t="s">
        <v>1003</v>
      </c>
      <c r="AH62" s="19" t="s">
        <v>1233</v>
      </c>
      <c r="AI62" s="19" t="s">
        <v>1234</v>
      </c>
      <c r="AJ62" s="19" t="s">
        <v>954</v>
      </c>
      <c r="AK62" s="19" t="s">
        <v>1235</v>
      </c>
      <c r="AL62" s="19" t="s">
        <v>1236</v>
      </c>
      <c r="AM62" s="19" t="s">
        <v>1006</v>
      </c>
      <c r="AN62" s="19" t="s">
        <v>1008</v>
      </c>
      <c r="AO62" s="19" t="s">
        <v>1009</v>
      </c>
      <c r="AP62" s="19" t="s">
        <v>1238</v>
      </c>
      <c r="AQ62" s="19" t="s">
        <v>1239</v>
      </c>
      <c r="AR62" s="19" t="s">
        <v>1085</v>
      </c>
      <c r="AS62" s="19" t="s">
        <v>1240</v>
      </c>
      <c r="AT62" s="19" t="s">
        <v>1095</v>
      </c>
      <c r="AU62" s="19" t="s">
        <v>1241</v>
      </c>
      <c r="AV62" s="19" t="s">
        <v>1097</v>
      </c>
    </row>
    <row r="63" spans="1:48" x14ac:dyDescent="0.2">
      <c r="A63" s="10"/>
      <c r="B63" s="10"/>
      <c r="C63" s="12"/>
      <c r="D63" s="10"/>
      <c r="E63" s="10"/>
      <c r="F63" s="17"/>
      <c r="G63" s="17"/>
      <c r="H63" s="10"/>
      <c r="I63" s="10"/>
      <c r="J63" s="10"/>
      <c r="K63" s="17"/>
      <c r="L63" s="10"/>
      <c r="M63" s="17"/>
      <c r="N63" s="17"/>
      <c r="O63" s="17"/>
      <c r="P63" s="17"/>
      <c r="Q63" s="10"/>
      <c r="R63" s="17"/>
      <c r="S63" s="17"/>
      <c r="T63" s="10"/>
      <c r="U63" s="17"/>
      <c r="V63" s="17"/>
      <c r="W63" s="10"/>
      <c r="X63" s="21" t="str">
        <f t="shared" ref="X63:X70" si="87">IF(AN63=1,"",IF(AT63&lt;&gt;"",AT63&amp;": no result is shown","Half-life ratio "&amp;FIXED(Z63,2,TRUE)&amp;"; average steady-state concentration ratio "&amp;FIXED(AA63,2,TRUE)&amp;IF(AB63&lt;&gt;""," (t_half "&amp;FIXED(AB63,1,TRUE)&amp;" hours before, "&amp;FIXED(AC63,1,TRUE)&amp;" hours after)","")))</f>
        <v/>
      </c>
      <c r="Y63" s="21" t="str">
        <f t="shared" ref="Y63:Y70" si="88">IF(AN63=1,"",IF(AV63=0,"Not calculable",MID(IF(TRUE,"; "&amp;"Half-life ratio (after / before)"&amp;": "&amp;FIXED(Z63,2,TRUE),"")&amp;IF(TRUE,"; "&amp;"Average steady-state concentration ratio"&amp;": "&amp;FIXED(AA63,2,TRUE),"")&amp;IF(AB63&lt;&gt;"","; "&amp;"Half-life before"&amp;": "&amp;FIXED(AB63,1,FALSE)&amp;" hours","")&amp;IF(AC63&lt;&gt;"","; "&amp;"Half-life after"&amp;": "&amp;FIXED(AC63,1,FALSE)&amp;" hours",""),3,9999)))</f>
        <v/>
      </c>
      <c r="Z63" s="21" t="str">
        <f t="shared" ref="Z63:Z70" si="89">IF(AV63=1,O63/R63,"")</f>
        <v/>
      </c>
      <c r="AA63" s="21" t="str">
        <f t="shared" ref="AA63:AA70" si="90">IF(AV63=1,O63/R63,"")</f>
        <v/>
      </c>
      <c r="AB63" s="21" t="str">
        <f t="shared" ref="AB63:AB70" si="91">IF(OR(AV63=0,U63=""),"",LN(2)*U63/(O63*IF(N63="mL/minute",0.06,1)))</f>
        <v/>
      </c>
      <c r="AC63" s="21" t="str">
        <f t="shared" ref="AC63:AC70" si="92">IF(OR(AV63=0,U63=""),"",LN(2)*U63/(R63*IF(N63="mL/minute",0.06,1)))</f>
        <v/>
      </c>
      <c r="AD63" s="21" t="str">
        <f t="shared" ref="AD63:AD70" si="93">IF(AN63=1,"",IF(AT63&lt;&gt;"",AT63,""))</f>
        <v/>
      </c>
      <c r="AE63" s="21" t="str">
        <f>IF(AN63=1,"",MID(IF(ISNUMBER(SEARCH("E_INVALID_DATE",AT63))," | E_INVALID_DATE: "&amp;SUBSTITUTE(IFERROR(INDEX(nMSG_Text,MATCH("E_INVALID_DATE",nMSG_Code,0)),""),"[input]",""),"")&amp;IF(ISNUMBER(SEARCH("E_REVERSED_BOUNDS",AT63))," | E_REVERSED_BOUNDS: "&amp;SUBSTITUTE(IFERROR(INDEX(nMSG_Text,MATCH("E_REVERSED_BOUNDS",nMSG_Code,0)),""),"[input]",""),"")&amp;IF(ISNUMBER(SEARCH("E_DUPLICATE_ID",AT63))," | E_DUPLICATE_ID: "&amp;SUBSTITUTE(IFERROR(INDEX(nMSG_Text,MATCH("E_DUPLICATE_ID",nMSG_Code,0)),""),"[input]",""),"")&amp;IF(ISNUMBER(SEARCH("E_MISSING_LINK",AT63))," | E_MISSING_LINK: "&amp;SUBSTITUTE(IFERROR(INDEX(nMSG_Text,MATCH("E_MISSING_LINK",nMSG_Code,0)),""),"[input]",""),"")&amp;IF(ISNUMBER(SEARCH("E_MISSING_INPUT",AT63))," | E_MISSING_INPUT: "&amp;SUBSTITUTE(IFERROR(INDEX(nMSG_Text,MATCH("E_MISSING_INPUT",nMSG_Code,0)),""),"[input]",IF(AU63="","an input",AU63)),"")&amp;IF(ISNUMBER(SEARCH("E_INVALID_UNIT",AT63))," | E_INVALID_UNIT: "&amp;SUBSTITUTE(IFERROR(INDEX(nMSG_Text,MATCH("E_INVALID_UNIT",nMSG_Code,0)),""),"[input]",""),"")&amp;IF(ISNUMBER(SEARCH("E_NONPOSITIVE_PARAMETER",AT63))," | E_NONPOSITIVE_PARAMETER: "&amp;SUBSTITUTE(IFERROR(INDEX(nMSG_Text,MATCH("E_NONPOSITIVE_PARAMETER",nMSG_Code,0)),""),"[input]",""),"")&amp;IF(ISNUMBER(SEARCH("E_OUT_OF_RANGE",AT63))," | E_OUT_OF_RANGE: "&amp;SUBSTITUTE(IFERROR(INDEX(nMSG_Text,MATCH("E_OUT_OF_RANGE",nMSG_Code,0)),""),"[input]",""),"")&amp;IF(ISNUMBER(SEARCH("E_APPLICABILITY_UNCONFIRMED",AT63))," | E_APPLICABILITY_UNCONFIRMED: "&amp;SUBSTITUTE(IFERROR(INDEX(nMSG_Text,MATCH("E_APPLICABILITY_UNCONFIRMED",nMSG_Code,0)),""),"[input]",""),"")&amp;IF(ISNUMBER(SEARCH("E_CREATININE_STABILITY_UNCONFIRMED",AT63))," | E_CREATININE_STABILITY_UNCONFIRMED: "&amp;SUBSTITUTE(IFERROR(INDEX(nMSG_Text,MATCH("E_CREATININE_STABILITY_UNCONFIRMED",nMSG_Code,0)),""),"[input]",""),"")&amp;IF(ISNUMBER(SEARCH("E_OVERLAPPING_SEGMENTS",AT63))," | E_OVERLAPPING_SEGMENTS: "&amp;SUBSTITUTE(IFERROR(INDEX(nMSG_Text,MATCH("E_OVERLAPPING_SEGMENTS",nMSG_Code,0)),""),"[input]",""),""),4,9999))</f>
        <v/>
      </c>
      <c r="AF63" s="21" t="str">
        <f t="shared" ref="AF63:AF70" si="94">IF(AN63=1,"","CL_before = "&amp;O63&amp;" "&amp;N63&amp;" ["&amp;IF(P63="","status not recorded",P63)&amp;IF(Q63&lt;&gt;"","; "&amp;Q63,"")&amp;"]"&amp;"; "&amp;"CL_after = "&amp;R63&amp;" "&amp;N63&amp;" ["&amp;IF(S63="","status not recorded",S63)&amp;IF(T63&lt;&gt;"","; "&amp;T63,"")&amp;"]"&amp;IF(U63&lt;&gt;"","; "&amp;"V_L = "&amp;U63&amp;" "&amp;"L"&amp;" ["&amp;IF(V63="","status not recorded",V63)&amp;IF(W63&lt;&gt;"","; "&amp;W63,"")&amp;"]",""))</f>
        <v/>
      </c>
      <c r="AG63" s="21" t="str">
        <f t="shared" ref="AG63:AG70" si="95">IF(AN63=1,"",MID(""&amp;IF(AQ63=1," | Gate confirmed: the simple model applies (one compartment, linear first-order elimination, constant parameters over the period). | Gate confirmed: the parameters used – type: "&amp;H63&amp;"; population: "&amp;I63&amp;"; source: "&amp;J63&amp;". | Gate confirmed: reference time – "&amp;L63&amp;". | Gate confirmed: each input’s Parameter_Status is recorded."," | Common gate not confirmed"&amp;IF(AND(F63="Yes",G63="Yes",K63="Yes",M63="Yes"),": a gate detail or a Parameter_Status is blank.",": "&amp;MID(IF(F63&lt;&gt;"Yes",", model","")&amp;IF(G63&lt;&gt;"Yes",", parameters used","")&amp;IF(K63&lt;&gt;"Yes",", reference time","")&amp;IF(M63&lt;&gt;"Yes",", Parameter_Status",""),3,99)&amp;" not confirmed."))&amp;IF(TRIM(E63&amp;"")&lt;&gt;""," | "&amp;E63,""),4,9999))</f>
        <v/>
      </c>
      <c r="AH63" s="21" t="str">
        <f t="shared" ref="AH63:AH70" si="96">IF(AV63=0,"",MID(IF(TRUE,"; "&amp;"Half-life ratio (after / before)"&amp;" = "&amp;Z63&amp;" ("&amp;FIXED(Z63,2,TRUE)&amp;")","")&amp;IF(TRUE,"; "&amp;"Average steady-state concentration ratio"&amp;" = "&amp;AA63&amp;" ("&amp;FIXED(AA63,2,TRUE)&amp;")","")&amp;IF(AB63&lt;&gt;"","; "&amp;"Half-life before"&amp;" = "&amp;AB63&amp;" ("&amp;FIXED(AB63,1,FALSE)&amp;" hours"&amp;")","")&amp;IF(AC63&lt;&gt;"","; "&amp;"Half-life after"&amp;" = "&amp;AC63&amp;" ("&amp;FIXED(AC63,1,FALSE)&amp;" hours"&amp;")",""),3,9999))</f>
        <v/>
      </c>
      <c r="AI63" s="21" t="str">
        <f t="shared" ref="AI63:AI70" si="97">IF(AV63=0,"","ratio")</f>
        <v/>
      </c>
      <c r="AJ63" s="21" t="str">
        <f t="shared" ref="AJ63:AJ70" si="98">IF(AN63=1,"",IF(TRIM(D63&amp;"")&lt;&gt;"",D63,"Q4 A change in clearance"))</f>
        <v/>
      </c>
      <c r="AK63" s="21" t="str">
        <f t="shared" ref="AK63:AK70" si="99">IF(AN63=1,"","Describes the eventual average steady state. It does not date the patient’s onset; the transition depends on prior concentrations and when clearance changed.")</f>
        <v/>
      </c>
      <c r="AL63" s="21" t="str">
        <f t="shared" ref="AL63:AL70" si="100">IF(AN63=1,"","ratio = CL_before / CL_after (V constant); with V: t_half = ln 2 x V / CL for each period")</f>
        <v/>
      </c>
      <c r="AM63" s="21" t="str">
        <f t="shared" ref="AM63:AM70" si="101">IF(AN63=1,"","CALC-SPEC 1.1")</f>
        <v/>
      </c>
      <c r="AN63" s="22">
        <f t="shared" ref="AN63:AN70" si="102">IF(AND(A63="",O63="",R63=""),1,0)</f>
        <v>1</v>
      </c>
      <c r="AO63" s="21" t="str">
        <f t="shared" ref="AO63:AO70" si="103">IF(AN63=1,"",B63&amp;"|"&amp;C63)</f>
        <v/>
      </c>
      <c r="AP63" s="21" t="str">
        <f t="shared" ref="AP63:AP70" si="104">IF(A63="","",B63&amp;"|"&amp;C63&amp;"|"&amp;A63)</f>
        <v/>
      </c>
      <c r="AQ63" s="22">
        <f t="shared" ref="AQ63:AQ70" si="105">IF(AND(F63="Yes",G63="Yes",K63="Yes",M63="Yes",TRIM(H63&amp;"")&lt;&gt;"",TRIM(I63&amp;"")&lt;&gt;"",TRIM(J63&amp;"")&lt;&gt;"",TRIM(L63&amp;"")&lt;&gt;"",P63&lt;&gt;"",S63&lt;&gt;"",OR(U63="",V63&lt;&gt;"")),1,0)</f>
        <v>0</v>
      </c>
      <c r="AR63" s="21" t="str">
        <f>IF(AN63=1,"",IF(A63="","; E_MISSING_INPUT","")&amp;IF(N63="","; E_MISSING_INPUT","")&amp;IF(AND(N63&lt;&gt;"",ISNA(MATCH(N63,nLIST_CLUnit,0))),"; E_INVALID_UNIT","")&amp;IF(O63="","; E_MISSING_INPUT","")&amp;IF(AND(O63&lt;&gt;"",NOT(ISNUMBER(O63))),"; E_MISSING_INPUT","")&amp;IF(AND(ISNUMBER(O63),O63&lt;=0),"; E_NONPOSITIVE_PARAMETER","")&amp;IF(R63="","; E_MISSING_INPUT","")&amp;IF(AND(R63&lt;&gt;"",NOT(ISNUMBER(R63))),"; E_MISSING_INPUT","")&amp;IF(AND(ISNUMBER(R63),R63&lt;=0),"; E_NONPOSITIVE_PARAMETER","")&amp;IF(AND(U63&lt;&gt;"",NOT(ISNUMBER(U63))),"; E_MISSING_INPUT","")&amp;IF(AND(ISNUMBER(U63),U63&lt;=0),"; E_NONPOSITIVE_PARAMETER","")&amp;IF(TRIM(H63&amp;"")="","; E_MISSING_INPUT","")&amp;IF(TRIM(I63&amp;"")="","; E_MISSING_INPUT","")&amp;IF(TRIM(J63&amp;"")="","; E_MISSING_INPUT","")&amp;IF(TRIM(L63&amp;"")="","; E_MISSING_INPUT","")&amp;IF(P63="","; E_MISSING_INPUT","")&amp;IF(S63="","; E_MISSING_INPUT","")&amp;IF(AND(U63&lt;&gt;"",V63=""),"; E_MISSING_INPUT","")&amp;IF(AQ63=0,"; E_APPLICABILITY_UNCONFIRMED",""))</f>
        <v/>
      </c>
      <c r="AS63" s="21" t="str">
        <f t="shared" ref="AS63:AS70" si="106">IF(AN63=1,"",IF(A63="",", a Calc_ID","")&amp;IF(N63="",", the clearance unit","")&amp;IF(O63="",", the clearance before","")&amp;IF(AND(O63&lt;&gt;"",NOT(ISNUMBER(O63))),", the clearance before as a number","")&amp;IF(R63="",", the clearance after","")&amp;IF(AND(R63&lt;&gt;"",NOT(ISNUMBER(R63))),", the clearance after as a number","")&amp;IF(AND(U63&lt;&gt;"",NOT(ISNUMBER(U63))),", the volume as a number","")&amp;IF(TRIM(H63&amp;"")="",", the type of the parameters used","")&amp;IF(TRIM(I63&amp;"")="",", the population of the parameters used","")&amp;IF(TRIM(J63&amp;"")="",", the source of the parameters used","")&amp;IF(TRIM(L63&amp;"")="",", the reference time","")&amp;IF(P63="",", the Parameter_Status of the clearance before","")&amp;IF(S63="",", the Parameter_Status of the clearance after","")&amp;IF(AND(U63&lt;&gt;"",V63=""),", the Parameter_Status of the apparent volume",""))</f>
        <v/>
      </c>
      <c r="AT63" s="21" t="str">
        <f t="shared" ref="AT63:AT70" si="107">IF(AN63=1,"",MID(IF(ISNUMBER(SEARCH("E_INVALID_DATE",AR63)),"; E_INVALID_DATE","")&amp;IF(ISNUMBER(SEARCH("E_REVERSED_BOUNDS",AR63)),"; E_REVERSED_BOUNDS","")&amp;IF(ISNUMBER(SEARCH("E_DUPLICATE_ID",AR63)),"; E_DUPLICATE_ID","")&amp;IF(ISNUMBER(SEARCH("E_MISSING_LINK",AR63)),"; E_MISSING_LINK","")&amp;IF(ISNUMBER(SEARCH("E_MISSING_INPUT",AR63)),"; E_MISSING_INPUT","")&amp;IF(ISNUMBER(SEARCH("E_INVALID_UNIT",AR63)),"; E_INVALID_UNIT","")&amp;IF(ISNUMBER(SEARCH("E_NONPOSITIVE_PARAMETER",AR63)),"; E_NONPOSITIVE_PARAMETER","")&amp;IF(ISNUMBER(SEARCH("E_OUT_OF_RANGE",AR63)),"; E_OUT_OF_RANGE","")&amp;IF(ISNUMBER(SEARCH("E_APPLICABILITY_UNCONFIRMED",AR63)),"; E_APPLICABILITY_UNCONFIRMED","")&amp;IF(ISNUMBER(SEARCH("E_CREATININE_STABILITY_UNCONFIRMED",AR63)),"; E_CREATININE_STABILITY_UNCONFIRMED","")&amp;IF(ISNUMBER(SEARCH("E_OVERLAPPING_SEGMENTS",AR63)),"; E_OVERLAPPING_SEGMENTS",""),3,999))</f>
        <v/>
      </c>
      <c r="AU63" s="21" t="str">
        <f t="shared" ref="AU63:AU70" si="108">MID(AS63,3,999)</f>
        <v/>
      </c>
      <c r="AV63" s="22">
        <f t="shared" ref="AV63:AV70" si="109">IF(AND(AN63=0,AT63=""),1,0)</f>
        <v>0</v>
      </c>
    </row>
    <row r="64" spans="1:48" x14ac:dyDescent="0.2">
      <c r="A64" s="10"/>
      <c r="B64" s="10"/>
      <c r="C64" s="12"/>
      <c r="D64" s="10"/>
      <c r="E64" s="10"/>
      <c r="F64" s="17"/>
      <c r="G64" s="17"/>
      <c r="H64" s="10"/>
      <c r="I64" s="10"/>
      <c r="J64" s="10"/>
      <c r="K64" s="17"/>
      <c r="L64" s="10"/>
      <c r="M64" s="17"/>
      <c r="N64" s="17"/>
      <c r="O64" s="17"/>
      <c r="P64" s="17"/>
      <c r="Q64" s="10"/>
      <c r="R64" s="17"/>
      <c r="S64" s="17"/>
      <c r="T64" s="10"/>
      <c r="U64" s="17"/>
      <c r="V64" s="17"/>
      <c r="W64" s="10"/>
      <c r="X64" s="21" t="str">
        <f t="shared" si="87"/>
        <v/>
      </c>
      <c r="Y64" s="21" t="str">
        <f t="shared" si="88"/>
        <v/>
      </c>
      <c r="Z64" s="21" t="str">
        <f t="shared" si="89"/>
        <v/>
      </c>
      <c r="AA64" s="21" t="str">
        <f t="shared" si="90"/>
        <v/>
      </c>
      <c r="AB64" s="21" t="str">
        <f t="shared" si="91"/>
        <v/>
      </c>
      <c r="AC64" s="21" t="str">
        <f t="shared" si="92"/>
        <v/>
      </c>
      <c r="AD64" s="21" t="str">
        <f t="shared" si="93"/>
        <v/>
      </c>
      <c r="AE64" s="21" t="str">
        <f>IF(AN64=1,"",MID(IF(ISNUMBER(SEARCH("E_INVALID_DATE",AT64))," | E_INVALID_DATE: "&amp;SUBSTITUTE(IFERROR(INDEX(nMSG_Text,MATCH("E_INVALID_DATE",nMSG_Code,0)),""),"[input]",""),"")&amp;IF(ISNUMBER(SEARCH("E_REVERSED_BOUNDS",AT64))," | E_REVERSED_BOUNDS: "&amp;SUBSTITUTE(IFERROR(INDEX(nMSG_Text,MATCH("E_REVERSED_BOUNDS",nMSG_Code,0)),""),"[input]",""),"")&amp;IF(ISNUMBER(SEARCH("E_DUPLICATE_ID",AT64))," | E_DUPLICATE_ID: "&amp;SUBSTITUTE(IFERROR(INDEX(nMSG_Text,MATCH("E_DUPLICATE_ID",nMSG_Code,0)),""),"[input]",""),"")&amp;IF(ISNUMBER(SEARCH("E_MISSING_LINK",AT64))," | E_MISSING_LINK: "&amp;SUBSTITUTE(IFERROR(INDEX(nMSG_Text,MATCH("E_MISSING_LINK",nMSG_Code,0)),""),"[input]",""),"")&amp;IF(ISNUMBER(SEARCH("E_MISSING_INPUT",AT64))," | E_MISSING_INPUT: "&amp;SUBSTITUTE(IFERROR(INDEX(nMSG_Text,MATCH("E_MISSING_INPUT",nMSG_Code,0)),""),"[input]",IF(AU64="","an input",AU64)),"")&amp;IF(ISNUMBER(SEARCH("E_INVALID_UNIT",AT64))," | E_INVALID_UNIT: "&amp;SUBSTITUTE(IFERROR(INDEX(nMSG_Text,MATCH("E_INVALID_UNIT",nMSG_Code,0)),""),"[input]",""),"")&amp;IF(ISNUMBER(SEARCH("E_NONPOSITIVE_PARAMETER",AT64))," | E_NONPOSITIVE_PARAMETER: "&amp;SUBSTITUTE(IFERROR(INDEX(nMSG_Text,MATCH("E_NONPOSITIVE_PARAMETER",nMSG_Code,0)),""),"[input]",""),"")&amp;IF(ISNUMBER(SEARCH("E_OUT_OF_RANGE",AT64))," | E_OUT_OF_RANGE: "&amp;SUBSTITUTE(IFERROR(INDEX(nMSG_Text,MATCH("E_OUT_OF_RANGE",nMSG_Code,0)),""),"[input]",""),"")&amp;IF(ISNUMBER(SEARCH("E_APPLICABILITY_UNCONFIRMED",AT64))," | E_APPLICABILITY_UNCONFIRMED: "&amp;SUBSTITUTE(IFERROR(INDEX(nMSG_Text,MATCH("E_APPLICABILITY_UNCONFIRMED",nMSG_Code,0)),""),"[input]",""),"")&amp;IF(ISNUMBER(SEARCH("E_CREATININE_STABILITY_UNCONFIRMED",AT64))," | E_CREATININE_STABILITY_UNCONFIRMED: "&amp;SUBSTITUTE(IFERROR(INDEX(nMSG_Text,MATCH("E_CREATININE_STABILITY_UNCONFIRMED",nMSG_Code,0)),""),"[input]",""),"")&amp;IF(ISNUMBER(SEARCH("E_OVERLAPPING_SEGMENTS",AT64))," | E_OVERLAPPING_SEGMENTS: "&amp;SUBSTITUTE(IFERROR(INDEX(nMSG_Text,MATCH("E_OVERLAPPING_SEGMENTS",nMSG_Code,0)),""),"[input]",""),""),4,9999))</f>
        <v/>
      </c>
      <c r="AF64" s="21" t="str">
        <f t="shared" si="94"/>
        <v/>
      </c>
      <c r="AG64" s="21" t="str">
        <f t="shared" si="95"/>
        <v/>
      </c>
      <c r="AH64" s="21" t="str">
        <f t="shared" si="96"/>
        <v/>
      </c>
      <c r="AI64" s="21" t="str">
        <f t="shared" si="97"/>
        <v/>
      </c>
      <c r="AJ64" s="21" t="str">
        <f t="shared" si="98"/>
        <v/>
      </c>
      <c r="AK64" s="21" t="str">
        <f t="shared" si="99"/>
        <v/>
      </c>
      <c r="AL64" s="21" t="str">
        <f t="shared" si="100"/>
        <v/>
      </c>
      <c r="AM64" s="21" t="str">
        <f t="shared" si="101"/>
        <v/>
      </c>
      <c r="AN64" s="22">
        <f t="shared" si="102"/>
        <v>1</v>
      </c>
      <c r="AO64" s="21" t="str">
        <f t="shared" si="103"/>
        <v/>
      </c>
      <c r="AP64" s="21" t="str">
        <f t="shared" si="104"/>
        <v/>
      </c>
      <c r="AQ64" s="22">
        <f t="shared" si="105"/>
        <v>0</v>
      </c>
      <c r="AR64" s="21" t="str">
        <f>IF(AN64=1,"",IF(A64="","; E_MISSING_INPUT","")&amp;IF(N64="","; E_MISSING_INPUT","")&amp;IF(AND(N64&lt;&gt;"",ISNA(MATCH(N64,nLIST_CLUnit,0))),"; E_INVALID_UNIT","")&amp;IF(O64="","; E_MISSING_INPUT","")&amp;IF(AND(O64&lt;&gt;"",NOT(ISNUMBER(O64))),"; E_MISSING_INPUT","")&amp;IF(AND(ISNUMBER(O64),O64&lt;=0),"; E_NONPOSITIVE_PARAMETER","")&amp;IF(R64="","; E_MISSING_INPUT","")&amp;IF(AND(R64&lt;&gt;"",NOT(ISNUMBER(R64))),"; E_MISSING_INPUT","")&amp;IF(AND(ISNUMBER(R64),R64&lt;=0),"; E_NONPOSITIVE_PARAMETER","")&amp;IF(AND(U64&lt;&gt;"",NOT(ISNUMBER(U64))),"; E_MISSING_INPUT","")&amp;IF(AND(ISNUMBER(U64),U64&lt;=0),"; E_NONPOSITIVE_PARAMETER","")&amp;IF(TRIM(H64&amp;"")="","; E_MISSING_INPUT","")&amp;IF(TRIM(I64&amp;"")="","; E_MISSING_INPUT","")&amp;IF(TRIM(J64&amp;"")="","; E_MISSING_INPUT","")&amp;IF(TRIM(L64&amp;"")="","; E_MISSING_INPUT","")&amp;IF(P64="","; E_MISSING_INPUT","")&amp;IF(S64="","; E_MISSING_INPUT","")&amp;IF(AND(U64&lt;&gt;"",V64=""),"; E_MISSING_INPUT","")&amp;IF(AQ64=0,"; E_APPLICABILITY_UNCONFIRMED",""))</f>
        <v/>
      </c>
      <c r="AS64" s="21" t="str">
        <f t="shared" si="106"/>
        <v/>
      </c>
      <c r="AT64" s="21" t="str">
        <f t="shared" si="107"/>
        <v/>
      </c>
      <c r="AU64" s="21" t="str">
        <f t="shared" si="108"/>
        <v/>
      </c>
      <c r="AV64" s="22">
        <f t="shared" si="109"/>
        <v>0</v>
      </c>
    </row>
    <row r="65" spans="1:48" x14ac:dyDescent="0.2">
      <c r="A65" s="10"/>
      <c r="B65" s="10"/>
      <c r="C65" s="12"/>
      <c r="D65" s="10"/>
      <c r="E65" s="10"/>
      <c r="F65" s="17"/>
      <c r="G65" s="17"/>
      <c r="H65" s="10"/>
      <c r="I65" s="10"/>
      <c r="J65" s="10"/>
      <c r="K65" s="17"/>
      <c r="L65" s="10"/>
      <c r="M65" s="17"/>
      <c r="N65" s="17"/>
      <c r="O65" s="17"/>
      <c r="P65" s="17"/>
      <c r="Q65" s="10"/>
      <c r="R65" s="17"/>
      <c r="S65" s="17"/>
      <c r="T65" s="10"/>
      <c r="U65" s="17"/>
      <c r="V65" s="17"/>
      <c r="W65" s="10"/>
      <c r="X65" s="21" t="str">
        <f t="shared" si="87"/>
        <v/>
      </c>
      <c r="Y65" s="21" t="str">
        <f t="shared" si="88"/>
        <v/>
      </c>
      <c r="Z65" s="21" t="str">
        <f t="shared" si="89"/>
        <v/>
      </c>
      <c r="AA65" s="21" t="str">
        <f t="shared" si="90"/>
        <v/>
      </c>
      <c r="AB65" s="21" t="str">
        <f t="shared" si="91"/>
        <v/>
      </c>
      <c r="AC65" s="21" t="str">
        <f t="shared" si="92"/>
        <v/>
      </c>
      <c r="AD65" s="21" t="str">
        <f t="shared" si="93"/>
        <v/>
      </c>
      <c r="AE65" s="21" t="str">
        <f>IF(AN65=1,"",MID(IF(ISNUMBER(SEARCH("E_INVALID_DATE",AT65))," | E_INVALID_DATE: "&amp;SUBSTITUTE(IFERROR(INDEX(nMSG_Text,MATCH("E_INVALID_DATE",nMSG_Code,0)),""),"[input]",""),"")&amp;IF(ISNUMBER(SEARCH("E_REVERSED_BOUNDS",AT65))," | E_REVERSED_BOUNDS: "&amp;SUBSTITUTE(IFERROR(INDEX(nMSG_Text,MATCH("E_REVERSED_BOUNDS",nMSG_Code,0)),""),"[input]",""),"")&amp;IF(ISNUMBER(SEARCH("E_DUPLICATE_ID",AT65))," | E_DUPLICATE_ID: "&amp;SUBSTITUTE(IFERROR(INDEX(nMSG_Text,MATCH("E_DUPLICATE_ID",nMSG_Code,0)),""),"[input]",""),"")&amp;IF(ISNUMBER(SEARCH("E_MISSING_LINK",AT65))," | E_MISSING_LINK: "&amp;SUBSTITUTE(IFERROR(INDEX(nMSG_Text,MATCH("E_MISSING_LINK",nMSG_Code,0)),""),"[input]",""),"")&amp;IF(ISNUMBER(SEARCH("E_MISSING_INPUT",AT65))," | E_MISSING_INPUT: "&amp;SUBSTITUTE(IFERROR(INDEX(nMSG_Text,MATCH("E_MISSING_INPUT",nMSG_Code,0)),""),"[input]",IF(AU65="","an input",AU65)),"")&amp;IF(ISNUMBER(SEARCH("E_INVALID_UNIT",AT65))," | E_INVALID_UNIT: "&amp;SUBSTITUTE(IFERROR(INDEX(nMSG_Text,MATCH("E_INVALID_UNIT",nMSG_Code,0)),""),"[input]",""),"")&amp;IF(ISNUMBER(SEARCH("E_NONPOSITIVE_PARAMETER",AT65))," | E_NONPOSITIVE_PARAMETER: "&amp;SUBSTITUTE(IFERROR(INDEX(nMSG_Text,MATCH("E_NONPOSITIVE_PARAMETER",nMSG_Code,0)),""),"[input]",""),"")&amp;IF(ISNUMBER(SEARCH("E_OUT_OF_RANGE",AT65))," | E_OUT_OF_RANGE: "&amp;SUBSTITUTE(IFERROR(INDEX(nMSG_Text,MATCH("E_OUT_OF_RANGE",nMSG_Code,0)),""),"[input]",""),"")&amp;IF(ISNUMBER(SEARCH("E_APPLICABILITY_UNCONFIRMED",AT65))," | E_APPLICABILITY_UNCONFIRMED: "&amp;SUBSTITUTE(IFERROR(INDEX(nMSG_Text,MATCH("E_APPLICABILITY_UNCONFIRMED",nMSG_Code,0)),""),"[input]",""),"")&amp;IF(ISNUMBER(SEARCH("E_CREATININE_STABILITY_UNCONFIRMED",AT65))," | E_CREATININE_STABILITY_UNCONFIRMED: "&amp;SUBSTITUTE(IFERROR(INDEX(nMSG_Text,MATCH("E_CREATININE_STABILITY_UNCONFIRMED",nMSG_Code,0)),""),"[input]",""),"")&amp;IF(ISNUMBER(SEARCH("E_OVERLAPPING_SEGMENTS",AT65))," | E_OVERLAPPING_SEGMENTS: "&amp;SUBSTITUTE(IFERROR(INDEX(nMSG_Text,MATCH("E_OVERLAPPING_SEGMENTS",nMSG_Code,0)),""),"[input]",""),""),4,9999))</f>
        <v/>
      </c>
      <c r="AF65" s="21" t="str">
        <f t="shared" si="94"/>
        <v/>
      </c>
      <c r="AG65" s="21" t="str">
        <f t="shared" si="95"/>
        <v/>
      </c>
      <c r="AH65" s="21" t="str">
        <f t="shared" si="96"/>
        <v/>
      </c>
      <c r="AI65" s="21" t="str">
        <f t="shared" si="97"/>
        <v/>
      </c>
      <c r="AJ65" s="21" t="str">
        <f t="shared" si="98"/>
        <v/>
      </c>
      <c r="AK65" s="21" t="str">
        <f t="shared" si="99"/>
        <v/>
      </c>
      <c r="AL65" s="21" t="str">
        <f t="shared" si="100"/>
        <v/>
      </c>
      <c r="AM65" s="21" t="str">
        <f t="shared" si="101"/>
        <v/>
      </c>
      <c r="AN65" s="22">
        <f t="shared" si="102"/>
        <v>1</v>
      </c>
      <c r="AO65" s="21" t="str">
        <f t="shared" si="103"/>
        <v/>
      </c>
      <c r="AP65" s="21" t="str">
        <f t="shared" si="104"/>
        <v/>
      </c>
      <c r="AQ65" s="22">
        <f t="shared" si="105"/>
        <v>0</v>
      </c>
      <c r="AR65" s="21" t="str">
        <f>IF(AN65=1,"",IF(A65="","; E_MISSING_INPUT","")&amp;IF(N65="","; E_MISSING_INPUT","")&amp;IF(AND(N65&lt;&gt;"",ISNA(MATCH(N65,nLIST_CLUnit,0))),"; E_INVALID_UNIT","")&amp;IF(O65="","; E_MISSING_INPUT","")&amp;IF(AND(O65&lt;&gt;"",NOT(ISNUMBER(O65))),"; E_MISSING_INPUT","")&amp;IF(AND(ISNUMBER(O65),O65&lt;=0),"; E_NONPOSITIVE_PARAMETER","")&amp;IF(R65="","; E_MISSING_INPUT","")&amp;IF(AND(R65&lt;&gt;"",NOT(ISNUMBER(R65))),"; E_MISSING_INPUT","")&amp;IF(AND(ISNUMBER(R65),R65&lt;=0),"; E_NONPOSITIVE_PARAMETER","")&amp;IF(AND(U65&lt;&gt;"",NOT(ISNUMBER(U65))),"; E_MISSING_INPUT","")&amp;IF(AND(ISNUMBER(U65),U65&lt;=0),"; E_NONPOSITIVE_PARAMETER","")&amp;IF(TRIM(H65&amp;"")="","; E_MISSING_INPUT","")&amp;IF(TRIM(I65&amp;"")="","; E_MISSING_INPUT","")&amp;IF(TRIM(J65&amp;"")="","; E_MISSING_INPUT","")&amp;IF(TRIM(L65&amp;"")="","; E_MISSING_INPUT","")&amp;IF(P65="","; E_MISSING_INPUT","")&amp;IF(S65="","; E_MISSING_INPUT","")&amp;IF(AND(U65&lt;&gt;"",V65=""),"; E_MISSING_INPUT","")&amp;IF(AQ65=0,"; E_APPLICABILITY_UNCONFIRMED",""))</f>
        <v/>
      </c>
      <c r="AS65" s="21" t="str">
        <f t="shared" si="106"/>
        <v/>
      </c>
      <c r="AT65" s="21" t="str">
        <f t="shared" si="107"/>
        <v/>
      </c>
      <c r="AU65" s="21" t="str">
        <f t="shared" si="108"/>
        <v/>
      </c>
      <c r="AV65" s="22">
        <f t="shared" si="109"/>
        <v>0</v>
      </c>
    </row>
    <row r="66" spans="1:48" x14ac:dyDescent="0.2">
      <c r="A66" s="10"/>
      <c r="B66" s="10"/>
      <c r="C66" s="12"/>
      <c r="D66" s="10"/>
      <c r="E66" s="10"/>
      <c r="F66" s="17"/>
      <c r="G66" s="17"/>
      <c r="H66" s="10"/>
      <c r="I66" s="10"/>
      <c r="J66" s="10"/>
      <c r="K66" s="17"/>
      <c r="L66" s="10"/>
      <c r="M66" s="17"/>
      <c r="N66" s="17"/>
      <c r="O66" s="17"/>
      <c r="P66" s="17"/>
      <c r="Q66" s="10"/>
      <c r="R66" s="17"/>
      <c r="S66" s="17"/>
      <c r="T66" s="10"/>
      <c r="U66" s="17"/>
      <c r="V66" s="17"/>
      <c r="W66" s="10"/>
      <c r="X66" s="21" t="str">
        <f t="shared" si="87"/>
        <v/>
      </c>
      <c r="Y66" s="21" t="str">
        <f t="shared" si="88"/>
        <v/>
      </c>
      <c r="Z66" s="21" t="str">
        <f t="shared" si="89"/>
        <v/>
      </c>
      <c r="AA66" s="21" t="str">
        <f t="shared" si="90"/>
        <v/>
      </c>
      <c r="AB66" s="21" t="str">
        <f t="shared" si="91"/>
        <v/>
      </c>
      <c r="AC66" s="21" t="str">
        <f t="shared" si="92"/>
        <v/>
      </c>
      <c r="AD66" s="21" t="str">
        <f t="shared" si="93"/>
        <v/>
      </c>
      <c r="AE66" s="21" t="str">
        <f>IF(AN66=1,"",MID(IF(ISNUMBER(SEARCH("E_INVALID_DATE",AT66))," | E_INVALID_DATE: "&amp;SUBSTITUTE(IFERROR(INDEX(nMSG_Text,MATCH("E_INVALID_DATE",nMSG_Code,0)),""),"[input]",""),"")&amp;IF(ISNUMBER(SEARCH("E_REVERSED_BOUNDS",AT66))," | E_REVERSED_BOUNDS: "&amp;SUBSTITUTE(IFERROR(INDEX(nMSG_Text,MATCH("E_REVERSED_BOUNDS",nMSG_Code,0)),""),"[input]",""),"")&amp;IF(ISNUMBER(SEARCH("E_DUPLICATE_ID",AT66))," | E_DUPLICATE_ID: "&amp;SUBSTITUTE(IFERROR(INDEX(nMSG_Text,MATCH("E_DUPLICATE_ID",nMSG_Code,0)),""),"[input]",""),"")&amp;IF(ISNUMBER(SEARCH("E_MISSING_LINK",AT66))," | E_MISSING_LINK: "&amp;SUBSTITUTE(IFERROR(INDEX(nMSG_Text,MATCH("E_MISSING_LINK",nMSG_Code,0)),""),"[input]",""),"")&amp;IF(ISNUMBER(SEARCH("E_MISSING_INPUT",AT66))," | E_MISSING_INPUT: "&amp;SUBSTITUTE(IFERROR(INDEX(nMSG_Text,MATCH("E_MISSING_INPUT",nMSG_Code,0)),""),"[input]",IF(AU66="","an input",AU66)),"")&amp;IF(ISNUMBER(SEARCH("E_INVALID_UNIT",AT66))," | E_INVALID_UNIT: "&amp;SUBSTITUTE(IFERROR(INDEX(nMSG_Text,MATCH("E_INVALID_UNIT",nMSG_Code,0)),""),"[input]",""),"")&amp;IF(ISNUMBER(SEARCH("E_NONPOSITIVE_PARAMETER",AT66))," | E_NONPOSITIVE_PARAMETER: "&amp;SUBSTITUTE(IFERROR(INDEX(nMSG_Text,MATCH("E_NONPOSITIVE_PARAMETER",nMSG_Code,0)),""),"[input]",""),"")&amp;IF(ISNUMBER(SEARCH("E_OUT_OF_RANGE",AT66))," | E_OUT_OF_RANGE: "&amp;SUBSTITUTE(IFERROR(INDEX(nMSG_Text,MATCH("E_OUT_OF_RANGE",nMSG_Code,0)),""),"[input]",""),"")&amp;IF(ISNUMBER(SEARCH("E_APPLICABILITY_UNCONFIRMED",AT66))," | E_APPLICABILITY_UNCONFIRMED: "&amp;SUBSTITUTE(IFERROR(INDEX(nMSG_Text,MATCH("E_APPLICABILITY_UNCONFIRMED",nMSG_Code,0)),""),"[input]",""),"")&amp;IF(ISNUMBER(SEARCH("E_CREATININE_STABILITY_UNCONFIRMED",AT66))," | E_CREATININE_STABILITY_UNCONFIRMED: "&amp;SUBSTITUTE(IFERROR(INDEX(nMSG_Text,MATCH("E_CREATININE_STABILITY_UNCONFIRMED",nMSG_Code,0)),""),"[input]",""),"")&amp;IF(ISNUMBER(SEARCH("E_OVERLAPPING_SEGMENTS",AT66))," | E_OVERLAPPING_SEGMENTS: "&amp;SUBSTITUTE(IFERROR(INDEX(nMSG_Text,MATCH("E_OVERLAPPING_SEGMENTS",nMSG_Code,0)),""),"[input]",""),""),4,9999))</f>
        <v/>
      </c>
      <c r="AF66" s="21" t="str">
        <f t="shared" si="94"/>
        <v/>
      </c>
      <c r="AG66" s="21" t="str">
        <f t="shared" si="95"/>
        <v/>
      </c>
      <c r="AH66" s="21" t="str">
        <f t="shared" si="96"/>
        <v/>
      </c>
      <c r="AI66" s="21" t="str">
        <f t="shared" si="97"/>
        <v/>
      </c>
      <c r="AJ66" s="21" t="str">
        <f t="shared" si="98"/>
        <v/>
      </c>
      <c r="AK66" s="21" t="str">
        <f t="shared" si="99"/>
        <v/>
      </c>
      <c r="AL66" s="21" t="str">
        <f t="shared" si="100"/>
        <v/>
      </c>
      <c r="AM66" s="21" t="str">
        <f t="shared" si="101"/>
        <v/>
      </c>
      <c r="AN66" s="22">
        <f t="shared" si="102"/>
        <v>1</v>
      </c>
      <c r="AO66" s="21" t="str">
        <f t="shared" si="103"/>
        <v/>
      </c>
      <c r="AP66" s="21" t="str">
        <f t="shared" si="104"/>
        <v/>
      </c>
      <c r="AQ66" s="22">
        <f t="shared" si="105"/>
        <v>0</v>
      </c>
      <c r="AR66" s="21" t="str">
        <f>IF(AN66=1,"",IF(A66="","; E_MISSING_INPUT","")&amp;IF(N66="","; E_MISSING_INPUT","")&amp;IF(AND(N66&lt;&gt;"",ISNA(MATCH(N66,nLIST_CLUnit,0))),"; E_INVALID_UNIT","")&amp;IF(O66="","; E_MISSING_INPUT","")&amp;IF(AND(O66&lt;&gt;"",NOT(ISNUMBER(O66))),"; E_MISSING_INPUT","")&amp;IF(AND(ISNUMBER(O66),O66&lt;=0),"; E_NONPOSITIVE_PARAMETER","")&amp;IF(R66="","; E_MISSING_INPUT","")&amp;IF(AND(R66&lt;&gt;"",NOT(ISNUMBER(R66))),"; E_MISSING_INPUT","")&amp;IF(AND(ISNUMBER(R66),R66&lt;=0),"; E_NONPOSITIVE_PARAMETER","")&amp;IF(AND(U66&lt;&gt;"",NOT(ISNUMBER(U66))),"; E_MISSING_INPUT","")&amp;IF(AND(ISNUMBER(U66),U66&lt;=0),"; E_NONPOSITIVE_PARAMETER","")&amp;IF(TRIM(H66&amp;"")="","; E_MISSING_INPUT","")&amp;IF(TRIM(I66&amp;"")="","; E_MISSING_INPUT","")&amp;IF(TRIM(J66&amp;"")="","; E_MISSING_INPUT","")&amp;IF(TRIM(L66&amp;"")="","; E_MISSING_INPUT","")&amp;IF(P66="","; E_MISSING_INPUT","")&amp;IF(S66="","; E_MISSING_INPUT","")&amp;IF(AND(U66&lt;&gt;"",V66=""),"; E_MISSING_INPUT","")&amp;IF(AQ66=0,"; E_APPLICABILITY_UNCONFIRMED",""))</f>
        <v/>
      </c>
      <c r="AS66" s="21" t="str">
        <f t="shared" si="106"/>
        <v/>
      </c>
      <c r="AT66" s="21" t="str">
        <f t="shared" si="107"/>
        <v/>
      </c>
      <c r="AU66" s="21" t="str">
        <f t="shared" si="108"/>
        <v/>
      </c>
      <c r="AV66" s="22">
        <f t="shared" si="109"/>
        <v>0</v>
      </c>
    </row>
    <row r="67" spans="1:48" x14ac:dyDescent="0.2">
      <c r="A67" s="10"/>
      <c r="B67" s="10"/>
      <c r="C67" s="12"/>
      <c r="D67" s="10"/>
      <c r="E67" s="10"/>
      <c r="F67" s="17"/>
      <c r="G67" s="17"/>
      <c r="H67" s="10"/>
      <c r="I67" s="10"/>
      <c r="J67" s="10"/>
      <c r="K67" s="17"/>
      <c r="L67" s="10"/>
      <c r="M67" s="17"/>
      <c r="N67" s="17"/>
      <c r="O67" s="17"/>
      <c r="P67" s="17"/>
      <c r="Q67" s="10"/>
      <c r="R67" s="17"/>
      <c r="S67" s="17"/>
      <c r="T67" s="10"/>
      <c r="U67" s="17"/>
      <c r="V67" s="17"/>
      <c r="W67" s="10"/>
      <c r="X67" s="21" t="str">
        <f t="shared" si="87"/>
        <v/>
      </c>
      <c r="Y67" s="21" t="str">
        <f t="shared" si="88"/>
        <v/>
      </c>
      <c r="Z67" s="21" t="str">
        <f t="shared" si="89"/>
        <v/>
      </c>
      <c r="AA67" s="21" t="str">
        <f t="shared" si="90"/>
        <v/>
      </c>
      <c r="AB67" s="21" t="str">
        <f t="shared" si="91"/>
        <v/>
      </c>
      <c r="AC67" s="21" t="str">
        <f t="shared" si="92"/>
        <v/>
      </c>
      <c r="AD67" s="21" t="str">
        <f t="shared" si="93"/>
        <v/>
      </c>
      <c r="AE67" s="21" t="str">
        <f>IF(AN67=1,"",MID(IF(ISNUMBER(SEARCH("E_INVALID_DATE",AT67))," | E_INVALID_DATE: "&amp;SUBSTITUTE(IFERROR(INDEX(nMSG_Text,MATCH("E_INVALID_DATE",nMSG_Code,0)),""),"[input]",""),"")&amp;IF(ISNUMBER(SEARCH("E_REVERSED_BOUNDS",AT67))," | E_REVERSED_BOUNDS: "&amp;SUBSTITUTE(IFERROR(INDEX(nMSG_Text,MATCH("E_REVERSED_BOUNDS",nMSG_Code,0)),""),"[input]",""),"")&amp;IF(ISNUMBER(SEARCH("E_DUPLICATE_ID",AT67))," | E_DUPLICATE_ID: "&amp;SUBSTITUTE(IFERROR(INDEX(nMSG_Text,MATCH("E_DUPLICATE_ID",nMSG_Code,0)),""),"[input]",""),"")&amp;IF(ISNUMBER(SEARCH("E_MISSING_LINK",AT67))," | E_MISSING_LINK: "&amp;SUBSTITUTE(IFERROR(INDEX(nMSG_Text,MATCH("E_MISSING_LINK",nMSG_Code,0)),""),"[input]",""),"")&amp;IF(ISNUMBER(SEARCH("E_MISSING_INPUT",AT67))," | E_MISSING_INPUT: "&amp;SUBSTITUTE(IFERROR(INDEX(nMSG_Text,MATCH("E_MISSING_INPUT",nMSG_Code,0)),""),"[input]",IF(AU67="","an input",AU67)),"")&amp;IF(ISNUMBER(SEARCH("E_INVALID_UNIT",AT67))," | E_INVALID_UNIT: "&amp;SUBSTITUTE(IFERROR(INDEX(nMSG_Text,MATCH("E_INVALID_UNIT",nMSG_Code,0)),""),"[input]",""),"")&amp;IF(ISNUMBER(SEARCH("E_NONPOSITIVE_PARAMETER",AT67))," | E_NONPOSITIVE_PARAMETER: "&amp;SUBSTITUTE(IFERROR(INDEX(nMSG_Text,MATCH("E_NONPOSITIVE_PARAMETER",nMSG_Code,0)),""),"[input]",""),"")&amp;IF(ISNUMBER(SEARCH("E_OUT_OF_RANGE",AT67))," | E_OUT_OF_RANGE: "&amp;SUBSTITUTE(IFERROR(INDEX(nMSG_Text,MATCH("E_OUT_OF_RANGE",nMSG_Code,0)),""),"[input]",""),"")&amp;IF(ISNUMBER(SEARCH("E_APPLICABILITY_UNCONFIRMED",AT67))," | E_APPLICABILITY_UNCONFIRMED: "&amp;SUBSTITUTE(IFERROR(INDEX(nMSG_Text,MATCH("E_APPLICABILITY_UNCONFIRMED",nMSG_Code,0)),""),"[input]",""),"")&amp;IF(ISNUMBER(SEARCH("E_CREATININE_STABILITY_UNCONFIRMED",AT67))," | E_CREATININE_STABILITY_UNCONFIRMED: "&amp;SUBSTITUTE(IFERROR(INDEX(nMSG_Text,MATCH("E_CREATININE_STABILITY_UNCONFIRMED",nMSG_Code,0)),""),"[input]",""),"")&amp;IF(ISNUMBER(SEARCH("E_OVERLAPPING_SEGMENTS",AT67))," | E_OVERLAPPING_SEGMENTS: "&amp;SUBSTITUTE(IFERROR(INDEX(nMSG_Text,MATCH("E_OVERLAPPING_SEGMENTS",nMSG_Code,0)),""),"[input]",""),""),4,9999))</f>
        <v/>
      </c>
      <c r="AF67" s="21" t="str">
        <f t="shared" si="94"/>
        <v/>
      </c>
      <c r="AG67" s="21" t="str">
        <f t="shared" si="95"/>
        <v/>
      </c>
      <c r="AH67" s="21" t="str">
        <f t="shared" si="96"/>
        <v/>
      </c>
      <c r="AI67" s="21" t="str">
        <f t="shared" si="97"/>
        <v/>
      </c>
      <c r="AJ67" s="21" t="str">
        <f t="shared" si="98"/>
        <v/>
      </c>
      <c r="AK67" s="21" t="str">
        <f t="shared" si="99"/>
        <v/>
      </c>
      <c r="AL67" s="21" t="str">
        <f t="shared" si="100"/>
        <v/>
      </c>
      <c r="AM67" s="21" t="str">
        <f t="shared" si="101"/>
        <v/>
      </c>
      <c r="AN67" s="22">
        <f t="shared" si="102"/>
        <v>1</v>
      </c>
      <c r="AO67" s="21" t="str">
        <f t="shared" si="103"/>
        <v/>
      </c>
      <c r="AP67" s="21" t="str">
        <f t="shared" si="104"/>
        <v/>
      </c>
      <c r="AQ67" s="22">
        <f t="shared" si="105"/>
        <v>0</v>
      </c>
      <c r="AR67" s="21" t="str">
        <f>IF(AN67=1,"",IF(A67="","; E_MISSING_INPUT","")&amp;IF(N67="","; E_MISSING_INPUT","")&amp;IF(AND(N67&lt;&gt;"",ISNA(MATCH(N67,nLIST_CLUnit,0))),"; E_INVALID_UNIT","")&amp;IF(O67="","; E_MISSING_INPUT","")&amp;IF(AND(O67&lt;&gt;"",NOT(ISNUMBER(O67))),"; E_MISSING_INPUT","")&amp;IF(AND(ISNUMBER(O67),O67&lt;=0),"; E_NONPOSITIVE_PARAMETER","")&amp;IF(R67="","; E_MISSING_INPUT","")&amp;IF(AND(R67&lt;&gt;"",NOT(ISNUMBER(R67))),"; E_MISSING_INPUT","")&amp;IF(AND(ISNUMBER(R67),R67&lt;=0),"; E_NONPOSITIVE_PARAMETER","")&amp;IF(AND(U67&lt;&gt;"",NOT(ISNUMBER(U67))),"; E_MISSING_INPUT","")&amp;IF(AND(ISNUMBER(U67),U67&lt;=0),"; E_NONPOSITIVE_PARAMETER","")&amp;IF(TRIM(H67&amp;"")="","; E_MISSING_INPUT","")&amp;IF(TRIM(I67&amp;"")="","; E_MISSING_INPUT","")&amp;IF(TRIM(J67&amp;"")="","; E_MISSING_INPUT","")&amp;IF(TRIM(L67&amp;"")="","; E_MISSING_INPUT","")&amp;IF(P67="","; E_MISSING_INPUT","")&amp;IF(S67="","; E_MISSING_INPUT","")&amp;IF(AND(U67&lt;&gt;"",V67=""),"; E_MISSING_INPUT","")&amp;IF(AQ67=0,"; E_APPLICABILITY_UNCONFIRMED",""))</f>
        <v/>
      </c>
      <c r="AS67" s="21" t="str">
        <f t="shared" si="106"/>
        <v/>
      </c>
      <c r="AT67" s="21" t="str">
        <f t="shared" si="107"/>
        <v/>
      </c>
      <c r="AU67" s="21" t="str">
        <f t="shared" si="108"/>
        <v/>
      </c>
      <c r="AV67" s="22">
        <f t="shared" si="109"/>
        <v>0</v>
      </c>
    </row>
    <row r="68" spans="1:48" x14ac:dyDescent="0.2">
      <c r="A68" s="10"/>
      <c r="B68" s="10"/>
      <c r="C68" s="12"/>
      <c r="D68" s="10"/>
      <c r="E68" s="10"/>
      <c r="F68" s="17"/>
      <c r="G68" s="17"/>
      <c r="H68" s="10"/>
      <c r="I68" s="10"/>
      <c r="J68" s="10"/>
      <c r="K68" s="17"/>
      <c r="L68" s="10"/>
      <c r="M68" s="17"/>
      <c r="N68" s="17"/>
      <c r="O68" s="17"/>
      <c r="P68" s="17"/>
      <c r="Q68" s="10"/>
      <c r="R68" s="17"/>
      <c r="S68" s="17"/>
      <c r="T68" s="10"/>
      <c r="U68" s="17"/>
      <c r="V68" s="17"/>
      <c r="W68" s="10"/>
      <c r="X68" s="21" t="str">
        <f t="shared" si="87"/>
        <v/>
      </c>
      <c r="Y68" s="21" t="str">
        <f t="shared" si="88"/>
        <v/>
      </c>
      <c r="Z68" s="21" t="str">
        <f t="shared" si="89"/>
        <v/>
      </c>
      <c r="AA68" s="21" t="str">
        <f t="shared" si="90"/>
        <v/>
      </c>
      <c r="AB68" s="21" t="str">
        <f t="shared" si="91"/>
        <v/>
      </c>
      <c r="AC68" s="21" t="str">
        <f t="shared" si="92"/>
        <v/>
      </c>
      <c r="AD68" s="21" t="str">
        <f t="shared" si="93"/>
        <v/>
      </c>
      <c r="AE68" s="21" t="str">
        <f>IF(AN68=1,"",MID(IF(ISNUMBER(SEARCH("E_INVALID_DATE",AT68))," | E_INVALID_DATE: "&amp;SUBSTITUTE(IFERROR(INDEX(nMSG_Text,MATCH("E_INVALID_DATE",nMSG_Code,0)),""),"[input]",""),"")&amp;IF(ISNUMBER(SEARCH("E_REVERSED_BOUNDS",AT68))," | E_REVERSED_BOUNDS: "&amp;SUBSTITUTE(IFERROR(INDEX(nMSG_Text,MATCH("E_REVERSED_BOUNDS",nMSG_Code,0)),""),"[input]",""),"")&amp;IF(ISNUMBER(SEARCH("E_DUPLICATE_ID",AT68))," | E_DUPLICATE_ID: "&amp;SUBSTITUTE(IFERROR(INDEX(nMSG_Text,MATCH("E_DUPLICATE_ID",nMSG_Code,0)),""),"[input]",""),"")&amp;IF(ISNUMBER(SEARCH("E_MISSING_LINK",AT68))," | E_MISSING_LINK: "&amp;SUBSTITUTE(IFERROR(INDEX(nMSG_Text,MATCH("E_MISSING_LINK",nMSG_Code,0)),""),"[input]",""),"")&amp;IF(ISNUMBER(SEARCH("E_MISSING_INPUT",AT68))," | E_MISSING_INPUT: "&amp;SUBSTITUTE(IFERROR(INDEX(nMSG_Text,MATCH("E_MISSING_INPUT",nMSG_Code,0)),""),"[input]",IF(AU68="","an input",AU68)),"")&amp;IF(ISNUMBER(SEARCH("E_INVALID_UNIT",AT68))," | E_INVALID_UNIT: "&amp;SUBSTITUTE(IFERROR(INDEX(nMSG_Text,MATCH("E_INVALID_UNIT",nMSG_Code,0)),""),"[input]",""),"")&amp;IF(ISNUMBER(SEARCH("E_NONPOSITIVE_PARAMETER",AT68))," | E_NONPOSITIVE_PARAMETER: "&amp;SUBSTITUTE(IFERROR(INDEX(nMSG_Text,MATCH("E_NONPOSITIVE_PARAMETER",nMSG_Code,0)),""),"[input]",""),"")&amp;IF(ISNUMBER(SEARCH("E_OUT_OF_RANGE",AT68))," | E_OUT_OF_RANGE: "&amp;SUBSTITUTE(IFERROR(INDEX(nMSG_Text,MATCH("E_OUT_OF_RANGE",nMSG_Code,0)),""),"[input]",""),"")&amp;IF(ISNUMBER(SEARCH("E_APPLICABILITY_UNCONFIRMED",AT68))," | E_APPLICABILITY_UNCONFIRMED: "&amp;SUBSTITUTE(IFERROR(INDEX(nMSG_Text,MATCH("E_APPLICABILITY_UNCONFIRMED",nMSG_Code,0)),""),"[input]",""),"")&amp;IF(ISNUMBER(SEARCH("E_CREATININE_STABILITY_UNCONFIRMED",AT68))," | E_CREATININE_STABILITY_UNCONFIRMED: "&amp;SUBSTITUTE(IFERROR(INDEX(nMSG_Text,MATCH("E_CREATININE_STABILITY_UNCONFIRMED",nMSG_Code,0)),""),"[input]",""),"")&amp;IF(ISNUMBER(SEARCH("E_OVERLAPPING_SEGMENTS",AT68))," | E_OVERLAPPING_SEGMENTS: "&amp;SUBSTITUTE(IFERROR(INDEX(nMSG_Text,MATCH("E_OVERLAPPING_SEGMENTS",nMSG_Code,0)),""),"[input]",""),""),4,9999))</f>
        <v/>
      </c>
      <c r="AF68" s="21" t="str">
        <f t="shared" si="94"/>
        <v/>
      </c>
      <c r="AG68" s="21" t="str">
        <f t="shared" si="95"/>
        <v/>
      </c>
      <c r="AH68" s="21" t="str">
        <f t="shared" si="96"/>
        <v/>
      </c>
      <c r="AI68" s="21" t="str">
        <f t="shared" si="97"/>
        <v/>
      </c>
      <c r="AJ68" s="21" t="str">
        <f t="shared" si="98"/>
        <v/>
      </c>
      <c r="AK68" s="21" t="str">
        <f t="shared" si="99"/>
        <v/>
      </c>
      <c r="AL68" s="21" t="str">
        <f t="shared" si="100"/>
        <v/>
      </c>
      <c r="AM68" s="21" t="str">
        <f t="shared" si="101"/>
        <v/>
      </c>
      <c r="AN68" s="22">
        <f t="shared" si="102"/>
        <v>1</v>
      </c>
      <c r="AO68" s="21" t="str">
        <f t="shared" si="103"/>
        <v/>
      </c>
      <c r="AP68" s="21" t="str">
        <f t="shared" si="104"/>
        <v/>
      </c>
      <c r="AQ68" s="22">
        <f t="shared" si="105"/>
        <v>0</v>
      </c>
      <c r="AR68" s="21" t="str">
        <f>IF(AN68=1,"",IF(A68="","; E_MISSING_INPUT","")&amp;IF(N68="","; E_MISSING_INPUT","")&amp;IF(AND(N68&lt;&gt;"",ISNA(MATCH(N68,nLIST_CLUnit,0))),"; E_INVALID_UNIT","")&amp;IF(O68="","; E_MISSING_INPUT","")&amp;IF(AND(O68&lt;&gt;"",NOT(ISNUMBER(O68))),"; E_MISSING_INPUT","")&amp;IF(AND(ISNUMBER(O68),O68&lt;=0),"; E_NONPOSITIVE_PARAMETER","")&amp;IF(R68="","; E_MISSING_INPUT","")&amp;IF(AND(R68&lt;&gt;"",NOT(ISNUMBER(R68))),"; E_MISSING_INPUT","")&amp;IF(AND(ISNUMBER(R68),R68&lt;=0),"; E_NONPOSITIVE_PARAMETER","")&amp;IF(AND(U68&lt;&gt;"",NOT(ISNUMBER(U68))),"; E_MISSING_INPUT","")&amp;IF(AND(ISNUMBER(U68),U68&lt;=0),"; E_NONPOSITIVE_PARAMETER","")&amp;IF(TRIM(H68&amp;"")="","; E_MISSING_INPUT","")&amp;IF(TRIM(I68&amp;"")="","; E_MISSING_INPUT","")&amp;IF(TRIM(J68&amp;"")="","; E_MISSING_INPUT","")&amp;IF(TRIM(L68&amp;"")="","; E_MISSING_INPUT","")&amp;IF(P68="","; E_MISSING_INPUT","")&amp;IF(S68="","; E_MISSING_INPUT","")&amp;IF(AND(U68&lt;&gt;"",V68=""),"; E_MISSING_INPUT","")&amp;IF(AQ68=0,"; E_APPLICABILITY_UNCONFIRMED",""))</f>
        <v/>
      </c>
      <c r="AS68" s="21" t="str">
        <f t="shared" si="106"/>
        <v/>
      </c>
      <c r="AT68" s="21" t="str">
        <f t="shared" si="107"/>
        <v/>
      </c>
      <c r="AU68" s="21" t="str">
        <f t="shared" si="108"/>
        <v/>
      </c>
      <c r="AV68" s="22">
        <f t="shared" si="109"/>
        <v>0</v>
      </c>
    </row>
    <row r="69" spans="1:48" x14ac:dyDescent="0.2">
      <c r="A69" s="10"/>
      <c r="B69" s="10"/>
      <c r="C69" s="12"/>
      <c r="D69" s="10"/>
      <c r="E69" s="10"/>
      <c r="F69" s="17"/>
      <c r="G69" s="17"/>
      <c r="H69" s="10"/>
      <c r="I69" s="10"/>
      <c r="J69" s="10"/>
      <c r="K69" s="17"/>
      <c r="L69" s="10"/>
      <c r="M69" s="17"/>
      <c r="N69" s="17"/>
      <c r="O69" s="17"/>
      <c r="P69" s="17"/>
      <c r="Q69" s="10"/>
      <c r="R69" s="17"/>
      <c r="S69" s="17"/>
      <c r="T69" s="10"/>
      <c r="U69" s="17"/>
      <c r="V69" s="17"/>
      <c r="W69" s="10"/>
      <c r="X69" s="21" t="str">
        <f t="shared" si="87"/>
        <v/>
      </c>
      <c r="Y69" s="21" t="str">
        <f t="shared" si="88"/>
        <v/>
      </c>
      <c r="Z69" s="21" t="str">
        <f t="shared" si="89"/>
        <v/>
      </c>
      <c r="AA69" s="21" t="str">
        <f t="shared" si="90"/>
        <v/>
      </c>
      <c r="AB69" s="21" t="str">
        <f t="shared" si="91"/>
        <v/>
      </c>
      <c r="AC69" s="21" t="str">
        <f t="shared" si="92"/>
        <v/>
      </c>
      <c r="AD69" s="21" t="str">
        <f t="shared" si="93"/>
        <v/>
      </c>
      <c r="AE69" s="21" t="str">
        <f>IF(AN69=1,"",MID(IF(ISNUMBER(SEARCH("E_INVALID_DATE",AT69))," | E_INVALID_DATE: "&amp;SUBSTITUTE(IFERROR(INDEX(nMSG_Text,MATCH("E_INVALID_DATE",nMSG_Code,0)),""),"[input]",""),"")&amp;IF(ISNUMBER(SEARCH("E_REVERSED_BOUNDS",AT69))," | E_REVERSED_BOUNDS: "&amp;SUBSTITUTE(IFERROR(INDEX(nMSG_Text,MATCH("E_REVERSED_BOUNDS",nMSG_Code,0)),""),"[input]",""),"")&amp;IF(ISNUMBER(SEARCH("E_DUPLICATE_ID",AT69))," | E_DUPLICATE_ID: "&amp;SUBSTITUTE(IFERROR(INDEX(nMSG_Text,MATCH("E_DUPLICATE_ID",nMSG_Code,0)),""),"[input]",""),"")&amp;IF(ISNUMBER(SEARCH("E_MISSING_LINK",AT69))," | E_MISSING_LINK: "&amp;SUBSTITUTE(IFERROR(INDEX(nMSG_Text,MATCH("E_MISSING_LINK",nMSG_Code,0)),""),"[input]",""),"")&amp;IF(ISNUMBER(SEARCH("E_MISSING_INPUT",AT69))," | E_MISSING_INPUT: "&amp;SUBSTITUTE(IFERROR(INDEX(nMSG_Text,MATCH("E_MISSING_INPUT",nMSG_Code,0)),""),"[input]",IF(AU69="","an input",AU69)),"")&amp;IF(ISNUMBER(SEARCH("E_INVALID_UNIT",AT69))," | E_INVALID_UNIT: "&amp;SUBSTITUTE(IFERROR(INDEX(nMSG_Text,MATCH("E_INVALID_UNIT",nMSG_Code,0)),""),"[input]",""),"")&amp;IF(ISNUMBER(SEARCH("E_NONPOSITIVE_PARAMETER",AT69))," | E_NONPOSITIVE_PARAMETER: "&amp;SUBSTITUTE(IFERROR(INDEX(nMSG_Text,MATCH("E_NONPOSITIVE_PARAMETER",nMSG_Code,0)),""),"[input]",""),"")&amp;IF(ISNUMBER(SEARCH("E_OUT_OF_RANGE",AT69))," | E_OUT_OF_RANGE: "&amp;SUBSTITUTE(IFERROR(INDEX(nMSG_Text,MATCH("E_OUT_OF_RANGE",nMSG_Code,0)),""),"[input]",""),"")&amp;IF(ISNUMBER(SEARCH("E_APPLICABILITY_UNCONFIRMED",AT69))," | E_APPLICABILITY_UNCONFIRMED: "&amp;SUBSTITUTE(IFERROR(INDEX(nMSG_Text,MATCH("E_APPLICABILITY_UNCONFIRMED",nMSG_Code,0)),""),"[input]",""),"")&amp;IF(ISNUMBER(SEARCH("E_CREATININE_STABILITY_UNCONFIRMED",AT69))," | E_CREATININE_STABILITY_UNCONFIRMED: "&amp;SUBSTITUTE(IFERROR(INDEX(nMSG_Text,MATCH("E_CREATININE_STABILITY_UNCONFIRMED",nMSG_Code,0)),""),"[input]",""),"")&amp;IF(ISNUMBER(SEARCH("E_OVERLAPPING_SEGMENTS",AT69))," | E_OVERLAPPING_SEGMENTS: "&amp;SUBSTITUTE(IFERROR(INDEX(nMSG_Text,MATCH("E_OVERLAPPING_SEGMENTS",nMSG_Code,0)),""),"[input]",""),""),4,9999))</f>
        <v/>
      </c>
      <c r="AF69" s="21" t="str">
        <f t="shared" si="94"/>
        <v/>
      </c>
      <c r="AG69" s="21" t="str">
        <f t="shared" si="95"/>
        <v/>
      </c>
      <c r="AH69" s="21" t="str">
        <f t="shared" si="96"/>
        <v/>
      </c>
      <c r="AI69" s="21" t="str">
        <f t="shared" si="97"/>
        <v/>
      </c>
      <c r="AJ69" s="21" t="str">
        <f t="shared" si="98"/>
        <v/>
      </c>
      <c r="AK69" s="21" t="str">
        <f t="shared" si="99"/>
        <v/>
      </c>
      <c r="AL69" s="21" t="str">
        <f t="shared" si="100"/>
        <v/>
      </c>
      <c r="AM69" s="21" t="str">
        <f t="shared" si="101"/>
        <v/>
      </c>
      <c r="AN69" s="22">
        <f t="shared" si="102"/>
        <v>1</v>
      </c>
      <c r="AO69" s="21" t="str">
        <f t="shared" si="103"/>
        <v/>
      </c>
      <c r="AP69" s="21" t="str">
        <f t="shared" si="104"/>
        <v/>
      </c>
      <c r="AQ69" s="22">
        <f t="shared" si="105"/>
        <v>0</v>
      </c>
      <c r="AR69" s="21" t="str">
        <f>IF(AN69=1,"",IF(A69="","; E_MISSING_INPUT","")&amp;IF(N69="","; E_MISSING_INPUT","")&amp;IF(AND(N69&lt;&gt;"",ISNA(MATCH(N69,nLIST_CLUnit,0))),"; E_INVALID_UNIT","")&amp;IF(O69="","; E_MISSING_INPUT","")&amp;IF(AND(O69&lt;&gt;"",NOT(ISNUMBER(O69))),"; E_MISSING_INPUT","")&amp;IF(AND(ISNUMBER(O69),O69&lt;=0),"; E_NONPOSITIVE_PARAMETER","")&amp;IF(R69="","; E_MISSING_INPUT","")&amp;IF(AND(R69&lt;&gt;"",NOT(ISNUMBER(R69))),"; E_MISSING_INPUT","")&amp;IF(AND(ISNUMBER(R69),R69&lt;=0),"; E_NONPOSITIVE_PARAMETER","")&amp;IF(AND(U69&lt;&gt;"",NOT(ISNUMBER(U69))),"; E_MISSING_INPUT","")&amp;IF(AND(ISNUMBER(U69),U69&lt;=0),"; E_NONPOSITIVE_PARAMETER","")&amp;IF(TRIM(H69&amp;"")="","; E_MISSING_INPUT","")&amp;IF(TRIM(I69&amp;"")="","; E_MISSING_INPUT","")&amp;IF(TRIM(J69&amp;"")="","; E_MISSING_INPUT","")&amp;IF(TRIM(L69&amp;"")="","; E_MISSING_INPUT","")&amp;IF(P69="","; E_MISSING_INPUT","")&amp;IF(S69="","; E_MISSING_INPUT","")&amp;IF(AND(U69&lt;&gt;"",V69=""),"; E_MISSING_INPUT","")&amp;IF(AQ69=0,"; E_APPLICABILITY_UNCONFIRMED",""))</f>
        <v/>
      </c>
      <c r="AS69" s="21" t="str">
        <f t="shared" si="106"/>
        <v/>
      </c>
      <c r="AT69" s="21" t="str">
        <f t="shared" si="107"/>
        <v/>
      </c>
      <c r="AU69" s="21" t="str">
        <f t="shared" si="108"/>
        <v/>
      </c>
      <c r="AV69" s="22">
        <f t="shared" si="109"/>
        <v>0</v>
      </c>
    </row>
    <row r="70" spans="1:48" x14ac:dyDescent="0.2">
      <c r="A70" s="10"/>
      <c r="B70" s="10"/>
      <c r="C70" s="12"/>
      <c r="D70" s="10"/>
      <c r="E70" s="10"/>
      <c r="F70" s="17"/>
      <c r="G70" s="17"/>
      <c r="H70" s="10"/>
      <c r="I70" s="10"/>
      <c r="J70" s="10"/>
      <c r="K70" s="17"/>
      <c r="L70" s="10"/>
      <c r="M70" s="17"/>
      <c r="N70" s="17"/>
      <c r="O70" s="17"/>
      <c r="P70" s="17"/>
      <c r="Q70" s="10"/>
      <c r="R70" s="17"/>
      <c r="S70" s="17"/>
      <c r="T70" s="10"/>
      <c r="U70" s="17"/>
      <c r="V70" s="17"/>
      <c r="W70" s="10"/>
      <c r="X70" s="21" t="str">
        <f t="shared" si="87"/>
        <v/>
      </c>
      <c r="Y70" s="21" t="str">
        <f t="shared" si="88"/>
        <v/>
      </c>
      <c r="Z70" s="21" t="str">
        <f t="shared" si="89"/>
        <v/>
      </c>
      <c r="AA70" s="21" t="str">
        <f t="shared" si="90"/>
        <v/>
      </c>
      <c r="AB70" s="21" t="str">
        <f t="shared" si="91"/>
        <v/>
      </c>
      <c r="AC70" s="21" t="str">
        <f t="shared" si="92"/>
        <v/>
      </c>
      <c r="AD70" s="21" t="str">
        <f t="shared" si="93"/>
        <v/>
      </c>
      <c r="AE70" s="21" t="str">
        <f>IF(AN70=1,"",MID(IF(ISNUMBER(SEARCH("E_INVALID_DATE",AT70))," | E_INVALID_DATE: "&amp;SUBSTITUTE(IFERROR(INDEX(nMSG_Text,MATCH("E_INVALID_DATE",nMSG_Code,0)),""),"[input]",""),"")&amp;IF(ISNUMBER(SEARCH("E_REVERSED_BOUNDS",AT70))," | E_REVERSED_BOUNDS: "&amp;SUBSTITUTE(IFERROR(INDEX(nMSG_Text,MATCH("E_REVERSED_BOUNDS",nMSG_Code,0)),""),"[input]",""),"")&amp;IF(ISNUMBER(SEARCH("E_DUPLICATE_ID",AT70))," | E_DUPLICATE_ID: "&amp;SUBSTITUTE(IFERROR(INDEX(nMSG_Text,MATCH("E_DUPLICATE_ID",nMSG_Code,0)),""),"[input]",""),"")&amp;IF(ISNUMBER(SEARCH("E_MISSING_LINK",AT70))," | E_MISSING_LINK: "&amp;SUBSTITUTE(IFERROR(INDEX(nMSG_Text,MATCH("E_MISSING_LINK",nMSG_Code,0)),""),"[input]",""),"")&amp;IF(ISNUMBER(SEARCH("E_MISSING_INPUT",AT70))," | E_MISSING_INPUT: "&amp;SUBSTITUTE(IFERROR(INDEX(nMSG_Text,MATCH("E_MISSING_INPUT",nMSG_Code,0)),""),"[input]",IF(AU70="","an input",AU70)),"")&amp;IF(ISNUMBER(SEARCH("E_INVALID_UNIT",AT70))," | E_INVALID_UNIT: "&amp;SUBSTITUTE(IFERROR(INDEX(nMSG_Text,MATCH("E_INVALID_UNIT",nMSG_Code,0)),""),"[input]",""),"")&amp;IF(ISNUMBER(SEARCH("E_NONPOSITIVE_PARAMETER",AT70))," | E_NONPOSITIVE_PARAMETER: "&amp;SUBSTITUTE(IFERROR(INDEX(nMSG_Text,MATCH("E_NONPOSITIVE_PARAMETER",nMSG_Code,0)),""),"[input]",""),"")&amp;IF(ISNUMBER(SEARCH("E_OUT_OF_RANGE",AT70))," | E_OUT_OF_RANGE: "&amp;SUBSTITUTE(IFERROR(INDEX(nMSG_Text,MATCH("E_OUT_OF_RANGE",nMSG_Code,0)),""),"[input]",""),"")&amp;IF(ISNUMBER(SEARCH("E_APPLICABILITY_UNCONFIRMED",AT70))," | E_APPLICABILITY_UNCONFIRMED: "&amp;SUBSTITUTE(IFERROR(INDEX(nMSG_Text,MATCH("E_APPLICABILITY_UNCONFIRMED",nMSG_Code,0)),""),"[input]",""),"")&amp;IF(ISNUMBER(SEARCH("E_CREATININE_STABILITY_UNCONFIRMED",AT70))," | E_CREATININE_STABILITY_UNCONFIRMED: "&amp;SUBSTITUTE(IFERROR(INDEX(nMSG_Text,MATCH("E_CREATININE_STABILITY_UNCONFIRMED",nMSG_Code,0)),""),"[input]",""),"")&amp;IF(ISNUMBER(SEARCH("E_OVERLAPPING_SEGMENTS",AT70))," | E_OVERLAPPING_SEGMENTS: "&amp;SUBSTITUTE(IFERROR(INDEX(nMSG_Text,MATCH("E_OVERLAPPING_SEGMENTS",nMSG_Code,0)),""),"[input]",""),""),4,9999))</f>
        <v/>
      </c>
      <c r="AF70" s="21" t="str">
        <f t="shared" si="94"/>
        <v/>
      </c>
      <c r="AG70" s="21" t="str">
        <f t="shared" si="95"/>
        <v/>
      </c>
      <c r="AH70" s="21" t="str">
        <f t="shared" si="96"/>
        <v/>
      </c>
      <c r="AI70" s="21" t="str">
        <f t="shared" si="97"/>
        <v/>
      </c>
      <c r="AJ70" s="21" t="str">
        <f t="shared" si="98"/>
        <v/>
      </c>
      <c r="AK70" s="21" t="str">
        <f t="shared" si="99"/>
        <v/>
      </c>
      <c r="AL70" s="21" t="str">
        <f t="shared" si="100"/>
        <v/>
      </c>
      <c r="AM70" s="21" t="str">
        <f t="shared" si="101"/>
        <v/>
      </c>
      <c r="AN70" s="22">
        <f t="shared" si="102"/>
        <v>1</v>
      </c>
      <c r="AO70" s="21" t="str">
        <f t="shared" si="103"/>
        <v/>
      </c>
      <c r="AP70" s="21" t="str">
        <f t="shared" si="104"/>
        <v/>
      </c>
      <c r="AQ70" s="22">
        <f t="shared" si="105"/>
        <v>0</v>
      </c>
      <c r="AR70" s="21" t="str">
        <f>IF(AN70=1,"",IF(A70="","; E_MISSING_INPUT","")&amp;IF(N70="","; E_MISSING_INPUT","")&amp;IF(AND(N70&lt;&gt;"",ISNA(MATCH(N70,nLIST_CLUnit,0))),"; E_INVALID_UNIT","")&amp;IF(O70="","; E_MISSING_INPUT","")&amp;IF(AND(O70&lt;&gt;"",NOT(ISNUMBER(O70))),"; E_MISSING_INPUT","")&amp;IF(AND(ISNUMBER(O70),O70&lt;=0),"; E_NONPOSITIVE_PARAMETER","")&amp;IF(R70="","; E_MISSING_INPUT","")&amp;IF(AND(R70&lt;&gt;"",NOT(ISNUMBER(R70))),"; E_MISSING_INPUT","")&amp;IF(AND(ISNUMBER(R70),R70&lt;=0),"; E_NONPOSITIVE_PARAMETER","")&amp;IF(AND(U70&lt;&gt;"",NOT(ISNUMBER(U70))),"; E_MISSING_INPUT","")&amp;IF(AND(ISNUMBER(U70),U70&lt;=0),"; E_NONPOSITIVE_PARAMETER","")&amp;IF(TRIM(H70&amp;"")="","; E_MISSING_INPUT","")&amp;IF(TRIM(I70&amp;"")="","; E_MISSING_INPUT","")&amp;IF(TRIM(J70&amp;"")="","; E_MISSING_INPUT","")&amp;IF(TRIM(L70&amp;"")="","; E_MISSING_INPUT","")&amp;IF(P70="","; E_MISSING_INPUT","")&amp;IF(S70="","; E_MISSING_INPUT","")&amp;IF(AND(U70&lt;&gt;"",V70=""),"; E_MISSING_INPUT","")&amp;IF(AQ70=0,"; E_APPLICABILITY_UNCONFIRMED",""))</f>
        <v/>
      </c>
      <c r="AS70" s="21" t="str">
        <f t="shared" si="106"/>
        <v/>
      </c>
      <c r="AT70" s="21" t="str">
        <f t="shared" si="107"/>
        <v/>
      </c>
      <c r="AU70" s="21" t="str">
        <f t="shared" si="108"/>
        <v/>
      </c>
      <c r="AV70" s="22">
        <f t="shared" si="109"/>
        <v>0</v>
      </c>
    </row>
    <row r="71" spans="1:48" x14ac:dyDescent="0.2">
      <c r="A71" s="24" t="s">
        <v>294</v>
      </c>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row>
    <row r="72" spans="1:48" x14ac:dyDescent="0.2">
      <c r="A72" s="9" t="s">
        <v>1307</v>
      </c>
      <c r="B72" s="9" t="s">
        <v>301</v>
      </c>
      <c r="C72" s="11">
        <v>2</v>
      </c>
      <c r="D72" s="9" t="s">
        <v>1308</v>
      </c>
      <c r="E72" s="9"/>
      <c r="F72" s="16" t="s">
        <v>85</v>
      </c>
      <c r="G72" s="16" t="s">
        <v>85</v>
      </c>
      <c r="H72" s="9" t="s">
        <v>1312</v>
      </c>
      <c r="I72" s="9" t="s">
        <v>1309</v>
      </c>
      <c r="J72" s="9" t="s">
        <v>1311</v>
      </c>
      <c r="K72" s="16" t="s">
        <v>85</v>
      </c>
      <c r="L72" s="9" t="s">
        <v>1310</v>
      </c>
      <c r="M72" s="16" t="s">
        <v>85</v>
      </c>
      <c r="N72" s="16" t="s">
        <v>76</v>
      </c>
      <c r="O72" s="16">
        <v>1</v>
      </c>
      <c r="P72" s="16" t="s">
        <v>82</v>
      </c>
      <c r="Q72" s="9" t="s">
        <v>1313</v>
      </c>
      <c r="R72" s="16">
        <v>0.75</v>
      </c>
      <c r="S72" s="16" t="s">
        <v>82</v>
      </c>
      <c r="T72" s="9" t="s">
        <v>1313</v>
      </c>
      <c r="U72" s="16"/>
      <c r="V72" s="16"/>
      <c r="W72" s="9"/>
      <c r="X72" s="21" t="str">
        <f t="shared" ref="X72:X75" si="110">IF(AN72=1,"",IF(AT72&lt;&gt;"",AT72&amp;": no result is shown","Half-life ratio "&amp;FIXED(Z72,2,TRUE)&amp;"; average steady-state concentration ratio "&amp;FIXED(AA72,2,TRUE)&amp;IF(AB72&lt;&gt;""," (t_half "&amp;FIXED(AB72,1,TRUE)&amp;" hours before, "&amp;FIXED(AC72,1,TRUE)&amp;" hours after)","")))</f>
        <v>Half-life ratio 1.33; average steady-state concentration ratio 1.33</v>
      </c>
      <c r="Y72" s="21" t="str">
        <f t="shared" ref="Y72:Y75" si="111">IF(AN72=1,"",IF(AV72=0,"Not calculable",MID(IF(TRUE,"; "&amp;"Half-life ratio (after / before)"&amp;": "&amp;FIXED(Z72,2,TRUE),"")&amp;IF(TRUE,"; "&amp;"Average steady-state concentration ratio"&amp;": "&amp;FIXED(AA72,2,TRUE),"")&amp;IF(AB72&lt;&gt;"","; "&amp;"Half-life before"&amp;": "&amp;FIXED(AB72,1,FALSE)&amp;" hours","")&amp;IF(AC72&lt;&gt;"","; "&amp;"Half-life after"&amp;": "&amp;FIXED(AC72,1,FALSE)&amp;" hours",""),3,9999)))</f>
        <v>Half-life ratio (after / before): 1.33; Average steady-state concentration ratio: 1.33</v>
      </c>
      <c r="Z72" s="21">
        <f t="shared" ref="Z72:Z75" si="112">IF(AV72=1,O72/R72,"")</f>
        <v>1.3333333333333333</v>
      </c>
      <c r="AA72" s="21">
        <f t="shared" ref="AA72:AA75" si="113">IF(AV72=1,O72/R72,"")</f>
        <v>1.3333333333333333</v>
      </c>
      <c r="AB72" s="21" t="str">
        <f t="shared" ref="AB72:AB75" si="114">IF(OR(AV72=0,U72=""),"",LN(2)*U72/(O72*IF(N72="mL/minute",0.06,1)))</f>
        <v/>
      </c>
      <c r="AC72" s="21" t="str">
        <f t="shared" ref="AC72:AC75" si="115">IF(OR(AV72=0,U72=""),"",LN(2)*U72/(R72*IF(N72="mL/minute",0.06,1)))</f>
        <v/>
      </c>
      <c r="AD72" s="21" t="str">
        <f t="shared" ref="AD72:AD75" si="116">IF(AN72=1,"",IF(AT72&lt;&gt;"",AT72,""))</f>
        <v/>
      </c>
      <c r="AE72" s="21" t="str">
        <f>IF(AN72=1,"",MID(IF(ISNUMBER(SEARCH("E_INVALID_DATE",AT72))," | E_INVALID_DATE: "&amp;SUBSTITUTE(IFERROR(INDEX(nMSG_Text,MATCH("E_INVALID_DATE",nMSG_Code,0)),""),"[input]",""),"")&amp;IF(ISNUMBER(SEARCH("E_REVERSED_BOUNDS",AT72))," | E_REVERSED_BOUNDS: "&amp;SUBSTITUTE(IFERROR(INDEX(nMSG_Text,MATCH("E_REVERSED_BOUNDS",nMSG_Code,0)),""),"[input]",""),"")&amp;IF(ISNUMBER(SEARCH("E_DUPLICATE_ID",AT72))," | E_DUPLICATE_ID: "&amp;SUBSTITUTE(IFERROR(INDEX(nMSG_Text,MATCH("E_DUPLICATE_ID",nMSG_Code,0)),""),"[input]",""),"")&amp;IF(ISNUMBER(SEARCH("E_MISSING_LINK",AT72))," | E_MISSING_LINK: "&amp;SUBSTITUTE(IFERROR(INDEX(nMSG_Text,MATCH("E_MISSING_LINK",nMSG_Code,0)),""),"[input]",""),"")&amp;IF(ISNUMBER(SEARCH("E_MISSING_INPUT",AT72))," | E_MISSING_INPUT: "&amp;SUBSTITUTE(IFERROR(INDEX(nMSG_Text,MATCH("E_MISSING_INPUT",nMSG_Code,0)),""),"[input]",IF(AU72="","an input",AU72)),"")&amp;IF(ISNUMBER(SEARCH("E_INVALID_UNIT",AT72))," | E_INVALID_UNIT: "&amp;SUBSTITUTE(IFERROR(INDEX(nMSG_Text,MATCH("E_INVALID_UNIT",nMSG_Code,0)),""),"[input]",""),"")&amp;IF(ISNUMBER(SEARCH("E_NONPOSITIVE_PARAMETER",AT72))," | E_NONPOSITIVE_PARAMETER: "&amp;SUBSTITUTE(IFERROR(INDEX(nMSG_Text,MATCH("E_NONPOSITIVE_PARAMETER",nMSG_Code,0)),""),"[input]",""),"")&amp;IF(ISNUMBER(SEARCH("E_OUT_OF_RANGE",AT72))," | E_OUT_OF_RANGE: "&amp;SUBSTITUTE(IFERROR(INDEX(nMSG_Text,MATCH("E_OUT_OF_RANGE",nMSG_Code,0)),""),"[input]",""),"")&amp;IF(ISNUMBER(SEARCH("E_APPLICABILITY_UNCONFIRMED",AT72))," | E_APPLICABILITY_UNCONFIRMED: "&amp;SUBSTITUTE(IFERROR(INDEX(nMSG_Text,MATCH("E_APPLICABILITY_UNCONFIRMED",nMSG_Code,0)),""),"[input]",""),"")&amp;IF(ISNUMBER(SEARCH("E_CREATININE_STABILITY_UNCONFIRMED",AT72))," | E_CREATININE_STABILITY_UNCONFIRMED: "&amp;SUBSTITUTE(IFERROR(INDEX(nMSG_Text,MATCH("E_CREATININE_STABILITY_UNCONFIRMED",nMSG_Code,0)),""),"[input]",""),"")&amp;IF(ISNUMBER(SEARCH("E_OVERLAPPING_SEGMENTS",AT72))," | E_OVERLAPPING_SEGMENTS: "&amp;SUBSTITUTE(IFERROR(INDEX(nMSG_Text,MATCH("E_OVERLAPPING_SEGMENTS",nMSG_Code,0)),""),"[input]",""),""),4,9999))</f>
        <v/>
      </c>
      <c r="AF72" s="21" t="str">
        <f t="shared" ref="AF72:AF75" si="117">IF(AN72=1,"","CL_before = "&amp;O72&amp;" "&amp;N72&amp;" ["&amp;IF(P72="","status not recorded",P72)&amp;IF(Q72&lt;&gt;"","; "&amp;Q72,"")&amp;"]"&amp;"; "&amp;"CL_after = "&amp;R72&amp;" "&amp;N72&amp;" ["&amp;IF(S72="","status not recorded",S72)&amp;IF(T72&lt;&gt;"","; "&amp;T72,"")&amp;"]"&amp;IF(U72&lt;&gt;"","; "&amp;"V_L = "&amp;U72&amp;" "&amp;"L"&amp;" ["&amp;IF(V72="","status not recorded",V72)&amp;IF(W72&lt;&gt;"","; "&amp;W72,"")&amp;"]",""))</f>
        <v>CL_before = 1 L/hour [model assumption; Chapter 11, Worked exercise 11.2]; CL_after = 0.75 L/hour [model assumption; Chapter 11, Worked exercise 11.2]</v>
      </c>
      <c r="AG72" s="21" t="str">
        <f t="shared" ref="AG72:AG75" si="118">IF(AN72=1,"",MID(""&amp;IF(AQ72=1," | Gate confirmed: the simple model applies (one compartment, linear first-order elimination, constant parameters over the period). | Gate confirmed: the parameters used – type: "&amp;H72&amp;"; population: "&amp;I72&amp;"; source: "&amp;J72&amp;". | Gate confirmed: reference time – "&amp;L72&amp;". | Gate confirmed: each input’s Parameter_Status is recorded."," | Common gate not confirmed"&amp;IF(AND(F72="Yes",G72="Yes",K72="Yes",M72="Yes"),": a gate detail or a Parameter_Status is blank.",": "&amp;MID(IF(F72&lt;&gt;"Yes",", model","")&amp;IF(G72&lt;&gt;"Yes",", parameters used","")&amp;IF(K72&lt;&gt;"Yes",", reference time","")&amp;IF(M72&lt;&gt;"Yes",", Parameter_Status",""),3,99)&amp;" not confirmed."))&amp;IF(TRIM(E72&amp;"")&lt;&gt;""," | "&amp;E72,""),4,9999))</f>
        <v>Gate confirmed: the simple model applies (one compartment, linear first-order elimination, constant parameters over the period). | Gate confirmed: the parameters used – type: relative total clearance (baseline = 1, entered on the L/hour scale; only the ratio is used); population: fe 0.5-0.7 from healthy volunteers given IV digoxin (not the patient); source: LANOXIN US 12.3; Chapter 11, Worked exercise 11.2. | Gate confirmed: reference time – Eventual average steady state after the renal change. | Gate confirmed: each input’s Parameter_Status is recorded.</v>
      </c>
      <c r="AH72" s="21" t="str">
        <f t="shared" ref="AH72:AH75" si="119">IF(AV72=0,"",MID(IF(TRUE,"; "&amp;"Half-life ratio (after / before)"&amp;" = "&amp;Z72&amp;" ("&amp;FIXED(Z72,2,TRUE)&amp;")","")&amp;IF(TRUE,"; "&amp;"Average steady-state concentration ratio"&amp;" = "&amp;AA72&amp;" ("&amp;FIXED(AA72,2,TRUE)&amp;")","")&amp;IF(AB72&lt;&gt;"","; "&amp;"Half-life before"&amp;" = "&amp;AB72&amp;" ("&amp;FIXED(AB72,1,FALSE)&amp;" hours"&amp;")","")&amp;IF(AC72&lt;&gt;"","; "&amp;"Half-life after"&amp;" = "&amp;AC72&amp;" ("&amp;FIXED(AC72,1,FALSE)&amp;" hours"&amp;")",""),3,9999))</f>
        <v>Half-life ratio (after / before) = 1.33333333333333 (1.33); Average steady-state concentration ratio = 1.33333333333333 (1.33)</v>
      </c>
      <c r="AI72" s="21" t="str">
        <f t="shared" ref="AI72:AI75" si="120">IF(AV72=0,"","ratio")</f>
        <v>ratio</v>
      </c>
      <c r="AJ72" s="21" t="str">
        <f t="shared" ref="AJ72:AJ75" si="121">IF(AN72=1,"",IF(TRIM(D72&amp;"")&lt;&gt;"",D72,"Q4 A change in clearance"))</f>
        <v>Renal elimination halved, fe 0.5: CL_after/CL_before = 0.5 + 0.5 x 0.5 = 0.75 (Chapter 11, Worked exercise 11.2)</v>
      </c>
      <c r="AK72" s="21" t="str">
        <f t="shared" ref="AK72:AK75" si="122">IF(AN72=1,"","Describes the eventual average steady state. It does not date the patient’s onset; the transition depends on prior concentrations and when clearance changed.")</f>
        <v>Describes the eventual average steady state. It does not date the patient’s onset; the transition depends on prior concentrations and when clearance changed.</v>
      </c>
      <c r="AL72" s="21" t="str">
        <f t="shared" ref="AL72:AL75" si="123">IF(AN72=1,"","ratio = CL_before / CL_after (V constant); with V: t_half = ln 2 x V / CL for each period")</f>
        <v>ratio = CL_before / CL_after (V constant); with V: t_half = ln 2 x V / CL for each period</v>
      </c>
      <c r="AM72" s="21" t="str">
        <f t="shared" ref="AM72:AM75" si="124">IF(AN72=1,"","CALC-SPEC 1.1")</f>
        <v>CALC-SPEC 1.1</v>
      </c>
      <c r="AN72" s="22">
        <f t="shared" ref="AN72:AN75" si="125">IF(AND(A72="",O72="",R72=""),1,0)</f>
        <v>0</v>
      </c>
      <c r="AO72" s="21" t="str">
        <f t="shared" ref="AO72:AO75" si="126">IF(AN72=1,"",B72&amp;"|"&amp;C72)</f>
        <v>EX-C04|2</v>
      </c>
      <c r="AP72" s="21" t="str">
        <f t="shared" ref="AP72:AP75" si="127">IF(A72="","",B72&amp;"|"&amp;C72&amp;"|"&amp;A72)</f>
        <v>EX-C04|2|Q4-C04-half-fe0.5</v>
      </c>
      <c r="AQ72" s="22">
        <f t="shared" ref="AQ72:AQ75" si="128">IF(AND(F72="Yes",G72="Yes",K72="Yes",M72="Yes",TRIM(H72&amp;"")&lt;&gt;"",TRIM(I72&amp;"")&lt;&gt;"",TRIM(J72&amp;"")&lt;&gt;"",TRIM(L72&amp;"")&lt;&gt;"",P72&lt;&gt;"",S72&lt;&gt;"",OR(U72="",V72&lt;&gt;"")),1,0)</f>
        <v>1</v>
      </c>
      <c r="AR72" s="21" t="str">
        <f>IF(AN72=1,"",IF(A72="","; E_MISSING_INPUT","")&amp;IF(N72="","; E_MISSING_INPUT","")&amp;IF(AND(N72&lt;&gt;"",ISNA(MATCH(N72,nLIST_CLUnit,0))),"; E_INVALID_UNIT","")&amp;IF(O72="","; E_MISSING_INPUT","")&amp;IF(AND(O72&lt;&gt;"",NOT(ISNUMBER(O72))),"; E_MISSING_INPUT","")&amp;IF(AND(ISNUMBER(O72),O72&lt;=0),"; E_NONPOSITIVE_PARAMETER","")&amp;IF(R72="","; E_MISSING_INPUT","")&amp;IF(AND(R72&lt;&gt;"",NOT(ISNUMBER(R72))),"; E_MISSING_INPUT","")&amp;IF(AND(ISNUMBER(R72),R72&lt;=0),"; E_NONPOSITIVE_PARAMETER","")&amp;IF(AND(U72&lt;&gt;"",NOT(ISNUMBER(U72))),"; E_MISSING_INPUT","")&amp;IF(AND(ISNUMBER(U72),U72&lt;=0),"; E_NONPOSITIVE_PARAMETER","")&amp;IF(TRIM(H72&amp;"")="","; E_MISSING_INPUT","")&amp;IF(TRIM(I72&amp;"")="","; E_MISSING_INPUT","")&amp;IF(TRIM(J72&amp;"")="","; E_MISSING_INPUT","")&amp;IF(TRIM(L72&amp;"")="","; E_MISSING_INPUT","")&amp;IF(P72="","; E_MISSING_INPUT","")&amp;IF(S72="","; E_MISSING_INPUT","")&amp;IF(AND(U72&lt;&gt;"",V72=""),"; E_MISSING_INPUT","")&amp;IF(AQ72=0,"; E_APPLICABILITY_UNCONFIRMED",""))</f>
        <v/>
      </c>
      <c r="AS72" s="21" t="str">
        <f t="shared" ref="AS72:AS75" si="129">IF(AN72=1,"",IF(A72="",", a Calc_ID","")&amp;IF(N72="",", the clearance unit","")&amp;IF(O72="",", the clearance before","")&amp;IF(AND(O72&lt;&gt;"",NOT(ISNUMBER(O72))),", the clearance before as a number","")&amp;IF(R72="",", the clearance after","")&amp;IF(AND(R72&lt;&gt;"",NOT(ISNUMBER(R72))),", the clearance after as a number","")&amp;IF(AND(U72&lt;&gt;"",NOT(ISNUMBER(U72))),", the volume as a number","")&amp;IF(TRIM(H72&amp;"")="",", the type of the parameters used","")&amp;IF(TRIM(I72&amp;"")="",", the population of the parameters used","")&amp;IF(TRIM(J72&amp;"")="",", the source of the parameters used","")&amp;IF(TRIM(L72&amp;"")="",", the reference time","")&amp;IF(P72="",", the Parameter_Status of the clearance before","")&amp;IF(S72="",", the Parameter_Status of the clearance after","")&amp;IF(AND(U72&lt;&gt;"",V72=""),", the Parameter_Status of the apparent volume",""))</f>
        <v/>
      </c>
      <c r="AT72" s="21" t="str">
        <f t="shared" ref="AT72:AT75" si="130">IF(AN72=1,"",MID(IF(ISNUMBER(SEARCH("E_INVALID_DATE",AR72)),"; E_INVALID_DATE","")&amp;IF(ISNUMBER(SEARCH("E_REVERSED_BOUNDS",AR72)),"; E_REVERSED_BOUNDS","")&amp;IF(ISNUMBER(SEARCH("E_DUPLICATE_ID",AR72)),"; E_DUPLICATE_ID","")&amp;IF(ISNUMBER(SEARCH("E_MISSING_LINK",AR72)),"; E_MISSING_LINK","")&amp;IF(ISNUMBER(SEARCH("E_MISSING_INPUT",AR72)),"; E_MISSING_INPUT","")&amp;IF(ISNUMBER(SEARCH("E_INVALID_UNIT",AR72)),"; E_INVALID_UNIT","")&amp;IF(ISNUMBER(SEARCH("E_NONPOSITIVE_PARAMETER",AR72)),"; E_NONPOSITIVE_PARAMETER","")&amp;IF(ISNUMBER(SEARCH("E_OUT_OF_RANGE",AR72)),"; E_OUT_OF_RANGE","")&amp;IF(ISNUMBER(SEARCH("E_APPLICABILITY_UNCONFIRMED",AR72)),"; E_APPLICABILITY_UNCONFIRMED","")&amp;IF(ISNUMBER(SEARCH("E_CREATININE_STABILITY_UNCONFIRMED",AR72)),"; E_CREATININE_STABILITY_UNCONFIRMED","")&amp;IF(ISNUMBER(SEARCH("E_OVERLAPPING_SEGMENTS",AR72)),"; E_OVERLAPPING_SEGMENTS",""),3,999))</f>
        <v/>
      </c>
      <c r="AU72" s="21" t="str">
        <f t="shared" ref="AU72:AU75" si="131">MID(AS72,3,999)</f>
        <v/>
      </c>
      <c r="AV72" s="22">
        <f t="shared" ref="AV72:AV75" si="132">IF(AND(AN72=0,AT72=""),1,0)</f>
        <v>1</v>
      </c>
    </row>
    <row r="73" spans="1:48" x14ac:dyDescent="0.2">
      <c r="A73" s="9" t="s">
        <v>1314</v>
      </c>
      <c r="B73" s="9" t="s">
        <v>301</v>
      </c>
      <c r="C73" s="11">
        <v>2</v>
      </c>
      <c r="D73" s="9" t="s">
        <v>1315</v>
      </c>
      <c r="E73" s="9"/>
      <c r="F73" s="16" t="s">
        <v>85</v>
      </c>
      <c r="G73" s="16" t="s">
        <v>85</v>
      </c>
      <c r="H73" s="9" t="s">
        <v>1312</v>
      </c>
      <c r="I73" s="9" t="s">
        <v>1309</v>
      </c>
      <c r="J73" s="9" t="s">
        <v>1311</v>
      </c>
      <c r="K73" s="16" t="s">
        <v>85</v>
      </c>
      <c r="L73" s="9" t="s">
        <v>1310</v>
      </c>
      <c r="M73" s="16" t="s">
        <v>85</v>
      </c>
      <c r="N73" s="16" t="s">
        <v>76</v>
      </c>
      <c r="O73" s="16">
        <v>1</v>
      </c>
      <c r="P73" s="16" t="s">
        <v>82</v>
      </c>
      <c r="Q73" s="9" t="s">
        <v>1313</v>
      </c>
      <c r="R73" s="16">
        <v>0.65</v>
      </c>
      <c r="S73" s="16" t="s">
        <v>82</v>
      </c>
      <c r="T73" s="9" t="s">
        <v>1313</v>
      </c>
      <c r="U73" s="16"/>
      <c r="V73" s="16"/>
      <c r="W73" s="9"/>
      <c r="X73" s="21" t="str">
        <f t="shared" si="110"/>
        <v>Half-life ratio 1.54; average steady-state concentration ratio 1.54</v>
      </c>
      <c r="Y73" s="21" t="str">
        <f t="shared" si="111"/>
        <v>Half-life ratio (after / before): 1.54; Average steady-state concentration ratio: 1.54</v>
      </c>
      <c r="Z73" s="21">
        <f t="shared" si="112"/>
        <v>1.5384615384615383</v>
      </c>
      <c r="AA73" s="21">
        <f t="shared" si="113"/>
        <v>1.5384615384615383</v>
      </c>
      <c r="AB73" s="21" t="str">
        <f t="shared" si="114"/>
        <v/>
      </c>
      <c r="AC73" s="21" t="str">
        <f t="shared" si="115"/>
        <v/>
      </c>
      <c r="AD73" s="21" t="str">
        <f t="shared" si="116"/>
        <v/>
      </c>
      <c r="AE73" s="21" t="str">
        <f>IF(AN73=1,"",MID(IF(ISNUMBER(SEARCH("E_INVALID_DATE",AT73))," | E_INVALID_DATE: "&amp;SUBSTITUTE(IFERROR(INDEX(nMSG_Text,MATCH("E_INVALID_DATE",nMSG_Code,0)),""),"[input]",""),"")&amp;IF(ISNUMBER(SEARCH("E_REVERSED_BOUNDS",AT73))," | E_REVERSED_BOUNDS: "&amp;SUBSTITUTE(IFERROR(INDEX(nMSG_Text,MATCH("E_REVERSED_BOUNDS",nMSG_Code,0)),""),"[input]",""),"")&amp;IF(ISNUMBER(SEARCH("E_DUPLICATE_ID",AT73))," | E_DUPLICATE_ID: "&amp;SUBSTITUTE(IFERROR(INDEX(nMSG_Text,MATCH("E_DUPLICATE_ID",nMSG_Code,0)),""),"[input]",""),"")&amp;IF(ISNUMBER(SEARCH("E_MISSING_LINK",AT73))," | E_MISSING_LINK: "&amp;SUBSTITUTE(IFERROR(INDEX(nMSG_Text,MATCH("E_MISSING_LINK",nMSG_Code,0)),""),"[input]",""),"")&amp;IF(ISNUMBER(SEARCH("E_MISSING_INPUT",AT73))," | E_MISSING_INPUT: "&amp;SUBSTITUTE(IFERROR(INDEX(nMSG_Text,MATCH("E_MISSING_INPUT",nMSG_Code,0)),""),"[input]",IF(AU73="","an input",AU73)),"")&amp;IF(ISNUMBER(SEARCH("E_INVALID_UNIT",AT73))," | E_INVALID_UNIT: "&amp;SUBSTITUTE(IFERROR(INDEX(nMSG_Text,MATCH("E_INVALID_UNIT",nMSG_Code,0)),""),"[input]",""),"")&amp;IF(ISNUMBER(SEARCH("E_NONPOSITIVE_PARAMETER",AT73))," | E_NONPOSITIVE_PARAMETER: "&amp;SUBSTITUTE(IFERROR(INDEX(nMSG_Text,MATCH("E_NONPOSITIVE_PARAMETER",nMSG_Code,0)),""),"[input]",""),"")&amp;IF(ISNUMBER(SEARCH("E_OUT_OF_RANGE",AT73))," | E_OUT_OF_RANGE: "&amp;SUBSTITUTE(IFERROR(INDEX(nMSG_Text,MATCH("E_OUT_OF_RANGE",nMSG_Code,0)),""),"[input]",""),"")&amp;IF(ISNUMBER(SEARCH("E_APPLICABILITY_UNCONFIRMED",AT73))," | E_APPLICABILITY_UNCONFIRMED: "&amp;SUBSTITUTE(IFERROR(INDEX(nMSG_Text,MATCH("E_APPLICABILITY_UNCONFIRMED",nMSG_Code,0)),""),"[input]",""),"")&amp;IF(ISNUMBER(SEARCH("E_CREATININE_STABILITY_UNCONFIRMED",AT73))," | E_CREATININE_STABILITY_UNCONFIRMED: "&amp;SUBSTITUTE(IFERROR(INDEX(nMSG_Text,MATCH("E_CREATININE_STABILITY_UNCONFIRMED",nMSG_Code,0)),""),"[input]",""),"")&amp;IF(ISNUMBER(SEARCH("E_OVERLAPPING_SEGMENTS",AT73))," | E_OVERLAPPING_SEGMENTS: "&amp;SUBSTITUTE(IFERROR(INDEX(nMSG_Text,MATCH("E_OVERLAPPING_SEGMENTS",nMSG_Code,0)),""),"[input]",""),""),4,9999))</f>
        <v/>
      </c>
      <c r="AF73" s="21" t="str">
        <f t="shared" si="117"/>
        <v>CL_before = 1 L/hour [model assumption; Chapter 11, Worked exercise 11.2]; CL_after = 0.65 L/hour [model assumption; Chapter 11, Worked exercise 11.2]</v>
      </c>
      <c r="AG73" s="21" t="str">
        <f t="shared" si="118"/>
        <v>Gate confirmed: the simple model applies (one compartment, linear first-order elimination, constant parameters over the period). | Gate confirmed: the parameters used – type: relative total clearance (baseline = 1, entered on the L/hour scale; only the ratio is used); population: fe 0.5-0.7 from healthy volunteers given IV digoxin (not the patient); source: LANOXIN US 12.3; Chapter 11, Worked exercise 11.2. | Gate confirmed: reference time – Eventual average steady state after the renal change. | Gate confirmed: each input’s Parameter_Status is recorded.</v>
      </c>
      <c r="AH73" s="21" t="str">
        <f t="shared" si="119"/>
        <v>Half-life ratio (after / before) = 1.53846153846154 (1.54); Average steady-state concentration ratio = 1.53846153846154 (1.54)</v>
      </c>
      <c r="AI73" s="21" t="str">
        <f t="shared" si="120"/>
        <v>ratio</v>
      </c>
      <c r="AJ73" s="21" t="str">
        <f t="shared" si="121"/>
        <v>Renal elimination halved, fe 0.7: 0.3 + 0.7 x 0.5 = 0.65</v>
      </c>
      <c r="AK73" s="21" t="str">
        <f t="shared" si="122"/>
        <v>Describes the eventual average steady state. It does not date the patient’s onset; the transition depends on prior concentrations and when clearance changed.</v>
      </c>
      <c r="AL73" s="21" t="str">
        <f t="shared" si="123"/>
        <v>ratio = CL_before / CL_after (V constant); with V: t_half = ln 2 x V / CL for each period</v>
      </c>
      <c r="AM73" s="21" t="str">
        <f t="shared" si="124"/>
        <v>CALC-SPEC 1.1</v>
      </c>
      <c r="AN73" s="22">
        <f t="shared" si="125"/>
        <v>0</v>
      </c>
      <c r="AO73" s="21" t="str">
        <f t="shared" si="126"/>
        <v>EX-C04|2</v>
      </c>
      <c r="AP73" s="21" t="str">
        <f t="shared" si="127"/>
        <v>EX-C04|2|Q4-C04-half-fe0.7</v>
      </c>
      <c r="AQ73" s="22">
        <f t="shared" si="128"/>
        <v>1</v>
      </c>
      <c r="AR73" s="21" t="str">
        <f>IF(AN73=1,"",IF(A73="","; E_MISSING_INPUT","")&amp;IF(N73="","; E_MISSING_INPUT","")&amp;IF(AND(N73&lt;&gt;"",ISNA(MATCH(N73,nLIST_CLUnit,0))),"; E_INVALID_UNIT","")&amp;IF(O73="","; E_MISSING_INPUT","")&amp;IF(AND(O73&lt;&gt;"",NOT(ISNUMBER(O73))),"; E_MISSING_INPUT","")&amp;IF(AND(ISNUMBER(O73),O73&lt;=0),"; E_NONPOSITIVE_PARAMETER","")&amp;IF(R73="","; E_MISSING_INPUT","")&amp;IF(AND(R73&lt;&gt;"",NOT(ISNUMBER(R73))),"; E_MISSING_INPUT","")&amp;IF(AND(ISNUMBER(R73),R73&lt;=0),"; E_NONPOSITIVE_PARAMETER","")&amp;IF(AND(U73&lt;&gt;"",NOT(ISNUMBER(U73))),"; E_MISSING_INPUT","")&amp;IF(AND(ISNUMBER(U73),U73&lt;=0),"; E_NONPOSITIVE_PARAMETER","")&amp;IF(TRIM(H73&amp;"")="","; E_MISSING_INPUT","")&amp;IF(TRIM(I73&amp;"")="","; E_MISSING_INPUT","")&amp;IF(TRIM(J73&amp;"")="","; E_MISSING_INPUT","")&amp;IF(TRIM(L73&amp;"")="","; E_MISSING_INPUT","")&amp;IF(P73="","; E_MISSING_INPUT","")&amp;IF(S73="","; E_MISSING_INPUT","")&amp;IF(AND(U73&lt;&gt;"",V73=""),"; E_MISSING_INPUT","")&amp;IF(AQ73=0,"; E_APPLICABILITY_UNCONFIRMED",""))</f>
        <v/>
      </c>
      <c r="AS73" s="21" t="str">
        <f t="shared" si="129"/>
        <v/>
      </c>
      <c r="AT73" s="21" t="str">
        <f t="shared" si="130"/>
        <v/>
      </c>
      <c r="AU73" s="21" t="str">
        <f t="shared" si="131"/>
        <v/>
      </c>
      <c r="AV73" s="22">
        <f t="shared" si="132"/>
        <v>1</v>
      </c>
    </row>
    <row r="74" spans="1:48" x14ac:dyDescent="0.2">
      <c r="A74" s="9" t="s">
        <v>1316</v>
      </c>
      <c r="B74" s="9" t="s">
        <v>301</v>
      </c>
      <c r="C74" s="11">
        <v>2</v>
      </c>
      <c r="D74" s="9" t="s">
        <v>1317</v>
      </c>
      <c r="E74" s="9"/>
      <c r="F74" s="16" t="s">
        <v>85</v>
      </c>
      <c r="G74" s="16" t="s">
        <v>85</v>
      </c>
      <c r="H74" s="9" t="s">
        <v>1312</v>
      </c>
      <c r="I74" s="9" t="s">
        <v>1309</v>
      </c>
      <c r="J74" s="9" t="s">
        <v>1311</v>
      </c>
      <c r="K74" s="16" t="s">
        <v>85</v>
      </c>
      <c r="L74" s="9" t="s">
        <v>1310</v>
      </c>
      <c r="M74" s="16" t="s">
        <v>85</v>
      </c>
      <c r="N74" s="16" t="s">
        <v>76</v>
      </c>
      <c r="O74" s="16">
        <v>1</v>
      </c>
      <c r="P74" s="16" t="s">
        <v>82</v>
      </c>
      <c r="Q74" s="9" t="s">
        <v>1313</v>
      </c>
      <c r="R74" s="16">
        <v>0.625</v>
      </c>
      <c r="S74" s="16" t="s">
        <v>82</v>
      </c>
      <c r="T74" s="9" t="s">
        <v>1313</v>
      </c>
      <c r="U74" s="16"/>
      <c r="V74" s="16"/>
      <c r="W74" s="9"/>
      <c r="X74" s="21" t="str">
        <f t="shared" si="110"/>
        <v>Half-life ratio 1.60; average steady-state concentration ratio 1.60</v>
      </c>
      <c r="Y74" s="21" t="str">
        <f t="shared" si="111"/>
        <v>Half-life ratio (after / before): 1.60; Average steady-state concentration ratio: 1.60</v>
      </c>
      <c r="Z74" s="21">
        <f t="shared" si="112"/>
        <v>1.6</v>
      </c>
      <c r="AA74" s="21">
        <f t="shared" si="113"/>
        <v>1.6</v>
      </c>
      <c r="AB74" s="21" t="str">
        <f t="shared" si="114"/>
        <v/>
      </c>
      <c r="AC74" s="21" t="str">
        <f t="shared" si="115"/>
        <v/>
      </c>
      <c r="AD74" s="21" t="str">
        <f t="shared" si="116"/>
        <v/>
      </c>
      <c r="AE74" s="21" t="str">
        <f>IF(AN74=1,"",MID(IF(ISNUMBER(SEARCH("E_INVALID_DATE",AT74))," | E_INVALID_DATE: "&amp;SUBSTITUTE(IFERROR(INDEX(nMSG_Text,MATCH("E_INVALID_DATE",nMSG_Code,0)),""),"[input]",""),"")&amp;IF(ISNUMBER(SEARCH("E_REVERSED_BOUNDS",AT74))," | E_REVERSED_BOUNDS: "&amp;SUBSTITUTE(IFERROR(INDEX(nMSG_Text,MATCH("E_REVERSED_BOUNDS",nMSG_Code,0)),""),"[input]",""),"")&amp;IF(ISNUMBER(SEARCH("E_DUPLICATE_ID",AT74))," | E_DUPLICATE_ID: "&amp;SUBSTITUTE(IFERROR(INDEX(nMSG_Text,MATCH("E_DUPLICATE_ID",nMSG_Code,0)),""),"[input]",""),"")&amp;IF(ISNUMBER(SEARCH("E_MISSING_LINK",AT74))," | E_MISSING_LINK: "&amp;SUBSTITUTE(IFERROR(INDEX(nMSG_Text,MATCH("E_MISSING_LINK",nMSG_Code,0)),""),"[input]",""),"")&amp;IF(ISNUMBER(SEARCH("E_MISSING_INPUT",AT74))," | E_MISSING_INPUT: "&amp;SUBSTITUTE(IFERROR(INDEX(nMSG_Text,MATCH("E_MISSING_INPUT",nMSG_Code,0)),""),"[input]",IF(AU74="","an input",AU74)),"")&amp;IF(ISNUMBER(SEARCH("E_INVALID_UNIT",AT74))," | E_INVALID_UNIT: "&amp;SUBSTITUTE(IFERROR(INDEX(nMSG_Text,MATCH("E_INVALID_UNIT",nMSG_Code,0)),""),"[input]",""),"")&amp;IF(ISNUMBER(SEARCH("E_NONPOSITIVE_PARAMETER",AT74))," | E_NONPOSITIVE_PARAMETER: "&amp;SUBSTITUTE(IFERROR(INDEX(nMSG_Text,MATCH("E_NONPOSITIVE_PARAMETER",nMSG_Code,0)),""),"[input]",""),"")&amp;IF(ISNUMBER(SEARCH("E_OUT_OF_RANGE",AT74))," | E_OUT_OF_RANGE: "&amp;SUBSTITUTE(IFERROR(INDEX(nMSG_Text,MATCH("E_OUT_OF_RANGE",nMSG_Code,0)),""),"[input]",""),"")&amp;IF(ISNUMBER(SEARCH("E_APPLICABILITY_UNCONFIRMED",AT74))," | E_APPLICABILITY_UNCONFIRMED: "&amp;SUBSTITUTE(IFERROR(INDEX(nMSG_Text,MATCH("E_APPLICABILITY_UNCONFIRMED",nMSG_Code,0)),""),"[input]",""),"")&amp;IF(ISNUMBER(SEARCH("E_CREATININE_STABILITY_UNCONFIRMED",AT74))," | E_CREATININE_STABILITY_UNCONFIRMED: "&amp;SUBSTITUTE(IFERROR(INDEX(nMSG_Text,MATCH("E_CREATININE_STABILITY_UNCONFIRMED",nMSG_Code,0)),""),"[input]",""),"")&amp;IF(ISNUMBER(SEARCH("E_OVERLAPPING_SEGMENTS",AT74))," | E_OVERLAPPING_SEGMENTS: "&amp;SUBSTITUTE(IFERROR(INDEX(nMSG_Text,MATCH("E_OVERLAPPING_SEGMENTS",nMSG_Code,0)),""),"[input]",""),""),4,9999))</f>
        <v/>
      </c>
      <c r="AF74" s="21" t="str">
        <f t="shared" si="117"/>
        <v>CL_before = 1 L/hour [model assumption; Chapter 11, Worked exercise 11.2]; CL_after = 0.625 L/hour [model assumption; Chapter 11, Worked exercise 11.2]</v>
      </c>
      <c r="AG74" s="21" t="str">
        <f t="shared" si="118"/>
        <v>Gate confirmed: the simple model applies (one compartment, linear first-order elimination, constant parameters over the period). | Gate confirmed: the parameters used – type: relative total clearance (baseline = 1, entered on the L/hour scale; only the ratio is used); population: fe 0.5-0.7 from healthy volunteers given IV digoxin (not the patient); source: LANOXIN US 12.3; Chapter 11, Worked exercise 11.2. | Gate confirmed: reference time – Eventual average steady state after the renal change. | Gate confirmed: each input’s Parameter_Status is recorded.</v>
      </c>
      <c r="AH74" s="21" t="str">
        <f t="shared" si="119"/>
        <v>Half-life ratio (after / before) = 1.6 (1.60); Average steady-state concentration ratio = 1.6 (1.60)</v>
      </c>
      <c r="AI74" s="21" t="str">
        <f t="shared" si="120"/>
        <v>ratio</v>
      </c>
      <c r="AJ74" s="21" t="str">
        <f t="shared" si="121"/>
        <v>Renal elimination at a quarter, fe 0.5: 0.625</v>
      </c>
      <c r="AK74" s="21" t="str">
        <f t="shared" si="122"/>
        <v>Describes the eventual average steady state. It does not date the patient’s onset; the transition depends on prior concentrations and when clearance changed.</v>
      </c>
      <c r="AL74" s="21" t="str">
        <f t="shared" si="123"/>
        <v>ratio = CL_before / CL_after (V constant); with V: t_half = ln 2 x V / CL for each period</v>
      </c>
      <c r="AM74" s="21" t="str">
        <f t="shared" si="124"/>
        <v>CALC-SPEC 1.1</v>
      </c>
      <c r="AN74" s="22">
        <f t="shared" si="125"/>
        <v>0</v>
      </c>
      <c r="AO74" s="21" t="str">
        <f t="shared" si="126"/>
        <v>EX-C04|2</v>
      </c>
      <c r="AP74" s="21" t="str">
        <f t="shared" si="127"/>
        <v>EX-C04|2|Q4-C04-quarter-fe0.5</v>
      </c>
      <c r="AQ74" s="22">
        <f t="shared" si="128"/>
        <v>1</v>
      </c>
      <c r="AR74" s="21" t="str">
        <f>IF(AN74=1,"",IF(A74="","; E_MISSING_INPUT","")&amp;IF(N74="","; E_MISSING_INPUT","")&amp;IF(AND(N74&lt;&gt;"",ISNA(MATCH(N74,nLIST_CLUnit,0))),"; E_INVALID_UNIT","")&amp;IF(O74="","; E_MISSING_INPUT","")&amp;IF(AND(O74&lt;&gt;"",NOT(ISNUMBER(O74))),"; E_MISSING_INPUT","")&amp;IF(AND(ISNUMBER(O74),O74&lt;=0),"; E_NONPOSITIVE_PARAMETER","")&amp;IF(R74="","; E_MISSING_INPUT","")&amp;IF(AND(R74&lt;&gt;"",NOT(ISNUMBER(R74))),"; E_MISSING_INPUT","")&amp;IF(AND(ISNUMBER(R74),R74&lt;=0),"; E_NONPOSITIVE_PARAMETER","")&amp;IF(AND(U74&lt;&gt;"",NOT(ISNUMBER(U74))),"; E_MISSING_INPUT","")&amp;IF(AND(ISNUMBER(U74),U74&lt;=0),"; E_NONPOSITIVE_PARAMETER","")&amp;IF(TRIM(H74&amp;"")="","; E_MISSING_INPUT","")&amp;IF(TRIM(I74&amp;"")="","; E_MISSING_INPUT","")&amp;IF(TRIM(J74&amp;"")="","; E_MISSING_INPUT","")&amp;IF(TRIM(L74&amp;"")="","; E_MISSING_INPUT","")&amp;IF(P74="","; E_MISSING_INPUT","")&amp;IF(S74="","; E_MISSING_INPUT","")&amp;IF(AND(U74&lt;&gt;"",V74=""),"; E_MISSING_INPUT","")&amp;IF(AQ74=0,"; E_APPLICABILITY_UNCONFIRMED",""))</f>
        <v/>
      </c>
      <c r="AS74" s="21" t="str">
        <f t="shared" si="129"/>
        <v/>
      </c>
      <c r="AT74" s="21" t="str">
        <f t="shared" si="130"/>
        <v/>
      </c>
      <c r="AU74" s="21" t="str">
        <f t="shared" si="131"/>
        <v/>
      </c>
      <c r="AV74" s="22">
        <f t="shared" si="132"/>
        <v>1</v>
      </c>
    </row>
    <row r="75" spans="1:48" x14ac:dyDescent="0.2">
      <c r="A75" s="9" t="s">
        <v>1318</v>
      </c>
      <c r="B75" s="9" t="s">
        <v>301</v>
      </c>
      <c r="C75" s="11">
        <v>2</v>
      </c>
      <c r="D75" s="9" t="s">
        <v>1319</v>
      </c>
      <c r="E75" s="9"/>
      <c r="F75" s="16" t="s">
        <v>85</v>
      </c>
      <c r="G75" s="16" t="s">
        <v>85</v>
      </c>
      <c r="H75" s="9" t="s">
        <v>1312</v>
      </c>
      <c r="I75" s="9" t="s">
        <v>1309</v>
      </c>
      <c r="J75" s="9" t="s">
        <v>1311</v>
      </c>
      <c r="K75" s="16" t="s">
        <v>85</v>
      </c>
      <c r="L75" s="9" t="s">
        <v>1310</v>
      </c>
      <c r="M75" s="16" t="s">
        <v>85</v>
      </c>
      <c r="N75" s="16" t="s">
        <v>76</v>
      </c>
      <c r="O75" s="16">
        <v>1</v>
      </c>
      <c r="P75" s="16" t="s">
        <v>82</v>
      </c>
      <c r="Q75" s="9" t="s">
        <v>1313</v>
      </c>
      <c r="R75" s="16">
        <v>0.47499999999999998</v>
      </c>
      <c r="S75" s="16" t="s">
        <v>82</v>
      </c>
      <c r="T75" s="9" t="s">
        <v>1313</v>
      </c>
      <c r="U75" s="16"/>
      <c r="V75" s="16"/>
      <c r="W75" s="9"/>
      <c r="X75" s="21" t="str">
        <f t="shared" si="110"/>
        <v>Half-life ratio 2.11; average steady-state concentration ratio 2.11</v>
      </c>
      <c r="Y75" s="21" t="str">
        <f t="shared" si="111"/>
        <v>Half-life ratio (after / before): 2.11; Average steady-state concentration ratio: 2.11</v>
      </c>
      <c r="Z75" s="21">
        <f t="shared" si="112"/>
        <v>2.1052631578947367</v>
      </c>
      <c r="AA75" s="21">
        <f t="shared" si="113"/>
        <v>2.1052631578947367</v>
      </c>
      <c r="AB75" s="21" t="str">
        <f t="shared" si="114"/>
        <v/>
      </c>
      <c r="AC75" s="21" t="str">
        <f t="shared" si="115"/>
        <v/>
      </c>
      <c r="AD75" s="21" t="str">
        <f t="shared" si="116"/>
        <v/>
      </c>
      <c r="AE75" s="21" t="str">
        <f>IF(AN75=1,"",MID(IF(ISNUMBER(SEARCH("E_INVALID_DATE",AT75))," | E_INVALID_DATE: "&amp;SUBSTITUTE(IFERROR(INDEX(nMSG_Text,MATCH("E_INVALID_DATE",nMSG_Code,0)),""),"[input]",""),"")&amp;IF(ISNUMBER(SEARCH("E_REVERSED_BOUNDS",AT75))," | E_REVERSED_BOUNDS: "&amp;SUBSTITUTE(IFERROR(INDEX(nMSG_Text,MATCH("E_REVERSED_BOUNDS",nMSG_Code,0)),""),"[input]",""),"")&amp;IF(ISNUMBER(SEARCH("E_DUPLICATE_ID",AT75))," | E_DUPLICATE_ID: "&amp;SUBSTITUTE(IFERROR(INDEX(nMSG_Text,MATCH("E_DUPLICATE_ID",nMSG_Code,0)),""),"[input]",""),"")&amp;IF(ISNUMBER(SEARCH("E_MISSING_LINK",AT75))," | E_MISSING_LINK: "&amp;SUBSTITUTE(IFERROR(INDEX(nMSG_Text,MATCH("E_MISSING_LINK",nMSG_Code,0)),""),"[input]",""),"")&amp;IF(ISNUMBER(SEARCH("E_MISSING_INPUT",AT75))," | E_MISSING_INPUT: "&amp;SUBSTITUTE(IFERROR(INDEX(nMSG_Text,MATCH("E_MISSING_INPUT",nMSG_Code,0)),""),"[input]",IF(AU75="","an input",AU75)),"")&amp;IF(ISNUMBER(SEARCH("E_INVALID_UNIT",AT75))," | E_INVALID_UNIT: "&amp;SUBSTITUTE(IFERROR(INDEX(nMSG_Text,MATCH("E_INVALID_UNIT",nMSG_Code,0)),""),"[input]",""),"")&amp;IF(ISNUMBER(SEARCH("E_NONPOSITIVE_PARAMETER",AT75))," | E_NONPOSITIVE_PARAMETER: "&amp;SUBSTITUTE(IFERROR(INDEX(nMSG_Text,MATCH("E_NONPOSITIVE_PARAMETER",nMSG_Code,0)),""),"[input]",""),"")&amp;IF(ISNUMBER(SEARCH("E_OUT_OF_RANGE",AT75))," | E_OUT_OF_RANGE: "&amp;SUBSTITUTE(IFERROR(INDEX(nMSG_Text,MATCH("E_OUT_OF_RANGE",nMSG_Code,0)),""),"[input]",""),"")&amp;IF(ISNUMBER(SEARCH("E_APPLICABILITY_UNCONFIRMED",AT75))," | E_APPLICABILITY_UNCONFIRMED: "&amp;SUBSTITUTE(IFERROR(INDEX(nMSG_Text,MATCH("E_APPLICABILITY_UNCONFIRMED",nMSG_Code,0)),""),"[input]",""),"")&amp;IF(ISNUMBER(SEARCH("E_CREATININE_STABILITY_UNCONFIRMED",AT75))," | E_CREATININE_STABILITY_UNCONFIRMED: "&amp;SUBSTITUTE(IFERROR(INDEX(nMSG_Text,MATCH("E_CREATININE_STABILITY_UNCONFIRMED",nMSG_Code,0)),""),"[input]",""),"")&amp;IF(ISNUMBER(SEARCH("E_OVERLAPPING_SEGMENTS",AT75))," | E_OVERLAPPING_SEGMENTS: "&amp;SUBSTITUTE(IFERROR(INDEX(nMSG_Text,MATCH("E_OVERLAPPING_SEGMENTS",nMSG_Code,0)),""),"[input]",""),""),4,9999))</f>
        <v/>
      </c>
      <c r="AF75" s="21" t="str">
        <f t="shared" si="117"/>
        <v>CL_before = 1 L/hour [model assumption; Chapter 11, Worked exercise 11.2]; CL_after = 0.475 L/hour [model assumption; Chapter 11, Worked exercise 11.2]</v>
      </c>
      <c r="AG75" s="21" t="str">
        <f t="shared" si="118"/>
        <v>Gate confirmed: the simple model applies (one compartment, linear first-order elimination, constant parameters over the period). | Gate confirmed: the parameters used – type: relative total clearance (baseline = 1, entered on the L/hour scale; only the ratio is used); population: fe 0.5-0.7 from healthy volunteers given IV digoxin (not the patient); source: LANOXIN US 12.3; Chapter 11, Worked exercise 11.2. | Gate confirmed: reference time – Eventual average steady state after the renal change. | Gate confirmed: each input’s Parameter_Status is recorded.</v>
      </c>
      <c r="AH75" s="21" t="str">
        <f t="shared" si="119"/>
        <v>Half-life ratio (after / before) = 2.10526315789474 (2.11); Average steady-state concentration ratio = 2.10526315789474 (2.11)</v>
      </c>
      <c r="AI75" s="21" t="str">
        <f t="shared" si="120"/>
        <v>ratio</v>
      </c>
      <c r="AJ75" s="21" t="str">
        <f t="shared" si="121"/>
        <v>Renal elimination at a quarter, fe 0.7: 0.475</v>
      </c>
      <c r="AK75" s="21" t="str">
        <f t="shared" si="122"/>
        <v>Describes the eventual average steady state. It does not date the patient’s onset; the transition depends on prior concentrations and when clearance changed.</v>
      </c>
      <c r="AL75" s="21" t="str">
        <f t="shared" si="123"/>
        <v>ratio = CL_before / CL_after (V constant); with V: t_half = ln 2 x V / CL for each period</v>
      </c>
      <c r="AM75" s="21" t="str">
        <f t="shared" si="124"/>
        <v>CALC-SPEC 1.1</v>
      </c>
      <c r="AN75" s="22">
        <f t="shared" si="125"/>
        <v>0</v>
      </c>
      <c r="AO75" s="21" t="str">
        <f t="shared" si="126"/>
        <v>EX-C04|2</v>
      </c>
      <c r="AP75" s="21" t="str">
        <f t="shared" si="127"/>
        <v>EX-C04|2|Q4-C04-quarter-fe0.7</v>
      </c>
      <c r="AQ75" s="22">
        <f t="shared" si="128"/>
        <v>1</v>
      </c>
      <c r="AR75" s="21" t="str">
        <f>IF(AN75=1,"",IF(A75="","; E_MISSING_INPUT","")&amp;IF(N75="","; E_MISSING_INPUT","")&amp;IF(AND(N75&lt;&gt;"",ISNA(MATCH(N75,nLIST_CLUnit,0))),"; E_INVALID_UNIT","")&amp;IF(O75="","; E_MISSING_INPUT","")&amp;IF(AND(O75&lt;&gt;"",NOT(ISNUMBER(O75))),"; E_MISSING_INPUT","")&amp;IF(AND(ISNUMBER(O75),O75&lt;=0),"; E_NONPOSITIVE_PARAMETER","")&amp;IF(R75="","; E_MISSING_INPUT","")&amp;IF(AND(R75&lt;&gt;"",NOT(ISNUMBER(R75))),"; E_MISSING_INPUT","")&amp;IF(AND(ISNUMBER(R75),R75&lt;=0),"; E_NONPOSITIVE_PARAMETER","")&amp;IF(AND(U75&lt;&gt;"",NOT(ISNUMBER(U75))),"; E_MISSING_INPUT","")&amp;IF(AND(ISNUMBER(U75),U75&lt;=0),"; E_NONPOSITIVE_PARAMETER","")&amp;IF(TRIM(H75&amp;"")="","; E_MISSING_INPUT","")&amp;IF(TRIM(I75&amp;"")="","; E_MISSING_INPUT","")&amp;IF(TRIM(J75&amp;"")="","; E_MISSING_INPUT","")&amp;IF(TRIM(L75&amp;"")="","; E_MISSING_INPUT","")&amp;IF(P75="","; E_MISSING_INPUT","")&amp;IF(S75="","; E_MISSING_INPUT","")&amp;IF(AND(U75&lt;&gt;"",V75=""),"; E_MISSING_INPUT","")&amp;IF(AQ75=0,"; E_APPLICABILITY_UNCONFIRMED",""))</f>
        <v/>
      </c>
      <c r="AS75" s="21" t="str">
        <f t="shared" si="129"/>
        <v/>
      </c>
      <c r="AT75" s="21" t="str">
        <f t="shared" si="130"/>
        <v/>
      </c>
      <c r="AU75" s="21" t="str">
        <f t="shared" si="131"/>
        <v/>
      </c>
      <c r="AV75" s="22">
        <f t="shared" si="132"/>
        <v>1</v>
      </c>
    </row>
    <row r="76" spans="1:48" x14ac:dyDescent="0.2">
      <c r="A76" s="24" t="s">
        <v>295</v>
      </c>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row>
    <row r="77" spans="1:48" x14ac:dyDescent="0.2">
      <c r="A77" s="9" t="s">
        <v>1320</v>
      </c>
      <c r="B77" s="9" t="s">
        <v>345</v>
      </c>
      <c r="C77" s="11">
        <v>1</v>
      </c>
      <c r="D77" s="9" t="s">
        <v>1321</v>
      </c>
      <c r="E77" s="9"/>
      <c r="F77" s="16" t="s">
        <v>85</v>
      </c>
      <c r="G77" s="16" t="s">
        <v>85</v>
      </c>
      <c r="H77" s="9" t="s">
        <v>1323</v>
      </c>
      <c r="I77" s="9" t="s">
        <v>1244</v>
      </c>
      <c r="J77" s="9" t="s">
        <v>1246</v>
      </c>
      <c r="K77" s="16" t="s">
        <v>85</v>
      </c>
      <c r="L77" s="9" t="s">
        <v>1322</v>
      </c>
      <c r="M77" s="16" t="s">
        <v>85</v>
      </c>
      <c r="N77" s="16" t="s">
        <v>76</v>
      </c>
      <c r="O77" s="16">
        <v>5</v>
      </c>
      <c r="P77" s="16" t="s">
        <v>83</v>
      </c>
      <c r="Q77" s="9" t="s">
        <v>1324</v>
      </c>
      <c r="R77" s="16">
        <v>2.5</v>
      </c>
      <c r="S77" s="16" t="s">
        <v>83</v>
      </c>
      <c r="T77" s="9" t="s">
        <v>1324</v>
      </c>
      <c r="U77" s="16"/>
      <c r="V77" s="16"/>
      <c r="W77" s="9"/>
      <c r="X77" s="21" t="str">
        <f>IF(AN77=1,"",IF(AT77&lt;&gt;"",AT77&amp;": no result is shown","Half-life ratio "&amp;FIXED(Z77,2,TRUE)&amp;"; average steady-state concentration ratio "&amp;FIXED(AA77,2,TRUE)&amp;IF(AB77&lt;&gt;""," (t_half "&amp;FIXED(AB77,1,TRUE)&amp;" hours before, "&amp;FIXED(AC77,1,TRUE)&amp;" hours after)","")))</f>
        <v>Half-life ratio 2.00; average steady-state concentration ratio 2.00</v>
      </c>
      <c r="Y77" s="21" t="str">
        <f>IF(AN77=1,"",IF(AV77=0,"Not calculable",MID(IF(TRUE,"; "&amp;"Half-life ratio (after / before)"&amp;": "&amp;FIXED(Z77,2,TRUE),"")&amp;IF(TRUE,"; "&amp;"Average steady-state concentration ratio"&amp;": "&amp;FIXED(AA77,2,TRUE),"")&amp;IF(AB77&lt;&gt;"","; "&amp;"Half-life before"&amp;": "&amp;FIXED(AB77,1,FALSE)&amp;" hours","")&amp;IF(AC77&lt;&gt;"","; "&amp;"Half-life after"&amp;": "&amp;FIXED(AC77,1,FALSE)&amp;" hours",""),3,9999)))</f>
        <v>Half-life ratio (after / before): 2.00; Average steady-state concentration ratio: 2.00</v>
      </c>
      <c r="Z77" s="21">
        <f>IF(AV77=1,O77/R77,"")</f>
        <v>2</v>
      </c>
      <c r="AA77" s="21">
        <f>IF(AV77=1,O77/R77,"")</f>
        <v>2</v>
      </c>
      <c r="AB77" s="21" t="str">
        <f>IF(OR(AV77=0,U77=""),"",LN(2)*U77/(O77*IF(N77="mL/minute",0.06,1)))</f>
        <v/>
      </c>
      <c r="AC77" s="21" t="str">
        <f>IF(OR(AV77=0,U77=""),"",LN(2)*U77/(R77*IF(N77="mL/minute",0.06,1)))</f>
        <v/>
      </c>
      <c r="AD77" s="21" t="str">
        <f>IF(AN77=1,"",IF(AT77&lt;&gt;"",AT77,""))</f>
        <v/>
      </c>
      <c r="AE77" s="21" t="str">
        <f>IF(AN77=1,"",MID(IF(ISNUMBER(SEARCH("E_INVALID_DATE",AT77))," | E_INVALID_DATE: "&amp;SUBSTITUTE(IFERROR(INDEX(nMSG_Text,MATCH("E_INVALID_DATE",nMSG_Code,0)),""),"[input]",""),"")&amp;IF(ISNUMBER(SEARCH("E_REVERSED_BOUNDS",AT77))," | E_REVERSED_BOUNDS: "&amp;SUBSTITUTE(IFERROR(INDEX(nMSG_Text,MATCH("E_REVERSED_BOUNDS",nMSG_Code,0)),""),"[input]",""),"")&amp;IF(ISNUMBER(SEARCH("E_DUPLICATE_ID",AT77))," | E_DUPLICATE_ID: "&amp;SUBSTITUTE(IFERROR(INDEX(nMSG_Text,MATCH("E_DUPLICATE_ID",nMSG_Code,0)),""),"[input]",""),"")&amp;IF(ISNUMBER(SEARCH("E_MISSING_LINK",AT77))," | E_MISSING_LINK: "&amp;SUBSTITUTE(IFERROR(INDEX(nMSG_Text,MATCH("E_MISSING_LINK",nMSG_Code,0)),""),"[input]",""),"")&amp;IF(ISNUMBER(SEARCH("E_MISSING_INPUT",AT77))," | E_MISSING_INPUT: "&amp;SUBSTITUTE(IFERROR(INDEX(nMSG_Text,MATCH("E_MISSING_INPUT",nMSG_Code,0)),""),"[input]",IF(AU77="","an input",AU77)),"")&amp;IF(ISNUMBER(SEARCH("E_INVALID_UNIT",AT77))," | E_INVALID_UNIT: "&amp;SUBSTITUTE(IFERROR(INDEX(nMSG_Text,MATCH("E_INVALID_UNIT",nMSG_Code,0)),""),"[input]",""),"")&amp;IF(ISNUMBER(SEARCH("E_NONPOSITIVE_PARAMETER",AT77))," | E_NONPOSITIVE_PARAMETER: "&amp;SUBSTITUTE(IFERROR(INDEX(nMSG_Text,MATCH("E_NONPOSITIVE_PARAMETER",nMSG_Code,0)),""),"[input]",""),"")&amp;IF(ISNUMBER(SEARCH("E_OUT_OF_RANGE",AT77))," | E_OUT_OF_RANGE: "&amp;SUBSTITUTE(IFERROR(INDEX(nMSG_Text,MATCH("E_OUT_OF_RANGE",nMSG_Code,0)),""),"[input]",""),"")&amp;IF(ISNUMBER(SEARCH("E_APPLICABILITY_UNCONFIRMED",AT77))," | E_APPLICABILITY_UNCONFIRMED: "&amp;SUBSTITUTE(IFERROR(INDEX(nMSG_Text,MATCH("E_APPLICABILITY_UNCONFIRMED",nMSG_Code,0)),""),"[input]",""),"")&amp;IF(ISNUMBER(SEARCH("E_CREATININE_STABILITY_UNCONFIRMED",AT77))," | E_CREATININE_STABILITY_UNCONFIRMED: "&amp;SUBSTITUTE(IFERROR(INDEX(nMSG_Text,MATCH("E_CREATININE_STABILITY_UNCONFIRMED",nMSG_Code,0)),""),"[input]",""),"")&amp;IF(ISNUMBER(SEARCH("E_OVERLAPPING_SEGMENTS",AT77))," | E_OVERLAPPING_SEGMENTS: "&amp;SUBSTITUTE(IFERROR(INDEX(nMSG_Text,MATCH("E_OVERLAPPING_SEGMENTS",nMSG_Code,0)),""),"[input]",""),""),4,9999))</f>
        <v/>
      </c>
      <c r="AF77" s="21" t="str">
        <f>IF(AN77=1,"","CL_before = "&amp;O77&amp;" "&amp;N77&amp;" ["&amp;IF(P77="","status not recorded",P77)&amp;IF(Q77&lt;&gt;"","; "&amp;Q77,"")&amp;"]"&amp;"; "&amp;"CL_after = "&amp;R77&amp;" "&amp;N77&amp;" ["&amp;IF(S77="","status not recorded",S77)&amp;IF(T77&lt;&gt;"","; "&amp;T77,"")&amp;"]"&amp;IF(U77&lt;&gt;"","; "&amp;"V_L = "&amp;U77&amp;" "&amp;"L"&amp;" ["&amp;IF(V77="","status not recorded",V77)&amp;IF(W77&lt;&gt;"","; "&amp;W77,"")&amp;"]",""))</f>
        <v>CL_before = 5 L/hour [hypothetical example; V34 V19]; CL_after = 2.5 L/hour [hypothetical example; V34 V19]</v>
      </c>
      <c r="AG77" s="21" t="str">
        <f>IF(AN77=1,"",MID(""&amp;IF(AQ77=1," | Gate confirmed: the simple model applies (one compartment, linear first-order elimination, constant parameters over the period). | Gate confirmed: the parameters used – type: "&amp;H77&amp;"; population: "&amp;I77&amp;"; source: "&amp;J77&amp;". | Gate confirmed: reference time – "&amp;L77&amp;". | Gate confirmed: each input’s Parameter_Status is recorded."," | Common gate not confirmed"&amp;IF(AND(F77="Yes",G77="Yes",K77="Yes",M77="Yes"),": a gate detail or a Parameter_Status is blank.",": "&amp;MID(IF(F77&lt;&gt;"Yes",", model","")&amp;IF(G77&lt;&gt;"Yes",", parameters used","")&amp;IF(K77&lt;&gt;"Yes",", reference time","")&amp;IF(M77&lt;&gt;"Yes",", Parameter_Status",""),3,99)&amp;" not confirmed."))&amp;IF(TRIM(E77&amp;"")&lt;&gt;""," | "&amp;E77,""),4,9999))</f>
        <v>Gate confirmed: the simple model applies (one compartment, linear first-order elimination, constant parameters over the period). | Gate confirmed: the parameters used – type: total clearance (hypothetical); population: hypothetical population (vector file); source: tto_calc_test_vectors_v1.1.json. | Gate confirmed: reference time – Eventual average steady state. | Gate confirmed: each input’s Parameter_Status is recorded.</v>
      </c>
      <c r="AH77" s="21" t="str">
        <f>IF(AV77=0,"",MID(IF(TRUE,"; "&amp;"Half-life ratio (after / before)"&amp;" = "&amp;Z77&amp;" ("&amp;FIXED(Z77,2,TRUE)&amp;")","")&amp;IF(TRUE,"; "&amp;"Average steady-state concentration ratio"&amp;" = "&amp;AA77&amp;" ("&amp;FIXED(AA77,2,TRUE)&amp;")","")&amp;IF(AB77&lt;&gt;"","; "&amp;"Half-life before"&amp;" = "&amp;AB77&amp;" ("&amp;FIXED(AB77,1,FALSE)&amp;" hours"&amp;")","")&amp;IF(AC77&lt;&gt;"","; "&amp;"Half-life after"&amp;" = "&amp;AC77&amp;" ("&amp;FIXED(AC77,1,FALSE)&amp;" hours"&amp;")",""),3,9999))</f>
        <v>Half-life ratio (after / before) = 2 (2.00); Average steady-state concentration ratio = 2 (2.00)</v>
      </c>
      <c r="AI77" s="21" t="str">
        <f>IF(AV77=0,"","ratio")</f>
        <v>ratio</v>
      </c>
      <c r="AJ77" s="21" t="str">
        <f>IF(AN77=1,"",IF(TRIM(D77&amp;"")&lt;&gt;"",D77,"Q4 A change in clearance"))</f>
        <v>Vector V19</v>
      </c>
      <c r="AK77" s="21" t="str">
        <f>IF(AN77=1,"","Describes the eventual average steady state. It does not date the patient’s onset; the transition depends on prior concentrations and when clearance changed.")</f>
        <v>Describes the eventual average steady state. It does not date the patient’s onset; the transition depends on prior concentrations and when clearance changed.</v>
      </c>
      <c r="AL77" s="21" t="str">
        <f>IF(AN77=1,"","ratio = CL_before / CL_after (V constant); with V: t_half = ln 2 x V / CL for each period")</f>
        <v>ratio = CL_before / CL_after (V constant); with V: t_half = ln 2 x V / CL for each period</v>
      </c>
      <c r="AM77" s="21" t="str">
        <f>IF(AN77=1,"","CALC-SPEC 1.1")</f>
        <v>CALC-SPEC 1.1</v>
      </c>
      <c r="AN77" s="22">
        <f>IF(AND(A77="",O77="",R77=""),1,0)</f>
        <v>0</v>
      </c>
      <c r="AO77" s="21" t="str">
        <f>IF(AN77=1,"",B77&amp;"|"&amp;C77)</f>
        <v>VEC-V19|1</v>
      </c>
      <c r="AP77" s="21" t="str">
        <f>IF(A77="","",B77&amp;"|"&amp;C77&amp;"|"&amp;A77)</f>
        <v>VEC-V19|1|Q4-V19</v>
      </c>
      <c r="AQ77" s="22">
        <f>IF(AND(F77="Yes",G77="Yes",K77="Yes",M77="Yes",TRIM(H77&amp;"")&lt;&gt;"",TRIM(I77&amp;"")&lt;&gt;"",TRIM(J77&amp;"")&lt;&gt;"",TRIM(L77&amp;"")&lt;&gt;"",P77&lt;&gt;"",S77&lt;&gt;"",OR(U77="",V77&lt;&gt;"")),1,0)</f>
        <v>1</v>
      </c>
      <c r="AR77" s="21" t="str">
        <f>IF(AN77=1,"",IF(A77="","; E_MISSING_INPUT","")&amp;IF(N77="","; E_MISSING_INPUT","")&amp;IF(AND(N77&lt;&gt;"",ISNA(MATCH(N77,nLIST_CLUnit,0))),"; E_INVALID_UNIT","")&amp;IF(O77="","; E_MISSING_INPUT","")&amp;IF(AND(O77&lt;&gt;"",NOT(ISNUMBER(O77))),"; E_MISSING_INPUT","")&amp;IF(AND(ISNUMBER(O77),O77&lt;=0),"; E_NONPOSITIVE_PARAMETER","")&amp;IF(R77="","; E_MISSING_INPUT","")&amp;IF(AND(R77&lt;&gt;"",NOT(ISNUMBER(R77))),"; E_MISSING_INPUT","")&amp;IF(AND(ISNUMBER(R77),R77&lt;=0),"; E_NONPOSITIVE_PARAMETER","")&amp;IF(AND(U77&lt;&gt;"",NOT(ISNUMBER(U77))),"; E_MISSING_INPUT","")&amp;IF(AND(ISNUMBER(U77),U77&lt;=0),"; E_NONPOSITIVE_PARAMETER","")&amp;IF(TRIM(H77&amp;"")="","; E_MISSING_INPUT","")&amp;IF(TRIM(I77&amp;"")="","; E_MISSING_INPUT","")&amp;IF(TRIM(J77&amp;"")="","; E_MISSING_INPUT","")&amp;IF(TRIM(L77&amp;"")="","; E_MISSING_INPUT","")&amp;IF(P77="","; E_MISSING_INPUT","")&amp;IF(S77="","; E_MISSING_INPUT","")&amp;IF(AND(U77&lt;&gt;"",V77=""),"; E_MISSING_INPUT","")&amp;IF(AQ77=0,"; E_APPLICABILITY_UNCONFIRMED",""))</f>
        <v/>
      </c>
      <c r="AS77" s="21" t="str">
        <f>IF(AN77=1,"",IF(A77="",", a Calc_ID","")&amp;IF(N77="",", the clearance unit","")&amp;IF(O77="",", the clearance before","")&amp;IF(AND(O77&lt;&gt;"",NOT(ISNUMBER(O77))),", the clearance before as a number","")&amp;IF(R77="",", the clearance after","")&amp;IF(AND(R77&lt;&gt;"",NOT(ISNUMBER(R77))),", the clearance after as a number","")&amp;IF(AND(U77&lt;&gt;"",NOT(ISNUMBER(U77))),", the volume as a number","")&amp;IF(TRIM(H77&amp;"")="",", the type of the parameters used","")&amp;IF(TRIM(I77&amp;"")="",", the population of the parameters used","")&amp;IF(TRIM(J77&amp;"")="",", the source of the parameters used","")&amp;IF(TRIM(L77&amp;"")="",", the reference time","")&amp;IF(P77="",", the Parameter_Status of the clearance before","")&amp;IF(S77="",", the Parameter_Status of the clearance after","")&amp;IF(AND(U77&lt;&gt;"",V77=""),", the Parameter_Status of the apparent volume",""))</f>
        <v/>
      </c>
      <c r="AT77" s="21" t="str">
        <f>IF(AN77=1,"",MID(IF(ISNUMBER(SEARCH("E_INVALID_DATE",AR77)),"; E_INVALID_DATE","")&amp;IF(ISNUMBER(SEARCH("E_REVERSED_BOUNDS",AR77)),"; E_REVERSED_BOUNDS","")&amp;IF(ISNUMBER(SEARCH("E_DUPLICATE_ID",AR77)),"; E_DUPLICATE_ID","")&amp;IF(ISNUMBER(SEARCH("E_MISSING_LINK",AR77)),"; E_MISSING_LINK","")&amp;IF(ISNUMBER(SEARCH("E_MISSING_INPUT",AR77)),"; E_MISSING_INPUT","")&amp;IF(ISNUMBER(SEARCH("E_INVALID_UNIT",AR77)),"; E_INVALID_UNIT","")&amp;IF(ISNUMBER(SEARCH("E_NONPOSITIVE_PARAMETER",AR77)),"; E_NONPOSITIVE_PARAMETER","")&amp;IF(ISNUMBER(SEARCH("E_OUT_OF_RANGE",AR77)),"; E_OUT_OF_RANGE","")&amp;IF(ISNUMBER(SEARCH("E_APPLICABILITY_UNCONFIRMED",AR77)),"; E_APPLICABILITY_UNCONFIRMED","")&amp;IF(ISNUMBER(SEARCH("E_CREATININE_STABILITY_UNCONFIRMED",AR77)),"; E_CREATININE_STABILITY_UNCONFIRMED","")&amp;IF(ISNUMBER(SEARCH("E_OVERLAPPING_SEGMENTS",AR77)),"; E_OVERLAPPING_SEGMENTS",""),3,999))</f>
        <v/>
      </c>
      <c r="AU77" s="21" t="str">
        <f>MID(AS77,3,999)</f>
        <v/>
      </c>
      <c r="AV77" s="22">
        <f>IF(AND(AN77=0,AT77=""),1,0)</f>
        <v>1</v>
      </c>
    </row>
    <row r="80" spans="1:48" ht="17.25" x14ac:dyDescent="0.3">
      <c r="A80" s="6" t="s">
        <v>1325</v>
      </c>
    </row>
    <row r="81" spans="1:46" x14ac:dyDescent="0.2">
      <c r="A81" s="7" t="s">
        <v>1203</v>
      </c>
    </row>
    <row r="82" spans="1:46" x14ac:dyDescent="0.2">
      <c r="A82" s="2" t="s">
        <v>1204</v>
      </c>
      <c r="F82" s="2" t="s">
        <v>1208</v>
      </c>
      <c r="N82" s="2" t="s">
        <v>1204</v>
      </c>
      <c r="X82" s="2" t="s">
        <v>1225</v>
      </c>
      <c r="AL82" s="2" t="s">
        <v>1237</v>
      </c>
    </row>
    <row r="83" spans="1:46" ht="66" customHeight="1" x14ac:dyDescent="0.2">
      <c r="A83" s="8" t="s">
        <v>1205</v>
      </c>
      <c r="B83" s="8" t="s">
        <v>280</v>
      </c>
      <c r="C83" s="8" t="s">
        <v>281</v>
      </c>
      <c r="D83" s="8" t="s">
        <v>1206</v>
      </c>
      <c r="E83" s="8" t="s">
        <v>1207</v>
      </c>
      <c r="F83" s="8" t="s">
        <v>1209</v>
      </c>
      <c r="G83" s="8" t="s">
        <v>1210</v>
      </c>
      <c r="H83" s="8" t="s">
        <v>1211</v>
      </c>
      <c r="I83" s="8" t="s">
        <v>1212</v>
      </c>
      <c r="J83" s="8" t="s">
        <v>1213</v>
      </c>
      <c r="K83" s="8" t="s">
        <v>1214</v>
      </c>
      <c r="L83" s="8" t="s">
        <v>1215</v>
      </c>
      <c r="M83" s="8" t="s">
        <v>1216</v>
      </c>
      <c r="N83" s="8" t="s">
        <v>1218</v>
      </c>
      <c r="O83" s="8" t="s">
        <v>1326</v>
      </c>
      <c r="P83" s="8" t="s">
        <v>1327</v>
      </c>
      <c r="Q83" s="8" t="s">
        <v>1328</v>
      </c>
      <c r="R83" s="8" t="s">
        <v>1329</v>
      </c>
      <c r="S83" s="8" t="s">
        <v>1330</v>
      </c>
      <c r="T83" s="8" t="s">
        <v>1331</v>
      </c>
      <c r="U83" s="8" t="s">
        <v>1332</v>
      </c>
      <c r="V83" s="8" t="s">
        <v>1223</v>
      </c>
      <c r="W83" s="8" t="s">
        <v>1224</v>
      </c>
      <c r="X83" s="19" t="s">
        <v>1226</v>
      </c>
      <c r="Y83" s="19" t="s">
        <v>981</v>
      </c>
      <c r="Z83" s="19" t="s">
        <v>1333</v>
      </c>
      <c r="AA83" s="19" t="s">
        <v>1334</v>
      </c>
      <c r="AB83" s="19" t="s">
        <v>988</v>
      </c>
      <c r="AC83" s="19" t="s">
        <v>1231</v>
      </c>
      <c r="AD83" s="19" t="s">
        <v>1232</v>
      </c>
      <c r="AE83" s="19" t="s">
        <v>1003</v>
      </c>
      <c r="AF83" s="19" t="s">
        <v>1233</v>
      </c>
      <c r="AG83" s="19" t="s">
        <v>1234</v>
      </c>
      <c r="AH83" s="19" t="s">
        <v>954</v>
      </c>
      <c r="AI83" s="19" t="s">
        <v>1235</v>
      </c>
      <c r="AJ83" s="19" t="s">
        <v>1236</v>
      </c>
      <c r="AK83" s="19" t="s">
        <v>1006</v>
      </c>
      <c r="AL83" s="19" t="s">
        <v>1008</v>
      </c>
      <c r="AM83" s="19" t="s">
        <v>1009</v>
      </c>
      <c r="AN83" s="19" t="s">
        <v>1238</v>
      </c>
      <c r="AO83" s="19" t="s">
        <v>1239</v>
      </c>
      <c r="AP83" s="19" t="s">
        <v>1085</v>
      </c>
      <c r="AQ83" s="19" t="s">
        <v>1240</v>
      </c>
      <c r="AR83" s="19" t="s">
        <v>1095</v>
      </c>
      <c r="AS83" s="19" t="s">
        <v>1241</v>
      </c>
      <c r="AT83" s="19" t="s">
        <v>1097</v>
      </c>
    </row>
    <row r="84" spans="1:46" x14ac:dyDescent="0.2">
      <c r="A84" s="10"/>
      <c r="B84" s="10"/>
      <c r="C84" s="12"/>
      <c r="D84" s="10"/>
      <c r="E84" s="10"/>
      <c r="F84" s="17"/>
      <c r="G84" s="17"/>
      <c r="H84" s="10"/>
      <c r="I84" s="10"/>
      <c r="J84" s="10"/>
      <c r="K84" s="17"/>
      <c r="L84" s="10"/>
      <c r="M84" s="17"/>
      <c r="N84" s="17"/>
      <c r="O84" s="17"/>
      <c r="P84" s="17"/>
      <c r="Q84" s="10"/>
      <c r="R84" s="17"/>
      <c r="S84" s="17"/>
      <c r="T84" s="10"/>
      <c r="U84" s="17"/>
      <c r="V84" s="17"/>
      <c r="W84" s="10"/>
      <c r="X84" s="21" t="str">
        <f t="shared" ref="X84:X91" si="133">IF(AL84=1,"",IF(AR84&lt;&gt;"",AR84&amp;": no result is shown","Parent "&amp;IF(Z84=0,"0",IF(ABS(Z84)&lt;0.0001,FIXED(IF(ABS(ROUND(Z84/10^INT(LOG10(ABS(Z84))),2))&gt;=10,ROUND(Z84/10^INT(LOG10(ABS(Z84))),2)/10,ROUND(Z84/10^INT(LOG10(ABS(Z84))),2)),2,TRUE)&amp;" × 10"&amp;SUBSTITUTE(SUBSTITUTE(SUBSTITUTE(SUBSTITUTE(SUBSTITUTE(SUBSTITUTE(SUBSTITUTE(SUBSTITUTE(SUBSTITUTE(SUBSTITUTE(SUBSTITUTE(TEXT((INT(LOG10(ABS(Z84)))+IF(ABS(ROUND(Z84/10^INT(LOG10(ABS(Z84))),2))&gt;=10,1,0)),"0"),"-","⁻"),"0","⁰"),"1","¹"),"2","²"),"3","³"),"4","⁴"),"5","⁵"),"6","⁶"),"7","⁷"),"8","⁸"),"9","⁹"),FIXED(ROUND(Z84,MAX(0,2-INT(LOG10(ABS(Z84))))),MAX(0,2-INT(LOG10(ABS(ROUND(Z84,MAX(0,2-INT(LOG10(ABS(Z84))))))))),FALSE)))&amp;"% and metabolite "&amp;IF(AA84=0,"0",IF(ABS(AA84)&lt;0.0001,FIXED(IF(ABS(ROUND(AA84/10^INT(LOG10(ABS(AA84))),2))&gt;=10,ROUND(AA84/10^INT(LOG10(ABS(AA84))),2)/10,ROUND(AA84/10^INT(LOG10(ABS(AA84))),2)),2,TRUE)&amp;" × 10"&amp;SUBSTITUTE(SUBSTITUTE(SUBSTITUTE(SUBSTITUTE(SUBSTITUTE(SUBSTITUTE(SUBSTITUTE(SUBSTITUTE(SUBSTITUTE(SUBSTITUTE(SUBSTITUTE(TEXT((INT(LOG10(ABS(AA84)))+IF(ABS(ROUND(AA84/10^INT(LOG10(ABS(AA84))),2))&gt;=10,1,0)),"0"),"-","⁻"),"0","⁰"),"1","¹"),"2","²"),"3","³"),"4","⁴"),"5","⁵"),"6","⁶"),"7","⁷"),"8","⁸"),"9","⁹"),FIXED(ROUND(AA84,MAX(0,2-INT(LOG10(ABS(AA84))))),MAX(0,2-INT(LOG10(ABS(ROUND(AA84,MAX(0,2-INT(LOG10(ABS(AA84))))))))),FALSE)))&amp;"% remain, each of its own starting value"))</f>
        <v/>
      </c>
      <c r="Y84" s="21" t="str">
        <f t="shared" ref="Y84:Y91" si="134">IF(AL84=1,"",IF(AT84=0,"Not calculable",MID(IF(TRUE,"; "&amp;"Parent remaining (own reference)"&amp;": "&amp;IF(Z84=0,"0",IF(ABS(Z84)&lt;0.0001,FIXED(IF(ABS(ROUND(Z84/10^INT(LOG10(ABS(Z84))),2))&gt;=10,ROUND(Z84/10^INT(LOG10(ABS(Z84))),2)/10,ROUND(Z84/10^INT(LOG10(ABS(Z84))),2)),2,TRUE)&amp;" × 10"&amp;SUBSTITUTE(SUBSTITUTE(SUBSTITUTE(SUBSTITUTE(SUBSTITUTE(SUBSTITUTE(SUBSTITUTE(SUBSTITUTE(SUBSTITUTE(SUBSTITUTE(SUBSTITUTE(TEXT((INT(LOG10(ABS(Z84)))+IF(ABS(ROUND(Z84/10^INT(LOG10(ABS(Z84))),2))&gt;=10,1,0)),"0"),"-","⁻"),"0","⁰"),"1","¹"),"2","²"),"3","³"),"4","⁴"),"5","⁵"),"6","⁶"),"7","⁷"),"8","⁸"),"9","⁹"),FIXED(ROUND(Z84,MAX(0,2-INT(LOG10(ABS(Z84))))),MAX(0,2-INT(LOG10(ABS(ROUND(Z84,MAX(0,2-INT(LOG10(ABS(Z84))))))))),FALSE)))&amp;"%","")&amp;IF(TRUE,"; "&amp;"Metabolite remaining (own reference)"&amp;": "&amp;IF(AA84=0,"0",IF(ABS(AA84)&lt;0.0001,FIXED(IF(ABS(ROUND(AA84/10^INT(LOG10(ABS(AA84))),2))&gt;=10,ROUND(AA84/10^INT(LOG10(ABS(AA84))),2)/10,ROUND(AA84/10^INT(LOG10(ABS(AA84))),2)),2,TRUE)&amp;" × 10"&amp;SUBSTITUTE(SUBSTITUTE(SUBSTITUTE(SUBSTITUTE(SUBSTITUTE(SUBSTITUTE(SUBSTITUTE(SUBSTITUTE(SUBSTITUTE(SUBSTITUTE(SUBSTITUTE(TEXT((INT(LOG10(ABS(AA84)))+IF(ABS(ROUND(AA84/10^INT(LOG10(ABS(AA84))),2))&gt;=10,1,0)),"0"),"-","⁻"),"0","⁰"),"1","¹"),"2","²"),"3","³"),"4","⁴"),"5","⁵"),"6","⁶"),"7","⁷"),"8","⁸"),"9","⁹"),FIXED(ROUND(AA84,MAX(0,2-INT(LOG10(ABS(AA84))))),MAX(0,2-INT(LOG10(ABS(ROUND(AA84,MAX(0,2-INT(LOG10(ABS(AA84))))))))),FALSE)))&amp;"%",""),3,9999)))</f>
        <v/>
      </c>
      <c r="Z84" s="21" t="str">
        <f t="shared" ref="Z84:Z91" si="135">IF(AT84=1,100*2^(-U84/O84),"")</f>
        <v/>
      </c>
      <c r="AA84" s="21" t="str">
        <f t="shared" ref="AA84:AA91" si="136">IF(AT84=1,100*2^(-U84/R84),"")</f>
        <v/>
      </c>
      <c r="AB84" s="21" t="str">
        <f t="shared" ref="AB84:AB91" si="137">IF(AL84=1,"",IF(AR84&lt;&gt;"",AR84,""))</f>
        <v/>
      </c>
      <c r="AC84" s="21" t="str">
        <f>IF(AL84=1,"",MID(IF(ISNUMBER(SEARCH("E_INVALID_DATE",AR84))," | E_INVALID_DATE: "&amp;SUBSTITUTE(IFERROR(INDEX(nMSG_Text,MATCH("E_INVALID_DATE",nMSG_Code,0)),""),"[input]",""),"")&amp;IF(ISNUMBER(SEARCH("E_REVERSED_BOUNDS",AR84))," | E_REVERSED_BOUNDS: "&amp;SUBSTITUTE(IFERROR(INDEX(nMSG_Text,MATCH("E_REVERSED_BOUNDS",nMSG_Code,0)),""),"[input]",""),"")&amp;IF(ISNUMBER(SEARCH("E_DUPLICATE_ID",AR84))," | E_DUPLICATE_ID: "&amp;SUBSTITUTE(IFERROR(INDEX(nMSG_Text,MATCH("E_DUPLICATE_ID",nMSG_Code,0)),""),"[input]",""),"")&amp;IF(ISNUMBER(SEARCH("E_MISSING_LINK",AR84))," | E_MISSING_LINK: "&amp;SUBSTITUTE(IFERROR(INDEX(nMSG_Text,MATCH("E_MISSING_LINK",nMSG_Code,0)),""),"[input]",""),"")&amp;IF(ISNUMBER(SEARCH("E_MISSING_INPUT",AR84))," | E_MISSING_INPUT: "&amp;SUBSTITUTE(IFERROR(INDEX(nMSG_Text,MATCH("E_MISSING_INPUT",nMSG_Code,0)),""),"[input]",IF(AS84="","an input",AS84)),"")&amp;IF(ISNUMBER(SEARCH("E_INVALID_UNIT",AR84))," | E_INVALID_UNIT: "&amp;SUBSTITUTE(IFERROR(INDEX(nMSG_Text,MATCH("E_INVALID_UNIT",nMSG_Code,0)),""),"[input]",""),"")&amp;IF(ISNUMBER(SEARCH("E_NONPOSITIVE_PARAMETER",AR84))," | E_NONPOSITIVE_PARAMETER: "&amp;SUBSTITUTE(IFERROR(INDEX(nMSG_Text,MATCH("E_NONPOSITIVE_PARAMETER",nMSG_Code,0)),""),"[input]",""),"")&amp;IF(ISNUMBER(SEARCH("E_OUT_OF_RANGE",AR84))," | E_OUT_OF_RANGE: "&amp;SUBSTITUTE(IFERROR(INDEX(nMSG_Text,MATCH("E_OUT_OF_RANGE",nMSG_Code,0)),""),"[input]",""),"")&amp;IF(ISNUMBER(SEARCH("E_APPLICABILITY_UNCONFIRMED",AR84))," | E_APPLICABILITY_UNCONFIRMED: "&amp;SUBSTITUTE(IFERROR(INDEX(nMSG_Text,MATCH("E_APPLICABILITY_UNCONFIRMED",nMSG_Code,0)),""),"[input]",""),"")&amp;IF(ISNUMBER(SEARCH("E_CREATININE_STABILITY_UNCONFIRMED",AR84))," | E_CREATININE_STABILITY_UNCONFIRMED: "&amp;SUBSTITUTE(IFERROR(INDEX(nMSG_Text,MATCH("E_CREATININE_STABILITY_UNCONFIRMED",nMSG_Code,0)),""),"[input]",""),"")&amp;IF(ISNUMBER(SEARCH("E_OVERLAPPING_SEGMENTS",AR84))," | E_OVERLAPPING_SEGMENTS: "&amp;SUBSTITUTE(IFERROR(INDEX(nMSG_Text,MATCH("E_OVERLAPPING_SEGMENTS",nMSG_Code,0)),""),"[input]",""),""),4,9999))</f>
        <v/>
      </c>
      <c r="AD84" s="21" t="str">
        <f t="shared" ref="AD84:AD91" si="138">IF(AL84=1,"","Parent_t_half = "&amp;O84&amp;" "&amp;N84&amp;" ["&amp;IF(P84="","status not recorded",P84)&amp;IF(Q84&lt;&gt;"","; "&amp;Q84,"")&amp;"]"&amp;"; "&amp;"Metabolite_t_half = "&amp;R84&amp;" "&amp;N84&amp;" ["&amp;IF(S84="","status not recorded",S84)&amp;IF(T84&lt;&gt;"","; "&amp;T84,"")&amp;"]"&amp;"; "&amp;"t = "&amp;U84&amp;" "&amp;N84&amp;" ["&amp;IF(V84="","status not recorded",V84)&amp;IF(W84&lt;&gt;"","; "&amp;W84,"")&amp;"]")</f>
        <v/>
      </c>
      <c r="AE84" s="21" t="str">
        <f t="shared" ref="AE84:AE91" si="139">IF(AL84=1,"",MID(""&amp;IF(AO84=1," | Gate confirmed: the simple model applies (one compartment, linear first-order elimination, constant parameters over the period). | Gate confirmed: the half-life used – type: "&amp;H84&amp;"; population: "&amp;I84&amp;"; source: "&amp;J84&amp;". | Gate confirmed: reference time – "&amp;L84&amp;". | Gate confirmed: each input’s Parameter_Status is recorded."," | Common gate not confirmed"&amp;IF(AND(F84="Yes",G84="Yes",K84="Yes",M84="Yes"),": a gate detail or a Parameter_Status is blank.",": "&amp;MID(IF(F84&lt;&gt;"Yes",", model","")&amp;IF(G84&lt;&gt;"Yes",", half-life used","")&amp;IF(K84&lt;&gt;"Yes",", reference time","")&amp;IF(M84&lt;&gt;"Yes",", Parameter_Status",""),3,99)&amp;" not confirmed."))&amp;IF(TRIM(E84&amp;"")&lt;&gt;""," | "&amp;E84,""),4,9999))</f>
        <v/>
      </c>
      <c r="AF84" s="21" t="str">
        <f t="shared" ref="AF84:AF91" si="140">IF(AT84=0,"",MID(IF(TRUE,"; "&amp;"Parent remaining (own reference)"&amp;" = "&amp;Z84&amp;" ("&amp;IF(Z84=0,"0",IF(ABS(Z84)&lt;0.0001,FIXED(IF(ABS(ROUND(Z84/10^INT(LOG10(ABS(Z84))),2))&gt;=10,ROUND(Z84/10^INT(LOG10(ABS(Z84))),2)/10,ROUND(Z84/10^INT(LOG10(ABS(Z84))),2)),2,TRUE)&amp;" × 10"&amp;SUBSTITUTE(SUBSTITUTE(SUBSTITUTE(SUBSTITUTE(SUBSTITUTE(SUBSTITUTE(SUBSTITUTE(SUBSTITUTE(SUBSTITUTE(SUBSTITUTE(SUBSTITUTE(TEXT((INT(LOG10(ABS(Z84)))+IF(ABS(ROUND(Z84/10^INT(LOG10(ABS(Z84))),2))&gt;=10,1,0)),"0"),"-","⁻"),"0","⁰"),"1","¹"),"2","²"),"3","³"),"4","⁴"),"5","⁵"),"6","⁶"),"7","⁷"),"8","⁸"),"9","⁹"),FIXED(ROUND(Z84,MAX(0,2-INT(LOG10(ABS(Z84))))),MAX(0,2-INT(LOG10(ABS(ROUND(Z84,MAX(0,2-INT(LOG10(ABS(Z84))))))))),FALSE)))&amp;"%"&amp;")","")&amp;IF(TRUE,"; "&amp;"Metabolite remaining (own reference)"&amp;" = "&amp;AA84&amp;" ("&amp;IF(AA84=0,"0",IF(ABS(AA84)&lt;0.0001,FIXED(IF(ABS(ROUND(AA84/10^INT(LOG10(ABS(AA84))),2))&gt;=10,ROUND(AA84/10^INT(LOG10(ABS(AA84))),2)/10,ROUND(AA84/10^INT(LOG10(ABS(AA84))),2)),2,TRUE)&amp;" × 10"&amp;SUBSTITUTE(SUBSTITUTE(SUBSTITUTE(SUBSTITUTE(SUBSTITUTE(SUBSTITUTE(SUBSTITUTE(SUBSTITUTE(SUBSTITUTE(SUBSTITUTE(SUBSTITUTE(TEXT((INT(LOG10(ABS(AA84)))+IF(ABS(ROUND(AA84/10^INT(LOG10(ABS(AA84))),2))&gt;=10,1,0)),"0"),"-","⁻"),"0","⁰"),"1","¹"),"2","²"),"3","³"),"4","⁴"),"5","⁵"),"6","⁶"),"7","⁷"),"8","⁸"),"9","⁹"),FIXED(ROUND(AA84,MAX(0,2-INT(LOG10(ABS(AA84))))),MAX(0,2-INT(LOG10(ABS(ROUND(AA84,MAX(0,2-INT(LOG10(ABS(AA84))))))))),FALSE)))&amp;"%"&amp;")",""),3,9999))</f>
        <v/>
      </c>
      <c r="AG84" s="21" t="str">
        <f t="shared" ref="AG84:AG91" si="141">IF(AT84=0,"","percent")</f>
        <v/>
      </c>
      <c r="AH84" s="21" t="str">
        <f t="shared" ref="AH84:AH91" si="142">IF(AL84=1,"",IF(TRIM(D84&amp;"")&lt;&gt;"",D84,"Q5 Parent and metabolite persistence"))</f>
        <v/>
      </c>
      <c r="AI84" s="21" t="str">
        <f t="shared" ref="AI84:AI91" si="143">IF(AL84=1,"","Assumes no further formation or input. Continued metabolite formation, potency, distribution and nonlinear kinetics can make this calculation invalid.")</f>
        <v/>
      </c>
      <c r="AJ84" s="21" t="str">
        <f t="shared" ref="AJ84:AJ91" si="144">IF(AL84=1,"","Two separate Q1 calculations, each normalized to its own starting value; their sum is never calculated")</f>
        <v/>
      </c>
      <c r="AK84" s="21" t="str">
        <f t="shared" ref="AK84:AK91" si="145">IF(AL84=1,"","CALC-SPEC 1.1")</f>
        <v/>
      </c>
      <c r="AL84" s="22">
        <f t="shared" ref="AL84:AL91" si="146">IF(AND(A84="",O84="",U84=""),1,0)</f>
        <v>1</v>
      </c>
      <c r="AM84" s="21" t="str">
        <f t="shared" ref="AM84:AM91" si="147">IF(AL84=1,"",B84&amp;"|"&amp;C84)</f>
        <v/>
      </c>
      <c r="AN84" s="21" t="str">
        <f t="shared" ref="AN84:AN91" si="148">IF(A84="","",B84&amp;"|"&amp;C84&amp;"|"&amp;A84)</f>
        <v/>
      </c>
      <c r="AO84" s="22">
        <f t="shared" ref="AO84:AO91" si="149">IF(AND(F84="Yes",G84="Yes",K84="Yes",M84="Yes",TRIM(H84&amp;"")&lt;&gt;"",TRIM(I84&amp;"")&lt;&gt;"",TRIM(J84&amp;"")&lt;&gt;"",TRIM(L84&amp;"")&lt;&gt;"",P84&lt;&gt;"",S84&lt;&gt;"",V84&lt;&gt;""),1,0)</f>
        <v>0</v>
      </c>
      <c r="AP84" s="21" t="str">
        <f>IF(AL84=1,"",IF(A84="","; E_MISSING_INPUT","")&amp;IF(N84="","; E_MISSING_INPUT","")&amp;IF(AND(N84&lt;&gt;"",ISNA(MATCH(N84,nLIST_TimeUnit,0))),"; E_INVALID_UNIT","")&amp;IF(O84="","; E_MISSING_INPUT","")&amp;IF(AND(O84&lt;&gt;"",NOT(ISNUMBER(O84))),"; E_MISSING_INPUT","")&amp;IF(AND(ISNUMBER(O84),O84&lt;=0),"; E_NONPOSITIVE_PARAMETER","")&amp;IF(R84="","; E_MISSING_INPUT","")&amp;IF(AND(R84&lt;&gt;"",NOT(ISNUMBER(R84))),"; E_MISSING_INPUT","")&amp;IF(AND(ISNUMBER(R84),R84&lt;=0),"; E_NONPOSITIVE_PARAMETER","")&amp;IF(U84="","; E_MISSING_INPUT","")&amp;IF(AND(U84&lt;&gt;"",NOT(ISNUMBER(U84))),"; E_MISSING_INPUT","")&amp;IF(AND(ISNUMBER(U84),U84&lt;0),"; E_OUT_OF_RANGE","")&amp;IF(TRIM(H84&amp;"")="","; E_MISSING_INPUT","")&amp;IF(TRIM(I84&amp;"")="","; E_MISSING_INPUT","")&amp;IF(TRIM(J84&amp;"")="","; E_MISSING_INPUT","")&amp;IF(TRIM(L84&amp;"")="","; E_MISSING_INPUT","")&amp;IF(P84="","; E_MISSING_INPUT","")&amp;IF(S84="","; E_MISSING_INPUT","")&amp;IF(V84="","; E_MISSING_INPUT","")&amp;IF(AO84=0,"; E_APPLICABILITY_UNCONFIRMED",""))</f>
        <v/>
      </c>
      <c r="AQ84" s="21" t="str">
        <f t="shared" ref="AQ84:AQ91" si="150">IF(AL84=1,"",IF(A84="",", a Calc_ID","")&amp;IF(N84="",", a time unit","")&amp;IF(O84="",", the parent half-life","")&amp;IF(AND(O84&lt;&gt;"",NOT(ISNUMBER(O84))),", the parent half-life as a number","")&amp;IF(R84="",", the metabolite half-life","")&amp;IF(AND(R84&lt;&gt;"",NOT(ISNUMBER(R84))),", the metabolite half-life as a number","")&amp;IF(U84="",", the time","")&amp;IF(AND(U84&lt;&gt;"",NOT(ISNUMBER(U84))),", the time as a number","")&amp;IF(TRIM(H84&amp;"")="",", the type of the half-life used","")&amp;IF(TRIM(I84&amp;"")="",", the population of the half-life used","")&amp;IF(TRIM(J84&amp;"")="",", the source of the half-life used","")&amp;IF(TRIM(L84&amp;"")="",", the reference time","")&amp;IF(P84="",", the Parameter_Status of the parent half-life","")&amp;IF(S84="",", the Parameter_Status of the metabolite half-life","")&amp;IF(V84="",", the Parameter_Status of t",""))</f>
        <v/>
      </c>
      <c r="AR84" s="21" t="str">
        <f t="shared" ref="AR84:AR91" si="151">IF(AL84=1,"",MID(IF(ISNUMBER(SEARCH("E_INVALID_DATE",AP84)),"; E_INVALID_DATE","")&amp;IF(ISNUMBER(SEARCH("E_REVERSED_BOUNDS",AP84)),"; E_REVERSED_BOUNDS","")&amp;IF(ISNUMBER(SEARCH("E_DUPLICATE_ID",AP84)),"; E_DUPLICATE_ID","")&amp;IF(ISNUMBER(SEARCH("E_MISSING_LINK",AP84)),"; E_MISSING_LINK","")&amp;IF(ISNUMBER(SEARCH("E_MISSING_INPUT",AP84)),"; E_MISSING_INPUT","")&amp;IF(ISNUMBER(SEARCH("E_INVALID_UNIT",AP84)),"; E_INVALID_UNIT","")&amp;IF(ISNUMBER(SEARCH("E_NONPOSITIVE_PARAMETER",AP84)),"; E_NONPOSITIVE_PARAMETER","")&amp;IF(ISNUMBER(SEARCH("E_OUT_OF_RANGE",AP84)),"; E_OUT_OF_RANGE","")&amp;IF(ISNUMBER(SEARCH("E_APPLICABILITY_UNCONFIRMED",AP84)),"; E_APPLICABILITY_UNCONFIRMED","")&amp;IF(ISNUMBER(SEARCH("E_CREATININE_STABILITY_UNCONFIRMED",AP84)),"; E_CREATININE_STABILITY_UNCONFIRMED","")&amp;IF(ISNUMBER(SEARCH("E_OVERLAPPING_SEGMENTS",AP84)),"; E_OVERLAPPING_SEGMENTS",""),3,999))</f>
        <v/>
      </c>
      <c r="AS84" s="21" t="str">
        <f t="shared" ref="AS84:AS91" si="152">MID(AQ84,3,999)</f>
        <v/>
      </c>
      <c r="AT84" s="22">
        <f t="shared" ref="AT84:AT91" si="153">IF(AND(AL84=0,AR84=""),1,0)</f>
        <v>0</v>
      </c>
    </row>
    <row r="85" spans="1:46" x14ac:dyDescent="0.2">
      <c r="A85" s="10"/>
      <c r="B85" s="10"/>
      <c r="C85" s="12"/>
      <c r="D85" s="10"/>
      <c r="E85" s="10"/>
      <c r="F85" s="17"/>
      <c r="G85" s="17"/>
      <c r="H85" s="10"/>
      <c r="I85" s="10"/>
      <c r="J85" s="10"/>
      <c r="K85" s="17"/>
      <c r="L85" s="10"/>
      <c r="M85" s="17"/>
      <c r="N85" s="17"/>
      <c r="O85" s="17"/>
      <c r="P85" s="17"/>
      <c r="Q85" s="10"/>
      <c r="R85" s="17"/>
      <c r="S85" s="17"/>
      <c r="T85" s="10"/>
      <c r="U85" s="17"/>
      <c r="V85" s="17"/>
      <c r="W85" s="10"/>
      <c r="X85" s="21" t="str">
        <f t="shared" si="133"/>
        <v/>
      </c>
      <c r="Y85" s="21" t="str">
        <f t="shared" si="134"/>
        <v/>
      </c>
      <c r="Z85" s="21" t="str">
        <f t="shared" si="135"/>
        <v/>
      </c>
      <c r="AA85" s="21" t="str">
        <f t="shared" si="136"/>
        <v/>
      </c>
      <c r="AB85" s="21" t="str">
        <f t="shared" si="137"/>
        <v/>
      </c>
      <c r="AC85" s="21" t="str">
        <f>IF(AL85=1,"",MID(IF(ISNUMBER(SEARCH("E_INVALID_DATE",AR85))," | E_INVALID_DATE: "&amp;SUBSTITUTE(IFERROR(INDEX(nMSG_Text,MATCH("E_INVALID_DATE",nMSG_Code,0)),""),"[input]",""),"")&amp;IF(ISNUMBER(SEARCH("E_REVERSED_BOUNDS",AR85))," | E_REVERSED_BOUNDS: "&amp;SUBSTITUTE(IFERROR(INDEX(nMSG_Text,MATCH("E_REVERSED_BOUNDS",nMSG_Code,0)),""),"[input]",""),"")&amp;IF(ISNUMBER(SEARCH("E_DUPLICATE_ID",AR85))," | E_DUPLICATE_ID: "&amp;SUBSTITUTE(IFERROR(INDEX(nMSG_Text,MATCH("E_DUPLICATE_ID",nMSG_Code,0)),""),"[input]",""),"")&amp;IF(ISNUMBER(SEARCH("E_MISSING_LINK",AR85))," | E_MISSING_LINK: "&amp;SUBSTITUTE(IFERROR(INDEX(nMSG_Text,MATCH("E_MISSING_LINK",nMSG_Code,0)),""),"[input]",""),"")&amp;IF(ISNUMBER(SEARCH("E_MISSING_INPUT",AR85))," | E_MISSING_INPUT: "&amp;SUBSTITUTE(IFERROR(INDEX(nMSG_Text,MATCH("E_MISSING_INPUT",nMSG_Code,0)),""),"[input]",IF(AS85="","an input",AS85)),"")&amp;IF(ISNUMBER(SEARCH("E_INVALID_UNIT",AR85))," | E_INVALID_UNIT: "&amp;SUBSTITUTE(IFERROR(INDEX(nMSG_Text,MATCH("E_INVALID_UNIT",nMSG_Code,0)),""),"[input]",""),"")&amp;IF(ISNUMBER(SEARCH("E_NONPOSITIVE_PARAMETER",AR85))," | E_NONPOSITIVE_PARAMETER: "&amp;SUBSTITUTE(IFERROR(INDEX(nMSG_Text,MATCH("E_NONPOSITIVE_PARAMETER",nMSG_Code,0)),""),"[input]",""),"")&amp;IF(ISNUMBER(SEARCH("E_OUT_OF_RANGE",AR85))," | E_OUT_OF_RANGE: "&amp;SUBSTITUTE(IFERROR(INDEX(nMSG_Text,MATCH("E_OUT_OF_RANGE",nMSG_Code,0)),""),"[input]",""),"")&amp;IF(ISNUMBER(SEARCH("E_APPLICABILITY_UNCONFIRMED",AR85))," | E_APPLICABILITY_UNCONFIRMED: "&amp;SUBSTITUTE(IFERROR(INDEX(nMSG_Text,MATCH("E_APPLICABILITY_UNCONFIRMED",nMSG_Code,0)),""),"[input]",""),"")&amp;IF(ISNUMBER(SEARCH("E_CREATININE_STABILITY_UNCONFIRMED",AR85))," | E_CREATININE_STABILITY_UNCONFIRMED: "&amp;SUBSTITUTE(IFERROR(INDEX(nMSG_Text,MATCH("E_CREATININE_STABILITY_UNCONFIRMED",nMSG_Code,0)),""),"[input]",""),"")&amp;IF(ISNUMBER(SEARCH("E_OVERLAPPING_SEGMENTS",AR85))," | E_OVERLAPPING_SEGMENTS: "&amp;SUBSTITUTE(IFERROR(INDEX(nMSG_Text,MATCH("E_OVERLAPPING_SEGMENTS",nMSG_Code,0)),""),"[input]",""),""),4,9999))</f>
        <v/>
      </c>
      <c r="AD85" s="21" t="str">
        <f t="shared" si="138"/>
        <v/>
      </c>
      <c r="AE85" s="21" t="str">
        <f t="shared" si="139"/>
        <v/>
      </c>
      <c r="AF85" s="21" t="str">
        <f t="shared" si="140"/>
        <v/>
      </c>
      <c r="AG85" s="21" t="str">
        <f t="shared" si="141"/>
        <v/>
      </c>
      <c r="AH85" s="21" t="str">
        <f t="shared" si="142"/>
        <v/>
      </c>
      <c r="AI85" s="21" t="str">
        <f t="shared" si="143"/>
        <v/>
      </c>
      <c r="AJ85" s="21" t="str">
        <f t="shared" si="144"/>
        <v/>
      </c>
      <c r="AK85" s="21" t="str">
        <f t="shared" si="145"/>
        <v/>
      </c>
      <c r="AL85" s="22">
        <f t="shared" si="146"/>
        <v>1</v>
      </c>
      <c r="AM85" s="21" t="str">
        <f t="shared" si="147"/>
        <v/>
      </c>
      <c r="AN85" s="21" t="str">
        <f t="shared" si="148"/>
        <v/>
      </c>
      <c r="AO85" s="22">
        <f t="shared" si="149"/>
        <v>0</v>
      </c>
      <c r="AP85" s="21" t="str">
        <f>IF(AL85=1,"",IF(A85="","; E_MISSING_INPUT","")&amp;IF(N85="","; E_MISSING_INPUT","")&amp;IF(AND(N85&lt;&gt;"",ISNA(MATCH(N85,nLIST_TimeUnit,0))),"; E_INVALID_UNIT","")&amp;IF(O85="","; E_MISSING_INPUT","")&amp;IF(AND(O85&lt;&gt;"",NOT(ISNUMBER(O85))),"; E_MISSING_INPUT","")&amp;IF(AND(ISNUMBER(O85),O85&lt;=0),"; E_NONPOSITIVE_PARAMETER","")&amp;IF(R85="","; E_MISSING_INPUT","")&amp;IF(AND(R85&lt;&gt;"",NOT(ISNUMBER(R85))),"; E_MISSING_INPUT","")&amp;IF(AND(ISNUMBER(R85),R85&lt;=0),"; E_NONPOSITIVE_PARAMETER","")&amp;IF(U85="","; E_MISSING_INPUT","")&amp;IF(AND(U85&lt;&gt;"",NOT(ISNUMBER(U85))),"; E_MISSING_INPUT","")&amp;IF(AND(ISNUMBER(U85),U85&lt;0),"; E_OUT_OF_RANGE","")&amp;IF(TRIM(H85&amp;"")="","; E_MISSING_INPUT","")&amp;IF(TRIM(I85&amp;"")="","; E_MISSING_INPUT","")&amp;IF(TRIM(J85&amp;"")="","; E_MISSING_INPUT","")&amp;IF(TRIM(L85&amp;"")="","; E_MISSING_INPUT","")&amp;IF(P85="","; E_MISSING_INPUT","")&amp;IF(S85="","; E_MISSING_INPUT","")&amp;IF(V85="","; E_MISSING_INPUT","")&amp;IF(AO85=0,"; E_APPLICABILITY_UNCONFIRMED",""))</f>
        <v/>
      </c>
      <c r="AQ85" s="21" t="str">
        <f t="shared" si="150"/>
        <v/>
      </c>
      <c r="AR85" s="21" t="str">
        <f t="shared" si="151"/>
        <v/>
      </c>
      <c r="AS85" s="21" t="str">
        <f t="shared" si="152"/>
        <v/>
      </c>
      <c r="AT85" s="22">
        <f t="shared" si="153"/>
        <v>0</v>
      </c>
    </row>
    <row r="86" spans="1:46" x14ac:dyDescent="0.2">
      <c r="A86" s="10"/>
      <c r="B86" s="10"/>
      <c r="C86" s="12"/>
      <c r="D86" s="10"/>
      <c r="E86" s="10"/>
      <c r="F86" s="17"/>
      <c r="G86" s="17"/>
      <c r="H86" s="10"/>
      <c r="I86" s="10"/>
      <c r="J86" s="10"/>
      <c r="K86" s="17"/>
      <c r="L86" s="10"/>
      <c r="M86" s="17"/>
      <c r="N86" s="17"/>
      <c r="O86" s="17"/>
      <c r="P86" s="17"/>
      <c r="Q86" s="10"/>
      <c r="R86" s="17"/>
      <c r="S86" s="17"/>
      <c r="T86" s="10"/>
      <c r="U86" s="17"/>
      <c r="V86" s="17"/>
      <c r="W86" s="10"/>
      <c r="X86" s="21" t="str">
        <f t="shared" si="133"/>
        <v/>
      </c>
      <c r="Y86" s="21" t="str">
        <f t="shared" si="134"/>
        <v/>
      </c>
      <c r="Z86" s="21" t="str">
        <f t="shared" si="135"/>
        <v/>
      </c>
      <c r="AA86" s="21" t="str">
        <f t="shared" si="136"/>
        <v/>
      </c>
      <c r="AB86" s="21" t="str">
        <f t="shared" si="137"/>
        <v/>
      </c>
      <c r="AC86" s="21" t="str">
        <f>IF(AL86=1,"",MID(IF(ISNUMBER(SEARCH("E_INVALID_DATE",AR86))," | E_INVALID_DATE: "&amp;SUBSTITUTE(IFERROR(INDEX(nMSG_Text,MATCH("E_INVALID_DATE",nMSG_Code,0)),""),"[input]",""),"")&amp;IF(ISNUMBER(SEARCH("E_REVERSED_BOUNDS",AR86))," | E_REVERSED_BOUNDS: "&amp;SUBSTITUTE(IFERROR(INDEX(nMSG_Text,MATCH("E_REVERSED_BOUNDS",nMSG_Code,0)),""),"[input]",""),"")&amp;IF(ISNUMBER(SEARCH("E_DUPLICATE_ID",AR86))," | E_DUPLICATE_ID: "&amp;SUBSTITUTE(IFERROR(INDEX(nMSG_Text,MATCH("E_DUPLICATE_ID",nMSG_Code,0)),""),"[input]",""),"")&amp;IF(ISNUMBER(SEARCH("E_MISSING_LINK",AR86))," | E_MISSING_LINK: "&amp;SUBSTITUTE(IFERROR(INDEX(nMSG_Text,MATCH("E_MISSING_LINK",nMSG_Code,0)),""),"[input]",""),"")&amp;IF(ISNUMBER(SEARCH("E_MISSING_INPUT",AR86))," | E_MISSING_INPUT: "&amp;SUBSTITUTE(IFERROR(INDEX(nMSG_Text,MATCH("E_MISSING_INPUT",nMSG_Code,0)),""),"[input]",IF(AS86="","an input",AS86)),"")&amp;IF(ISNUMBER(SEARCH("E_INVALID_UNIT",AR86))," | E_INVALID_UNIT: "&amp;SUBSTITUTE(IFERROR(INDEX(nMSG_Text,MATCH("E_INVALID_UNIT",nMSG_Code,0)),""),"[input]",""),"")&amp;IF(ISNUMBER(SEARCH("E_NONPOSITIVE_PARAMETER",AR86))," | E_NONPOSITIVE_PARAMETER: "&amp;SUBSTITUTE(IFERROR(INDEX(nMSG_Text,MATCH("E_NONPOSITIVE_PARAMETER",nMSG_Code,0)),""),"[input]",""),"")&amp;IF(ISNUMBER(SEARCH("E_OUT_OF_RANGE",AR86))," | E_OUT_OF_RANGE: "&amp;SUBSTITUTE(IFERROR(INDEX(nMSG_Text,MATCH("E_OUT_OF_RANGE",nMSG_Code,0)),""),"[input]",""),"")&amp;IF(ISNUMBER(SEARCH("E_APPLICABILITY_UNCONFIRMED",AR86))," | E_APPLICABILITY_UNCONFIRMED: "&amp;SUBSTITUTE(IFERROR(INDEX(nMSG_Text,MATCH("E_APPLICABILITY_UNCONFIRMED",nMSG_Code,0)),""),"[input]",""),"")&amp;IF(ISNUMBER(SEARCH("E_CREATININE_STABILITY_UNCONFIRMED",AR86))," | E_CREATININE_STABILITY_UNCONFIRMED: "&amp;SUBSTITUTE(IFERROR(INDEX(nMSG_Text,MATCH("E_CREATININE_STABILITY_UNCONFIRMED",nMSG_Code,0)),""),"[input]",""),"")&amp;IF(ISNUMBER(SEARCH("E_OVERLAPPING_SEGMENTS",AR86))," | E_OVERLAPPING_SEGMENTS: "&amp;SUBSTITUTE(IFERROR(INDEX(nMSG_Text,MATCH("E_OVERLAPPING_SEGMENTS",nMSG_Code,0)),""),"[input]",""),""),4,9999))</f>
        <v/>
      </c>
      <c r="AD86" s="21" t="str">
        <f t="shared" si="138"/>
        <v/>
      </c>
      <c r="AE86" s="21" t="str">
        <f t="shared" si="139"/>
        <v/>
      </c>
      <c r="AF86" s="21" t="str">
        <f t="shared" si="140"/>
        <v/>
      </c>
      <c r="AG86" s="21" t="str">
        <f t="shared" si="141"/>
        <v/>
      </c>
      <c r="AH86" s="21" t="str">
        <f t="shared" si="142"/>
        <v/>
      </c>
      <c r="AI86" s="21" t="str">
        <f t="shared" si="143"/>
        <v/>
      </c>
      <c r="AJ86" s="21" t="str">
        <f t="shared" si="144"/>
        <v/>
      </c>
      <c r="AK86" s="21" t="str">
        <f t="shared" si="145"/>
        <v/>
      </c>
      <c r="AL86" s="22">
        <f t="shared" si="146"/>
        <v>1</v>
      </c>
      <c r="AM86" s="21" t="str">
        <f t="shared" si="147"/>
        <v/>
      </c>
      <c r="AN86" s="21" t="str">
        <f t="shared" si="148"/>
        <v/>
      </c>
      <c r="AO86" s="22">
        <f t="shared" si="149"/>
        <v>0</v>
      </c>
      <c r="AP86" s="21" t="str">
        <f>IF(AL86=1,"",IF(A86="","; E_MISSING_INPUT","")&amp;IF(N86="","; E_MISSING_INPUT","")&amp;IF(AND(N86&lt;&gt;"",ISNA(MATCH(N86,nLIST_TimeUnit,0))),"; E_INVALID_UNIT","")&amp;IF(O86="","; E_MISSING_INPUT","")&amp;IF(AND(O86&lt;&gt;"",NOT(ISNUMBER(O86))),"; E_MISSING_INPUT","")&amp;IF(AND(ISNUMBER(O86),O86&lt;=0),"; E_NONPOSITIVE_PARAMETER","")&amp;IF(R86="","; E_MISSING_INPUT","")&amp;IF(AND(R86&lt;&gt;"",NOT(ISNUMBER(R86))),"; E_MISSING_INPUT","")&amp;IF(AND(ISNUMBER(R86),R86&lt;=0),"; E_NONPOSITIVE_PARAMETER","")&amp;IF(U86="","; E_MISSING_INPUT","")&amp;IF(AND(U86&lt;&gt;"",NOT(ISNUMBER(U86))),"; E_MISSING_INPUT","")&amp;IF(AND(ISNUMBER(U86),U86&lt;0),"; E_OUT_OF_RANGE","")&amp;IF(TRIM(H86&amp;"")="","; E_MISSING_INPUT","")&amp;IF(TRIM(I86&amp;"")="","; E_MISSING_INPUT","")&amp;IF(TRIM(J86&amp;"")="","; E_MISSING_INPUT","")&amp;IF(TRIM(L86&amp;"")="","; E_MISSING_INPUT","")&amp;IF(P86="","; E_MISSING_INPUT","")&amp;IF(S86="","; E_MISSING_INPUT","")&amp;IF(V86="","; E_MISSING_INPUT","")&amp;IF(AO86=0,"; E_APPLICABILITY_UNCONFIRMED",""))</f>
        <v/>
      </c>
      <c r="AQ86" s="21" t="str">
        <f t="shared" si="150"/>
        <v/>
      </c>
      <c r="AR86" s="21" t="str">
        <f t="shared" si="151"/>
        <v/>
      </c>
      <c r="AS86" s="21" t="str">
        <f t="shared" si="152"/>
        <v/>
      </c>
      <c r="AT86" s="22">
        <f t="shared" si="153"/>
        <v>0</v>
      </c>
    </row>
    <row r="87" spans="1:46" x14ac:dyDescent="0.2">
      <c r="A87" s="10"/>
      <c r="B87" s="10"/>
      <c r="C87" s="12"/>
      <c r="D87" s="10"/>
      <c r="E87" s="10"/>
      <c r="F87" s="17"/>
      <c r="G87" s="17"/>
      <c r="H87" s="10"/>
      <c r="I87" s="10"/>
      <c r="J87" s="10"/>
      <c r="K87" s="17"/>
      <c r="L87" s="10"/>
      <c r="M87" s="17"/>
      <c r="N87" s="17"/>
      <c r="O87" s="17"/>
      <c r="P87" s="17"/>
      <c r="Q87" s="10"/>
      <c r="R87" s="17"/>
      <c r="S87" s="17"/>
      <c r="T87" s="10"/>
      <c r="U87" s="17"/>
      <c r="V87" s="17"/>
      <c r="W87" s="10"/>
      <c r="X87" s="21" t="str">
        <f t="shared" si="133"/>
        <v/>
      </c>
      <c r="Y87" s="21" t="str">
        <f t="shared" si="134"/>
        <v/>
      </c>
      <c r="Z87" s="21" t="str">
        <f t="shared" si="135"/>
        <v/>
      </c>
      <c r="AA87" s="21" t="str">
        <f t="shared" si="136"/>
        <v/>
      </c>
      <c r="AB87" s="21" t="str">
        <f t="shared" si="137"/>
        <v/>
      </c>
      <c r="AC87" s="21" t="str">
        <f>IF(AL87=1,"",MID(IF(ISNUMBER(SEARCH("E_INVALID_DATE",AR87))," | E_INVALID_DATE: "&amp;SUBSTITUTE(IFERROR(INDEX(nMSG_Text,MATCH("E_INVALID_DATE",nMSG_Code,0)),""),"[input]",""),"")&amp;IF(ISNUMBER(SEARCH("E_REVERSED_BOUNDS",AR87))," | E_REVERSED_BOUNDS: "&amp;SUBSTITUTE(IFERROR(INDEX(nMSG_Text,MATCH("E_REVERSED_BOUNDS",nMSG_Code,0)),""),"[input]",""),"")&amp;IF(ISNUMBER(SEARCH("E_DUPLICATE_ID",AR87))," | E_DUPLICATE_ID: "&amp;SUBSTITUTE(IFERROR(INDEX(nMSG_Text,MATCH("E_DUPLICATE_ID",nMSG_Code,0)),""),"[input]",""),"")&amp;IF(ISNUMBER(SEARCH("E_MISSING_LINK",AR87))," | E_MISSING_LINK: "&amp;SUBSTITUTE(IFERROR(INDEX(nMSG_Text,MATCH("E_MISSING_LINK",nMSG_Code,0)),""),"[input]",""),"")&amp;IF(ISNUMBER(SEARCH("E_MISSING_INPUT",AR87))," | E_MISSING_INPUT: "&amp;SUBSTITUTE(IFERROR(INDEX(nMSG_Text,MATCH("E_MISSING_INPUT",nMSG_Code,0)),""),"[input]",IF(AS87="","an input",AS87)),"")&amp;IF(ISNUMBER(SEARCH("E_INVALID_UNIT",AR87))," | E_INVALID_UNIT: "&amp;SUBSTITUTE(IFERROR(INDEX(nMSG_Text,MATCH("E_INVALID_UNIT",nMSG_Code,0)),""),"[input]",""),"")&amp;IF(ISNUMBER(SEARCH("E_NONPOSITIVE_PARAMETER",AR87))," | E_NONPOSITIVE_PARAMETER: "&amp;SUBSTITUTE(IFERROR(INDEX(nMSG_Text,MATCH("E_NONPOSITIVE_PARAMETER",nMSG_Code,0)),""),"[input]",""),"")&amp;IF(ISNUMBER(SEARCH("E_OUT_OF_RANGE",AR87))," | E_OUT_OF_RANGE: "&amp;SUBSTITUTE(IFERROR(INDEX(nMSG_Text,MATCH("E_OUT_OF_RANGE",nMSG_Code,0)),""),"[input]",""),"")&amp;IF(ISNUMBER(SEARCH("E_APPLICABILITY_UNCONFIRMED",AR87))," | E_APPLICABILITY_UNCONFIRMED: "&amp;SUBSTITUTE(IFERROR(INDEX(nMSG_Text,MATCH("E_APPLICABILITY_UNCONFIRMED",nMSG_Code,0)),""),"[input]",""),"")&amp;IF(ISNUMBER(SEARCH("E_CREATININE_STABILITY_UNCONFIRMED",AR87))," | E_CREATININE_STABILITY_UNCONFIRMED: "&amp;SUBSTITUTE(IFERROR(INDEX(nMSG_Text,MATCH("E_CREATININE_STABILITY_UNCONFIRMED",nMSG_Code,0)),""),"[input]",""),"")&amp;IF(ISNUMBER(SEARCH("E_OVERLAPPING_SEGMENTS",AR87))," | E_OVERLAPPING_SEGMENTS: "&amp;SUBSTITUTE(IFERROR(INDEX(nMSG_Text,MATCH("E_OVERLAPPING_SEGMENTS",nMSG_Code,0)),""),"[input]",""),""),4,9999))</f>
        <v/>
      </c>
      <c r="AD87" s="21" t="str">
        <f t="shared" si="138"/>
        <v/>
      </c>
      <c r="AE87" s="21" t="str">
        <f t="shared" si="139"/>
        <v/>
      </c>
      <c r="AF87" s="21" t="str">
        <f t="shared" si="140"/>
        <v/>
      </c>
      <c r="AG87" s="21" t="str">
        <f t="shared" si="141"/>
        <v/>
      </c>
      <c r="AH87" s="21" t="str">
        <f t="shared" si="142"/>
        <v/>
      </c>
      <c r="AI87" s="21" t="str">
        <f t="shared" si="143"/>
        <v/>
      </c>
      <c r="AJ87" s="21" t="str">
        <f t="shared" si="144"/>
        <v/>
      </c>
      <c r="AK87" s="21" t="str">
        <f t="shared" si="145"/>
        <v/>
      </c>
      <c r="AL87" s="22">
        <f t="shared" si="146"/>
        <v>1</v>
      </c>
      <c r="AM87" s="21" t="str">
        <f t="shared" si="147"/>
        <v/>
      </c>
      <c r="AN87" s="21" t="str">
        <f t="shared" si="148"/>
        <v/>
      </c>
      <c r="AO87" s="22">
        <f t="shared" si="149"/>
        <v>0</v>
      </c>
      <c r="AP87" s="21" t="str">
        <f>IF(AL87=1,"",IF(A87="","; E_MISSING_INPUT","")&amp;IF(N87="","; E_MISSING_INPUT","")&amp;IF(AND(N87&lt;&gt;"",ISNA(MATCH(N87,nLIST_TimeUnit,0))),"; E_INVALID_UNIT","")&amp;IF(O87="","; E_MISSING_INPUT","")&amp;IF(AND(O87&lt;&gt;"",NOT(ISNUMBER(O87))),"; E_MISSING_INPUT","")&amp;IF(AND(ISNUMBER(O87),O87&lt;=0),"; E_NONPOSITIVE_PARAMETER","")&amp;IF(R87="","; E_MISSING_INPUT","")&amp;IF(AND(R87&lt;&gt;"",NOT(ISNUMBER(R87))),"; E_MISSING_INPUT","")&amp;IF(AND(ISNUMBER(R87),R87&lt;=0),"; E_NONPOSITIVE_PARAMETER","")&amp;IF(U87="","; E_MISSING_INPUT","")&amp;IF(AND(U87&lt;&gt;"",NOT(ISNUMBER(U87))),"; E_MISSING_INPUT","")&amp;IF(AND(ISNUMBER(U87),U87&lt;0),"; E_OUT_OF_RANGE","")&amp;IF(TRIM(H87&amp;"")="","; E_MISSING_INPUT","")&amp;IF(TRIM(I87&amp;"")="","; E_MISSING_INPUT","")&amp;IF(TRIM(J87&amp;"")="","; E_MISSING_INPUT","")&amp;IF(TRIM(L87&amp;"")="","; E_MISSING_INPUT","")&amp;IF(P87="","; E_MISSING_INPUT","")&amp;IF(S87="","; E_MISSING_INPUT","")&amp;IF(V87="","; E_MISSING_INPUT","")&amp;IF(AO87=0,"; E_APPLICABILITY_UNCONFIRMED",""))</f>
        <v/>
      </c>
      <c r="AQ87" s="21" t="str">
        <f t="shared" si="150"/>
        <v/>
      </c>
      <c r="AR87" s="21" t="str">
        <f t="shared" si="151"/>
        <v/>
      </c>
      <c r="AS87" s="21" t="str">
        <f t="shared" si="152"/>
        <v/>
      </c>
      <c r="AT87" s="22">
        <f t="shared" si="153"/>
        <v>0</v>
      </c>
    </row>
    <row r="88" spans="1:46" x14ac:dyDescent="0.2">
      <c r="A88" s="10"/>
      <c r="B88" s="10"/>
      <c r="C88" s="12"/>
      <c r="D88" s="10"/>
      <c r="E88" s="10"/>
      <c r="F88" s="17"/>
      <c r="G88" s="17"/>
      <c r="H88" s="10"/>
      <c r="I88" s="10"/>
      <c r="J88" s="10"/>
      <c r="K88" s="17"/>
      <c r="L88" s="10"/>
      <c r="M88" s="17"/>
      <c r="N88" s="17"/>
      <c r="O88" s="17"/>
      <c r="P88" s="17"/>
      <c r="Q88" s="10"/>
      <c r="R88" s="17"/>
      <c r="S88" s="17"/>
      <c r="T88" s="10"/>
      <c r="U88" s="17"/>
      <c r="V88" s="17"/>
      <c r="W88" s="10"/>
      <c r="X88" s="21" t="str">
        <f t="shared" si="133"/>
        <v/>
      </c>
      <c r="Y88" s="21" t="str">
        <f t="shared" si="134"/>
        <v/>
      </c>
      <c r="Z88" s="21" t="str">
        <f t="shared" si="135"/>
        <v/>
      </c>
      <c r="AA88" s="21" t="str">
        <f t="shared" si="136"/>
        <v/>
      </c>
      <c r="AB88" s="21" t="str">
        <f t="shared" si="137"/>
        <v/>
      </c>
      <c r="AC88" s="21" t="str">
        <f>IF(AL88=1,"",MID(IF(ISNUMBER(SEARCH("E_INVALID_DATE",AR88))," | E_INVALID_DATE: "&amp;SUBSTITUTE(IFERROR(INDEX(nMSG_Text,MATCH("E_INVALID_DATE",nMSG_Code,0)),""),"[input]",""),"")&amp;IF(ISNUMBER(SEARCH("E_REVERSED_BOUNDS",AR88))," | E_REVERSED_BOUNDS: "&amp;SUBSTITUTE(IFERROR(INDEX(nMSG_Text,MATCH("E_REVERSED_BOUNDS",nMSG_Code,0)),""),"[input]",""),"")&amp;IF(ISNUMBER(SEARCH("E_DUPLICATE_ID",AR88))," | E_DUPLICATE_ID: "&amp;SUBSTITUTE(IFERROR(INDEX(nMSG_Text,MATCH("E_DUPLICATE_ID",nMSG_Code,0)),""),"[input]",""),"")&amp;IF(ISNUMBER(SEARCH("E_MISSING_LINK",AR88))," | E_MISSING_LINK: "&amp;SUBSTITUTE(IFERROR(INDEX(nMSG_Text,MATCH("E_MISSING_LINK",nMSG_Code,0)),""),"[input]",""),"")&amp;IF(ISNUMBER(SEARCH("E_MISSING_INPUT",AR88))," | E_MISSING_INPUT: "&amp;SUBSTITUTE(IFERROR(INDEX(nMSG_Text,MATCH("E_MISSING_INPUT",nMSG_Code,0)),""),"[input]",IF(AS88="","an input",AS88)),"")&amp;IF(ISNUMBER(SEARCH("E_INVALID_UNIT",AR88))," | E_INVALID_UNIT: "&amp;SUBSTITUTE(IFERROR(INDEX(nMSG_Text,MATCH("E_INVALID_UNIT",nMSG_Code,0)),""),"[input]",""),"")&amp;IF(ISNUMBER(SEARCH("E_NONPOSITIVE_PARAMETER",AR88))," | E_NONPOSITIVE_PARAMETER: "&amp;SUBSTITUTE(IFERROR(INDEX(nMSG_Text,MATCH("E_NONPOSITIVE_PARAMETER",nMSG_Code,0)),""),"[input]",""),"")&amp;IF(ISNUMBER(SEARCH("E_OUT_OF_RANGE",AR88))," | E_OUT_OF_RANGE: "&amp;SUBSTITUTE(IFERROR(INDEX(nMSG_Text,MATCH("E_OUT_OF_RANGE",nMSG_Code,0)),""),"[input]",""),"")&amp;IF(ISNUMBER(SEARCH("E_APPLICABILITY_UNCONFIRMED",AR88))," | E_APPLICABILITY_UNCONFIRMED: "&amp;SUBSTITUTE(IFERROR(INDEX(nMSG_Text,MATCH("E_APPLICABILITY_UNCONFIRMED",nMSG_Code,0)),""),"[input]",""),"")&amp;IF(ISNUMBER(SEARCH("E_CREATININE_STABILITY_UNCONFIRMED",AR88))," | E_CREATININE_STABILITY_UNCONFIRMED: "&amp;SUBSTITUTE(IFERROR(INDEX(nMSG_Text,MATCH("E_CREATININE_STABILITY_UNCONFIRMED",nMSG_Code,0)),""),"[input]",""),"")&amp;IF(ISNUMBER(SEARCH("E_OVERLAPPING_SEGMENTS",AR88))," | E_OVERLAPPING_SEGMENTS: "&amp;SUBSTITUTE(IFERROR(INDEX(nMSG_Text,MATCH("E_OVERLAPPING_SEGMENTS",nMSG_Code,0)),""),"[input]",""),""),4,9999))</f>
        <v/>
      </c>
      <c r="AD88" s="21" t="str">
        <f t="shared" si="138"/>
        <v/>
      </c>
      <c r="AE88" s="21" t="str">
        <f t="shared" si="139"/>
        <v/>
      </c>
      <c r="AF88" s="21" t="str">
        <f t="shared" si="140"/>
        <v/>
      </c>
      <c r="AG88" s="21" t="str">
        <f t="shared" si="141"/>
        <v/>
      </c>
      <c r="AH88" s="21" t="str">
        <f t="shared" si="142"/>
        <v/>
      </c>
      <c r="AI88" s="21" t="str">
        <f t="shared" si="143"/>
        <v/>
      </c>
      <c r="AJ88" s="21" t="str">
        <f t="shared" si="144"/>
        <v/>
      </c>
      <c r="AK88" s="21" t="str">
        <f t="shared" si="145"/>
        <v/>
      </c>
      <c r="AL88" s="22">
        <f t="shared" si="146"/>
        <v>1</v>
      </c>
      <c r="AM88" s="21" t="str">
        <f t="shared" si="147"/>
        <v/>
      </c>
      <c r="AN88" s="21" t="str">
        <f t="shared" si="148"/>
        <v/>
      </c>
      <c r="AO88" s="22">
        <f t="shared" si="149"/>
        <v>0</v>
      </c>
      <c r="AP88" s="21" t="str">
        <f>IF(AL88=1,"",IF(A88="","; E_MISSING_INPUT","")&amp;IF(N88="","; E_MISSING_INPUT","")&amp;IF(AND(N88&lt;&gt;"",ISNA(MATCH(N88,nLIST_TimeUnit,0))),"; E_INVALID_UNIT","")&amp;IF(O88="","; E_MISSING_INPUT","")&amp;IF(AND(O88&lt;&gt;"",NOT(ISNUMBER(O88))),"; E_MISSING_INPUT","")&amp;IF(AND(ISNUMBER(O88),O88&lt;=0),"; E_NONPOSITIVE_PARAMETER","")&amp;IF(R88="","; E_MISSING_INPUT","")&amp;IF(AND(R88&lt;&gt;"",NOT(ISNUMBER(R88))),"; E_MISSING_INPUT","")&amp;IF(AND(ISNUMBER(R88),R88&lt;=0),"; E_NONPOSITIVE_PARAMETER","")&amp;IF(U88="","; E_MISSING_INPUT","")&amp;IF(AND(U88&lt;&gt;"",NOT(ISNUMBER(U88))),"; E_MISSING_INPUT","")&amp;IF(AND(ISNUMBER(U88),U88&lt;0),"; E_OUT_OF_RANGE","")&amp;IF(TRIM(H88&amp;"")="","; E_MISSING_INPUT","")&amp;IF(TRIM(I88&amp;"")="","; E_MISSING_INPUT","")&amp;IF(TRIM(J88&amp;"")="","; E_MISSING_INPUT","")&amp;IF(TRIM(L88&amp;"")="","; E_MISSING_INPUT","")&amp;IF(P88="","; E_MISSING_INPUT","")&amp;IF(S88="","; E_MISSING_INPUT","")&amp;IF(V88="","; E_MISSING_INPUT","")&amp;IF(AO88=0,"; E_APPLICABILITY_UNCONFIRMED",""))</f>
        <v/>
      </c>
      <c r="AQ88" s="21" t="str">
        <f t="shared" si="150"/>
        <v/>
      </c>
      <c r="AR88" s="21" t="str">
        <f t="shared" si="151"/>
        <v/>
      </c>
      <c r="AS88" s="21" t="str">
        <f t="shared" si="152"/>
        <v/>
      </c>
      <c r="AT88" s="22">
        <f t="shared" si="153"/>
        <v>0</v>
      </c>
    </row>
    <row r="89" spans="1:46" x14ac:dyDescent="0.2">
      <c r="A89" s="10"/>
      <c r="B89" s="10"/>
      <c r="C89" s="12"/>
      <c r="D89" s="10"/>
      <c r="E89" s="10"/>
      <c r="F89" s="17"/>
      <c r="G89" s="17"/>
      <c r="H89" s="10"/>
      <c r="I89" s="10"/>
      <c r="J89" s="10"/>
      <c r="K89" s="17"/>
      <c r="L89" s="10"/>
      <c r="M89" s="17"/>
      <c r="N89" s="17"/>
      <c r="O89" s="17"/>
      <c r="P89" s="17"/>
      <c r="Q89" s="10"/>
      <c r="R89" s="17"/>
      <c r="S89" s="17"/>
      <c r="T89" s="10"/>
      <c r="U89" s="17"/>
      <c r="V89" s="17"/>
      <c r="W89" s="10"/>
      <c r="X89" s="21" t="str">
        <f t="shared" si="133"/>
        <v/>
      </c>
      <c r="Y89" s="21" t="str">
        <f t="shared" si="134"/>
        <v/>
      </c>
      <c r="Z89" s="21" t="str">
        <f t="shared" si="135"/>
        <v/>
      </c>
      <c r="AA89" s="21" t="str">
        <f t="shared" si="136"/>
        <v/>
      </c>
      <c r="AB89" s="21" t="str">
        <f t="shared" si="137"/>
        <v/>
      </c>
      <c r="AC89" s="21" t="str">
        <f>IF(AL89=1,"",MID(IF(ISNUMBER(SEARCH("E_INVALID_DATE",AR89))," | E_INVALID_DATE: "&amp;SUBSTITUTE(IFERROR(INDEX(nMSG_Text,MATCH("E_INVALID_DATE",nMSG_Code,0)),""),"[input]",""),"")&amp;IF(ISNUMBER(SEARCH("E_REVERSED_BOUNDS",AR89))," | E_REVERSED_BOUNDS: "&amp;SUBSTITUTE(IFERROR(INDEX(nMSG_Text,MATCH("E_REVERSED_BOUNDS",nMSG_Code,0)),""),"[input]",""),"")&amp;IF(ISNUMBER(SEARCH("E_DUPLICATE_ID",AR89))," | E_DUPLICATE_ID: "&amp;SUBSTITUTE(IFERROR(INDEX(nMSG_Text,MATCH("E_DUPLICATE_ID",nMSG_Code,0)),""),"[input]",""),"")&amp;IF(ISNUMBER(SEARCH("E_MISSING_LINK",AR89))," | E_MISSING_LINK: "&amp;SUBSTITUTE(IFERROR(INDEX(nMSG_Text,MATCH("E_MISSING_LINK",nMSG_Code,0)),""),"[input]",""),"")&amp;IF(ISNUMBER(SEARCH("E_MISSING_INPUT",AR89))," | E_MISSING_INPUT: "&amp;SUBSTITUTE(IFERROR(INDEX(nMSG_Text,MATCH("E_MISSING_INPUT",nMSG_Code,0)),""),"[input]",IF(AS89="","an input",AS89)),"")&amp;IF(ISNUMBER(SEARCH("E_INVALID_UNIT",AR89))," | E_INVALID_UNIT: "&amp;SUBSTITUTE(IFERROR(INDEX(nMSG_Text,MATCH("E_INVALID_UNIT",nMSG_Code,0)),""),"[input]",""),"")&amp;IF(ISNUMBER(SEARCH("E_NONPOSITIVE_PARAMETER",AR89))," | E_NONPOSITIVE_PARAMETER: "&amp;SUBSTITUTE(IFERROR(INDEX(nMSG_Text,MATCH("E_NONPOSITIVE_PARAMETER",nMSG_Code,0)),""),"[input]",""),"")&amp;IF(ISNUMBER(SEARCH("E_OUT_OF_RANGE",AR89))," | E_OUT_OF_RANGE: "&amp;SUBSTITUTE(IFERROR(INDEX(nMSG_Text,MATCH("E_OUT_OF_RANGE",nMSG_Code,0)),""),"[input]",""),"")&amp;IF(ISNUMBER(SEARCH("E_APPLICABILITY_UNCONFIRMED",AR89))," | E_APPLICABILITY_UNCONFIRMED: "&amp;SUBSTITUTE(IFERROR(INDEX(nMSG_Text,MATCH("E_APPLICABILITY_UNCONFIRMED",nMSG_Code,0)),""),"[input]",""),"")&amp;IF(ISNUMBER(SEARCH("E_CREATININE_STABILITY_UNCONFIRMED",AR89))," | E_CREATININE_STABILITY_UNCONFIRMED: "&amp;SUBSTITUTE(IFERROR(INDEX(nMSG_Text,MATCH("E_CREATININE_STABILITY_UNCONFIRMED",nMSG_Code,0)),""),"[input]",""),"")&amp;IF(ISNUMBER(SEARCH("E_OVERLAPPING_SEGMENTS",AR89))," | E_OVERLAPPING_SEGMENTS: "&amp;SUBSTITUTE(IFERROR(INDEX(nMSG_Text,MATCH("E_OVERLAPPING_SEGMENTS",nMSG_Code,0)),""),"[input]",""),""),4,9999))</f>
        <v/>
      </c>
      <c r="AD89" s="21" t="str">
        <f t="shared" si="138"/>
        <v/>
      </c>
      <c r="AE89" s="21" t="str">
        <f t="shared" si="139"/>
        <v/>
      </c>
      <c r="AF89" s="21" t="str">
        <f t="shared" si="140"/>
        <v/>
      </c>
      <c r="AG89" s="21" t="str">
        <f t="shared" si="141"/>
        <v/>
      </c>
      <c r="AH89" s="21" t="str">
        <f t="shared" si="142"/>
        <v/>
      </c>
      <c r="AI89" s="21" t="str">
        <f t="shared" si="143"/>
        <v/>
      </c>
      <c r="AJ89" s="21" t="str">
        <f t="shared" si="144"/>
        <v/>
      </c>
      <c r="AK89" s="21" t="str">
        <f t="shared" si="145"/>
        <v/>
      </c>
      <c r="AL89" s="22">
        <f t="shared" si="146"/>
        <v>1</v>
      </c>
      <c r="AM89" s="21" t="str">
        <f t="shared" si="147"/>
        <v/>
      </c>
      <c r="AN89" s="21" t="str">
        <f t="shared" si="148"/>
        <v/>
      </c>
      <c r="AO89" s="22">
        <f t="shared" si="149"/>
        <v>0</v>
      </c>
      <c r="AP89" s="21" t="str">
        <f>IF(AL89=1,"",IF(A89="","; E_MISSING_INPUT","")&amp;IF(N89="","; E_MISSING_INPUT","")&amp;IF(AND(N89&lt;&gt;"",ISNA(MATCH(N89,nLIST_TimeUnit,0))),"; E_INVALID_UNIT","")&amp;IF(O89="","; E_MISSING_INPUT","")&amp;IF(AND(O89&lt;&gt;"",NOT(ISNUMBER(O89))),"; E_MISSING_INPUT","")&amp;IF(AND(ISNUMBER(O89),O89&lt;=0),"; E_NONPOSITIVE_PARAMETER","")&amp;IF(R89="","; E_MISSING_INPUT","")&amp;IF(AND(R89&lt;&gt;"",NOT(ISNUMBER(R89))),"; E_MISSING_INPUT","")&amp;IF(AND(ISNUMBER(R89),R89&lt;=0),"; E_NONPOSITIVE_PARAMETER","")&amp;IF(U89="","; E_MISSING_INPUT","")&amp;IF(AND(U89&lt;&gt;"",NOT(ISNUMBER(U89))),"; E_MISSING_INPUT","")&amp;IF(AND(ISNUMBER(U89),U89&lt;0),"; E_OUT_OF_RANGE","")&amp;IF(TRIM(H89&amp;"")="","; E_MISSING_INPUT","")&amp;IF(TRIM(I89&amp;"")="","; E_MISSING_INPUT","")&amp;IF(TRIM(J89&amp;"")="","; E_MISSING_INPUT","")&amp;IF(TRIM(L89&amp;"")="","; E_MISSING_INPUT","")&amp;IF(P89="","; E_MISSING_INPUT","")&amp;IF(S89="","; E_MISSING_INPUT","")&amp;IF(V89="","; E_MISSING_INPUT","")&amp;IF(AO89=0,"; E_APPLICABILITY_UNCONFIRMED",""))</f>
        <v/>
      </c>
      <c r="AQ89" s="21" t="str">
        <f t="shared" si="150"/>
        <v/>
      </c>
      <c r="AR89" s="21" t="str">
        <f t="shared" si="151"/>
        <v/>
      </c>
      <c r="AS89" s="21" t="str">
        <f t="shared" si="152"/>
        <v/>
      </c>
      <c r="AT89" s="22">
        <f t="shared" si="153"/>
        <v>0</v>
      </c>
    </row>
    <row r="90" spans="1:46" x14ac:dyDescent="0.2">
      <c r="A90" s="10"/>
      <c r="B90" s="10"/>
      <c r="C90" s="12"/>
      <c r="D90" s="10"/>
      <c r="E90" s="10"/>
      <c r="F90" s="17"/>
      <c r="G90" s="17"/>
      <c r="H90" s="10"/>
      <c r="I90" s="10"/>
      <c r="J90" s="10"/>
      <c r="K90" s="17"/>
      <c r="L90" s="10"/>
      <c r="M90" s="17"/>
      <c r="N90" s="17"/>
      <c r="O90" s="17"/>
      <c r="P90" s="17"/>
      <c r="Q90" s="10"/>
      <c r="R90" s="17"/>
      <c r="S90" s="17"/>
      <c r="T90" s="10"/>
      <c r="U90" s="17"/>
      <c r="V90" s="17"/>
      <c r="W90" s="10"/>
      <c r="X90" s="21" t="str">
        <f t="shared" si="133"/>
        <v/>
      </c>
      <c r="Y90" s="21" t="str">
        <f t="shared" si="134"/>
        <v/>
      </c>
      <c r="Z90" s="21" t="str">
        <f t="shared" si="135"/>
        <v/>
      </c>
      <c r="AA90" s="21" t="str">
        <f t="shared" si="136"/>
        <v/>
      </c>
      <c r="AB90" s="21" t="str">
        <f t="shared" si="137"/>
        <v/>
      </c>
      <c r="AC90" s="21" t="str">
        <f>IF(AL90=1,"",MID(IF(ISNUMBER(SEARCH("E_INVALID_DATE",AR90))," | E_INVALID_DATE: "&amp;SUBSTITUTE(IFERROR(INDEX(nMSG_Text,MATCH("E_INVALID_DATE",nMSG_Code,0)),""),"[input]",""),"")&amp;IF(ISNUMBER(SEARCH("E_REVERSED_BOUNDS",AR90))," | E_REVERSED_BOUNDS: "&amp;SUBSTITUTE(IFERROR(INDEX(nMSG_Text,MATCH("E_REVERSED_BOUNDS",nMSG_Code,0)),""),"[input]",""),"")&amp;IF(ISNUMBER(SEARCH("E_DUPLICATE_ID",AR90))," | E_DUPLICATE_ID: "&amp;SUBSTITUTE(IFERROR(INDEX(nMSG_Text,MATCH("E_DUPLICATE_ID",nMSG_Code,0)),""),"[input]",""),"")&amp;IF(ISNUMBER(SEARCH("E_MISSING_LINK",AR90))," | E_MISSING_LINK: "&amp;SUBSTITUTE(IFERROR(INDEX(nMSG_Text,MATCH("E_MISSING_LINK",nMSG_Code,0)),""),"[input]",""),"")&amp;IF(ISNUMBER(SEARCH("E_MISSING_INPUT",AR90))," | E_MISSING_INPUT: "&amp;SUBSTITUTE(IFERROR(INDEX(nMSG_Text,MATCH("E_MISSING_INPUT",nMSG_Code,0)),""),"[input]",IF(AS90="","an input",AS90)),"")&amp;IF(ISNUMBER(SEARCH("E_INVALID_UNIT",AR90))," | E_INVALID_UNIT: "&amp;SUBSTITUTE(IFERROR(INDEX(nMSG_Text,MATCH("E_INVALID_UNIT",nMSG_Code,0)),""),"[input]",""),"")&amp;IF(ISNUMBER(SEARCH("E_NONPOSITIVE_PARAMETER",AR90))," | E_NONPOSITIVE_PARAMETER: "&amp;SUBSTITUTE(IFERROR(INDEX(nMSG_Text,MATCH("E_NONPOSITIVE_PARAMETER",nMSG_Code,0)),""),"[input]",""),"")&amp;IF(ISNUMBER(SEARCH("E_OUT_OF_RANGE",AR90))," | E_OUT_OF_RANGE: "&amp;SUBSTITUTE(IFERROR(INDEX(nMSG_Text,MATCH("E_OUT_OF_RANGE",nMSG_Code,0)),""),"[input]",""),"")&amp;IF(ISNUMBER(SEARCH("E_APPLICABILITY_UNCONFIRMED",AR90))," | E_APPLICABILITY_UNCONFIRMED: "&amp;SUBSTITUTE(IFERROR(INDEX(nMSG_Text,MATCH("E_APPLICABILITY_UNCONFIRMED",nMSG_Code,0)),""),"[input]",""),"")&amp;IF(ISNUMBER(SEARCH("E_CREATININE_STABILITY_UNCONFIRMED",AR90))," | E_CREATININE_STABILITY_UNCONFIRMED: "&amp;SUBSTITUTE(IFERROR(INDEX(nMSG_Text,MATCH("E_CREATININE_STABILITY_UNCONFIRMED",nMSG_Code,0)),""),"[input]",""),"")&amp;IF(ISNUMBER(SEARCH("E_OVERLAPPING_SEGMENTS",AR90))," | E_OVERLAPPING_SEGMENTS: "&amp;SUBSTITUTE(IFERROR(INDEX(nMSG_Text,MATCH("E_OVERLAPPING_SEGMENTS",nMSG_Code,0)),""),"[input]",""),""),4,9999))</f>
        <v/>
      </c>
      <c r="AD90" s="21" t="str">
        <f t="shared" si="138"/>
        <v/>
      </c>
      <c r="AE90" s="21" t="str">
        <f t="shared" si="139"/>
        <v/>
      </c>
      <c r="AF90" s="21" t="str">
        <f t="shared" si="140"/>
        <v/>
      </c>
      <c r="AG90" s="21" t="str">
        <f t="shared" si="141"/>
        <v/>
      </c>
      <c r="AH90" s="21" t="str">
        <f t="shared" si="142"/>
        <v/>
      </c>
      <c r="AI90" s="21" t="str">
        <f t="shared" si="143"/>
        <v/>
      </c>
      <c r="AJ90" s="21" t="str">
        <f t="shared" si="144"/>
        <v/>
      </c>
      <c r="AK90" s="21" t="str">
        <f t="shared" si="145"/>
        <v/>
      </c>
      <c r="AL90" s="22">
        <f t="shared" si="146"/>
        <v>1</v>
      </c>
      <c r="AM90" s="21" t="str">
        <f t="shared" si="147"/>
        <v/>
      </c>
      <c r="AN90" s="21" t="str">
        <f t="shared" si="148"/>
        <v/>
      </c>
      <c r="AO90" s="22">
        <f t="shared" si="149"/>
        <v>0</v>
      </c>
      <c r="AP90" s="21" t="str">
        <f>IF(AL90=1,"",IF(A90="","; E_MISSING_INPUT","")&amp;IF(N90="","; E_MISSING_INPUT","")&amp;IF(AND(N90&lt;&gt;"",ISNA(MATCH(N90,nLIST_TimeUnit,0))),"; E_INVALID_UNIT","")&amp;IF(O90="","; E_MISSING_INPUT","")&amp;IF(AND(O90&lt;&gt;"",NOT(ISNUMBER(O90))),"; E_MISSING_INPUT","")&amp;IF(AND(ISNUMBER(O90),O90&lt;=0),"; E_NONPOSITIVE_PARAMETER","")&amp;IF(R90="","; E_MISSING_INPUT","")&amp;IF(AND(R90&lt;&gt;"",NOT(ISNUMBER(R90))),"; E_MISSING_INPUT","")&amp;IF(AND(ISNUMBER(R90),R90&lt;=0),"; E_NONPOSITIVE_PARAMETER","")&amp;IF(U90="","; E_MISSING_INPUT","")&amp;IF(AND(U90&lt;&gt;"",NOT(ISNUMBER(U90))),"; E_MISSING_INPUT","")&amp;IF(AND(ISNUMBER(U90),U90&lt;0),"; E_OUT_OF_RANGE","")&amp;IF(TRIM(H90&amp;"")="","; E_MISSING_INPUT","")&amp;IF(TRIM(I90&amp;"")="","; E_MISSING_INPUT","")&amp;IF(TRIM(J90&amp;"")="","; E_MISSING_INPUT","")&amp;IF(TRIM(L90&amp;"")="","; E_MISSING_INPUT","")&amp;IF(P90="","; E_MISSING_INPUT","")&amp;IF(S90="","; E_MISSING_INPUT","")&amp;IF(V90="","; E_MISSING_INPUT","")&amp;IF(AO90=0,"; E_APPLICABILITY_UNCONFIRMED",""))</f>
        <v/>
      </c>
      <c r="AQ90" s="21" t="str">
        <f t="shared" si="150"/>
        <v/>
      </c>
      <c r="AR90" s="21" t="str">
        <f t="shared" si="151"/>
        <v/>
      </c>
      <c r="AS90" s="21" t="str">
        <f t="shared" si="152"/>
        <v/>
      </c>
      <c r="AT90" s="22">
        <f t="shared" si="153"/>
        <v>0</v>
      </c>
    </row>
    <row r="91" spans="1:46" x14ac:dyDescent="0.2">
      <c r="A91" s="10"/>
      <c r="B91" s="10"/>
      <c r="C91" s="12"/>
      <c r="D91" s="10"/>
      <c r="E91" s="10"/>
      <c r="F91" s="17"/>
      <c r="G91" s="17"/>
      <c r="H91" s="10"/>
      <c r="I91" s="10"/>
      <c r="J91" s="10"/>
      <c r="K91" s="17"/>
      <c r="L91" s="10"/>
      <c r="M91" s="17"/>
      <c r="N91" s="17"/>
      <c r="O91" s="17"/>
      <c r="P91" s="17"/>
      <c r="Q91" s="10"/>
      <c r="R91" s="17"/>
      <c r="S91" s="17"/>
      <c r="T91" s="10"/>
      <c r="U91" s="17"/>
      <c r="V91" s="17"/>
      <c r="W91" s="10"/>
      <c r="X91" s="21" t="str">
        <f t="shared" si="133"/>
        <v/>
      </c>
      <c r="Y91" s="21" t="str">
        <f t="shared" si="134"/>
        <v/>
      </c>
      <c r="Z91" s="21" t="str">
        <f t="shared" si="135"/>
        <v/>
      </c>
      <c r="AA91" s="21" t="str">
        <f t="shared" si="136"/>
        <v/>
      </c>
      <c r="AB91" s="21" t="str">
        <f t="shared" si="137"/>
        <v/>
      </c>
      <c r="AC91" s="21" t="str">
        <f>IF(AL91=1,"",MID(IF(ISNUMBER(SEARCH("E_INVALID_DATE",AR91))," | E_INVALID_DATE: "&amp;SUBSTITUTE(IFERROR(INDEX(nMSG_Text,MATCH("E_INVALID_DATE",nMSG_Code,0)),""),"[input]",""),"")&amp;IF(ISNUMBER(SEARCH("E_REVERSED_BOUNDS",AR91))," | E_REVERSED_BOUNDS: "&amp;SUBSTITUTE(IFERROR(INDEX(nMSG_Text,MATCH("E_REVERSED_BOUNDS",nMSG_Code,0)),""),"[input]",""),"")&amp;IF(ISNUMBER(SEARCH("E_DUPLICATE_ID",AR91))," | E_DUPLICATE_ID: "&amp;SUBSTITUTE(IFERROR(INDEX(nMSG_Text,MATCH("E_DUPLICATE_ID",nMSG_Code,0)),""),"[input]",""),"")&amp;IF(ISNUMBER(SEARCH("E_MISSING_LINK",AR91))," | E_MISSING_LINK: "&amp;SUBSTITUTE(IFERROR(INDEX(nMSG_Text,MATCH("E_MISSING_LINK",nMSG_Code,0)),""),"[input]",""),"")&amp;IF(ISNUMBER(SEARCH("E_MISSING_INPUT",AR91))," | E_MISSING_INPUT: "&amp;SUBSTITUTE(IFERROR(INDEX(nMSG_Text,MATCH("E_MISSING_INPUT",nMSG_Code,0)),""),"[input]",IF(AS91="","an input",AS91)),"")&amp;IF(ISNUMBER(SEARCH("E_INVALID_UNIT",AR91))," | E_INVALID_UNIT: "&amp;SUBSTITUTE(IFERROR(INDEX(nMSG_Text,MATCH("E_INVALID_UNIT",nMSG_Code,0)),""),"[input]",""),"")&amp;IF(ISNUMBER(SEARCH("E_NONPOSITIVE_PARAMETER",AR91))," | E_NONPOSITIVE_PARAMETER: "&amp;SUBSTITUTE(IFERROR(INDEX(nMSG_Text,MATCH("E_NONPOSITIVE_PARAMETER",nMSG_Code,0)),""),"[input]",""),"")&amp;IF(ISNUMBER(SEARCH("E_OUT_OF_RANGE",AR91))," | E_OUT_OF_RANGE: "&amp;SUBSTITUTE(IFERROR(INDEX(nMSG_Text,MATCH("E_OUT_OF_RANGE",nMSG_Code,0)),""),"[input]",""),"")&amp;IF(ISNUMBER(SEARCH("E_APPLICABILITY_UNCONFIRMED",AR91))," | E_APPLICABILITY_UNCONFIRMED: "&amp;SUBSTITUTE(IFERROR(INDEX(nMSG_Text,MATCH("E_APPLICABILITY_UNCONFIRMED",nMSG_Code,0)),""),"[input]",""),"")&amp;IF(ISNUMBER(SEARCH("E_CREATININE_STABILITY_UNCONFIRMED",AR91))," | E_CREATININE_STABILITY_UNCONFIRMED: "&amp;SUBSTITUTE(IFERROR(INDEX(nMSG_Text,MATCH("E_CREATININE_STABILITY_UNCONFIRMED",nMSG_Code,0)),""),"[input]",""),"")&amp;IF(ISNUMBER(SEARCH("E_OVERLAPPING_SEGMENTS",AR91))," | E_OVERLAPPING_SEGMENTS: "&amp;SUBSTITUTE(IFERROR(INDEX(nMSG_Text,MATCH("E_OVERLAPPING_SEGMENTS",nMSG_Code,0)),""),"[input]",""),""),4,9999))</f>
        <v/>
      </c>
      <c r="AD91" s="21" t="str">
        <f t="shared" si="138"/>
        <v/>
      </c>
      <c r="AE91" s="21" t="str">
        <f t="shared" si="139"/>
        <v/>
      </c>
      <c r="AF91" s="21" t="str">
        <f t="shared" si="140"/>
        <v/>
      </c>
      <c r="AG91" s="21" t="str">
        <f t="shared" si="141"/>
        <v/>
      </c>
      <c r="AH91" s="21" t="str">
        <f t="shared" si="142"/>
        <v/>
      </c>
      <c r="AI91" s="21" t="str">
        <f t="shared" si="143"/>
        <v/>
      </c>
      <c r="AJ91" s="21" t="str">
        <f t="shared" si="144"/>
        <v/>
      </c>
      <c r="AK91" s="21" t="str">
        <f t="shared" si="145"/>
        <v/>
      </c>
      <c r="AL91" s="22">
        <f t="shared" si="146"/>
        <v>1</v>
      </c>
      <c r="AM91" s="21" t="str">
        <f t="shared" si="147"/>
        <v/>
      </c>
      <c r="AN91" s="21" t="str">
        <f t="shared" si="148"/>
        <v/>
      </c>
      <c r="AO91" s="22">
        <f t="shared" si="149"/>
        <v>0</v>
      </c>
      <c r="AP91" s="21" t="str">
        <f>IF(AL91=1,"",IF(A91="","; E_MISSING_INPUT","")&amp;IF(N91="","; E_MISSING_INPUT","")&amp;IF(AND(N91&lt;&gt;"",ISNA(MATCH(N91,nLIST_TimeUnit,0))),"; E_INVALID_UNIT","")&amp;IF(O91="","; E_MISSING_INPUT","")&amp;IF(AND(O91&lt;&gt;"",NOT(ISNUMBER(O91))),"; E_MISSING_INPUT","")&amp;IF(AND(ISNUMBER(O91),O91&lt;=0),"; E_NONPOSITIVE_PARAMETER","")&amp;IF(R91="","; E_MISSING_INPUT","")&amp;IF(AND(R91&lt;&gt;"",NOT(ISNUMBER(R91))),"; E_MISSING_INPUT","")&amp;IF(AND(ISNUMBER(R91),R91&lt;=0),"; E_NONPOSITIVE_PARAMETER","")&amp;IF(U91="","; E_MISSING_INPUT","")&amp;IF(AND(U91&lt;&gt;"",NOT(ISNUMBER(U91))),"; E_MISSING_INPUT","")&amp;IF(AND(ISNUMBER(U91),U91&lt;0),"; E_OUT_OF_RANGE","")&amp;IF(TRIM(H91&amp;"")="","; E_MISSING_INPUT","")&amp;IF(TRIM(I91&amp;"")="","; E_MISSING_INPUT","")&amp;IF(TRIM(J91&amp;"")="","; E_MISSING_INPUT","")&amp;IF(TRIM(L91&amp;"")="","; E_MISSING_INPUT","")&amp;IF(P91="","; E_MISSING_INPUT","")&amp;IF(S91="","; E_MISSING_INPUT","")&amp;IF(V91="","; E_MISSING_INPUT","")&amp;IF(AO91=0,"; E_APPLICABILITY_UNCONFIRMED",""))</f>
        <v/>
      </c>
      <c r="AQ91" s="21" t="str">
        <f t="shared" si="150"/>
        <v/>
      </c>
      <c r="AR91" s="21" t="str">
        <f t="shared" si="151"/>
        <v/>
      </c>
      <c r="AS91" s="21" t="str">
        <f t="shared" si="152"/>
        <v/>
      </c>
      <c r="AT91" s="22">
        <f t="shared" si="153"/>
        <v>0</v>
      </c>
    </row>
    <row r="92" spans="1:46" x14ac:dyDescent="0.2">
      <c r="A92" s="24" t="s">
        <v>295</v>
      </c>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row>
    <row r="93" spans="1:46" x14ac:dyDescent="0.2">
      <c r="A93" s="9" t="s">
        <v>1335</v>
      </c>
      <c r="B93" s="9" t="s">
        <v>347</v>
      </c>
      <c r="C93" s="11">
        <v>1</v>
      </c>
      <c r="D93" s="9" t="s">
        <v>1336</v>
      </c>
      <c r="E93" s="9"/>
      <c r="F93" s="16" t="s">
        <v>85</v>
      </c>
      <c r="G93" s="16" t="s">
        <v>85</v>
      </c>
      <c r="H93" s="9" t="s">
        <v>1247</v>
      </c>
      <c r="I93" s="9" t="s">
        <v>1244</v>
      </c>
      <c r="J93" s="9" t="s">
        <v>1246</v>
      </c>
      <c r="K93" s="16" t="s">
        <v>85</v>
      </c>
      <c r="L93" s="9" t="s">
        <v>1245</v>
      </c>
      <c r="M93" s="16" t="s">
        <v>85</v>
      </c>
      <c r="N93" s="16" t="s">
        <v>67</v>
      </c>
      <c r="O93" s="16">
        <v>6</v>
      </c>
      <c r="P93" s="16" t="s">
        <v>83</v>
      </c>
      <c r="Q93" s="9" t="s">
        <v>1337</v>
      </c>
      <c r="R93" s="16">
        <v>72</v>
      </c>
      <c r="S93" s="16" t="s">
        <v>83</v>
      </c>
      <c r="T93" s="9" t="s">
        <v>1337</v>
      </c>
      <c r="U93" s="16">
        <v>48</v>
      </c>
      <c r="V93" s="16" t="s">
        <v>83</v>
      </c>
      <c r="W93" s="9" t="s">
        <v>1337</v>
      </c>
      <c r="X93" s="21" t="str">
        <f>IF(AL93=1,"",IF(AR93&lt;&gt;"",AR93&amp;": no result is shown","Parent "&amp;IF(Z93=0,"0",IF(ABS(Z93)&lt;0.0001,FIXED(IF(ABS(ROUND(Z93/10^INT(LOG10(ABS(Z93))),2))&gt;=10,ROUND(Z93/10^INT(LOG10(ABS(Z93))),2)/10,ROUND(Z93/10^INT(LOG10(ABS(Z93))),2)),2,TRUE)&amp;" × 10"&amp;SUBSTITUTE(SUBSTITUTE(SUBSTITUTE(SUBSTITUTE(SUBSTITUTE(SUBSTITUTE(SUBSTITUTE(SUBSTITUTE(SUBSTITUTE(SUBSTITUTE(SUBSTITUTE(TEXT((INT(LOG10(ABS(Z93)))+IF(ABS(ROUND(Z93/10^INT(LOG10(ABS(Z93))),2))&gt;=10,1,0)),"0"),"-","⁻"),"0","⁰"),"1","¹"),"2","²"),"3","³"),"4","⁴"),"5","⁵"),"6","⁶"),"7","⁷"),"8","⁸"),"9","⁹"),FIXED(ROUND(Z93,MAX(0,2-INT(LOG10(ABS(Z93))))),MAX(0,2-INT(LOG10(ABS(ROUND(Z93,MAX(0,2-INT(LOG10(ABS(Z93))))))))),FALSE)))&amp;"% and metabolite "&amp;IF(AA93=0,"0",IF(ABS(AA93)&lt;0.0001,FIXED(IF(ABS(ROUND(AA93/10^INT(LOG10(ABS(AA93))),2))&gt;=10,ROUND(AA93/10^INT(LOG10(ABS(AA93))),2)/10,ROUND(AA93/10^INT(LOG10(ABS(AA93))),2)),2,TRUE)&amp;" × 10"&amp;SUBSTITUTE(SUBSTITUTE(SUBSTITUTE(SUBSTITUTE(SUBSTITUTE(SUBSTITUTE(SUBSTITUTE(SUBSTITUTE(SUBSTITUTE(SUBSTITUTE(SUBSTITUTE(TEXT((INT(LOG10(ABS(AA93)))+IF(ABS(ROUND(AA93/10^INT(LOG10(ABS(AA93))),2))&gt;=10,1,0)),"0"),"-","⁻"),"0","⁰"),"1","¹"),"2","²"),"3","³"),"4","⁴"),"5","⁵"),"6","⁶"),"7","⁷"),"8","⁸"),"9","⁹"),FIXED(ROUND(AA93,MAX(0,2-INT(LOG10(ABS(AA93))))),MAX(0,2-INT(LOG10(ABS(ROUND(AA93,MAX(0,2-INT(LOG10(ABS(AA93))))))))),FALSE)))&amp;"% remain, each of its own starting value"))</f>
        <v>Parent 0.391% and metabolite 63.0% remain, each of its own starting value</v>
      </c>
      <c r="Y93" s="21" t="str">
        <f>IF(AL93=1,"",IF(AT93=0,"Not calculable",MID(IF(TRUE,"; "&amp;"Parent remaining (own reference)"&amp;": "&amp;IF(Z93=0,"0",IF(ABS(Z93)&lt;0.0001,FIXED(IF(ABS(ROUND(Z93/10^INT(LOG10(ABS(Z93))),2))&gt;=10,ROUND(Z93/10^INT(LOG10(ABS(Z93))),2)/10,ROUND(Z93/10^INT(LOG10(ABS(Z93))),2)),2,TRUE)&amp;" × 10"&amp;SUBSTITUTE(SUBSTITUTE(SUBSTITUTE(SUBSTITUTE(SUBSTITUTE(SUBSTITUTE(SUBSTITUTE(SUBSTITUTE(SUBSTITUTE(SUBSTITUTE(SUBSTITUTE(TEXT((INT(LOG10(ABS(Z93)))+IF(ABS(ROUND(Z93/10^INT(LOG10(ABS(Z93))),2))&gt;=10,1,0)),"0"),"-","⁻"),"0","⁰"),"1","¹"),"2","²"),"3","³"),"4","⁴"),"5","⁵"),"6","⁶"),"7","⁷"),"8","⁸"),"9","⁹"),FIXED(ROUND(Z93,MAX(0,2-INT(LOG10(ABS(Z93))))),MAX(0,2-INT(LOG10(ABS(ROUND(Z93,MAX(0,2-INT(LOG10(ABS(Z93))))))))),FALSE)))&amp;"%","")&amp;IF(TRUE,"; "&amp;"Metabolite remaining (own reference)"&amp;": "&amp;IF(AA93=0,"0",IF(ABS(AA93)&lt;0.0001,FIXED(IF(ABS(ROUND(AA93/10^INT(LOG10(ABS(AA93))),2))&gt;=10,ROUND(AA93/10^INT(LOG10(ABS(AA93))),2)/10,ROUND(AA93/10^INT(LOG10(ABS(AA93))),2)),2,TRUE)&amp;" × 10"&amp;SUBSTITUTE(SUBSTITUTE(SUBSTITUTE(SUBSTITUTE(SUBSTITUTE(SUBSTITUTE(SUBSTITUTE(SUBSTITUTE(SUBSTITUTE(SUBSTITUTE(SUBSTITUTE(TEXT((INT(LOG10(ABS(AA93)))+IF(ABS(ROUND(AA93/10^INT(LOG10(ABS(AA93))),2))&gt;=10,1,0)),"0"),"-","⁻"),"0","⁰"),"1","¹"),"2","²"),"3","³"),"4","⁴"),"5","⁵"),"6","⁶"),"7","⁷"),"8","⁸"),"9","⁹"),FIXED(ROUND(AA93,MAX(0,2-INT(LOG10(ABS(AA93))))),MAX(0,2-INT(LOG10(ABS(ROUND(AA93,MAX(0,2-INT(LOG10(ABS(AA93))))))))),FALSE)))&amp;"%",""),3,9999)))</f>
        <v>Parent remaining (own reference): 0.391%; Metabolite remaining (own reference): 63.0%</v>
      </c>
      <c r="Z93" s="21">
        <f>IF(AT93=1,100*2^(-U93/O93),"")</f>
        <v>0.390625</v>
      </c>
      <c r="AA93" s="21">
        <f>IF(AT93=1,100*2^(-U93/R93),"")</f>
        <v>62.996052494743658</v>
      </c>
      <c r="AB93" s="21" t="str">
        <f>IF(AL93=1,"",IF(AR93&lt;&gt;"",AR93,""))</f>
        <v/>
      </c>
      <c r="AC93" s="21" t="str">
        <f>IF(AL93=1,"",MID(IF(ISNUMBER(SEARCH("E_INVALID_DATE",AR93))," | E_INVALID_DATE: "&amp;SUBSTITUTE(IFERROR(INDEX(nMSG_Text,MATCH("E_INVALID_DATE",nMSG_Code,0)),""),"[input]",""),"")&amp;IF(ISNUMBER(SEARCH("E_REVERSED_BOUNDS",AR93))," | E_REVERSED_BOUNDS: "&amp;SUBSTITUTE(IFERROR(INDEX(nMSG_Text,MATCH("E_REVERSED_BOUNDS",nMSG_Code,0)),""),"[input]",""),"")&amp;IF(ISNUMBER(SEARCH("E_DUPLICATE_ID",AR93))," | E_DUPLICATE_ID: "&amp;SUBSTITUTE(IFERROR(INDEX(nMSG_Text,MATCH("E_DUPLICATE_ID",nMSG_Code,0)),""),"[input]",""),"")&amp;IF(ISNUMBER(SEARCH("E_MISSING_LINK",AR93))," | E_MISSING_LINK: "&amp;SUBSTITUTE(IFERROR(INDEX(nMSG_Text,MATCH("E_MISSING_LINK",nMSG_Code,0)),""),"[input]",""),"")&amp;IF(ISNUMBER(SEARCH("E_MISSING_INPUT",AR93))," | E_MISSING_INPUT: "&amp;SUBSTITUTE(IFERROR(INDEX(nMSG_Text,MATCH("E_MISSING_INPUT",nMSG_Code,0)),""),"[input]",IF(AS93="","an input",AS93)),"")&amp;IF(ISNUMBER(SEARCH("E_INVALID_UNIT",AR93))," | E_INVALID_UNIT: "&amp;SUBSTITUTE(IFERROR(INDEX(nMSG_Text,MATCH("E_INVALID_UNIT",nMSG_Code,0)),""),"[input]",""),"")&amp;IF(ISNUMBER(SEARCH("E_NONPOSITIVE_PARAMETER",AR93))," | E_NONPOSITIVE_PARAMETER: "&amp;SUBSTITUTE(IFERROR(INDEX(nMSG_Text,MATCH("E_NONPOSITIVE_PARAMETER",nMSG_Code,0)),""),"[input]",""),"")&amp;IF(ISNUMBER(SEARCH("E_OUT_OF_RANGE",AR93))," | E_OUT_OF_RANGE: "&amp;SUBSTITUTE(IFERROR(INDEX(nMSG_Text,MATCH("E_OUT_OF_RANGE",nMSG_Code,0)),""),"[input]",""),"")&amp;IF(ISNUMBER(SEARCH("E_APPLICABILITY_UNCONFIRMED",AR93))," | E_APPLICABILITY_UNCONFIRMED: "&amp;SUBSTITUTE(IFERROR(INDEX(nMSG_Text,MATCH("E_APPLICABILITY_UNCONFIRMED",nMSG_Code,0)),""),"[input]",""),"")&amp;IF(ISNUMBER(SEARCH("E_CREATININE_STABILITY_UNCONFIRMED",AR93))," | E_CREATININE_STABILITY_UNCONFIRMED: "&amp;SUBSTITUTE(IFERROR(INDEX(nMSG_Text,MATCH("E_CREATININE_STABILITY_UNCONFIRMED",nMSG_Code,0)),""),"[input]",""),"")&amp;IF(ISNUMBER(SEARCH("E_OVERLAPPING_SEGMENTS",AR93))," | E_OVERLAPPING_SEGMENTS: "&amp;SUBSTITUTE(IFERROR(INDEX(nMSG_Text,MATCH("E_OVERLAPPING_SEGMENTS",nMSG_Code,0)),""),"[input]",""),""),4,9999))</f>
        <v/>
      </c>
      <c r="AD93" s="21" t="str">
        <f>IF(AL93=1,"","Parent_t_half = "&amp;O93&amp;" "&amp;N93&amp;" ["&amp;IF(P93="","status not recorded",P93)&amp;IF(Q93&lt;&gt;"","; "&amp;Q93,"")&amp;"]"&amp;"; "&amp;"Metabolite_t_half = "&amp;R93&amp;" "&amp;N93&amp;" ["&amp;IF(S93="","status not recorded",S93)&amp;IF(T93&lt;&gt;"","; "&amp;T93,"")&amp;"]"&amp;"; "&amp;"t = "&amp;U93&amp;" "&amp;N93&amp;" ["&amp;IF(V93="","status not recorded",V93)&amp;IF(W93&lt;&gt;"","; "&amp;W93,"")&amp;"]")</f>
        <v>Parent_t_half = 6 hours [hypothetical example; V34 V20]; Metabolite_t_half = 72 hours [hypothetical example; V34 V20]; t = 48 hours [hypothetical example; V34 V20]</v>
      </c>
      <c r="AE93" s="21" t="str">
        <f>IF(AL93=1,"",MID(""&amp;IF(AO93=1," | Gate confirmed: the simple model applies (one compartment, linear first-order elimination, constant parameters over the period). | Gate confirmed: the half-life used – type: "&amp;H93&amp;"; population: "&amp;I93&amp;"; source: "&amp;J93&amp;". | Gate confirmed: reference time – "&amp;L93&amp;". | Gate confirmed: each input’s Parameter_Status is recorded."," | Common gate not confirmed"&amp;IF(AND(F93="Yes",G93="Yes",K93="Yes",M93="Yes"),": a gate detail or a Parameter_Status is blank.",": "&amp;MID(IF(F93&lt;&gt;"Yes",", model","")&amp;IF(G93&lt;&gt;"Yes",", half-life used","")&amp;IF(K93&lt;&gt;"Yes",", reference time","")&amp;IF(M93&lt;&gt;"Yes",", Parameter_Status",""),3,99)&amp;" not confirmed."))&amp;IF(TRIM(E93&amp;"")&lt;&gt;""," | "&amp;E93,""),4,9999))</f>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v>
      </c>
      <c r="AF93" s="21" t="str">
        <f>IF(AT93=0,"",MID(IF(TRUE,"; "&amp;"Parent remaining (own reference)"&amp;" = "&amp;Z93&amp;" ("&amp;IF(Z93=0,"0",IF(ABS(Z93)&lt;0.0001,FIXED(IF(ABS(ROUND(Z93/10^INT(LOG10(ABS(Z93))),2))&gt;=10,ROUND(Z93/10^INT(LOG10(ABS(Z93))),2)/10,ROUND(Z93/10^INT(LOG10(ABS(Z93))),2)),2,TRUE)&amp;" × 10"&amp;SUBSTITUTE(SUBSTITUTE(SUBSTITUTE(SUBSTITUTE(SUBSTITUTE(SUBSTITUTE(SUBSTITUTE(SUBSTITUTE(SUBSTITUTE(SUBSTITUTE(SUBSTITUTE(TEXT((INT(LOG10(ABS(Z93)))+IF(ABS(ROUND(Z93/10^INT(LOG10(ABS(Z93))),2))&gt;=10,1,0)),"0"),"-","⁻"),"0","⁰"),"1","¹"),"2","²"),"3","³"),"4","⁴"),"5","⁵"),"6","⁶"),"7","⁷"),"8","⁸"),"9","⁹"),FIXED(ROUND(Z93,MAX(0,2-INT(LOG10(ABS(Z93))))),MAX(0,2-INT(LOG10(ABS(ROUND(Z93,MAX(0,2-INT(LOG10(ABS(Z93))))))))),FALSE)))&amp;"%"&amp;")","")&amp;IF(TRUE,"; "&amp;"Metabolite remaining (own reference)"&amp;" = "&amp;AA93&amp;" ("&amp;IF(AA93=0,"0",IF(ABS(AA93)&lt;0.0001,FIXED(IF(ABS(ROUND(AA93/10^INT(LOG10(ABS(AA93))),2))&gt;=10,ROUND(AA93/10^INT(LOG10(ABS(AA93))),2)/10,ROUND(AA93/10^INT(LOG10(ABS(AA93))),2)),2,TRUE)&amp;" × 10"&amp;SUBSTITUTE(SUBSTITUTE(SUBSTITUTE(SUBSTITUTE(SUBSTITUTE(SUBSTITUTE(SUBSTITUTE(SUBSTITUTE(SUBSTITUTE(SUBSTITUTE(SUBSTITUTE(TEXT((INT(LOG10(ABS(AA93)))+IF(ABS(ROUND(AA93/10^INT(LOG10(ABS(AA93))),2))&gt;=10,1,0)),"0"),"-","⁻"),"0","⁰"),"1","¹"),"2","²"),"3","³"),"4","⁴"),"5","⁵"),"6","⁶"),"7","⁷"),"8","⁸"),"9","⁹"),FIXED(ROUND(AA93,MAX(0,2-INT(LOG10(ABS(AA93))))),MAX(0,2-INT(LOG10(ABS(ROUND(AA93,MAX(0,2-INT(LOG10(ABS(AA93))))))))),FALSE)))&amp;"%"&amp;")",""),3,9999))</f>
        <v>Parent remaining (own reference) = 0.390625 (0.391%); Metabolite remaining (own reference) = 62.9960524947437 (63.0%)</v>
      </c>
      <c r="AG93" s="21" t="str">
        <f>IF(AT93=0,"","percent")</f>
        <v>percent</v>
      </c>
      <c r="AH93" s="21" t="str">
        <f>IF(AL93=1,"",IF(TRIM(D93&amp;"")&lt;&gt;"",D93,"Q5 Parent and metabolite persistence"))</f>
        <v>Vector V20</v>
      </c>
      <c r="AI93" s="21" t="str">
        <f>IF(AL93=1,"","Assumes no further formation or input. Continued metabolite formation, potency, distribution and nonlinear kinetics can make this calculation invalid.")</f>
        <v>Assumes no further formation or input. Continued metabolite formation, potency, distribution and nonlinear kinetics can make this calculation invalid.</v>
      </c>
      <c r="AJ93" s="21" t="str">
        <f>IF(AL93=1,"","Two separate Q1 calculations, each normalized to its own starting value; their sum is never calculated")</f>
        <v>Two separate Q1 calculations, each normalized to its own starting value; their sum is never calculated</v>
      </c>
      <c r="AK93" s="21" t="str">
        <f>IF(AL93=1,"","CALC-SPEC 1.1")</f>
        <v>CALC-SPEC 1.1</v>
      </c>
      <c r="AL93" s="22">
        <f>IF(AND(A93="",O93="",U93=""),1,0)</f>
        <v>0</v>
      </c>
      <c r="AM93" s="21" t="str">
        <f>IF(AL93=1,"",B93&amp;"|"&amp;C93)</f>
        <v>VEC-V20|1</v>
      </c>
      <c r="AN93" s="21" t="str">
        <f>IF(A93="","",B93&amp;"|"&amp;C93&amp;"|"&amp;A93)</f>
        <v>VEC-V20|1|Q5-V20</v>
      </c>
      <c r="AO93" s="22">
        <f>IF(AND(F93="Yes",G93="Yes",K93="Yes",M93="Yes",TRIM(H93&amp;"")&lt;&gt;"",TRIM(I93&amp;"")&lt;&gt;"",TRIM(J93&amp;"")&lt;&gt;"",TRIM(L93&amp;"")&lt;&gt;"",P93&lt;&gt;"",S93&lt;&gt;"",V93&lt;&gt;""),1,0)</f>
        <v>1</v>
      </c>
      <c r="AP93" s="21" t="str">
        <f>IF(AL93=1,"",IF(A93="","; E_MISSING_INPUT","")&amp;IF(N93="","; E_MISSING_INPUT","")&amp;IF(AND(N93&lt;&gt;"",ISNA(MATCH(N93,nLIST_TimeUnit,0))),"; E_INVALID_UNIT","")&amp;IF(O93="","; E_MISSING_INPUT","")&amp;IF(AND(O93&lt;&gt;"",NOT(ISNUMBER(O93))),"; E_MISSING_INPUT","")&amp;IF(AND(ISNUMBER(O93),O93&lt;=0),"; E_NONPOSITIVE_PARAMETER","")&amp;IF(R93="","; E_MISSING_INPUT","")&amp;IF(AND(R93&lt;&gt;"",NOT(ISNUMBER(R93))),"; E_MISSING_INPUT","")&amp;IF(AND(ISNUMBER(R93),R93&lt;=0),"; E_NONPOSITIVE_PARAMETER","")&amp;IF(U93="","; E_MISSING_INPUT","")&amp;IF(AND(U93&lt;&gt;"",NOT(ISNUMBER(U93))),"; E_MISSING_INPUT","")&amp;IF(AND(ISNUMBER(U93),U93&lt;0),"; E_OUT_OF_RANGE","")&amp;IF(TRIM(H93&amp;"")="","; E_MISSING_INPUT","")&amp;IF(TRIM(I93&amp;"")="","; E_MISSING_INPUT","")&amp;IF(TRIM(J93&amp;"")="","; E_MISSING_INPUT","")&amp;IF(TRIM(L93&amp;"")="","; E_MISSING_INPUT","")&amp;IF(P93="","; E_MISSING_INPUT","")&amp;IF(S93="","; E_MISSING_INPUT","")&amp;IF(V93="","; E_MISSING_INPUT","")&amp;IF(AO93=0,"; E_APPLICABILITY_UNCONFIRMED",""))</f>
        <v/>
      </c>
      <c r="AQ93" s="21" t="str">
        <f>IF(AL93=1,"",IF(A93="",", a Calc_ID","")&amp;IF(N93="",", a time unit","")&amp;IF(O93="",", the parent half-life","")&amp;IF(AND(O93&lt;&gt;"",NOT(ISNUMBER(O93))),", the parent half-life as a number","")&amp;IF(R93="",", the metabolite half-life","")&amp;IF(AND(R93&lt;&gt;"",NOT(ISNUMBER(R93))),", the metabolite half-life as a number","")&amp;IF(U93="",", the time","")&amp;IF(AND(U93&lt;&gt;"",NOT(ISNUMBER(U93))),", the time as a number","")&amp;IF(TRIM(H93&amp;"")="",", the type of the half-life used","")&amp;IF(TRIM(I93&amp;"")="",", the population of the half-life used","")&amp;IF(TRIM(J93&amp;"")="",", the source of the half-life used","")&amp;IF(TRIM(L93&amp;"")="",", the reference time","")&amp;IF(P93="",", the Parameter_Status of the parent half-life","")&amp;IF(S93="",", the Parameter_Status of the metabolite half-life","")&amp;IF(V93="",", the Parameter_Status of t",""))</f>
        <v/>
      </c>
      <c r="AR93" s="21" t="str">
        <f>IF(AL93=1,"",MID(IF(ISNUMBER(SEARCH("E_INVALID_DATE",AP93)),"; E_INVALID_DATE","")&amp;IF(ISNUMBER(SEARCH("E_REVERSED_BOUNDS",AP93)),"; E_REVERSED_BOUNDS","")&amp;IF(ISNUMBER(SEARCH("E_DUPLICATE_ID",AP93)),"; E_DUPLICATE_ID","")&amp;IF(ISNUMBER(SEARCH("E_MISSING_LINK",AP93)),"; E_MISSING_LINK","")&amp;IF(ISNUMBER(SEARCH("E_MISSING_INPUT",AP93)),"; E_MISSING_INPUT","")&amp;IF(ISNUMBER(SEARCH("E_INVALID_UNIT",AP93)),"; E_INVALID_UNIT","")&amp;IF(ISNUMBER(SEARCH("E_NONPOSITIVE_PARAMETER",AP93)),"; E_NONPOSITIVE_PARAMETER","")&amp;IF(ISNUMBER(SEARCH("E_OUT_OF_RANGE",AP93)),"; E_OUT_OF_RANGE","")&amp;IF(ISNUMBER(SEARCH("E_APPLICABILITY_UNCONFIRMED",AP93)),"; E_APPLICABILITY_UNCONFIRMED","")&amp;IF(ISNUMBER(SEARCH("E_CREATININE_STABILITY_UNCONFIRMED",AP93)),"; E_CREATININE_STABILITY_UNCONFIRMED","")&amp;IF(ISNUMBER(SEARCH("E_OVERLAPPING_SEGMENTS",AP93)),"; E_OVERLAPPING_SEGMENTS",""),3,999))</f>
        <v/>
      </c>
      <c r="AS93" s="21" t="str">
        <f>MID(AQ93,3,999)</f>
        <v/>
      </c>
      <c r="AT93" s="22">
        <f>IF(AND(AL93=0,AR93=""),1,0)</f>
        <v>1</v>
      </c>
    </row>
    <row r="96" spans="1:46" ht="17.25" x14ac:dyDescent="0.3">
      <c r="A96" s="6" t="s">
        <v>1338</v>
      </c>
    </row>
    <row r="97" spans="1:44" x14ac:dyDescent="0.2">
      <c r="A97" s="7" t="s">
        <v>1203</v>
      </c>
    </row>
    <row r="98" spans="1:44" x14ac:dyDescent="0.2">
      <c r="A98" s="2" t="s">
        <v>1204</v>
      </c>
      <c r="F98" s="2" t="s">
        <v>1208</v>
      </c>
      <c r="N98" s="2" t="s">
        <v>1204</v>
      </c>
      <c r="U98" s="2" t="s">
        <v>1225</v>
      </c>
      <c r="AJ98" s="2" t="s">
        <v>1237</v>
      </c>
    </row>
    <row r="99" spans="1:44" ht="66" customHeight="1" x14ac:dyDescent="0.2">
      <c r="A99" s="8" t="s">
        <v>1205</v>
      </c>
      <c r="B99" s="8" t="s">
        <v>280</v>
      </c>
      <c r="C99" s="8" t="s">
        <v>281</v>
      </c>
      <c r="D99" s="8" t="s">
        <v>1206</v>
      </c>
      <c r="E99" s="8" t="s">
        <v>1207</v>
      </c>
      <c r="F99" s="8" t="s">
        <v>1209</v>
      </c>
      <c r="G99" s="8" t="s">
        <v>1210</v>
      </c>
      <c r="H99" s="8" t="s">
        <v>1211</v>
      </c>
      <c r="I99" s="8" t="s">
        <v>1212</v>
      </c>
      <c r="J99" s="8" t="s">
        <v>1213</v>
      </c>
      <c r="K99" s="8" t="s">
        <v>1214</v>
      </c>
      <c r="L99" s="8" t="s">
        <v>1215</v>
      </c>
      <c r="M99" s="8" t="s">
        <v>1216</v>
      </c>
      <c r="N99" s="8" t="s">
        <v>1339</v>
      </c>
      <c r="O99" s="8" t="s">
        <v>1340</v>
      </c>
      <c r="P99" s="8" t="s">
        <v>1220</v>
      </c>
      <c r="Q99" s="8" t="s">
        <v>1221</v>
      </c>
      <c r="R99" s="8" t="s">
        <v>1341</v>
      </c>
      <c r="S99" s="8" t="s">
        <v>1223</v>
      </c>
      <c r="T99" s="8" t="s">
        <v>1224</v>
      </c>
      <c r="U99" s="19" t="s">
        <v>1226</v>
      </c>
      <c r="V99" s="19" t="s">
        <v>981</v>
      </c>
      <c r="W99" s="19" t="s">
        <v>1227</v>
      </c>
      <c r="X99" s="19" t="s">
        <v>1228</v>
      </c>
      <c r="Y99" s="19" t="s">
        <v>1342</v>
      </c>
      <c r="Z99" s="19" t="s">
        <v>988</v>
      </c>
      <c r="AA99" s="19" t="s">
        <v>1231</v>
      </c>
      <c r="AB99" s="19" t="s">
        <v>1232</v>
      </c>
      <c r="AC99" s="19" t="s">
        <v>1003</v>
      </c>
      <c r="AD99" s="19" t="s">
        <v>1233</v>
      </c>
      <c r="AE99" s="19" t="s">
        <v>1234</v>
      </c>
      <c r="AF99" s="19" t="s">
        <v>954</v>
      </c>
      <c r="AG99" s="19" t="s">
        <v>1235</v>
      </c>
      <c r="AH99" s="19" t="s">
        <v>1236</v>
      </c>
      <c r="AI99" s="19" t="s">
        <v>1006</v>
      </c>
      <c r="AJ99" s="19" t="s">
        <v>1008</v>
      </c>
      <c r="AK99" s="19" t="s">
        <v>1009</v>
      </c>
      <c r="AL99" s="19" t="s">
        <v>1238</v>
      </c>
      <c r="AM99" s="19" t="s">
        <v>1239</v>
      </c>
      <c r="AN99" s="19" t="s">
        <v>1085</v>
      </c>
      <c r="AO99" s="19" t="s">
        <v>1240</v>
      </c>
      <c r="AP99" s="19" t="s">
        <v>1095</v>
      </c>
      <c r="AQ99" s="19" t="s">
        <v>1241</v>
      </c>
      <c r="AR99" s="19" t="s">
        <v>1097</v>
      </c>
    </row>
    <row r="100" spans="1:44" x14ac:dyDescent="0.2">
      <c r="A100" s="10"/>
      <c r="B100" s="10"/>
      <c r="C100" s="12"/>
      <c r="D100" s="10"/>
      <c r="E100" s="10"/>
      <c r="F100" s="17"/>
      <c r="G100" s="17"/>
      <c r="H100" s="10"/>
      <c r="I100" s="10"/>
      <c r="J100" s="10"/>
      <c r="K100" s="17"/>
      <c r="L100" s="10"/>
      <c r="M100" s="17"/>
      <c r="N100" s="17"/>
      <c r="O100" s="17"/>
      <c r="P100" s="17"/>
      <c r="Q100" s="10"/>
      <c r="R100" s="17"/>
      <c r="S100" s="17"/>
      <c r="T100" s="10"/>
      <c r="U100" s="21" t="str">
        <f t="shared" ref="U100:U107" si="154">IF(AJ100=1,"",IF(AP100&lt;&gt;"",AP100&amp;": no result is shown",IF(X100=0,"0",IF(ABS(X100)&lt;0.0001,FIXED(IF(ABS(ROUND(X100/10^INT(LOG10(ABS(X100))),2))&gt;=10,ROUND(X100/10^INT(LOG10(ABS(X100))),2)/10,ROUND(X100/10^INT(LOG10(ABS(X100))),2)),2,TRUE)&amp;" × 10"&amp;SUBSTITUTE(SUBSTITUTE(SUBSTITUTE(SUBSTITUTE(SUBSTITUTE(SUBSTITUTE(SUBSTITUTE(SUBSTITUTE(SUBSTITUTE(SUBSTITUTE(SUBSTITUTE(TEXT((INT(LOG10(ABS(X100)))+IF(ABS(ROUND(X100/10^INT(LOG10(ABS(X100))),2))&gt;=10,1,0)),"0"),"-","⁻"),"0","⁰"),"1","¹"),"2","²"),"3","³"),"4","⁴"),"5","⁵"),"6","⁶"),"7","⁷"),"8","⁸"),"9","⁹"),FIXED(ROUND(X100,MAX(0,2-INT(LOG10(ABS(X100))))),MAX(0,2-INT(LOG10(ABS(ROUND(X100,MAX(0,2-INT(LOG10(ABS(X100))))))))),FALSE)))&amp;"% of the post-infusion concentration remains after "&amp;R100&amp;" days (W_BIOLOGIC_MODEL_CAUTION)"))</f>
        <v/>
      </c>
      <c r="V100" s="21" t="str">
        <f t="shared" ref="V100:V107" si="155">IF(AJ100=1,"",IF(AR100=0,"Not calculable",MID(IF(TRUE,"; "&amp;"Fraction remaining"&amp;": "&amp;IF(100*W100=0,"0",IF(ABS(100*W100)&lt;0.0001,FIXED(IF(ABS(ROUND(100*W100/10^INT(LOG10(ABS(100*W100))),2))&gt;=10,ROUND(100*W100/10^INT(LOG10(ABS(100*W100))),2)/10,ROUND(100*W100/10^INT(LOG10(ABS(100*W100))),2)),2,TRUE)&amp;" × 10"&amp;SUBSTITUTE(SUBSTITUTE(SUBSTITUTE(SUBSTITUTE(SUBSTITUTE(SUBSTITUTE(SUBSTITUTE(SUBSTITUTE(SUBSTITUTE(SUBSTITUTE(SUBSTITUTE(TEXT((INT(LOG10(ABS(100*W100)))+IF(ABS(ROUND(100*W100/10^INT(LOG10(ABS(100*W100))),2))&gt;=10,1,0)),"0"),"-","⁻"),"0","⁰"),"1","¹"),"2","²"),"3","³"),"4","⁴"),"5","⁵"),"6","⁶"),"7","⁷"),"8","⁸"),"9","⁹"),FIXED(ROUND(100*W100,MAX(0,2-INT(LOG10(ABS(100*W100))))),MAX(0,2-INT(LOG10(ABS(ROUND(100*W100,MAX(0,2-INT(LOG10(ABS(100*W100))))))))),FALSE)))&amp;"%","")&amp;IF(TRUE,"; "&amp;"Elimination rate constant k"&amp;": "&amp;IF(Y100=0,"0",FIXED(Y100,MAX(0,2-INT(LOG10(ABS(Y100)))),TRUE))&amp;" per day",""),3,9999)))</f>
        <v/>
      </c>
      <c r="W100" s="21" t="str">
        <f t="shared" ref="W100:W107" si="156">IF(AR100=1,2^(-R100/O100),"")</f>
        <v/>
      </c>
      <c r="X100" s="21" t="str">
        <f t="shared" ref="X100:X107" si="157">IF(AR100=1,100*W100,"")</f>
        <v/>
      </c>
      <c r="Y100" s="21" t="str">
        <f t="shared" ref="Y100:Y107" si="158">IF(AR100=1,LN(2)/O100,"")</f>
        <v/>
      </c>
      <c r="Z100" s="21" t="str">
        <f t="shared" ref="Z100:Z107" si="159">IF(AJ100=1,"",IF(AP100&lt;&gt;"",AP100,MID(IF(TRUE,"; W_BIOLOGIC_MODEL_CAUTION",""),3,999)))</f>
        <v/>
      </c>
      <c r="AA100" s="21" t="str">
        <f>IF(AJ100=1,"",MID(IF(ISNUMBER(SEARCH("E_INVALID_DATE",AP100))," | E_INVALID_DATE: "&amp;SUBSTITUTE(IFERROR(INDEX(nMSG_Text,MATCH("E_INVALID_DATE",nMSG_Code,0)),""),"[input]",""),"")&amp;IF(ISNUMBER(SEARCH("E_REVERSED_BOUNDS",AP100))," | E_REVERSED_BOUNDS: "&amp;SUBSTITUTE(IFERROR(INDEX(nMSG_Text,MATCH("E_REVERSED_BOUNDS",nMSG_Code,0)),""),"[input]",""),"")&amp;IF(ISNUMBER(SEARCH("E_DUPLICATE_ID",AP100))," | E_DUPLICATE_ID: "&amp;SUBSTITUTE(IFERROR(INDEX(nMSG_Text,MATCH("E_DUPLICATE_ID",nMSG_Code,0)),""),"[input]",""),"")&amp;IF(ISNUMBER(SEARCH("E_MISSING_LINK",AP100))," | E_MISSING_LINK: "&amp;SUBSTITUTE(IFERROR(INDEX(nMSG_Text,MATCH("E_MISSING_LINK",nMSG_Code,0)),""),"[input]",""),"")&amp;IF(ISNUMBER(SEARCH("E_MISSING_INPUT",AP100))," | E_MISSING_INPUT: "&amp;SUBSTITUTE(IFERROR(INDEX(nMSG_Text,MATCH("E_MISSING_INPUT",nMSG_Code,0)),""),"[input]",IF(AQ100="","an input",AQ100)),"")&amp;IF(ISNUMBER(SEARCH("E_INVALID_UNIT",AP100))," | E_INVALID_UNIT: "&amp;SUBSTITUTE(IFERROR(INDEX(nMSG_Text,MATCH("E_INVALID_UNIT",nMSG_Code,0)),""),"[input]",""),"")&amp;IF(ISNUMBER(SEARCH("E_NONPOSITIVE_PARAMETER",AP100))," | E_NONPOSITIVE_PARAMETER: "&amp;SUBSTITUTE(IFERROR(INDEX(nMSG_Text,MATCH("E_NONPOSITIVE_PARAMETER",nMSG_Code,0)),""),"[input]",""),"")&amp;IF(ISNUMBER(SEARCH("E_OUT_OF_RANGE",AP100))," | E_OUT_OF_RANGE: "&amp;SUBSTITUTE(IFERROR(INDEX(nMSG_Text,MATCH("E_OUT_OF_RANGE",nMSG_Code,0)),""),"[input]",""),"")&amp;IF(ISNUMBER(SEARCH("E_APPLICABILITY_UNCONFIRMED",AP100))," | E_APPLICABILITY_UNCONFIRMED: "&amp;SUBSTITUTE(IFERROR(INDEX(nMSG_Text,MATCH("E_APPLICABILITY_UNCONFIRMED",nMSG_Code,0)),""),"[input]",""),"")&amp;IF(ISNUMBER(SEARCH("E_CREATININE_STABILITY_UNCONFIRMED",AP100))," | E_CREATININE_STABILITY_UNCONFIRMED: "&amp;SUBSTITUTE(IFERROR(INDEX(nMSG_Text,MATCH("E_CREATININE_STABILITY_UNCONFIRMED",nMSG_Code,0)),""),"[input]",""),"")&amp;IF(ISNUMBER(SEARCH("E_OVERLAPPING_SEGMENTS",AP100))," | E_OVERLAPPING_SEGMENTS: "&amp;SUBSTITUTE(IFERROR(INDEX(nMSG_Text,MATCH("E_OVERLAPPING_SEGMENTS",nMSG_Code,0)),""),"[input]",""),"")&amp;IF(AR100=1,IF(TRUE," | W_BIOLOGIC_MODEL_CAUTION: "&amp;SUBSTITUTE(IFERROR(INDEX(nMSG_Text,MATCH("W_BIOLOGIC_MODEL_CAUTION",nMSG_Code,0)),""),"[input]",""),""),""),4,9999))</f>
        <v/>
      </c>
      <c r="AB100" s="21" t="str">
        <f t="shared" ref="AB100:AB107" si="160">IF(AJ100=1,"","t_half = "&amp;O100&amp;" "&amp;"days"&amp;" ["&amp;IF(P100="","status not recorded",P100)&amp;IF(Q100&lt;&gt;"","; "&amp;Q100,"")&amp;"]"&amp;"; "&amp;"t = "&amp;R100&amp;" "&amp;"days"&amp;" ["&amp;IF(S100="","status not recorded",S100)&amp;IF(T100&lt;&gt;"","; "&amp;T100,"")&amp;"]")</f>
        <v/>
      </c>
      <c r="AC100" s="21" t="str">
        <f t="shared" ref="AC100:AC107" si="161">IF(AJ100=1,"",MID(""&amp;IF(AM100=1," | Gate confirmed: the simple model applies (one compartment, linear first-order elimination, constant parameters over the period). | Gate confirmed: the half-life used – type: "&amp;H100&amp;"; population: "&amp;I100&amp;"; source: "&amp;J100&amp;". | Gate confirmed: reference time – "&amp;L100&amp;". | Gate confirmed: each input’s Parameter_Status is recorded."," | Common gate not confirmed"&amp;IF(AND(F100="Yes",G100="Yes",K100="Yes",M100="Yes"),": a gate detail or a Parameter_Status is blank.",": "&amp;MID(IF(F100&lt;&gt;"Yes",", model","")&amp;IF(G100&lt;&gt;"Yes",", half-life used","")&amp;IF(K100&lt;&gt;"Yes",", reference time","")&amp;IF(M100&lt;&gt;"Yes",", Parameter_Status",""),3,99)&amp;" not confirmed."))&amp;IF(TRIM(E100&amp;"")&lt;&gt;""," | "&amp;E100,""),4,9999))</f>
        <v/>
      </c>
      <c r="AD100" s="21" t="str">
        <f t="shared" ref="AD100:AD107" si="162">IF(AR100=0,"",MID(IF(TRUE,"; "&amp;"Fraction remaining"&amp;" = "&amp;W100&amp;" ("&amp;IF(100*W100=0,"0",IF(ABS(100*W100)&lt;0.0001,FIXED(IF(ABS(ROUND(100*W100/10^INT(LOG10(ABS(100*W100))),2))&gt;=10,ROUND(100*W100/10^INT(LOG10(ABS(100*W100))),2)/10,ROUND(100*W100/10^INT(LOG10(ABS(100*W100))),2)),2,TRUE)&amp;" × 10"&amp;SUBSTITUTE(SUBSTITUTE(SUBSTITUTE(SUBSTITUTE(SUBSTITUTE(SUBSTITUTE(SUBSTITUTE(SUBSTITUTE(SUBSTITUTE(SUBSTITUTE(SUBSTITUTE(TEXT((INT(LOG10(ABS(100*W100)))+IF(ABS(ROUND(100*W100/10^INT(LOG10(ABS(100*W100))),2))&gt;=10,1,0)),"0"),"-","⁻"),"0","⁰"),"1","¹"),"2","²"),"3","³"),"4","⁴"),"5","⁵"),"6","⁶"),"7","⁷"),"8","⁸"),"9","⁹"),FIXED(ROUND(100*W100,MAX(0,2-INT(LOG10(ABS(100*W100))))),MAX(0,2-INT(LOG10(ABS(ROUND(100*W100,MAX(0,2-INT(LOG10(ABS(100*W100))))))))),FALSE)))&amp;"%"&amp;")","")&amp;IF(TRUE,"; "&amp;"Elimination rate constant k"&amp;" = "&amp;Y100&amp;" ("&amp;IF(Y100=0,"0",FIXED(Y100,MAX(0,2-INT(LOG10(ABS(Y100)))),TRUE))&amp;" per day"&amp;")",""),3,9999))</f>
        <v/>
      </c>
      <c r="AE100" s="21" t="str">
        <f t="shared" ref="AE100:AE107" si="163">IF(AR100=0,"","fraction (shown as percent)")</f>
        <v/>
      </c>
      <c r="AF100" s="21" t="str">
        <f t="shared" ref="AF100:AF107" si="164">IF(AJ100=1,"",IF(TRIM(D100&amp;"")&lt;&gt;"",D100,"Q7 Long persistence of a monoclonal antibody"))</f>
        <v/>
      </c>
      <c r="AG100" s="21" t="str">
        <f t="shared" ref="AG100:AG107" si="165">IF(AJ100=1,"","Antibody disposition can depend on dose, time, target burden and immunogenicity. Exposure persistence is not receptor occupancy, immune activity or biological persistence.")</f>
        <v/>
      </c>
      <c r="AH100" s="21" t="str">
        <f t="shared" ref="AH100:AH107" si="166">IF(AJ100=1,"","As Q1: fraction remaining = 2^(-t / t_half), t and t_half in days")</f>
        <v/>
      </c>
      <c r="AI100" s="21" t="str">
        <f t="shared" ref="AI100:AI107" si="167">IF(AJ100=1,"","CALC-SPEC 1.1")</f>
        <v/>
      </c>
      <c r="AJ100" s="22">
        <f t="shared" ref="AJ100:AJ107" si="168">IF(AND(A100="",O100="",R100=""),1,0)</f>
        <v>1</v>
      </c>
      <c r="AK100" s="21" t="str">
        <f t="shared" ref="AK100:AK107" si="169">IF(AJ100=1,"",B100&amp;"|"&amp;C100)</f>
        <v/>
      </c>
      <c r="AL100" s="21" t="str">
        <f t="shared" ref="AL100:AL107" si="170">IF(A100="","",B100&amp;"|"&amp;C100&amp;"|"&amp;A100)</f>
        <v/>
      </c>
      <c r="AM100" s="22">
        <f t="shared" ref="AM100:AM107" si="171">IF(AND(F100="Yes",G100="Yes",K100="Yes",M100="Yes",TRIM(H100&amp;"")&lt;&gt;"",TRIM(I100&amp;"")&lt;&gt;"",TRIM(J100&amp;"")&lt;&gt;"",TRIM(L100&amp;"")&lt;&gt;"",P100&lt;&gt;"",S100&lt;&gt;""),1,0)</f>
        <v>0</v>
      </c>
      <c r="AN100" s="21" t="str">
        <f t="shared" ref="AN100:AN107" si="172">IF(AJ100=1,"",IF(A100="","; E_MISSING_INPUT","")&amp;IF(N100="","; E_MISSING_INPUT","")&amp;IF(AND(N100&lt;&gt;"",N100&lt;&gt;"days"),"; E_INVALID_UNIT","")&amp;IF(O100="","; E_MISSING_INPUT","")&amp;IF(AND(O100&lt;&gt;"",NOT(ISNUMBER(O100))),"; E_MISSING_INPUT","")&amp;IF(AND(ISNUMBER(O100),O100&lt;=0),"; E_NONPOSITIVE_PARAMETER","")&amp;IF(R100="","; E_MISSING_INPUT","")&amp;IF(AND(R100&lt;&gt;"",NOT(ISNUMBER(R100))),"; E_MISSING_INPUT","")&amp;IF(AND(ISNUMBER(R100),R100&lt;0),"; E_OUT_OF_RANGE","")&amp;IF(TRIM(H100&amp;"")="","; E_MISSING_INPUT","")&amp;IF(TRIM(I100&amp;"")="","; E_MISSING_INPUT","")&amp;IF(TRIM(J100&amp;"")="","; E_MISSING_INPUT","")&amp;IF(TRIM(L100&amp;"")="","; E_MISSING_INPUT","")&amp;IF(P100="","; E_MISSING_INPUT","")&amp;IF(S100="","; E_MISSING_INPUT","")&amp;IF(AM100=0,"; E_APPLICABILITY_UNCONFIRMED",""))</f>
        <v/>
      </c>
      <c r="AO100" s="21" t="str">
        <f t="shared" ref="AO100:AO107" si="173">IF(AJ100=1,"",IF(A100="",", a Calc_ID","")&amp;IF(N100="",", a time unit","")&amp;IF(O100="",", the half-life","")&amp;IF(AND(O100&lt;&gt;"",NOT(ISNUMBER(O100))),", the half-life as a number","")&amp;IF(R100="",", the time","")&amp;IF(AND(R100&lt;&gt;"",NOT(ISNUMBER(R100))),", the time as a number","")&amp;IF(TRIM(H100&amp;"")="",", the type of the half-life used","")&amp;IF(TRIM(I100&amp;"")="",", the population of the half-life used","")&amp;IF(TRIM(J100&amp;"")="",", the source of the half-life used","")&amp;IF(TRIM(L100&amp;"")="",", the reference time","")&amp;IF(P100="",", the Parameter_Status of t_half","")&amp;IF(S100="",", the Parameter_Status of t",""))</f>
        <v/>
      </c>
      <c r="AP100" s="21" t="str">
        <f t="shared" ref="AP100:AP107" si="174">IF(AJ100=1,"",MID(IF(ISNUMBER(SEARCH("E_INVALID_DATE",AN100)),"; E_INVALID_DATE","")&amp;IF(ISNUMBER(SEARCH("E_REVERSED_BOUNDS",AN100)),"; E_REVERSED_BOUNDS","")&amp;IF(ISNUMBER(SEARCH("E_DUPLICATE_ID",AN100)),"; E_DUPLICATE_ID","")&amp;IF(ISNUMBER(SEARCH("E_MISSING_LINK",AN100)),"; E_MISSING_LINK","")&amp;IF(ISNUMBER(SEARCH("E_MISSING_INPUT",AN100)),"; E_MISSING_INPUT","")&amp;IF(ISNUMBER(SEARCH("E_INVALID_UNIT",AN100)),"; E_INVALID_UNIT","")&amp;IF(ISNUMBER(SEARCH("E_NONPOSITIVE_PARAMETER",AN100)),"; E_NONPOSITIVE_PARAMETER","")&amp;IF(ISNUMBER(SEARCH("E_OUT_OF_RANGE",AN100)),"; E_OUT_OF_RANGE","")&amp;IF(ISNUMBER(SEARCH("E_APPLICABILITY_UNCONFIRMED",AN100)),"; E_APPLICABILITY_UNCONFIRMED","")&amp;IF(ISNUMBER(SEARCH("E_CREATININE_STABILITY_UNCONFIRMED",AN100)),"; E_CREATININE_STABILITY_UNCONFIRMED","")&amp;IF(ISNUMBER(SEARCH("E_OVERLAPPING_SEGMENTS",AN100)),"; E_OVERLAPPING_SEGMENTS",""),3,999))</f>
        <v/>
      </c>
      <c r="AQ100" s="21" t="str">
        <f t="shared" ref="AQ100:AQ107" si="175">MID(AO100,3,999)</f>
        <v/>
      </c>
      <c r="AR100" s="22">
        <f t="shared" ref="AR100:AR107" si="176">IF(AND(AJ100=0,AP100=""),1,0)</f>
        <v>0</v>
      </c>
    </row>
    <row r="101" spans="1:44" x14ac:dyDescent="0.2">
      <c r="A101" s="10"/>
      <c r="B101" s="10"/>
      <c r="C101" s="12"/>
      <c r="D101" s="10"/>
      <c r="E101" s="10"/>
      <c r="F101" s="17"/>
      <c r="G101" s="17"/>
      <c r="H101" s="10"/>
      <c r="I101" s="10"/>
      <c r="J101" s="10"/>
      <c r="K101" s="17"/>
      <c r="L101" s="10"/>
      <c r="M101" s="17"/>
      <c r="N101" s="17"/>
      <c r="O101" s="17"/>
      <c r="P101" s="17"/>
      <c r="Q101" s="10"/>
      <c r="R101" s="17"/>
      <c r="S101" s="17"/>
      <c r="T101" s="10"/>
      <c r="U101" s="21" t="str">
        <f t="shared" si="154"/>
        <v/>
      </c>
      <c r="V101" s="21" t="str">
        <f t="shared" si="155"/>
        <v/>
      </c>
      <c r="W101" s="21" t="str">
        <f t="shared" si="156"/>
        <v/>
      </c>
      <c r="X101" s="21" t="str">
        <f t="shared" si="157"/>
        <v/>
      </c>
      <c r="Y101" s="21" t="str">
        <f t="shared" si="158"/>
        <v/>
      </c>
      <c r="Z101" s="21" t="str">
        <f t="shared" si="159"/>
        <v/>
      </c>
      <c r="AA101" s="21" t="str">
        <f>IF(AJ101=1,"",MID(IF(ISNUMBER(SEARCH("E_INVALID_DATE",AP101))," | E_INVALID_DATE: "&amp;SUBSTITUTE(IFERROR(INDEX(nMSG_Text,MATCH("E_INVALID_DATE",nMSG_Code,0)),""),"[input]",""),"")&amp;IF(ISNUMBER(SEARCH("E_REVERSED_BOUNDS",AP101))," | E_REVERSED_BOUNDS: "&amp;SUBSTITUTE(IFERROR(INDEX(nMSG_Text,MATCH("E_REVERSED_BOUNDS",nMSG_Code,0)),""),"[input]",""),"")&amp;IF(ISNUMBER(SEARCH("E_DUPLICATE_ID",AP101))," | E_DUPLICATE_ID: "&amp;SUBSTITUTE(IFERROR(INDEX(nMSG_Text,MATCH("E_DUPLICATE_ID",nMSG_Code,0)),""),"[input]",""),"")&amp;IF(ISNUMBER(SEARCH("E_MISSING_LINK",AP101))," | E_MISSING_LINK: "&amp;SUBSTITUTE(IFERROR(INDEX(nMSG_Text,MATCH("E_MISSING_LINK",nMSG_Code,0)),""),"[input]",""),"")&amp;IF(ISNUMBER(SEARCH("E_MISSING_INPUT",AP101))," | E_MISSING_INPUT: "&amp;SUBSTITUTE(IFERROR(INDEX(nMSG_Text,MATCH("E_MISSING_INPUT",nMSG_Code,0)),""),"[input]",IF(AQ101="","an input",AQ101)),"")&amp;IF(ISNUMBER(SEARCH("E_INVALID_UNIT",AP101))," | E_INVALID_UNIT: "&amp;SUBSTITUTE(IFERROR(INDEX(nMSG_Text,MATCH("E_INVALID_UNIT",nMSG_Code,0)),""),"[input]",""),"")&amp;IF(ISNUMBER(SEARCH("E_NONPOSITIVE_PARAMETER",AP101))," | E_NONPOSITIVE_PARAMETER: "&amp;SUBSTITUTE(IFERROR(INDEX(nMSG_Text,MATCH("E_NONPOSITIVE_PARAMETER",nMSG_Code,0)),""),"[input]",""),"")&amp;IF(ISNUMBER(SEARCH("E_OUT_OF_RANGE",AP101))," | E_OUT_OF_RANGE: "&amp;SUBSTITUTE(IFERROR(INDEX(nMSG_Text,MATCH("E_OUT_OF_RANGE",nMSG_Code,0)),""),"[input]",""),"")&amp;IF(ISNUMBER(SEARCH("E_APPLICABILITY_UNCONFIRMED",AP101))," | E_APPLICABILITY_UNCONFIRMED: "&amp;SUBSTITUTE(IFERROR(INDEX(nMSG_Text,MATCH("E_APPLICABILITY_UNCONFIRMED",nMSG_Code,0)),""),"[input]",""),"")&amp;IF(ISNUMBER(SEARCH("E_CREATININE_STABILITY_UNCONFIRMED",AP101))," | E_CREATININE_STABILITY_UNCONFIRMED: "&amp;SUBSTITUTE(IFERROR(INDEX(nMSG_Text,MATCH("E_CREATININE_STABILITY_UNCONFIRMED",nMSG_Code,0)),""),"[input]",""),"")&amp;IF(ISNUMBER(SEARCH("E_OVERLAPPING_SEGMENTS",AP101))," | E_OVERLAPPING_SEGMENTS: "&amp;SUBSTITUTE(IFERROR(INDEX(nMSG_Text,MATCH("E_OVERLAPPING_SEGMENTS",nMSG_Code,0)),""),"[input]",""),"")&amp;IF(AR101=1,IF(TRUE," | W_BIOLOGIC_MODEL_CAUTION: "&amp;SUBSTITUTE(IFERROR(INDEX(nMSG_Text,MATCH("W_BIOLOGIC_MODEL_CAUTION",nMSG_Code,0)),""),"[input]",""),""),""),4,9999))</f>
        <v/>
      </c>
      <c r="AB101" s="21" t="str">
        <f t="shared" si="160"/>
        <v/>
      </c>
      <c r="AC101" s="21" t="str">
        <f t="shared" si="161"/>
        <v/>
      </c>
      <c r="AD101" s="21" t="str">
        <f t="shared" si="162"/>
        <v/>
      </c>
      <c r="AE101" s="21" t="str">
        <f t="shared" si="163"/>
        <v/>
      </c>
      <c r="AF101" s="21" t="str">
        <f t="shared" si="164"/>
        <v/>
      </c>
      <c r="AG101" s="21" t="str">
        <f t="shared" si="165"/>
        <v/>
      </c>
      <c r="AH101" s="21" t="str">
        <f t="shared" si="166"/>
        <v/>
      </c>
      <c r="AI101" s="21" t="str">
        <f t="shared" si="167"/>
        <v/>
      </c>
      <c r="AJ101" s="22">
        <f t="shared" si="168"/>
        <v>1</v>
      </c>
      <c r="AK101" s="21" t="str">
        <f t="shared" si="169"/>
        <v/>
      </c>
      <c r="AL101" s="21" t="str">
        <f t="shared" si="170"/>
        <v/>
      </c>
      <c r="AM101" s="22">
        <f t="shared" si="171"/>
        <v>0</v>
      </c>
      <c r="AN101" s="21" t="str">
        <f t="shared" si="172"/>
        <v/>
      </c>
      <c r="AO101" s="21" t="str">
        <f t="shared" si="173"/>
        <v/>
      </c>
      <c r="AP101" s="21" t="str">
        <f t="shared" si="174"/>
        <v/>
      </c>
      <c r="AQ101" s="21" t="str">
        <f t="shared" si="175"/>
        <v/>
      </c>
      <c r="AR101" s="22">
        <f t="shared" si="176"/>
        <v>0</v>
      </c>
    </row>
    <row r="102" spans="1:44" x14ac:dyDescent="0.2">
      <c r="A102" s="10"/>
      <c r="B102" s="10"/>
      <c r="C102" s="12"/>
      <c r="D102" s="10"/>
      <c r="E102" s="10"/>
      <c r="F102" s="17"/>
      <c r="G102" s="17"/>
      <c r="H102" s="10"/>
      <c r="I102" s="10"/>
      <c r="J102" s="10"/>
      <c r="K102" s="17"/>
      <c r="L102" s="10"/>
      <c r="M102" s="17"/>
      <c r="N102" s="17"/>
      <c r="O102" s="17"/>
      <c r="P102" s="17"/>
      <c r="Q102" s="10"/>
      <c r="R102" s="17"/>
      <c r="S102" s="17"/>
      <c r="T102" s="10"/>
      <c r="U102" s="21" t="str">
        <f t="shared" si="154"/>
        <v/>
      </c>
      <c r="V102" s="21" t="str">
        <f t="shared" si="155"/>
        <v/>
      </c>
      <c r="W102" s="21" t="str">
        <f t="shared" si="156"/>
        <v/>
      </c>
      <c r="X102" s="21" t="str">
        <f t="shared" si="157"/>
        <v/>
      </c>
      <c r="Y102" s="21" t="str">
        <f t="shared" si="158"/>
        <v/>
      </c>
      <c r="Z102" s="21" t="str">
        <f t="shared" si="159"/>
        <v/>
      </c>
      <c r="AA102" s="21" t="str">
        <f>IF(AJ102=1,"",MID(IF(ISNUMBER(SEARCH("E_INVALID_DATE",AP102))," | E_INVALID_DATE: "&amp;SUBSTITUTE(IFERROR(INDEX(nMSG_Text,MATCH("E_INVALID_DATE",nMSG_Code,0)),""),"[input]",""),"")&amp;IF(ISNUMBER(SEARCH("E_REVERSED_BOUNDS",AP102))," | E_REVERSED_BOUNDS: "&amp;SUBSTITUTE(IFERROR(INDEX(nMSG_Text,MATCH("E_REVERSED_BOUNDS",nMSG_Code,0)),""),"[input]",""),"")&amp;IF(ISNUMBER(SEARCH("E_DUPLICATE_ID",AP102))," | E_DUPLICATE_ID: "&amp;SUBSTITUTE(IFERROR(INDEX(nMSG_Text,MATCH("E_DUPLICATE_ID",nMSG_Code,0)),""),"[input]",""),"")&amp;IF(ISNUMBER(SEARCH("E_MISSING_LINK",AP102))," | E_MISSING_LINK: "&amp;SUBSTITUTE(IFERROR(INDEX(nMSG_Text,MATCH("E_MISSING_LINK",nMSG_Code,0)),""),"[input]",""),"")&amp;IF(ISNUMBER(SEARCH("E_MISSING_INPUT",AP102))," | E_MISSING_INPUT: "&amp;SUBSTITUTE(IFERROR(INDEX(nMSG_Text,MATCH("E_MISSING_INPUT",nMSG_Code,0)),""),"[input]",IF(AQ102="","an input",AQ102)),"")&amp;IF(ISNUMBER(SEARCH("E_INVALID_UNIT",AP102))," | E_INVALID_UNIT: "&amp;SUBSTITUTE(IFERROR(INDEX(nMSG_Text,MATCH("E_INVALID_UNIT",nMSG_Code,0)),""),"[input]",""),"")&amp;IF(ISNUMBER(SEARCH("E_NONPOSITIVE_PARAMETER",AP102))," | E_NONPOSITIVE_PARAMETER: "&amp;SUBSTITUTE(IFERROR(INDEX(nMSG_Text,MATCH("E_NONPOSITIVE_PARAMETER",nMSG_Code,0)),""),"[input]",""),"")&amp;IF(ISNUMBER(SEARCH("E_OUT_OF_RANGE",AP102))," | E_OUT_OF_RANGE: "&amp;SUBSTITUTE(IFERROR(INDEX(nMSG_Text,MATCH("E_OUT_OF_RANGE",nMSG_Code,0)),""),"[input]",""),"")&amp;IF(ISNUMBER(SEARCH("E_APPLICABILITY_UNCONFIRMED",AP102))," | E_APPLICABILITY_UNCONFIRMED: "&amp;SUBSTITUTE(IFERROR(INDEX(nMSG_Text,MATCH("E_APPLICABILITY_UNCONFIRMED",nMSG_Code,0)),""),"[input]",""),"")&amp;IF(ISNUMBER(SEARCH("E_CREATININE_STABILITY_UNCONFIRMED",AP102))," | E_CREATININE_STABILITY_UNCONFIRMED: "&amp;SUBSTITUTE(IFERROR(INDEX(nMSG_Text,MATCH("E_CREATININE_STABILITY_UNCONFIRMED",nMSG_Code,0)),""),"[input]",""),"")&amp;IF(ISNUMBER(SEARCH("E_OVERLAPPING_SEGMENTS",AP102))," | E_OVERLAPPING_SEGMENTS: "&amp;SUBSTITUTE(IFERROR(INDEX(nMSG_Text,MATCH("E_OVERLAPPING_SEGMENTS",nMSG_Code,0)),""),"[input]",""),"")&amp;IF(AR102=1,IF(TRUE," | W_BIOLOGIC_MODEL_CAUTION: "&amp;SUBSTITUTE(IFERROR(INDEX(nMSG_Text,MATCH("W_BIOLOGIC_MODEL_CAUTION",nMSG_Code,0)),""),"[input]",""),""),""),4,9999))</f>
        <v/>
      </c>
      <c r="AB102" s="21" t="str">
        <f t="shared" si="160"/>
        <v/>
      </c>
      <c r="AC102" s="21" t="str">
        <f t="shared" si="161"/>
        <v/>
      </c>
      <c r="AD102" s="21" t="str">
        <f t="shared" si="162"/>
        <v/>
      </c>
      <c r="AE102" s="21" t="str">
        <f t="shared" si="163"/>
        <v/>
      </c>
      <c r="AF102" s="21" t="str">
        <f t="shared" si="164"/>
        <v/>
      </c>
      <c r="AG102" s="21" t="str">
        <f t="shared" si="165"/>
        <v/>
      </c>
      <c r="AH102" s="21" t="str">
        <f t="shared" si="166"/>
        <v/>
      </c>
      <c r="AI102" s="21" t="str">
        <f t="shared" si="167"/>
        <v/>
      </c>
      <c r="AJ102" s="22">
        <f t="shared" si="168"/>
        <v>1</v>
      </c>
      <c r="AK102" s="21" t="str">
        <f t="shared" si="169"/>
        <v/>
      </c>
      <c r="AL102" s="21" t="str">
        <f t="shared" si="170"/>
        <v/>
      </c>
      <c r="AM102" s="22">
        <f t="shared" si="171"/>
        <v>0</v>
      </c>
      <c r="AN102" s="21" t="str">
        <f t="shared" si="172"/>
        <v/>
      </c>
      <c r="AO102" s="21" t="str">
        <f t="shared" si="173"/>
        <v/>
      </c>
      <c r="AP102" s="21" t="str">
        <f t="shared" si="174"/>
        <v/>
      </c>
      <c r="AQ102" s="21" t="str">
        <f t="shared" si="175"/>
        <v/>
      </c>
      <c r="AR102" s="22">
        <f t="shared" si="176"/>
        <v>0</v>
      </c>
    </row>
    <row r="103" spans="1:44" x14ac:dyDescent="0.2">
      <c r="A103" s="10"/>
      <c r="B103" s="10"/>
      <c r="C103" s="12"/>
      <c r="D103" s="10"/>
      <c r="E103" s="10"/>
      <c r="F103" s="17"/>
      <c r="G103" s="17"/>
      <c r="H103" s="10"/>
      <c r="I103" s="10"/>
      <c r="J103" s="10"/>
      <c r="K103" s="17"/>
      <c r="L103" s="10"/>
      <c r="M103" s="17"/>
      <c r="N103" s="17"/>
      <c r="O103" s="17"/>
      <c r="P103" s="17"/>
      <c r="Q103" s="10"/>
      <c r="R103" s="17"/>
      <c r="S103" s="17"/>
      <c r="T103" s="10"/>
      <c r="U103" s="21" t="str">
        <f t="shared" si="154"/>
        <v/>
      </c>
      <c r="V103" s="21" t="str">
        <f t="shared" si="155"/>
        <v/>
      </c>
      <c r="W103" s="21" t="str">
        <f t="shared" si="156"/>
        <v/>
      </c>
      <c r="X103" s="21" t="str">
        <f t="shared" si="157"/>
        <v/>
      </c>
      <c r="Y103" s="21" t="str">
        <f t="shared" si="158"/>
        <v/>
      </c>
      <c r="Z103" s="21" t="str">
        <f t="shared" si="159"/>
        <v/>
      </c>
      <c r="AA103" s="21" t="str">
        <f>IF(AJ103=1,"",MID(IF(ISNUMBER(SEARCH("E_INVALID_DATE",AP103))," | E_INVALID_DATE: "&amp;SUBSTITUTE(IFERROR(INDEX(nMSG_Text,MATCH("E_INVALID_DATE",nMSG_Code,0)),""),"[input]",""),"")&amp;IF(ISNUMBER(SEARCH("E_REVERSED_BOUNDS",AP103))," | E_REVERSED_BOUNDS: "&amp;SUBSTITUTE(IFERROR(INDEX(nMSG_Text,MATCH("E_REVERSED_BOUNDS",nMSG_Code,0)),""),"[input]",""),"")&amp;IF(ISNUMBER(SEARCH("E_DUPLICATE_ID",AP103))," | E_DUPLICATE_ID: "&amp;SUBSTITUTE(IFERROR(INDEX(nMSG_Text,MATCH("E_DUPLICATE_ID",nMSG_Code,0)),""),"[input]",""),"")&amp;IF(ISNUMBER(SEARCH("E_MISSING_LINK",AP103))," | E_MISSING_LINK: "&amp;SUBSTITUTE(IFERROR(INDEX(nMSG_Text,MATCH("E_MISSING_LINK",nMSG_Code,0)),""),"[input]",""),"")&amp;IF(ISNUMBER(SEARCH("E_MISSING_INPUT",AP103))," | E_MISSING_INPUT: "&amp;SUBSTITUTE(IFERROR(INDEX(nMSG_Text,MATCH("E_MISSING_INPUT",nMSG_Code,0)),""),"[input]",IF(AQ103="","an input",AQ103)),"")&amp;IF(ISNUMBER(SEARCH("E_INVALID_UNIT",AP103))," | E_INVALID_UNIT: "&amp;SUBSTITUTE(IFERROR(INDEX(nMSG_Text,MATCH("E_INVALID_UNIT",nMSG_Code,0)),""),"[input]",""),"")&amp;IF(ISNUMBER(SEARCH("E_NONPOSITIVE_PARAMETER",AP103))," | E_NONPOSITIVE_PARAMETER: "&amp;SUBSTITUTE(IFERROR(INDEX(nMSG_Text,MATCH("E_NONPOSITIVE_PARAMETER",nMSG_Code,0)),""),"[input]",""),"")&amp;IF(ISNUMBER(SEARCH("E_OUT_OF_RANGE",AP103))," | E_OUT_OF_RANGE: "&amp;SUBSTITUTE(IFERROR(INDEX(nMSG_Text,MATCH("E_OUT_OF_RANGE",nMSG_Code,0)),""),"[input]",""),"")&amp;IF(ISNUMBER(SEARCH("E_APPLICABILITY_UNCONFIRMED",AP103))," | E_APPLICABILITY_UNCONFIRMED: "&amp;SUBSTITUTE(IFERROR(INDEX(nMSG_Text,MATCH("E_APPLICABILITY_UNCONFIRMED",nMSG_Code,0)),""),"[input]",""),"")&amp;IF(ISNUMBER(SEARCH("E_CREATININE_STABILITY_UNCONFIRMED",AP103))," | E_CREATININE_STABILITY_UNCONFIRMED: "&amp;SUBSTITUTE(IFERROR(INDEX(nMSG_Text,MATCH("E_CREATININE_STABILITY_UNCONFIRMED",nMSG_Code,0)),""),"[input]",""),"")&amp;IF(ISNUMBER(SEARCH("E_OVERLAPPING_SEGMENTS",AP103))," | E_OVERLAPPING_SEGMENTS: "&amp;SUBSTITUTE(IFERROR(INDEX(nMSG_Text,MATCH("E_OVERLAPPING_SEGMENTS",nMSG_Code,0)),""),"[input]",""),"")&amp;IF(AR103=1,IF(TRUE," | W_BIOLOGIC_MODEL_CAUTION: "&amp;SUBSTITUTE(IFERROR(INDEX(nMSG_Text,MATCH("W_BIOLOGIC_MODEL_CAUTION",nMSG_Code,0)),""),"[input]",""),""),""),4,9999))</f>
        <v/>
      </c>
      <c r="AB103" s="21" t="str">
        <f t="shared" si="160"/>
        <v/>
      </c>
      <c r="AC103" s="21" t="str">
        <f t="shared" si="161"/>
        <v/>
      </c>
      <c r="AD103" s="21" t="str">
        <f t="shared" si="162"/>
        <v/>
      </c>
      <c r="AE103" s="21" t="str">
        <f t="shared" si="163"/>
        <v/>
      </c>
      <c r="AF103" s="21" t="str">
        <f t="shared" si="164"/>
        <v/>
      </c>
      <c r="AG103" s="21" t="str">
        <f t="shared" si="165"/>
        <v/>
      </c>
      <c r="AH103" s="21" t="str">
        <f t="shared" si="166"/>
        <v/>
      </c>
      <c r="AI103" s="21" t="str">
        <f t="shared" si="167"/>
        <v/>
      </c>
      <c r="AJ103" s="22">
        <f t="shared" si="168"/>
        <v>1</v>
      </c>
      <c r="AK103" s="21" t="str">
        <f t="shared" si="169"/>
        <v/>
      </c>
      <c r="AL103" s="21" t="str">
        <f t="shared" si="170"/>
        <v/>
      </c>
      <c r="AM103" s="22">
        <f t="shared" si="171"/>
        <v>0</v>
      </c>
      <c r="AN103" s="21" t="str">
        <f t="shared" si="172"/>
        <v/>
      </c>
      <c r="AO103" s="21" t="str">
        <f t="shared" si="173"/>
        <v/>
      </c>
      <c r="AP103" s="21" t="str">
        <f t="shared" si="174"/>
        <v/>
      </c>
      <c r="AQ103" s="21" t="str">
        <f t="shared" si="175"/>
        <v/>
      </c>
      <c r="AR103" s="22">
        <f t="shared" si="176"/>
        <v>0</v>
      </c>
    </row>
    <row r="104" spans="1:44" x14ac:dyDescent="0.2">
      <c r="A104" s="10"/>
      <c r="B104" s="10"/>
      <c r="C104" s="12"/>
      <c r="D104" s="10"/>
      <c r="E104" s="10"/>
      <c r="F104" s="17"/>
      <c r="G104" s="17"/>
      <c r="H104" s="10"/>
      <c r="I104" s="10"/>
      <c r="J104" s="10"/>
      <c r="K104" s="17"/>
      <c r="L104" s="10"/>
      <c r="M104" s="17"/>
      <c r="N104" s="17"/>
      <c r="O104" s="17"/>
      <c r="P104" s="17"/>
      <c r="Q104" s="10"/>
      <c r="R104" s="17"/>
      <c r="S104" s="17"/>
      <c r="T104" s="10"/>
      <c r="U104" s="21" t="str">
        <f t="shared" si="154"/>
        <v/>
      </c>
      <c r="V104" s="21" t="str">
        <f t="shared" si="155"/>
        <v/>
      </c>
      <c r="W104" s="21" t="str">
        <f t="shared" si="156"/>
        <v/>
      </c>
      <c r="X104" s="21" t="str">
        <f t="shared" si="157"/>
        <v/>
      </c>
      <c r="Y104" s="21" t="str">
        <f t="shared" si="158"/>
        <v/>
      </c>
      <c r="Z104" s="21" t="str">
        <f t="shared" si="159"/>
        <v/>
      </c>
      <c r="AA104" s="21" t="str">
        <f>IF(AJ104=1,"",MID(IF(ISNUMBER(SEARCH("E_INVALID_DATE",AP104))," | E_INVALID_DATE: "&amp;SUBSTITUTE(IFERROR(INDEX(nMSG_Text,MATCH("E_INVALID_DATE",nMSG_Code,0)),""),"[input]",""),"")&amp;IF(ISNUMBER(SEARCH("E_REVERSED_BOUNDS",AP104))," | E_REVERSED_BOUNDS: "&amp;SUBSTITUTE(IFERROR(INDEX(nMSG_Text,MATCH("E_REVERSED_BOUNDS",nMSG_Code,0)),""),"[input]",""),"")&amp;IF(ISNUMBER(SEARCH("E_DUPLICATE_ID",AP104))," | E_DUPLICATE_ID: "&amp;SUBSTITUTE(IFERROR(INDEX(nMSG_Text,MATCH("E_DUPLICATE_ID",nMSG_Code,0)),""),"[input]",""),"")&amp;IF(ISNUMBER(SEARCH("E_MISSING_LINK",AP104))," | E_MISSING_LINK: "&amp;SUBSTITUTE(IFERROR(INDEX(nMSG_Text,MATCH("E_MISSING_LINK",nMSG_Code,0)),""),"[input]",""),"")&amp;IF(ISNUMBER(SEARCH("E_MISSING_INPUT",AP104))," | E_MISSING_INPUT: "&amp;SUBSTITUTE(IFERROR(INDEX(nMSG_Text,MATCH("E_MISSING_INPUT",nMSG_Code,0)),""),"[input]",IF(AQ104="","an input",AQ104)),"")&amp;IF(ISNUMBER(SEARCH("E_INVALID_UNIT",AP104))," | E_INVALID_UNIT: "&amp;SUBSTITUTE(IFERROR(INDEX(nMSG_Text,MATCH("E_INVALID_UNIT",nMSG_Code,0)),""),"[input]",""),"")&amp;IF(ISNUMBER(SEARCH("E_NONPOSITIVE_PARAMETER",AP104))," | E_NONPOSITIVE_PARAMETER: "&amp;SUBSTITUTE(IFERROR(INDEX(nMSG_Text,MATCH("E_NONPOSITIVE_PARAMETER",nMSG_Code,0)),""),"[input]",""),"")&amp;IF(ISNUMBER(SEARCH("E_OUT_OF_RANGE",AP104))," | E_OUT_OF_RANGE: "&amp;SUBSTITUTE(IFERROR(INDEX(nMSG_Text,MATCH("E_OUT_OF_RANGE",nMSG_Code,0)),""),"[input]",""),"")&amp;IF(ISNUMBER(SEARCH("E_APPLICABILITY_UNCONFIRMED",AP104))," | E_APPLICABILITY_UNCONFIRMED: "&amp;SUBSTITUTE(IFERROR(INDEX(nMSG_Text,MATCH("E_APPLICABILITY_UNCONFIRMED",nMSG_Code,0)),""),"[input]",""),"")&amp;IF(ISNUMBER(SEARCH("E_CREATININE_STABILITY_UNCONFIRMED",AP104))," | E_CREATININE_STABILITY_UNCONFIRMED: "&amp;SUBSTITUTE(IFERROR(INDEX(nMSG_Text,MATCH("E_CREATININE_STABILITY_UNCONFIRMED",nMSG_Code,0)),""),"[input]",""),"")&amp;IF(ISNUMBER(SEARCH("E_OVERLAPPING_SEGMENTS",AP104))," | E_OVERLAPPING_SEGMENTS: "&amp;SUBSTITUTE(IFERROR(INDEX(nMSG_Text,MATCH("E_OVERLAPPING_SEGMENTS",nMSG_Code,0)),""),"[input]",""),"")&amp;IF(AR104=1,IF(TRUE," | W_BIOLOGIC_MODEL_CAUTION: "&amp;SUBSTITUTE(IFERROR(INDEX(nMSG_Text,MATCH("W_BIOLOGIC_MODEL_CAUTION",nMSG_Code,0)),""),"[input]",""),""),""),4,9999))</f>
        <v/>
      </c>
      <c r="AB104" s="21" t="str">
        <f t="shared" si="160"/>
        <v/>
      </c>
      <c r="AC104" s="21" t="str">
        <f t="shared" si="161"/>
        <v/>
      </c>
      <c r="AD104" s="21" t="str">
        <f t="shared" si="162"/>
        <v/>
      </c>
      <c r="AE104" s="21" t="str">
        <f t="shared" si="163"/>
        <v/>
      </c>
      <c r="AF104" s="21" t="str">
        <f t="shared" si="164"/>
        <v/>
      </c>
      <c r="AG104" s="21" t="str">
        <f t="shared" si="165"/>
        <v/>
      </c>
      <c r="AH104" s="21" t="str">
        <f t="shared" si="166"/>
        <v/>
      </c>
      <c r="AI104" s="21" t="str">
        <f t="shared" si="167"/>
        <v/>
      </c>
      <c r="AJ104" s="22">
        <f t="shared" si="168"/>
        <v>1</v>
      </c>
      <c r="AK104" s="21" t="str">
        <f t="shared" si="169"/>
        <v/>
      </c>
      <c r="AL104" s="21" t="str">
        <f t="shared" si="170"/>
        <v/>
      </c>
      <c r="AM104" s="22">
        <f t="shared" si="171"/>
        <v>0</v>
      </c>
      <c r="AN104" s="21" t="str">
        <f t="shared" si="172"/>
        <v/>
      </c>
      <c r="AO104" s="21" t="str">
        <f t="shared" si="173"/>
        <v/>
      </c>
      <c r="AP104" s="21" t="str">
        <f t="shared" si="174"/>
        <v/>
      </c>
      <c r="AQ104" s="21" t="str">
        <f t="shared" si="175"/>
        <v/>
      </c>
      <c r="AR104" s="22">
        <f t="shared" si="176"/>
        <v>0</v>
      </c>
    </row>
    <row r="105" spans="1:44" x14ac:dyDescent="0.2">
      <c r="A105" s="10"/>
      <c r="B105" s="10"/>
      <c r="C105" s="12"/>
      <c r="D105" s="10"/>
      <c r="E105" s="10"/>
      <c r="F105" s="17"/>
      <c r="G105" s="17"/>
      <c r="H105" s="10"/>
      <c r="I105" s="10"/>
      <c r="J105" s="10"/>
      <c r="K105" s="17"/>
      <c r="L105" s="10"/>
      <c r="M105" s="17"/>
      <c r="N105" s="17"/>
      <c r="O105" s="17"/>
      <c r="P105" s="17"/>
      <c r="Q105" s="10"/>
      <c r="R105" s="17"/>
      <c r="S105" s="17"/>
      <c r="T105" s="10"/>
      <c r="U105" s="21" t="str">
        <f t="shared" si="154"/>
        <v/>
      </c>
      <c r="V105" s="21" t="str">
        <f t="shared" si="155"/>
        <v/>
      </c>
      <c r="W105" s="21" t="str">
        <f t="shared" si="156"/>
        <v/>
      </c>
      <c r="X105" s="21" t="str">
        <f t="shared" si="157"/>
        <v/>
      </c>
      <c r="Y105" s="21" t="str">
        <f t="shared" si="158"/>
        <v/>
      </c>
      <c r="Z105" s="21" t="str">
        <f t="shared" si="159"/>
        <v/>
      </c>
      <c r="AA105" s="21" t="str">
        <f>IF(AJ105=1,"",MID(IF(ISNUMBER(SEARCH("E_INVALID_DATE",AP105))," | E_INVALID_DATE: "&amp;SUBSTITUTE(IFERROR(INDEX(nMSG_Text,MATCH("E_INVALID_DATE",nMSG_Code,0)),""),"[input]",""),"")&amp;IF(ISNUMBER(SEARCH("E_REVERSED_BOUNDS",AP105))," | E_REVERSED_BOUNDS: "&amp;SUBSTITUTE(IFERROR(INDEX(nMSG_Text,MATCH("E_REVERSED_BOUNDS",nMSG_Code,0)),""),"[input]",""),"")&amp;IF(ISNUMBER(SEARCH("E_DUPLICATE_ID",AP105))," | E_DUPLICATE_ID: "&amp;SUBSTITUTE(IFERROR(INDEX(nMSG_Text,MATCH("E_DUPLICATE_ID",nMSG_Code,0)),""),"[input]",""),"")&amp;IF(ISNUMBER(SEARCH("E_MISSING_LINK",AP105))," | E_MISSING_LINK: "&amp;SUBSTITUTE(IFERROR(INDEX(nMSG_Text,MATCH("E_MISSING_LINK",nMSG_Code,0)),""),"[input]",""),"")&amp;IF(ISNUMBER(SEARCH("E_MISSING_INPUT",AP105))," | E_MISSING_INPUT: "&amp;SUBSTITUTE(IFERROR(INDEX(nMSG_Text,MATCH("E_MISSING_INPUT",nMSG_Code,0)),""),"[input]",IF(AQ105="","an input",AQ105)),"")&amp;IF(ISNUMBER(SEARCH("E_INVALID_UNIT",AP105))," | E_INVALID_UNIT: "&amp;SUBSTITUTE(IFERROR(INDEX(nMSG_Text,MATCH("E_INVALID_UNIT",nMSG_Code,0)),""),"[input]",""),"")&amp;IF(ISNUMBER(SEARCH("E_NONPOSITIVE_PARAMETER",AP105))," | E_NONPOSITIVE_PARAMETER: "&amp;SUBSTITUTE(IFERROR(INDEX(nMSG_Text,MATCH("E_NONPOSITIVE_PARAMETER",nMSG_Code,0)),""),"[input]",""),"")&amp;IF(ISNUMBER(SEARCH("E_OUT_OF_RANGE",AP105))," | E_OUT_OF_RANGE: "&amp;SUBSTITUTE(IFERROR(INDEX(nMSG_Text,MATCH("E_OUT_OF_RANGE",nMSG_Code,0)),""),"[input]",""),"")&amp;IF(ISNUMBER(SEARCH("E_APPLICABILITY_UNCONFIRMED",AP105))," | E_APPLICABILITY_UNCONFIRMED: "&amp;SUBSTITUTE(IFERROR(INDEX(nMSG_Text,MATCH("E_APPLICABILITY_UNCONFIRMED",nMSG_Code,0)),""),"[input]",""),"")&amp;IF(ISNUMBER(SEARCH("E_CREATININE_STABILITY_UNCONFIRMED",AP105))," | E_CREATININE_STABILITY_UNCONFIRMED: "&amp;SUBSTITUTE(IFERROR(INDEX(nMSG_Text,MATCH("E_CREATININE_STABILITY_UNCONFIRMED",nMSG_Code,0)),""),"[input]",""),"")&amp;IF(ISNUMBER(SEARCH("E_OVERLAPPING_SEGMENTS",AP105))," | E_OVERLAPPING_SEGMENTS: "&amp;SUBSTITUTE(IFERROR(INDEX(nMSG_Text,MATCH("E_OVERLAPPING_SEGMENTS",nMSG_Code,0)),""),"[input]",""),"")&amp;IF(AR105=1,IF(TRUE," | W_BIOLOGIC_MODEL_CAUTION: "&amp;SUBSTITUTE(IFERROR(INDEX(nMSG_Text,MATCH("W_BIOLOGIC_MODEL_CAUTION",nMSG_Code,0)),""),"[input]",""),""),""),4,9999))</f>
        <v/>
      </c>
      <c r="AB105" s="21" t="str">
        <f t="shared" si="160"/>
        <v/>
      </c>
      <c r="AC105" s="21" t="str">
        <f t="shared" si="161"/>
        <v/>
      </c>
      <c r="AD105" s="21" t="str">
        <f t="shared" si="162"/>
        <v/>
      </c>
      <c r="AE105" s="21" t="str">
        <f t="shared" si="163"/>
        <v/>
      </c>
      <c r="AF105" s="21" t="str">
        <f t="shared" si="164"/>
        <v/>
      </c>
      <c r="AG105" s="21" t="str">
        <f t="shared" si="165"/>
        <v/>
      </c>
      <c r="AH105" s="21" t="str">
        <f t="shared" si="166"/>
        <v/>
      </c>
      <c r="AI105" s="21" t="str">
        <f t="shared" si="167"/>
        <v/>
      </c>
      <c r="AJ105" s="22">
        <f t="shared" si="168"/>
        <v>1</v>
      </c>
      <c r="AK105" s="21" t="str">
        <f t="shared" si="169"/>
        <v/>
      </c>
      <c r="AL105" s="21" t="str">
        <f t="shared" si="170"/>
        <v/>
      </c>
      <c r="AM105" s="22">
        <f t="shared" si="171"/>
        <v>0</v>
      </c>
      <c r="AN105" s="21" t="str">
        <f t="shared" si="172"/>
        <v/>
      </c>
      <c r="AO105" s="21" t="str">
        <f t="shared" si="173"/>
        <v/>
      </c>
      <c r="AP105" s="21" t="str">
        <f t="shared" si="174"/>
        <v/>
      </c>
      <c r="AQ105" s="21" t="str">
        <f t="shared" si="175"/>
        <v/>
      </c>
      <c r="AR105" s="22">
        <f t="shared" si="176"/>
        <v>0</v>
      </c>
    </row>
    <row r="106" spans="1:44" x14ac:dyDescent="0.2">
      <c r="A106" s="10"/>
      <c r="B106" s="10"/>
      <c r="C106" s="12"/>
      <c r="D106" s="10"/>
      <c r="E106" s="10"/>
      <c r="F106" s="17"/>
      <c r="G106" s="17"/>
      <c r="H106" s="10"/>
      <c r="I106" s="10"/>
      <c r="J106" s="10"/>
      <c r="K106" s="17"/>
      <c r="L106" s="10"/>
      <c r="M106" s="17"/>
      <c r="N106" s="17"/>
      <c r="O106" s="17"/>
      <c r="P106" s="17"/>
      <c r="Q106" s="10"/>
      <c r="R106" s="17"/>
      <c r="S106" s="17"/>
      <c r="T106" s="10"/>
      <c r="U106" s="21" t="str">
        <f t="shared" si="154"/>
        <v/>
      </c>
      <c r="V106" s="21" t="str">
        <f t="shared" si="155"/>
        <v/>
      </c>
      <c r="W106" s="21" t="str">
        <f t="shared" si="156"/>
        <v/>
      </c>
      <c r="X106" s="21" t="str">
        <f t="shared" si="157"/>
        <v/>
      </c>
      <c r="Y106" s="21" t="str">
        <f t="shared" si="158"/>
        <v/>
      </c>
      <c r="Z106" s="21" t="str">
        <f t="shared" si="159"/>
        <v/>
      </c>
      <c r="AA106" s="21" t="str">
        <f>IF(AJ106=1,"",MID(IF(ISNUMBER(SEARCH("E_INVALID_DATE",AP106))," | E_INVALID_DATE: "&amp;SUBSTITUTE(IFERROR(INDEX(nMSG_Text,MATCH("E_INVALID_DATE",nMSG_Code,0)),""),"[input]",""),"")&amp;IF(ISNUMBER(SEARCH("E_REVERSED_BOUNDS",AP106))," | E_REVERSED_BOUNDS: "&amp;SUBSTITUTE(IFERROR(INDEX(nMSG_Text,MATCH("E_REVERSED_BOUNDS",nMSG_Code,0)),""),"[input]",""),"")&amp;IF(ISNUMBER(SEARCH("E_DUPLICATE_ID",AP106))," | E_DUPLICATE_ID: "&amp;SUBSTITUTE(IFERROR(INDEX(nMSG_Text,MATCH("E_DUPLICATE_ID",nMSG_Code,0)),""),"[input]",""),"")&amp;IF(ISNUMBER(SEARCH("E_MISSING_LINK",AP106))," | E_MISSING_LINK: "&amp;SUBSTITUTE(IFERROR(INDEX(nMSG_Text,MATCH("E_MISSING_LINK",nMSG_Code,0)),""),"[input]",""),"")&amp;IF(ISNUMBER(SEARCH("E_MISSING_INPUT",AP106))," | E_MISSING_INPUT: "&amp;SUBSTITUTE(IFERROR(INDEX(nMSG_Text,MATCH("E_MISSING_INPUT",nMSG_Code,0)),""),"[input]",IF(AQ106="","an input",AQ106)),"")&amp;IF(ISNUMBER(SEARCH("E_INVALID_UNIT",AP106))," | E_INVALID_UNIT: "&amp;SUBSTITUTE(IFERROR(INDEX(nMSG_Text,MATCH("E_INVALID_UNIT",nMSG_Code,0)),""),"[input]",""),"")&amp;IF(ISNUMBER(SEARCH("E_NONPOSITIVE_PARAMETER",AP106))," | E_NONPOSITIVE_PARAMETER: "&amp;SUBSTITUTE(IFERROR(INDEX(nMSG_Text,MATCH("E_NONPOSITIVE_PARAMETER",nMSG_Code,0)),""),"[input]",""),"")&amp;IF(ISNUMBER(SEARCH("E_OUT_OF_RANGE",AP106))," | E_OUT_OF_RANGE: "&amp;SUBSTITUTE(IFERROR(INDEX(nMSG_Text,MATCH("E_OUT_OF_RANGE",nMSG_Code,0)),""),"[input]",""),"")&amp;IF(ISNUMBER(SEARCH("E_APPLICABILITY_UNCONFIRMED",AP106))," | E_APPLICABILITY_UNCONFIRMED: "&amp;SUBSTITUTE(IFERROR(INDEX(nMSG_Text,MATCH("E_APPLICABILITY_UNCONFIRMED",nMSG_Code,0)),""),"[input]",""),"")&amp;IF(ISNUMBER(SEARCH("E_CREATININE_STABILITY_UNCONFIRMED",AP106))," | E_CREATININE_STABILITY_UNCONFIRMED: "&amp;SUBSTITUTE(IFERROR(INDEX(nMSG_Text,MATCH("E_CREATININE_STABILITY_UNCONFIRMED",nMSG_Code,0)),""),"[input]",""),"")&amp;IF(ISNUMBER(SEARCH("E_OVERLAPPING_SEGMENTS",AP106))," | E_OVERLAPPING_SEGMENTS: "&amp;SUBSTITUTE(IFERROR(INDEX(nMSG_Text,MATCH("E_OVERLAPPING_SEGMENTS",nMSG_Code,0)),""),"[input]",""),"")&amp;IF(AR106=1,IF(TRUE," | W_BIOLOGIC_MODEL_CAUTION: "&amp;SUBSTITUTE(IFERROR(INDEX(nMSG_Text,MATCH("W_BIOLOGIC_MODEL_CAUTION",nMSG_Code,0)),""),"[input]",""),""),""),4,9999))</f>
        <v/>
      </c>
      <c r="AB106" s="21" t="str">
        <f t="shared" si="160"/>
        <v/>
      </c>
      <c r="AC106" s="21" t="str">
        <f t="shared" si="161"/>
        <v/>
      </c>
      <c r="AD106" s="21" t="str">
        <f t="shared" si="162"/>
        <v/>
      </c>
      <c r="AE106" s="21" t="str">
        <f t="shared" si="163"/>
        <v/>
      </c>
      <c r="AF106" s="21" t="str">
        <f t="shared" si="164"/>
        <v/>
      </c>
      <c r="AG106" s="21" t="str">
        <f t="shared" si="165"/>
        <v/>
      </c>
      <c r="AH106" s="21" t="str">
        <f t="shared" si="166"/>
        <v/>
      </c>
      <c r="AI106" s="21" t="str">
        <f t="shared" si="167"/>
        <v/>
      </c>
      <c r="AJ106" s="22">
        <f t="shared" si="168"/>
        <v>1</v>
      </c>
      <c r="AK106" s="21" t="str">
        <f t="shared" si="169"/>
        <v/>
      </c>
      <c r="AL106" s="21" t="str">
        <f t="shared" si="170"/>
        <v/>
      </c>
      <c r="AM106" s="22">
        <f t="shared" si="171"/>
        <v>0</v>
      </c>
      <c r="AN106" s="21" t="str">
        <f t="shared" si="172"/>
        <v/>
      </c>
      <c r="AO106" s="21" t="str">
        <f t="shared" si="173"/>
        <v/>
      </c>
      <c r="AP106" s="21" t="str">
        <f t="shared" si="174"/>
        <v/>
      </c>
      <c r="AQ106" s="21" t="str">
        <f t="shared" si="175"/>
        <v/>
      </c>
      <c r="AR106" s="22">
        <f t="shared" si="176"/>
        <v>0</v>
      </c>
    </row>
    <row r="107" spans="1:44" x14ac:dyDescent="0.2">
      <c r="A107" s="10"/>
      <c r="B107" s="10"/>
      <c r="C107" s="12"/>
      <c r="D107" s="10"/>
      <c r="E107" s="10"/>
      <c r="F107" s="17"/>
      <c r="G107" s="17"/>
      <c r="H107" s="10"/>
      <c r="I107" s="10"/>
      <c r="J107" s="10"/>
      <c r="K107" s="17"/>
      <c r="L107" s="10"/>
      <c r="M107" s="17"/>
      <c r="N107" s="17"/>
      <c r="O107" s="17"/>
      <c r="P107" s="17"/>
      <c r="Q107" s="10"/>
      <c r="R107" s="17"/>
      <c r="S107" s="17"/>
      <c r="T107" s="10"/>
      <c r="U107" s="21" t="str">
        <f t="shared" si="154"/>
        <v/>
      </c>
      <c r="V107" s="21" t="str">
        <f t="shared" si="155"/>
        <v/>
      </c>
      <c r="W107" s="21" t="str">
        <f t="shared" si="156"/>
        <v/>
      </c>
      <c r="X107" s="21" t="str">
        <f t="shared" si="157"/>
        <v/>
      </c>
      <c r="Y107" s="21" t="str">
        <f t="shared" si="158"/>
        <v/>
      </c>
      <c r="Z107" s="21" t="str">
        <f t="shared" si="159"/>
        <v/>
      </c>
      <c r="AA107" s="21" t="str">
        <f>IF(AJ107=1,"",MID(IF(ISNUMBER(SEARCH("E_INVALID_DATE",AP107))," | E_INVALID_DATE: "&amp;SUBSTITUTE(IFERROR(INDEX(nMSG_Text,MATCH("E_INVALID_DATE",nMSG_Code,0)),""),"[input]",""),"")&amp;IF(ISNUMBER(SEARCH("E_REVERSED_BOUNDS",AP107))," | E_REVERSED_BOUNDS: "&amp;SUBSTITUTE(IFERROR(INDEX(nMSG_Text,MATCH("E_REVERSED_BOUNDS",nMSG_Code,0)),""),"[input]",""),"")&amp;IF(ISNUMBER(SEARCH("E_DUPLICATE_ID",AP107))," | E_DUPLICATE_ID: "&amp;SUBSTITUTE(IFERROR(INDEX(nMSG_Text,MATCH("E_DUPLICATE_ID",nMSG_Code,0)),""),"[input]",""),"")&amp;IF(ISNUMBER(SEARCH("E_MISSING_LINK",AP107))," | E_MISSING_LINK: "&amp;SUBSTITUTE(IFERROR(INDEX(nMSG_Text,MATCH("E_MISSING_LINK",nMSG_Code,0)),""),"[input]",""),"")&amp;IF(ISNUMBER(SEARCH("E_MISSING_INPUT",AP107))," | E_MISSING_INPUT: "&amp;SUBSTITUTE(IFERROR(INDEX(nMSG_Text,MATCH("E_MISSING_INPUT",nMSG_Code,0)),""),"[input]",IF(AQ107="","an input",AQ107)),"")&amp;IF(ISNUMBER(SEARCH("E_INVALID_UNIT",AP107))," | E_INVALID_UNIT: "&amp;SUBSTITUTE(IFERROR(INDEX(nMSG_Text,MATCH("E_INVALID_UNIT",nMSG_Code,0)),""),"[input]",""),"")&amp;IF(ISNUMBER(SEARCH("E_NONPOSITIVE_PARAMETER",AP107))," | E_NONPOSITIVE_PARAMETER: "&amp;SUBSTITUTE(IFERROR(INDEX(nMSG_Text,MATCH("E_NONPOSITIVE_PARAMETER",nMSG_Code,0)),""),"[input]",""),"")&amp;IF(ISNUMBER(SEARCH("E_OUT_OF_RANGE",AP107))," | E_OUT_OF_RANGE: "&amp;SUBSTITUTE(IFERROR(INDEX(nMSG_Text,MATCH("E_OUT_OF_RANGE",nMSG_Code,0)),""),"[input]",""),"")&amp;IF(ISNUMBER(SEARCH("E_APPLICABILITY_UNCONFIRMED",AP107))," | E_APPLICABILITY_UNCONFIRMED: "&amp;SUBSTITUTE(IFERROR(INDEX(nMSG_Text,MATCH("E_APPLICABILITY_UNCONFIRMED",nMSG_Code,0)),""),"[input]",""),"")&amp;IF(ISNUMBER(SEARCH("E_CREATININE_STABILITY_UNCONFIRMED",AP107))," | E_CREATININE_STABILITY_UNCONFIRMED: "&amp;SUBSTITUTE(IFERROR(INDEX(nMSG_Text,MATCH("E_CREATININE_STABILITY_UNCONFIRMED",nMSG_Code,0)),""),"[input]",""),"")&amp;IF(ISNUMBER(SEARCH("E_OVERLAPPING_SEGMENTS",AP107))," | E_OVERLAPPING_SEGMENTS: "&amp;SUBSTITUTE(IFERROR(INDEX(nMSG_Text,MATCH("E_OVERLAPPING_SEGMENTS",nMSG_Code,0)),""),"[input]",""),"")&amp;IF(AR107=1,IF(TRUE," | W_BIOLOGIC_MODEL_CAUTION: "&amp;SUBSTITUTE(IFERROR(INDEX(nMSG_Text,MATCH("W_BIOLOGIC_MODEL_CAUTION",nMSG_Code,0)),""),"[input]",""),""),""),4,9999))</f>
        <v/>
      </c>
      <c r="AB107" s="21" t="str">
        <f t="shared" si="160"/>
        <v/>
      </c>
      <c r="AC107" s="21" t="str">
        <f t="shared" si="161"/>
        <v/>
      </c>
      <c r="AD107" s="21" t="str">
        <f t="shared" si="162"/>
        <v/>
      </c>
      <c r="AE107" s="21" t="str">
        <f t="shared" si="163"/>
        <v/>
      </c>
      <c r="AF107" s="21" t="str">
        <f t="shared" si="164"/>
        <v/>
      </c>
      <c r="AG107" s="21" t="str">
        <f t="shared" si="165"/>
        <v/>
      </c>
      <c r="AH107" s="21" t="str">
        <f t="shared" si="166"/>
        <v/>
      </c>
      <c r="AI107" s="21" t="str">
        <f t="shared" si="167"/>
        <v/>
      </c>
      <c r="AJ107" s="22">
        <f t="shared" si="168"/>
        <v>1</v>
      </c>
      <c r="AK107" s="21" t="str">
        <f t="shared" si="169"/>
        <v/>
      </c>
      <c r="AL107" s="21" t="str">
        <f t="shared" si="170"/>
        <v/>
      </c>
      <c r="AM107" s="22">
        <f t="shared" si="171"/>
        <v>0</v>
      </c>
      <c r="AN107" s="21" t="str">
        <f t="shared" si="172"/>
        <v/>
      </c>
      <c r="AO107" s="21" t="str">
        <f t="shared" si="173"/>
        <v/>
      </c>
      <c r="AP107" s="21" t="str">
        <f t="shared" si="174"/>
        <v/>
      </c>
      <c r="AQ107" s="21" t="str">
        <f t="shared" si="175"/>
        <v/>
      </c>
      <c r="AR107" s="22">
        <f t="shared" si="176"/>
        <v>0</v>
      </c>
    </row>
    <row r="108" spans="1:44" x14ac:dyDescent="0.2">
      <c r="A108" s="24" t="s">
        <v>294</v>
      </c>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row>
    <row r="109" spans="1:44" x14ac:dyDescent="0.2">
      <c r="A109" s="9" t="s">
        <v>1343</v>
      </c>
      <c r="B109" s="9" t="s">
        <v>305</v>
      </c>
      <c r="C109" s="11">
        <v>2</v>
      </c>
      <c r="D109" s="9" t="s">
        <v>1344</v>
      </c>
      <c r="E109" s="9"/>
      <c r="F109" s="16" t="s">
        <v>85</v>
      </c>
      <c r="G109" s="16" t="s">
        <v>85</v>
      </c>
      <c r="H109" s="9" t="s">
        <v>1348</v>
      </c>
      <c r="I109" s="9" t="s">
        <v>1345</v>
      </c>
      <c r="J109" s="9" t="s">
        <v>1347</v>
      </c>
      <c r="K109" s="16" t="s">
        <v>85</v>
      </c>
      <c r="L109" s="9" t="s">
        <v>1346</v>
      </c>
      <c r="M109" s="16" t="s">
        <v>85</v>
      </c>
      <c r="N109" s="16" t="s">
        <v>68</v>
      </c>
      <c r="O109" s="16">
        <v>22</v>
      </c>
      <c r="P109" s="16" t="s">
        <v>79</v>
      </c>
      <c r="Q109" s="9" t="s">
        <v>1349</v>
      </c>
      <c r="R109" s="16">
        <v>435</v>
      </c>
      <c r="S109" s="16" t="s">
        <v>81</v>
      </c>
      <c r="T109" s="9" t="s">
        <v>1350</v>
      </c>
      <c r="U109" s="21" t="str">
        <f t="shared" ref="U109:U110" si="177">IF(AJ109=1,"",IF(AP109&lt;&gt;"",AP109&amp;": no result is shown",IF(X109=0,"0",IF(ABS(X109)&lt;0.0001,FIXED(IF(ABS(ROUND(X109/10^INT(LOG10(ABS(X109))),2))&gt;=10,ROUND(X109/10^INT(LOG10(ABS(X109))),2)/10,ROUND(X109/10^INT(LOG10(ABS(X109))),2)),2,TRUE)&amp;" × 10"&amp;SUBSTITUTE(SUBSTITUTE(SUBSTITUTE(SUBSTITUTE(SUBSTITUTE(SUBSTITUTE(SUBSTITUTE(SUBSTITUTE(SUBSTITUTE(SUBSTITUTE(SUBSTITUTE(TEXT((INT(LOG10(ABS(X109)))+IF(ABS(ROUND(X109/10^INT(LOG10(ABS(X109))),2))&gt;=10,1,0)),"0"),"-","⁻"),"0","⁰"),"1","¹"),"2","²"),"3","³"),"4","⁴"),"5","⁵"),"6","⁶"),"7","⁷"),"8","⁸"),"9","⁹"),FIXED(ROUND(X109,MAX(0,2-INT(LOG10(ABS(X109))))),MAX(0,2-INT(LOG10(ABS(ROUND(X109,MAX(0,2-INT(LOG10(ABS(X109))))))))),FALSE)))&amp;"% of the post-infusion concentration remains after "&amp;R109&amp;" days (W_BIOLOGIC_MODEL_CAUTION)"))</f>
        <v>0.000112% of the post-infusion concentration remains after 435 days (W_BIOLOGIC_MODEL_CAUTION)</v>
      </c>
      <c r="V109" s="21" t="str">
        <f t="shared" ref="V109:V110" si="178">IF(AJ109=1,"",IF(AR109=0,"Not calculable",MID(IF(TRUE,"; "&amp;"Fraction remaining"&amp;": "&amp;IF(100*W109=0,"0",IF(ABS(100*W109)&lt;0.0001,FIXED(IF(ABS(ROUND(100*W109/10^INT(LOG10(ABS(100*W109))),2))&gt;=10,ROUND(100*W109/10^INT(LOG10(ABS(100*W109))),2)/10,ROUND(100*W109/10^INT(LOG10(ABS(100*W109))),2)),2,TRUE)&amp;" × 10"&amp;SUBSTITUTE(SUBSTITUTE(SUBSTITUTE(SUBSTITUTE(SUBSTITUTE(SUBSTITUTE(SUBSTITUTE(SUBSTITUTE(SUBSTITUTE(SUBSTITUTE(SUBSTITUTE(TEXT((INT(LOG10(ABS(100*W109)))+IF(ABS(ROUND(100*W109/10^INT(LOG10(ABS(100*W109))),2))&gt;=10,1,0)),"0"),"-","⁻"),"0","⁰"),"1","¹"),"2","²"),"3","³"),"4","⁴"),"5","⁵"),"6","⁶"),"7","⁷"),"8","⁸"),"9","⁹"),FIXED(ROUND(100*W109,MAX(0,2-INT(LOG10(ABS(100*W109))))),MAX(0,2-INT(LOG10(ABS(ROUND(100*W109,MAX(0,2-INT(LOG10(ABS(100*W109))))))))),FALSE)))&amp;"%","")&amp;IF(TRUE,"; "&amp;"Elimination rate constant k"&amp;": "&amp;IF(Y109=0,"0",FIXED(Y109,MAX(0,2-INT(LOG10(ABS(Y109)))),TRUE))&amp;" per day",""),3,9999)))</f>
        <v>Fraction remaining: 0.000112%; Elimination rate constant k: 0.0315 per day</v>
      </c>
      <c r="W109" s="21">
        <f t="shared" ref="W109:W110" si="179">IF(AR109=1,2^(-R109/O109),"")</f>
        <v>1.1163901469344256E-6</v>
      </c>
      <c r="X109" s="21">
        <f t="shared" ref="X109:X110" si="180">IF(AR109=1,100*W109,"")</f>
        <v>1.1163901469344257E-4</v>
      </c>
      <c r="Y109" s="21">
        <f t="shared" ref="Y109:Y110" si="181">IF(AR109=1,LN(2)/O109,"")</f>
        <v>3.1506690025452061E-2</v>
      </c>
      <c r="Z109" s="21" t="str">
        <f t="shared" ref="Z109:Z110" si="182">IF(AJ109=1,"",IF(AP109&lt;&gt;"",AP109,MID(IF(TRUE,"; W_BIOLOGIC_MODEL_CAUTION",""),3,999)))</f>
        <v>W_BIOLOGIC_MODEL_CAUTION</v>
      </c>
      <c r="AA109" s="21" t="str">
        <f>IF(AJ109=1,"",MID(IF(ISNUMBER(SEARCH("E_INVALID_DATE",AP109))," | E_INVALID_DATE: "&amp;SUBSTITUTE(IFERROR(INDEX(nMSG_Text,MATCH("E_INVALID_DATE",nMSG_Code,0)),""),"[input]",""),"")&amp;IF(ISNUMBER(SEARCH("E_REVERSED_BOUNDS",AP109))," | E_REVERSED_BOUNDS: "&amp;SUBSTITUTE(IFERROR(INDEX(nMSG_Text,MATCH("E_REVERSED_BOUNDS",nMSG_Code,0)),""),"[input]",""),"")&amp;IF(ISNUMBER(SEARCH("E_DUPLICATE_ID",AP109))," | E_DUPLICATE_ID: "&amp;SUBSTITUTE(IFERROR(INDEX(nMSG_Text,MATCH("E_DUPLICATE_ID",nMSG_Code,0)),""),"[input]",""),"")&amp;IF(ISNUMBER(SEARCH("E_MISSING_LINK",AP109))," | E_MISSING_LINK: "&amp;SUBSTITUTE(IFERROR(INDEX(nMSG_Text,MATCH("E_MISSING_LINK",nMSG_Code,0)),""),"[input]",""),"")&amp;IF(ISNUMBER(SEARCH("E_MISSING_INPUT",AP109))," | E_MISSING_INPUT: "&amp;SUBSTITUTE(IFERROR(INDEX(nMSG_Text,MATCH("E_MISSING_INPUT",nMSG_Code,0)),""),"[input]",IF(AQ109="","an input",AQ109)),"")&amp;IF(ISNUMBER(SEARCH("E_INVALID_UNIT",AP109))," | E_INVALID_UNIT: "&amp;SUBSTITUTE(IFERROR(INDEX(nMSG_Text,MATCH("E_INVALID_UNIT",nMSG_Code,0)),""),"[input]",""),"")&amp;IF(ISNUMBER(SEARCH("E_NONPOSITIVE_PARAMETER",AP109))," | E_NONPOSITIVE_PARAMETER: "&amp;SUBSTITUTE(IFERROR(INDEX(nMSG_Text,MATCH("E_NONPOSITIVE_PARAMETER",nMSG_Code,0)),""),"[input]",""),"")&amp;IF(ISNUMBER(SEARCH("E_OUT_OF_RANGE",AP109))," | E_OUT_OF_RANGE: "&amp;SUBSTITUTE(IFERROR(INDEX(nMSG_Text,MATCH("E_OUT_OF_RANGE",nMSG_Code,0)),""),"[input]",""),"")&amp;IF(ISNUMBER(SEARCH("E_APPLICABILITY_UNCONFIRMED",AP109))," | E_APPLICABILITY_UNCONFIRMED: "&amp;SUBSTITUTE(IFERROR(INDEX(nMSG_Text,MATCH("E_APPLICABILITY_UNCONFIRMED",nMSG_Code,0)),""),"[input]",""),"")&amp;IF(ISNUMBER(SEARCH("E_CREATININE_STABILITY_UNCONFIRMED",AP109))," | E_CREATININE_STABILITY_UNCONFIRMED: "&amp;SUBSTITUTE(IFERROR(INDEX(nMSG_Text,MATCH("E_CREATININE_STABILITY_UNCONFIRMED",nMSG_Code,0)),""),"[input]",""),"")&amp;IF(ISNUMBER(SEARCH("E_OVERLAPPING_SEGMENTS",AP109))," | E_OVERLAPPING_SEGMENTS: "&amp;SUBSTITUTE(IFERROR(INDEX(nMSG_Text,MATCH("E_OVERLAPPING_SEGMENTS",nMSG_Code,0)),""),"[input]",""),"")&amp;IF(AR109=1,IF(TRUE," | W_BIOLOGIC_MODEL_CAUTION: "&amp;SUBSTITUTE(IFERROR(INDEX(nMSG_Text,MATCH("W_BIOLOGIC_MODEL_CAUTION",nMSG_Code,0)),""),"[input]",""),""),""),4,9999))</f>
        <v>W_BIOLOGIC_MODEL_CAUTION: Antibody disposition can be nonlinear or time-varying; this simple model may not apply.</v>
      </c>
      <c r="AB109" s="21" t="str">
        <f t="shared" ref="AB109:AB110" si="183">IF(AJ109=1,"","t_half = "&amp;O109&amp;" "&amp;"days"&amp;" ["&amp;IF(P109="","status not recorded",P109)&amp;IF(Q109&lt;&gt;"","; "&amp;Q109,"")&amp;"]"&amp;"; "&amp;"t = "&amp;R109&amp;" "&amp;"days"&amp;" ["&amp;IF(S109="","status not recorded",S109)&amp;IF(T109&lt;&gt;"","; "&amp;T109,"")&amp;"]")</f>
        <v>t_half = 22 days [label fact; RITUXAN US 12.3 (NHL, median)]; t = 435 days [case measurement; Intervals I01]</v>
      </c>
      <c r="AC109" s="21" t="str">
        <f t="shared" ref="AC109:AC110" si="184">IF(AJ109=1,"",MID(""&amp;IF(AM109=1," | Gate confirmed: the simple model applies (one compartment, linear first-order elimination, constant parameters over the period). | Gate confirmed: the half-life used – type: "&amp;H109&amp;"; population: "&amp;I109&amp;"; source: "&amp;J109&amp;". | Gate confirmed: reference time – "&amp;L109&amp;". | Gate confirmed: each input’s Parameter_Status is recorded."," | Common gate not confirmed"&amp;IF(AND(F109="Yes",G109="Yes",K109="Yes",M109="Yes"),": a gate detail or a Parameter_Status is blank.",": "&amp;MID(IF(F109&lt;&gt;"Yes",", model","")&amp;IF(G109&lt;&gt;"Yes",", half-life used","")&amp;IF(K109&lt;&gt;"Yes",", reference time","")&amp;IF(M109&lt;&gt;"Yes",", Parameter_Status",""),3,99)&amp;" not confirmed."))&amp;IF(TRIM(E109&amp;"")&lt;&gt;""," | "&amp;E109,""),4,9999))</f>
        <v>Gate confirmed: the simple model applies (one compartment, linear first-order elimination, constant parameters over the period). | Gate confirmed: the half-life used – type: terminal half-life; NHL median 22 days, range 6.1-52 days (label fact for a population, not this patient); population: patients with non-Hodgkin lymphoma; source: RITUXAN US 12.3; MabThera EU 5.2. | Gate confirmed: reference time – Post-infusion concentration after the last infusion (3 March 2025); accumulation over earlier cycles ignored. | Gate confirmed: each input’s Parameter_Status is recorded.</v>
      </c>
      <c r="AD109" s="21" t="str">
        <f t="shared" ref="AD109:AD110" si="185">IF(AR109=0,"",MID(IF(TRUE,"; "&amp;"Fraction remaining"&amp;" = "&amp;W109&amp;" ("&amp;IF(100*W109=0,"0",IF(ABS(100*W109)&lt;0.0001,FIXED(IF(ABS(ROUND(100*W109/10^INT(LOG10(ABS(100*W109))),2))&gt;=10,ROUND(100*W109/10^INT(LOG10(ABS(100*W109))),2)/10,ROUND(100*W109/10^INT(LOG10(ABS(100*W109))),2)),2,TRUE)&amp;" × 10"&amp;SUBSTITUTE(SUBSTITUTE(SUBSTITUTE(SUBSTITUTE(SUBSTITUTE(SUBSTITUTE(SUBSTITUTE(SUBSTITUTE(SUBSTITUTE(SUBSTITUTE(SUBSTITUTE(TEXT((INT(LOG10(ABS(100*W109)))+IF(ABS(ROUND(100*W109/10^INT(LOG10(ABS(100*W109))),2))&gt;=10,1,0)),"0"),"-","⁻"),"0","⁰"),"1","¹"),"2","²"),"3","³"),"4","⁴"),"5","⁵"),"6","⁶"),"7","⁷"),"8","⁸"),"9","⁹"),FIXED(ROUND(100*W109,MAX(0,2-INT(LOG10(ABS(100*W109))))),MAX(0,2-INT(LOG10(ABS(ROUND(100*W109,MAX(0,2-INT(LOG10(ABS(100*W109))))))))),FALSE)))&amp;"%"&amp;")","")&amp;IF(TRUE,"; "&amp;"Elimination rate constant k"&amp;" = "&amp;Y109&amp;" ("&amp;IF(Y109=0,"0",FIXED(Y109,MAX(0,2-INT(LOG10(ABS(Y109)))),TRUE))&amp;" per day"&amp;")",""),3,9999))</f>
        <v>Fraction remaining = 1.11639014693443E-06 (0.000112%); Elimination rate constant k = 0.0315066900254521 (0.0315 per day)</v>
      </c>
      <c r="AE109" s="21" t="str">
        <f t="shared" ref="AE109:AE110" si="186">IF(AR109=0,"","fraction (shown as percent)")</f>
        <v>fraction (shown as percent)</v>
      </c>
      <c r="AF109" s="21" t="str">
        <f t="shared" ref="AF109:AF110" si="187">IF(AJ109=1,"",IF(TRIM(D109&amp;"")&lt;&gt;"",D109,"Q7 Long persistence of a monoclonal antibody"))</f>
        <v>Exposure persistence at the first positive test, 435 days after the last infusion (median half-life)</v>
      </c>
      <c r="AG109" s="21" t="str">
        <f t="shared" ref="AG109:AG110" si="188">IF(AJ109=1,"","Antibody disposition can depend on dose, time, target burden and immunogenicity. Exposure persistence is not receptor occupancy, immune activity or biological persistence.")</f>
        <v>Antibody disposition can depend on dose, time, target burden and immunogenicity. Exposure persistence is not receptor occupancy, immune activity or biological persistence.</v>
      </c>
      <c r="AH109" s="21" t="str">
        <f t="shared" ref="AH109:AH110" si="189">IF(AJ109=1,"","As Q1: fraction remaining = 2^(-t / t_half), t and t_half in days")</f>
        <v>As Q1: fraction remaining = 2^(-t / t_half), t and t_half in days</v>
      </c>
      <c r="AI109" s="21" t="str">
        <f t="shared" ref="AI109:AI110" si="190">IF(AJ109=1,"","CALC-SPEC 1.1")</f>
        <v>CALC-SPEC 1.1</v>
      </c>
      <c r="AJ109" s="22">
        <f t="shared" ref="AJ109:AJ110" si="191">IF(AND(A109="",O109="",R109=""),1,0)</f>
        <v>0</v>
      </c>
      <c r="AK109" s="21" t="str">
        <f t="shared" ref="AK109:AK110" si="192">IF(AJ109=1,"",B109&amp;"|"&amp;C109)</f>
        <v>EX-C28|2</v>
      </c>
      <c r="AL109" s="21" t="str">
        <f t="shared" ref="AL109:AL110" si="193">IF(A109="","",B109&amp;"|"&amp;C109&amp;"|"&amp;A109)</f>
        <v>EX-C28|2|Q7-C28-435</v>
      </c>
      <c r="AM109" s="22">
        <f t="shared" ref="AM109:AM110" si="194">IF(AND(F109="Yes",G109="Yes",K109="Yes",M109="Yes",TRIM(H109&amp;"")&lt;&gt;"",TRIM(I109&amp;"")&lt;&gt;"",TRIM(J109&amp;"")&lt;&gt;"",TRIM(L109&amp;"")&lt;&gt;"",P109&lt;&gt;"",S109&lt;&gt;""),1,0)</f>
        <v>1</v>
      </c>
      <c r="AN109" s="21" t="str">
        <f t="shared" ref="AN109:AN110" si="195">IF(AJ109=1,"",IF(A109="","; E_MISSING_INPUT","")&amp;IF(N109="","; E_MISSING_INPUT","")&amp;IF(AND(N109&lt;&gt;"",N109&lt;&gt;"days"),"; E_INVALID_UNIT","")&amp;IF(O109="","; E_MISSING_INPUT","")&amp;IF(AND(O109&lt;&gt;"",NOT(ISNUMBER(O109))),"; E_MISSING_INPUT","")&amp;IF(AND(ISNUMBER(O109),O109&lt;=0),"; E_NONPOSITIVE_PARAMETER","")&amp;IF(R109="","; E_MISSING_INPUT","")&amp;IF(AND(R109&lt;&gt;"",NOT(ISNUMBER(R109))),"; E_MISSING_INPUT","")&amp;IF(AND(ISNUMBER(R109),R109&lt;0),"; E_OUT_OF_RANGE","")&amp;IF(TRIM(H109&amp;"")="","; E_MISSING_INPUT","")&amp;IF(TRIM(I109&amp;"")="","; E_MISSING_INPUT","")&amp;IF(TRIM(J109&amp;"")="","; E_MISSING_INPUT","")&amp;IF(TRIM(L109&amp;"")="","; E_MISSING_INPUT","")&amp;IF(P109="","; E_MISSING_INPUT","")&amp;IF(S109="","; E_MISSING_INPUT","")&amp;IF(AM109=0,"; E_APPLICABILITY_UNCONFIRMED",""))</f>
        <v/>
      </c>
      <c r="AO109" s="21" t="str">
        <f t="shared" ref="AO109:AO110" si="196">IF(AJ109=1,"",IF(A109="",", a Calc_ID","")&amp;IF(N109="",", a time unit","")&amp;IF(O109="",", the half-life","")&amp;IF(AND(O109&lt;&gt;"",NOT(ISNUMBER(O109))),", the half-life as a number","")&amp;IF(R109="",", the time","")&amp;IF(AND(R109&lt;&gt;"",NOT(ISNUMBER(R109))),", the time as a number","")&amp;IF(TRIM(H109&amp;"")="",", the type of the half-life used","")&amp;IF(TRIM(I109&amp;"")="",", the population of the half-life used","")&amp;IF(TRIM(J109&amp;"")="",", the source of the half-life used","")&amp;IF(TRIM(L109&amp;"")="",", the reference time","")&amp;IF(P109="",", the Parameter_Status of t_half","")&amp;IF(S109="",", the Parameter_Status of t",""))</f>
        <v/>
      </c>
      <c r="AP109" s="21" t="str">
        <f t="shared" ref="AP109:AP110" si="197">IF(AJ109=1,"",MID(IF(ISNUMBER(SEARCH("E_INVALID_DATE",AN109)),"; E_INVALID_DATE","")&amp;IF(ISNUMBER(SEARCH("E_REVERSED_BOUNDS",AN109)),"; E_REVERSED_BOUNDS","")&amp;IF(ISNUMBER(SEARCH("E_DUPLICATE_ID",AN109)),"; E_DUPLICATE_ID","")&amp;IF(ISNUMBER(SEARCH("E_MISSING_LINK",AN109)),"; E_MISSING_LINK","")&amp;IF(ISNUMBER(SEARCH("E_MISSING_INPUT",AN109)),"; E_MISSING_INPUT","")&amp;IF(ISNUMBER(SEARCH("E_INVALID_UNIT",AN109)),"; E_INVALID_UNIT","")&amp;IF(ISNUMBER(SEARCH("E_NONPOSITIVE_PARAMETER",AN109)),"; E_NONPOSITIVE_PARAMETER","")&amp;IF(ISNUMBER(SEARCH("E_OUT_OF_RANGE",AN109)),"; E_OUT_OF_RANGE","")&amp;IF(ISNUMBER(SEARCH("E_APPLICABILITY_UNCONFIRMED",AN109)),"; E_APPLICABILITY_UNCONFIRMED","")&amp;IF(ISNUMBER(SEARCH("E_CREATININE_STABILITY_UNCONFIRMED",AN109)),"; E_CREATININE_STABILITY_UNCONFIRMED","")&amp;IF(ISNUMBER(SEARCH("E_OVERLAPPING_SEGMENTS",AN109)),"; E_OVERLAPPING_SEGMENTS",""),3,999))</f>
        <v/>
      </c>
      <c r="AQ109" s="21" t="str">
        <f t="shared" ref="AQ109:AQ110" si="198">MID(AO109,3,999)</f>
        <v/>
      </c>
      <c r="AR109" s="22">
        <f t="shared" ref="AR109:AR110" si="199">IF(AND(AJ109=0,AP109=""),1,0)</f>
        <v>1</v>
      </c>
    </row>
    <row r="110" spans="1:44" x14ac:dyDescent="0.2">
      <c r="A110" s="9" t="s">
        <v>1351</v>
      </c>
      <c r="B110" s="9" t="s">
        <v>305</v>
      </c>
      <c r="C110" s="11">
        <v>2</v>
      </c>
      <c r="D110" s="9" t="s">
        <v>1352</v>
      </c>
      <c r="E110" s="9"/>
      <c r="F110" s="16" t="s">
        <v>85</v>
      </c>
      <c r="G110" s="16" t="s">
        <v>85</v>
      </c>
      <c r="H110" s="9" t="s">
        <v>1348</v>
      </c>
      <c r="I110" s="9" t="s">
        <v>1345</v>
      </c>
      <c r="J110" s="9" t="s">
        <v>1347</v>
      </c>
      <c r="K110" s="16" t="s">
        <v>85</v>
      </c>
      <c r="L110" s="9" t="s">
        <v>1346</v>
      </c>
      <c r="M110" s="16" t="s">
        <v>85</v>
      </c>
      <c r="N110" s="16" t="s">
        <v>68</v>
      </c>
      <c r="O110" s="16">
        <v>22</v>
      </c>
      <c r="P110" s="16" t="s">
        <v>79</v>
      </c>
      <c r="Q110" s="9" t="s">
        <v>1349</v>
      </c>
      <c r="R110" s="16">
        <v>343</v>
      </c>
      <c r="S110" s="16" t="s">
        <v>81</v>
      </c>
      <c r="T110" s="9" t="s">
        <v>1353</v>
      </c>
      <c r="U110" s="21" t="str">
        <f t="shared" si="177"/>
        <v>0.00203% of the post-infusion concentration remains after 343 days (W_BIOLOGIC_MODEL_CAUTION)</v>
      </c>
      <c r="V110" s="21" t="str">
        <f t="shared" si="178"/>
        <v>Fraction remaining: 0.00203%; Elimination rate constant k: 0.0315 per day</v>
      </c>
      <c r="W110" s="21">
        <f t="shared" si="179"/>
        <v>2.0261365173173599E-5</v>
      </c>
      <c r="X110" s="21">
        <f t="shared" si="180"/>
        <v>2.02613651731736E-3</v>
      </c>
      <c r="Y110" s="21">
        <f t="shared" si="181"/>
        <v>3.1506690025452061E-2</v>
      </c>
      <c r="Z110" s="21" t="str">
        <f t="shared" si="182"/>
        <v>W_BIOLOGIC_MODEL_CAUTION</v>
      </c>
      <c r="AA110" s="21" t="str">
        <f>IF(AJ110=1,"",MID(IF(ISNUMBER(SEARCH("E_INVALID_DATE",AP110))," | E_INVALID_DATE: "&amp;SUBSTITUTE(IFERROR(INDEX(nMSG_Text,MATCH("E_INVALID_DATE",nMSG_Code,0)),""),"[input]",""),"")&amp;IF(ISNUMBER(SEARCH("E_REVERSED_BOUNDS",AP110))," | E_REVERSED_BOUNDS: "&amp;SUBSTITUTE(IFERROR(INDEX(nMSG_Text,MATCH("E_REVERSED_BOUNDS",nMSG_Code,0)),""),"[input]",""),"")&amp;IF(ISNUMBER(SEARCH("E_DUPLICATE_ID",AP110))," | E_DUPLICATE_ID: "&amp;SUBSTITUTE(IFERROR(INDEX(nMSG_Text,MATCH("E_DUPLICATE_ID",nMSG_Code,0)),""),"[input]",""),"")&amp;IF(ISNUMBER(SEARCH("E_MISSING_LINK",AP110))," | E_MISSING_LINK: "&amp;SUBSTITUTE(IFERROR(INDEX(nMSG_Text,MATCH("E_MISSING_LINK",nMSG_Code,0)),""),"[input]",""),"")&amp;IF(ISNUMBER(SEARCH("E_MISSING_INPUT",AP110))," | E_MISSING_INPUT: "&amp;SUBSTITUTE(IFERROR(INDEX(nMSG_Text,MATCH("E_MISSING_INPUT",nMSG_Code,0)),""),"[input]",IF(AQ110="","an input",AQ110)),"")&amp;IF(ISNUMBER(SEARCH("E_INVALID_UNIT",AP110))," | E_INVALID_UNIT: "&amp;SUBSTITUTE(IFERROR(INDEX(nMSG_Text,MATCH("E_INVALID_UNIT",nMSG_Code,0)),""),"[input]",""),"")&amp;IF(ISNUMBER(SEARCH("E_NONPOSITIVE_PARAMETER",AP110))," | E_NONPOSITIVE_PARAMETER: "&amp;SUBSTITUTE(IFERROR(INDEX(nMSG_Text,MATCH("E_NONPOSITIVE_PARAMETER",nMSG_Code,0)),""),"[input]",""),"")&amp;IF(ISNUMBER(SEARCH("E_OUT_OF_RANGE",AP110))," | E_OUT_OF_RANGE: "&amp;SUBSTITUTE(IFERROR(INDEX(nMSG_Text,MATCH("E_OUT_OF_RANGE",nMSG_Code,0)),""),"[input]",""),"")&amp;IF(ISNUMBER(SEARCH("E_APPLICABILITY_UNCONFIRMED",AP110))," | E_APPLICABILITY_UNCONFIRMED: "&amp;SUBSTITUTE(IFERROR(INDEX(nMSG_Text,MATCH("E_APPLICABILITY_UNCONFIRMED",nMSG_Code,0)),""),"[input]",""),"")&amp;IF(ISNUMBER(SEARCH("E_CREATININE_STABILITY_UNCONFIRMED",AP110))," | E_CREATININE_STABILITY_UNCONFIRMED: "&amp;SUBSTITUTE(IFERROR(INDEX(nMSG_Text,MATCH("E_CREATININE_STABILITY_UNCONFIRMED",nMSG_Code,0)),""),"[input]",""),"")&amp;IF(ISNUMBER(SEARCH("E_OVERLAPPING_SEGMENTS",AP110))," | E_OVERLAPPING_SEGMENTS: "&amp;SUBSTITUTE(IFERROR(INDEX(nMSG_Text,MATCH("E_OVERLAPPING_SEGMENTS",nMSG_Code,0)),""),"[input]",""),"")&amp;IF(AR110=1,IF(TRUE," | W_BIOLOGIC_MODEL_CAUTION: "&amp;SUBSTITUTE(IFERROR(INDEX(nMSG_Text,MATCH("W_BIOLOGIC_MODEL_CAUTION",nMSG_Code,0)),""),"[input]",""),""),""),4,9999))</f>
        <v>W_BIOLOGIC_MODEL_CAUTION: Antibody disposition can be nonlinear or time-varying; this simple model may not apply.</v>
      </c>
      <c r="AB110" s="21" t="str">
        <f t="shared" si="183"/>
        <v>t_half = 22 days [label fact; RITUXAN US 12.3 (NHL, median)]; t = 343 days [case measurement; Intervals I02 (minimum)]</v>
      </c>
      <c r="AC110" s="21" t="str">
        <f t="shared" si="184"/>
        <v>Gate confirmed: the simple model applies (one compartment, linear first-order elimination, constant parameters over the period). | Gate confirmed: the half-life used – type: terminal half-life; NHL median 22 days, range 6.1-52 days (label fact for a population, not this patient); population: patients with non-Hodgkin lymphoma; source: RITUXAN US 12.3; MabThera EU 5.2. | Gate confirmed: reference time – Post-infusion concentration after the last infusion (3 March 2025); accumulation over earlier cycles ignored. | Gate confirmed: each input’s Parameter_Status is recorded.</v>
      </c>
      <c r="AD110" s="21" t="str">
        <f t="shared" si="185"/>
        <v>Fraction remaining = 2.02613651731736E-05 (0.00203%); Elimination rate constant k = 0.0315066900254521 (0.0315 per day)</v>
      </c>
      <c r="AE110" s="21" t="str">
        <f t="shared" si="186"/>
        <v>fraction (shown as percent)</v>
      </c>
      <c r="AF110" s="21" t="str">
        <f t="shared" si="187"/>
        <v>At the earliest possible onset, 343 days (median half-life)</v>
      </c>
      <c r="AG110" s="21" t="str">
        <f t="shared" si="188"/>
        <v>Antibody disposition can depend on dose, time, target burden and immunogenicity. Exposure persistence is not receptor occupancy, immune activity or biological persistence.</v>
      </c>
      <c r="AH110" s="21" t="str">
        <f t="shared" si="189"/>
        <v>As Q1: fraction remaining = 2^(-t / t_half), t and t_half in days</v>
      </c>
      <c r="AI110" s="21" t="str">
        <f t="shared" si="190"/>
        <v>CALC-SPEC 1.1</v>
      </c>
      <c r="AJ110" s="22">
        <f t="shared" si="191"/>
        <v>0</v>
      </c>
      <c r="AK110" s="21" t="str">
        <f t="shared" si="192"/>
        <v>EX-C28|2</v>
      </c>
      <c r="AL110" s="21" t="str">
        <f t="shared" si="193"/>
        <v>EX-C28|2|Q7-C28-343</v>
      </c>
      <c r="AM110" s="22">
        <f t="shared" si="194"/>
        <v>1</v>
      </c>
      <c r="AN110" s="21" t="str">
        <f t="shared" si="195"/>
        <v/>
      </c>
      <c r="AO110" s="21" t="str">
        <f t="shared" si="196"/>
        <v/>
      </c>
      <c r="AP110" s="21" t="str">
        <f t="shared" si="197"/>
        <v/>
      </c>
      <c r="AQ110" s="21" t="str">
        <f t="shared" si="198"/>
        <v/>
      </c>
      <c r="AR110" s="22">
        <f t="shared" si="199"/>
        <v>1</v>
      </c>
    </row>
    <row r="111" spans="1:44" x14ac:dyDescent="0.2">
      <c r="A111" s="24" t="s">
        <v>295</v>
      </c>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row>
    <row r="112" spans="1:44" x14ac:dyDescent="0.2">
      <c r="A112" s="9" t="s">
        <v>1354</v>
      </c>
      <c r="B112" s="9" t="s">
        <v>351</v>
      </c>
      <c r="C112" s="11">
        <v>1</v>
      </c>
      <c r="D112" s="9" t="s">
        <v>1355</v>
      </c>
      <c r="E112" s="9"/>
      <c r="F112" s="16" t="s">
        <v>85</v>
      </c>
      <c r="G112" s="16" t="s">
        <v>85</v>
      </c>
      <c r="H112" s="9" t="s">
        <v>1247</v>
      </c>
      <c r="I112" s="9" t="s">
        <v>1244</v>
      </c>
      <c r="J112" s="9" t="s">
        <v>1246</v>
      </c>
      <c r="K112" s="16" t="s">
        <v>85</v>
      </c>
      <c r="L112" s="9" t="s">
        <v>1245</v>
      </c>
      <c r="M112" s="16" t="s">
        <v>85</v>
      </c>
      <c r="N112" s="16" t="s">
        <v>68</v>
      </c>
      <c r="O112" s="16">
        <v>21</v>
      </c>
      <c r="P112" s="16" t="s">
        <v>83</v>
      </c>
      <c r="Q112" s="9" t="s">
        <v>1356</v>
      </c>
      <c r="R112" s="16">
        <v>42</v>
      </c>
      <c r="S112" s="16" t="s">
        <v>83</v>
      </c>
      <c r="T112" s="9" t="s">
        <v>1356</v>
      </c>
      <c r="U112" s="21" t="str">
        <f>IF(AJ112=1,"",IF(AP112&lt;&gt;"",AP112&amp;": no result is shown",IF(X112=0,"0",IF(ABS(X112)&lt;0.0001,FIXED(IF(ABS(ROUND(X112/10^INT(LOG10(ABS(X112))),2))&gt;=10,ROUND(X112/10^INT(LOG10(ABS(X112))),2)/10,ROUND(X112/10^INT(LOG10(ABS(X112))),2)),2,TRUE)&amp;" × 10"&amp;SUBSTITUTE(SUBSTITUTE(SUBSTITUTE(SUBSTITUTE(SUBSTITUTE(SUBSTITUTE(SUBSTITUTE(SUBSTITUTE(SUBSTITUTE(SUBSTITUTE(SUBSTITUTE(TEXT((INT(LOG10(ABS(X112)))+IF(ABS(ROUND(X112/10^INT(LOG10(ABS(X112))),2))&gt;=10,1,0)),"0"),"-","⁻"),"0","⁰"),"1","¹"),"2","²"),"3","³"),"4","⁴"),"5","⁵"),"6","⁶"),"7","⁷"),"8","⁸"),"9","⁹"),FIXED(ROUND(X112,MAX(0,2-INT(LOG10(ABS(X112))))),MAX(0,2-INT(LOG10(ABS(ROUND(X112,MAX(0,2-INT(LOG10(ABS(X112))))))))),FALSE)))&amp;"% of the post-infusion concentration remains after "&amp;R112&amp;" days (W_BIOLOGIC_MODEL_CAUTION)"))</f>
        <v>25.0% of the post-infusion concentration remains after 42 days (W_BIOLOGIC_MODEL_CAUTION)</v>
      </c>
      <c r="V112" s="21" t="str">
        <f>IF(AJ112=1,"",IF(AR112=0,"Not calculable",MID(IF(TRUE,"; "&amp;"Fraction remaining"&amp;": "&amp;IF(100*W112=0,"0",IF(ABS(100*W112)&lt;0.0001,FIXED(IF(ABS(ROUND(100*W112/10^INT(LOG10(ABS(100*W112))),2))&gt;=10,ROUND(100*W112/10^INT(LOG10(ABS(100*W112))),2)/10,ROUND(100*W112/10^INT(LOG10(ABS(100*W112))),2)),2,TRUE)&amp;" × 10"&amp;SUBSTITUTE(SUBSTITUTE(SUBSTITUTE(SUBSTITUTE(SUBSTITUTE(SUBSTITUTE(SUBSTITUTE(SUBSTITUTE(SUBSTITUTE(SUBSTITUTE(SUBSTITUTE(TEXT((INT(LOG10(ABS(100*W112)))+IF(ABS(ROUND(100*W112/10^INT(LOG10(ABS(100*W112))),2))&gt;=10,1,0)),"0"),"-","⁻"),"0","⁰"),"1","¹"),"2","²"),"3","³"),"4","⁴"),"5","⁵"),"6","⁶"),"7","⁷"),"8","⁸"),"9","⁹"),FIXED(ROUND(100*W112,MAX(0,2-INT(LOG10(ABS(100*W112))))),MAX(0,2-INT(LOG10(ABS(ROUND(100*W112,MAX(0,2-INT(LOG10(ABS(100*W112))))))))),FALSE)))&amp;"%","")&amp;IF(TRUE,"; "&amp;"Elimination rate constant k"&amp;": "&amp;IF(Y112=0,"0",FIXED(Y112,MAX(0,2-INT(LOG10(ABS(Y112)))),TRUE))&amp;" per day",""),3,9999)))</f>
        <v>Fraction remaining: 25.0%; Elimination rate constant k: 0.0330 per day</v>
      </c>
      <c r="W112" s="21">
        <f>IF(AR112=1,2^(-R112/O112),"")</f>
        <v>0.25</v>
      </c>
      <c r="X112" s="21">
        <f>IF(AR112=1,100*W112,"")</f>
        <v>25</v>
      </c>
      <c r="Y112" s="21">
        <f>IF(AR112=1,LN(2)/O112,"")</f>
        <v>3.3007008598092635E-2</v>
      </c>
      <c r="Z112" s="21" t="str">
        <f>IF(AJ112=1,"",IF(AP112&lt;&gt;"",AP112,MID(IF(TRUE,"; W_BIOLOGIC_MODEL_CAUTION",""),3,999)))</f>
        <v>W_BIOLOGIC_MODEL_CAUTION</v>
      </c>
      <c r="AA112" s="21" t="str">
        <f>IF(AJ112=1,"",MID(IF(ISNUMBER(SEARCH("E_INVALID_DATE",AP112))," | E_INVALID_DATE: "&amp;SUBSTITUTE(IFERROR(INDEX(nMSG_Text,MATCH("E_INVALID_DATE",nMSG_Code,0)),""),"[input]",""),"")&amp;IF(ISNUMBER(SEARCH("E_REVERSED_BOUNDS",AP112))," | E_REVERSED_BOUNDS: "&amp;SUBSTITUTE(IFERROR(INDEX(nMSG_Text,MATCH("E_REVERSED_BOUNDS",nMSG_Code,0)),""),"[input]",""),"")&amp;IF(ISNUMBER(SEARCH("E_DUPLICATE_ID",AP112))," | E_DUPLICATE_ID: "&amp;SUBSTITUTE(IFERROR(INDEX(nMSG_Text,MATCH("E_DUPLICATE_ID",nMSG_Code,0)),""),"[input]",""),"")&amp;IF(ISNUMBER(SEARCH("E_MISSING_LINK",AP112))," | E_MISSING_LINK: "&amp;SUBSTITUTE(IFERROR(INDEX(nMSG_Text,MATCH("E_MISSING_LINK",nMSG_Code,0)),""),"[input]",""),"")&amp;IF(ISNUMBER(SEARCH("E_MISSING_INPUT",AP112))," | E_MISSING_INPUT: "&amp;SUBSTITUTE(IFERROR(INDEX(nMSG_Text,MATCH("E_MISSING_INPUT",nMSG_Code,0)),""),"[input]",IF(AQ112="","an input",AQ112)),"")&amp;IF(ISNUMBER(SEARCH("E_INVALID_UNIT",AP112))," | E_INVALID_UNIT: "&amp;SUBSTITUTE(IFERROR(INDEX(nMSG_Text,MATCH("E_INVALID_UNIT",nMSG_Code,0)),""),"[input]",""),"")&amp;IF(ISNUMBER(SEARCH("E_NONPOSITIVE_PARAMETER",AP112))," | E_NONPOSITIVE_PARAMETER: "&amp;SUBSTITUTE(IFERROR(INDEX(nMSG_Text,MATCH("E_NONPOSITIVE_PARAMETER",nMSG_Code,0)),""),"[input]",""),"")&amp;IF(ISNUMBER(SEARCH("E_OUT_OF_RANGE",AP112))," | E_OUT_OF_RANGE: "&amp;SUBSTITUTE(IFERROR(INDEX(nMSG_Text,MATCH("E_OUT_OF_RANGE",nMSG_Code,0)),""),"[input]",""),"")&amp;IF(ISNUMBER(SEARCH("E_APPLICABILITY_UNCONFIRMED",AP112))," | E_APPLICABILITY_UNCONFIRMED: "&amp;SUBSTITUTE(IFERROR(INDEX(nMSG_Text,MATCH("E_APPLICABILITY_UNCONFIRMED",nMSG_Code,0)),""),"[input]",""),"")&amp;IF(ISNUMBER(SEARCH("E_CREATININE_STABILITY_UNCONFIRMED",AP112))," | E_CREATININE_STABILITY_UNCONFIRMED: "&amp;SUBSTITUTE(IFERROR(INDEX(nMSG_Text,MATCH("E_CREATININE_STABILITY_UNCONFIRMED",nMSG_Code,0)),""),"[input]",""),"")&amp;IF(ISNUMBER(SEARCH("E_OVERLAPPING_SEGMENTS",AP112))," | E_OVERLAPPING_SEGMENTS: "&amp;SUBSTITUTE(IFERROR(INDEX(nMSG_Text,MATCH("E_OVERLAPPING_SEGMENTS",nMSG_Code,0)),""),"[input]",""),"")&amp;IF(AR112=1,IF(TRUE," | W_BIOLOGIC_MODEL_CAUTION: "&amp;SUBSTITUTE(IFERROR(INDEX(nMSG_Text,MATCH("W_BIOLOGIC_MODEL_CAUTION",nMSG_Code,0)),""),"[input]",""),""),""),4,9999))</f>
        <v>W_BIOLOGIC_MODEL_CAUTION: Antibody disposition can be nonlinear or time-varying; this simple model may not apply.</v>
      </c>
      <c r="AB112" s="21" t="str">
        <f>IF(AJ112=1,"","t_half = "&amp;O112&amp;" "&amp;"days"&amp;" ["&amp;IF(P112="","status not recorded",P112)&amp;IF(Q112&lt;&gt;"","; "&amp;Q112,"")&amp;"]"&amp;"; "&amp;"t = "&amp;R112&amp;" "&amp;"days"&amp;" ["&amp;IF(S112="","status not recorded",S112)&amp;IF(T112&lt;&gt;"","; "&amp;T112,"")&amp;"]")</f>
        <v>t_half = 21 days [hypothetical example; V34 V22]; t = 42 days [hypothetical example; V34 V22]</v>
      </c>
      <c r="AC112" s="21" t="str">
        <f>IF(AJ112=1,"",MID(""&amp;IF(AM112=1," | Gate confirmed: the simple model applies (one compartment, linear first-order elimination, constant parameters over the period). | Gate confirmed: the half-life used – type: "&amp;H112&amp;"; population: "&amp;I112&amp;"; source: "&amp;J112&amp;". | Gate confirmed: reference time – "&amp;L112&amp;". | Gate confirmed: each input’s Parameter_Status is recorded."," | Common gate not confirmed"&amp;IF(AND(F112="Yes",G112="Yes",K112="Yes",M112="Yes"),": a gate detail or a Parameter_Status is blank.",": "&amp;MID(IF(F112&lt;&gt;"Yes",", model","")&amp;IF(G112&lt;&gt;"Yes",", half-life used","")&amp;IF(K112&lt;&gt;"Yes",", reference time","")&amp;IF(M112&lt;&gt;"Yes",", Parameter_Status",""),3,99)&amp;" not confirmed."))&amp;IF(TRIM(E112&amp;"")&lt;&gt;""," | "&amp;E112,""),4,9999))</f>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v>
      </c>
      <c r="AD112" s="21" t="str">
        <f>IF(AR112=0,"",MID(IF(TRUE,"; "&amp;"Fraction remaining"&amp;" = "&amp;W112&amp;" ("&amp;IF(100*W112=0,"0",IF(ABS(100*W112)&lt;0.0001,FIXED(IF(ABS(ROUND(100*W112/10^INT(LOG10(ABS(100*W112))),2))&gt;=10,ROUND(100*W112/10^INT(LOG10(ABS(100*W112))),2)/10,ROUND(100*W112/10^INT(LOG10(ABS(100*W112))),2)),2,TRUE)&amp;" × 10"&amp;SUBSTITUTE(SUBSTITUTE(SUBSTITUTE(SUBSTITUTE(SUBSTITUTE(SUBSTITUTE(SUBSTITUTE(SUBSTITUTE(SUBSTITUTE(SUBSTITUTE(SUBSTITUTE(TEXT((INT(LOG10(ABS(100*W112)))+IF(ABS(ROUND(100*W112/10^INT(LOG10(ABS(100*W112))),2))&gt;=10,1,0)),"0"),"-","⁻"),"0","⁰"),"1","¹"),"2","²"),"3","³"),"4","⁴"),"5","⁵"),"6","⁶"),"7","⁷"),"8","⁸"),"9","⁹"),FIXED(ROUND(100*W112,MAX(0,2-INT(LOG10(ABS(100*W112))))),MAX(0,2-INT(LOG10(ABS(ROUND(100*W112,MAX(0,2-INT(LOG10(ABS(100*W112))))))))),FALSE)))&amp;"%"&amp;")","")&amp;IF(TRUE,"; "&amp;"Elimination rate constant k"&amp;" = "&amp;Y112&amp;" ("&amp;IF(Y112=0,"0",FIXED(Y112,MAX(0,2-INT(LOG10(ABS(Y112)))),TRUE))&amp;" per day"&amp;")",""),3,9999))</f>
        <v>Fraction remaining = 0.25 (25.0%); Elimination rate constant k = 0.0330070085980926 (0.0330 per day)</v>
      </c>
      <c r="AE112" s="21" t="str">
        <f>IF(AR112=0,"","fraction (shown as percent)")</f>
        <v>fraction (shown as percent)</v>
      </c>
      <c r="AF112" s="21" t="str">
        <f>IF(AJ112=1,"",IF(TRIM(D112&amp;"")&lt;&gt;"",D112,"Q7 Long persistence of a monoclonal antibody"))</f>
        <v>Vector V22</v>
      </c>
      <c r="AG112" s="21" t="str">
        <f>IF(AJ112=1,"","Antibody disposition can depend on dose, time, target burden and immunogenicity. Exposure persistence is not receptor occupancy, immune activity or biological persistence.")</f>
        <v>Antibody disposition can depend on dose, time, target burden and immunogenicity. Exposure persistence is not receptor occupancy, immune activity or biological persistence.</v>
      </c>
      <c r="AH112" s="21" t="str">
        <f>IF(AJ112=1,"","As Q1: fraction remaining = 2^(-t / t_half), t and t_half in days")</f>
        <v>As Q1: fraction remaining = 2^(-t / t_half), t and t_half in days</v>
      </c>
      <c r="AI112" s="21" t="str">
        <f>IF(AJ112=1,"","CALC-SPEC 1.1")</f>
        <v>CALC-SPEC 1.1</v>
      </c>
      <c r="AJ112" s="22">
        <f>IF(AND(A112="",O112="",R112=""),1,0)</f>
        <v>0</v>
      </c>
      <c r="AK112" s="21" t="str">
        <f>IF(AJ112=1,"",B112&amp;"|"&amp;C112)</f>
        <v>VEC-V22|1</v>
      </c>
      <c r="AL112" s="21" t="str">
        <f>IF(A112="","",B112&amp;"|"&amp;C112&amp;"|"&amp;A112)</f>
        <v>VEC-V22|1|Q7-V22</v>
      </c>
      <c r="AM112" s="22">
        <f>IF(AND(F112="Yes",G112="Yes",K112="Yes",M112="Yes",TRIM(H112&amp;"")&lt;&gt;"",TRIM(I112&amp;"")&lt;&gt;"",TRIM(J112&amp;"")&lt;&gt;"",TRIM(L112&amp;"")&lt;&gt;"",P112&lt;&gt;"",S112&lt;&gt;""),1,0)</f>
        <v>1</v>
      </c>
      <c r="AN112" s="21" t="str">
        <f>IF(AJ112=1,"",IF(A112="","; E_MISSING_INPUT","")&amp;IF(N112="","; E_MISSING_INPUT","")&amp;IF(AND(N112&lt;&gt;"",N112&lt;&gt;"days"),"; E_INVALID_UNIT","")&amp;IF(O112="","; E_MISSING_INPUT","")&amp;IF(AND(O112&lt;&gt;"",NOT(ISNUMBER(O112))),"; E_MISSING_INPUT","")&amp;IF(AND(ISNUMBER(O112),O112&lt;=0),"; E_NONPOSITIVE_PARAMETER","")&amp;IF(R112="","; E_MISSING_INPUT","")&amp;IF(AND(R112&lt;&gt;"",NOT(ISNUMBER(R112))),"; E_MISSING_INPUT","")&amp;IF(AND(ISNUMBER(R112),R112&lt;0),"; E_OUT_OF_RANGE","")&amp;IF(TRIM(H112&amp;"")="","; E_MISSING_INPUT","")&amp;IF(TRIM(I112&amp;"")="","; E_MISSING_INPUT","")&amp;IF(TRIM(J112&amp;"")="","; E_MISSING_INPUT","")&amp;IF(TRIM(L112&amp;"")="","; E_MISSING_INPUT","")&amp;IF(P112="","; E_MISSING_INPUT","")&amp;IF(S112="","; E_MISSING_INPUT","")&amp;IF(AM112=0,"; E_APPLICABILITY_UNCONFIRMED",""))</f>
        <v/>
      </c>
      <c r="AO112" s="21" t="str">
        <f>IF(AJ112=1,"",IF(A112="",", a Calc_ID","")&amp;IF(N112="",", a time unit","")&amp;IF(O112="",", the half-life","")&amp;IF(AND(O112&lt;&gt;"",NOT(ISNUMBER(O112))),", the half-life as a number","")&amp;IF(R112="",", the time","")&amp;IF(AND(R112&lt;&gt;"",NOT(ISNUMBER(R112))),", the time as a number","")&amp;IF(TRIM(H112&amp;"")="",", the type of the half-life used","")&amp;IF(TRIM(I112&amp;"")="",", the population of the half-life used","")&amp;IF(TRIM(J112&amp;"")="",", the source of the half-life used","")&amp;IF(TRIM(L112&amp;"")="",", the reference time","")&amp;IF(P112="",", the Parameter_Status of t_half","")&amp;IF(S112="",", the Parameter_Status of t",""))</f>
        <v/>
      </c>
      <c r="AP112" s="21" t="str">
        <f>IF(AJ112=1,"",MID(IF(ISNUMBER(SEARCH("E_INVALID_DATE",AN112)),"; E_INVALID_DATE","")&amp;IF(ISNUMBER(SEARCH("E_REVERSED_BOUNDS",AN112)),"; E_REVERSED_BOUNDS","")&amp;IF(ISNUMBER(SEARCH("E_DUPLICATE_ID",AN112)),"; E_DUPLICATE_ID","")&amp;IF(ISNUMBER(SEARCH("E_MISSING_LINK",AN112)),"; E_MISSING_LINK","")&amp;IF(ISNUMBER(SEARCH("E_MISSING_INPUT",AN112)),"; E_MISSING_INPUT","")&amp;IF(ISNUMBER(SEARCH("E_INVALID_UNIT",AN112)),"; E_INVALID_UNIT","")&amp;IF(ISNUMBER(SEARCH("E_NONPOSITIVE_PARAMETER",AN112)),"; E_NONPOSITIVE_PARAMETER","")&amp;IF(ISNUMBER(SEARCH("E_OUT_OF_RANGE",AN112)),"; E_OUT_OF_RANGE","")&amp;IF(ISNUMBER(SEARCH("E_APPLICABILITY_UNCONFIRMED",AN112)),"; E_APPLICABILITY_UNCONFIRMED","")&amp;IF(ISNUMBER(SEARCH("E_CREATININE_STABILITY_UNCONFIRMED",AN112)),"; E_CREATININE_STABILITY_UNCONFIRMED","")&amp;IF(ISNUMBER(SEARCH("E_OVERLAPPING_SEGMENTS",AN112)),"; E_OVERLAPPING_SEGMENTS",""),3,999))</f>
        <v/>
      </c>
      <c r="AQ112" s="21" t="str">
        <f>MID(AO112,3,999)</f>
        <v/>
      </c>
      <c r="AR112" s="22">
        <f>IF(AND(AJ112=0,AP112=""),1,0)</f>
        <v>1</v>
      </c>
    </row>
    <row r="115" spans="1:49" ht="17.25" x14ac:dyDescent="0.3">
      <c r="A115" s="6" t="s">
        <v>1357</v>
      </c>
    </row>
    <row r="116" spans="1:49" x14ac:dyDescent="0.2">
      <c r="A116" s="7" t="s">
        <v>1203</v>
      </c>
    </row>
    <row r="117" spans="1:49" x14ac:dyDescent="0.2">
      <c r="A117" s="2" t="s">
        <v>1204</v>
      </c>
      <c r="F117" s="2" t="s">
        <v>1208</v>
      </c>
      <c r="N117" s="2" t="s">
        <v>1204</v>
      </c>
      <c r="Y117" s="2" t="s">
        <v>1225</v>
      </c>
      <c r="AO117" s="2" t="s">
        <v>1237</v>
      </c>
    </row>
    <row r="118" spans="1:49" ht="66" customHeight="1" x14ac:dyDescent="0.2">
      <c r="A118" s="8" t="s">
        <v>1205</v>
      </c>
      <c r="B118" s="8" t="s">
        <v>280</v>
      </c>
      <c r="C118" s="8" t="s">
        <v>281</v>
      </c>
      <c r="D118" s="8" t="s">
        <v>1206</v>
      </c>
      <c r="E118" s="8" t="s">
        <v>1207</v>
      </c>
      <c r="F118" s="8" t="s">
        <v>1209</v>
      </c>
      <c r="G118" s="8" t="s">
        <v>1210</v>
      </c>
      <c r="H118" s="8" t="s">
        <v>1211</v>
      </c>
      <c r="I118" s="8" t="s">
        <v>1212</v>
      </c>
      <c r="J118" s="8" t="s">
        <v>1213</v>
      </c>
      <c r="K118" s="8" t="s">
        <v>1214</v>
      </c>
      <c r="L118" s="8" t="s">
        <v>1215</v>
      </c>
      <c r="M118" s="8" t="s">
        <v>1216</v>
      </c>
      <c r="N118" s="8" t="s">
        <v>1218</v>
      </c>
      <c r="O118" s="8" t="s">
        <v>1358</v>
      </c>
      <c r="P118" s="8" t="s">
        <v>1359</v>
      </c>
      <c r="Q118" s="8" t="s">
        <v>1360</v>
      </c>
      <c r="R118" s="8" t="s">
        <v>1361</v>
      </c>
      <c r="S118" s="8" t="s">
        <v>1362</v>
      </c>
      <c r="T118" s="8" t="s">
        <v>1363</v>
      </c>
      <c r="U118" s="8" t="s">
        <v>1364</v>
      </c>
      <c r="V118" s="8" t="s">
        <v>1332</v>
      </c>
      <c r="W118" s="8" t="s">
        <v>1223</v>
      </c>
      <c r="X118" s="8" t="s">
        <v>1224</v>
      </c>
      <c r="Y118" s="19" t="s">
        <v>1226</v>
      </c>
      <c r="Z118" s="19" t="s">
        <v>981</v>
      </c>
      <c r="AA118" s="19" t="s">
        <v>1365</v>
      </c>
      <c r="AB118" s="19" t="s">
        <v>1366</v>
      </c>
      <c r="AC118" s="19" t="s">
        <v>1367</v>
      </c>
      <c r="AD118" s="19" t="s">
        <v>1368</v>
      </c>
      <c r="AE118" s="19" t="s">
        <v>988</v>
      </c>
      <c r="AF118" s="19" t="s">
        <v>1231</v>
      </c>
      <c r="AG118" s="19" t="s">
        <v>1232</v>
      </c>
      <c r="AH118" s="19" t="s">
        <v>1003</v>
      </c>
      <c r="AI118" s="19" t="s">
        <v>1233</v>
      </c>
      <c r="AJ118" s="19" t="s">
        <v>1234</v>
      </c>
      <c r="AK118" s="19" t="s">
        <v>954</v>
      </c>
      <c r="AL118" s="19" t="s">
        <v>1235</v>
      </c>
      <c r="AM118" s="19" t="s">
        <v>1236</v>
      </c>
      <c r="AN118" s="19" t="s">
        <v>1006</v>
      </c>
      <c r="AO118" s="19" t="s">
        <v>1008</v>
      </c>
      <c r="AP118" s="19" t="s">
        <v>1009</v>
      </c>
      <c r="AQ118" s="19" t="s">
        <v>1238</v>
      </c>
      <c r="AR118" s="19" t="s">
        <v>1239</v>
      </c>
      <c r="AS118" s="19" t="s">
        <v>1085</v>
      </c>
      <c r="AT118" s="19" t="s">
        <v>1240</v>
      </c>
      <c r="AU118" s="19" t="s">
        <v>1095</v>
      </c>
      <c r="AV118" s="19" t="s">
        <v>1241</v>
      </c>
      <c r="AW118" s="19" t="s">
        <v>1097</v>
      </c>
    </row>
    <row r="119" spans="1:49" x14ac:dyDescent="0.2">
      <c r="A119" s="10"/>
      <c r="B119" s="10"/>
      <c r="C119" s="12"/>
      <c r="D119" s="10"/>
      <c r="E119" s="10"/>
      <c r="F119" s="17"/>
      <c r="G119" s="17"/>
      <c r="H119" s="10"/>
      <c r="I119" s="10"/>
      <c r="J119" s="10"/>
      <c r="K119" s="17"/>
      <c r="L119" s="10"/>
      <c r="M119" s="17"/>
      <c r="N119" s="17"/>
      <c r="O119" s="17"/>
      <c r="P119" s="17"/>
      <c r="Q119" s="17"/>
      <c r="R119" s="10"/>
      <c r="S119" s="17"/>
      <c r="T119" s="17"/>
      <c r="U119" s="10"/>
      <c r="V119" s="17"/>
      <c r="W119" s="17"/>
      <c r="X119" s="10"/>
      <c r="Y119" s="21" t="str">
        <f t="shared" ref="Y119:Y126" si="200">IF(AO119=1,"",IF(AU119&lt;&gt;"",AU119&amp;": no result is shown","From "&amp;IF(AC119=0,"0",IF(ABS(AC119)&lt;0.0001,FIXED(IF(ABS(ROUND(AC119/10^INT(LOG10(ABS(AC119))),2))&gt;=10,ROUND(AC119/10^INT(LOG10(ABS(AC119))),2)/10,ROUND(AC119/10^INT(LOG10(ABS(AC119))),2)),2,TRUE)&amp;" × 10"&amp;SUBSTITUTE(SUBSTITUTE(SUBSTITUTE(SUBSTITUTE(SUBSTITUTE(SUBSTITUTE(SUBSTITUTE(SUBSTITUTE(SUBSTITUTE(SUBSTITUTE(SUBSTITUTE(TEXT((INT(LOG10(ABS(AC119)))+IF(ABS(ROUND(AC119/10^INT(LOG10(ABS(AC119))),2))&gt;=10,1,0)),"0"),"-","⁻"),"0","⁰"),"1","¹"),"2","²"),"3","³"),"4","⁴"),"5","⁵"),"6","⁶"),"7","⁷"),"8","⁸"),"9","⁹"),FIXED(ROUND(AC119,MAX(0,2-INT(LOG10(ABS(AC119))))),MAX(0,2-INT(LOG10(ABS(ROUND(AC119,MAX(0,2-INT(LOG10(ABS(AC119))))))))),FALSE)))&amp;"% (t_half "&amp;P119&amp;" "&amp;N119&amp;") to "&amp;IF(AD119=0,"0",IF(ABS(AD119)&lt;0.0001,FIXED(IF(ABS(ROUND(AD119/10^INT(LOG10(ABS(AD119))),2))&gt;=10,ROUND(AD119/10^INT(LOG10(ABS(AD119))),2)/10,ROUND(AD119/10^INT(LOG10(ABS(AD119))),2)),2,TRUE)&amp;" × 10"&amp;SUBSTITUTE(SUBSTITUTE(SUBSTITUTE(SUBSTITUTE(SUBSTITUTE(SUBSTITUTE(SUBSTITUTE(SUBSTITUTE(SUBSTITUTE(SUBSTITUTE(SUBSTITUTE(TEXT((INT(LOG10(ABS(AD119)))+IF(ABS(ROUND(AD119/10^INT(LOG10(ABS(AD119))),2))&gt;=10,1,0)),"0"),"-","⁻"),"0","⁰"),"1","¹"),"2","²"),"3","³"),"4","⁴"),"5","⁵"),"6","⁶"),"7","⁷"),"8","⁸"),"9","⁹"),FIXED(ROUND(AD119,MAX(0,2-INT(LOG10(ABS(AD119))))),MAX(0,2-INT(LOG10(ABS(ROUND(AD119,MAX(0,2-INT(LOG10(ABS(AD119))))))))),FALSE)))&amp;"% (t_half "&amp;S119&amp;" "&amp;N119&amp;") remaining; scenario range, not a confidence interval"))</f>
        <v/>
      </c>
      <c r="Z119" s="21" t="str">
        <f t="shared" ref="Z119:Z126" si="201">IF(AO119=1,"",IF(AW119=0,"Not calculable",MID(IF(TRUE,"; "&amp;"Fraction remaining at the lower half-life"&amp;": "&amp;IF(100*AA119=0,"0",IF(ABS(100*AA119)&lt;0.0001,FIXED(IF(ABS(ROUND(100*AA119/10^INT(LOG10(ABS(100*AA119))),2))&gt;=10,ROUND(100*AA119/10^INT(LOG10(ABS(100*AA119))),2)/10,ROUND(100*AA119/10^INT(LOG10(ABS(100*AA119))),2)),2,TRUE)&amp;" × 10"&amp;SUBSTITUTE(SUBSTITUTE(SUBSTITUTE(SUBSTITUTE(SUBSTITUTE(SUBSTITUTE(SUBSTITUTE(SUBSTITUTE(SUBSTITUTE(SUBSTITUTE(SUBSTITUTE(TEXT((INT(LOG10(ABS(100*AA119)))+IF(ABS(ROUND(100*AA119/10^INT(LOG10(ABS(100*AA119))),2))&gt;=10,1,0)),"0"),"-","⁻"),"0","⁰"),"1","¹"),"2","²"),"3","³"),"4","⁴"),"5","⁵"),"6","⁶"),"7","⁷"),"8","⁸"),"9","⁹"),FIXED(ROUND(100*AA119,MAX(0,2-INT(LOG10(ABS(100*AA119))))),MAX(0,2-INT(LOG10(ABS(ROUND(100*AA119,MAX(0,2-INT(LOG10(ABS(100*AA119))))))))),FALSE)))&amp;"%","")&amp;IF(TRUE,"; "&amp;"Fraction remaining at the upper half-life"&amp;": "&amp;IF(100*AB119=0,"0",IF(ABS(100*AB119)&lt;0.0001,FIXED(IF(ABS(ROUND(100*AB119/10^INT(LOG10(ABS(100*AB119))),2))&gt;=10,ROUND(100*AB119/10^INT(LOG10(ABS(100*AB119))),2)/10,ROUND(100*AB119/10^INT(LOG10(ABS(100*AB119))),2)),2,TRUE)&amp;" × 10"&amp;SUBSTITUTE(SUBSTITUTE(SUBSTITUTE(SUBSTITUTE(SUBSTITUTE(SUBSTITUTE(SUBSTITUTE(SUBSTITUTE(SUBSTITUTE(SUBSTITUTE(SUBSTITUTE(TEXT((INT(LOG10(ABS(100*AB119)))+IF(ABS(ROUND(100*AB119/10^INT(LOG10(ABS(100*AB119))),2))&gt;=10,1,0)),"0"),"-","⁻"),"0","⁰"),"1","¹"),"2","²"),"3","³"),"4","⁴"),"5","⁵"),"6","⁶"),"7","⁷"),"8","⁸"),"9","⁹"),FIXED(ROUND(100*AB119,MAX(0,2-INT(LOG10(ABS(100*AB119))))),MAX(0,2-INT(LOG10(ABS(ROUND(100*AB119,MAX(0,2-INT(LOG10(ABS(100*AB119))))))))),FALSE)))&amp;"%",""),3,9999)))</f>
        <v/>
      </c>
      <c r="AA119" s="21" t="str">
        <f t="shared" ref="AA119:AA126" si="202">IF(AW119=1,2^(-V119/P119),"")</f>
        <v/>
      </c>
      <c r="AB119" s="21" t="str">
        <f t="shared" ref="AB119:AB126" si="203">IF(AW119=1,2^(-V119/S119),"")</f>
        <v/>
      </c>
      <c r="AC119" s="21" t="str">
        <f t="shared" ref="AC119:AC126" si="204">IF(AW119=1,100*AA119,"")</f>
        <v/>
      </c>
      <c r="AD119" s="21" t="str">
        <f t="shared" ref="AD119:AD126" si="205">IF(AW119=1,100*AB119,"")</f>
        <v/>
      </c>
      <c r="AE119" s="21" t="str">
        <f t="shared" ref="AE119:AE126" si="206">IF(AO119=1,"",IF(AU119&lt;&gt;"",AU119,MID(IF(O119="Yes","; W_BIOLOGIC_MODEL_CAUTION","")&amp;IF(TRUE,"; I_SCENARIO_NOT_CI",""),3,999)))</f>
        <v/>
      </c>
      <c r="AF119" s="21" t="str">
        <f>IF(AO119=1,"",MID(IF(ISNUMBER(SEARCH("E_INVALID_DATE",AU119))," | E_INVALID_DATE: "&amp;SUBSTITUTE(IFERROR(INDEX(nMSG_Text,MATCH("E_INVALID_DATE",nMSG_Code,0)),""),"[input]",""),"")&amp;IF(ISNUMBER(SEARCH("E_REVERSED_BOUNDS",AU119))," | E_REVERSED_BOUNDS: "&amp;SUBSTITUTE(IFERROR(INDEX(nMSG_Text,MATCH("E_REVERSED_BOUNDS",nMSG_Code,0)),""),"[input]",""),"")&amp;IF(ISNUMBER(SEARCH("E_DUPLICATE_ID",AU119))," | E_DUPLICATE_ID: "&amp;SUBSTITUTE(IFERROR(INDEX(nMSG_Text,MATCH("E_DUPLICATE_ID",nMSG_Code,0)),""),"[input]",""),"")&amp;IF(ISNUMBER(SEARCH("E_MISSING_LINK",AU119))," | E_MISSING_LINK: "&amp;SUBSTITUTE(IFERROR(INDEX(nMSG_Text,MATCH("E_MISSING_LINK",nMSG_Code,0)),""),"[input]",""),"")&amp;IF(ISNUMBER(SEARCH("E_MISSING_INPUT",AU119))," | E_MISSING_INPUT: "&amp;SUBSTITUTE(IFERROR(INDEX(nMSG_Text,MATCH("E_MISSING_INPUT",nMSG_Code,0)),""),"[input]",IF(AV119="","an input",AV119)),"")&amp;IF(ISNUMBER(SEARCH("E_INVALID_UNIT",AU119))," | E_INVALID_UNIT: "&amp;SUBSTITUTE(IFERROR(INDEX(nMSG_Text,MATCH("E_INVALID_UNIT",nMSG_Code,0)),""),"[input]",""),"")&amp;IF(ISNUMBER(SEARCH("E_NONPOSITIVE_PARAMETER",AU119))," | E_NONPOSITIVE_PARAMETER: "&amp;SUBSTITUTE(IFERROR(INDEX(nMSG_Text,MATCH("E_NONPOSITIVE_PARAMETER",nMSG_Code,0)),""),"[input]",""),"")&amp;IF(ISNUMBER(SEARCH("E_OUT_OF_RANGE",AU119))," | E_OUT_OF_RANGE: "&amp;SUBSTITUTE(IFERROR(INDEX(nMSG_Text,MATCH("E_OUT_OF_RANGE",nMSG_Code,0)),""),"[input]",""),"")&amp;IF(ISNUMBER(SEARCH("E_APPLICABILITY_UNCONFIRMED",AU119))," | E_APPLICABILITY_UNCONFIRMED: "&amp;SUBSTITUTE(IFERROR(INDEX(nMSG_Text,MATCH("E_APPLICABILITY_UNCONFIRMED",nMSG_Code,0)),""),"[input]",""),"")&amp;IF(ISNUMBER(SEARCH("E_CREATININE_STABILITY_UNCONFIRMED",AU119))," | E_CREATININE_STABILITY_UNCONFIRMED: "&amp;SUBSTITUTE(IFERROR(INDEX(nMSG_Text,MATCH("E_CREATININE_STABILITY_UNCONFIRMED",nMSG_Code,0)),""),"[input]",""),"")&amp;IF(ISNUMBER(SEARCH("E_OVERLAPPING_SEGMENTS",AU119))," | E_OVERLAPPING_SEGMENTS: "&amp;SUBSTITUTE(IFERROR(INDEX(nMSG_Text,MATCH("E_OVERLAPPING_SEGMENTS",nMSG_Code,0)),""),"[input]",""),"")&amp;IF(AW119=1,IF(O119="Yes"," | W_BIOLOGIC_MODEL_CAUTION: "&amp;SUBSTITUTE(IFERROR(INDEX(nMSG_Text,MATCH("W_BIOLOGIC_MODEL_CAUTION",nMSG_Code,0)),""),"[input]",""),"")&amp;IF(TRUE," | I_SCENARIO_NOT_CI: "&amp;SUBSTITUTE(IFERROR(INDEX(nMSG_Text,MATCH("I_SCENARIO_NOT_CI",nMSG_Code,0)),""),"[input]",""),""),""),4,9999))</f>
        <v/>
      </c>
      <c r="AG119" s="21" t="str">
        <f t="shared" ref="AG119:AG126" si="207">IF(AO119=1,"","t_half_lower = "&amp;P119&amp;" "&amp;N119&amp;" ["&amp;IF(Q119="","status not recorded",Q119)&amp;IF(R119&lt;&gt;"","; "&amp;R119,"")&amp;"]"&amp;"; "&amp;"t_half_upper = "&amp;S119&amp;" "&amp;N119&amp;" ["&amp;IF(T119="","status not recorded",T119)&amp;IF(U119&lt;&gt;"","; "&amp;U119,"")&amp;"]"&amp;"; "&amp;"t = "&amp;V119&amp;" "&amp;N119&amp;" ["&amp;IF(W119="","status not recorded",W119)&amp;IF(X119&lt;&gt;"","; "&amp;X119,"")&amp;"]"&amp;"; monoclonal antibody: "&amp;IF(O119="Yes","yes","no"))</f>
        <v/>
      </c>
      <c r="AH119" s="21" t="str">
        <f t="shared" ref="AH119:AH126" si="208">IF(AO119=1,"",MID(""&amp;IF(AR119=1," | Gate confirmed: the simple model applies (one compartment, linear first-order elimination, constant parameters over the period). | Gate confirmed: the half-life used – type: "&amp;H119&amp;"; population: "&amp;I119&amp;"; source: "&amp;J119&amp;". | Gate confirmed: reference time – "&amp;L119&amp;". | Gate confirmed: each input’s Parameter_Status is recorded."," | Common gate not confirmed"&amp;IF(AND(F119="Yes",G119="Yes",K119="Yes",M119="Yes"),": a gate detail or a Parameter_Status is blank.",": "&amp;MID(IF(F119&lt;&gt;"Yes",", model","")&amp;IF(G119&lt;&gt;"Yes",", half-life used","")&amp;IF(K119&lt;&gt;"Yes",", reference time","")&amp;IF(M119&lt;&gt;"Yes",", Parameter_Status",""),3,99)&amp;" not confirmed."))&amp;IF(O119="Yes"," | The molecule is a monoclonal antibody, so the Q7 caution applies to each bound.","")&amp;IF(TRIM(E119&amp;"")&lt;&gt;""," | "&amp;E119,""),4,9999))</f>
        <v/>
      </c>
      <c r="AI119" s="21" t="str">
        <f t="shared" ref="AI119:AI126" si="209">IF(AW119=0,"",MID(IF(TRUE,"; "&amp;"Fraction remaining at the lower half-life"&amp;" = "&amp;AA119&amp;" ("&amp;IF(100*AA119=0,"0",IF(ABS(100*AA119)&lt;0.0001,FIXED(IF(ABS(ROUND(100*AA119/10^INT(LOG10(ABS(100*AA119))),2))&gt;=10,ROUND(100*AA119/10^INT(LOG10(ABS(100*AA119))),2)/10,ROUND(100*AA119/10^INT(LOG10(ABS(100*AA119))),2)),2,TRUE)&amp;" × 10"&amp;SUBSTITUTE(SUBSTITUTE(SUBSTITUTE(SUBSTITUTE(SUBSTITUTE(SUBSTITUTE(SUBSTITUTE(SUBSTITUTE(SUBSTITUTE(SUBSTITUTE(SUBSTITUTE(TEXT((INT(LOG10(ABS(100*AA119)))+IF(ABS(ROUND(100*AA119/10^INT(LOG10(ABS(100*AA119))),2))&gt;=10,1,0)),"0"),"-","⁻"),"0","⁰"),"1","¹"),"2","²"),"3","³"),"4","⁴"),"5","⁵"),"6","⁶"),"7","⁷"),"8","⁸"),"9","⁹"),FIXED(ROUND(100*AA119,MAX(0,2-INT(LOG10(ABS(100*AA119))))),MAX(0,2-INT(LOG10(ABS(ROUND(100*AA119,MAX(0,2-INT(LOG10(ABS(100*AA119))))))))),FALSE)))&amp;"%"&amp;")","")&amp;IF(TRUE,"; "&amp;"Fraction remaining at the upper half-life"&amp;" = "&amp;AB119&amp;" ("&amp;IF(100*AB119=0,"0",IF(ABS(100*AB119)&lt;0.0001,FIXED(IF(ABS(ROUND(100*AB119/10^INT(LOG10(ABS(100*AB119))),2))&gt;=10,ROUND(100*AB119/10^INT(LOG10(ABS(100*AB119))),2)/10,ROUND(100*AB119/10^INT(LOG10(ABS(100*AB119))),2)),2,TRUE)&amp;" × 10"&amp;SUBSTITUTE(SUBSTITUTE(SUBSTITUTE(SUBSTITUTE(SUBSTITUTE(SUBSTITUTE(SUBSTITUTE(SUBSTITUTE(SUBSTITUTE(SUBSTITUTE(SUBSTITUTE(TEXT((INT(LOG10(ABS(100*AB119)))+IF(ABS(ROUND(100*AB119/10^INT(LOG10(ABS(100*AB119))),2))&gt;=10,1,0)),"0"),"-","⁻"),"0","⁰"),"1","¹"),"2","²"),"3","³"),"4","⁴"),"5","⁵"),"6","⁶"),"7","⁷"),"8","⁸"),"9","⁹"),FIXED(ROUND(100*AB119,MAX(0,2-INT(LOG10(ABS(100*AB119))))),MAX(0,2-INT(LOG10(ABS(ROUND(100*AB119,MAX(0,2-INT(LOG10(ABS(100*AB119))))))))),FALSE)))&amp;"%"&amp;")",""),3,9999))</f>
        <v/>
      </c>
      <c r="AJ119" s="21" t="str">
        <f t="shared" ref="AJ119:AJ126" si="210">IF(AW119=0,"","fraction (shown as percent)")</f>
        <v/>
      </c>
      <c r="AK119" s="21" t="str">
        <f t="shared" ref="AK119:AK126" si="211">IF(AO119=1,"",IF(TRIM(D119&amp;"")&lt;&gt;"",D119,"Q8 Parameter uncertainty and scenarios"))</f>
        <v/>
      </c>
      <c r="AL119" s="21" t="str">
        <f t="shared" ref="AL119:AL126" si="212">IF(AO119=1,"","Assumption-based scenario range, not a confidence interval.")</f>
        <v/>
      </c>
      <c r="AM119" s="21" t="str">
        <f t="shared" ref="AM119:AM126" si="213">IF(AO119=1,"","Q1 evaluated at each half-life bound; no midpoint or average is calculated")</f>
        <v/>
      </c>
      <c r="AN119" s="21" t="str">
        <f t="shared" ref="AN119:AN126" si="214">IF(AO119=1,"","CALC-SPEC 1.1")</f>
        <v/>
      </c>
      <c r="AO119" s="22">
        <f t="shared" ref="AO119:AO126" si="215">IF(AND(A119="",P119="",V119=""),1,0)</f>
        <v>1</v>
      </c>
      <c r="AP119" s="21" t="str">
        <f t="shared" ref="AP119:AP126" si="216">IF(AO119=1,"",B119&amp;"|"&amp;C119)</f>
        <v/>
      </c>
      <c r="AQ119" s="21" t="str">
        <f t="shared" ref="AQ119:AQ126" si="217">IF(A119="","",B119&amp;"|"&amp;C119&amp;"|"&amp;A119)</f>
        <v/>
      </c>
      <c r="AR119" s="22">
        <f t="shared" ref="AR119:AR126" si="218">IF(AND(F119="Yes",G119="Yes",K119="Yes",M119="Yes",TRIM(H119&amp;"")&lt;&gt;"",TRIM(I119&amp;"")&lt;&gt;"",TRIM(J119&amp;"")&lt;&gt;"",TRIM(L119&amp;"")&lt;&gt;"",Q119&lt;&gt;"",T119&lt;&gt;"",W119&lt;&gt;""),1,0)</f>
        <v>0</v>
      </c>
      <c r="AS119" s="21" t="str">
        <f>IF(AO119=1,"",IF(A119="","; E_MISSING_INPUT","")&amp;IF(N119="","; E_MISSING_INPUT","")&amp;IF(AND(N119&lt;&gt;"",ISNA(MATCH(N119,nLIST_TimeUnit,0))),"; E_INVALID_UNIT","")&amp;IF(P119="","; E_MISSING_INPUT","")&amp;IF(AND(P119&lt;&gt;"",NOT(ISNUMBER(P119))),"; E_MISSING_INPUT","")&amp;IF(AND(ISNUMBER(P119),P119&lt;=0),"; E_NONPOSITIVE_PARAMETER","")&amp;IF(S119="","; E_MISSING_INPUT","")&amp;IF(AND(S119&lt;&gt;"",NOT(ISNUMBER(S119))),"; E_MISSING_INPUT","")&amp;IF(AND(ISNUMBER(S119),S119&lt;=0),"; E_NONPOSITIVE_PARAMETER","")&amp;IF(AND(ISNUMBER(P119),ISNUMBER(S119),P119&gt;0,S119&gt;0,P119&gt;S119),"; E_REVERSED_BOUNDS","")&amp;IF(V119="","; E_MISSING_INPUT","")&amp;IF(AND(V119&lt;&gt;"",NOT(ISNUMBER(V119))),"; E_MISSING_INPUT","")&amp;IF(AND(ISNUMBER(V119),V119&lt;0),"; E_OUT_OF_RANGE","")&amp;IF(TRIM(H119&amp;"")="","; E_MISSING_INPUT","")&amp;IF(TRIM(I119&amp;"")="","; E_MISSING_INPUT","")&amp;IF(TRIM(J119&amp;"")="","; E_MISSING_INPUT","")&amp;IF(TRIM(L119&amp;"")="","; E_MISSING_INPUT","")&amp;IF(Q119="","; E_MISSING_INPUT","")&amp;IF(T119="","; E_MISSING_INPUT","")&amp;IF(W119="","; E_MISSING_INPUT","")&amp;IF(AR119=0,"; E_APPLICABILITY_UNCONFIRMED",""))</f>
        <v/>
      </c>
      <c r="AT119" s="21" t="str">
        <f t="shared" ref="AT119:AT126" si="219">IF(AO119=1,"",IF(A119="",", a Calc_ID","")&amp;IF(N119="",", a time unit","")&amp;IF(P119="",", the lower half-life","")&amp;IF(AND(P119&lt;&gt;"",NOT(ISNUMBER(P119))),", the lower half-life as a number","")&amp;IF(S119="",", the upper half-life","")&amp;IF(AND(S119&lt;&gt;"",NOT(ISNUMBER(S119))),", the upper half-life as a number","")&amp;IF(V119="",", the time","")&amp;IF(AND(V119&lt;&gt;"",NOT(ISNUMBER(V119))),", the time as a number","")&amp;IF(TRIM(H119&amp;"")="",", the type of the half-life used","")&amp;IF(TRIM(I119&amp;"")="",", the population of the half-life used","")&amp;IF(TRIM(J119&amp;"")="",", the source of the half-life used","")&amp;IF(TRIM(L119&amp;"")="",", the reference time","")&amp;IF(Q119="",", the Parameter_Status of the lower half-life","")&amp;IF(T119="",", the Parameter_Status of the upper half-life","")&amp;IF(W119="",", the Parameter_Status of t",""))</f>
        <v/>
      </c>
      <c r="AU119" s="21" t="str">
        <f t="shared" ref="AU119:AU126" si="220">IF(AO119=1,"",MID(IF(ISNUMBER(SEARCH("E_INVALID_DATE",AS119)),"; E_INVALID_DATE","")&amp;IF(ISNUMBER(SEARCH("E_REVERSED_BOUNDS",AS119)),"; E_REVERSED_BOUNDS","")&amp;IF(ISNUMBER(SEARCH("E_DUPLICATE_ID",AS119)),"; E_DUPLICATE_ID","")&amp;IF(ISNUMBER(SEARCH("E_MISSING_LINK",AS119)),"; E_MISSING_LINK","")&amp;IF(ISNUMBER(SEARCH("E_MISSING_INPUT",AS119)),"; E_MISSING_INPUT","")&amp;IF(ISNUMBER(SEARCH("E_INVALID_UNIT",AS119)),"; E_INVALID_UNIT","")&amp;IF(ISNUMBER(SEARCH("E_NONPOSITIVE_PARAMETER",AS119)),"; E_NONPOSITIVE_PARAMETER","")&amp;IF(ISNUMBER(SEARCH("E_OUT_OF_RANGE",AS119)),"; E_OUT_OF_RANGE","")&amp;IF(ISNUMBER(SEARCH("E_APPLICABILITY_UNCONFIRMED",AS119)),"; E_APPLICABILITY_UNCONFIRMED","")&amp;IF(ISNUMBER(SEARCH("E_CREATININE_STABILITY_UNCONFIRMED",AS119)),"; E_CREATININE_STABILITY_UNCONFIRMED","")&amp;IF(ISNUMBER(SEARCH("E_OVERLAPPING_SEGMENTS",AS119)),"; E_OVERLAPPING_SEGMENTS",""),3,999))</f>
        <v/>
      </c>
      <c r="AV119" s="21" t="str">
        <f t="shared" ref="AV119:AV126" si="221">MID(AT119,3,999)</f>
        <v/>
      </c>
      <c r="AW119" s="22">
        <f t="shared" ref="AW119:AW126" si="222">IF(AND(AO119=0,AU119=""),1,0)</f>
        <v>0</v>
      </c>
    </row>
    <row r="120" spans="1:49" x14ac:dyDescent="0.2">
      <c r="A120" s="10"/>
      <c r="B120" s="10"/>
      <c r="C120" s="12"/>
      <c r="D120" s="10"/>
      <c r="E120" s="10"/>
      <c r="F120" s="17"/>
      <c r="G120" s="17"/>
      <c r="H120" s="10"/>
      <c r="I120" s="10"/>
      <c r="J120" s="10"/>
      <c r="K120" s="17"/>
      <c r="L120" s="10"/>
      <c r="M120" s="17"/>
      <c r="N120" s="17"/>
      <c r="O120" s="17"/>
      <c r="P120" s="17"/>
      <c r="Q120" s="17"/>
      <c r="R120" s="10"/>
      <c r="S120" s="17"/>
      <c r="T120" s="17"/>
      <c r="U120" s="10"/>
      <c r="V120" s="17"/>
      <c r="W120" s="17"/>
      <c r="X120" s="10"/>
      <c r="Y120" s="21" t="str">
        <f t="shared" si="200"/>
        <v/>
      </c>
      <c r="Z120" s="21" t="str">
        <f t="shared" si="201"/>
        <v/>
      </c>
      <c r="AA120" s="21" t="str">
        <f t="shared" si="202"/>
        <v/>
      </c>
      <c r="AB120" s="21" t="str">
        <f t="shared" si="203"/>
        <v/>
      </c>
      <c r="AC120" s="21" t="str">
        <f t="shared" si="204"/>
        <v/>
      </c>
      <c r="AD120" s="21" t="str">
        <f t="shared" si="205"/>
        <v/>
      </c>
      <c r="AE120" s="21" t="str">
        <f t="shared" si="206"/>
        <v/>
      </c>
      <c r="AF120" s="21" t="str">
        <f>IF(AO120=1,"",MID(IF(ISNUMBER(SEARCH("E_INVALID_DATE",AU120))," | E_INVALID_DATE: "&amp;SUBSTITUTE(IFERROR(INDEX(nMSG_Text,MATCH("E_INVALID_DATE",nMSG_Code,0)),""),"[input]",""),"")&amp;IF(ISNUMBER(SEARCH("E_REVERSED_BOUNDS",AU120))," | E_REVERSED_BOUNDS: "&amp;SUBSTITUTE(IFERROR(INDEX(nMSG_Text,MATCH("E_REVERSED_BOUNDS",nMSG_Code,0)),""),"[input]",""),"")&amp;IF(ISNUMBER(SEARCH("E_DUPLICATE_ID",AU120))," | E_DUPLICATE_ID: "&amp;SUBSTITUTE(IFERROR(INDEX(nMSG_Text,MATCH("E_DUPLICATE_ID",nMSG_Code,0)),""),"[input]",""),"")&amp;IF(ISNUMBER(SEARCH("E_MISSING_LINK",AU120))," | E_MISSING_LINK: "&amp;SUBSTITUTE(IFERROR(INDEX(nMSG_Text,MATCH("E_MISSING_LINK",nMSG_Code,0)),""),"[input]",""),"")&amp;IF(ISNUMBER(SEARCH("E_MISSING_INPUT",AU120))," | E_MISSING_INPUT: "&amp;SUBSTITUTE(IFERROR(INDEX(nMSG_Text,MATCH("E_MISSING_INPUT",nMSG_Code,0)),""),"[input]",IF(AV120="","an input",AV120)),"")&amp;IF(ISNUMBER(SEARCH("E_INVALID_UNIT",AU120))," | E_INVALID_UNIT: "&amp;SUBSTITUTE(IFERROR(INDEX(nMSG_Text,MATCH("E_INVALID_UNIT",nMSG_Code,0)),""),"[input]",""),"")&amp;IF(ISNUMBER(SEARCH("E_NONPOSITIVE_PARAMETER",AU120))," | E_NONPOSITIVE_PARAMETER: "&amp;SUBSTITUTE(IFERROR(INDEX(nMSG_Text,MATCH("E_NONPOSITIVE_PARAMETER",nMSG_Code,0)),""),"[input]",""),"")&amp;IF(ISNUMBER(SEARCH("E_OUT_OF_RANGE",AU120))," | E_OUT_OF_RANGE: "&amp;SUBSTITUTE(IFERROR(INDEX(nMSG_Text,MATCH("E_OUT_OF_RANGE",nMSG_Code,0)),""),"[input]",""),"")&amp;IF(ISNUMBER(SEARCH("E_APPLICABILITY_UNCONFIRMED",AU120))," | E_APPLICABILITY_UNCONFIRMED: "&amp;SUBSTITUTE(IFERROR(INDEX(nMSG_Text,MATCH("E_APPLICABILITY_UNCONFIRMED",nMSG_Code,0)),""),"[input]",""),"")&amp;IF(ISNUMBER(SEARCH("E_CREATININE_STABILITY_UNCONFIRMED",AU120))," | E_CREATININE_STABILITY_UNCONFIRMED: "&amp;SUBSTITUTE(IFERROR(INDEX(nMSG_Text,MATCH("E_CREATININE_STABILITY_UNCONFIRMED",nMSG_Code,0)),""),"[input]",""),"")&amp;IF(ISNUMBER(SEARCH("E_OVERLAPPING_SEGMENTS",AU120))," | E_OVERLAPPING_SEGMENTS: "&amp;SUBSTITUTE(IFERROR(INDEX(nMSG_Text,MATCH("E_OVERLAPPING_SEGMENTS",nMSG_Code,0)),""),"[input]",""),"")&amp;IF(AW120=1,IF(O120="Yes"," | W_BIOLOGIC_MODEL_CAUTION: "&amp;SUBSTITUTE(IFERROR(INDEX(nMSG_Text,MATCH("W_BIOLOGIC_MODEL_CAUTION",nMSG_Code,0)),""),"[input]",""),"")&amp;IF(TRUE," | I_SCENARIO_NOT_CI: "&amp;SUBSTITUTE(IFERROR(INDEX(nMSG_Text,MATCH("I_SCENARIO_NOT_CI",nMSG_Code,0)),""),"[input]",""),""),""),4,9999))</f>
        <v/>
      </c>
      <c r="AG120" s="21" t="str">
        <f t="shared" si="207"/>
        <v/>
      </c>
      <c r="AH120" s="21" t="str">
        <f t="shared" si="208"/>
        <v/>
      </c>
      <c r="AI120" s="21" t="str">
        <f t="shared" si="209"/>
        <v/>
      </c>
      <c r="AJ120" s="21" t="str">
        <f t="shared" si="210"/>
        <v/>
      </c>
      <c r="AK120" s="21" t="str">
        <f t="shared" si="211"/>
        <v/>
      </c>
      <c r="AL120" s="21" t="str">
        <f t="shared" si="212"/>
        <v/>
      </c>
      <c r="AM120" s="21" t="str">
        <f t="shared" si="213"/>
        <v/>
      </c>
      <c r="AN120" s="21" t="str">
        <f t="shared" si="214"/>
        <v/>
      </c>
      <c r="AO120" s="22">
        <f t="shared" si="215"/>
        <v>1</v>
      </c>
      <c r="AP120" s="21" t="str">
        <f t="shared" si="216"/>
        <v/>
      </c>
      <c r="AQ120" s="21" t="str">
        <f t="shared" si="217"/>
        <v/>
      </c>
      <c r="AR120" s="22">
        <f t="shared" si="218"/>
        <v>0</v>
      </c>
      <c r="AS120" s="21" t="str">
        <f>IF(AO120=1,"",IF(A120="","; E_MISSING_INPUT","")&amp;IF(N120="","; E_MISSING_INPUT","")&amp;IF(AND(N120&lt;&gt;"",ISNA(MATCH(N120,nLIST_TimeUnit,0))),"; E_INVALID_UNIT","")&amp;IF(P120="","; E_MISSING_INPUT","")&amp;IF(AND(P120&lt;&gt;"",NOT(ISNUMBER(P120))),"; E_MISSING_INPUT","")&amp;IF(AND(ISNUMBER(P120),P120&lt;=0),"; E_NONPOSITIVE_PARAMETER","")&amp;IF(S120="","; E_MISSING_INPUT","")&amp;IF(AND(S120&lt;&gt;"",NOT(ISNUMBER(S120))),"; E_MISSING_INPUT","")&amp;IF(AND(ISNUMBER(S120),S120&lt;=0),"; E_NONPOSITIVE_PARAMETER","")&amp;IF(AND(ISNUMBER(P120),ISNUMBER(S120),P120&gt;0,S120&gt;0,P120&gt;S120),"; E_REVERSED_BOUNDS","")&amp;IF(V120="","; E_MISSING_INPUT","")&amp;IF(AND(V120&lt;&gt;"",NOT(ISNUMBER(V120))),"; E_MISSING_INPUT","")&amp;IF(AND(ISNUMBER(V120),V120&lt;0),"; E_OUT_OF_RANGE","")&amp;IF(TRIM(H120&amp;"")="","; E_MISSING_INPUT","")&amp;IF(TRIM(I120&amp;"")="","; E_MISSING_INPUT","")&amp;IF(TRIM(J120&amp;"")="","; E_MISSING_INPUT","")&amp;IF(TRIM(L120&amp;"")="","; E_MISSING_INPUT","")&amp;IF(Q120="","; E_MISSING_INPUT","")&amp;IF(T120="","; E_MISSING_INPUT","")&amp;IF(W120="","; E_MISSING_INPUT","")&amp;IF(AR120=0,"; E_APPLICABILITY_UNCONFIRMED",""))</f>
        <v/>
      </c>
      <c r="AT120" s="21" t="str">
        <f t="shared" si="219"/>
        <v/>
      </c>
      <c r="AU120" s="21" t="str">
        <f t="shared" si="220"/>
        <v/>
      </c>
      <c r="AV120" s="21" t="str">
        <f t="shared" si="221"/>
        <v/>
      </c>
      <c r="AW120" s="22">
        <f t="shared" si="222"/>
        <v>0</v>
      </c>
    </row>
    <row r="121" spans="1:49" x14ac:dyDescent="0.2">
      <c r="A121" s="10"/>
      <c r="B121" s="10"/>
      <c r="C121" s="12"/>
      <c r="D121" s="10"/>
      <c r="E121" s="10"/>
      <c r="F121" s="17"/>
      <c r="G121" s="17"/>
      <c r="H121" s="10"/>
      <c r="I121" s="10"/>
      <c r="J121" s="10"/>
      <c r="K121" s="17"/>
      <c r="L121" s="10"/>
      <c r="M121" s="17"/>
      <c r="N121" s="17"/>
      <c r="O121" s="17"/>
      <c r="P121" s="17"/>
      <c r="Q121" s="17"/>
      <c r="R121" s="10"/>
      <c r="S121" s="17"/>
      <c r="T121" s="17"/>
      <c r="U121" s="10"/>
      <c r="V121" s="17"/>
      <c r="W121" s="17"/>
      <c r="X121" s="10"/>
      <c r="Y121" s="21" t="str">
        <f t="shared" si="200"/>
        <v/>
      </c>
      <c r="Z121" s="21" t="str">
        <f t="shared" si="201"/>
        <v/>
      </c>
      <c r="AA121" s="21" t="str">
        <f t="shared" si="202"/>
        <v/>
      </c>
      <c r="AB121" s="21" t="str">
        <f t="shared" si="203"/>
        <v/>
      </c>
      <c r="AC121" s="21" t="str">
        <f t="shared" si="204"/>
        <v/>
      </c>
      <c r="AD121" s="21" t="str">
        <f t="shared" si="205"/>
        <v/>
      </c>
      <c r="AE121" s="21" t="str">
        <f t="shared" si="206"/>
        <v/>
      </c>
      <c r="AF121" s="21" t="str">
        <f>IF(AO121=1,"",MID(IF(ISNUMBER(SEARCH("E_INVALID_DATE",AU121))," | E_INVALID_DATE: "&amp;SUBSTITUTE(IFERROR(INDEX(nMSG_Text,MATCH("E_INVALID_DATE",nMSG_Code,0)),""),"[input]",""),"")&amp;IF(ISNUMBER(SEARCH("E_REVERSED_BOUNDS",AU121))," | E_REVERSED_BOUNDS: "&amp;SUBSTITUTE(IFERROR(INDEX(nMSG_Text,MATCH("E_REVERSED_BOUNDS",nMSG_Code,0)),""),"[input]",""),"")&amp;IF(ISNUMBER(SEARCH("E_DUPLICATE_ID",AU121))," | E_DUPLICATE_ID: "&amp;SUBSTITUTE(IFERROR(INDEX(nMSG_Text,MATCH("E_DUPLICATE_ID",nMSG_Code,0)),""),"[input]",""),"")&amp;IF(ISNUMBER(SEARCH("E_MISSING_LINK",AU121))," | E_MISSING_LINK: "&amp;SUBSTITUTE(IFERROR(INDEX(nMSG_Text,MATCH("E_MISSING_LINK",nMSG_Code,0)),""),"[input]",""),"")&amp;IF(ISNUMBER(SEARCH("E_MISSING_INPUT",AU121))," | E_MISSING_INPUT: "&amp;SUBSTITUTE(IFERROR(INDEX(nMSG_Text,MATCH("E_MISSING_INPUT",nMSG_Code,0)),""),"[input]",IF(AV121="","an input",AV121)),"")&amp;IF(ISNUMBER(SEARCH("E_INVALID_UNIT",AU121))," | E_INVALID_UNIT: "&amp;SUBSTITUTE(IFERROR(INDEX(nMSG_Text,MATCH("E_INVALID_UNIT",nMSG_Code,0)),""),"[input]",""),"")&amp;IF(ISNUMBER(SEARCH("E_NONPOSITIVE_PARAMETER",AU121))," | E_NONPOSITIVE_PARAMETER: "&amp;SUBSTITUTE(IFERROR(INDEX(nMSG_Text,MATCH("E_NONPOSITIVE_PARAMETER",nMSG_Code,0)),""),"[input]",""),"")&amp;IF(ISNUMBER(SEARCH("E_OUT_OF_RANGE",AU121))," | E_OUT_OF_RANGE: "&amp;SUBSTITUTE(IFERROR(INDEX(nMSG_Text,MATCH("E_OUT_OF_RANGE",nMSG_Code,0)),""),"[input]",""),"")&amp;IF(ISNUMBER(SEARCH("E_APPLICABILITY_UNCONFIRMED",AU121))," | E_APPLICABILITY_UNCONFIRMED: "&amp;SUBSTITUTE(IFERROR(INDEX(nMSG_Text,MATCH("E_APPLICABILITY_UNCONFIRMED",nMSG_Code,0)),""),"[input]",""),"")&amp;IF(ISNUMBER(SEARCH("E_CREATININE_STABILITY_UNCONFIRMED",AU121))," | E_CREATININE_STABILITY_UNCONFIRMED: "&amp;SUBSTITUTE(IFERROR(INDEX(nMSG_Text,MATCH("E_CREATININE_STABILITY_UNCONFIRMED",nMSG_Code,0)),""),"[input]",""),"")&amp;IF(ISNUMBER(SEARCH("E_OVERLAPPING_SEGMENTS",AU121))," | E_OVERLAPPING_SEGMENTS: "&amp;SUBSTITUTE(IFERROR(INDEX(nMSG_Text,MATCH("E_OVERLAPPING_SEGMENTS",nMSG_Code,0)),""),"[input]",""),"")&amp;IF(AW121=1,IF(O121="Yes"," | W_BIOLOGIC_MODEL_CAUTION: "&amp;SUBSTITUTE(IFERROR(INDEX(nMSG_Text,MATCH("W_BIOLOGIC_MODEL_CAUTION",nMSG_Code,0)),""),"[input]",""),"")&amp;IF(TRUE," | I_SCENARIO_NOT_CI: "&amp;SUBSTITUTE(IFERROR(INDEX(nMSG_Text,MATCH("I_SCENARIO_NOT_CI",nMSG_Code,0)),""),"[input]",""),""),""),4,9999))</f>
        <v/>
      </c>
      <c r="AG121" s="21" t="str">
        <f t="shared" si="207"/>
        <v/>
      </c>
      <c r="AH121" s="21" t="str">
        <f t="shared" si="208"/>
        <v/>
      </c>
      <c r="AI121" s="21" t="str">
        <f t="shared" si="209"/>
        <v/>
      </c>
      <c r="AJ121" s="21" t="str">
        <f t="shared" si="210"/>
        <v/>
      </c>
      <c r="AK121" s="21" t="str">
        <f t="shared" si="211"/>
        <v/>
      </c>
      <c r="AL121" s="21" t="str">
        <f t="shared" si="212"/>
        <v/>
      </c>
      <c r="AM121" s="21" t="str">
        <f t="shared" si="213"/>
        <v/>
      </c>
      <c r="AN121" s="21" t="str">
        <f t="shared" si="214"/>
        <v/>
      </c>
      <c r="AO121" s="22">
        <f t="shared" si="215"/>
        <v>1</v>
      </c>
      <c r="AP121" s="21" t="str">
        <f t="shared" si="216"/>
        <v/>
      </c>
      <c r="AQ121" s="21" t="str">
        <f t="shared" si="217"/>
        <v/>
      </c>
      <c r="AR121" s="22">
        <f t="shared" si="218"/>
        <v>0</v>
      </c>
      <c r="AS121" s="21" t="str">
        <f>IF(AO121=1,"",IF(A121="","; E_MISSING_INPUT","")&amp;IF(N121="","; E_MISSING_INPUT","")&amp;IF(AND(N121&lt;&gt;"",ISNA(MATCH(N121,nLIST_TimeUnit,0))),"; E_INVALID_UNIT","")&amp;IF(P121="","; E_MISSING_INPUT","")&amp;IF(AND(P121&lt;&gt;"",NOT(ISNUMBER(P121))),"; E_MISSING_INPUT","")&amp;IF(AND(ISNUMBER(P121),P121&lt;=0),"; E_NONPOSITIVE_PARAMETER","")&amp;IF(S121="","; E_MISSING_INPUT","")&amp;IF(AND(S121&lt;&gt;"",NOT(ISNUMBER(S121))),"; E_MISSING_INPUT","")&amp;IF(AND(ISNUMBER(S121),S121&lt;=0),"; E_NONPOSITIVE_PARAMETER","")&amp;IF(AND(ISNUMBER(P121),ISNUMBER(S121),P121&gt;0,S121&gt;0,P121&gt;S121),"; E_REVERSED_BOUNDS","")&amp;IF(V121="","; E_MISSING_INPUT","")&amp;IF(AND(V121&lt;&gt;"",NOT(ISNUMBER(V121))),"; E_MISSING_INPUT","")&amp;IF(AND(ISNUMBER(V121),V121&lt;0),"; E_OUT_OF_RANGE","")&amp;IF(TRIM(H121&amp;"")="","; E_MISSING_INPUT","")&amp;IF(TRIM(I121&amp;"")="","; E_MISSING_INPUT","")&amp;IF(TRIM(J121&amp;"")="","; E_MISSING_INPUT","")&amp;IF(TRIM(L121&amp;"")="","; E_MISSING_INPUT","")&amp;IF(Q121="","; E_MISSING_INPUT","")&amp;IF(T121="","; E_MISSING_INPUT","")&amp;IF(W121="","; E_MISSING_INPUT","")&amp;IF(AR121=0,"; E_APPLICABILITY_UNCONFIRMED",""))</f>
        <v/>
      </c>
      <c r="AT121" s="21" t="str">
        <f t="shared" si="219"/>
        <v/>
      </c>
      <c r="AU121" s="21" t="str">
        <f t="shared" si="220"/>
        <v/>
      </c>
      <c r="AV121" s="21" t="str">
        <f t="shared" si="221"/>
        <v/>
      </c>
      <c r="AW121" s="22">
        <f t="shared" si="222"/>
        <v>0</v>
      </c>
    </row>
    <row r="122" spans="1:49" x14ac:dyDescent="0.2">
      <c r="A122" s="10"/>
      <c r="B122" s="10"/>
      <c r="C122" s="12"/>
      <c r="D122" s="10"/>
      <c r="E122" s="10"/>
      <c r="F122" s="17"/>
      <c r="G122" s="17"/>
      <c r="H122" s="10"/>
      <c r="I122" s="10"/>
      <c r="J122" s="10"/>
      <c r="K122" s="17"/>
      <c r="L122" s="10"/>
      <c r="M122" s="17"/>
      <c r="N122" s="17"/>
      <c r="O122" s="17"/>
      <c r="P122" s="17"/>
      <c r="Q122" s="17"/>
      <c r="R122" s="10"/>
      <c r="S122" s="17"/>
      <c r="T122" s="17"/>
      <c r="U122" s="10"/>
      <c r="V122" s="17"/>
      <c r="W122" s="17"/>
      <c r="X122" s="10"/>
      <c r="Y122" s="21" t="str">
        <f t="shared" si="200"/>
        <v/>
      </c>
      <c r="Z122" s="21" t="str">
        <f t="shared" si="201"/>
        <v/>
      </c>
      <c r="AA122" s="21" t="str">
        <f t="shared" si="202"/>
        <v/>
      </c>
      <c r="AB122" s="21" t="str">
        <f t="shared" si="203"/>
        <v/>
      </c>
      <c r="AC122" s="21" t="str">
        <f t="shared" si="204"/>
        <v/>
      </c>
      <c r="AD122" s="21" t="str">
        <f t="shared" si="205"/>
        <v/>
      </c>
      <c r="AE122" s="21" t="str">
        <f t="shared" si="206"/>
        <v/>
      </c>
      <c r="AF122" s="21" t="str">
        <f>IF(AO122=1,"",MID(IF(ISNUMBER(SEARCH("E_INVALID_DATE",AU122))," | E_INVALID_DATE: "&amp;SUBSTITUTE(IFERROR(INDEX(nMSG_Text,MATCH("E_INVALID_DATE",nMSG_Code,0)),""),"[input]",""),"")&amp;IF(ISNUMBER(SEARCH("E_REVERSED_BOUNDS",AU122))," | E_REVERSED_BOUNDS: "&amp;SUBSTITUTE(IFERROR(INDEX(nMSG_Text,MATCH("E_REVERSED_BOUNDS",nMSG_Code,0)),""),"[input]",""),"")&amp;IF(ISNUMBER(SEARCH("E_DUPLICATE_ID",AU122))," | E_DUPLICATE_ID: "&amp;SUBSTITUTE(IFERROR(INDEX(nMSG_Text,MATCH("E_DUPLICATE_ID",nMSG_Code,0)),""),"[input]",""),"")&amp;IF(ISNUMBER(SEARCH("E_MISSING_LINK",AU122))," | E_MISSING_LINK: "&amp;SUBSTITUTE(IFERROR(INDEX(nMSG_Text,MATCH("E_MISSING_LINK",nMSG_Code,0)),""),"[input]",""),"")&amp;IF(ISNUMBER(SEARCH("E_MISSING_INPUT",AU122))," | E_MISSING_INPUT: "&amp;SUBSTITUTE(IFERROR(INDEX(nMSG_Text,MATCH("E_MISSING_INPUT",nMSG_Code,0)),""),"[input]",IF(AV122="","an input",AV122)),"")&amp;IF(ISNUMBER(SEARCH("E_INVALID_UNIT",AU122))," | E_INVALID_UNIT: "&amp;SUBSTITUTE(IFERROR(INDEX(nMSG_Text,MATCH("E_INVALID_UNIT",nMSG_Code,0)),""),"[input]",""),"")&amp;IF(ISNUMBER(SEARCH("E_NONPOSITIVE_PARAMETER",AU122))," | E_NONPOSITIVE_PARAMETER: "&amp;SUBSTITUTE(IFERROR(INDEX(nMSG_Text,MATCH("E_NONPOSITIVE_PARAMETER",nMSG_Code,0)),""),"[input]",""),"")&amp;IF(ISNUMBER(SEARCH("E_OUT_OF_RANGE",AU122))," | E_OUT_OF_RANGE: "&amp;SUBSTITUTE(IFERROR(INDEX(nMSG_Text,MATCH("E_OUT_OF_RANGE",nMSG_Code,0)),""),"[input]",""),"")&amp;IF(ISNUMBER(SEARCH("E_APPLICABILITY_UNCONFIRMED",AU122))," | E_APPLICABILITY_UNCONFIRMED: "&amp;SUBSTITUTE(IFERROR(INDEX(nMSG_Text,MATCH("E_APPLICABILITY_UNCONFIRMED",nMSG_Code,0)),""),"[input]",""),"")&amp;IF(ISNUMBER(SEARCH("E_CREATININE_STABILITY_UNCONFIRMED",AU122))," | E_CREATININE_STABILITY_UNCONFIRMED: "&amp;SUBSTITUTE(IFERROR(INDEX(nMSG_Text,MATCH("E_CREATININE_STABILITY_UNCONFIRMED",nMSG_Code,0)),""),"[input]",""),"")&amp;IF(ISNUMBER(SEARCH("E_OVERLAPPING_SEGMENTS",AU122))," | E_OVERLAPPING_SEGMENTS: "&amp;SUBSTITUTE(IFERROR(INDEX(nMSG_Text,MATCH("E_OVERLAPPING_SEGMENTS",nMSG_Code,0)),""),"[input]",""),"")&amp;IF(AW122=1,IF(O122="Yes"," | W_BIOLOGIC_MODEL_CAUTION: "&amp;SUBSTITUTE(IFERROR(INDEX(nMSG_Text,MATCH("W_BIOLOGIC_MODEL_CAUTION",nMSG_Code,0)),""),"[input]",""),"")&amp;IF(TRUE," | I_SCENARIO_NOT_CI: "&amp;SUBSTITUTE(IFERROR(INDEX(nMSG_Text,MATCH("I_SCENARIO_NOT_CI",nMSG_Code,0)),""),"[input]",""),""),""),4,9999))</f>
        <v/>
      </c>
      <c r="AG122" s="21" t="str">
        <f t="shared" si="207"/>
        <v/>
      </c>
      <c r="AH122" s="21" t="str">
        <f t="shared" si="208"/>
        <v/>
      </c>
      <c r="AI122" s="21" t="str">
        <f t="shared" si="209"/>
        <v/>
      </c>
      <c r="AJ122" s="21" t="str">
        <f t="shared" si="210"/>
        <v/>
      </c>
      <c r="AK122" s="21" t="str">
        <f t="shared" si="211"/>
        <v/>
      </c>
      <c r="AL122" s="21" t="str">
        <f t="shared" si="212"/>
        <v/>
      </c>
      <c r="AM122" s="21" t="str">
        <f t="shared" si="213"/>
        <v/>
      </c>
      <c r="AN122" s="21" t="str">
        <f t="shared" si="214"/>
        <v/>
      </c>
      <c r="AO122" s="22">
        <f t="shared" si="215"/>
        <v>1</v>
      </c>
      <c r="AP122" s="21" t="str">
        <f t="shared" si="216"/>
        <v/>
      </c>
      <c r="AQ122" s="21" t="str">
        <f t="shared" si="217"/>
        <v/>
      </c>
      <c r="AR122" s="22">
        <f t="shared" si="218"/>
        <v>0</v>
      </c>
      <c r="AS122" s="21" t="str">
        <f>IF(AO122=1,"",IF(A122="","; E_MISSING_INPUT","")&amp;IF(N122="","; E_MISSING_INPUT","")&amp;IF(AND(N122&lt;&gt;"",ISNA(MATCH(N122,nLIST_TimeUnit,0))),"; E_INVALID_UNIT","")&amp;IF(P122="","; E_MISSING_INPUT","")&amp;IF(AND(P122&lt;&gt;"",NOT(ISNUMBER(P122))),"; E_MISSING_INPUT","")&amp;IF(AND(ISNUMBER(P122),P122&lt;=0),"; E_NONPOSITIVE_PARAMETER","")&amp;IF(S122="","; E_MISSING_INPUT","")&amp;IF(AND(S122&lt;&gt;"",NOT(ISNUMBER(S122))),"; E_MISSING_INPUT","")&amp;IF(AND(ISNUMBER(S122),S122&lt;=0),"; E_NONPOSITIVE_PARAMETER","")&amp;IF(AND(ISNUMBER(P122),ISNUMBER(S122),P122&gt;0,S122&gt;0,P122&gt;S122),"; E_REVERSED_BOUNDS","")&amp;IF(V122="","; E_MISSING_INPUT","")&amp;IF(AND(V122&lt;&gt;"",NOT(ISNUMBER(V122))),"; E_MISSING_INPUT","")&amp;IF(AND(ISNUMBER(V122),V122&lt;0),"; E_OUT_OF_RANGE","")&amp;IF(TRIM(H122&amp;"")="","; E_MISSING_INPUT","")&amp;IF(TRIM(I122&amp;"")="","; E_MISSING_INPUT","")&amp;IF(TRIM(J122&amp;"")="","; E_MISSING_INPUT","")&amp;IF(TRIM(L122&amp;"")="","; E_MISSING_INPUT","")&amp;IF(Q122="","; E_MISSING_INPUT","")&amp;IF(T122="","; E_MISSING_INPUT","")&amp;IF(W122="","; E_MISSING_INPUT","")&amp;IF(AR122=0,"; E_APPLICABILITY_UNCONFIRMED",""))</f>
        <v/>
      </c>
      <c r="AT122" s="21" t="str">
        <f t="shared" si="219"/>
        <v/>
      </c>
      <c r="AU122" s="21" t="str">
        <f t="shared" si="220"/>
        <v/>
      </c>
      <c r="AV122" s="21" t="str">
        <f t="shared" si="221"/>
        <v/>
      </c>
      <c r="AW122" s="22">
        <f t="shared" si="222"/>
        <v>0</v>
      </c>
    </row>
    <row r="123" spans="1:49" x14ac:dyDescent="0.2">
      <c r="A123" s="10"/>
      <c r="B123" s="10"/>
      <c r="C123" s="12"/>
      <c r="D123" s="10"/>
      <c r="E123" s="10"/>
      <c r="F123" s="17"/>
      <c r="G123" s="17"/>
      <c r="H123" s="10"/>
      <c r="I123" s="10"/>
      <c r="J123" s="10"/>
      <c r="K123" s="17"/>
      <c r="L123" s="10"/>
      <c r="M123" s="17"/>
      <c r="N123" s="17"/>
      <c r="O123" s="17"/>
      <c r="P123" s="17"/>
      <c r="Q123" s="17"/>
      <c r="R123" s="10"/>
      <c r="S123" s="17"/>
      <c r="T123" s="17"/>
      <c r="U123" s="10"/>
      <c r="V123" s="17"/>
      <c r="W123" s="17"/>
      <c r="X123" s="10"/>
      <c r="Y123" s="21" t="str">
        <f t="shared" si="200"/>
        <v/>
      </c>
      <c r="Z123" s="21" t="str">
        <f t="shared" si="201"/>
        <v/>
      </c>
      <c r="AA123" s="21" t="str">
        <f t="shared" si="202"/>
        <v/>
      </c>
      <c r="AB123" s="21" t="str">
        <f t="shared" si="203"/>
        <v/>
      </c>
      <c r="AC123" s="21" t="str">
        <f t="shared" si="204"/>
        <v/>
      </c>
      <c r="AD123" s="21" t="str">
        <f t="shared" si="205"/>
        <v/>
      </c>
      <c r="AE123" s="21" t="str">
        <f t="shared" si="206"/>
        <v/>
      </c>
      <c r="AF123" s="21" t="str">
        <f>IF(AO123=1,"",MID(IF(ISNUMBER(SEARCH("E_INVALID_DATE",AU123))," | E_INVALID_DATE: "&amp;SUBSTITUTE(IFERROR(INDEX(nMSG_Text,MATCH("E_INVALID_DATE",nMSG_Code,0)),""),"[input]",""),"")&amp;IF(ISNUMBER(SEARCH("E_REVERSED_BOUNDS",AU123))," | E_REVERSED_BOUNDS: "&amp;SUBSTITUTE(IFERROR(INDEX(nMSG_Text,MATCH("E_REVERSED_BOUNDS",nMSG_Code,0)),""),"[input]",""),"")&amp;IF(ISNUMBER(SEARCH("E_DUPLICATE_ID",AU123))," | E_DUPLICATE_ID: "&amp;SUBSTITUTE(IFERROR(INDEX(nMSG_Text,MATCH("E_DUPLICATE_ID",nMSG_Code,0)),""),"[input]",""),"")&amp;IF(ISNUMBER(SEARCH("E_MISSING_LINK",AU123))," | E_MISSING_LINK: "&amp;SUBSTITUTE(IFERROR(INDEX(nMSG_Text,MATCH("E_MISSING_LINK",nMSG_Code,0)),""),"[input]",""),"")&amp;IF(ISNUMBER(SEARCH("E_MISSING_INPUT",AU123))," | E_MISSING_INPUT: "&amp;SUBSTITUTE(IFERROR(INDEX(nMSG_Text,MATCH("E_MISSING_INPUT",nMSG_Code,0)),""),"[input]",IF(AV123="","an input",AV123)),"")&amp;IF(ISNUMBER(SEARCH("E_INVALID_UNIT",AU123))," | E_INVALID_UNIT: "&amp;SUBSTITUTE(IFERROR(INDEX(nMSG_Text,MATCH("E_INVALID_UNIT",nMSG_Code,0)),""),"[input]",""),"")&amp;IF(ISNUMBER(SEARCH("E_NONPOSITIVE_PARAMETER",AU123))," | E_NONPOSITIVE_PARAMETER: "&amp;SUBSTITUTE(IFERROR(INDEX(nMSG_Text,MATCH("E_NONPOSITIVE_PARAMETER",nMSG_Code,0)),""),"[input]",""),"")&amp;IF(ISNUMBER(SEARCH("E_OUT_OF_RANGE",AU123))," | E_OUT_OF_RANGE: "&amp;SUBSTITUTE(IFERROR(INDEX(nMSG_Text,MATCH("E_OUT_OF_RANGE",nMSG_Code,0)),""),"[input]",""),"")&amp;IF(ISNUMBER(SEARCH("E_APPLICABILITY_UNCONFIRMED",AU123))," | E_APPLICABILITY_UNCONFIRMED: "&amp;SUBSTITUTE(IFERROR(INDEX(nMSG_Text,MATCH("E_APPLICABILITY_UNCONFIRMED",nMSG_Code,0)),""),"[input]",""),"")&amp;IF(ISNUMBER(SEARCH("E_CREATININE_STABILITY_UNCONFIRMED",AU123))," | E_CREATININE_STABILITY_UNCONFIRMED: "&amp;SUBSTITUTE(IFERROR(INDEX(nMSG_Text,MATCH("E_CREATININE_STABILITY_UNCONFIRMED",nMSG_Code,0)),""),"[input]",""),"")&amp;IF(ISNUMBER(SEARCH("E_OVERLAPPING_SEGMENTS",AU123))," | E_OVERLAPPING_SEGMENTS: "&amp;SUBSTITUTE(IFERROR(INDEX(nMSG_Text,MATCH("E_OVERLAPPING_SEGMENTS",nMSG_Code,0)),""),"[input]",""),"")&amp;IF(AW123=1,IF(O123="Yes"," | W_BIOLOGIC_MODEL_CAUTION: "&amp;SUBSTITUTE(IFERROR(INDEX(nMSG_Text,MATCH("W_BIOLOGIC_MODEL_CAUTION",nMSG_Code,0)),""),"[input]",""),"")&amp;IF(TRUE," | I_SCENARIO_NOT_CI: "&amp;SUBSTITUTE(IFERROR(INDEX(nMSG_Text,MATCH("I_SCENARIO_NOT_CI",nMSG_Code,0)),""),"[input]",""),""),""),4,9999))</f>
        <v/>
      </c>
      <c r="AG123" s="21" t="str">
        <f t="shared" si="207"/>
        <v/>
      </c>
      <c r="AH123" s="21" t="str">
        <f t="shared" si="208"/>
        <v/>
      </c>
      <c r="AI123" s="21" t="str">
        <f t="shared" si="209"/>
        <v/>
      </c>
      <c r="AJ123" s="21" t="str">
        <f t="shared" si="210"/>
        <v/>
      </c>
      <c r="AK123" s="21" t="str">
        <f t="shared" si="211"/>
        <v/>
      </c>
      <c r="AL123" s="21" t="str">
        <f t="shared" si="212"/>
        <v/>
      </c>
      <c r="AM123" s="21" t="str">
        <f t="shared" si="213"/>
        <v/>
      </c>
      <c r="AN123" s="21" t="str">
        <f t="shared" si="214"/>
        <v/>
      </c>
      <c r="AO123" s="22">
        <f t="shared" si="215"/>
        <v>1</v>
      </c>
      <c r="AP123" s="21" t="str">
        <f t="shared" si="216"/>
        <v/>
      </c>
      <c r="AQ123" s="21" t="str">
        <f t="shared" si="217"/>
        <v/>
      </c>
      <c r="AR123" s="22">
        <f t="shared" si="218"/>
        <v>0</v>
      </c>
      <c r="AS123" s="21" t="str">
        <f>IF(AO123=1,"",IF(A123="","; E_MISSING_INPUT","")&amp;IF(N123="","; E_MISSING_INPUT","")&amp;IF(AND(N123&lt;&gt;"",ISNA(MATCH(N123,nLIST_TimeUnit,0))),"; E_INVALID_UNIT","")&amp;IF(P123="","; E_MISSING_INPUT","")&amp;IF(AND(P123&lt;&gt;"",NOT(ISNUMBER(P123))),"; E_MISSING_INPUT","")&amp;IF(AND(ISNUMBER(P123),P123&lt;=0),"; E_NONPOSITIVE_PARAMETER","")&amp;IF(S123="","; E_MISSING_INPUT","")&amp;IF(AND(S123&lt;&gt;"",NOT(ISNUMBER(S123))),"; E_MISSING_INPUT","")&amp;IF(AND(ISNUMBER(S123),S123&lt;=0),"; E_NONPOSITIVE_PARAMETER","")&amp;IF(AND(ISNUMBER(P123),ISNUMBER(S123),P123&gt;0,S123&gt;0,P123&gt;S123),"; E_REVERSED_BOUNDS","")&amp;IF(V123="","; E_MISSING_INPUT","")&amp;IF(AND(V123&lt;&gt;"",NOT(ISNUMBER(V123))),"; E_MISSING_INPUT","")&amp;IF(AND(ISNUMBER(V123),V123&lt;0),"; E_OUT_OF_RANGE","")&amp;IF(TRIM(H123&amp;"")="","; E_MISSING_INPUT","")&amp;IF(TRIM(I123&amp;"")="","; E_MISSING_INPUT","")&amp;IF(TRIM(J123&amp;"")="","; E_MISSING_INPUT","")&amp;IF(TRIM(L123&amp;"")="","; E_MISSING_INPUT","")&amp;IF(Q123="","; E_MISSING_INPUT","")&amp;IF(T123="","; E_MISSING_INPUT","")&amp;IF(W123="","; E_MISSING_INPUT","")&amp;IF(AR123=0,"; E_APPLICABILITY_UNCONFIRMED",""))</f>
        <v/>
      </c>
      <c r="AT123" s="21" t="str">
        <f t="shared" si="219"/>
        <v/>
      </c>
      <c r="AU123" s="21" t="str">
        <f t="shared" si="220"/>
        <v/>
      </c>
      <c r="AV123" s="21" t="str">
        <f t="shared" si="221"/>
        <v/>
      </c>
      <c r="AW123" s="22">
        <f t="shared" si="222"/>
        <v>0</v>
      </c>
    </row>
    <row r="124" spans="1:49" x14ac:dyDescent="0.2">
      <c r="A124" s="10"/>
      <c r="B124" s="10"/>
      <c r="C124" s="12"/>
      <c r="D124" s="10"/>
      <c r="E124" s="10"/>
      <c r="F124" s="17"/>
      <c r="G124" s="17"/>
      <c r="H124" s="10"/>
      <c r="I124" s="10"/>
      <c r="J124" s="10"/>
      <c r="K124" s="17"/>
      <c r="L124" s="10"/>
      <c r="M124" s="17"/>
      <c r="N124" s="17"/>
      <c r="O124" s="17"/>
      <c r="P124" s="17"/>
      <c r="Q124" s="17"/>
      <c r="R124" s="10"/>
      <c r="S124" s="17"/>
      <c r="T124" s="17"/>
      <c r="U124" s="10"/>
      <c r="V124" s="17"/>
      <c r="W124" s="17"/>
      <c r="X124" s="10"/>
      <c r="Y124" s="21" t="str">
        <f t="shared" si="200"/>
        <v/>
      </c>
      <c r="Z124" s="21" t="str">
        <f t="shared" si="201"/>
        <v/>
      </c>
      <c r="AA124" s="21" t="str">
        <f t="shared" si="202"/>
        <v/>
      </c>
      <c r="AB124" s="21" t="str">
        <f t="shared" si="203"/>
        <v/>
      </c>
      <c r="AC124" s="21" t="str">
        <f t="shared" si="204"/>
        <v/>
      </c>
      <c r="AD124" s="21" t="str">
        <f t="shared" si="205"/>
        <v/>
      </c>
      <c r="AE124" s="21" t="str">
        <f t="shared" si="206"/>
        <v/>
      </c>
      <c r="AF124" s="21" t="str">
        <f>IF(AO124=1,"",MID(IF(ISNUMBER(SEARCH("E_INVALID_DATE",AU124))," | E_INVALID_DATE: "&amp;SUBSTITUTE(IFERROR(INDEX(nMSG_Text,MATCH("E_INVALID_DATE",nMSG_Code,0)),""),"[input]",""),"")&amp;IF(ISNUMBER(SEARCH("E_REVERSED_BOUNDS",AU124))," | E_REVERSED_BOUNDS: "&amp;SUBSTITUTE(IFERROR(INDEX(nMSG_Text,MATCH("E_REVERSED_BOUNDS",nMSG_Code,0)),""),"[input]",""),"")&amp;IF(ISNUMBER(SEARCH("E_DUPLICATE_ID",AU124))," | E_DUPLICATE_ID: "&amp;SUBSTITUTE(IFERROR(INDEX(nMSG_Text,MATCH("E_DUPLICATE_ID",nMSG_Code,0)),""),"[input]",""),"")&amp;IF(ISNUMBER(SEARCH("E_MISSING_LINK",AU124))," | E_MISSING_LINK: "&amp;SUBSTITUTE(IFERROR(INDEX(nMSG_Text,MATCH("E_MISSING_LINK",nMSG_Code,0)),""),"[input]",""),"")&amp;IF(ISNUMBER(SEARCH("E_MISSING_INPUT",AU124))," | E_MISSING_INPUT: "&amp;SUBSTITUTE(IFERROR(INDEX(nMSG_Text,MATCH("E_MISSING_INPUT",nMSG_Code,0)),""),"[input]",IF(AV124="","an input",AV124)),"")&amp;IF(ISNUMBER(SEARCH("E_INVALID_UNIT",AU124))," | E_INVALID_UNIT: "&amp;SUBSTITUTE(IFERROR(INDEX(nMSG_Text,MATCH("E_INVALID_UNIT",nMSG_Code,0)),""),"[input]",""),"")&amp;IF(ISNUMBER(SEARCH("E_NONPOSITIVE_PARAMETER",AU124))," | E_NONPOSITIVE_PARAMETER: "&amp;SUBSTITUTE(IFERROR(INDEX(nMSG_Text,MATCH("E_NONPOSITIVE_PARAMETER",nMSG_Code,0)),""),"[input]",""),"")&amp;IF(ISNUMBER(SEARCH("E_OUT_OF_RANGE",AU124))," | E_OUT_OF_RANGE: "&amp;SUBSTITUTE(IFERROR(INDEX(nMSG_Text,MATCH("E_OUT_OF_RANGE",nMSG_Code,0)),""),"[input]",""),"")&amp;IF(ISNUMBER(SEARCH("E_APPLICABILITY_UNCONFIRMED",AU124))," | E_APPLICABILITY_UNCONFIRMED: "&amp;SUBSTITUTE(IFERROR(INDEX(nMSG_Text,MATCH("E_APPLICABILITY_UNCONFIRMED",nMSG_Code,0)),""),"[input]",""),"")&amp;IF(ISNUMBER(SEARCH("E_CREATININE_STABILITY_UNCONFIRMED",AU124))," | E_CREATININE_STABILITY_UNCONFIRMED: "&amp;SUBSTITUTE(IFERROR(INDEX(nMSG_Text,MATCH("E_CREATININE_STABILITY_UNCONFIRMED",nMSG_Code,0)),""),"[input]",""),"")&amp;IF(ISNUMBER(SEARCH("E_OVERLAPPING_SEGMENTS",AU124))," | E_OVERLAPPING_SEGMENTS: "&amp;SUBSTITUTE(IFERROR(INDEX(nMSG_Text,MATCH("E_OVERLAPPING_SEGMENTS",nMSG_Code,0)),""),"[input]",""),"")&amp;IF(AW124=1,IF(O124="Yes"," | W_BIOLOGIC_MODEL_CAUTION: "&amp;SUBSTITUTE(IFERROR(INDEX(nMSG_Text,MATCH("W_BIOLOGIC_MODEL_CAUTION",nMSG_Code,0)),""),"[input]",""),"")&amp;IF(TRUE," | I_SCENARIO_NOT_CI: "&amp;SUBSTITUTE(IFERROR(INDEX(nMSG_Text,MATCH("I_SCENARIO_NOT_CI",nMSG_Code,0)),""),"[input]",""),""),""),4,9999))</f>
        <v/>
      </c>
      <c r="AG124" s="21" t="str">
        <f t="shared" si="207"/>
        <v/>
      </c>
      <c r="AH124" s="21" t="str">
        <f t="shared" si="208"/>
        <v/>
      </c>
      <c r="AI124" s="21" t="str">
        <f t="shared" si="209"/>
        <v/>
      </c>
      <c r="AJ124" s="21" t="str">
        <f t="shared" si="210"/>
        <v/>
      </c>
      <c r="AK124" s="21" t="str">
        <f t="shared" si="211"/>
        <v/>
      </c>
      <c r="AL124" s="21" t="str">
        <f t="shared" si="212"/>
        <v/>
      </c>
      <c r="AM124" s="21" t="str">
        <f t="shared" si="213"/>
        <v/>
      </c>
      <c r="AN124" s="21" t="str">
        <f t="shared" si="214"/>
        <v/>
      </c>
      <c r="AO124" s="22">
        <f t="shared" si="215"/>
        <v>1</v>
      </c>
      <c r="AP124" s="21" t="str">
        <f t="shared" si="216"/>
        <v/>
      </c>
      <c r="AQ124" s="21" t="str">
        <f t="shared" si="217"/>
        <v/>
      </c>
      <c r="AR124" s="22">
        <f t="shared" si="218"/>
        <v>0</v>
      </c>
      <c r="AS124" s="21" t="str">
        <f>IF(AO124=1,"",IF(A124="","; E_MISSING_INPUT","")&amp;IF(N124="","; E_MISSING_INPUT","")&amp;IF(AND(N124&lt;&gt;"",ISNA(MATCH(N124,nLIST_TimeUnit,0))),"; E_INVALID_UNIT","")&amp;IF(P124="","; E_MISSING_INPUT","")&amp;IF(AND(P124&lt;&gt;"",NOT(ISNUMBER(P124))),"; E_MISSING_INPUT","")&amp;IF(AND(ISNUMBER(P124),P124&lt;=0),"; E_NONPOSITIVE_PARAMETER","")&amp;IF(S124="","; E_MISSING_INPUT","")&amp;IF(AND(S124&lt;&gt;"",NOT(ISNUMBER(S124))),"; E_MISSING_INPUT","")&amp;IF(AND(ISNUMBER(S124),S124&lt;=0),"; E_NONPOSITIVE_PARAMETER","")&amp;IF(AND(ISNUMBER(P124),ISNUMBER(S124),P124&gt;0,S124&gt;0,P124&gt;S124),"; E_REVERSED_BOUNDS","")&amp;IF(V124="","; E_MISSING_INPUT","")&amp;IF(AND(V124&lt;&gt;"",NOT(ISNUMBER(V124))),"; E_MISSING_INPUT","")&amp;IF(AND(ISNUMBER(V124),V124&lt;0),"; E_OUT_OF_RANGE","")&amp;IF(TRIM(H124&amp;"")="","; E_MISSING_INPUT","")&amp;IF(TRIM(I124&amp;"")="","; E_MISSING_INPUT","")&amp;IF(TRIM(J124&amp;"")="","; E_MISSING_INPUT","")&amp;IF(TRIM(L124&amp;"")="","; E_MISSING_INPUT","")&amp;IF(Q124="","; E_MISSING_INPUT","")&amp;IF(T124="","; E_MISSING_INPUT","")&amp;IF(W124="","; E_MISSING_INPUT","")&amp;IF(AR124=0,"; E_APPLICABILITY_UNCONFIRMED",""))</f>
        <v/>
      </c>
      <c r="AT124" s="21" t="str">
        <f t="shared" si="219"/>
        <v/>
      </c>
      <c r="AU124" s="21" t="str">
        <f t="shared" si="220"/>
        <v/>
      </c>
      <c r="AV124" s="21" t="str">
        <f t="shared" si="221"/>
        <v/>
      </c>
      <c r="AW124" s="22">
        <f t="shared" si="222"/>
        <v>0</v>
      </c>
    </row>
    <row r="125" spans="1:49" x14ac:dyDescent="0.2">
      <c r="A125" s="10"/>
      <c r="B125" s="10"/>
      <c r="C125" s="12"/>
      <c r="D125" s="10"/>
      <c r="E125" s="10"/>
      <c r="F125" s="17"/>
      <c r="G125" s="17"/>
      <c r="H125" s="10"/>
      <c r="I125" s="10"/>
      <c r="J125" s="10"/>
      <c r="K125" s="17"/>
      <c r="L125" s="10"/>
      <c r="M125" s="17"/>
      <c r="N125" s="17"/>
      <c r="O125" s="17"/>
      <c r="P125" s="17"/>
      <c r="Q125" s="17"/>
      <c r="R125" s="10"/>
      <c r="S125" s="17"/>
      <c r="T125" s="17"/>
      <c r="U125" s="10"/>
      <c r="V125" s="17"/>
      <c r="W125" s="17"/>
      <c r="X125" s="10"/>
      <c r="Y125" s="21" t="str">
        <f t="shared" si="200"/>
        <v/>
      </c>
      <c r="Z125" s="21" t="str">
        <f t="shared" si="201"/>
        <v/>
      </c>
      <c r="AA125" s="21" t="str">
        <f t="shared" si="202"/>
        <v/>
      </c>
      <c r="AB125" s="21" t="str">
        <f t="shared" si="203"/>
        <v/>
      </c>
      <c r="AC125" s="21" t="str">
        <f t="shared" si="204"/>
        <v/>
      </c>
      <c r="AD125" s="21" t="str">
        <f t="shared" si="205"/>
        <v/>
      </c>
      <c r="AE125" s="21" t="str">
        <f t="shared" si="206"/>
        <v/>
      </c>
      <c r="AF125" s="21" t="str">
        <f>IF(AO125=1,"",MID(IF(ISNUMBER(SEARCH("E_INVALID_DATE",AU125))," | E_INVALID_DATE: "&amp;SUBSTITUTE(IFERROR(INDEX(nMSG_Text,MATCH("E_INVALID_DATE",nMSG_Code,0)),""),"[input]",""),"")&amp;IF(ISNUMBER(SEARCH("E_REVERSED_BOUNDS",AU125))," | E_REVERSED_BOUNDS: "&amp;SUBSTITUTE(IFERROR(INDEX(nMSG_Text,MATCH("E_REVERSED_BOUNDS",nMSG_Code,0)),""),"[input]",""),"")&amp;IF(ISNUMBER(SEARCH("E_DUPLICATE_ID",AU125))," | E_DUPLICATE_ID: "&amp;SUBSTITUTE(IFERROR(INDEX(nMSG_Text,MATCH("E_DUPLICATE_ID",nMSG_Code,0)),""),"[input]",""),"")&amp;IF(ISNUMBER(SEARCH("E_MISSING_LINK",AU125))," | E_MISSING_LINK: "&amp;SUBSTITUTE(IFERROR(INDEX(nMSG_Text,MATCH("E_MISSING_LINK",nMSG_Code,0)),""),"[input]",""),"")&amp;IF(ISNUMBER(SEARCH("E_MISSING_INPUT",AU125))," | E_MISSING_INPUT: "&amp;SUBSTITUTE(IFERROR(INDEX(nMSG_Text,MATCH("E_MISSING_INPUT",nMSG_Code,0)),""),"[input]",IF(AV125="","an input",AV125)),"")&amp;IF(ISNUMBER(SEARCH("E_INVALID_UNIT",AU125))," | E_INVALID_UNIT: "&amp;SUBSTITUTE(IFERROR(INDEX(nMSG_Text,MATCH("E_INVALID_UNIT",nMSG_Code,0)),""),"[input]",""),"")&amp;IF(ISNUMBER(SEARCH("E_NONPOSITIVE_PARAMETER",AU125))," | E_NONPOSITIVE_PARAMETER: "&amp;SUBSTITUTE(IFERROR(INDEX(nMSG_Text,MATCH("E_NONPOSITIVE_PARAMETER",nMSG_Code,0)),""),"[input]",""),"")&amp;IF(ISNUMBER(SEARCH("E_OUT_OF_RANGE",AU125))," | E_OUT_OF_RANGE: "&amp;SUBSTITUTE(IFERROR(INDEX(nMSG_Text,MATCH("E_OUT_OF_RANGE",nMSG_Code,0)),""),"[input]",""),"")&amp;IF(ISNUMBER(SEARCH("E_APPLICABILITY_UNCONFIRMED",AU125))," | E_APPLICABILITY_UNCONFIRMED: "&amp;SUBSTITUTE(IFERROR(INDEX(nMSG_Text,MATCH("E_APPLICABILITY_UNCONFIRMED",nMSG_Code,0)),""),"[input]",""),"")&amp;IF(ISNUMBER(SEARCH("E_CREATININE_STABILITY_UNCONFIRMED",AU125))," | E_CREATININE_STABILITY_UNCONFIRMED: "&amp;SUBSTITUTE(IFERROR(INDEX(nMSG_Text,MATCH("E_CREATININE_STABILITY_UNCONFIRMED",nMSG_Code,0)),""),"[input]",""),"")&amp;IF(ISNUMBER(SEARCH("E_OVERLAPPING_SEGMENTS",AU125))," | E_OVERLAPPING_SEGMENTS: "&amp;SUBSTITUTE(IFERROR(INDEX(nMSG_Text,MATCH("E_OVERLAPPING_SEGMENTS",nMSG_Code,0)),""),"[input]",""),"")&amp;IF(AW125=1,IF(O125="Yes"," | W_BIOLOGIC_MODEL_CAUTION: "&amp;SUBSTITUTE(IFERROR(INDEX(nMSG_Text,MATCH("W_BIOLOGIC_MODEL_CAUTION",nMSG_Code,0)),""),"[input]",""),"")&amp;IF(TRUE," | I_SCENARIO_NOT_CI: "&amp;SUBSTITUTE(IFERROR(INDEX(nMSG_Text,MATCH("I_SCENARIO_NOT_CI",nMSG_Code,0)),""),"[input]",""),""),""),4,9999))</f>
        <v/>
      </c>
      <c r="AG125" s="21" t="str">
        <f t="shared" si="207"/>
        <v/>
      </c>
      <c r="AH125" s="21" t="str">
        <f t="shared" si="208"/>
        <v/>
      </c>
      <c r="AI125" s="21" t="str">
        <f t="shared" si="209"/>
        <v/>
      </c>
      <c r="AJ125" s="21" t="str">
        <f t="shared" si="210"/>
        <v/>
      </c>
      <c r="AK125" s="21" t="str">
        <f t="shared" si="211"/>
        <v/>
      </c>
      <c r="AL125" s="21" t="str">
        <f t="shared" si="212"/>
        <v/>
      </c>
      <c r="AM125" s="21" t="str">
        <f t="shared" si="213"/>
        <v/>
      </c>
      <c r="AN125" s="21" t="str">
        <f t="shared" si="214"/>
        <v/>
      </c>
      <c r="AO125" s="22">
        <f t="shared" si="215"/>
        <v>1</v>
      </c>
      <c r="AP125" s="21" t="str">
        <f t="shared" si="216"/>
        <v/>
      </c>
      <c r="AQ125" s="21" t="str">
        <f t="shared" si="217"/>
        <v/>
      </c>
      <c r="AR125" s="22">
        <f t="shared" si="218"/>
        <v>0</v>
      </c>
      <c r="AS125" s="21" t="str">
        <f>IF(AO125=1,"",IF(A125="","; E_MISSING_INPUT","")&amp;IF(N125="","; E_MISSING_INPUT","")&amp;IF(AND(N125&lt;&gt;"",ISNA(MATCH(N125,nLIST_TimeUnit,0))),"; E_INVALID_UNIT","")&amp;IF(P125="","; E_MISSING_INPUT","")&amp;IF(AND(P125&lt;&gt;"",NOT(ISNUMBER(P125))),"; E_MISSING_INPUT","")&amp;IF(AND(ISNUMBER(P125),P125&lt;=0),"; E_NONPOSITIVE_PARAMETER","")&amp;IF(S125="","; E_MISSING_INPUT","")&amp;IF(AND(S125&lt;&gt;"",NOT(ISNUMBER(S125))),"; E_MISSING_INPUT","")&amp;IF(AND(ISNUMBER(S125),S125&lt;=0),"; E_NONPOSITIVE_PARAMETER","")&amp;IF(AND(ISNUMBER(P125),ISNUMBER(S125),P125&gt;0,S125&gt;0,P125&gt;S125),"; E_REVERSED_BOUNDS","")&amp;IF(V125="","; E_MISSING_INPUT","")&amp;IF(AND(V125&lt;&gt;"",NOT(ISNUMBER(V125))),"; E_MISSING_INPUT","")&amp;IF(AND(ISNUMBER(V125),V125&lt;0),"; E_OUT_OF_RANGE","")&amp;IF(TRIM(H125&amp;"")="","; E_MISSING_INPUT","")&amp;IF(TRIM(I125&amp;"")="","; E_MISSING_INPUT","")&amp;IF(TRIM(J125&amp;"")="","; E_MISSING_INPUT","")&amp;IF(TRIM(L125&amp;"")="","; E_MISSING_INPUT","")&amp;IF(Q125="","; E_MISSING_INPUT","")&amp;IF(T125="","; E_MISSING_INPUT","")&amp;IF(W125="","; E_MISSING_INPUT","")&amp;IF(AR125=0,"; E_APPLICABILITY_UNCONFIRMED",""))</f>
        <v/>
      </c>
      <c r="AT125" s="21" t="str">
        <f t="shared" si="219"/>
        <v/>
      </c>
      <c r="AU125" s="21" t="str">
        <f t="shared" si="220"/>
        <v/>
      </c>
      <c r="AV125" s="21" t="str">
        <f t="shared" si="221"/>
        <v/>
      </c>
      <c r="AW125" s="22">
        <f t="shared" si="222"/>
        <v>0</v>
      </c>
    </row>
    <row r="126" spans="1:49" x14ac:dyDescent="0.2">
      <c r="A126" s="10"/>
      <c r="B126" s="10"/>
      <c r="C126" s="12"/>
      <c r="D126" s="10"/>
      <c r="E126" s="10"/>
      <c r="F126" s="17"/>
      <c r="G126" s="17"/>
      <c r="H126" s="10"/>
      <c r="I126" s="10"/>
      <c r="J126" s="10"/>
      <c r="K126" s="17"/>
      <c r="L126" s="10"/>
      <c r="M126" s="17"/>
      <c r="N126" s="17"/>
      <c r="O126" s="17"/>
      <c r="P126" s="17"/>
      <c r="Q126" s="17"/>
      <c r="R126" s="10"/>
      <c r="S126" s="17"/>
      <c r="T126" s="17"/>
      <c r="U126" s="10"/>
      <c r="V126" s="17"/>
      <c r="W126" s="17"/>
      <c r="X126" s="10"/>
      <c r="Y126" s="21" t="str">
        <f t="shared" si="200"/>
        <v/>
      </c>
      <c r="Z126" s="21" t="str">
        <f t="shared" si="201"/>
        <v/>
      </c>
      <c r="AA126" s="21" t="str">
        <f t="shared" si="202"/>
        <v/>
      </c>
      <c r="AB126" s="21" t="str">
        <f t="shared" si="203"/>
        <v/>
      </c>
      <c r="AC126" s="21" t="str">
        <f t="shared" si="204"/>
        <v/>
      </c>
      <c r="AD126" s="21" t="str">
        <f t="shared" si="205"/>
        <v/>
      </c>
      <c r="AE126" s="21" t="str">
        <f t="shared" si="206"/>
        <v/>
      </c>
      <c r="AF126" s="21" t="str">
        <f>IF(AO126=1,"",MID(IF(ISNUMBER(SEARCH("E_INVALID_DATE",AU126))," | E_INVALID_DATE: "&amp;SUBSTITUTE(IFERROR(INDEX(nMSG_Text,MATCH("E_INVALID_DATE",nMSG_Code,0)),""),"[input]",""),"")&amp;IF(ISNUMBER(SEARCH("E_REVERSED_BOUNDS",AU126))," | E_REVERSED_BOUNDS: "&amp;SUBSTITUTE(IFERROR(INDEX(nMSG_Text,MATCH("E_REVERSED_BOUNDS",nMSG_Code,0)),""),"[input]",""),"")&amp;IF(ISNUMBER(SEARCH("E_DUPLICATE_ID",AU126))," | E_DUPLICATE_ID: "&amp;SUBSTITUTE(IFERROR(INDEX(nMSG_Text,MATCH("E_DUPLICATE_ID",nMSG_Code,0)),""),"[input]",""),"")&amp;IF(ISNUMBER(SEARCH("E_MISSING_LINK",AU126))," | E_MISSING_LINK: "&amp;SUBSTITUTE(IFERROR(INDEX(nMSG_Text,MATCH("E_MISSING_LINK",nMSG_Code,0)),""),"[input]",""),"")&amp;IF(ISNUMBER(SEARCH("E_MISSING_INPUT",AU126))," | E_MISSING_INPUT: "&amp;SUBSTITUTE(IFERROR(INDEX(nMSG_Text,MATCH("E_MISSING_INPUT",nMSG_Code,0)),""),"[input]",IF(AV126="","an input",AV126)),"")&amp;IF(ISNUMBER(SEARCH("E_INVALID_UNIT",AU126))," | E_INVALID_UNIT: "&amp;SUBSTITUTE(IFERROR(INDEX(nMSG_Text,MATCH("E_INVALID_UNIT",nMSG_Code,0)),""),"[input]",""),"")&amp;IF(ISNUMBER(SEARCH("E_NONPOSITIVE_PARAMETER",AU126))," | E_NONPOSITIVE_PARAMETER: "&amp;SUBSTITUTE(IFERROR(INDEX(nMSG_Text,MATCH("E_NONPOSITIVE_PARAMETER",nMSG_Code,0)),""),"[input]",""),"")&amp;IF(ISNUMBER(SEARCH("E_OUT_OF_RANGE",AU126))," | E_OUT_OF_RANGE: "&amp;SUBSTITUTE(IFERROR(INDEX(nMSG_Text,MATCH("E_OUT_OF_RANGE",nMSG_Code,0)),""),"[input]",""),"")&amp;IF(ISNUMBER(SEARCH("E_APPLICABILITY_UNCONFIRMED",AU126))," | E_APPLICABILITY_UNCONFIRMED: "&amp;SUBSTITUTE(IFERROR(INDEX(nMSG_Text,MATCH("E_APPLICABILITY_UNCONFIRMED",nMSG_Code,0)),""),"[input]",""),"")&amp;IF(ISNUMBER(SEARCH("E_CREATININE_STABILITY_UNCONFIRMED",AU126))," | E_CREATININE_STABILITY_UNCONFIRMED: "&amp;SUBSTITUTE(IFERROR(INDEX(nMSG_Text,MATCH("E_CREATININE_STABILITY_UNCONFIRMED",nMSG_Code,0)),""),"[input]",""),"")&amp;IF(ISNUMBER(SEARCH("E_OVERLAPPING_SEGMENTS",AU126))," | E_OVERLAPPING_SEGMENTS: "&amp;SUBSTITUTE(IFERROR(INDEX(nMSG_Text,MATCH("E_OVERLAPPING_SEGMENTS",nMSG_Code,0)),""),"[input]",""),"")&amp;IF(AW126=1,IF(O126="Yes"," | W_BIOLOGIC_MODEL_CAUTION: "&amp;SUBSTITUTE(IFERROR(INDEX(nMSG_Text,MATCH("W_BIOLOGIC_MODEL_CAUTION",nMSG_Code,0)),""),"[input]",""),"")&amp;IF(TRUE," | I_SCENARIO_NOT_CI: "&amp;SUBSTITUTE(IFERROR(INDEX(nMSG_Text,MATCH("I_SCENARIO_NOT_CI",nMSG_Code,0)),""),"[input]",""),""),""),4,9999))</f>
        <v/>
      </c>
      <c r="AG126" s="21" t="str">
        <f t="shared" si="207"/>
        <v/>
      </c>
      <c r="AH126" s="21" t="str">
        <f t="shared" si="208"/>
        <v/>
      </c>
      <c r="AI126" s="21" t="str">
        <f t="shared" si="209"/>
        <v/>
      </c>
      <c r="AJ126" s="21" t="str">
        <f t="shared" si="210"/>
        <v/>
      </c>
      <c r="AK126" s="21" t="str">
        <f t="shared" si="211"/>
        <v/>
      </c>
      <c r="AL126" s="21" t="str">
        <f t="shared" si="212"/>
        <v/>
      </c>
      <c r="AM126" s="21" t="str">
        <f t="shared" si="213"/>
        <v/>
      </c>
      <c r="AN126" s="21" t="str">
        <f t="shared" si="214"/>
        <v/>
      </c>
      <c r="AO126" s="22">
        <f t="shared" si="215"/>
        <v>1</v>
      </c>
      <c r="AP126" s="21" t="str">
        <f t="shared" si="216"/>
        <v/>
      </c>
      <c r="AQ126" s="21" t="str">
        <f t="shared" si="217"/>
        <v/>
      </c>
      <c r="AR126" s="22">
        <f t="shared" si="218"/>
        <v>0</v>
      </c>
      <c r="AS126" s="21" t="str">
        <f>IF(AO126=1,"",IF(A126="","; E_MISSING_INPUT","")&amp;IF(N126="","; E_MISSING_INPUT","")&amp;IF(AND(N126&lt;&gt;"",ISNA(MATCH(N126,nLIST_TimeUnit,0))),"; E_INVALID_UNIT","")&amp;IF(P126="","; E_MISSING_INPUT","")&amp;IF(AND(P126&lt;&gt;"",NOT(ISNUMBER(P126))),"; E_MISSING_INPUT","")&amp;IF(AND(ISNUMBER(P126),P126&lt;=0),"; E_NONPOSITIVE_PARAMETER","")&amp;IF(S126="","; E_MISSING_INPUT","")&amp;IF(AND(S126&lt;&gt;"",NOT(ISNUMBER(S126))),"; E_MISSING_INPUT","")&amp;IF(AND(ISNUMBER(S126),S126&lt;=0),"; E_NONPOSITIVE_PARAMETER","")&amp;IF(AND(ISNUMBER(P126),ISNUMBER(S126),P126&gt;0,S126&gt;0,P126&gt;S126),"; E_REVERSED_BOUNDS","")&amp;IF(V126="","; E_MISSING_INPUT","")&amp;IF(AND(V126&lt;&gt;"",NOT(ISNUMBER(V126))),"; E_MISSING_INPUT","")&amp;IF(AND(ISNUMBER(V126),V126&lt;0),"; E_OUT_OF_RANGE","")&amp;IF(TRIM(H126&amp;"")="","; E_MISSING_INPUT","")&amp;IF(TRIM(I126&amp;"")="","; E_MISSING_INPUT","")&amp;IF(TRIM(J126&amp;"")="","; E_MISSING_INPUT","")&amp;IF(TRIM(L126&amp;"")="","; E_MISSING_INPUT","")&amp;IF(Q126="","; E_MISSING_INPUT","")&amp;IF(T126="","; E_MISSING_INPUT","")&amp;IF(W126="","; E_MISSING_INPUT","")&amp;IF(AR126=0,"; E_APPLICABILITY_UNCONFIRMED",""))</f>
        <v/>
      </c>
      <c r="AT126" s="21" t="str">
        <f t="shared" si="219"/>
        <v/>
      </c>
      <c r="AU126" s="21" t="str">
        <f t="shared" si="220"/>
        <v/>
      </c>
      <c r="AV126" s="21" t="str">
        <f t="shared" si="221"/>
        <v/>
      </c>
      <c r="AW126" s="22">
        <f t="shared" si="222"/>
        <v>0</v>
      </c>
    </row>
    <row r="127" spans="1:49" x14ac:dyDescent="0.2">
      <c r="A127" s="24" t="s">
        <v>294</v>
      </c>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row>
    <row r="128" spans="1:49" x14ac:dyDescent="0.2">
      <c r="A128" s="9" t="s">
        <v>1369</v>
      </c>
      <c r="B128" s="9" t="s">
        <v>301</v>
      </c>
      <c r="C128" s="11">
        <v>2</v>
      </c>
      <c r="D128" s="9" t="s">
        <v>1370</v>
      </c>
      <c r="E128" s="9"/>
      <c r="F128" s="16" t="s">
        <v>85</v>
      </c>
      <c r="G128" s="16" t="s">
        <v>85</v>
      </c>
      <c r="H128" s="9" t="s">
        <v>1374</v>
      </c>
      <c r="I128" s="9" t="s">
        <v>1371</v>
      </c>
      <c r="J128" s="9" t="s">
        <v>1373</v>
      </c>
      <c r="K128" s="16" t="s">
        <v>85</v>
      </c>
      <c r="L128" s="9" t="s">
        <v>1372</v>
      </c>
      <c r="M128" s="16" t="s">
        <v>85</v>
      </c>
      <c r="N128" s="16" t="s">
        <v>68</v>
      </c>
      <c r="O128" s="16" t="s">
        <v>86</v>
      </c>
      <c r="P128" s="16">
        <v>1.5</v>
      </c>
      <c r="Q128" s="16" t="s">
        <v>79</v>
      </c>
      <c r="R128" s="9" t="s">
        <v>1373</v>
      </c>
      <c r="S128" s="16">
        <v>2</v>
      </c>
      <c r="T128" s="16" t="s">
        <v>79</v>
      </c>
      <c r="U128" s="9" t="s">
        <v>1373</v>
      </c>
      <c r="V128" s="16">
        <v>3</v>
      </c>
      <c r="W128" s="16" t="s">
        <v>81</v>
      </c>
      <c r="X128" s="9" t="s">
        <v>1375</v>
      </c>
      <c r="Y128" s="21" t="str">
        <f t="shared" ref="Y128:Y133" si="223">IF(AO128=1,"",IF(AU128&lt;&gt;"",AU128&amp;": no result is shown","From "&amp;IF(AC128=0,"0",IF(ABS(AC128)&lt;0.0001,FIXED(IF(ABS(ROUND(AC128/10^INT(LOG10(ABS(AC128))),2))&gt;=10,ROUND(AC128/10^INT(LOG10(ABS(AC128))),2)/10,ROUND(AC128/10^INT(LOG10(ABS(AC128))),2)),2,TRUE)&amp;" × 10"&amp;SUBSTITUTE(SUBSTITUTE(SUBSTITUTE(SUBSTITUTE(SUBSTITUTE(SUBSTITUTE(SUBSTITUTE(SUBSTITUTE(SUBSTITUTE(SUBSTITUTE(SUBSTITUTE(TEXT((INT(LOG10(ABS(AC128)))+IF(ABS(ROUND(AC128/10^INT(LOG10(ABS(AC128))),2))&gt;=10,1,0)),"0"),"-","⁻"),"0","⁰"),"1","¹"),"2","²"),"3","³"),"4","⁴"),"5","⁵"),"6","⁶"),"7","⁷"),"8","⁸"),"9","⁹"),FIXED(ROUND(AC128,MAX(0,2-INT(LOG10(ABS(AC128))))),MAX(0,2-INT(LOG10(ABS(ROUND(AC128,MAX(0,2-INT(LOG10(ABS(AC128))))))))),FALSE)))&amp;"% (t_half "&amp;P128&amp;" "&amp;N128&amp;") to "&amp;IF(AD128=0,"0",IF(ABS(AD128)&lt;0.0001,FIXED(IF(ABS(ROUND(AD128/10^INT(LOG10(ABS(AD128))),2))&gt;=10,ROUND(AD128/10^INT(LOG10(ABS(AD128))),2)/10,ROUND(AD128/10^INT(LOG10(ABS(AD128))),2)),2,TRUE)&amp;" × 10"&amp;SUBSTITUTE(SUBSTITUTE(SUBSTITUTE(SUBSTITUTE(SUBSTITUTE(SUBSTITUTE(SUBSTITUTE(SUBSTITUTE(SUBSTITUTE(SUBSTITUTE(SUBSTITUTE(TEXT((INT(LOG10(ABS(AD128)))+IF(ABS(ROUND(AD128/10^INT(LOG10(ABS(AD128))),2))&gt;=10,1,0)),"0"),"-","⁻"),"0","⁰"),"1","¹"),"2","²"),"3","³"),"4","⁴"),"5","⁵"),"6","⁶"),"7","⁷"),"8","⁸"),"9","⁹"),FIXED(ROUND(AD128,MAX(0,2-INT(LOG10(ABS(AD128))))),MAX(0,2-INT(LOG10(ABS(ROUND(AD128,MAX(0,2-INT(LOG10(ABS(AD128))))))))),FALSE)))&amp;"% (t_half "&amp;S128&amp;" "&amp;N128&amp;") remaining; scenario range, not a confidence interval"))</f>
        <v>From 25.0% (t_half 1.5 days) to 35.4% (t_half 2 days) remaining; scenario range, not a confidence interval</v>
      </c>
      <c r="Z128" s="21" t="str">
        <f t="shared" ref="Z128:Z133" si="224">IF(AO128=1,"",IF(AW128=0,"Not calculable",MID(IF(TRUE,"; "&amp;"Fraction remaining at the lower half-life"&amp;": "&amp;IF(100*AA128=0,"0",IF(ABS(100*AA128)&lt;0.0001,FIXED(IF(ABS(ROUND(100*AA128/10^INT(LOG10(ABS(100*AA128))),2))&gt;=10,ROUND(100*AA128/10^INT(LOG10(ABS(100*AA128))),2)/10,ROUND(100*AA128/10^INT(LOG10(ABS(100*AA128))),2)),2,TRUE)&amp;" × 10"&amp;SUBSTITUTE(SUBSTITUTE(SUBSTITUTE(SUBSTITUTE(SUBSTITUTE(SUBSTITUTE(SUBSTITUTE(SUBSTITUTE(SUBSTITUTE(SUBSTITUTE(SUBSTITUTE(TEXT((INT(LOG10(ABS(100*AA128)))+IF(ABS(ROUND(100*AA128/10^INT(LOG10(ABS(100*AA128))),2))&gt;=10,1,0)),"0"),"-","⁻"),"0","⁰"),"1","¹"),"2","²"),"3","³"),"4","⁴"),"5","⁵"),"6","⁶"),"7","⁷"),"8","⁸"),"9","⁹"),FIXED(ROUND(100*AA128,MAX(0,2-INT(LOG10(ABS(100*AA128))))),MAX(0,2-INT(LOG10(ABS(ROUND(100*AA128,MAX(0,2-INT(LOG10(ABS(100*AA128))))))))),FALSE)))&amp;"%","")&amp;IF(TRUE,"; "&amp;"Fraction remaining at the upper half-life"&amp;": "&amp;IF(100*AB128=0,"0",IF(ABS(100*AB128)&lt;0.0001,FIXED(IF(ABS(ROUND(100*AB128/10^INT(LOG10(ABS(100*AB128))),2))&gt;=10,ROUND(100*AB128/10^INT(LOG10(ABS(100*AB128))),2)/10,ROUND(100*AB128/10^INT(LOG10(ABS(100*AB128))),2)),2,TRUE)&amp;" × 10"&amp;SUBSTITUTE(SUBSTITUTE(SUBSTITUTE(SUBSTITUTE(SUBSTITUTE(SUBSTITUTE(SUBSTITUTE(SUBSTITUTE(SUBSTITUTE(SUBSTITUTE(SUBSTITUTE(TEXT((INT(LOG10(ABS(100*AB128)))+IF(ABS(ROUND(100*AB128/10^INT(LOG10(ABS(100*AB128))),2))&gt;=10,1,0)),"0"),"-","⁻"),"0","⁰"),"1","¹"),"2","²"),"3","³"),"4","⁴"),"5","⁵"),"6","⁶"),"7","⁷"),"8","⁸"),"9","⁹"),FIXED(ROUND(100*AB128,MAX(0,2-INT(LOG10(ABS(100*AB128))))),MAX(0,2-INT(LOG10(ABS(ROUND(100*AB128,MAX(0,2-INT(LOG10(ABS(100*AB128))))))))),FALSE)))&amp;"%",""),3,9999)))</f>
        <v>Fraction remaining at the lower half-life: 25.0%; Fraction remaining at the upper half-life: 35.4%</v>
      </c>
      <c r="AA128" s="21">
        <f t="shared" ref="AA128:AA133" si="225">IF(AW128=1,2^(-V128/P128),"")</f>
        <v>0.25</v>
      </c>
      <c r="AB128" s="21">
        <f t="shared" ref="AB128:AB133" si="226">IF(AW128=1,2^(-V128/S128),"")</f>
        <v>0.35355339059327379</v>
      </c>
      <c r="AC128" s="21">
        <f t="shared" ref="AC128:AC133" si="227">IF(AW128=1,100*AA128,"")</f>
        <v>25</v>
      </c>
      <c r="AD128" s="21">
        <f t="shared" ref="AD128:AD133" si="228">IF(AW128=1,100*AB128,"")</f>
        <v>35.355339059327378</v>
      </c>
      <c r="AE128" s="21" t="str">
        <f t="shared" ref="AE128:AE133" si="229">IF(AO128=1,"",IF(AU128&lt;&gt;"",AU128,MID(IF(O128="Yes","; W_BIOLOGIC_MODEL_CAUTION","")&amp;IF(TRUE,"; I_SCENARIO_NOT_CI",""),3,999)))</f>
        <v>I_SCENARIO_NOT_CI</v>
      </c>
      <c r="AF128" s="21" t="str">
        <f>IF(AO128=1,"",MID(IF(ISNUMBER(SEARCH("E_INVALID_DATE",AU128))," | E_INVALID_DATE: "&amp;SUBSTITUTE(IFERROR(INDEX(nMSG_Text,MATCH("E_INVALID_DATE",nMSG_Code,0)),""),"[input]",""),"")&amp;IF(ISNUMBER(SEARCH("E_REVERSED_BOUNDS",AU128))," | E_REVERSED_BOUNDS: "&amp;SUBSTITUTE(IFERROR(INDEX(nMSG_Text,MATCH("E_REVERSED_BOUNDS",nMSG_Code,0)),""),"[input]",""),"")&amp;IF(ISNUMBER(SEARCH("E_DUPLICATE_ID",AU128))," | E_DUPLICATE_ID: "&amp;SUBSTITUTE(IFERROR(INDEX(nMSG_Text,MATCH("E_DUPLICATE_ID",nMSG_Code,0)),""),"[input]",""),"")&amp;IF(ISNUMBER(SEARCH("E_MISSING_LINK",AU128))," | E_MISSING_LINK: "&amp;SUBSTITUTE(IFERROR(INDEX(nMSG_Text,MATCH("E_MISSING_LINK",nMSG_Code,0)),""),"[input]",""),"")&amp;IF(ISNUMBER(SEARCH("E_MISSING_INPUT",AU128))," | E_MISSING_INPUT: "&amp;SUBSTITUTE(IFERROR(INDEX(nMSG_Text,MATCH("E_MISSING_INPUT",nMSG_Code,0)),""),"[input]",IF(AV128="","an input",AV128)),"")&amp;IF(ISNUMBER(SEARCH("E_INVALID_UNIT",AU128))," | E_INVALID_UNIT: "&amp;SUBSTITUTE(IFERROR(INDEX(nMSG_Text,MATCH("E_INVALID_UNIT",nMSG_Code,0)),""),"[input]",""),"")&amp;IF(ISNUMBER(SEARCH("E_NONPOSITIVE_PARAMETER",AU128))," | E_NONPOSITIVE_PARAMETER: "&amp;SUBSTITUTE(IFERROR(INDEX(nMSG_Text,MATCH("E_NONPOSITIVE_PARAMETER",nMSG_Code,0)),""),"[input]",""),"")&amp;IF(ISNUMBER(SEARCH("E_OUT_OF_RANGE",AU128))," | E_OUT_OF_RANGE: "&amp;SUBSTITUTE(IFERROR(INDEX(nMSG_Text,MATCH("E_OUT_OF_RANGE",nMSG_Code,0)),""),"[input]",""),"")&amp;IF(ISNUMBER(SEARCH("E_APPLICABILITY_UNCONFIRMED",AU128))," | E_APPLICABILITY_UNCONFIRMED: "&amp;SUBSTITUTE(IFERROR(INDEX(nMSG_Text,MATCH("E_APPLICABILITY_UNCONFIRMED",nMSG_Code,0)),""),"[input]",""),"")&amp;IF(ISNUMBER(SEARCH("E_CREATININE_STABILITY_UNCONFIRMED",AU128))," | E_CREATININE_STABILITY_UNCONFIRMED: "&amp;SUBSTITUTE(IFERROR(INDEX(nMSG_Text,MATCH("E_CREATININE_STABILITY_UNCONFIRMED",nMSG_Code,0)),""),"[input]",""),"")&amp;IF(ISNUMBER(SEARCH("E_OVERLAPPING_SEGMENTS",AU128))," | E_OVERLAPPING_SEGMENTS: "&amp;SUBSTITUTE(IFERROR(INDEX(nMSG_Text,MATCH("E_OVERLAPPING_SEGMENTS",nMSG_Code,0)),""),"[input]",""),"")&amp;IF(AW128=1,IF(O128="Yes"," | W_BIOLOGIC_MODEL_CAUTION: "&amp;SUBSTITUTE(IFERROR(INDEX(nMSG_Text,MATCH("W_BIOLOGIC_MODEL_CAUTION",nMSG_Code,0)),""),"[input]",""),"")&amp;IF(TRUE," | I_SCENARIO_NOT_CI: "&amp;SUBSTITUTE(IFERROR(INDEX(nMSG_Text,MATCH("I_SCENARIO_NOT_CI",nMSG_Code,0)),""),"[input]",""),""),""),4,9999))</f>
        <v>I_SCENARIO_NOT_CI: Scenario range from assumed parameters, not a confidence interval.</v>
      </c>
      <c r="AG128" s="21" t="str">
        <f t="shared" ref="AG128:AG133" si="230">IF(AO128=1,"","t_half_lower = "&amp;P128&amp;" "&amp;N128&amp;" ["&amp;IF(Q128="","status not recorded",Q128)&amp;IF(R128&lt;&gt;"","; "&amp;R128,"")&amp;"]"&amp;"; "&amp;"t_half_upper = "&amp;S128&amp;" "&amp;N128&amp;" ["&amp;IF(T128="","status not recorded",T128)&amp;IF(U128&lt;&gt;"","; "&amp;U128,"")&amp;"]"&amp;"; "&amp;"t = "&amp;V128&amp;" "&amp;N128&amp;" ["&amp;IF(W128="","status not recorded",W128)&amp;IF(X128&lt;&gt;"","; "&amp;X128,"")&amp;"]"&amp;"; monoclonal antibody: "&amp;IF(O128="Yes","yes","no"))</f>
        <v>t_half_lower = 1.5 days [label fact; LANOXIN US 12.3]; t_half_upper = 2 days [label fact; LANOXIN US 12.3]; t = 3 days [case measurement; Intervals I06 (5 to 8 July)]; monoclonal antibody: no</v>
      </c>
      <c r="AH128" s="21" t="str">
        <f t="shared" ref="AH128:AH133" si="231">IF(AO128=1,"",MID(""&amp;IF(AR128=1," | Gate confirmed: the simple model applies (one compartment, linear first-order elimination, constant parameters over the period). | Gate confirmed: the half-life used – type: "&amp;H128&amp;"; population: "&amp;I128&amp;"; source: "&amp;J128&amp;". | Gate confirmed: reference time – "&amp;L128&amp;". | Gate confirmed: each input’s Parameter_Status is recorded."," | Common gate not confirmed"&amp;IF(AND(F128="Yes",G128="Yes",K128="Yes",M128="Yes"),": a gate detail or a Parameter_Status is blank.",": "&amp;MID(IF(F128&lt;&gt;"Yes",", model","")&amp;IF(G128&lt;&gt;"Yes",", half-life used","")&amp;IF(K128&lt;&gt;"Yes",", reference time","")&amp;IF(M128&lt;&gt;"Yes",", Parameter_Status",""),3,99)&amp;" not confirmed."))&amp;IF(O128="Yes"," | The molecule is a monoclonal antibody, so the Q7 caution applies to each bound.","")&amp;IF(TRIM(E128&amp;"")&lt;&gt;""," | "&amp;E128,""),4,9999))</f>
        <v>Gate confirmed: the simple model applies (one compartment, linear first-order elimination, constant parameters over the period). | Gate confirmed: the half-life used – type: terminal elimination half-life 1.5-2 days; population: healthy volunteers with normal renal function (not the patient's population); source: LANOXIN US 12.3. | Gate confirmed: reference time – Concentration when digoxin was withheld on 5 July 2026; no further doses; t = 3 days to the improvement on 8 July. | Gate confirmed: each input’s Parameter_Status is recorded.</v>
      </c>
      <c r="AI128" s="21" t="str">
        <f t="shared" ref="AI128:AI133" si="232">IF(AW128=0,"",MID(IF(TRUE,"; "&amp;"Fraction remaining at the lower half-life"&amp;" = "&amp;AA128&amp;" ("&amp;IF(100*AA128=0,"0",IF(ABS(100*AA128)&lt;0.0001,FIXED(IF(ABS(ROUND(100*AA128/10^INT(LOG10(ABS(100*AA128))),2))&gt;=10,ROUND(100*AA128/10^INT(LOG10(ABS(100*AA128))),2)/10,ROUND(100*AA128/10^INT(LOG10(ABS(100*AA128))),2)),2,TRUE)&amp;" × 10"&amp;SUBSTITUTE(SUBSTITUTE(SUBSTITUTE(SUBSTITUTE(SUBSTITUTE(SUBSTITUTE(SUBSTITUTE(SUBSTITUTE(SUBSTITUTE(SUBSTITUTE(SUBSTITUTE(TEXT((INT(LOG10(ABS(100*AA128)))+IF(ABS(ROUND(100*AA128/10^INT(LOG10(ABS(100*AA128))),2))&gt;=10,1,0)),"0"),"-","⁻"),"0","⁰"),"1","¹"),"2","²"),"3","³"),"4","⁴"),"5","⁵"),"6","⁶"),"7","⁷"),"8","⁸"),"9","⁹"),FIXED(ROUND(100*AA128,MAX(0,2-INT(LOG10(ABS(100*AA128))))),MAX(0,2-INT(LOG10(ABS(ROUND(100*AA128,MAX(0,2-INT(LOG10(ABS(100*AA128))))))))),FALSE)))&amp;"%"&amp;")","")&amp;IF(TRUE,"; "&amp;"Fraction remaining at the upper half-life"&amp;" = "&amp;AB128&amp;" ("&amp;IF(100*AB128=0,"0",IF(ABS(100*AB128)&lt;0.0001,FIXED(IF(ABS(ROUND(100*AB128/10^INT(LOG10(ABS(100*AB128))),2))&gt;=10,ROUND(100*AB128/10^INT(LOG10(ABS(100*AB128))),2)/10,ROUND(100*AB128/10^INT(LOG10(ABS(100*AB128))),2)),2,TRUE)&amp;" × 10"&amp;SUBSTITUTE(SUBSTITUTE(SUBSTITUTE(SUBSTITUTE(SUBSTITUTE(SUBSTITUTE(SUBSTITUTE(SUBSTITUTE(SUBSTITUTE(SUBSTITUTE(SUBSTITUTE(TEXT((INT(LOG10(ABS(100*AB128)))+IF(ABS(ROUND(100*AB128/10^INT(LOG10(ABS(100*AB128))),2))&gt;=10,1,0)),"0"),"-","⁻"),"0","⁰"),"1","¹"),"2","²"),"3","³"),"4","⁴"),"5","⁵"),"6","⁶"),"7","⁷"),"8","⁸"),"9","⁹"),FIXED(ROUND(100*AB128,MAX(0,2-INT(LOG10(ABS(100*AB128))))),MAX(0,2-INT(LOG10(ABS(ROUND(100*AB128,MAX(0,2-INT(LOG10(ABS(100*AB128))))))))),FALSE)))&amp;"%"&amp;")",""),3,9999))</f>
        <v>Fraction remaining at the lower half-life = 0.25 (25.0%); Fraction remaining at the upper half-life = 0.353553390593274 (35.4%)</v>
      </c>
      <c r="AJ128" s="21" t="str">
        <f t="shared" ref="AJ128:AJ133" si="233">IF(AW128=0,"","fraction (shown as percent)")</f>
        <v>fraction (shown as percent)</v>
      </c>
      <c r="AK128" s="21" t="str">
        <f t="shared" ref="AK128:AK133" si="234">IF(AO128=1,"",IF(TRIM(D128&amp;"")&lt;&gt;"",D128,"Q8 Parameter uncertainty and scenarios"))</f>
        <v>Fraction remaining at the documented improvement, normal renal function half-lives (Chapter 23, Section 23.11)</v>
      </c>
      <c r="AL128" s="21" t="str">
        <f t="shared" ref="AL128:AL133" si="235">IF(AO128=1,"","Assumption-based scenario range, not a confidence interval.")</f>
        <v>Assumption-based scenario range, not a confidence interval.</v>
      </c>
      <c r="AM128" s="21" t="str">
        <f t="shared" ref="AM128:AM133" si="236">IF(AO128=1,"","Q1 evaluated at each half-life bound; no midpoint or average is calculated")</f>
        <v>Q1 evaluated at each half-life bound; no midpoint or average is calculated</v>
      </c>
      <c r="AN128" s="21" t="str">
        <f t="shared" ref="AN128:AN133" si="237">IF(AO128=1,"","CALC-SPEC 1.1")</f>
        <v>CALC-SPEC 1.1</v>
      </c>
      <c r="AO128" s="22">
        <f t="shared" ref="AO128:AO133" si="238">IF(AND(A128="",P128="",V128=""),1,0)</f>
        <v>0</v>
      </c>
      <c r="AP128" s="21" t="str">
        <f t="shared" ref="AP128:AP133" si="239">IF(AO128=1,"",B128&amp;"|"&amp;C128)</f>
        <v>EX-C04|2</v>
      </c>
      <c r="AQ128" s="21" t="str">
        <f t="shared" ref="AQ128:AQ133" si="240">IF(A128="","",B128&amp;"|"&amp;C128&amp;"|"&amp;A128)</f>
        <v>EX-C04|2|Q8-C04-normal</v>
      </c>
      <c r="AR128" s="22">
        <f t="shared" ref="AR128:AR133" si="241">IF(AND(F128="Yes",G128="Yes",K128="Yes",M128="Yes",TRIM(H128&amp;"")&lt;&gt;"",TRIM(I128&amp;"")&lt;&gt;"",TRIM(J128&amp;"")&lt;&gt;"",TRIM(L128&amp;"")&lt;&gt;"",Q128&lt;&gt;"",T128&lt;&gt;"",W128&lt;&gt;""),1,0)</f>
        <v>1</v>
      </c>
      <c r="AS128" s="21" t="str">
        <f>IF(AO128=1,"",IF(A128="","; E_MISSING_INPUT","")&amp;IF(N128="","; E_MISSING_INPUT","")&amp;IF(AND(N128&lt;&gt;"",ISNA(MATCH(N128,nLIST_TimeUnit,0))),"; E_INVALID_UNIT","")&amp;IF(P128="","; E_MISSING_INPUT","")&amp;IF(AND(P128&lt;&gt;"",NOT(ISNUMBER(P128))),"; E_MISSING_INPUT","")&amp;IF(AND(ISNUMBER(P128),P128&lt;=0),"; E_NONPOSITIVE_PARAMETER","")&amp;IF(S128="","; E_MISSING_INPUT","")&amp;IF(AND(S128&lt;&gt;"",NOT(ISNUMBER(S128))),"; E_MISSING_INPUT","")&amp;IF(AND(ISNUMBER(S128),S128&lt;=0),"; E_NONPOSITIVE_PARAMETER","")&amp;IF(AND(ISNUMBER(P128),ISNUMBER(S128),P128&gt;0,S128&gt;0,P128&gt;S128),"; E_REVERSED_BOUNDS","")&amp;IF(V128="","; E_MISSING_INPUT","")&amp;IF(AND(V128&lt;&gt;"",NOT(ISNUMBER(V128))),"; E_MISSING_INPUT","")&amp;IF(AND(ISNUMBER(V128),V128&lt;0),"; E_OUT_OF_RANGE","")&amp;IF(TRIM(H128&amp;"")="","; E_MISSING_INPUT","")&amp;IF(TRIM(I128&amp;"")="","; E_MISSING_INPUT","")&amp;IF(TRIM(J128&amp;"")="","; E_MISSING_INPUT","")&amp;IF(TRIM(L128&amp;"")="","; E_MISSING_INPUT","")&amp;IF(Q128="","; E_MISSING_INPUT","")&amp;IF(T128="","; E_MISSING_INPUT","")&amp;IF(W128="","; E_MISSING_INPUT","")&amp;IF(AR128=0,"; E_APPLICABILITY_UNCONFIRMED",""))</f>
        <v/>
      </c>
      <c r="AT128" s="21" t="str">
        <f t="shared" ref="AT128:AT133" si="242">IF(AO128=1,"",IF(A128="",", a Calc_ID","")&amp;IF(N128="",", a time unit","")&amp;IF(P128="",", the lower half-life","")&amp;IF(AND(P128&lt;&gt;"",NOT(ISNUMBER(P128))),", the lower half-life as a number","")&amp;IF(S128="",", the upper half-life","")&amp;IF(AND(S128&lt;&gt;"",NOT(ISNUMBER(S128))),", the upper half-life as a number","")&amp;IF(V128="",", the time","")&amp;IF(AND(V128&lt;&gt;"",NOT(ISNUMBER(V128))),", the time as a number","")&amp;IF(TRIM(H128&amp;"")="",", the type of the half-life used","")&amp;IF(TRIM(I128&amp;"")="",", the population of the half-life used","")&amp;IF(TRIM(J128&amp;"")="",", the source of the half-life used","")&amp;IF(TRIM(L128&amp;"")="",", the reference time","")&amp;IF(Q128="",", the Parameter_Status of the lower half-life","")&amp;IF(T128="",", the Parameter_Status of the upper half-life","")&amp;IF(W128="",", the Parameter_Status of t",""))</f>
        <v/>
      </c>
      <c r="AU128" s="21" t="str">
        <f t="shared" ref="AU128:AU133" si="243">IF(AO128=1,"",MID(IF(ISNUMBER(SEARCH("E_INVALID_DATE",AS128)),"; E_INVALID_DATE","")&amp;IF(ISNUMBER(SEARCH("E_REVERSED_BOUNDS",AS128)),"; E_REVERSED_BOUNDS","")&amp;IF(ISNUMBER(SEARCH("E_DUPLICATE_ID",AS128)),"; E_DUPLICATE_ID","")&amp;IF(ISNUMBER(SEARCH("E_MISSING_LINK",AS128)),"; E_MISSING_LINK","")&amp;IF(ISNUMBER(SEARCH("E_MISSING_INPUT",AS128)),"; E_MISSING_INPUT","")&amp;IF(ISNUMBER(SEARCH("E_INVALID_UNIT",AS128)),"; E_INVALID_UNIT","")&amp;IF(ISNUMBER(SEARCH("E_NONPOSITIVE_PARAMETER",AS128)),"; E_NONPOSITIVE_PARAMETER","")&amp;IF(ISNUMBER(SEARCH("E_OUT_OF_RANGE",AS128)),"; E_OUT_OF_RANGE","")&amp;IF(ISNUMBER(SEARCH("E_APPLICABILITY_UNCONFIRMED",AS128)),"; E_APPLICABILITY_UNCONFIRMED","")&amp;IF(ISNUMBER(SEARCH("E_CREATININE_STABILITY_UNCONFIRMED",AS128)),"; E_CREATININE_STABILITY_UNCONFIRMED","")&amp;IF(ISNUMBER(SEARCH("E_OVERLAPPING_SEGMENTS",AS128)),"; E_OVERLAPPING_SEGMENTS",""),3,999))</f>
        <v/>
      </c>
      <c r="AV128" s="21" t="str">
        <f t="shared" ref="AV128:AV133" si="244">MID(AT128,3,999)</f>
        <v/>
      </c>
      <c r="AW128" s="22">
        <f t="shared" ref="AW128:AW133" si="245">IF(AND(AO128=0,AU128=""),1,0)</f>
        <v>1</v>
      </c>
    </row>
    <row r="129" spans="1:49" x14ac:dyDescent="0.2">
      <c r="A129" s="9" t="s">
        <v>1376</v>
      </c>
      <c r="B129" s="9" t="s">
        <v>301</v>
      </c>
      <c r="C129" s="11">
        <v>2</v>
      </c>
      <c r="D129" s="9" t="s">
        <v>1377</v>
      </c>
      <c r="E129" s="9"/>
      <c r="F129" s="16" t="s">
        <v>85</v>
      </c>
      <c r="G129" s="16" t="s">
        <v>85</v>
      </c>
      <c r="H129" s="9" t="s">
        <v>1379</v>
      </c>
      <c r="I129" s="9" t="s">
        <v>1378</v>
      </c>
      <c r="J129" s="9" t="s">
        <v>1373</v>
      </c>
      <c r="K129" s="16" t="s">
        <v>85</v>
      </c>
      <c r="L129" s="9" t="s">
        <v>1372</v>
      </c>
      <c r="M129" s="16" t="s">
        <v>85</v>
      </c>
      <c r="N129" s="16" t="s">
        <v>68</v>
      </c>
      <c r="O129" s="16" t="s">
        <v>86</v>
      </c>
      <c r="P129" s="16">
        <v>3.5</v>
      </c>
      <c r="Q129" s="16" t="s">
        <v>79</v>
      </c>
      <c r="R129" s="9" t="s">
        <v>1373</v>
      </c>
      <c r="S129" s="16">
        <v>5</v>
      </c>
      <c r="T129" s="16" t="s">
        <v>79</v>
      </c>
      <c r="U129" s="9" t="s">
        <v>1373</v>
      </c>
      <c r="V129" s="16">
        <v>3</v>
      </c>
      <c r="W129" s="16" t="s">
        <v>81</v>
      </c>
      <c r="X129" s="9" t="s">
        <v>1375</v>
      </c>
      <c r="Y129" s="21" t="str">
        <f t="shared" si="223"/>
        <v>From 55.2% (t_half 3.5 days) to 66.0% (t_half 5 days) remaining; scenario range, not a confidence interval</v>
      </c>
      <c r="Z129" s="21" t="str">
        <f t="shared" si="224"/>
        <v>Fraction remaining at the lower half-life: 55.2%; Fraction remaining at the upper half-life: 66.0%</v>
      </c>
      <c r="AA129" s="21">
        <f t="shared" si="225"/>
        <v>0.55204475683690624</v>
      </c>
      <c r="AB129" s="21">
        <f t="shared" si="226"/>
        <v>0.65975395538644721</v>
      </c>
      <c r="AC129" s="21">
        <f t="shared" si="227"/>
        <v>55.204475683690625</v>
      </c>
      <c r="AD129" s="21">
        <f t="shared" si="228"/>
        <v>65.975395538644719</v>
      </c>
      <c r="AE129" s="21" t="str">
        <f t="shared" si="229"/>
        <v>I_SCENARIO_NOT_CI</v>
      </c>
      <c r="AF129" s="21" t="str">
        <f>IF(AO129=1,"",MID(IF(ISNUMBER(SEARCH("E_INVALID_DATE",AU129))," | E_INVALID_DATE: "&amp;SUBSTITUTE(IFERROR(INDEX(nMSG_Text,MATCH("E_INVALID_DATE",nMSG_Code,0)),""),"[input]",""),"")&amp;IF(ISNUMBER(SEARCH("E_REVERSED_BOUNDS",AU129))," | E_REVERSED_BOUNDS: "&amp;SUBSTITUTE(IFERROR(INDEX(nMSG_Text,MATCH("E_REVERSED_BOUNDS",nMSG_Code,0)),""),"[input]",""),"")&amp;IF(ISNUMBER(SEARCH("E_DUPLICATE_ID",AU129))," | E_DUPLICATE_ID: "&amp;SUBSTITUTE(IFERROR(INDEX(nMSG_Text,MATCH("E_DUPLICATE_ID",nMSG_Code,0)),""),"[input]",""),"")&amp;IF(ISNUMBER(SEARCH("E_MISSING_LINK",AU129))," | E_MISSING_LINK: "&amp;SUBSTITUTE(IFERROR(INDEX(nMSG_Text,MATCH("E_MISSING_LINK",nMSG_Code,0)),""),"[input]",""),"")&amp;IF(ISNUMBER(SEARCH("E_MISSING_INPUT",AU129))," | E_MISSING_INPUT: "&amp;SUBSTITUTE(IFERROR(INDEX(nMSG_Text,MATCH("E_MISSING_INPUT",nMSG_Code,0)),""),"[input]",IF(AV129="","an input",AV129)),"")&amp;IF(ISNUMBER(SEARCH("E_INVALID_UNIT",AU129))," | E_INVALID_UNIT: "&amp;SUBSTITUTE(IFERROR(INDEX(nMSG_Text,MATCH("E_INVALID_UNIT",nMSG_Code,0)),""),"[input]",""),"")&amp;IF(ISNUMBER(SEARCH("E_NONPOSITIVE_PARAMETER",AU129))," | E_NONPOSITIVE_PARAMETER: "&amp;SUBSTITUTE(IFERROR(INDEX(nMSG_Text,MATCH("E_NONPOSITIVE_PARAMETER",nMSG_Code,0)),""),"[input]",""),"")&amp;IF(ISNUMBER(SEARCH("E_OUT_OF_RANGE",AU129))," | E_OUT_OF_RANGE: "&amp;SUBSTITUTE(IFERROR(INDEX(nMSG_Text,MATCH("E_OUT_OF_RANGE",nMSG_Code,0)),""),"[input]",""),"")&amp;IF(ISNUMBER(SEARCH("E_APPLICABILITY_UNCONFIRMED",AU129))," | E_APPLICABILITY_UNCONFIRMED: "&amp;SUBSTITUTE(IFERROR(INDEX(nMSG_Text,MATCH("E_APPLICABILITY_UNCONFIRMED",nMSG_Code,0)),""),"[input]",""),"")&amp;IF(ISNUMBER(SEARCH("E_CREATININE_STABILITY_UNCONFIRMED",AU129))," | E_CREATININE_STABILITY_UNCONFIRMED: "&amp;SUBSTITUTE(IFERROR(INDEX(nMSG_Text,MATCH("E_CREATININE_STABILITY_UNCONFIRMED",nMSG_Code,0)),""),"[input]",""),"")&amp;IF(ISNUMBER(SEARCH("E_OVERLAPPING_SEGMENTS",AU129))," | E_OVERLAPPING_SEGMENTS: "&amp;SUBSTITUTE(IFERROR(INDEX(nMSG_Text,MATCH("E_OVERLAPPING_SEGMENTS",nMSG_Code,0)),""),"[input]",""),"")&amp;IF(AW129=1,IF(O129="Yes"," | W_BIOLOGIC_MODEL_CAUTION: "&amp;SUBSTITUTE(IFERROR(INDEX(nMSG_Text,MATCH("W_BIOLOGIC_MODEL_CAUTION",nMSG_Code,0)),""),"[input]",""),"")&amp;IF(TRUE," | I_SCENARIO_NOT_CI: "&amp;SUBSTITUTE(IFERROR(INDEX(nMSG_Text,MATCH("I_SCENARIO_NOT_CI",nMSG_Code,0)),""),"[input]",""),""),""),4,9999))</f>
        <v>I_SCENARIO_NOT_CI: Scenario range from assumed parameters, not a confidence interval.</v>
      </c>
      <c r="AG129" s="21" t="str">
        <f t="shared" si="230"/>
        <v>t_half_lower = 3.5 days [label fact; LANOXIN US 12.3]; t_half_upper = 5 days [label fact; LANOXIN US 12.3]; t = 3 days [case measurement; Intervals I06 (5 to 8 July)]; monoclonal antibody: no</v>
      </c>
      <c r="AH129" s="21" t="str">
        <f t="shared" si="231"/>
        <v>Gate confirmed: the simple model applies (one compartment, linear first-order elimination, constant parameters over the period). | Gate confirmed: the half-life used – type: terminal elimination half-life 3.5-5 days; population: anuric patients (not the patient's population); source: LANOXIN US 12.3. | Gate confirmed: reference time – Concentration when digoxin was withheld on 5 July 2026; no further doses; t = 3 days to the improvement on 8 July. | Gate confirmed: each input’s Parameter_Status is recorded.</v>
      </c>
      <c r="AI129" s="21" t="str">
        <f t="shared" si="232"/>
        <v>Fraction remaining at the lower half-life = 0.552044756836906 (55.2%); Fraction remaining at the upper half-life = 0.659753955386447 (66.0%)</v>
      </c>
      <c r="AJ129" s="21" t="str">
        <f t="shared" si="233"/>
        <v>fraction (shown as percent)</v>
      </c>
      <c r="AK129" s="21" t="str">
        <f t="shared" si="234"/>
        <v>Same, anuric-patient half-lives</v>
      </c>
      <c r="AL129" s="21" t="str">
        <f t="shared" si="235"/>
        <v>Assumption-based scenario range, not a confidence interval.</v>
      </c>
      <c r="AM129" s="21" t="str">
        <f t="shared" si="236"/>
        <v>Q1 evaluated at each half-life bound; no midpoint or average is calculated</v>
      </c>
      <c r="AN129" s="21" t="str">
        <f t="shared" si="237"/>
        <v>CALC-SPEC 1.1</v>
      </c>
      <c r="AO129" s="22">
        <f t="shared" si="238"/>
        <v>0</v>
      </c>
      <c r="AP129" s="21" t="str">
        <f t="shared" si="239"/>
        <v>EX-C04|2</v>
      </c>
      <c r="AQ129" s="21" t="str">
        <f t="shared" si="240"/>
        <v>EX-C04|2|Q8-C04-anuric</v>
      </c>
      <c r="AR129" s="22">
        <f t="shared" si="241"/>
        <v>1</v>
      </c>
      <c r="AS129" s="21" t="str">
        <f>IF(AO129=1,"",IF(A129="","; E_MISSING_INPUT","")&amp;IF(N129="","; E_MISSING_INPUT","")&amp;IF(AND(N129&lt;&gt;"",ISNA(MATCH(N129,nLIST_TimeUnit,0))),"; E_INVALID_UNIT","")&amp;IF(P129="","; E_MISSING_INPUT","")&amp;IF(AND(P129&lt;&gt;"",NOT(ISNUMBER(P129))),"; E_MISSING_INPUT","")&amp;IF(AND(ISNUMBER(P129),P129&lt;=0),"; E_NONPOSITIVE_PARAMETER","")&amp;IF(S129="","; E_MISSING_INPUT","")&amp;IF(AND(S129&lt;&gt;"",NOT(ISNUMBER(S129))),"; E_MISSING_INPUT","")&amp;IF(AND(ISNUMBER(S129),S129&lt;=0),"; E_NONPOSITIVE_PARAMETER","")&amp;IF(AND(ISNUMBER(P129),ISNUMBER(S129),P129&gt;0,S129&gt;0,P129&gt;S129),"; E_REVERSED_BOUNDS","")&amp;IF(V129="","; E_MISSING_INPUT","")&amp;IF(AND(V129&lt;&gt;"",NOT(ISNUMBER(V129))),"; E_MISSING_INPUT","")&amp;IF(AND(ISNUMBER(V129),V129&lt;0),"; E_OUT_OF_RANGE","")&amp;IF(TRIM(H129&amp;"")="","; E_MISSING_INPUT","")&amp;IF(TRIM(I129&amp;"")="","; E_MISSING_INPUT","")&amp;IF(TRIM(J129&amp;"")="","; E_MISSING_INPUT","")&amp;IF(TRIM(L129&amp;"")="","; E_MISSING_INPUT","")&amp;IF(Q129="","; E_MISSING_INPUT","")&amp;IF(T129="","; E_MISSING_INPUT","")&amp;IF(W129="","; E_MISSING_INPUT","")&amp;IF(AR129=0,"; E_APPLICABILITY_UNCONFIRMED",""))</f>
        <v/>
      </c>
      <c r="AT129" s="21" t="str">
        <f t="shared" si="242"/>
        <v/>
      </c>
      <c r="AU129" s="21" t="str">
        <f t="shared" si="243"/>
        <v/>
      </c>
      <c r="AV129" s="21" t="str">
        <f t="shared" si="244"/>
        <v/>
      </c>
      <c r="AW129" s="22">
        <f t="shared" si="245"/>
        <v>1</v>
      </c>
    </row>
    <row r="130" spans="1:49" x14ac:dyDescent="0.2">
      <c r="A130" s="9" t="s">
        <v>1380</v>
      </c>
      <c r="B130" s="9" t="s">
        <v>305</v>
      </c>
      <c r="C130" s="11">
        <v>2</v>
      </c>
      <c r="D130" s="9" t="s">
        <v>1381</v>
      </c>
      <c r="E130" s="9"/>
      <c r="F130" s="16" t="s">
        <v>85</v>
      </c>
      <c r="G130" s="16" t="s">
        <v>85</v>
      </c>
      <c r="H130" s="9" t="s">
        <v>1348</v>
      </c>
      <c r="I130" s="9" t="s">
        <v>1345</v>
      </c>
      <c r="J130" s="9" t="s">
        <v>1347</v>
      </c>
      <c r="K130" s="16" t="s">
        <v>85</v>
      </c>
      <c r="L130" s="9" t="s">
        <v>1346</v>
      </c>
      <c r="M130" s="16" t="s">
        <v>85</v>
      </c>
      <c r="N130" s="16" t="s">
        <v>68</v>
      </c>
      <c r="O130" s="16" t="s">
        <v>85</v>
      </c>
      <c r="P130" s="16">
        <v>6.1</v>
      </c>
      <c r="Q130" s="16" t="s">
        <v>79</v>
      </c>
      <c r="R130" s="9" t="s">
        <v>1382</v>
      </c>
      <c r="S130" s="16">
        <v>52</v>
      </c>
      <c r="T130" s="16" t="s">
        <v>79</v>
      </c>
      <c r="U130" s="9" t="s">
        <v>1382</v>
      </c>
      <c r="V130" s="16">
        <v>435</v>
      </c>
      <c r="W130" s="16" t="s">
        <v>81</v>
      </c>
      <c r="X130" s="9" t="s">
        <v>1350</v>
      </c>
      <c r="Y130" s="21" t="str">
        <f t="shared" si="223"/>
        <v>From 3.41 × 10⁻²⁰% (t_half 6.1 days) to 0.303% (t_half 52 days) remaining; scenario range, not a confidence interval</v>
      </c>
      <c r="Z130" s="21" t="str">
        <f t="shared" si="224"/>
        <v>Fraction remaining at the lower half-life: 3.41 × 10⁻²⁰%; Fraction remaining at the upper half-life: 0.303%</v>
      </c>
      <c r="AA130" s="21">
        <f t="shared" si="225"/>
        <v>3.4127687908932027E-22</v>
      </c>
      <c r="AB130" s="21">
        <f t="shared" si="226"/>
        <v>3.0322730461636491E-3</v>
      </c>
      <c r="AC130" s="21">
        <f t="shared" si="227"/>
        <v>3.4127687908932026E-20</v>
      </c>
      <c r="AD130" s="21">
        <f t="shared" si="228"/>
        <v>0.30322730461636493</v>
      </c>
      <c r="AE130" s="21" t="str">
        <f t="shared" si="229"/>
        <v>W_BIOLOGIC_MODEL_CAUTION; I_SCENARIO_NOT_CI</v>
      </c>
      <c r="AF130" s="21" t="str">
        <f>IF(AO130=1,"",MID(IF(ISNUMBER(SEARCH("E_INVALID_DATE",AU130))," | E_INVALID_DATE: "&amp;SUBSTITUTE(IFERROR(INDEX(nMSG_Text,MATCH("E_INVALID_DATE",nMSG_Code,0)),""),"[input]",""),"")&amp;IF(ISNUMBER(SEARCH("E_REVERSED_BOUNDS",AU130))," | E_REVERSED_BOUNDS: "&amp;SUBSTITUTE(IFERROR(INDEX(nMSG_Text,MATCH("E_REVERSED_BOUNDS",nMSG_Code,0)),""),"[input]",""),"")&amp;IF(ISNUMBER(SEARCH("E_DUPLICATE_ID",AU130))," | E_DUPLICATE_ID: "&amp;SUBSTITUTE(IFERROR(INDEX(nMSG_Text,MATCH("E_DUPLICATE_ID",nMSG_Code,0)),""),"[input]",""),"")&amp;IF(ISNUMBER(SEARCH("E_MISSING_LINK",AU130))," | E_MISSING_LINK: "&amp;SUBSTITUTE(IFERROR(INDEX(nMSG_Text,MATCH("E_MISSING_LINK",nMSG_Code,0)),""),"[input]",""),"")&amp;IF(ISNUMBER(SEARCH("E_MISSING_INPUT",AU130))," | E_MISSING_INPUT: "&amp;SUBSTITUTE(IFERROR(INDEX(nMSG_Text,MATCH("E_MISSING_INPUT",nMSG_Code,0)),""),"[input]",IF(AV130="","an input",AV130)),"")&amp;IF(ISNUMBER(SEARCH("E_INVALID_UNIT",AU130))," | E_INVALID_UNIT: "&amp;SUBSTITUTE(IFERROR(INDEX(nMSG_Text,MATCH("E_INVALID_UNIT",nMSG_Code,0)),""),"[input]",""),"")&amp;IF(ISNUMBER(SEARCH("E_NONPOSITIVE_PARAMETER",AU130))," | E_NONPOSITIVE_PARAMETER: "&amp;SUBSTITUTE(IFERROR(INDEX(nMSG_Text,MATCH("E_NONPOSITIVE_PARAMETER",nMSG_Code,0)),""),"[input]",""),"")&amp;IF(ISNUMBER(SEARCH("E_OUT_OF_RANGE",AU130))," | E_OUT_OF_RANGE: "&amp;SUBSTITUTE(IFERROR(INDEX(nMSG_Text,MATCH("E_OUT_OF_RANGE",nMSG_Code,0)),""),"[input]",""),"")&amp;IF(ISNUMBER(SEARCH("E_APPLICABILITY_UNCONFIRMED",AU130))," | E_APPLICABILITY_UNCONFIRMED: "&amp;SUBSTITUTE(IFERROR(INDEX(nMSG_Text,MATCH("E_APPLICABILITY_UNCONFIRMED",nMSG_Code,0)),""),"[input]",""),"")&amp;IF(ISNUMBER(SEARCH("E_CREATININE_STABILITY_UNCONFIRMED",AU130))," | E_CREATININE_STABILITY_UNCONFIRMED: "&amp;SUBSTITUTE(IFERROR(INDEX(nMSG_Text,MATCH("E_CREATININE_STABILITY_UNCONFIRMED",nMSG_Code,0)),""),"[input]",""),"")&amp;IF(ISNUMBER(SEARCH("E_OVERLAPPING_SEGMENTS",AU130))," | E_OVERLAPPING_SEGMENTS: "&amp;SUBSTITUTE(IFERROR(INDEX(nMSG_Text,MATCH("E_OVERLAPPING_SEGMENTS",nMSG_Code,0)),""),"[input]",""),"")&amp;IF(AW130=1,IF(O130="Yes"," | W_BIOLOGIC_MODEL_CAUTION: "&amp;SUBSTITUTE(IFERROR(INDEX(nMSG_Text,MATCH("W_BIOLOGIC_MODEL_CAUTION",nMSG_Code,0)),""),"[input]",""),"")&amp;IF(TRUE," | I_SCENARIO_NOT_CI: "&amp;SUBSTITUTE(IFERROR(INDEX(nMSG_Text,MATCH("I_SCENARIO_NOT_CI",nMSG_Code,0)),""),"[input]",""),""),""),4,9999))</f>
        <v>W_BIOLOGIC_MODEL_CAUTION: Antibody disposition can be nonlinear or time-varying; this simple model may not apply. | I_SCENARIO_NOT_CI: Scenario range from assumed parameters, not a confidence interval.</v>
      </c>
      <c r="AG130" s="21" t="str">
        <f t="shared" si="230"/>
        <v>t_half_lower = 6.1 days [label fact; RITUXAN US 12.3 (NHL range)]; t_half_upper = 52 days [label fact; RITUXAN US 12.3 (NHL range)]; t = 435 days [case measurement; Intervals I01]; monoclonal antibody: yes</v>
      </c>
      <c r="AH130" s="21" t="str">
        <f t="shared" si="231"/>
        <v>Gate confirmed: the simple model applies (one compartment, linear first-order elimination, constant parameters over the period). | Gate confirmed: the half-life used – type: terminal half-life; NHL median 22 days, range 6.1-52 days (label fact for a population, not this patient); population: patients with non-Hodgkin lymphoma; source: RITUXAN US 12.3; MabThera EU 5.2. | Gate confirmed: reference time – Post-infusion concentration after the last infusion (3 March 2025); accumulation over earlier cycles ignored. | Gate confirmed: each input’s Parameter_Status is recorded. | The molecule is a monoclonal antibody, so the Q7 caution applies to each bound.</v>
      </c>
      <c r="AI130" s="21" t="str">
        <f t="shared" si="232"/>
        <v>Fraction remaining at the lower half-life = 3.4127687908932E-22 (3.41 × 10⁻²⁰%); Fraction remaining at the upper half-life = 0.00303227304616365 (0.303%)</v>
      </c>
      <c r="AJ130" s="21" t="str">
        <f t="shared" si="233"/>
        <v>fraction (shown as percent)</v>
      </c>
      <c r="AK130" s="21" t="str">
        <f t="shared" si="234"/>
        <v>Labeled NHL half-life range at the first positive test (435 days)</v>
      </c>
      <c r="AL130" s="21" t="str">
        <f t="shared" si="235"/>
        <v>Assumption-based scenario range, not a confidence interval.</v>
      </c>
      <c r="AM130" s="21" t="str">
        <f t="shared" si="236"/>
        <v>Q1 evaluated at each half-life bound; no midpoint or average is calculated</v>
      </c>
      <c r="AN130" s="21" t="str">
        <f t="shared" si="237"/>
        <v>CALC-SPEC 1.1</v>
      </c>
      <c r="AO130" s="22">
        <f t="shared" si="238"/>
        <v>0</v>
      </c>
      <c r="AP130" s="21" t="str">
        <f t="shared" si="239"/>
        <v>EX-C28|2</v>
      </c>
      <c r="AQ130" s="21" t="str">
        <f t="shared" si="240"/>
        <v>EX-C28|2|Q8-C28-435</v>
      </c>
      <c r="AR130" s="22">
        <f t="shared" si="241"/>
        <v>1</v>
      </c>
      <c r="AS130" s="21" t="str">
        <f>IF(AO130=1,"",IF(A130="","; E_MISSING_INPUT","")&amp;IF(N130="","; E_MISSING_INPUT","")&amp;IF(AND(N130&lt;&gt;"",ISNA(MATCH(N130,nLIST_TimeUnit,0))),"; E_INVALID_UNIT","")&amp;IF(P130="","; E_MISSING_INPUT","")&amp;IF(AND(P130&lt;&gt;"",NOT(ISNUMBER(P130))),"; E_MISSING_INPUT","")&amp;IF(AND(ISNUMBER(P130),P130&lt;=0),"; E_NONPOSITIVE_PARAMETER","")&amp;IF(S130="","; E_MISSING_INPUT","")&amp;IF(AND(S130&lt;&gt;"",NOT(ISNUMBER(S130))),"; E_MISSING_INPUT","")&amp;IF(AND(ISNUMBER(S130),S130&lt;=0),"; E_NONPOSITIVE_PARAMETER","")&amp;IF(AND(ISNUMBER(P130),ISNUMBER(S130),P130&gt;0,S130&gt;0,P130&gt;S130),"; E_REVERSED_BOUNDS","")&amp;IF(V130="","; E_MISSING_INPUT","")&amp;IF(AND(V130&lt;&gt;"",NOT(ISNUMBER(V130))),"; E_MISSING_INPUT","")&amp;IF(AND(ISNUMBER(V130),V130&lt;0),"; E_OUT_OF_RANGE","")&amp;IF(TRIM(H130&amp;"")="","; E_MISSING_INPUT","")&amp;IF(TRIM(I130&amp;"")="","; E_MISSING_INPUT","")&amp;IF(TRIM(J130&amp;"")="","; E_MISSING_INPUT","")&amp;IF(TRIM(L130&amp;"")="","; E_MISSING_INPUT","")&amp;IF(Q130="","; E_MISSING_INPUT","")&amp;IF(T130="","; E_MISSING_INPUT","")&amp;IF(W130="","; E_MISSING_INPUT","")&amp;IF(AR130=0,"; E_APPLICABILITY_UNCONFIRMED",""))</f>
        <v/>
      </c>
      <c r="AT130" s="21" t="str">
        <f t="shared" si="242"/>
        <v/>
      </c>
      <c r="AU130" s="21" t="str">
        <f t="shared" si="243"/>
        <v/>
      </c>
      <c r="AV130" s="21" t="str">
        <f t="shared" si="244"/>
        <v/>
      </c>
      <c r="AW130" s="22">
        <f t="shared" si="245"/>
        <v>1</v>
      </c>
    </row>
    <row r="131" spans="1:49" x14ac:dyDescent="0.2">
      <c r="A131" s="9" t="s">
        <v>1383</v>
      </c>
      <c r="B131" s="9" t="s">
        <v>305</v>
      </c>
      <c r="C131" s="11">
        <v>2</v>
      </c>
      <c r="D131" s="9" t="s">
        <v>1384</v>
      </c>
      <c r="E131" s="9"/>
      <c r="F131" s="16" t="s">
        <v>85</v>
      </c>
      <c r="G131" s="16" t="s">
        <v>85</v>
      </c>
      <c r="H131" s="9" t="s">
        <v>1348</v>
      </c>
      <c r="I131" s="9" t="s">
        <v>1345</v>
      </c>
      <c r="J131" s="9" t="s">
        <v>1347</v>
      </c>
      <c r="K131" s="16" t="s">
        <v>85</v>
      </c>
      <c r="L131" s="9" t="s">
        <v>1346</v>
      </c>
      <c r="M131" s="16" t="s">
        <v>85</v>
      </c>
      <c r="N131" s="16" t="s">
        <v>68</v>
      </c>
      <c r="O131" s="16" t="s">
        <v>85</v>
      </c>
      <c r="P131" s="16">
        <v>6.1</v>
      </c>
      <c r="Q131" s="16" t="s">
        <v>79</v>
      </c>
      <c r="R131" s="9" t="s">
        <v>1382</v>
      </c>
      <c r="S131" s="16">
        <v>52</v>
      </c>
      <c r="T131" s="16" t="s">
        <v>79</v>
      </c>
      <c r="U131" s="9" t="s">
        <v>1382</v>
      </c>
      <c r="V131" s="16">
        <v>343</v>
      </c>
      <c r="W131" s="16" t="s">
        <v>81</v>
      </c>
      <c r="X131" s="9" t="s">
        <v>1353</v>
      </c>
      <c r="Y131" s="21" t="str">
        <f t="shared" si="223"/>
        <v>From 1.18 × 10⁻¹⁵% (t_half 6.1 days) to 1.03% (t_half 52 days) remaining; scenario range, not a confidence interval</v>
      </c>
      <c r="Z131" s="21" t="str">
        <f t="shared" si="224"/>
        <v>Fraction remaining at the lower half-life: 1.18 × 10⁻¹⁵%; Fraction remaining at the upper half-life: 1.03%</v>
      </c>
      <c r="AA131" s="21">
        <f t="shared" si="225"/>
        <v>1.1836720461790147E-17</v>
      </c>
      <c r="AB131" s="21">
        <f t="shared" si="226"/>
        <v>1.0336174586237675E-2</v>
      </c>
      <c r="AC131" s="21">
        <f t="shared" si="227"/>
        <v>1.1836720461790147E-15</v>
      </c>
      <c r="AD131" s="21">
        <f t="shared" si="228"/>
        <v>1.0336174586237674</v>
      </c>
      <c r="AE131" s="21" t="str">
        <f t="shared" si="229"/>
        <v>W_BIOLOGIC_MODEL_CAUTION; I_SCENARIO_NOT_CI</v>
      </c>
      <c r="AF131" s="21" t="str">
        <f>IF(AO131=1,"",MID(IF(ISNUMBER(SEARCH("E_INVALID_DATE",AU131))," | E_INVALID_DATE: "&amp;SUBSTITUTE(IFERROR(INDEX(nMSG_Text,MATCH("E_INVALID_DATE",nMSG_Code,0)),""),"[input]",""),"")&amp;IF(ISNUMBER(SEARCH("E_REVERSED_BOUNDS",AU131))," | E_REVERSED_BOUNDS: "&amp;SUBSTITUTE(IFERROR(INDEX(nMSG_Text,MATCH("E_REVERSED_BOUNDS",nMSG_Code,0)),""),"[input]",""),"")&amp;IF(ISNUMBER(SEARCH("E_DUPLICATE_ID",AU131))," | E_DUPLICATE_ID: "&amp;SUBSTITUTE(IFERROR(INDEX(nMSG_Text,MATCH("E_DUPLICATE_ID",nMSG_Code,0)),""),"[input]",""),"")&amp;IF(ISNUMBER(SEARCH("E_MISSING_LINK",AU131))," | E_MISSING_LINK: "&amp;SUBSTITUTE(IFERROR(INDEX(nMSG_Text,MATCH("E_MISSING_LINK",nMSG_Code,0)),""),"[input]",""),"")&amp;IF(ISNUMBER(SEARCH("E_MISSING_INPUT",AU131))," | E_MISSING_INPUT: "&amp;SUBSTITUTE(IFERROR(INDEX(nMSG_Text,MATCH("E_MISSING_INPUT",nMSG_Code,0)),""),"[input]",IF(AV131="","an input",AV131)),"")&amp;IF(ISNUMBER(SEARCH("E_INVALID_UNIT",AU131))," | E_INVALID_UNIT: "&amp;SUBSTITUTE(IFERROR(INDEX(nMSG_Text,MATCH("E_INVALID_UNIT",nMSG_Code,0)),""),"[input]",""),"")&amp;IF(ISNUMBER(SEARCH("E_NONPOSITIVE_PARAMETER",AU131))," | E_NONPOSITIVE_PARAMETER: "&amp;SUBSTITUTE(IFERROR(INDEX(nMSG_Text,MATCH("E_NONPOSITIVE_PARAMETER",nMSG_Code,0)),""),"[input]",""),"")&amp;IF(ISNUMBER(SEARCH("E_OUT_OF_RANGE",AU131))," | E_OUT_OF_RANGE: "&amp;SUBSTITUTE(IFERROR(INDEX(nMSG_Text,MATCH("E_OUT_OF_RANGE",nMSG_Code,0)),""),"[input]",""),"")&amp;IF(ISNUMBER(SEARCH("E_APPLICABILITY_UNCONFIRMED",AU131))," | E_APPLICABILITY_UNCONFIRMED: "&amp;SUBSTITUTE(IFERROR(INDEX(nMSG_Text,MATCH("E_APPLICABILITY_UNCONFIRMED",nMSG_Code,0)),""),"[input]",""),"")&amp;IF(ISNUMBER(SEARCH("E_CREATININE_STABILITY_UNCONFIRMED",AU131))," | E_CREATININE_STABILITY_UNCONFIRMED: "&amp;SUBSTITUTE(IFERROR(INDEX(nMSG_Text,MATCH("E_CREATININE_STABILITY_UNCONFIRMED",nMSG_Code,0)),""),"[input]",""),"")&amp;IF(ISNUMBER(SEARCH("E_OVERLAPPING_SEGMENTS",AU131))," | E_OVERLAPPING_SEGMENTS: "&amp;SUBSTITUTE(IFERROR(INDEX(nMSG_Text,MATCH("E_OVERLAPPING_SEGMENTS",nMSG_Code,0)),""),"[input]",""),"")&amp;IF(AW131=1,IF(O131="Yes"," | W_BIOLOGIC_MODEL_CAUTION: "&amp;SUBSTITUTE(IFERROR(INDEX(nMSG_Text,MATCH("W_BIOLOGIC_MODEL_CAUTION",nMSG_Code,0)),""),"[input]",""),"")&amp;IF(TRUE," | I_SCENARIO_NOT_CI: "&amp;SUBSTITUTE(IFERROR(INDEX(nMSG_Text,MATCH("I_SCENARIO_NOT_CI",nMSG_Code,0)),""),"[input]",""),""),""),4,9999))</f>
        <v>W_BIOLOGIC_MODEL_CAUTION: Antibody disposition can be nonlinear or time-varying; this simple model may not apply. | I_SCENARIO_NOT_CI: Scenario range from assumed parameters, not a confidence interval.</v>
      </c>
      <c r="AG131" s="21" t="str">
        <f t="shared" si="230"/>
        <v>t_half_lower = 6.1 days [label fact; RITUXAN US 12.3 (NHL range)]; t_half_upper = 52 days [label fact; RITUXAN US 12.3 (NHL range)]; t = 343 days [case measurement; Intervals I02 (minimum)]; monoclonal antibody: yes</v>
      </c>
      <c r="AH131" s="21" t="str">
        <f t="shared" si="231"/>
        <v>Gate confirmed: the simple model applies (one compartment, linear first-order elimination, constant parameters over the period). | Gate confirmed: the half-life used – type: terminal half-life; NHL median 22 days, range 6.1-52 days (label fact for a population, not this patient); population: patients with non-Hodgkin lymphoma; source: RITUXAN US 12.3; MabThera EU 5.2. | Gate confirmed: reference time – Post-infusion concentration after the last infusion (3 March 2025); accumulation over earlier cycles ignored. | Gate confirmed: each input’s Parameter_Status is recorded. | The molecule is a monoclonal antibody, so the Q7 caution applies to each bound.</v>
      </c>
      <c r="AI131" s="21" t="str">
        <f t="shared" si="232"/>
        <v>Fraction remaining at the lower half-life = 1.18367204617901E-17 (1.18 × 10⁻¹⁵%); Fraction remaining at the upper half-life = 0.0103361745862377 (1.03%)</v>
      </c>
      <c r="AJ131" s="21" t="str">
        <f t="shared" si="233"/>
        <v>fraction (shown as percent)</v>
      </c>
      <c r="AK131" s="21" t="str">
        <f t="shared" si="234"/>
        <v>Labeled NHL half-life range at the earliest possible onset (343 days)</v>
      </c>
      <c r="AL131" s="21" t="str">
        <f t="shared" si="235"/>
        <v>Assumption-based scenario range, not a confidence interval.</v>
      </c>
      <c r="AM131" s="21" t="str">
        <f t="shared" si="236"/>
        <v>Q1 evaluated at each half-life bound; no midpoint or average is calculated</v>
      </c>
      <c r="AN131" s="21" t="str">
        <f t="shared" si="237"/>
        <v>CALC-SPEC 1.1</v>
      </c>
      <c r="AO131" s="22">
        <f t="shared" si="238"/>
        <v>0</v>
      </c>
      <c r="AP131" s="21" t="str">
        <f t="shared" si="239"/>
        <v>EX-C28|2</v>
      </c>
      <c r="AQ131" s="21" t="str">
        <f t="shared" si="240"/>
        <v>EX-C28|2|Q8-C28-343</v>
      </c>
      <c r="AR131" s="22">
        <f t="shared" si="241"/>
        <v>1</v>
      </c>
      <c r="AS131" s="21" t="str">
        <f>IF(AO131=1,"",IF(A131="","; E_MISSING_INPUT","")&amp;IF(N131="","; E_MISSING_INPUT","")&amp;IF(AND(N131&lt;&gt;"",ISNA(MATCH(N131,nLIST_TimeUnit,0))),"; E_INVALID_UNIT","")&amp;IF(P131="","; E_MISSING_INPUT","")&amp;IF(AND(P131&lt;&gt;"",NOT(ISNUMBER(P131))),"; E_MISSING_INPUT","")&amp;IF(AND(ISNUMBER(P131),P131&lt;=0),"; E_NONPOSITIVE_PARAMETER","")&amp;IF(S131="","; E_MISSING_INPUT","")&amp;IF(AND(S131&lt;&gt;"",NOT(ISNUMBER(S131))),"; E_MISSING_INPUT","")&amp;IF(AND(ISNUMBER(S131),S131&lt;=0),"; E_NONPOSITIVE_PARAMETER","")&amp;IF(AND(ISNUMBER(P131),ISNUMBER(S131),P131&gt;0,S131&gt;0,P131&gt;S131),"; E_REVERSED_BOUNDS","")&amp;IF(V131="","; E_MISSING_INPUT","")&amp;IF(AND(V131&lt;&gt;"",NOT(ISNUMBER(V131))),"; E_MISSING_INPUT","")&amp;IF(AND(ISNUMBER(V131),V131&lt;0),"; E_OUT_OF_RANGE","")&amp;IF(TRIM(H131&amp;"")="","; E_MISSING_INPUT","")&amp;IF(TRIM(I131&amp;"")="","; E_MISSING_INPUT","")&amp;IF(TRIM(J131&amp;"")="","; E_MISSING_INPUT","")&amp;IF(TRIM(L131&amp;"")="","; E_MISSING_INPUT","")&amp;IF(Q131="","; E_MISSING_INPUT","")&amp;IF(T131="","; E_MISSING_INPUT","")&amp;IF(W131="","; E_MISSING_INPUT","")&amp;IF(AR131=0,"; E_APPLICABILITY_UNCONFIRMED",""))</f>
        <v/>
      </c>
      <c r="AT131" s="21" t="str">
        <f t="shared" si="242"/>
        <v/>
      </c>
      <c r="AU131" s="21" t="str">
        <f t="shared" si="243"/>
        <v/>
      </c>
      <c r="AV131" s="21" t="str">
        <f t="shared" si="244"/>
        <v/>
      </c>
      <c r="AW131" s="22">
        <f t="shared" si="245"/>
        <v>1</v>
      </c>
    </row>
    <row r="132" spans="1:49" x14ac:dyDescent="0.2">
      <c r="A132" s="9" t="s">
        <v>1385</v>
      </c>
      <c r="B132" s="9" t="s">
        <v>305</v>
      </c>
      <c r="C132" s="11">
        <v>2</v>
      </c>
      <c r="D132" s="9" t="s">
        <v>1386</v>
      </c>
      <c r="E132" s="9"/>
      <c r="F132" s="16" t="s">
        <v>85</v>
      </c>
      <c r="G132" s="16" t="s">
        <v>85</v>
      </c>
      <c r="H132" s="9" t="s">
        <v>1389</v>
      </c>
      <c r="I132" s="9" t="s">
        <v>1387</v>
      </c>
      <c r="J132" s="9" t="s">
        <v>1347</v>
      </c>
      <c r="K132" s="16" t="s">
        <v>85</v>
      </c>
      <c r="L132" s="9" t="s">
        <v>1388</v>
      </c>
      <c r="M132" s="16" t="s">
        <v>85</v>
      </c>
      <c r="N132" s="16" t="s">
        <v>68</v>
      </c>
      <c r="O132" s="16" t="s">
        <v>85</v>
      </c>
      <c r="P132" s="16">
        <v>22</v>
      </c>
      <c r="Q132" s="16" t="s">
        <v>79</v>
      </c>
      <c r="R132" s="9" t="s">
        <v>1390</v>
      </c>
      <c r="S132" s="16">
        <v>52</v>
      </c>
      <c r="T132" s="16" t="s">
        <v>79</v>
      </c>
      <c r="U132" s="9" t="s">
        <v>1391</v>
      </c>
      <c r="V132" s="16">
        <v>435</v>
      </c>
      <c r="W132" s="16" t="s">
        <v>81</v>
      </c>
      <c r="X132" s="9" t="s">
        <v>1350</v>
      </c>
      <c r="Y132" s="21" t="str">
        <f t="shared" si="223"/>
        <v>From 0.000112% (t_half 22 days) to 0.303% (t_half 52 days) remaining; scenario range, not a confidence interval</v>
      </c>
      <c r="Z132" s="21" t="str">
        <f t="shared" si="224"/>
        <v>Fraction remaining at the lower half-life: 0.000112%; Fraction remaining at the upper half-life: 0.303%</v>
      </c>
      <c r="AA132" s="21">
        <f t="shared" si="225"/>
        <v>1.1163901469344256E-6</v>
      </c>
      <c r="AB132" s="21">
        <f t="shared" si="226"/>
        <v>3.0322730461636491E-3</v>
      </c>
      <c r="AC132" s="21">
        <f t="shared" si="227"/>
        <v>1.1163901469344257E-4</v>
      </c>
      <c r="AD132" s="21">
        <f t="shared" si="228"/>
        <v>0.30322730461636493</v>
      </c>
      <c r="AE132" s="21" t="str">
        <f t="shared" si="229"/>
        <v>W_BIOLOGIC_MODEL_CAUTION; I_SCENARIO_NOT_CI</v>
      </c>
      <c r="AF132" s="21" t="str">
        <f>IF(AO132=1,"",MID(IF(ISNUMBER(SEARCH("E_INVALID_DATE",AU132))," | E_INVALID_DATE: "&amp;SUBSTITUTE(IFERROR(INDEX(nMSG_Text,MATCH("E_INVALID_DATE",nMSG_Code,0)),""),"[input]",""),"")&amp;IF(ISNUMBER(SEARCH("E_REVERSED_BOUNDS",AU132))," | E_REVERSED_BOUNDS: "&amp;SUBSTITUTE(IFERROR(INDEX(nMSG_Text,MATCH("E_REVERSED_BOUNDS",nMSG_Code,0)),""),"[input]",""),"")&amp;IF(ISNUMBER(SEARCH("E_DUPLICATE_ID",AU132))," | E_DUPLICATE_ID: "&amp;SUBSTITUTE(IFERROR(INDEX(nMSG_Text,MATCH("E_DUPLICATE_ID",nMSG_Code,0)),""),"[input]",""),"")&amp;IF(ISNUMBER(SEARCH("E_MISSING_LINK",AU132))," | E_MISSING_LINK: "&amp;SUBSTITUTE(IFERROR(INDEX(nMSG_Text,MATCH("E_MISSING_LINK",nMSG_Code,0)),""),"[input]",""),"")&amp;IF(ISNUMBER(SEARCH("E_MISSING_INPUT",AU132))," | E_MISSING_INPUT: "&amp;SUBSTITUTE(IFERROR(INDEX(nMSG_Text,MATCH("E_MISSING_INPUT",nMSG_Code,0)),""),"[input]",IF(AV132="","an input",AV132)),"")&amp;IF(ISNUMBER(SEARCH("E_INVALID_UNIT",AU132))," | E_INVALID_UNIT: "&amp;SUBSTITUTE(IFERROR(INDEX(nMSG_Text,MATCH("E_INVALID_UNIT",nMSG_Code,0)),""),"[input]",""),"")&amp;IF(ISNUMBER(SEARCH("E_NONPOSITIVE_PARAMETER",AU132))," | E_NONPOSITIVE_PARAMETER: "&amp;SUBSTITUTE(IFERROR(INDEX(nMSG_Text,MATCH("E_NONPOSITIVE_PARAMETER",nMSG_Code,0)),""),"[input]",""),"")&amp;IF(ISNUMBER(SEARCH("E_OUT_OF_RANGE",AU132))," | E_OUT_OF_RANGE: "&amp;SUBSTITUTE(IFERROR(INDEX(nMSG_Text,MATCH("E_OUT_OF_RANGE",nMSG_Code,0)),""),"[input]",""),"")&amp;IF(ISNUMBER(SEARCH("E_APPLICABILITY_UNCONFIRMED",AU132))," | E_APPLICABILITY_UNCONFIRMED: "&amp;SUBSTITUTE(IFERROR(INDEX(nMSG_Text,MATCH("E_APPLICABILITY_UNCONFIRMED",nMSG_Code,0)),""),"[input]",""),"")&amp;IF(ISNUMBER(SEARCH("E_CREATININE_STABILITY_UNCONFIRMED",AU132))," | E_CREATININE_STABILITY_UNCONFIRMED: "&amp;SUBSTITUTE(IFERROR(INDEX(nMSG_Text,MATCH("E_CREATININE_STABILITY_UNCONFIRMED",nMSG_Code,0)),""),"[input]",""),"")&amp;IF(ISNUMBER(SEARCH("E_OVERLAPPING_SEGMENTS",AU132))," | E_OVERLAPPING_SEGMENTS: "&amp;SUBSTITUTE(IFERROR(INDEX(nMSG_Text,MATCH("E_OVERLAPPING_SEGMENTS",nMSG_Code,0)),""),"[input]",""),"")&amp;IF(AW132=1,IF(O132="Yes"," | W_BIOLOGIC_MODEL_CAUTION: "&amp;SUBSTITUTE(IFERROR(INDEX(nMSG_Text,MATCH("W_BIOLOGIC_MODEL_CAUTION",nMSG_Code,0)),""),"[input]",""),"")&amp;IF(TRUE," | I_SCENARIO_NOT_CI: "&amp;SUBSTITUTE(IFERROR(INDEX(nMSG_Text,MATCH("I_SCENARIO_NOT_CI",nMSG_Code,0)),""),"[input]",""),""),""),4,9999))</f>
        <v>W_BIOLOGIC_MODEL_CAUTION: Antibody disposition can be nonlinear or time-varying; this simple model may not apply. | I_SCENARIO_NOT_CI: Scenario range from assumed parameters, not a confidence interval.</v>
      </c>
      <c r="AG132" s="21" t="str">
        <f t="shared" si="230"/>
        <v>t_half_lower = 22 days [label fact; RITUXAN US 12.3 (NHL median)]; t_half_upper = 52 days [label fact; RITUXAN US 12.3 (NHL longest)]; t = 435 days [case measurement; Intervals I01]; monoclonal antibody: yes</v>
      </c>
      <c r="AH132" s="21" t="str">
        <f t="shared" si="231"/>
        <v>Gate confirmed: the simple model applies (one compartment, linear first-order elimination, constant parameters over the period). | Gate confirmed: the half-life used – type: terminal half-life; labeled median and longest value of the range 6.1-52 days; population: non-Hodgkin lymphoma; source: RITUXAN US 12.3; MabThera EU 5.2. | Gate confirmed: reference time – concentration after the last infusion, 3 March 2025; accumulation over earlier cycles ignored. | Gate confirmed: each input’s Parameter_Status is recorded. | The molecule is a monoclonal antibody, so the Q7 caution applies to each bound.</v>
      </c>
      <c r="AI132" s="21" t="str">
        <f t="shared" si="232"/>
        <v>Fraction remaining at the lower half-life = 1.11639014693443E-06 (0.000112%); Fraction remaining at the upper half-life = 0.00303227304616365 (0.303%)</v>
      </c>
      <c r="AJ132" s="21" t="str">
        <f t="shared" si="233"/>
        <v>fraction (shown as percent)</v>
      </c>
      <c r="AK132" s="21" t="str">
        <f t="shared" si="234"/>
        <v>Rituximab remaining at the first positive test (435 days), median and longest labeled half-lives (calculator example T1)</v>
      </c>
      <c r="AL132" s="21" t="str">
        <f t="shared" si="235"/>
        <v>Assumption-based scenario range, not a confidence interval.</v>
      </c>
      <c r="AM132" s="21" t="str">
        <f t="shared" si="236"/>
        <v>Q1 evaluated at each half-life bound; no midpoint or average is calculated</v>
      </c>
      <c r="AN132" s="21" t="str">
        <f t="shared" si="237"/>
        <v>CALC-SPEC 1.1</v>
      </c>
      <c r="AO132" s="22">
        <f t="shared" si="238"/>
        <v>0</v>
      </c>
      <c r="AP132" s="21" t="str">
        <f t="shared" si="239"/>
        <v>EX-C28|2</v>
      </c>
      <c r="AQ132" s="21" t="str">
        <f t="shared" si="240"/>
        <v>EX-C28|2|Q8-C28-435m</v>
      </c>
      <c r="AR132" s="22">
        <f t="shared" si="241"/>
        <v>1</v>
      </c>
      <c r="AS132" s="21" t="str">
        <f>IF(AO132=1,"",IF(A132="","; E_MISSING_INPUT","")&amp;IF(N132="","; E_MISSING_INPUT","")&amp;IF(AND(N132&lt;&gt;"",ISNA(MATCH(N132,nLIST_TimeUnit,0))),"; E_INVALID_UNIT","")&amp;IF(P132="","; E_MISSING_INPUT","")&amp;IF(AND(P132&lt;&gt;"",NOT(ISNUMBER(P132))),"; E_MISSING_INPUT","")&amp;IF(AND(ISNUMBER(P132),P132&lt;=0),"; E_NONPOSITIVE_PARAMETER","")&amp;IF(S132="","; E_MISSING_INPUT","")&amp;IF(AND(S132&lt;&gt;"",NOT(ISNUMBER(S132))),"; E_MISSING_INPUT","")&amp;IF(AND(ISNUMBER(S132),S132&lt;=0),"; E_NONPOSITIVE_PARAMETER","")&amp;IF(AND(ISNUMBER(P132),ISNUMBER(S132),P132&gt;0,S132&gt;0,P132&gt;S132),"; E_REVERSED_BOUNDS","")&amp;IF(V132="","; E_MISSING_INPUT","")&amp;IF(AND(V132&lt;&gt;"",NOT(ISNUMBER(V132))),"; E_MISSING_INPUT","")&amp;IF(AND(ISNUMBER(V132),V132&lt;0),"; E_OUT_OF_RANGE","")&amp;IF(TRIM(H132&amp;"")="","; E_MISSING_INPUT","")&amp;IF(TRIM(I132&amp;"")="","; E_MISSING_INPUT","")&amp;IF(TRIM(J132&amp;"")="","; E_MISSING_INPUT","")&amp;IF(TRIM(L132&amp;"")="","; E_MISSING_INPUT","")&amp;IF(Q132="","; E_MISSING_INPUT","")&amp;IF(T132="","; E_MISSING_INPUT","")&amp;IF(W132="","; E_MISSING_INPUT","")&amp;IF(AR132=0,"; E_APPLICABILITY_UNCONFIRMED",""))</f>
        <v/>
      </c>
      <c r="AT132" s="21" t="str">
        <f t="shared" si="242"/>
        <v/>
      </c>
      <c r="AU132" s="21" t="str">
        <f t="shared" si="243"/>
        <v/>
      </c>
      <c r="AV132" s="21" t="str">
        <f t="shared" si="244"/>
        <v/>
      </c>
      <c r="AW132" s="22">
        <f t="shared" si="245"/>
        <v>1</v>
      </c>
    </row>
    <row r="133" spans="1:49" x14ac:dyDescent="0.2">
      <c r="A133" s="9" t="s">
        <v>1392</v>
      </c>
      <c r="B133" s="9" t="s">
        <v>305</v>
      </c>
      <c r="C133" s="11">
        <v>2</v>
      </c>
      <c r="D133" s="9" t="s">
        <v>1393</v>
      </c>
      <c r="E133" s="9"/>
      <c r="F133" s="16" t="s">
        <v>85</v>
      </c>
      <c r="G133" s="16" t="s">
        <v>85</v>
      </c>
      <c r="H133" s="9" t="s">
        <v>1389</v>
      </c>
      <c r="I133" s="9" t="s">
        <v>1387</v>
      </c>
      <c r="J133" s="9" t="s">
        <v>1347</v>
      </c>
      <c r="K133" s="16" t="s">
        <v>85</v>
      </c>
      <c r="L133" s="9" t="s">
        <v>1388</v>
      </c>
      <c r="M133" s="16" t="s">
        <v>85</v>
      </c>
      <c r="N133" s="16" t="s">
        <v>68</v>
      </c>
      <c r="O133" s="16" t="s">
        <v>85</v>
      </c>
      <c r="P133" s="16">
        <v>22</v>
      </c>
      <c r="Q133" s="16" t="s">
        <v>79</v>
      </c>
      <c r="R133" s="9" t="s">
        <v>1390</v>
      </c>
      <c r="S133" s="16">
        <v>52</v>
      </c>
      <c r="T133" s="16" t="s">
        <v>79</v>
      </c>
      <c r="U133" s="9" t="s">
        <v>1391</v>
      </c>
      <c r="V133" s="16">
        <v>343</v>
      </c>
      <c r="W133" s="16" t="s">
        <v>81</v>
      </c>
      <c r="X133" s="9" t="s">
        <v>1353</v>
      </c>
      <c r="Y133" s="21" t="str">
        <f t="shared" si="223"/>
        <v>From 0.00203% (t_half 22 days) to 1.03% (t_half 52 days) remaining; scenario range, not a confidence interval</v>
      </c>
      <c r="Z133" s="21" t="str">
        <f t="shared" si="224"/>
        <v>Fraction remaining at the lower half-life: 0.00203%; Fraction remaining at the upper half-life: 1.03%</v>
      </c>
      <c r="AA133" s="21">
        <f t="shared" si="225"/>
        <v>2.0261365173173599E-5</v>
      </c>
      <c r="AB133" s="21">
        <f t="shared" si="226"/>
        <v>1.0336174586237675E-2</v>
      </c>
      <c r="AC133" s="21">
        <f t="shared" si="227"/>
        <v>2.02613651731736E-3</v>
      </c>
      <c r="AD133" s="21">
        <f t="shared" si="228"/>
        <v>1.0336174586237674</v>
      </c>
      <c r="AE133" s="21" t="str">
        <f t="shared" si="229"/>
        <v>W_BIOLOGIC_MODEL_CAUTION; I_SCENARIO_NOT_CI</v>
      </c>
      <c r="AF133" s="21" t="str">
        <f>IF(AO133=1,"",MID(IF(ISNUMBER(SEARCH("E_INVALID_DATE",AU133))," | E_INVALID_DATE: "&amp;SUBSTITUTE(IFERROR(INDEX(nMSG_Text,MATCH("E_INVALID_DATE",nMSG_Code,0)),""),"[input]",""),"")&amp;IF(ISNUMBER(SEARCH("E_REVERSED_BOUNDS",AU133))," | E_REVERSED_BOUNDS: "&amp;SUBSTITUTE(IFERROR(INDEX(nMSG_Text,MATCH("E_REVERSED_BOUNDS",nMSG_Code,0)),""),"[input]",""),"")&amp;IF(ISNUMBER(SEARCH("E_DUPLICATE_ID",AU133))," | E_DUPLICATE_ID: "&amp;SUBSTITUTE(IFERROR(INDEX(nMSG_Text,MATCH("E_DUPLICATE_ID",nMSG_Code,0)),""),"[input]",""),"")&amp;IF(ISNUMBER(SEARCH("E_MISSING_LINK",AU133))," | E_MISSING_LINK: "&amp;SUBSTITUTE(IFERROR(INDEX(nMSG_Text,MATCH("E_MISSING_LINK",nMSG_Code,0)),""),"[input]",""),"")&amp;IF(ISNUMBER(SEARCH("E_MISSING_INPUT",AU133))," | E_MISSING_INPUT: "&amp;SUBSTITUTE(IFERROR(INDEX(nMSG_Text,MATCH("E_MISSING_INPUT",nMSG_Code,0)),""),"[input]",IF(AV133="","an input",AV133)),"")&amp;IF(ISNUMBER(SEARCH("E_INVALID_UNIT",AU133))," | E_INVALID_UNIT: "&amp;SUBSTITUTE(IFERROR(INDEX(nMSG_Text,MATCH("E_INVALID_UNIT",nMSG_Code,0)),""),"[input]",""),"")&amp;IF(ISNUMBER(SEARCH("E_NONPOSITIVE_PARAMETER",AU133))," | E_NONPOSITIVE_PARAMETER: "&amp;SUBSTITUTE(IFERROR(INDEX(nMSG_Text,MATCH("E_NONPOSITIVE_PARAMETER",nMSG_Code,0)),""),"[input]",""),"")&amp;IF(ISNUMBER(SEARCH("E_OUT_OF_RANGE",AU133))," | E_OUT_OF_RANGE: "&amp;SUBSTITUTE(IFERROR(INDEX(nMSG_Text,MATCH("E_OUT_OF_RANGE",nMSG_Code,0)),""),"[input]",""),"")&amp;IF(ISNUMBER(SEARCH("E_APPLICABILITY_UNCONFIRMED",AU133))," | E_APPLICABILITY_UNCONFIRMED: "&amp;SUBSTITUTE(IFERROR(INDEX(nMSG_Text,MATCH("E_APPLICABILITY_UNCONFIRMED",nMSG_Code,0)),""),"[input]",""),"")&amp;IF(ISNUMBER(SEARCH("E_CREATININE_STABILITY_UNCONFIRMED",AU133))," | E_CREATININE_STABILITY_UNCONFIRMED: "&amp;SUBSTITUTE(IFERROR(INDEX(nMSG_Text,MATCH("E_CREATININE_STABILITY_UNCONFIRMED",nMSG_Code,0)),""),"[input]",""),"")&amp;IF(ISNUMBER(SEARCH("E_OVERLAPPING_SEGMENTS",AU133))," | E_OVERLAPPING_SEGMENTS: "&amp;SUBSTITUTE(IFERROR(INDEX(nMSG_Text,MATCH("E_OVERLAPPING_SEGMENTS",nMSG_Code,0)),""),"[input]",""),"")&amp;IF(AW133=1,IF(O133="Yes"," | W_BIOLOGIC_MODEL_CAUTION: "&amp;SUBSTITUTE(IFERROR(INDEX(nMSG_Text,MATCH("W_BIOLOGIC_MODEL_CAUTION",nMSG_Code,0)),""),"[input]",""),"")&amp;IF(TRUE," | I_SCENARIO_NOT_CI: "&amp;SUBSTITUTE(IFERROR(INDEX(nMSG_Text,MATCH("I_SCENARIO_NOT_CI",nMSG_Code,0)),""),"[input]",""),""),""),4,9999))</f>
        <v>W_BIOLOGIC_MODEL_CAUTION: Antibody disposition can be nonlinear or time-varying; this simple model may not apply. | I_SCENARIO_NOT_CI: Scenario range from assumed parameters, not a confidence interval.</v>
      </c>
      <c r="AG133" s="21" t="str">
        <f t="shared" si="230"/>
        <v>t_half_lower = 22 days [label fact; RITUXAN US 12.3 (NHL median)]; t_half_upper = 52 days [label fact; RITUXAN US 12.3 (NHL longest)]; t = 343 days [case measurement; Intervals I02 (minimum)]; monoclonal antibody: yes</v>
      </c>
      <c r="AH133" s="21" t="str">
        <f t="shared" si="231"/>
        <v>Gate confirmed: the simple model applies (one compartment, linear first-order elimination, constant parameters over the period). | Gate confirmed: the half-life used – type: terminal half-life; labeled median and longest value of the range 6.1-52 days; population: non-Hodgkin lymphoma; source: RITUXAN US 12.3; MabThera EU 5.2. | Gate confirmed: reference time – concentration after the last infusion, 3 March 2025; accumulation over earlier cycles ignored. | Gate confirmed: each input’s Parameter_Status is recorded. | The molecule is a monoclonal antibody, so the Q7 caution applies to each bound.</v>
      </c>
      <c r="AI133" s="21" t="str">
        <f t="shared" si="232"/>
        <v>Fraction remaining at the lower half-life = 2.02613651731736E-05 (0.00203%); Fraction remaining at the upper half-life = 0.0103361745862377 (1.03%)</v>
      </c>
      <c r="AJ133" s="21" t="str">
        <f t="shared" si="233"/>
        <v>fraction (shown as percent)</v>
      </c>
      <c r="AK133" s="21" t="str">
        <f t="shared" si="234"/>
        <v>Rituximab remaining at the earliest onset bound (343 days), median and longest labeled half-lives (calculator example T2)</v>
      </c>
      <c r="AL133" s="21" t="str">
        <f t="shared" si="235"/>
        <v>Assumption-based scenario range, not a confidence interval.</v>
      </c>
      <c r="AM133" s="21" t="str">
        <f t="shared" si="236"/>
        <v>Q1 evaluated at each half-life bound; no midpoint or average is calculated</v>
      </c>
      <c r="AN133" s="21" t="str">
        <f t="shared" si="237"/>
        <v>CALC-SPEC 1.1</v>
      </c>
      <c r="AO133" s="22">
        <f t="shared" si="238"/>
        <v>0</v>
      </c>
      <c r="AP133" s="21" t="str">
        <f t="shared" si="239"/>
        <v>EX-C28|2</v>
      </c>
      <c r="AQ133" s="21" t="str">
        <f t="shared" si="240"/>
        <v>EX-C28|2|Q8-C28-343m</v>
      </c>
      <c r="AR133" s="22">
        <f t="shared" si="241"/>
        <v>1</v>
      </c>
      <c r="AS133" s="21" t="str">
        <f>IF(AO133=1,"",IF(A133="","; E_MISSING_INPUT","")&amp;IF(N133="","; E_MISSING_INPUT","")&amp;IF(AND(N133&lt;&gt;"",ISNA(MATCH(N133,nLIST_TimeUnit,0))),"; E_INVALID_UNIT","")&amp;IF(P133="","; E_MISSING_INPUT","")&amp;IF(AND(P133&lt;&gt;"",NOT(ISNUMBER(P133))),"; E_MISSING_INPUT","")&amp;IF(AND(ISNUMBER(P133),P133&lt;=0),"; E_NONPOSITIVE_PARAMETER","")&amp;IF(S133="","; E_MISSING_INPUT","")&amp;IF(AND(S133&lt;&gt;"",NOT(ISNUMBER(S133))),"; E_MISSING_INPUT","")&amp;IF(AND(ISNUMBER(S133),S133&lt;=0),"; E_NONPOSITIVE_PARAMETER","")&amp;IF(AND(ISNUMBER(P133),ISNUMBER(S133),P133&gt;0,S133&gt;0,P133&gt;S133),"; E_REVERSED_BOUNDS","")&amp;IF(V133="","; E_MISSING_INPUT","")&amp;IF(AND(V133&lt;&gt;"",NOT(ISNUMBER(V133))),"; E_MISSING_INPUT","")&amp;IF(AND(ISNUMBER(V133),V133&lt;0),"; E_OUT_OF_RANGE","")&amp;IF(TRIM(H133&amp;"")="","; E_MISSING_INPUT","")&amp;IF(TRIM(I133&amp;"")="","; E_MISSING_INPUT","")&amp;IF(TRIM(J133&amp;"")="","; E_MISSING_INPUT","")&amp;IF(TRIM(L133&amp;"")="","; E_MISSING_INPUT","")&amp;IF(Q133="","; E_MISSING_INPUT","")&amp;IF(T133="","; E_MISSING_INPUT","")&amp;IF(W133="","; E_MISSING_INPUT","")&amp;IF(AR133=0,"; E_APPLICABILITY_UNCONFIRMED",""))</f>
        <v/>
      </c>
      <c r="AT133" s="21" t="str">
        <f t="shared" si="242"/>
        <v/>
      </c>
      <c r="AU133" s="21" t="str">
        <f t="shared" si="243"/>
        <v/>
      </c>
      <c r="AV133" s="21" t="str">
        <f t="shared" si="244"/>
        <v/>
      </c>
      <c r="AW133" s="22">
        <f t="shared" si="245"/>
        <v>1</v>
      </c>
    </row>
    <row r="134" spans="1:49" x14ac:dyDescent="0.2">
      <c r="A134" s="24" t="s">
        <v>295</v>
      </c>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row>
    <row r="135" spans="1:49" x14ac:dyDescent="0.2">
      <c r="A135" s="9" t="s">
        <v>1394</v>
      </c>
      <c r="B135" s="9" t="s">
        <v>353</v>
      </c>
      <c r="C135" s="11">
        <v>1</v>
      </c>
      <c r="D135" s="9" t="s">
        <v>1395</v>
      </c>
      <c r="E135" s="9"/>
      <c r="F135" s="16" t="s">
        <v>85</v>
      </c>
      <c r="G135" s="16" t="s">
        <v>85</v>
      </c>
      <c r="H135" s="9" t="s">
        <v>1247</v>
      </c>
      <c r="I135" s="9" t="s">
        <v>1244</v>
      </c>
      <c r="J135" s="9" t="s">
        <v>1246</v>
      </c>
      <c r="K135" s="16" t="s">
        <v>85</v>
      </c>
      <c r="L135" s="9" t="s">
        <v>1245</v>
      </c>
      <c r="M135" s="16" t="s">
        <v>85</v>
      </c>
      <c r="N135" s="16" t="s">
        <v>67</v>
      </c>
      <c r="O135" s="16"/>
      <c r="P135" s="16">
        <v>18</v>
      </c>
      <c r="Q135" s="16" t="s">
        <v>83</v>
      </c>
      <c r="R135" s="9" t="s">
        <v>1396</v>
      </c>
      <c r="S135" s="16">
        <v>36</v>
      </c>
      <c r="T135" s="16" t="s">
        <v>83</v>
      </c>
      <c r="U135" s="9" t="s">
        <v>1396</v>
      </c>
      <c r="V135" s="16">
        <v>72</v>
      </c>
      <c r="W135" s="16" t="s">
        <v>83</v>
      </c>
      <c r="X135" s="9" t="s">
        <v>1396</v>
      </c>
      <c r="Y135" s="21" t="str">
        <f t="shared" ref="Y135:Y136" si="246">IF(AO135=1,"",IF(AU135&lt;&gt;"",AU135&amp;": no result is shown","From "&amp;IF(AC135=0,"0",IF(ABS(AC135)&lt;0.0001,FIXED(IF(ABS(ROUND(AC135/10^INT(LOG10(ABS(AC135))),2))&gt;=10,ROUND(AC135/10^INT(LOG10(ABS(AC135))),2)/10,ROUND(AC135/10^INT(LOG10(ABS(AC135))),2)),2,TRUE)&amp;" × 10"&amp;SUBSTITUTE(SUBSTITUTE(SUBSTITUTE(SUBSTITUTE(SUBSTITUTE(SUBSTITUTE(SUBSTITUTE(SUBSTITUTE(SUBSTITUTE(SUBSTITUTE(SUBSTITUTE(TEXT((INT(LOG10(ABS(AC135)))+IF(ABS(ROUND(AC135/10^INT(LOG10(ABS(AC135))),2))&gt;=10,1,0)),"0"),"-","⁻"),"0","⁰"),"1","¹"),"2","²"),"3","³"),"4","⁴"),"5","⁵"),"6","⁶"),"7","⁷"),"8","⁸"),"9","⁹"),FIXED(ROUND(AC135,MAX(0,2-INT(LOG10(ABS(AC135))))),MAX(0,2-INT(LOG10(ABS(ROUND(AC135,MAX(0,2-INT(LOG10(ABS(AC135))))))))),FALSE)))&amp;"% (t_half "&amp;P135&amp;" "&amp;N135&amp;") to "&amp;IF(AD135=0,"0",IF(ABS(AD135)&lt;0.0001,FIXED(IF(ABS(ROUND(AD135/10^INT(LOG10(ABS(AD135))),2))&gt;=10,ROUND(AD135/10^INT(LOG10(ABS(AD135))),2)/10,ROUND(AD135/10^INT(LOG10(ABS(AD135))),2)),2,TRUE)&amp;" × 10"&amp;SUBSTITUTE(SUBSTITUTE(SUBSTITUTE(SUBSTITUTE(SUBSTITUTE(SUBSTITUTE(SUBSTITUTE(SUBSTITUTE(SUBSTITUTE(SUBSTITUTE(SUBSTITUTE(TEXT((INT(LOG10(ABS(AD135)))+IF(ABS(ROUND(AD135/10^INT(LOG10(ABS(AD135))),2))&gt;=10,1,0)),"0"),"-","⁻"),"0","⁰"),"1","¹"),"2","²"),"3","³"),"4","⁴"),"5","⁵"),"6","⁶"),"7","⁷"),"8","⁸"),"9","⁹"),FIXED(ROUND(AD135,MAX(0,2-INT(LOG10(ABS(AD135))))),MAX(0,2-INT(LOG10(ABS(ROUND(AD135,MAX(0,2-INT(LOG10(ABS(AD135))))))))),FALSE)))&amp;"% (t_half "&amp;S135&amp;" "&amp;N135&amp;") remaining; scenario range, not a confidence interval"))</f>
        <v>From 6.25% (t_half 18 hours) to 25.0% (t_half 36 hours) remaining; scenario range, not a confidence interval</v>
      </c>
      <c r="Z135" s="21" t="str">
        <f t="shared" ref="Z135:Z136" si="247">IF(AO135=1,"",IF(AW135=0,"Not calculable",MID(IF(TRUE,"; "&amp;"Fraction remaining at the lower half-life"&amp;": "&amp;IF(100*AA135=0,"0",IF(ABS(100*AA135)&lt;0.0001,FIXED(IF(ABS(ROUND(100*AA135/10^INT(LOG10(ABS(100*AA135))),2))&gt;=10,ROUND(100*AA135/10^INT(LOG10(ABS(100*AA135))),2)/10,ROUND(100*AA135/10^INT(LOG10(ABS(100*AA135))),2)),2,TRUE)&amp;" × 10"&amp;SUBSTITUTE(SUBSTITUTE(SUBSTITUTE(SUBSTITUTE(SUBSTITUTE(SUBSTITUTE(SUBSTITUTE(SUBSTITUTE(SUBSTITUTE(SUBSTITUTE(SUBSTITUTE(TEXT((INT(LOG10(ABS(100*AA135)))+IF(ABS(ROUND(100*AA135/10^INT(LOG10(ABS(100*AA135))),2))&gt;=10,1,0)),"0"),"-","⁻"),"0","⁰"),"1","¹"),"2","²"),"3","³"),"4","⁴"),"5","⁵"),"6","⁶"),"7","⁷"),"8","⁸"),"9","⁹"),FIXED(ROUND(100*AA135,MAX(0,2-INT(LOG10(ABS(100*AA135))))),MAX(0,2-INT(LOG10(ABS(ROUND(100*AA135,MAX(0,2-INT(LOG10(ABS(100*AA135))))))))),FALSE)))&amp;"%","")&amp;IF(TRUE,"; "&amp;"Fraction remaining at the upper half-life"&amp;": "&amp;IF(100*AB135=0,"0",IF(ABS(100*AB135)&lt;0.0001,FIXED(IF(ABS(ROUND(100*AB135/10^INT(LOG10(ABS(100*AB135))),2))&gt;=10,ROUND(100*AB135/10^INT(LOG10(ABS(100*AB135))),2)/10,ROUND(100*AB135/10^INT(LOG10(ABS(100*AB135))),2)),2,TRUE)&amp;" × 10"&amp;SUBSTITUTE(SUBSTITUTE(SUBSTITUTE(SUBSTITUTE(SUBSTITUTE(SUBSTITUTE(SUBSTITUTE(SUBSTITUTE(SUBSTITUTE(SUBSTITUTE(SUBSTITUTE(TEXT((INT(LOG10(ABS(100*AB135)))+IF(ABS(ROUND(100*AB135/10^INT(LOG10(ABS(100*AB135))),2))&gt;=10,1,0)),"0"),"-","⁻"),"0","⁰"),"1","¹"),"2","²"),"3","³"),"4","⁴"),"5","⁵"),"6","⁶"),"7","⁷"),"8","⁸"),"9","⁹"),FIXED(ROUND(100*AB135,MAX(0,2-INT(LOG10(ABS(100*AB135))))),MAX(0,2-INT(LOG10(ABS(ROUND(100*AB135,MAX(0,2-INT(LOG10(ABS(100*AB135))))))))),FALSE)))&amp;"%",""),3,9999)))</f>
        <v>Fraction remaining at the lower half-life: 6.25%; Fraction remaining at the upper half-life: 25.0%</v>
      </c>
      <c r="AA135" s="21">
        <f t="shared" ref="AA135:AA136" si="248">IF(AW135=1,2^(-V135/P135),"")</f>
        <v>6.25E-2</v>
      </c>
      <c r="AB135" s="21">
        <f t="shared" ref="AB135:AB136" si="249">IF(AW135=1,2^(-V135/S135),"")</f>
        <v>0.25</v>
      </c>
      <c r="AC135" s="21">
        <f t="shared" ref="AC135:AC136" si="250">IF(AW135=1,100*AA135,"")</f>
        <v>6.25</v>
      </c>
      <c r="AD135" s="21">
        <f t="shared" ref="AD135:AD136" si="251">IF(AW135=1,100*AB135,"")</f>
        <v>25</v>
      </c>
      <c r="AE135" s="21" t="str">
        <f t="shared" ref="AE135:AE136" si="252">IF(AO135=1,"",IF(AU135&lt;&gt;"",AU135,MID(IF(O135="Yes","; W_BIOLOGIC_MODEL_CAUTION","")&amp;IF(TRUE,"; I_SCENARIO_NOT_CI",""),3,999)))</f>
        <v>I_SCENARIO_NOT_CI</v>
      </c>
      <c r="AF135" s="21" t="str">
        <f>IF(AO135=1,"",MID(IF(ISNUMBER(SEARCH("E_INVALID_DATE",AU135))," | E_INVALID_DATE: "&amp;SUBSTITUTE(IFERROR(INDEX(nMSG_Text,MATCH("E_INVALID_DATE",nMSG_Code,0)),""),"[input]",""),"")&amp;IF(ISNUMBER(SEARCH("E_REVERSED_BOUNDS",AU135))," | E_REVERSED_BOUNDS: "&amp;SUBSTITUTE(IFERROR(INDEX(nMSG_Text,MATCH("E_REVERSED_BOUNDS",nMSG_Code,0)),""),"[input]",""),"")&amp;IF(ISNUMBER(SEARCH("E_DUPLICATE_ID",AU135))," | E_DUPLICATE_ID: "&amp;SUBSTITUTE(IFERROR(INDEX(nMSG_Text,MATCH("E_DUPLICATE_ID",nMSG_Code,0)),""),"[input]",""),"")&amp;IF(ISNUMBER(SEARCH("E_MISSING_LINK",AU135))," | E_MISSING_LINK: "&amp;SUBSTITUTE(IFERROR(INDEX(nMSG_Text,MATCH("E_MISSING_LINK",nMSG_Code,0)),""),"[input]",""),"")&amp;IF(ISNUMBER(SEARCH("E_MISSING_INPUT",AU135))," | E_MISSING_INPUT: "&amp;SUBSTITUTE(IFERROR(INDEX(nMSG_Text,MATCH("E_MISSING_INPUT",nMSG_Code,0)),""),"[input]",IF(AV135="","an input",AV135)),"")&amp;IF(ISNUMBER(SEARCH("E_INVALID_UNIT",AU135))," | E_INVALID_UNIT: "&amp;SUBSTITUTE(IFERROR(INDEX(nMSG_Text,MATCH("E_INVALID_UNIT",nMSG_Code,0)),""),"[input]",""),"")&amp;IF(ISNUMBER(SEARCH("E_NONPOSITIVE_PARAMETER",AU135))," | E_NONPOSITIVE_PARAMETER: "&amp;SUBSTITUTE(IFERROR(INDEX(nMSG_Text,MATCH("E_NONPOSITIVE_PARAMETER",nMSG_Code,0)),""),"[input]",""),"")&amp;IF(ISNUMBER(SEARCH("E_OUT_OF_RANGE",AU135))," | E_OUT_OF_RANGE: "&amp;SUBSTITUTE(IFERROR(INDEX(nMSG_Text,MATCH("E_OUT_OF_RANGE",nMSG_Code,0)),""),"[input]",""),"")&amp;IF(ISNUMBER(SEARCH("E_APPLICABILITY_UNCONFIRMED",AU135))," | E_APPLICABILITY_UNCONFIRMED: "&amp;SUBSTITUTE(IFERROR(INDEX(nMSG_Text,MATCH("E_APPLICABILITY_UNCONFIRMED",nMSG_Code,0)),""),"[input]",""),"")&amp;IF(ISNUMBER(SEARCH("E_CREATININE_STABILITY_UNCONFIRMED",AU135))," | E_CREATININE_STABILITY_UNCONFIRMED: "&amp;SUBSTITUTE(IFERROR(INDEX(nMSG_Text,MATCH("E_CREATININE_STABILITY_UNCONFIRMED",nMSG_Code,0)),""),"[input]",""),"")&amp;IF(ISNUMBER(SEARCH("E_OVERLAPPING_SEGMENTS",AU135))," | E_OVERLAPPING_SEGMENTS: "&amp;SUBSTITUTE(IFERROR(INDEX(nMSG_Text,MATCH("E_OVERLAPPING_SEGMENTS",nMSG_Code,0)),""),"[input]",""),"")&amp;IF(AW135=1,IF(O135="Yes"," | W_BIOLOGIC_MODEL_CAUTION: "&amp;SUBSTITUTE(IFERROR(INDEX(nMSG_Text,MATCH("W_BIOLOGIC_MODEL_CAUTION",nMSG_Code,0)),""),"[input]",""),"")&amp;IF(TRUE," | I_SCENARIO_NOT_CI: "&amp;SUBSTITUTE(IFERROR(INDEX(nMSG_Text,MATCH("I_SCENARIO_NOT_CI",nMSG_Code,0)),""),"[input]",""),""),""),4,9999))</f>
        <v>I_SCENARIO_NOT_CI: Scenario range from assumed parameters, not a confidence interval.</v>
      </c>
      <c r="AG135" s="21" t="str">
        <f t="shared" ref="AG135:AG136" si="253">IF(AO135=1,"","t_half_lower = "&amp;P135&amp;" "&amp;N135&amp;" ["&amp;IF(Q135="","status not recorded",Q135)&amp;IF(R135&lt;&gt;"","; "&amp;R135,"")&amp;"]"&amp;"; "&amp;"t_half_upper = "&amp;S135&amp;" "&amp;N135&amp;" ["&amp;IF(T135="","status not recorded",T135)&amp;IF(U135&lt;&gt;"","; "&amp;U135,"")&amp;"]"&amp;"; "&amp;"t = "&amp;V135&amp;" "&amp;N135&amp;" ["&amp;IF(W135="","status not recorded",W135)&amp;IF(X135&lt;&gt;"","; "&amp;X135,"")&amp;"]"&amp;"; monoclonal antibody: "&amp;IF(O135="Yes","yes","no"))</f>
        <v>t_half_lower = 18 hours [hypothetical example; V34 V23]; t_half_upper = 36 hours [hypothetical example; V34 V23]; t = 72 hours [hypothetical example; V34 V23]; monoclonal antibody: no</v>
      </c>
      <c r="AH135" s="21" t="str">
        <f t="shared" ref="AH135:AH136" si="254">IF(AO135=1,"",MID(""&amp;IF(AR135=1," | Gate confirmed: the simple model applies (one compartment, linear first-order elimination, constant parameters over the period). | Gate confirmed: the half-life used – type: "&amp;H135&amp;"; population: "&amp;I135&amp;"; source: "&amp;J135&amp;". | Gate confirmed: reference time – "&amp;L135&amp;". | Gate confirmed: each input’s Parameter_Status is recorded."," | Common gate not confirmed"&amp;IF(AND(F135="Yes",G135="Yes",K135="Yes",M135="Yes"),": a gate detail or a Parameter_Status is blank.",": "&amp;MID(IF(F135&lt;&gt;"Yes",", model","")&amp;IF(G135&lt;&gt;"Yes",", half-life used","")&amp;IF(K135&lt;&gt;"Yes",", reference time","")&amp;IF(M135&lt;&gt;"Yes",", Parameter_Status",""),3,99)&amp;" not confirmed."))&amp;IF(O135="Yes"," | The molecule is a monoclonal antibody, so the Q7 caution applies to each bound.","")&amp;IF(TRIM(E135&amp;"")&lt;&gt;""," | "&amp;E135,""),4,9999))</f>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v>
      </c>
      <c r="AI135" s="21" t="str">
        <f t="shared" ref="AI135:AI136" si="255">IF(AW135=0,"",MID(IF(TRUE,"; "&amp;"Fraction remaining at the lower half-life"&amp;" = "&amp;AA135&amp;" ("&amp;IF(100*AA135=0,"0",IF(ABS(100*AA135)&lt;0.0001,FIXED(IF(ABS(ROUND(100*AA135/10^INT(LOG10(ABS(100*AA135))),2))&gt;=10,ROUND(100*AA135/10^INT(LOG10(ABS(100*AA135))),2)/10,ROUND(100*AA135/10^INT(LOG10(ABS(100*AA135))),2)),2,TRUE)&amp;" × 10"&amp;SUBSTITUTE(SUBSTITUTE(SUBSTITUTE(SUBSTITUTE(SUBSTITUTE(SUBSTITUTE(SUBSTITUTE(SUBSTITUTE(SUBSTITUTE(SUBSTITUTE(SUBSTITUTE(TEXT((INT(LOG10(ABS(100*AA135)))+IF(ABS(ROUND(100*AA135/10^INT(LOG10(ABS(100*AA135))),2))&gt;=10,1,0)),"0"),"-","⁻"),"0","⁰"),"1","¹"),"2","²"),"3","³"),"4","⁴"),"5","⁵"),"6","⁶"),"7","⁷"),"8","⁸"),"9","⁹"),FIXED(ROUND(100*AA135,MAX(0,2-INT(LOG10(ABS(100*AA135))))),MAX(0,2-INT(LOG10(ABS(ROUND(100*AA135,MAX(0,2-INT(LOG10(ABS(100*AA135))))))))),FALSE)))&amp;"%"&amp;")","")&amp;IF(TRUE,"; "&amp;"Fraction remaining at the upper half-life"&amp;" = "&amp;AB135&amp;" ("&amp;IF(100*AB135=0,"0",IF(ABS(100*AB135)&lt;0.0001,FIXED(IF(ABS(ROUND(100*AB135/10^INT(LOG10(ABS(100*AB135))),2))&gt;=10,ROUND(100*AB135/10^INT(LOG10(ABS(100*AB135))),2)/10,ROUND(100*AB135/10^INT(LOG10(ABS(100*AB135))),2)),2,TRUE)&amp;" × 10"&amp;SUBSTITUTE(SUBSTITUTE(SUBSTITUTE(SUBSTITUTE(SUBSTITUTE(SUBSTITUTE(SUBSTITUTE(SUBSTITUTE(SUBSTITUTE(SUBSTITUTE(SUBSTITUTE(TEXT((INT(LOG10(ABS(100*AB135)))+IF(ABS(ROUND(100*AB135/10^INT(LOG10(ABS(100*AB135))),2))&gt;=10,1,0)),"0"),"-","⁻"),"0","⁰"),"1","¹"),"2","²"),"3","³"),"4","⁴"),"5","⁵"),"6","⁶"),"7","⁷"),"8","⁸"),"9","⁹"),FIXED(ROUND(100*AB135,MAX(0,2-INT(LOG10(ABS(100*AB135))))),MAX(0,2-INT(LOG10(ABS(ROUND(100*AB135,MAX(0,2-INT(LOG10(ABS(100*AB135))))))))),FALSE)))&amp;"%"&amp;")",""),3,9999))</f>
        <v>Fraction remaining at the lower half-life = 0.0625 (6.25%); Fraction remaining at the upper half-life = 0.25 (25.0%)</v>
      </c>
      <c r="AJ135" s="21" t="str">
        <f t="shared" ref="AJ135:AJ136" si="256">IF(AW135=0,"","fraction (shown as percent)")</f>
        <v>fraction (shown as percent)</v>
      </c>
      <c r="AK135" s="21" t="str">
        <f t="shared" ref="AK135:AK136" si="257">IF(AO135=1,"",IF(TRIM(D135&amp;"")&lt;&gt;"",D135,"Q8 Parameter uncertainty and scenarios"))</f>
        <v>Vector V23</v>
      </c>
      <c r="AL135" s="21" t="str">
        <f t="shared" ref="AL135:AL136" si="258">IF(AO135=1,"","Assumption-based scenario range, not a confidence interval.")</f>
        <v>Assumption-based scenario range, not a confidence interval.</v>
      </c>
      <c r="AM135" s="21" t="str">
        <f t="shared" ref="AM135:AM136" si="259">IF(AO135=1,"","Q1 evaluated at each half-life bound; no midpoint or average is calculated")</f>
        <v>Q1 evaluated at each half-life bound; no midpoint or average is calculated</v>
      </c>
      <c r="AN135" s="21" t="str">
        <f t="shared" ref="AN135:AN136" si="260">IF(AO135=1,"","CALC-SPEC 1.1")</f>
        <v>CALC-SPEC 1.1</v>
      </c>
      <c r="AO135" s="22">
        <f t="shared" ref="AO135:AO136" si="261">IF(AND(A135="",P135="",V135=""),1,0)</f>
        <v>0</v>
      </c>
      <c r="AP135" s="21" t="str">
        <f t="shared" ref="AP135:AP136" si="262">IF(AO135=1,"",B135&amp;"|"&amp;C135)</f>
        <v>VEC-V23|1</v>
      </c>
      <c r="AQ135" s="21" t="str">
        <f t="shared" ref="AQ135:AQ136" si="263">IF(A135="","",B135&amp;"|"&amp;C135&amp;"|"&amp;A135)</f>
        <v>VEC-V23|1|Q8-V23</v>
      </c>
      <c r="AR135" s="22">
        <f t="shared" ref="AR135:AR136" si="264">IF(AND(F135="Yes",G135="Yes",K135="Yes",M135="Yes",TRIM(H135&amp;"")&lt;&gt;"",TRIM(I135&amp;"")&lt;&gt;"",TRIM(J135&amp;"")&lt;&gt;"",TRIM(L135&amp;"")&lt;&gt;"",Q135&lt;&gt;"",T135&lt;&gt;"",W135&lt;&gt;""),1,0)</f>
        <v>1</v>
      </c>
      <c r="AS135" s="21" t="str">
        <f>IF(AO135=1,"",IF(A135="","; E_MISSING_INPUT","")&amp;IF(N135="","; E_MISSING_INPUT","")&amp;IF(AND(N135&lt;&gt;"",ISNA(MATCH(N135,nLIST_TimeUnit,0))),"; E_INVALID_UNIT","")&amp;IF(P135="","; E_MISSING_INPUT","")&amp;IF(AND(P135&lt;&gt;"",NOT(ISNUMBER(P135))),"; E_MISSING_INPUT","")&amp;IF(AND(ISNUMBER(P135),P135&lt;=0),"; E_NONPOSITIVE_PARAMETER","")&amp;IF(S135="","; E_MISSING_INPUT","")&amp;IF(AND(S135&lt;&gt;"",NOT(ISNUMBER(S135))),"; E_MISSING_INPUT","")&amp;IF(AND(ISNUMBER(S135),S135&lt;=0),"; E_NONPOSITIVE_PARAMETER","")&amp;IF(AND(ISNUMBER(P135),ISNUMBER(S135),P135&gt;0,S135&gt;0,P135&gt;S135),"; E_REVERSED_BOUNDS","")&amp;IF(V135="","; E_MISSING_INPUT","")&amp;IF(AND(V135&lt;&gt;"",NOT(ISNUMBER(V135))),"; E_MISSING_INPUT","")&amp;IF(AND(ISNUMBER(V135),V135&lt;0),"; E_OUT_OF_RANGE","")&amp;IF(TRIM(H135&amp;"")="","; E_MISSING_INPUT","")&amp;IF(TRIM(I135&amp;"")="","; E_MISSING_INPUT","")&amp;IF(TRIM(J135&amp;"")="","; E_MISSING_INPUT","")&amp;IF(TRIM(L135&amp;"")="","; E_MISSING_INPUT","")&amp;IF(Q135="","; E_MISSING_INPUT","")&amp;IF(T135="","; E_MISSING_INPUT","")&amp;IF(W135="","; E_MISSING_INPUT","")&amp;IF(AR135=0,"; E_APPLICABILITY_UNCONFIRMED",""))</f>
        <v/>
      </c>
      <c r="AT135" s="21" t="str">
        <f t="shared" ref="AT135:AT136" si="265">IF(AO135=1,"",IF(A135="",", a Calc_ID","")&amp;IF(N135="",", a time unit","")&amp;IF(P135="",", the lower half-life","")&amp;IF(AND(P135&lt;&gt;"",NOT(ISNUMBER(P135))),", the lower half-life as a number","")&amp;IF(S135="",", the upper half-life","")&amp;IF(AND(S135&lt;&gt;"",NOT(ISNUMBER(S135))),", the upper half-life as a number","")&amp;IF(V135="",", the time","")&amp;IF(AND(V135&lt;&gt;"",NOT(ISNUMBER(V135))),", the time as a number","")&amp;IF(TRIM(H135&amp;"")="",", the type of the half-life used","")&amp;IF(TRIM(I135&amp;"")="",", the population of the half-life used","")&amp;IF(TRIM(J135&amp;"")="",", the source of the half-life used","")&amp;IF(TRIM(L135&amp;"")="",", the reference time","")&amp;IF(Q135="",", the Parameter_Status of the lower half-life","")&amp;IF(T135="",", the Parameter_Status of the upper half-life","")&amp;IF(W135="",", the Parameter_Status of t",""))</f>
        <v/>
      </c>
      <c r="AU135" s="21" t="str">
        <f t="shared" ref="AU135:AU136" si="266">IF(AO135=1,"",MID(IF(ISNUMBER(SEARCH("E_INVALID_DATE",AS135)),"; E_INVALID_DATE","")&amp;IF(ISNUMBER(SEARCH("E_REVERSED_BOUNDS",AS135)),"; E_REVERSED_BOUNDS","")&amp;IF(ISNUMBER(SEARCH("E_DUPLICATE_ID",AS135)),"; E_DUPLICATE_ID","")&amp;IF(ISNUMBER(SEARCH("E_MISSING_LINK",AS135)),"; E_MISSING_LINK","")&amp;IF(ISNUMBER(SEARCH("E_MISSING_INPUT",AS135)),"; E_MISSING_INPUT","")&amp;IF(ISNUMBER(SEARCH("E_INVALID_UNIT",AS135)),"; E_INVALID_UNIT","")&amp;IF(ISNUMBER(SEARCH("E_NONPOSITIVE_PARAMETER",AS135)),"; E_NONPOSITIVE_PARAMETER","")&amp;IF(ISNUMBER(SEARCH("E_OUT_OF_RANGE",AS135)),"; E_OUT_OF_RANGE","")&amp;IF(ISNUMBER(SEARCH("E_APPLICABILITY_UNCONFIRMED",AS135)),"; E_APPLICABILITY_UNCONFIRMED","")&amp;IF(ISNUMBER(SEARCH("E_CREATININE_STABILITY_UNCONFIRMED",AS135)),"; E_CREATININE_STABILITY_UNCONFIRMED","")&amp;IF(ISNUMBER(SEARCH("E_OVERLAPPING_SEGMENTS",AS135)),"; E_OVERLAPPING_SEGMENTS",""),3,999))</f>
        <v/>
      </c>
      <c r="AV135" s="21" t="str">
        <f t="shared" ref="AV135:AV136" si="267">MID(AT135,3,999)</f>
        <v/>
      </c>
      <c r="AW135" s="22">
        <f t="shared" ref="AW135:AW136" si="268">IF(AND(AO135=0,AU135=""),1,0)</f>
        <v>1</v>
      </c>
    </row>
    <row r="136" spans="1:49" x14ac:dyDescent="0.2">
      <c r="A136" s="9" t="s">
        <v>1397</v>
      </c>
      <c r="B136" s="9" t="s">
        <v>381</v>
      </c>
      <c r="C136" s="11">
        <v>1</v>
      </c>
      <c r="D136" s="9" t="s">
        <v>1398</v>
      </c>
      <c r="E136" s="9"/>
      <c r="F136" s="16" t="s">
        <v>85</v>
      </c>
      <c r="G136" s="16" t="s">
        <v>85</v>
      </c>
      <c r="H136" s="9" t="s">
        <v>1247</v>
      </c>
      <c r="I136" s="9" t="s">
        <v>1244</v>
      </c>
      <c r="J136" s="9" t="s">
        <v>1246</v>
      </c>
      <c r="K136" s="16" t="s">
        <v>85</v>
      </c>
      <c r="L136" s="9" t="s">
        <v>1245</v>
      </c>
      <c r="M136" s="16" t="s">
        <v>85</v>
      </c>
      <c r="N136" s="16" t="s">
        <v>68</v>
      </c>
      <c r="O136" s="16" t="s">
        <v>85</v>
      </c>
      <c r="P136" s="16">
        <v>21</v>
      </c>
      <c r="Q136" s="16" t="s">
        <v>83</v>
      </c>
      <c r="R136" s="9" t="s">
        <v>1399</v>
      </c>
      <c r="S136" s="16">
        <v>42</v>
      </c>
      <c r="T136" s="16" t="s">
        <v>83</v>
      </c>
      <c r="U136" s="9" t="s">
        <v>1399</v>
      </c>
      <c r="V136" s="16">
        <v>84</v>
      </c>
      <c r="W136" s="16" t="s">
        <v>83</v>
      </c>
      <c r="X136" s="9" t="s">
        <v>1399</v>
      </c>
      <c r="Y136" s="21" t="str">
        <f t="shared" si="246"/>
        <v>From 6.25% (t_half 21 days) to 25.0% (t_half 42 days) remaining; scenario range, not a confidence interval</v>
      </c>
      <c r="Z136" s="21" t="str">
        <f t="shared" si="247"/>
        <v>Fraction remaining at the lower half-life: 6.25%; Fraction remaining at the upper half-life: 25.0%</v>
      </c>
      <c r="AA136" s="21">
        <f t="shared" si="248"/>
        <v>6.25E-2</v>
      </c>
      <c r="AB136" s="21">
        <f t="shared" si="249"/>
        <v>0.25</v>
      </c>
      <c r="AC136" s="21">
        <f t="shared" si="250"/>
        <v>6.25</v>
      </c>
      <c r="AD136" s="21">
        <f t="shared" si="251"/>
        <v>25</v>
      </c>
      <c r="AE136" s="21" t="str">
        <f t="shared" si="252"/>
        <v>W_BIOLOGIC_MODEL_CAUTION; I_SCENARIO_NOT_CI</v>
      </c>
      <c r="AF136" s="21" t="str">
        <f>IF(AO136=1,"",MID(IF(ISNUMBER(SEARCH("E_INVALID_DATE",AU136))," | E_INVALID_DATE: "&amp;SUBSTITUTE(IFERROR(INDEX(nMSG_Text,MATCH("E_INVALID_DATE",nMSG_Code,0)),""),"[input]",""),"")&amp;IF(ISNUMBER(SEARCH("E_REVERSED_BOUNDS",AU136))," | E_REVERSED_BOUNDS: "&amp;SUBSTITUTE(IFERROR(INDEX(nMSG_Text,MATCH("E_REVERSED_BOUNDS",nMSG_Code,0)),""),"[input]",""),"")&amp;IF(ISNUMBER(SEARCH("E_DUPLICATE_ID",AU136))," | E_DUPLICATE_ID: "&amp;SUBSTITUTE(IFERROR(INDEX(nMSG_Text,MATCH("E_DUPLICATE_ID",nMSG_Code,0)),""),"[input]",""),"")&amp;IF(ISNUMBER(SEARCH("E_MISSING_LINK",AU136))," | E_MISSING_LINK: "&amp;SUBSTITUTE(IFERROR(INDEX(nMSG_Text,MATCH("E_MISSING_LINK",nMSG_Code,0)),""),"[input]",""),"")&amp;IF(ISNUMBER(SEARCH("E_MISSING_INPUT",AU136))," | E_MISSING_INPUT: "&amp;SUBSTITUTE(IFERROR(INDEX(nMSG_Text,MATCH("E_MISSING_INPUT",nMSG_Code,0)),""),"[input]",IF(AV136="","an input",AV136)),"")&amp;IF(ISNUMBER(SEARCH("E_INVALID_UNIT",AU136))," | E_INVALID_UNIT: "&amp;SUBSTITUTE(IFERROR(INDEX(nMSG_Text,MATCH("E_INVALID_UNIT",nMSG_Code,0)),""),"[input]",""),"")&amp;IF(ISNUMBER(SEARCH("E_NONPOSITIVE_PARAMETER",AU136))," | E_NONPOSITIVE_PARAMETER: "&amp;SUBSTITUTE(IFERROR(INDEX(nMSG_Text,MATCH("E_NONPOSITIVE_PARAMETER",nMSG_Code,0)),""),"[input]",""),"")&amp;IF(ISNUMBER(SEARCH("E_OUT_OF_RANGE",AU136))," | E_OUT_OF_RANGE: "&amp;SUBSTITUTE(IFERROR(INDEX(nMSG_Text,MATCH("E_OUT_OF_RANGE",nMSG_Code,0)),""),"[input]",""),"")&amp;IF(ISNUMBER(SEARCH("E_APPLICABILITY_UNCONFIRMED",AU136))," | E_APPLICABILITY_UNCONFIRMED: "&amp;SUBSTITUTE(IFERROR(INDEX(nMSG_Text,MATCH("E_APPLICABILITY_UNCONFIRMED",nMSG_Code,0)),""),"[input]",""),"")&amp;IF(ISNUMBER(SEARCH("E_CREATININE_STABILITY_UNCONFIRMED",AU136))," | E_CREATININE_STABILITY_UNCONFIRMED: "&amp;SUBSTITUTE(IFERROR(INDEX(nMSG_Text,MATCH("E_CREATININE_STABILITY_UNCONFIRMED",nMSG_Code,0)),""),"[input]",""),"")&amp;IF(ISNUMBER(SEARCH("E_OVERLAPPING_SEGMENTS",AU136))," | E_OVERLAPPING_SEGMENTS: "&amp;SUBSTITUTE(IFERROR(INDEX(nMSG_Text,MATCH("E_OVERLAPPING_SEGMENTS",nMSG_Code,0)),""),"[input]",""),"")&amp;IF(AW136=1,IF(O136="Yes"," | W_BIOLOGIC_MODEL_CAUTION: "&amp;SUBSTITUTE(IFERROR(INDEX(nMSG_Text,MATCH("W_BIOLOGIC_MODEL_CAUTION",nMSG_Code,0)),""),"[input]",""),"")&amp;IF(TRUE," | I_SCENARIO_NOT_CI: "&amp;SUBSTITUTE(IFERROR(INDEX(nMSG_Text,MATCH("I_SCENARIO_NOT_CI",nMSG_Code,0)),""),"[input]",""),""),""),4,9999))</f>
        <v>W_BIOLOGIC_MODEL_CAUTION: Antibody disposition can be nonlinear or time-varying; this simple model may not apply. | I_SCENARIO_NOT_CI: Scenario range from assumed parameters, not a confidence interval.</v>
      </c>
      <c r="AG136" s="21" t="str">
        <f t="shared" si="253"/>
        <v>t_half_lower = 21 days [hypothetical example; V34 V37]; t_half_upper = 42 days [hypothetical example; V34 V37]; t = 84 days [hypothetical example; V34 V37]; monoclonal antibody: yes</v>
      </c>
      <c r="AH136" s="21" t="str">
        <f t="shared" si="254"/>
        <v>Gate confirmed: the simple model applies (one compartment, linear first-order elimination, constant parameters over the period). | Gate confirmed: the half-life used – type: terminal elimination (hypothetical); population: hypothetical population (vector file); source: tto_calc_test_vectors_v1.1.json. | Gate confirmed: reference time – Reference amount at time zero. | Gate confirmed: each input’s Parameter_Status is recorded. | The molecule is a monoclonal antibody, so the Q7 caution applies to each bound.</v>
      </c>
      <c r="AI136" s="21" t="str">
        <f t="shared" si="255"/>
        <v>Fraction remaining at the lower half-life = 0.0625 (6.25%); Fraction remaining at the upper half-life = 0.25 (25.0%)</v>
      </c>
      <c r="AJ136" s="21" t="str">
        <f t="shared" si="256"/>
        <v>fraction (shown as percent)</v>
      </c>
      <c r="AK136" s="21" t="str">
        <f t="shared" si="257"/>
        <v>Vector V37: a recorded monoclonal antibody</v>
      </c>
      <c r="AL136" s="21" t="str">
        <f t="shared" si="258"/>
        <v>Assumption-based scenario range, not a confidence interval.</v>
      </c>
      <c r="AM136" s="21" t="str">
        <f t="shared" si="259"/>
        <v>Q1 evaluated at each half-life bound; no midpoint or average is calculated</v>
      </c>
      <c r="AN136" s="21" t="str">
        <f t="shared" si="260"/>
        <v>CALC-SPEC 1.1</v>
      </c>
      <c r="AO136" s="22">
        <f t="shared" si="261"/>
        <v>0</v>
      </c>
      <c r="AP136" s="21" t="str">
        <f t="shared" si="262"/>
        <v>VEC-V37|1</v>
      </c>
      <c r="AQ136" s="21" t="str">
        <f t="shared" si="263"/>
        <v>VEC-V37|1|Q8-V37</v>
      </c>
      <c r="AR136" s="22">
        <f t="shared" si="264"/>
        <v>1</v>
      </c>
      <c r="AS136" s="21" t="str">
        <f>IF(AO136=1,"",IF(A136="","; E_MISSING_INPUT","")&amp;IF(N136="","; E_MISSING_INPUT","")&amp;IF(AND(N136&lt;&gt;"",ISNA(MATCH(N136,nLIST_TimeUnit,0))),"; E_INVALID_UNIT","")&amp;IF(P136="","; E_MISSING_INPUT","")&amp;IF(AND(P136&lt;&gt;"",NOT(ISNUMBER(P136))),"; E_MISSING_INPUT","")&amp;IF(AND(ISNUMBER(P136),P136&lt;=0),"; E_NONPOSITIVE_PARAMETER","")&amp;IF(S136="","; E_MISSING_INPUT","")&amp;IF(AND(S136&lt;&gt;"",NOT(ISNUMBER(S136))),"; E_MISSING_INPUT","")&amp;IF(AND(ISNUMBER(S136),S136&lt;=0),"; E_NONPOSITIVE_PARAMETER","")&amp;IF(AND(ISNUMBER(P136),ISNUMBER(S136),P136&gt;0,S136&gt;0,P136&gt;S136),"; E_REVERSED_BOUNDS","")&amp;IF(V136="","; E_MISSING_INPUT","")&amp;IF(AND(V136&lt;&gt;"",NOT(ISNUMBER(V136))),"; E_MISSING_INPUT","")&amp;IF(AND(ISNUMBER(V136),V136&lt;0),"; E_OUT_OF_RANGE","")&amp;IF(TRIM(H136&amp;"")="","; E_MISSING_INPUT","")&amp;IF(TRIM(I136&amp;"")="","; E_MISSING_INPUT","")&amp;IF(TRIM(J136&amp;"")="","; E_MISSING_INPUT","")&amp;IF(TRIM(L136&amp;"")="","; E_MISSING_INPUT","")&amp;IF(Q136="","; E_MISSING_INPUT","")&amp;IF(T136="","; E_MISSING_INPUT","")&amp;IF(W136="","; E_MISSING_INPUT","")&amp;IF(AR136=0,"; E_APPLICABILITY_UNCONFIRMED",""))</f>
        <v/>
      </c>
      <c r="AT136" s="21" t="str">
        <f t="shared" si="265"/>
        <v/>
      </c>
      <c r="AU136" s="21" t="str">
        <f t="shared" si="266"/>
        <v/>
      </c>
      <c r="AV136" s="21" t="str">
        <f t="shared" si="267"/>
        <v/>
      </c>
      <c r="AW136" s="22">
        <f t="shared" si="268"/>
        <v>1</v>
      </c>
    </row>
    <row r="139" spans="1:49" ht="17.25" x14ac:dyDescent="0.3">
      <c r="A139" s="6" t="s">
        <v>1400</v>
      </c>
    </row>
    <row r="140" spans="1:49" x14ac:dyDescent="0.2">
      <c r="A140" s="7" t="s">
        <v>1203</v>
      </c>
    </row>
    <row r="141" spans="1:49" x14ac:dyDescent="0.2">
      <c r="A141" s="2" t="s">
        <v>1204</v>
      </c>
      <c r="F141" s="2" t="s">
        <v>1401</v>
      </c>
      <c r="K141" s="2" t="s">
        <v>1225</v>
      </c>
      <c r="AA141" s="2" t="s">
        <v>1237</v>
      </c>
    </row>
    <row r="142" spans="1:49" ht="66" customHeight="1" x14ac:dyDescent="0.2">
      <c r="A142" s="8" t="s">
        <v>1205</v>
      </c>
      <c r="B142" s="8" t="s">
        <v>280</v>
      </c>
      <c r="C142" s="8" t="s">
        <v>281</v>
      </c>
      <c r="D142" s="8" t="s">
        <v>1206</v>
      </c>
      <c r="E142" s="8" t="s">
        <v>1207</v>
      </c>
      <c r="F142" s="8" t="s">
        <v>1402</v>
      </c>
      <c r="G142" s="8" t="s">
        <v>1403</v>
      </c>
      <c r="H142" s="8" t="s">
        <v>1404</v>
      </c>
      <c r="I142" s="8" t="s">
        <v>1405</v>
      </c>
      <c r="J142" s="8" t="s">
        <v>1406</v>
      </c>
      <c r="K142" s="19" t="s">
        <v>1226</v>
      </c>
      <c r="L142" s="19" t="s">
        <v>981</v>
      </c>
      <c r="M142" s="19" t="s">
        <v>1407</v>
      </c>
      <c r="N142" s="19" t="s">
        <v>1408</v>
      </c>
      <c r="O142" s="19" t="s">
        <v>1409</v>
      </c>
      <c r="P142" s="19" t="s">
        <v>1410</v>
      </c>
      <c r="Q142" s="19" t="s">
        <v>988</v>
      </c>
      <c r="R142" s="19" t="s">
        <v>1231</v>
      </c>
      <c r="S142" s="19" t="s">
        <v>1232</v>
      </c>
      <c r="T142" s="19" t="s">
        <v>1003</v>
      </c>
      <c r="U142" s="19" t="s">
        <v>1233</v>
      </c>
      <c r="V142" s="19" t="s">
        <v>1234</v>
      </c>
      <c r="W142" s="19" t="s">
        <v>954</v>
      </c>
      <c r="X142" s="19" t="s">
        <v>1235</v>
      </c>
      <c r="Y142" s="19" t="s">
        <v>1236</v>
      </c>
      <c r="Z142" s="19" t="s">
        <v>1006</v>
      </c>
      <c r="AA142" s="19" t="s">
        <v>1008</v>
      </c>
      <c r="AB142" s="19" t="s">
        <v>1009</v>
      </c>
      <c r="AC142" s="19" t="s">
        <v>1238</v>
      </c>
      <c r="AD142" s="19" t="s">
        <v>1411</v>
      </c>
      <c r="AE142" s="19" t="s">
        <v>1412</v>
      </c>
      <c r="AF142" s="19" t="s">
        <v>1413</v>
      </c>
      <c r="AG142" s="19" t="s">
        <v>1414</v>
      </c>
      <c r="AH142" s="19" t="s">
        <v>1415</v>
      </c>
      <c r="AI142" s="19" t="s">
        <v>1416</v>
      </c>
      <c r="AJ142" s="19" t="s">
        <v>1417</v>
      </c>
      <c r="AK142" s="19" t="s">
        <v>1418</v>
      </c>
      <c r="AL142" s="19" t="s">
        <v>1419</v>
      </c>
      <c r="AM142" s="19" t="s">
        <v>1420</v>
      </c>
      <c r="AN142" s="19" t="s">
        <v>1421</v>
      </c>
      <c r="AO142" s="19" t="s">
        <v>1422</v>
      </c>
      <c r="AP142" s="19" t="s">
        <v>1423</v>
      </c>
      <c r="AQ142" s="19" t="s">
        <v>1424</v>
      </c>
      <c r="AR142" s="19" t="s">
        <v>1085</v>
      </c>
      <c r="AS142" s="19" t="s">
        <v>1240</v>
      </c>
      <c r="AT142" s="19" t="s">
        <v>1095</v>
      </c>
      <c r="AU142" s="19" t="s">
        <v>1241</v>
      </c>
      <c r="AV142" s="19" t="s">
        <v>1097</v>
      </c>
    </row>
    <row r="143" spans="1:49" x14ac:dyDescent="0.2">
      <c r="A143" s="10"/>
      <c r="B143" s="10"/>
      <c r="C143" s="12"/>
      <c r="D143" s="10"/>
      <c r="E143" s="10"/>
      <c r="F143" s="10"/>
      <c r="G143" s="10"/>
      <c r="H143" s="17"/>
      <c r="I143" s="17"/>
      <c r="J143" s="10"/>
      <c r="K143" s="21" t="str">
        <f t="shared" ref="K143:K150" si="269">IF(AA143=1,"",IF(AT143&lt;&gt;"",AT143&amp;": no result is shown"&amp;IF(ISNUMBER(SEARCH("E_INVALID_UNIT",AT143))," (infusion rates must be in mg/hour; mL/hour needs a concentration and is not supported in CALC-SPEC 1.1)",""),FIXED(M143,1,FALSE)&amp;" mg infused before onset"&amp;IF(N143&lt;&gt;"","; "&amp;FIXED(N143,1,TRUE)&amp;"% of the planned "&amp;H143&amp;" mg","")&amp;" ("&amp;O143&amp;" segments; "&amp;P143&amp;")"))</f>
        <v/>
      </c>
      <c r="L143" s="21" t="str">
        <f t="shared" ref="L143:L150" si="270">IF(AA143=1,"",IF(AV143=0,"Not calculable",MID(IF(TRUE,"; "&amp;"Amount infused before onset"&amp;": "&amp;FIXED(M143,1,FALSE)&amp;" mg","")&amp;IF(N143&lt;&gt;"","; "&amp;"Percent of the planned dose"&amp;": "&amp;FIXED(N143,1,TRUE)&amp;"%",""),3,9999)))</f>
        <v/>
      </c>
      <c r="M143" s="21" t="str">
        <f t="shared" ref="M143:M150" si="271">IF(AV143=1,IF(AL143=1,AP143,AQ143),"")</f>
        <v/>
      </c>
      <c r="N143" s="21" t="str">
        <f t="shared" ref="N143:N150" si="272">IF(AND(AV143=1,ISNUMBER(H143)),100*M143/H143,"")</f>
        <v/>
      </c>
      <c r="O143" s="21" t="str">
        <f t="shared" ref="O143:O150" si="273">IF(AA143=1,"",AK143)</f>
        <v/>
      </c>
      <c r="P143" s="21" t="str">
        <f t="shared" ref="P143:P150" si="274">IF(AV143=0,"",IF(AL143=1,"UTC","local clock"))</f>
        <v/>
      </c>
      <c r="Q143" s="21" t="str">
        <f t="shared" ref="Q143:Q150" si="275">IF(AA143=1,"",IF(AT143&lt;&gt;"",AT143,MID(IF(AL143=0,"; W_TZ_UNKNOWN",""),3,999)))</f>
        <v/>
      </c>
      <c r="R143" s="21" t="str">
        <f>IF(AA143=1,"",MID(IF(ISNUMBER(SEARCH("E_INVALID_DATE",AT143))," | E_INVALID_DATE: "&amp;SUBSTITUTE(IFERROR(INDEX(nMSG_Text,MATCH("E_INVALID_DATE",nMSG_Code,0)),""),"[input]",""),"")&amp;IF(ISNUMBER(SEARCH("E_REVERSED_BOUNDS",AT143))," | E_REVERSED_BOUNDS: "&amp;SUBSTITUTE(IFERROR(INDEX(nMSG_Text,MATCH("E_REVERSED_BOUNDS",nMSG_Code,0)),""),"[input]",""),"")&amp;IF(ISNUMBER(SEARCH("E_DUPLICATE_ID",AT143))," | E_DUPLICATE_ID: "&amp;SUBSTITUTE(IFERROR(INDEX(nMSG_Text,MATCH("E_DUPLICATE_ID",nMSG_Code,0)),""),"[input]",""),"")&amp;IF(ISNUMBER(SEARCH("E_MISSING_LINK",AT143))," | E_MISSING_LINK: "&amp;SUBSTITUTE(IFERROR(INDEX(nMSG_Text,MATCH("E_MISSING_LINK",nMSG_Code,0)),""),"[input]",""),"")&amp;IF(ISNUMBER(SEARCH("E_MISSING_INPUT",AT143))," | E_MISSING_INPUT: "&amp;SUBSTITUTE(IFERROR(INDEX(nMSG_Text,MATCH("E_MISSING_INPUT",nMSG_Code,0)),""),"[input]",IF(AU143="","an input",AU143)),"")&amp;IF(ISNUMBER(SEARCH("E_INVALID_UNIT",AT143))," | E_INVALID_UNIT: "&amp;SUBSTITUTE(IFERROR(INDEX(nMSG_Text,MATCH("E_INVALID_UNIT",nMSG_Code,0)),""),"[input]",""),"")&amp;IF(ISNUMBER(SEARCH("E_NONPOSITIVE_PARAMETER",AT143))," | E_NONPOSITIVE_PARAMETER: "&amp;SUBSTITUTE(IFERROR(INDEX(nMSG_Text,MATCH("E_NONPOSITIVE_PARAMETER",nMSG_Code,0)),""),"[input]",""),"")&amp;IF(ISNUMBER(SEARCH("E_OUT_OF_RANGE",AT143))," | E_OUT_OF_RANGE: "&amp;SUBSTITUTE(IFERROR(INDEX(nMSG_Text,MATCH("E_OUT_OF_RANGE",nMSG_Code,0)),""),"[input]",""),"")&amp;IF(ISNUMBER(SEARCH("E_APPLICABILITY_UNCONFIRMED",AT143))," | E_APPLICABILITY_UNCONFIRMED: "&amp;SUBSTITUTE(IFERROR(INDEX(nMSG_Text,MATCH("E_APPLICABILITY_UNCONFIRMED",nMSG_Code,0)),""),"[input]",""),"")&amp;IF(ISNUMBER(SEARCH("E_CREATININE_STABILITY_UNCONFIRMED",AT143))," | E_CREATININE_STABILITY_UNCONFIRMED: "&amp;SUBSTITUTE(IFERROR(INDEX(nMSG_Text,MATCH("E_CREATININE_STABILITY_UNCONFIRMED",nMSG_Code,0)),""),"[input]",""),"")&amp;IF(ISNUMBER(SEARCH("E_OVERLAPPING_SEGMENTS",AT143))," | E_OVERLAPPING_SEGMENTS: "&amp;SUBSTITUTE(IFERROR(INDEX(nMSG_Text,MATCH("E_OVERLAPPING_SEGMENTS",nMSG_Code,0)),""),"[input]",""),"")&amp;IF(AV143=1,IF(AL143=0," | W_TZ_UNKNOWN: "&amp;SUBSTITUTE(IFERROR(INDEX(nMSG_Text,MATCH("W_TZ_UNKNOWN",nMSG_Code,0)),""),"[input]",""),""),""),4,9999))</f>
        <v/>
      </c>
      <c r="S143" s="21" t="str">
        <f t="shared" ref="S143:S150" si="276">IF(AA143=1,"","Rate segments of exposure episode "&amp;F143&amp;" (Administrations, "&amp;AK143&amp;" segments) [case measurement]; onset "&amp;G143&amp;" [case measurement]"&amp;IF(H143&lt;&gt;"","; planned dose = "&amp;H143&amp;" mg ["&amp;IF(I143="","status not recorded",I143)&amp;IF(J143&lt;&gt;"","; "&amp;J143,"")&amp;"]",""))</f>
        <v/>
      </c>
      <c r="T143" s="21" t="str">
        <f t="shared" ref="T143:T150" si="277">IF(AA143=1,"",MID(""&amp;IF(TRIM(E143&amp;"")&lt;&gt;""," | "&amp;E143,""),4,9999))</f>
        <v/>
      </c>
      <c r="U143" s="21" t="str">
        <f t="shared" ref="U143:U150" si="278">IF(AV143=0,"",MID(IF(TRUE,"; "&amp;"Amount infused before onset"&amp;" = "&amp;M143&amp;" ("&amp;FIXED(M143,1,FALSE)&amp;" mg"&amp;")","")&amp;IF(N143&lt;&gt;"","; "&amp;"Percent of the planned dose"&amp;" = "&amp;N143&amp;" ("&amp;FIXED(N143,1,TRUE)&amp;"%"&amp;")",""),3,9999))</f>
        <v/>
      </c>
      <c r="V143" s="21" t="str">
        <f t="shared" ref="V143:V150" si="279">IF(AV143=0,"","mg")</f>
        <v/>
      </c>
      <c r="W143" s="21" t="str">
        <f t="shared" ref="W143:W150" si="280">IF(AA143=1,"",IF(TRIM(D143&amp;"")&lt;&gt;"",D143,"Q9 Dose received before onset during an infusion"))</f>
        <v/>
      </c>
      <c r="X143" s="21" t="str">
        <f t="shared" ref="X143:X150" si="281">IF(AA143=1,"","Amount infused, not systemic or effect-site exposure. Assumes the recorded times without interruption and ignores line dead volume.")</f>
        <v/>
      </c>
      <c r="Y143" s="21" t="str">
        <f t="shared" ref="Y143:Y150" si="282">IF(AA143=1,"","Amount = sum over segments of rate (mg/hour) x hours of that segment before onset")</f>
        <v/>
      </c>
      <c r="Z143" s="21" t="str">
        <f t="shared" ref="Z143:Z150" si="283">IF(AA143=1,"","CALC-SPEC 1.1")</f>
        <v/>
      </c>
      <c r="AA143" s="22">
        <f t="shared" ref="AA143:AA150" si="284">IF(AND(A143="",F143="",G143=""),1,0)</f>
        <v>1</v>
      </c>
      <c r="AB143" s="21" t="str">
        <f t="shared" ref="AB143:AB150" si="285">IF(AA143=1,"",B143&amp;"|"&amp;C143)</f>
        <v/>
      </c>
      <c r="AC143" s="21" t="str">
        <f t="shared" ref="AC143:AC150" si="286">IF(A143="","",B143&amp;"|"&amp;C143&amp;"|"&amp;A143)</f>
        <v/>
      </c>
      <c r="AD143" s="21" t="str">
        <f t="shared" ref="AD143:AD150" si="287">B143&amp;"|"&amp;C143&amp;"|"&amp;F143</f>
        <v>||</v>
      </c>
      <c r="AE143" s="22">
        <f>IF(G143="",0,IFERROR(MATCH(B143&amp;"|"&amp;C143&amp;"|"&amp;G143,nTP_Key,0),0))</f>
        <v>0</v>
      </c>
      <c r="AF143" s="21" t="str">
        <f>IF(AE143=0,"",INDEX(nTP_Err,AE143)&amp;"")</f>
        <v/>
      </c>
      <c r="AG143" s="22">
        <f>IF(AE143=0,0,INDEX(nTP_HT,AE143))</f>
        <v>0</v>
      </c>
      <c r="AH143" s="22">
        <f>IF(AE143=0,0,INDEX(nTP_OK,AE143))</f>
        <v>0</v>
      </c>
      <c r="AI143" s="22">
        <f>IF(AE143=0,0,INDEX(nTP_Loc_n,AE143))</f>
        <v>0</v>
      </c>
      <c r="AJ143" s="22">
        <f>IF(AE143=0,0,INDEX(nTP_UTC_n,AE143))</f>
        <v>0</v>
      </c>
      <c r="AK143" s="22">
        <f>COUNTIFS(nADM_SelKey,AD143,nADM_Kind,"INFUSION_SEGMENT")</f>
        <v>0</v>
      </c>
      <c r="AL143" s="22">
        <f>IF(AND(AH143=1,COUNTIFS(nADM_SelKey,AD143,nADM_SegValid,1,nADM_SegOK,0)=0),1,0)</f>
        <v>0</v>
      </c>
      <c r="AM143" s="21" t="str">
        <f>IF(SUMPRODUCT((nADM_SelKey=AD143)*(nADM_Kind="INFUSION_SEGMENT")*ISNUMBER(SEARCH("E_INVALID_DATE",nADM_Seg_Raw)))&gt;0,"; E_INVALID_DATE","")&amp;IF(SUMPRODUCT((nADM_SelKey=AD143)*(nADM_Kind="INFUSION_SEGMENT")*ISNUMBER(SEARCH("E_MISSING_INPUT",nADM_Seg_Raw)))&gt;0,"; E_MISSING_INPUT","")&amp;IF(SUMPRODUCT((nADM_SelKey=AD143)*(nADM_Kind="INFUSION_SEGMENT")*ISNUMBER(SEARCH("E_INVALID_UNIT",nADM_Seg_Raw)))&gt;0,"; E_INVALID_UNIT","")&amp;IF(SUMPRODUCT((nADM_SelKey=AD143)*(nADM_Kind="INFUSION_SEGMENT")*ISNUMBER(SEARCH("E_NONPOSITIVE_PARAMETER",nADM_Seg_Raw)))&gt;0,"; E_NONPOSITIVE_PARAMETER","")</f>
        <v/>
      </c>
      <c r="AN143" s="22">
        <f>IF(AL143=1,SUMIFS(nADM_Rev_UTC,nADM_SelKey,AD143),SUMIFS(nADM_Rev_Loc,nADM_SelKey,AD143))</f>
        <v>0</v>
      </c>
      <c r="AO143" s="22">
        <f>IF(AL143=1,SUMIFS(nADM_Ovl_UTC,nADM_SelKey,AD143),SUMIFS(nADM_Ovl_Loc,nADM_SelKey,AD143))</f>
        <v>0</v>
      </c>
      <c r="AP143" s="21">
        <f>IF(AE143=0,0,SUMPRODUCT((nADM_SelKey=AD143)*nADM_SegValid*nADM_Rate_n*(((((nADM_SegE_UTC_n+AJ143)-ABS(nADM_SegE_UTC_n-AJ143))/2)-nADM_SegS_UTC_n)+ABS((((nADM_SegE_UTC_n+AJ143)-ABS(nADM_SegE_UTC_n-AJ143))/2)-nADM_SegS_UTC_n))/2)/60)</f>
        <v>0</v>
      </c>
      <c r="AQ143" s="21">
        <f>IF(AE143=0,0,SUMPRODUCT((nADM_SelKey=AD143)*nADM_SegValid*nADM_Rate_n*(((((nADM_SegE_Loc_n+AI143)-ABS(nADM_SegE_Loc_n-AI143))/2)-nADM_SegS_Loc_n)+ABS((((nADM_SegE_Loc_n+AI143)-ABS(nADM_SegE_Loc_n-AI143))/2)-nADM_SegS_Loc_n))/2)/60)</f>
        <v>0</v>
      </c>
      <c r="AR143" s="21" t="str">
        <f t="shared" ref="AR143:AR150" si="288">IF(AA143=1,"",IF(A143="","; E_MISSING_INPUT","")&amp;IF(F143="","; E_MISSING_INPUT","")&amp;IF(G143="","; E_MISSING_INPUT","")&amp;IF(AND(G143&lt;&gt;"",AE143=0),"; E_MISSING_INPUT","")&amp;IF(AF143&lt;&gt;"","; "&amp;AF143&amp;"","")&amp;IF(AND(AE143&gt;0,AF143="",AG143=0),"; E_MISSING_INPUT","")&amp;IF(AND(F143&lt;&gt;"",AK143=0),"; E_MISSING_INPUT","")&amp;IF(AM143&lt;&gt;"","; "&amp;MID(AM143,3,999)&amp;"","")&amp;IF(ISNUMBER(SEARCH("E_MISSING_INPUT",AM143)),"; E_MISSING_INPUT","")&amp;IF(AND(H143&lt;&gt;"",NOT(ISNUMBER(H143))),"; E_MISSING_INPUT","")&amp;IF(AND(ISNUMBER(H143),H143&lt;=0),"; E_NONPOSITIVE_PARAMETER","")&amp;IF(AN143&gt;0,"; E_REVERSED_BOUNDS","")&amp;IF(AO143&gt;0,"; E_OVERLAPPING_SEGMENTS",""))</f>
        <v/>
      </c>
      <c r="AS143" s="21" t="str">
        <f t="shared" ref="AS143:AS150" si="289">IF(AA143=1,"",IF(A143="",", a Calc_ID","")&amp;IF(F143="",", an Exposure_Episode_ID","")&amp;IF(G143="",", the onset time","")&amp;IF(AND(G143&lt;&gt;"",AE143=0),", the onset record "&amp;G143&amp;"","")&amp;IF(AND(AE143&gt;0,AF143="",AG143=0),", the onset time (a timestamp)","")&amp;IF(AND(F143&lt;&gt;"",AK143=0),", at least one infusion segment (INFUSION_SEGMENT rows on Administrations for "&amp;F143&amp;")","")&amp;IF(ISNUMBER(SEARCH("E_MISSING_INPUT",AM143)),", segment start and end timestamps and a rate in mg/hour for every segment","")&amp;IF(AND(H143&lt;&gt;"",NOT(ISNUMBER(H143))),", the planned dose as a number",""))</f>
        <v/>
      </c>
      <c r="AT143" s="21" t="str">
        <f t="shared" ref="AT143:AT150" si="290">IF(AA143=1,"",MID(IF(ISNUMBER(SEARCH("E_INVALID_DATE",AR143)),"; E_INVALID_DATE","")&amp;IF(ISNUMBER(SEARCH("E_REVERSED_BOUNDS",AR143)),"; E_REVERSED_BOUNDS","")&amp;IF(ISNUMBER(SEARCH("E_DUPLICATE_ID",AR143)),"; E_DUPLICATE_ID","")&amp;IF(ISNUMBER(SEARCH("E_MISSING_LINK",AR143)),"; E_MISSING_LINK","")&amp;IF(ISNUMBER(SEARCH("E_MISSING_INPUT",AR143)),"; E_MISSING_INPUT","")&amp;IF(ISNUMBER(SEARCH("E_INVALID_UNIT",AR143)),"; E_INVALID_UNIT","")&amp;IF(ISNUMBER(SEARCH("E_NONPOSITIVE_PARAMETER",AR143)),"; E_NONPOSITIVE_PARAMETER","")&amp;IF(ISNUMBER(SEARCH("E_OUT_OF_RANGE",AR143)),"; E_OUT_OF_RANGE","")&amp;IF(ISNUMBER(SEARCH("E_APPLICABILITY_UNCONFIRMED",AR143)),"; E_APPLICABILITY_UNCONFIRMED","")&amp;IF(ISNUMBER(SEARCH("E_CREATININE_STABILITY_UNCONFIRMED",AR143)),"; E_CREATININE_STABILITY_UNCONFIRMED","")&amp;IF(ISNUMBER(SEARCH("E_OVERLAPPING_SEGMENTS",AR143)),"; E_OVERLAPPING_SEGMENTS",""),3,999))</f>
        <v/>
      </c>
      <c r="AU143" s="21" t="str">
        <f t="shared" ref="AU143:AU150" si="291">MID(AS143,3,999)</f>
        <v/>
      </c>
      <c r="AV143" s="22">
        <f t="shared" ref="AV143:AV150" si="292">IF(AND(AA143=0,AT143=""),1,0)</f>
        <v>0</v>
      </c>
    </row>
    <row r="144" spans="1:49" x14ac:dyDescent="0.2">
      <c r="A144" s="10"/>
      <c r="B144" s="10"/>
      <c r="C144" s="12"/>
      <c r="D144" s="10"/>
      <c r="E144" s="10"/>
      <c r="F144" s="10"/>
      <c r="G144" s="10"/>
      <c r="H144" s="17"/>
      <c r="I144" s="17"/>
      <c r="J144" s="10"/>
      <c r="K144" s="21" t="str">
        <f t="shared" si="269"/>
        <v/>
      </c>
      <c r="L144" s="21" t="str">
        <f t="shared" si="270"/>
        <v/>
      </c>
      <c r="M144" s="21" t="str">
        <f t="shared" si="271"/>
        <v/>
      </c>
      <c r="N144" s="21" t="str">
        <f t="shared" si="272"/>
        <v/>
      </c>
      <c r="O144" s="21" t="str">
        <f t="shared" si="273"/>
        <v/>
      </c>
      <c r="P144" s="21" t="str">
        <f t="shared" si="274"/>
        <v/>
      </c>
      <c r="Q144" s="21" t="str">
        <f t="shared" si="275"/>
        <v/>
      </c>
      <c r="R144" s="21" t="str">
        <f>IF(AA144=1,"",MID(IF(ISNUMBER(SEARCH("E_INVALID_DATE",AT144))," | E_INVALID_DATE: "&amp;SUBSTITUTE(IFERROR(INDEX(nMSG_Text,MATCH("E_INVALID_DATE",nMSG_Code,0)),""),"[input]",""),"")&amp;IF(ISNUMBER(SEARCH("E_REVERSED_BOUNDS",AT144))," | E_REVERSED_BOUNDS: "&amp;SUBSTITUTE(IFERROR(INDEX(nMSG_Text,MATCH("E_REVERSED_BOUNDS",nMSG_Code,0)),""),"[input]",""),"")&amp;IF(ISNUMBER(SEARCH("E_DUPLICATE_ID",AT144))," | E_DUPLICATE_ID: "&amp;SUBSTITUTE(IFERROR(INDEX(nMSG_Text,MATCH("E_DUPLICATE_ID",nMSG_Code,0)),""),"[input]",""),"")&amp;IF(ISNUMBER(SEARCH("E_MISSING_LINK",AT144))," | E_MISSING_LINK: "&amp;SUBSTITUTE(IFERROR(INDEX(nMSG_Text,MATCH("E_MISSING_LINK",nMSG_Code,0)),""),"[input]",""),"")&amp;IF(ISNUMBER(SEARCH("E_MISSING_INPUT",AT144))," | E_MISSING_INPUT: "&amp;SUBSTITUTE(IFERROR(INDEX(nMSG_Text,MATCH("E_MISSING_INPUT",nMSG_Code,0)),""),"[input]",IF(AU144="","an input",AU144)),"")&amp;IF(ISNUMBER(SEARCH("E_INVALID_UNIT",AT144))," | E_INVALID_UNIT: "&amp;SUBSTITUTE(IFERROR(INDEX(nMSG_Text,MATCH("E_INVALID_UNIT",nMSG_Code,0)),""),"[input]",""),"")&amp;IF(ISNUMBER(SEARCH("E_NONPOSITIVE_PARAMETER",AT144))," | E_NONPOSITIVE_PARAMETER: "&amp;SUBSTITUTE(IFERROR(INDEX(nMSG_Text,MATCH("E_NONPOSITIVE_PARAMETER",nMSG_Code,0)),""),"[input]",""),"")&amp;IF(ISNUMBER(SEARCH("E_OUT_OF_RANGE",AT144))," | E_OUT_OF_RANGE: "&amp;SUBSTITUTE(IFERROR(INDEX(nMSG_Text,MATCH("E_OUT_OF_RANGE",nMSG_Code,0)),""),"[input]",""),"")&amp;IF(ISNUMBER(SEARCH("E_APPLICABILITY_UNCONFIRMED",AT144))," | E_APPLICABILITY_UNCONFIRMED: "&amp;SUBSTITUTE(IFERROR(INDEX(nMSG_Text,MATCH("E_APPLICABILITY_UNCONFIRMED",nMSG_Code,0)),""),"[input]",""),"")&amp;IF(ISNUMBER(SEARCH("E_CREATININE_STABILITY_UNCONFIRMED",AT144))," | E_CREATININE_STABILITY_UNCONFIRMED: "&amp;SUBSTITUTE(IFERROR(INDEX(nMSG_Text,MATCH("E_CREATININE_STABILITY_UNCONFIRMED",nMSG_Code,0)),""),"[input]",""),"")&amp;IF(ISNUMBER(SEARCH("E_OVERLAPPING_SEGMENTS",AT144))," | E_OVERLAPPING_SEGMENTS: "&amp;SUBSTITUTE(IFERROR(INDEX(nMSG_Text,MATCH("E_OVERLAPPING_SEGMENTS",nMSG_Code,0)),""),"[input]",""),"")&amp;IF(AV144=1,IF(AL144=0," | W_TZ_UNKNOWN: "&amp;SUBSTITUTE(IFERROR(INDEX(nMSG_Text,MATCH("W_TZ_UNKNOWN",nMSG_Code,0)),""),"[input]",""),""),""),4,9999))</f>
        <v/>
      </c>
      <c r="S144" s="21" t="str">
        <f t="shared" si="276"/>
        <v/>
      </c>
      <c r="T144" s="21" t="str">
        <f t="shared" si="277"/>
        <v/>
      </c>
      <c r="U144" s="21" t="str">
        <f t="shared" si="278"/>
        <v/>
      </c>
      <c r="V144" s="21" t="str">
        <f t="shared" si="279"/>
        <v/>
      </c>
      <c r="W144" s="21" t="str">
        <f t="shared" si="280"/>
        <v/>
      </c>
      <c r="X144" s="21" t="str">
        <f t="shared" si="281"/>
        <v/>
      </c>
      <c r="Y144" s="21" t="str">
        <f t="shared" si="282"/>
        <v/>
      </c>
      <c r="Z144" s="21" t="str">
        <f t="shared" si="283"/>
        <v/>
      </c>
      <c r="AA144" s="22">
        <f t="shared" si="284"/>
        <v>1</v>
      </c>
      <c r="AB144" s="21" t="str">
        <f t="shared" si="285"/>
        <v/>
      </c>
      <c r="AC144" s="21" t="str">
        <f t="shared" si="286"/>
        <v/>
      </c>
      <c r="AD144" s="21" t="str">
        <f t="shared" si="287"/>
        <v>||</v>
      </c>
      <c r="AE144" s="22">
        <f>IF(G144="",0,IFERROR(MATCH(B144&amp;"|"&amp;C144&amp;"|"&amp;G144,nTP_Key,0),0))</f>
        <v>0</v>
      </c>
      <c r="AF144" s="21" t="str">
        <f>IF(AE144=0,"",INDEX(nTP_Err,AE144)&amp;"")</f>
        <v/>
      </c>
      <c r="AG144" s="22">
        <f>IF(AE144=0,0,INDEX(nTP_HT,AE144))</f>
        <v>0</v>
      </c>
      <c r="AH144" s="22">
        <f>IF(AE144=0,0,INDEX(nTP_OK,AE144))</f>
        <v>0</v>
      </c>
      <c r="AI144" s="22">
        <f>IF(AE144=0,0,INDEX(nTP_Loc_n,AE144))</f>
        <v>0</v>
      </c>
      <c r="AJ144" s="22">
        <f>IF(AE144=0,0,INDEX(nTP_UTC_n,AE144))</f>
        <v>0</v>
      </c>
      <c r="AK144" s="22">
        <f>COUNTIFS(nADM_SelKey,AD144,nADM_Kind,"INFUSION_SEGMENT")</f>
        <v>0</v>
      </c>
      <c r="AL144" s="22">
        <f>IF(AND(AH144=1,COUNTIFS(nADM_SelKey,AD144,nADM_SegValid,1,nADM_SegOK,0)=0),1,0)</f>
        <v>0</v>
      </c>
      <c r="AM144" s="21" t="str">
        <f>IF(SUMPRODUCT((nADM_SelKey=AD144)*(nADM_Kind="INFUSION_SEGMENT")*ISNUMBER(SEARCH("E_INVALID_DATE",nADM_Seg_Raw)))&gt;0,"; E_INVALID_DATE","")&amp;IF(SUMPRODUCT((nADM_SelKey=AD144)*(nADM_Kind="INFUSION_SEGMENT")*ISNUMBER(SEARCH("E_MISSING_INPUT",nADM_Seg_Raw)))&gt;0,"; E_MISSING_INPUT","")&amp;IF(SUMPRODUCT((nADM_SelKey=AD144)*(nADM_Kind="INFUSION_SEGMENT")*ISNUMBER(SEARCH("E_INVALID_UNIT",nADM_Seg_Raw)))&gt;0,"; E_INVALID_UNIT","")&amp;IF(SUMPRODUCT((nADM_SelKey=AD144)*(nADM_Kind="INFUSION_SEGMENT")*ISNUMBER(SEARCH("E_NONPOSITIVE_PARAMETER",nADM_Seg_Raw)))&gt;0,"; E_NONPOSITIVE_PARAMETER","")</f>
        <v/>
      </c>
      <c r="AN144" s="22">
        <f>IF(AL144=1,SUMIFS(nADM_Rev_UTC,nADM_SelKey,AD144),SUMIFS(nADM_Rev_Loc,nADM_SelKey,AD144))</f>
        <v>0</v>
      </c>
      <c r="AO144" s="22">
        <f>IF(AL144=1,SUMIFS(nADM_Ovl_UTC,nADM_SelKey,AD144),SUMIFS(nADM_Ovl_Loc,nADM_SelKey,AD144))</f>
        <v>0</v>
      </c>
      <c r="AP144" s="21">
        <f>IF(AE144=0,0,SUMPRODUCT((nADM_SelKey=AD144)*nADM_SegValid*nADM_Rate_n*(((((nADM_SegE_UTC_n+AJ144)-ABS(nADM_SegE_UTC_n-AJ144))/2)-nADM_SegS_UTC_n)+ABS((((nADM_SegE_UTC_n+AJ144)-ABS(nADM_SegE_UTC_n-AJ144))/2)-nADM_SegS_UTC_n))/2)/60)</f>
        <v>0</v>
      </c>
      <c r="AQ144" s="21">
        <f>IF(AE144=0,0,SUMPRODUCT((nADM_SelKey=AD144)*nADM_SegValid*nADM_Rate_n*(((((nADM_SegE_Loc_n+AI144)-ABS(nADM_SegE_Loc_n-AI144))/2)-nADM_SegS_Loc_n)+ABS((((nADM_SegE_Loc_n+AI144)-ABS(nADM_SegE_Loc_n-AI144))/2)-nADM_SegS_Loc_n))/2)/60)</f>
        <v>0</v>
      </c>
      <c r="AR144" s="21" t="str">
        <f t="shared" si="288"/>
        <v/>
      </c>
      <c r="AS144" s="21" t="str">
        <f t="shared" si="289"/>
        <v/>
      </c>
      <c r="AT144" s="21" t="str">
        <f t="shared" si="290"/>
        <v/>
      </c>
      <c r="AU144" s="21" t="str">
        <f t="shared" si="291"/>
        <v/>
      </c>
      <c r="AV144" s="22">
        <f t="shared" si="292"/>
        <v>0</v>
      </c>
    </row>
    <row r="145" spans="1:51" x14ac:dyDescent="0.2">
      <c r="A145" s="10"/>
      <c r="B145" s="10"/>
      <c r="C145" s="12"/>
      <c r="D145" s="10"/>
      <c r="E145" s="10"/>
      <c r="F145" s="10"/>
      <c r="G145" s="10"/>
      <c r="H145" s="17"/>
      <c r="I145" s="17"/>
      <c r="J145" s="10"/>
      <c r="K145" s="21" t="str">
        <f t="shared" si="269"/>
        <v/>
      </c>
      <c r="L145" s="21" t="str">
        <f t="shared" si="270"/>
        <v/>
      </c>
      <c r="M145" s="21" t="str">
        <f t="shared" si="271"/>
        <v/>
      </c>
      <c r="N145" s="21" t="str">
        <f t="shared" si="272"/>
        <v/>
      </c>
      <c r="O145" s="21" t="str">
        <f t="shared" si="273"/>
        <v/>
      </c>
      <c r="P145" s="21" t="str">
        <f t="shared" si="274"/>
        <v/>
      </c>
      <c r="Q145" s="21" t="str">
        <f t="shared" si="275"/>
        <v/>
      </c>
      <c r="R145" s="21" t="str">
        <f>IF(AA145=1,"",MID(IF(ISNUMBER(SEARCH("E_INVALID_DATE",AT145))," | E_INVALID_DATE: "&amp;SUBSTITUTE(IFERROR(INDEX(nMSG_Text,MATCH("E_INVALID_DATE",nMSG_Code,0)),""),"[input]",""),"")&amp;IF(ISNUMBER(SEARCH("E_REVERSED_BOUNDS",AT145))," | E_REVERSED_BOUNDS: "&amp;SUBSTITUTE(IFERROR(INDEX(nMSG_Text,MATCH("E_REVERSED_BOUNDS",nMSG_Code,0)),""),"[input]",""),"")&amp;IF(ISNUMBER(SEARCH("E_DUPLICATE_ID",AT145))," | E_DUPLICATE_ID: "&amp;SUBSTITUTE(IFERROR(INDEX(nMSG_Text,MATCH("E_DUPLICATE_ID",nMSG_Code,0)),""),"[input]",""),"")&amp;IF(ISNUMBER(SEARCH("E_MISSING_LINK",AT145))," | E_MISSING_LINK: "&amp;SUBSTITUTE(IFERROR(INDEX(nMSG_Text,MATCH("E_MISSING_LINK",nMSG_Code,0)),""),"[input]",""),"")&amp;IF(ISNUMBER(SEARCH("E_MISSING_INPUT",AT145))," | E_MISSING_INPUT: "&amp;SUBSTITUTE(IFERROR(INDEX(nMSG_Text,MATCH("E_MISSING_INPUT",nMSG_Code,0)),""),"[input]",IF(AU145="","an input",AU145)),"")&amp;IF(ISNUMBER(SEARCH("E_INVALID_UNIT",AT145))," | E_INVALID_UNIT: "&amp;SUBSTITUTE(IFERROR(INDEX(nMSG_Text,MATCH("E_INVALID_UNIT",nMSG_Code,0)),""),"[input]",""),"")&amp;IF(ISNUMBER(SEARCH("E_NONPOSITIVE_PARAMETER",AT145))," | E_NONPOSITIVE_PARAMETER: "&amp;SUBSTITUTE(IFERROR(INDEX(nMSG_Text,MATCH("E_NONPOSITIVE_PARAMETER",nMSG_Code,0)),""),"[input]",""),"")&amp;IF(ISNUMBER(SEARCH("E_OUT_OF_RANGE",AT145))," | E_OUT_OF_RANGE: "&amp;SUBSTITUTE(IFERROR(INDEX(nMSG_Text,MATCH("E_OUT_OF_RANGE",nMSG_Code,0)),""),"[input]",""),"")&amp;IF(ISNUMBER(SEARCH("E_APPLICABILITY_UNCONFIRMED",AT145))," | E_APPLICABILITY_UNCONFIRMED: "&amp;SUBSTITUTE(IFERROR(INDEX(nMSG_Text,MATCH("E_APPLICABILITY_UNCONFIRMED",nMSG_Code,0)),""),"[input]",""),"")&amp;IF(ISNUMBER(SEARCH("E_CREATININE_STABILITY_UNCONFIRMED",AT145))," | E_CREATININE_STABILITY_UNCONFIRMED: "&amp;SUBSTITUTE(IFERROR(INDEX(nMSG_Text,MATCH("E_CREATININE_STABILITY_UNCONFIRMED",nMSG_Code,0)),""),"[input]",""),"")&amp;IF(ISNUMBER(SEARCH("E_OVERLAPPING_SEGMENTS",AT145))," | E_OVERLAPPING_SEGMENTS: "&amp;SUBSTITUTE(IFERROR(INDEX(nMSG_Text,MATCH("E_OVERLAPPING_SEGMENTS",nMSG_Code,0)),""),"[input]",""),"")&amp;IF(AV145=1,IF(AL145=0," | W_TZ_UNKNOWN: "&amp;SUBSTITUTE(IFERROR(INDEX(nMSG_Text,MATCH("W_TZ_UNKNOWN",nMSG_Code,0)),""),"[input]",""),""),""),4,9999))</f>
        <v/>
      </c>
      <c r="S145" s="21" t="str">
        <f t="shared" si="276"/>
        <v/>
      </c>
      <c r="T145" s="21" t="str">
        <f t="shared" si="277"/>
        <v/>
      </c>
      <c r="U145" s="21" t="str">
        <f t="shared" si="278"/>
        <v/>
      </c>
      <c r="V145" s="21" t="str">
        <f t="shared" si="279"/>
        <v/>
      </c>
      <c r="W145" s="21" t="str">
        <f t="shared" si="280"/>
        <v/>
      </c>
      <c r="X145" s="21" t="str">
        <f t="shared" si="281"/>
        <v/>
      </c>
      <c r="Y145" s="21" t="str">
        <f t="shared" si="282"/>
        <v/>
      </c>
      <c r="Z145" s="21" t="str">
        <f t="shared" si="283"/>
        <v/>
      </c>
      <c r="AA145" s="22">
        <f t="shared" si="284"/>
        <v>1</v>
      </c>
      <c r="AB145" s="21" t="str">
        <f t="shared" si="285"/>
        <v/>
      </c>
      <c r="AC145" s="21" t="str">
        <f t="shared" si="286"/>
        <v/>
      </c>
      <c r="AD145" s="21" t="str">
        <f t="shared" si="287"/>
        <v>||</v>
      </c>
      <c r="AE145" s="22">
        <f>IF(G145="",0,IFERROR(MATCH(B145&amp;"|"&amp;C145&amp;"|"&amp;G145,nTP_Key,0),0))</f>
        <v>0</v>
      </c>
      <c r="AF145" s="21" t="str">
        <f>IF(AE145=0,"",INDEX(nTP_Err,AE145)&amp;"")</f>
        <v/>
      </c>
      <c r="AG145" s="22">
        <f>IF(AE145=0,0,INDEX(nTP_HT,AE145))</f>
        <v>0</v>
      </c>
      <c r="AH145" s="22">
        <f>IF(AE145=0,0,INDEX(nTP_OK,AE145))</f>
        <v>0</v>
      </c>
      <c r="AI145" s="22">
        <f>IF(AE145=0,0,INDEX(nTP_Loc_n,AE145))</f>
        <v>0</v>
      </c>
      <c r="AJ145" s="22">
        <f>IF(AE145=0,0,INDEX(nTP_UTC_n,AE145))</f>
        <v>0</v>
      </c>
      <c r="AK145" s="22">
        <f>COUNTIFS(nADM_SelKey,AD145,nADM_Kind,"INFUSION_SEGMENT")</f>
        <v>0</v>
      </c>
      <c r="AL145" s="22">
        <f>IF(AND(AH145=1,COUNTIFS(nADM_SelKey,AD145,nADM_SegValid,1,nADM_SegOK,0)=0),1,0)</f>
        <v>0</v>
      </c>
      <c r="AM145" s="21" t="str">
        <f>IF(SUMPRODUCT((nADM_SelKey=AD145)*(nADM_Kind="INFUSION_SEGMENT")*ISNUMBER(SEARCH("E_INVALID_DATE",nADM_Seg_Raw)))&gt;0,"; E_INVALID_DATE","")&amp;IF(SUMPRODUCT((nADM_SelKey=AD145)*(nADM_Kind="INFUSION_SEGMENT")*ISNUMBER(SEARCH("E_MISSING_INPUT",nADM_Seg_Raw)))&gt;0,"; E_MISSING_INPUT","")&amp;IF(SUMPRODUCT((nADM_SelKey=AD145)*(nADM_Kind="INFUSION_SEGMENT")*ISNUMBER(SEARCH("E_INVALID_UNIT",nADM_Seg_Raw)))&gt;0,"; E_INVALID_UNIT","")&amp;IF(SUMPRODUCT((nADM_SelKey=AD145)*(nADM_Kind="INFUSION_SEGMENT")*ISNUMBER(SEARCH("E_NONPOSITIVE_PARAMETER",nADM_Seg_Raw)))&gt;0,"; E_NONPOSITIVE_PARAMETER","")</f>
        <v/>
      </c>
      <c r="AN145" s="22">
        <f>IF(AL145=1,SUMIFS(nADM_Rev_UTC,nADM_SelKey,AD145),SUMIFS(nADM_Rev_Loc,nADM_SelKey,AD145))</f>
        <v>0</v>
      </c>
      <c r="AO145" s="22">
        <f>IF(AL145=1,SUMIFS(nADM_Ovl_UTC,nADM_SelKey,AD145),SUMIFS(nADM_Ovl_Loc,nADM_SelKey,AD145))</f>
        <v>0</v>
      </c>
      <c r="AP145" s="21">
        <f>IF(AE145=0,0,SUMPRODUCT((nADM_SelKey=AD145)*nADM_SegValid*nADM_Rate_n*(((((nADM_SegE_UTC_n+AJ145)-ABS(nADM_SegE_UTC_n-AJ145))/2)-nADM_SegS_UTC_n)+ABS((((nADM_SegE_UTC_n+AJ145)-ABS(nADM_SegE_UTC_n-AJ145))/2)-nADM_SegS_UTC_n))/2)/60)</f>
        <v>0</v>
      </c>
      <c r="AQ145" s="21">
        <f>IF(AE145=0,0,SUMPRODUCT((nADM_SelKey=AD145)*nADM_SegValid*nADM_Rate_n*(((((nADM_SegE_Loc_n+AI145)-ABS(nADM_SegE_Loc_n-AI145))/2)-nADM_SegS_Loc_n)+ABS((((nADM_SegE_Loc_n+AI145)-ABS(nADM_SegE_Loc_n-AI145))/2)-nADM_SegS_Loc_n))/2)/60)</f>
        <v>0</v>
      </c>
      <c r="AR145" s="21" t="str">
        <f t="shared" si="288"/>
        <v/>
      </c>
      <c r="AS145" s="21" t="str">
        <f t="shared" si="289"/>
        <v/>
      </c>
      <c r="AT145" s="21" t="str">
        <f t="shared" si="290"/>
        <v/>
      </c>
      <c r="AU145" s="21" t="str">
        <f t="shared" si="291"/>
        <v/>
      </c>
      <c r="AV145" s="22">
        <f t="shared" si="292"/>
        <v>0</v>
      </c>
    </row>
    <row r="146" spans="1:51" x14ac:dyDescent="0.2">
      <c r="A146" s="10"/>
      <c r="B146" s="10"/>
      <c r="C146" s="12"/>
      <c r="D146" s="10"/>
      <c r="E146" s="10"/>
      <c r="F146" s="10"/>
      <c r="G146" s="10"/>
      <c r="H146" s="17"/>
      <c r="I146" s="17"/>
      <c r="J146" s="10"/>
      <c r="K146" s="21" t="str">
        <f t="shared" si="269"/>
        <v/>
      </c>
      <c r="L146" s="21" t="str">
        <f t="shared" si="270"/>
        <v/>
      </c>
      <c r="M146" s="21" t="str">
        <f t="shared" si="271"/>
        <v/>
      </c>
      <c r="N146" s="21" t="str">
        <f t="shared" si="272"/>
        <v/>
      </c>
      <c r="O146" s="21" t="str">
        <f t="shared" si="273"/>
        <v/>
      </c>
      <c r="P146" s="21" t="str">
        <f t="shared" si="274"/>
        <v/>
      </c>
      <c r="Q146" s="21" t="str">
        <f t="shared" si="275"/>
        <v/>
      </c>
      <c r="R146" s="21" t="str">
        <f>IF(AA146=1,"",MID(IF(ISNUMBER(SEARCH("E_INVALID_DATE",AT146))," | E_INVALID_DATE: "&amp;SUBSTITUTE(IFERROR(INDEX(nMSG_Text,MATCH("E_INVALID_DATE",nMSG_Code,0)),""),"[input]",""),"")&amp;IF(ISNUMBER(SEARCH("E_REVERSED_BOUNDS",AT146))," | E_REVERSED_BOUNDS: "&amp;SUBSTITUTE(IFERROR(INDEX(nMSG_Text,MATCH("E_REVERSED_BOUNDS",nMSG_Code,0)),""),"[input]",""),"")&amp;IF(ISNUMBER(SEARCH("E_DUPLICATE_ID",AT146))," | E_DUPLICATE_ID: "&amp;SUBSTITUTE(IFERROR(INDEX(nMSG_Text,MATCH("E_DUPLICATE_ID",nMSG_Code,0)),""),"[input]",""),"")&amp;IF(ISNUMBER(SEARCH("E_MISSING_LINK",AT146))," | E_MISSING_LINK: "&amp;SUBSTITUTE(IFERROR(INDEX(nMSG_Text,MATCH("E_MISSING_LINK",nMSG_Code,0)),""),"[input]",""),"")&amp;IF(ISNUMBER(SEARCH("E_MISSING_INPUT",AT146))," | E_MISSING_INPUT: "&amp;SUBSTITUTE(IFERROR(INDEX(nMSG_Text,MATCH("E_MISSING_INPUT",nMSG_Code,0)),""),"[input]",IF(AU146="","an input",AU146)),"")&amp;IF(ISNUMBER(SEARCH("E_INVALID_UNIT",AT146))," | E_INVALID_UNIT: "&amp;SUBSTITUTE(IFERROR(INDEX(nMSG_Text,MATCH("E_INVALID_UNIT",nMSG_Code,0)),""),"[input]",""),"")&amp;IF(ISNUMBER(SEARCH("E_NONPOSITIVE_PARAMETER",AT146))," | E_NONPOSITIVE_PARAMETER: "&amp;SUBSTITUTE(IFERROR(INDEX(nMSG_Text,MATCH("E_NONPOSITIVE_PARAMETER",nMSG_Code,0)),""),"[input]",""),"")&amp;IF(ISNUMBER(SEARCH("E_OUT_OF_RANGE",AT146))," | E_OUT_OF_RANGE: "&amp;SUBSTITUTE(IFERROR(INDEX(nMSG_Text,MATCH("E_OUT_OF_RANGE",nMSG_Code,0)),""),"[input]",""),"")&amp;IF(ISNUMBER(SEARCH("E_APPLICABILITY_UNCONFIRMED",AT146))," | E_APPLICABILITY_UNCONFIRMED: "&amp;SUBSTITUTE(IFERROR(INDEX(nMSG_Text,MATCH("E_APPLICABILITY_UNCONFIRMED",nMSG_Code,0)),""),"[input]",""),"")&amp;IF(ISNUMBER(SEARCH("E_CREATININE_STABILITY_UNCONFIRMED",AT146))," | E_CREATININE_STABILITY_UNCONFIRMED: "&amp;SUBSTITUTE(IFERROR(INDEX(nMSG_Text,MATCH("E_CREATININE_STABILITY_UNCONFIRMED",nMSG_Code,0)),""),"[input]",""),"")&amp;IF(ISNUMBER(SEARCH("E_OVERLAPPING_SEGMENTS",AT146))," | E_OVERLAPPING_SEGMENTS: "&amp;SUBSTITUTE(IFERROR(INDEX(nMSG_Text,MATCH("E_OVERLAPPING_SEGMENTS",nMSG_Code,0)),""),"[input]",""),"")&amp;IF(AV146=1,IF(AL146=0," | W_TZ_UNKNOWN: "&amp;SUBSTITUTE(IFERROR(INDEX(nMSG_Text,MATCH("W_TZ_UNKNOWN",nMSG_Code,0)),""),"[input]",""),""),""),4,9999))</f>
        <v/>
      </c>
      <c r="S146" s="21" t="str">
        <f t="shared" si="276"/>
        <v/>
      </c>
      <c r="T146" s="21" t="str">
        <f t="shared" si="277"/>
        <v/>
      </c>
      <c r="U146" s="21" t="str">
        <f t="shared" si="278"/>
        <v/>
      </c>
      <c r="V146" s="21" t="str">
        <f t="shared" si="279"/>
        <v/>
      </c>
      <c r="W146" s="21" t="str">
        <f t="shared" si="280"/>
        <v/>
      </c>
      <c r="X146" s="21" t="str">
        <f t="shared" si="281"/>
        <v/>
      </c>
      <c r="Y146" s="21" t="str">
        <f t="shared" si="282"/>
        <v/>
      </c>
      <c r="Z146" s="21" t="str">
        <f t="shared" si="283"/>
        <v/>
      </c>
      <c r="AA146" s="22">
        <f t="shared" si="284"/>
        <v>1</v>
      </c>
      <c r="AB146" s="21" t="str">
        <f t="shared" si="285"/>
        <v/>
      </c>
      <c r="AC146" s="21" t="str">
        <f t="shared" si="286"/>
        <v/>
      </c>
      <c r="AD146" s="21" t="str">
        <f t="shared" si="287"/>
        <v>||</v>
      </c>
      <c r="AE146" s="22">
        <f>IF(G146="",0,IFERROR(MATCH(B146&amp;"|"&amp;C146&amp;"|"&amp;G146,nTP_Key,0),0))</f>
        <v>0</v>
      </c>
      <c r="AF146" s="21" t="str">
        <f>IF(AE146=0,"",INDEX(nTP_Err,AE146)&amp;"")</f>
        <v/>
      </c>
      <c r="AG146" s="22">
        <f>IF(AE146=0,0,INDEX(nTP_HT,AE146))</f>
        <v>0</v>
      </c>
      <c r="AH146" s="22">
        <f>IF(AE146=0,0,INDEX(nTP_OK,AE146))</f>
        <v>0</v>
      </c>
      <c r="AI146" s="22">
        <f>IF(AE146=0,0,INDEX(nTP_Loc_n,AE146))</f>
        <v>0</v>
      </c>
      <c r="AJ146" s="22">
        <f>IF(AE146=0,0,INDEX(nTP_UTC_n,AE146))</f>
        <v>0</v>
      </c>
      <c r="AK146" s="22">
        <f>COUNTIFS(nADM_SelKey,AD146,nADM_Kind,"INFUSION_SEGMENT")</f>
        <v>0</v>
      </c>
      <c r="AL146" s="22">
        <f>IF(AND(AH146=1,COUNTIFS(nADM_SelKey,AD146,nADM_SegValid,1,nADM_SegOK,0)=0),1,0)</f>
        <v>0</v>
      </c>
      <c r="AM146" s="21" t="str">
        <f>IF(SUMPRODUCT((nADM_SelKey=AD146)*(nADM_Kind="INFUSION_SEGMENT")*ISNUMBER(SEARCH("E_INVALID_DATE",nADM_Seg_Raw)))&gt;0,"; E_INVALID_DATE","")&amp;IF(SUMPRODUCT((nADM_SelKey=AD146)*(nADM_Kind="INFUSION_SEGMENT")*ISNUMBER(SEARCH("E_MISSING_INPUT",nADM_Seg_Raw)))&gt;0,"; E_MISSING_INPUT","")&amp;IF(SUMPRODUCT((nADM_SelKey=AD146)*(nADM_Kind="INFUSION_SEGMENT")*ISNUMBER(SEARCH("E_INVALID_UNIT",nADM_Seg_Raw)))&gt;0,"; E_INVALID_UNIT","")&amp;IF(SUMPRODUCT((nADM_SelKey=AD146)*(nADM_Kind="INFUSION_SEGMENT")*ISNUMBER(SEARCH("E_NONPOSITIVE_PARAMETER",nADM_Seg_Raw)))&gt;0,"; E_NONPOSITIVE_PARAMETER","")</f>
        <v/>
      </c>
      <c r="AN146" s="22">
        <f>IF(AL146=1,SUMIFS(nADM_Rev_UTC,nADM_SelKey,AD146),SUMIFS(nADM_Rev_Loc,nADM_SelKey,AD146))</f>
        <v>0</v>
      </c>
      <c r="AO146" s="22">
        <f>IF(AL146=1,SUMIFS(nADM_Ovl_UTC,nADM_SelKey,AD146),SUMIFS(nADM_Ovl_Loc,nADM_SelKey,AD146))</f>
        <v>0</v>
      </c>
      <c r="AP146" s="21">
        <f>IF(AE146=0,0,SUMPRODUCT((nADM_SelKey=AD146)*nADM_SegValid*nADM_Rate_n*(((((nADM_SegE_UTC_n+AJ146)-ABS(nADM_SegE_UTC_n-AJ146))/2)-nADM_SegS_UTC_n)+ABS((((nADM_SegE_UTC_n+AJ146)-ABS(nADM_SegE_UTC_n-AJ146))/2)-nADM_SegS_UTC_n))/2)/60)</f>
        <v>0</v>
      </c>
      <c r="AQ146" s="21">
        <f>IF(AE146=0,0,SUMPRODUCT((nADM_SelKey=AD146)*nADM_SegValid*nADM_Rate_n*(((((nADM_SegE_Loc_n+AI146)-ABS(nADM_SegE_Loc_n-AI146))/2)-nADM_SegS_Loc_n)+ABS((((nADM_SegE_Loc_n+AI146)-ABS(nADM_SegE_Loc_n-AI146))/2)-nADM_SegS_Loc_n))/2)/60)</f>
        <v>0</v>
      </c>
      <c r="AR146" s="21" t="str">
        <f t="shared" si="288"/>
        <v/>
      </c>
      <c r="AS146" s="21" t="str">
        <f t="shared" si="289"/>
        <v/>
      </c>
      <c r="AT146" s="21" t="str">
        <f t="shared" si="290"/>
        <v/>
      </c>
      <c r="AU146" s="21" t="str">
        <f t="shared" si="291"/>
        <v/>
      </c>
      <c r="AV146" s="22">
        <f t="shared" si="292"/>
        <v>0</v>
      </c>
    </row>
    <row r="147" spans="1:51" x14ac:dyDescent="0.2">
      <c r="A147" s="10"/>
      <c r="B147" s="10"/>
      <c r="C147" s="12"/>
      <c r="D147" s="10"/>
      <c r="E147" s="10"/>
      <c r="F147" s="10"/>
      <c r="G147" s="10"/>
      <c r="H147" s="17"/>
      <c r="I147" s="17"/>
      <c r="J147" s="10"/>
      <c r="K147" s="21" t="str">
        <f t="shared" si="269"/>
        <v/>
      </c>
      <c r="L147" s="21" t="str">
        <f t="shared" si="270"/>
        <v/>
      </c>
      <c r="M147" s="21" t="str">
        <f t="shared" si="271"/>
        <v/>
      </c>
      <c r="N147" s="21" t="str">
        <f t="shared" si="272"/>
        <v/>
      </c>
      <c r="O147" s="21" t="str">
        <f t="shared" si="273"/>
        <v/>
      </c>
      <c r="P147" s="21" t="str">
        <f t="shared" si="274"/>
        <v/>
      </c>
      <c r="Q147" s="21" t="str">
        <f t="shared" si="275"/>
        <v/>
      </c>
      <c r="R147" s="21" t="str">
        <f>IF(AA147=1,"",MID(IF(ISNUMBER(SEARCH("E_INVALID_DATE",AT147))," | E_INVALID_DATE: "&amp;SUBSTITUTE(IFERROR(INDEX(nMSG_Text,MATCH("E_INVALID_DATE",nMSG_Code,0)),""),"[input]",""),"")&amp;IF(ISNUMBER(SEARCH("E_REVERSED_BOUNDS",AT147))," | E_REVERSED_BOUNDS: "&amp;SUBSTITUTE(IFERROR(INDEX(nMSG_Text,MATCH("E_REVERSED_BOUNDS",nMSG_Code,0)),""),"[input]",""),"")&amp;IF(ISNUMBER(SEARCH("E_DUPLICATE_ID",AT147))," | E_DUPLICATE_ID: "&amp;SUBSTITUTE(IFERROR(INDEX(nMSG_Text,MATCH("E_DUPLICATE_ID",nMSG_Code,0)),""),"[input]",""),"")&amp;IF(ISNUMBER(SEARCH("E_MISSING_LINK",AT147))," | E_MISSING_LINK: "&amp;SUBSTITUTE(IFERROR(INDEX(nMSG_Text,MATCH("E_MISSING_LINK",nMSG_Code,0)),""),"[input]",""),"")&amp;IF(ISNUMBER(SEARCH("E_MISSING_INPUT",AT147))," | E_MISSING_INPUT: "&amp;SUBSTITUTE(IFERROR(INDEX(nMSG_Text,MATCH("E_MISSING_INPUT",nMSG_Code,0)),""),"[input]",IF(AU147="","an input",AU147)),"")&amp;IF(ISNUMBER(SEARCH("E_INVALID_UNIT",AT147))," | E_INVALID_UNIT: "&amp;SUBSTITUTE(IFERROR(INDEX(nMSG_Text,MATCH("E_INVALID_UNIT",nMSG_Code,0)),""),"[input]",""),"")&amp;IF(ISNUMBER(SEARCH("E_NONPOSITIVE_PARAMETER",AT147))," | E_NONPOSITIVE_PARAMETER: "&amp;SUBSTITUTE(IFERROR(INDEX(nMSG_Text,MATCH("E_NONPOSITIVE_PARAMETER",nMSG_Code,0)),""),"[input]",""),"")&amp;IF(ISNUMBER(SEARCH("E_OUT_OF_RANGE",AT147))," | E_OUT_OF_RANGE: "&amp;SUBSTITUTE(IFERROR(INDEX(nMSG_Text,MATCH("E_OUT_OF_RANGE",nMSG_Code,0)),""),"[input]",""),"")&amp;IF(ISNUMBER(SEARCH("E_APPLICABILITY_UNCONFIRMED",AT147))," | E_APPLICABILITY_UNCONFIRMED: "&amp;SUBSTITUTE(IFERROR(INDEX(nMSG_Text,MATCH("E_APPLICABILITY_UNCONFIRMED",nMSG_Code,0)),""),"[input]",""),"")&amp;IF(ISNUMBER(SEARCH("E_CREATININE_STABILITY_UNCONFIRMED",AT147))," | E_CREATININE_STABILITY_UNCONFIRMED: "&amp;SUBSTITUTE(IFERROR(INDEX(nMSG_Text,MATCH("E_CREATININE_STABILITY_UNCONFIRMED",nMSG_Code,0)),""),"[input]",""),"")&amp;IF(ISNUMBER(SEARCH("E_OVERLAPPING_SEGMENTS",AT147))," | E_OVERLAPPING_SEGMENTS: "&amp;SUBSTITUTE(IFERROR(INDEX(nMSG_Text,MATCH("E_OVERLAPPING_SEGMENTS",nMSG_Code,0)),""),"[input]",""),"")&amp;IF(AV147=1,IF(AL147=0," | W_TZ_UNKNOWN: "&amp;SUBSTITUTE(IFERROR(INDEX(nMSG_Text,MATCH("W_TZ_UNKNOWN",nMSG_Code,0)),""),"[input]",""),""),""),4,9999))</f>
        <v/>
      </c>
      <c r="S147" s="21" t="str">
        <f t="shared" si="276"/>
        <v/>
      </c>
      <c r="T147" s="21" t="str">
        <f t="shared" si="277"/>
        <v/>
      </c>
      <c r="U147" s="21" t="str">
        <f t="shared" si="278"/>
        <v/>
      </c>
      <c r="V147" s="21" t="str">
        <f t="shared" si="279"/>
        <v/>
      </c>
      <c r="W147" s="21" t="str">
        <f t="shared" si="280"/>
        <v/>
      </c>
      <c r="X147" s="21" t="str">
        <f t="shared" si="281"/>
        <v/>
      </c>
      <c r="Y147" s="21" t="str">
        <f t="shared" si="282"/>
        <v/>
      </c>
      <c r="Z147" s="21" t="str">
        <f t="shared" si="283"/>
        <v/>
      </c>
      <c r="AA147" s="22">
        <f t="shared" si="284"/>
        <v>1</v>
      </c>
      <c r="AB147" s="21" t="str">
        <f t="shared" si="285"/>
        <v/>
      </c>
      <c r="AC147" s="21" t="str">
        <f t="shared" si="286"/>
        <v/>
      </c>
      <c r="AD147" s="21" t="str">
        <f t="shared" si="287"/>
        <v>||</v>
      </c>
      <c r="AE147" s="22">
        <f>IF(G147="",0,IFERROR(MATCH(B147&amp;"|"&amp;C147&amp;"|"&amp;G147,nTP_Key,0),0))</f>
        <v>0</v>
      </c>
      <c r="AF147" s="21" t="str">
        <f>IF(AE147=0,"",INDEX(nTP_Err,AE147)&amp;"")</f>
        <v/>
      </c>
      <c r="AG147" s="22">
        <f>IF(AE147=0,0,INDEX(nTP_HT,AE147))</f>
        <v>0</v>
      </c>
      <c r="AH147" s="22">
        <f>IF(AE147=0,0,INDEX(nTP_OK,AE147))</f>
        <v>0</v>
      </c>
      <c r="AI147" s="22">
        <f>IF(AE147=0,0,INDEX(nTP_Loc_n,AE147))</f>
        <v>0</v>
      </c>
      <c r="AJ147" s="22">
        <f>IF(AE147=0,0,INDEX(nTP_UTC_n,AE147))</f>
        <v>0</v>
      </c>
      <c r="AK147" s="22">
        <f>COUNTIFS(nADM_SelKey,AD147,nADM_Kind,"INFUSION_SEGMENT")</f>
        <v>0</v>
      </c>
      <c r="AL147" s="22">
        <f>IF(AND(AH147=1,COUNTIFS(nADM_SelKey,AD147,nADM_SegValid,1,nADM_SegOK,0)=0),1,0)</f>
        <v>0</v>
      </c>
      <c r="AM147" s="21" t="str">
        <f>IF(SUMPRODUCT((nADM_SelKey=AD147)*(nADM_Kind="INFUSION_SEGMENT")*ISNUMBER(SEARCH("E_INVALID_DATE",nADM_Seg_Raw)))&gt;0,"; E_INVALID_DATE","")&amp;IF(SUMPRODUCT((nADM_SelKey=AD147)*(nADM_Kind="INFUSION_SEGMENT")*ISNUMBER(SEARCH("E_MISSING_INPUT",nADM_Seg_Raw)))&gt;0,"; E_MISSING_INPUT","")&amp;IF(SUMPRODUCT((nADM_SelKey=AD147)*(nADM_Kind="INFUSION_SEGMENT")*ISNUMBER(SEARCH("E_INVALID_UNIT",nADM_Seg_Raw)))&gt;0,"; E_INVALID_UNIT","")&amp;IF(SUMPRODUCT((nADM_SelKey=AD147)*(nADM_Kind="INFUSION_SEGMENT")*ISNUMBER(SEARCH("E_NONPOSITIVE_PARAMETER",nADM_Seg_Raw)))&gt;0,"; E_NONPOSITIVE_PARAMETER","")</f>
        <v/>
      </c>
      <c r="AN147" s="22">
        <f>IF(AL147=1,SUMIFS(nADM_Rev_UTC,nADM_SelKey,AD147),SUMIFS(nADM_Rev_Loc,nADM_SelKey,AD147))</f>
        <v>0</v>
      </c>
      <c r="AO147" s="22">
        <f>IF(AL147=1,SUMIFS(nADM_Ovl_UTC,nADM_SelKey,AD147),SUMIFS(nADM_Ovl_Loc,nADM_SelKey,AD147))</f>
        <v>0</v>
      </c>
      <c r="AP147" s="21">
        <f>IF(AE147=0,0,SUMPRODUCT((nADM_SelKey=AD147)*nADM_SegValid*nADM_Rate_n*(((((nADM_SegE_UTC_n+AJ147)-ABS(nADM_SegE_UTC_n-AJ147))/2)-nADM_SegS_UTC_n)+ABS((((nADM_SegE_UTC_n+AJ147)-ABS(nADM_SegE_UTC_n-AJ147))/2)-nADM_SegS_UTC_n))/2)/60)</f>
        <v>0</v>
      </c>
      <c r="AQ147" s="21">
        <f>IF(AE147=0,0,SUMPRODUCT((nADM_SelKey=AD147)*nADM_SegValid*nADM_Rate_n*(((((nADM_SegE_Loc_n+AI147)-ABS(nADM_SegE_Loc_n-AI147))/2)-nADM_SegS_Loc_n)+ABS((((nADM_SegE_Loc_n+AI147)-ABS(nADM_SegE_Loc_n-AI147))/2)-nADM_SegS_Loc_n))/2)/60)</f>
        <v>0</v>
      </c>
      <c r="AR147" s="21" t="str">
        <f t="shared" si="288"/>
        <v/>
      </c>
      <c r="AS147" s="21" t="str">
        <f t="shared" si="289"/>
        <v/>
      </c>
      <c r="AT147" s="21" t="str">
        <f t="shared" si="290"/>
        <v/>
      </c>
      <c r="AU147" s="21" t="str">
        <f t="shared" si="291"/>
        <v/>
      </c>
      <c r="AV147" s="22">
        <f t="shared" si="292"/>
        <v>0</v>
      </c>
    </row>
    <row r="148" spans="1:51" x14ac:dyDescent="0.2">
      <c r="A148" s="10"/>
      <c r="B148" s="10"/>
      <c r="C148" s="12"/>
      <c r="D148" s="10"/>
      <c r="E148" s="10"/>
      <c r="F148" s="10"/>
      <c r="G148" s="10"/>
      <c r="H148" s="17"/>
      <c r="I148" s="17"/>
      <c r="J148" s="10"/>
      <c r="K148" s="21" t="str">
        <f t="shared" si="269"/>
        <v/>
      </c>
      <c r="L148" s="21" t="str">
        <f t="shared" si="270"/>
        <v/>
      </c>
      <c r="M148" s="21" t="str">
        <f t="shared" si="271"/>
        <v/>
      </c>
      <c r="N148" s="21" t="str">
        <f t="shared" si="272"/>
        <v/>
      </c>
      <c r="O148" s="21" t="str">
        <f t="shared" si="273"/>
        <v/>
      </c>
      <c r="P148" s="21" t="str">
        <f t="shared" si="274"/>
        <v/>
      </c>
      <c r="Q148" s="21" t="str">
        <f t="shared" si="275"/>
        <v/>
      </c>
      <c r="R148" s="21" t="str">
        <f>IF(AA148=1,"",MID(IF(ISNUMBER(SEARCH("E_INVALID_DATE",AT148))," | E_INVALID_DATE: "&amp;SUBSTITUTE(IFERROR(INDEX(nMSG_Text,MATCH("E_INVALID_DATE",nMSG_Code,0)),""),"[input]",""),"")&amp;IF(ISNUMBER(SEARCH("E_REVERSED_BOUNDS",AT148))," | E_REVERSED_BOUNDS: "&amp;SUBSTITUTE(IFERROR(INDEX(nMSG_Text,MATCH("E_REVERSED_BOUNDS",nMSG_Code,0)),""),"[input]",""),"")&amp;IF(ISNUMBER(SEARCH("E_DUPLICATE_ID",AT148))," | E_DUPLICATE_ID: "&amp;SUBSTITUTE(IFERROR(INDEX(nMSG_Text,MATCH("E_DUPLICATE_ID",nMSG_Code,0)),""),"[input]",""),"")&amp;IF(ISNUMBER(SEARCH("E_MISSING_LINK",AT148))," | E_MISSING_LINK: "&amp;SUBSTITUTE(IFERROR(INDEX(nMSG_Text,MATCH("E_MISSING_LINK",nMSG_Code,0)),""),"[input]",""),"")&amp;IF(ISNUMBER(SEARCH("E_MISSING_INPUT",AT148))," | E_MISSING_INPUT: "&amp;SUBSTITUTE(IFERROR(INDEX(nMSG_Text,MATCH("E_MISSING_INPUT",nMSG_Code,0)),""),"[input]",IF(AU148="","an input",AU148)),"")&amp;IF(ISNUMBER(SEARCH("E_INVALID_UNIT",AT148))," | E_INVALID_UNIT: "&amp;SUBSTITUTE(IFERROR(INDEX(nMSG_Text,MATCH("E_INVALID_UNIT",nMSG_Code,0)),""),"[input]",""),"")&amp;IF(ISNUMBER(SEARCH("E_NONPOSITIVE_PARAMETER",AT148))," | E_NONPOSITIVE_PARAMETER: "&amp;SUBSTITUTE(IFERROR(INDEX(nMSG_Text,MATCH("E_NONPOSITIVE_PARAMETER",nMSG_Code,0)),""),"[input]",""),"")&amp;IF(ISNUMBER(SEARCH("E_OUT_OF_RANGE",AT148))," | E_OUT_OF_RANGE: "&amp;SUBSTITUTE(IFERROR(INDEX(nMSG_Text,MATCH("E_OUT_OF_RANGE",nMSG_Code,0)),""),"[input]",""),"")&amp;IF(ISNUMBER(SEARCH("E_APPLICABILITY_UNCONFIRMED",AT148))," | E_APPLICABILITY_UNCONFIRMED: "&amp;SUBSTITUTE(IFERROR(INDEX(nMSG_Text,MATCH("E_APPLICABILITY_UNCONFIRMED",nMSG_Code,0)),""),"[input]",""),"")&amp;IF(ISNUMBER(SEARCH("E_CREATININE_STABILITY_UNCONFIRMED",AT148))," | E_CREATININE_STABILITY_UNCONFIRMED: "&amp;SUBSTITUTE(IFERROR(INDEX(nMSG_Text,MATCH("E_CREATININE_STABILITY_UNCONFIRMED",nMSG_Code,0)),""),"[input]",""),"")&amp;IF(ISNUMBER(SEARCH("E_OVERLAPPING_SEGMENTS",AT148))," | E_OVERLAPPING_SEGMENTS: "&amp;SUBSTITUTE(IFERROR(INDEX(nMSG_Text,MATCH("E_OVERLAPPING_SEGMENTS",nMSG_Code,0)),""),"[input]",""),"")&amp;IF(AV148=1,IF(AL148=0," | W_TZ_UNKNOWN: "&amp;SUBSTITUTE(IFERROR(INDEX(nMSG_Text,MATCH("W_TZ_UNKNOWN",nMSG_Code,0)),""),"[input]",""),""),""),4,9999))</f>
        <v/>
      </c>
      <c r="S148" s="21" t="str">
        <f t="shared" si="276"/>
        <v/>
      </c>
      <c r="T148" s="21" t="str">
        <f t="shared" si="277"/>
        <v/>
      </c>
      <c r="U148" s="21" t="str">
        <f t="shared" si="278"/>
        <v/>
      </c>
      <c r="V148" s="21" t="str">
        <f t="shared" si="279"/>
        <v/>
      </c>
      <c r="W148" s="21" t="str">
        <f t="shared" si="280"/>
        <v/>
      </c>
      <c r="X148" s="21" t="str">
        <f t="shared" si="281"/>
        <v/>
      </c>
      <c r="Y148" s="21" t="str">
        <f t="shared" si="282"/>
        <v/>
      </c>
      <c r="Z148" s="21" t="str">
        <f t="shared" si="283"/>
        <v/>
      </c>
      <c r="AA148" s="22">
        <f t="shared" si="284"/>
        <v>1</v>
      </c>
      <c r="AB148" s="21" t="str">
        <f t="shared" si="285"/>
        <v/>
      </c>
      <c r="AC148" s="21" t="str">
        <f t="shared" si="286"/>
        <v/>
      </c>
      <c r="AD148" s="21" t="str">
        <f t="shared" si="287"/>
        <v>||</v>
      </c>
      <c r="AE148" s="22">
        <f>IF(G148="",0,IFERROR(MATCH(B148&amp;"|"&amp;C148&amp;"|"&amp;G148,nTP_Key,0),0))</f>
        <v>0</v>
      </c>
      <c r="AF148" s="21" t="str">
        <f>IF(AE148=0,"",INDEX(nTP_Err,AE148)&amp;"")</f>
        <v/>
      </c>
      <c r="AG148" s="22">
        <f>IF(AE148=0,0,INDEX(nTP_HT,AE148))</f>
        <v>0</v>
      </c>
      <c r="AH148" s="22">
        <f>IF(AE148=0,0,INDEX(nTP_OK,AE148))</f>
        <v>0</v>
      </c>
      <c r="AI148" s="22">
        <f>IF(AE148=0,0,INDEX(nTP_Loc_n,AE148))</f>
        <v>0</v>
      </c>
      <c r="AJ148" s="22">
        <f>IF(AE148=0,0,INDEX(nTP_UTC_n,AE148))</f>
        <v>0</v>
      </c>
      <c r="AK148" s="22">
        <f>COUNTIFS(nADM_SelKey,AD148,nADM_Kind,"INFUSION_SEGMENT")</f>
        <v>0</v>
      </c>
      <c r="AL148" s="22">
        <f>IF(AND(AH148=1,COUNTIFS(nADM_SelKey,AD148,nADM_SegValid,1,nADM_SegOK,0)=0),1,0)</f>
        <v>0</v>
      </c>
      <c r="AM148" s="21" t="str">
        <f>IF(SUMPRODUCT((nADM_SelKey=AD148)*(nADM_Kind="INFUSION_SEGMENT")*ISNUMBER(SEARCH("E_INVALID_DATE",nADM_Seg_Raw)))&gt;0,"; E_INVALID_DATE","")&amp;IF(SUMPRODUCT((nADM_SelKey=AD148)*(nADM_Kind="INFUSION_SEGMENT")*ISNUMBER(SEARCH("E_MISSING_INPUT",nADM_Seg_Raw)))&gt;0,"; E_MISSING_INPUT","")&amp;IF(SUMPRODUCT((nADM_SelKey=AD148)*(nADM_Kind="INFUSION_SEGMENT")*ISNUMBER(SEARCH("E_INVALID_UNIT",nADM_Seg_Raw)))&gt;0,"; E_INVALID_UNIT","")&amp;IF(SUMPRODUCT((nADM_SelKey=AD148)*(nADM_Kind="INFUSION_SEGMENT")*ISNUMBER(SEARCH("E_NONPOSITIVE_PARAMETER",nADM_Seg_Raw)))&gt;0,"; E_NONPOSITIVE_PARAMETER","")</f>
        <v/>
      </c>
      <c r="AN148" s="22">
        <f>IF(AL148=1,SUMIFS(nADM_Rev_UTC,nADM_SelKey,AD148),SUMIFS(nADM_Rev_Loc,nADM_SelKey,AD148))</f>
        <v>0</v>
      </c>
      <c r="AO148" s="22">
        <f>IF(AL148=1,SUMIFS(nADM_Ovl_UTC,nADM_SelKey,AD148),SUMIFS(nADM_Ovl_Loc,nADM_SelKey,AD148))</f>
        <v>0</v>
      </c>
      <c r="AP148" s="21">
        <f>IF(AE148=0,0,SUMPRODUCT((nADM_SelKey=AD148)*nADM_SegValid*nADM_Rate_n*(((((nADM_SegE_UTC_n+AJ148)-ABS(nADM_SegE_UTC_n-AJ148))/2)-nADM_SegS_UTC_n)+ABS((((nADM_SegE_UTC_n+AJ148)-ABS(nADM_SegE_UTC_n-AJ148))/2)-nADM_SegS_UTC_n))/2)/60)</f>
        <v>0</v>
      </c>
      <c r="AQ148" s="21">
        <f>IF(AE148=0,0,SUMPRODUCT((nADM_SelKey=AD148)*nADM_SegValid*nADM_Rate_n*(((((nADM_SegE_Loc_n+AI148)-ABS(nADM_SegE_Loc_n-AI148))/2)-nADM_SegS_Loc_n)+ABS((((nADM_SegE_Loc_n+AI148)-ABS(nADM_SegE_Loc_n-AI148))/2)-nADM_SegS_Loc_n))/2)/60)</f>
        <v>0</v>
      </c>
      <c r="AR148" s="21" t="str">
        <f t="shared" si="288"/>
        <v/>
      </c>
      <c r="AS148" s="21" t="str">
        <f t="shared" si="289"/>
        <v/>
      </c>
      <c r="AT148" s="21" t="str">
        <f t="shared" si="290"/>
        <v/>
      </c>
      <c r="AU148" s="21" t="str">
        <f t="shared" si="291"/>
        <v/>
      </c>
      <c r="AV148" s="22">
        <f t="shared" si="292"/>
        <v>0</v>
      </c>
    </row>
    <row r="149" spans="1:51" x14ac:dyDescent="0.2">
      <c r="A149" s="10"/>
      <c r="B149" s="10"/>
      <c r="C149" s="12"/>
      <c r="D149" s="10"/>
      <c r="E149" s="10"/>
      <c r="F149" s="10"/>
      <c r="G149" s="10"/>
      <c r="H149" s="17"/>
      <c r="I149" s="17"/>
      <c r="J149" s="10"/>
      <c r="K149" s="21" t="str">
        <f t="shared" si="269"/>
        <v/>
      </c>
      <c r="L149" s="21" t="str">
        <f t="shared" si="270"/>
        <v/>
      </c>
      <c r="M149" s="21" t="str">
        <f t="shared" si="271"/>
        <v/>
      </c>
      <c r="N149" s="21" t="str">
        <f t="shared" si="272"/>
        <v/>
      </c>
      <c r="O149" s="21" t="str">
        <f t="shared" si="273"/>
        <v/>
      </c>
      <c r="P149" s="21" t="str">
        <f t="shared" si="274"/>
        <v/>
      </c>
      <c r="Q149" s="21" t="str">
        <f t="shared" si="275"/>
        <v/>
      </c>
      <c r="R149" s="21" t="str">
        <f>IF(AA149=1,"",MID(IF(ISNUMBER(SEARCH("E_INVALID_DATE",AT149))," | E_INVALID_DATE: "&amp;SUBSTITUTE(IFERROR(INDEX(nMSG_Text,MATCH("E_INVALID_DATE",nMSG_Code,0)),""),"[input]",""),"")&amp;IF(ISNUMBER(SEARCH("E_REVERSED_BOUNDS",AT149))," | E_REVERSED_BOUNDS: "&amp;SUBSTITUTE(IFERROR(INDEX(nMSG_Text,MATCH("E_REVERSED_BOUNDS",nMSG_Code,0)),""),"[input]",""),"")&amp;IF(ISNUMBER(SEARCH("E_DUPLICATE_ID",AT149))," | E_DUPLICATE_ID: "&amp;SUBSTITUTE(IFERROR(INDEX(nMSG_Text,MATCH("E_DUPLICATE_ID",nMSG_Code,0)),""),"[input]",""),"")&amp;IF(ISNUMBER(SEARCH("E_MISSING_LINK",AT149))," | E_MISSING_LINK: "&amp;SUBSTITUTE(IFERROR(INDEX(nMSG_Text,MATCH("E_MISSING_LINK",nMSG_Code,0)),""),"[input]",""),"")&amp;IF(ISNUMBER(SEARCH("E_MISSING_INPUT",AT149))," | E_MISSING_INPUT: "&amp;SUBSTITUTE(IFERROR(INDEX(nMSG_Text,MATCH("E_MISSING_INPUT",nMSG_Code,0)),""),"[input]",IF(AU149="","an input",AU149)),"")&amp;IF(ISNUMBER(SEARCH("E_INVALID_UNIT",AT149))," | E_INVALID_UNIT: "&amp;SUBSTITUTE(IFERROR(INDEX(nMSG_Text,MATCH("E_INVALID_UNIT",nMSG_Code,0)),""),"[input]",""),"")&amp;IF(ISNUMBER(SEARCH("E_NONPOSITIVE_PARAMETER",AT149))," | E_NONPOSITIVE_PARAMETER: "&amp;SUBSTITUTE(IFERROR(INDEX(nMSG_Text,MATCH("E_NONPOSITIVE_PARAMETER",nMSG_Code,0)),""),"[input]",""),"")&amp;IF(ISNUMBER(SEARCH("E_OUT_OF_RANGE",AT149))," | E_OUT_OF_RANGE: "&amp;SUBSTITUTE(IFERROR(INDEX(nMSG_Text,MATCH("E_OUT_OF_RANGE",nMSG_Code,0)),""),"[input]",""),"")&amp;IF(ISNUMBER(SEARCH("E_APPLICABILITY_UNCONFIRMED",AT149))," | E_APPLICABILITY_UNCONFIRMED: "&amp;SUBSTITUTE(IFERROR(INDEX(nMSG_Text,MATCH("E_APPLICABILITY_UNCONFIRMED",nMSG_Code,0)),""),"[input]",""),"")&amp;IF(ISNUMBER(SEARCH("E_CREATININE_STABILITY_UNCONFIRMED",AT149))," | E_CREATININE_STABILITY_UNCONFIRMED: "&amp;SUBSTITUTE(IFERROR(INDEX(nMSG_Text,MATCH("E_CREATININE_STABILITY_UNCONFIRMED",nMSG_Code,0)),""),"[input]",""),"")&amp;IF(ISNUMBER(SEARCH("E_OVERLAPPING_SEGMENTS",AT149))," | E_OVERLAPPING_SEGMENTS: "&amp;SUBSTITUTE(IFERROR(INDEX(nMSG_Text,MATCH("E_OVERLAPPING_SEGMENTS",nMSG_Code,0)),""),"[input]",""),"")&amp;IF(AV149=1,IF(AL149=0," | W_TZ_UNKNOWN: "&amp;SUBSTITUTE(IFERROR(INDEX(nMSG_Text,MATCH("W_TZ_UNKNOWN",nMSG_Code,0)),""),"[input]",""),""),""),4,9999))</f>
        <v/>
      </c>
      <c r="S149" s="21" t="str">
        <f t="shared" si="276"/>
        <v/>
      </c>
      <c r="T149" s="21" t="str">
        <f t="shared" si="277"/>
        <v/>
      </c>
      <c r="U149" s="21" t="str">
        <f t="shared" si="278"/>
        <v/>
      </c>
      <c r="V149" s="21" t="str">
        <f t="shared" si="279"/>
        <v/>
      </c>
      <c r="W149" s="21" t="str">
        <f t="shared" si="280"/>
        <v/>
      </c>
      <c r="X149" s="21" t="str">
        <f t="shared" si="281"/>
        <v/>
      </c>
      <c r="Y149" s="21" t="str">
        <f t="shared" si="282"/>
        <v/>
      </c>
      <c r="Z149" s="21" t="str">
        <f t="shared" si="283"/>
        <v/>
      </c>
      <c r="AA149" s="22">
        <f t="shared" si="284"/>
        <v>1</v>
      </c>
      <c r="AB149" s="21" t="str">
        <f t="shared" si="285"/>
        <v/>
      </c>
      <c r="AC149" s="21" t="str">
        <f t="shared" si="286"/>
        <v/>
      </c>
      <c r="AD149" s="21" t="str">
        <f t="shared" si="287"/>
        <v>||</v>
      </c>
      <c r="AE149" s="22">
        <f>IF(G149="",0,IFERROR(MATCH(B149&amp;"|"&amp;C149&amp;"|"&amp;G149,nTP_Key,0),0))</f>
        <v>0</v>
      </c>
      <c r="AF149" s="21" t="str">
        <f>IF(AE149=0,"",INDEX(nTP_Err,AE149)&amp;"")</f>
        <v/>
      </c>
      <c r="AG149" s="22">
        <f>IF(AE149=0,0,INDEX(nTP_HT,AE149))</f>
        <v>0</v>
      </c>
      <c r="AH149" s="22">
        <f>IF(AE149=0,0,INDEX(nTP_OK,AE149))</f>
        <v>0</v>
      </c>
      <c r="AI149" s="22">
        <f>IF(AE149=0,0,INDEX(nTP_Loc_n,AE149))</f>
        <v>0</v>
      </c>
      <c r="AJ149" s="22">
        <f>IF(AE149=0,0,INDEX(nTP_UTC_n,AE149))</f>
        <v>0</v>
      </c>
      <c r="AK149" s="22">
        <f>COUNTIFS(nADM_SelKey,AD149,nADM_Kind,"INFUSION_SEGMENT")</f>
        <v>0</v>
      </c>
      <c r="AL149" s="22">
        <f>IF(AND(AH149=1,COUNTIFS(nADM_SelKey,AD149,nADM_SegValid,1,nADM_SegOK,0)=0),1,0)</f>
        <v>0</v>
      </c>
      <c r="AM149" s="21" t="str">
        <f>IF(SUMPRODUCT((nADM_SelKey=AD149)*(nADM_Kind="INFUSION_SEGMENT")*ISNUMBER(SEARCH("E_INVALID_DATE",nADM_Seg_Raw)))&gt;0,"; E_INVALID_DATE","")&amp;IF(SUMPRODUCT((nADM_SelKey=AD149)*(nADM_Kind="INFUSION_SEGMENT")*ISNUMBER(SEARCH("E_MISSING_INPUT",nADM_Seg_Raw)))&gt;0,"; E_MISSING_INPUT","")&amp;IF(SUMPRODUCT((nADM_SelKey=AD149)*(nADM_Kind="INFUSION_SEGMENT")*ISNUMBER(SEARCH("E_INVALID_UNIT",nADM_Seg_Raw)))&gt;0,"; E_INVALID_UNIT","")&amp;IF(SUMPRODUCT((nADM_SelKey=AD149)*(nADM_Kind="INFUSION_SEGMENT")*ISNUMBER(SEARCH("E_NONPOSITIVE_PARAMETER",nADM_Seg_Raw)))&gt;0,"; E_NONPOSITIVE_PARAMETER","")</f>
        <v/>
      </c>
      <c r="AN149" s="22">
        <f>IF(AL149=1,SUMIFS(nADM_Rev_UTC,nADM_SelKey,AD149),SUMIFS(nADM_Rev_Loc,nADM_SelKey,AD149))</f>
        <v>0</v>
      </c>
      <c r="AO149" s="22">
        <f>IF(AL149=1,SUMIFS(nADM_Ovl_UTC,nADM_SelKey,AD149),SUMIFS(nADM_Ovl_Loc,nADM_SelKey,AD149))</f>
        <v>0</v>
      </c>
      <c r="AP149" s="21">
        <f>IF(AE149=0,0,SUMPRODUCT((nADM_SelKey=AD149)*nADM_SegValid*nADM_Rate_n*(((((nADM_SegE_UTC_n+AJ149)-ABS(nADM_SegE_UTC_n-AJ149))/2)-nADM_SegS_UTC_n)+ABS((((nADM_SegE_UTC_n+AJ149)-ABS(nADM_SegE_UTC_n-AJ149))/2)-nADM_SegS_UTC_n))/2)/60)</f>
        <v>0</v>
      </c>
      <c r="AQ149" s="21">
        <f>IF(AE149=0,0,SUMPRODUCT((nADM_SelKey=AD149)*nADM_SegValid*nADM_Rate_n*(((((nADM_SegE_Loc_n+AI149)-ABS(nADM_SegE_Loc_n-AI149))/2)-nADM_SegS_Loc_n)+ABS((((nADM_SegE_Loc_n+AI149)-ABS(nADM_SegE_Loc_n-AI149))/2)-nADM_SegS_Loc_n))/2)/60)</f>
        <v>0</v>
      </c>
      <c r="AR149" s="21" t="str">
        <f t="shared" si="288"/>
        <v/>
      </c>
      <c r="AS149" s="21" t="str">
        <f t="shared" si="289"/>
        <v/>
      </c>
      <c r="AT149" s="21" t="str">
        <f t="shared" si="290"/>
        <v/>
      </c>
      <c r="AU149" s="21" t="str">
        <f t="shared" si="291"/>
        <v/>
      </c>
      <c r="AV149" s="22">
        <f t="shared" si="292"/>
        <v>0</v>
      </c>
    </row>
    <row r="150" spans="1:51" x14ac:dyDescent="0.2">
      <c r="A150" s="10"/>
      <c r="B150" s="10"/>
      <c r="C150" s="12"/>
      <c r="D150" s="10"/>
      <c r="E150" s="10"/>
      <c r="F150" s="10"/>
      <c r="G150" s="10"/>
      <c r="H150" s="17"/>
      <c r="I150" s="17"/>
      <c r="J150" s="10"/>
      <c r="K150" s="21" t="str">
        <f t="shared" si="269"/>
        <v/>
      </c>
      <c r="L150" s="21" t="str">
        <f t="shared" si="270"/>
        <v/>
      </c>
      <c r="M150" s="21" t="str">
        <f t="shared" si="271"/>
        <v/>
      </c>
      <c r="N150" s="21" t="str">
        <f t="shared" si="272"/>
        <v/>
      </c>
      <c r="O150" s="21" t="str">
        <f t="shared" si="273"/>
        <v/>
      </c>
      <c r="P150" s="21" t="str">
        <f t="shared" si="274"/>
        <v/>
      </c>
      <c r="Q150" s="21" t="str">
        <f t="shared" si="275"/>
        <v/>
      </c>
      <c r="R150" s="21" t="str">
        <f>IF(AA150=1,"",MID(IF(ISNUMBER(SEARCH("E_INVALID_DATE",AT150))," | E_INVALID_DATE: "&amp;SUBSTITUTE(IFERROR(INDEX(nMSG_Text,MATCH("E_INVALID_DATE",nMSG_Code,0)),""),"[input]",""),"")&amp;IF(ISNUMBER(SEARCH("E_REVERSED_BOUNDS",AT150))," | E_REVERSED_BOUNDS: "&amp;SUBSTITUTE(IFERROR(INDEX(nMSG_Text,MATCH("E_REVERSED_BOUNDS",nMSG_Code,0)),""),"[input]",""),"")&amp;IF(ISNUMBER(SEARCH("E_DUPLICATE_ID",AT150))," | E_DUPLICATE_ID: "&amp;SUBSTITUTE(IFERROR(INDEX(nMSG_Text,MATCH("E_DUPLICATE_ID",nMSG_Code,0)),""),"[input]",""),"")&amp;IF(ISNUMBER(SEARCH("E_MISSING_LINK",AT150))," | E_MISSING_LINK: "&amp;SUBSTITUTE(IFERROR(INDEX(nMSG_Text,MATCH("E_MISSING_LINK",nMSG_Code,0)),""),"[input]",""),"")&amp;IF(ISNUMBER(SEARCH("E_MISSING_INPUT",AT150))," | E_MISSING_INPUT: "&amp;SUBSTITUTE(IFERROR(INDEX(nMSG_Text,MATCH("E_MISSING_INPUT",nMSG_Code,0)),""),"[input]",IF(AU150="","an input",AU150)),"")&amp;IF(ISNUMBER(SEARCH("E_INVALID_UNIT",AT150))," | E_INVALID_UNIT: "&amp;SUBSTITUTE(IFERROR(INDEX(nMSG_Text,MATCH("E_INVALID_UNIT",nMSG_Code,0)),""),"[input]",""),"")&amp;IF(ISNUMBER(SEARCH("E_NONPOSITIVE_PARAMETER",AT150))," | E_NONPOSITIVE_PARAMETER: "&amp;SUBSTITUTE(IFERROR(INDEX(nMSG_Text,MATCH("E_NONPOSITIVE_PARAMETER",nMSG_Code,0)),""),"[input]",""),"")&amp;IF(ISNUMBER(SEARCH("E_OUT_OF_RANGE",AT150))," | E_OUT_OF_RANGE: "&amp;SUBSTITUTE(IFERROR(INDEX(nMSG_Text,MATCH("E_OUT_OF_RANGE",nMSG_Code,0)),""),"[input]",""),"")&amp;IF(ISNUMBER(SEARCH("E_APPLICABILITY_UNCONFIRMED",AT150))," | E_APPLICABILITY_UNCONFIRMED: "&amp;SUBSTITUTE(IFERROR(INDEX(nMSG_Text,MATCH("E_APPLICABILITY_UNCONFIRMED",nMSG_Code,0)),""),"[input]",""),"")&amp;IF(ISNUMBER(SEARCH("E_CREATININE_STABILITY_UNCONFIRMED",AT150))," | E_CREATININE_STABILITY_UNCONFIRMED: "&amp;SUBSTITUTE(IFERROR(INDEX(nMSG_Text,MATCH("E_CREATININE_STABILITY_UNCONFIRMED",nMSG_Code,0)),""),"[input]",""),"")&amp;IF(ISNUMBER(SEARCH("E_OVERLAPPING_SEGMENTS",AT150))," | E_OVERLAPPING_SEGMENTS: "&amp;SUBSTITUTE(IFERROR(INDEX(nMSG_Text,MATCH("E_OVERLAPPING_SEGMENTS",nMSG_Code,0)),""),"[input]",""),"")&amp;IF(AV150=1,IF(AL150=0," | W_TZ_UNKNOWN: "&amp;SUBSTITUTE(IFERROR(INDEX(nMSG_Text,MATCH("W_TZ_UNKNOWN",nMSG_Code,0)),""),"[input]",""),""),""),4,9999))</f>
        <v/>
      </c>
      <c r="S150" s="21" t="str">
        <f t="shared" si="276"/>
        <v/>
      </c>
      <c r="T150" s="21" t="str">
        <f t="shared" si="277"/>
        <v/>
      </c>
      <c r="U150" s="21" t="str">
        <f t="shared" si="278"/>
        <v/>
      </c>
      <c r="V150" s="21" t="str">
        <f t="shared" si="279"/>
        <v/>
      </c>
      <c r="W150" s="21" t="str">
        <f t="shared" si="280"/>
        <v/>
      </c>
      <c r="X150" s="21" t="str">
        <f t="shared" si="281"/>
        <v/>
      </c>
      <c r="Y150" s="21" t="str">
        <f t="shared" si="282"/>
        <v/>
      </c>
      <c r="Z150" s="21" t="str">
        <f t="shared" si="283"/>
        <v/>
      </c>
      <c r="AA150" s="22">
        <f t="shared" si="284"/>
        <v>1</v>
      </c>
      <c r="AB150" s="21" t="str">
        <f t="shared" si="285"/>
        <v/>
      </c>
      <c r="AC150" s="21" t="str">
        <f t="shared" si="286"/>
        <v/>
      </c>
      <c r="AD150" s="21" t="str">
        <f t="shared" si="287"/>
        <v>||</v>
      </c>
      <c r="AE150" s="22">
        <f>IF(G150="",0,IFERROR(MATCH(B150&amp;"|"&amp;C150&amp;"|"&amp;G150,nTP_Key,0),0))</f>
        <v>0</v>
      </c>
      <c r="AF150" s="21" t="str">
        <f>IF(AE150=0,"",INDEX(nTP_Err,AE150)&amp;"")</f>
        <v/>
      </c>
      <c r="AG150" s="22">
        <f>IF(AE150=0,0,INDEX(nTP_HT,AE150))</f>
        <v>0</v>
      </c>
      <c r="AH150" s="22">
        <f>IF(AE150=0,0,INDEX(nTP_OK,AE150))</f>
        <v>0</v>
      </c>
      <c r="AI150" s="22">
        <f>IF(AE150=0,0,INDEX(nTP_Loc_n,AE150))</f>
        <v>0</v>
      </c>
      <c r="AJ150" s="22">
        <f>IF(AE150=0,0,INDEX(nTP_UTC_n,AE150))</f>
        <v>0</v>
      </c>
      <c r="AK150" s="22">
        <f>COUNTIFS(nADM_SelKey,AD150,nADM_Kind,"INFUSION_SEGMENT")</f>
        <v>0</v>
      </c>
      <c r="AL150" s="22">
        <f>IF(AND(AH150=1,COUNTIFS(nADM_SelKey,AD150,nADM_SegValid,1,nADM_SegOK,0)=0),1,0)</f>
        <v>0</v>
      </c>
      <c r="AM150" s="21" t="str">
        <f>IF(SUMPRODUCT((nADM_SelKey=AD150)*(nADM_Kind="INFUSION_SEGMENT")*ISNUMBER(SEARCH("E_INVALID_DATE",nADM_Seg_Raw)))&gt;0,"; E_INVALID_DATE","")&amp;IF(SUMPRODUCT((nADM_SelKey=AD150)*(nADM_Kind="INFUSION_SEGMENT")*ISNUMBER(SEARCH("E_MISSING_INPUT",nADM_Seg_Raw)))&gt;0,"; E_MISSING_INPUT","")&amp;IF(SUMPRODUCT((nADM_SelKey=AD150)*(nADM_Kind="INFUSION_SEGMENT")*ISNUMBER(SEARCH("E_INVALID_UNIT",nADM_Seg_Raw)))&gt;0,"; E_INVALID_UNIT","")&amp;IF(SUMPRODUCT((nADM_SelKey=AD150)*(nADM_Kind="INFUSION_SEGMENT")*ISNUMBER(SEARCH("E_NONPOSITIVE_PARAMETER",nADM_Seg_Raw)))&gt;0,"; E_NONPOSITIVE_PARAMETER","")</f>
        <v/>
      </c>
      <c r="AN150" s="22">
        <f>IF(AL150=1,SUMIFS(nADM_Rev_UTC,nADM_SelKey,AD150),SUMIFS(nADM_Rev_Loc,nADM_SelKey,AD150))</f>
        <v>0</v>
      </c>
      <c r="AO150" s="22">
        <f>IF(AL150=1,SUMIFS(nADM_Ovl_UTC,nADM_SelKey,AD150),SUMIFS(nADM_Ovl_Loc,nADM_SelKey,AD150))</f>
        <v>0</v>
      </c>
      <c r="AP150" s="21">
        <f>IF(AE150=0,0,SUMPRODUCT((nADM_SelKey=AD150)*nADM_SegValid*nADM_Rate_n*(((((nADM_SegE_UTC_n+AJ150)-ABS(nADM_SegE_UTC_n-AJ150))/2)-nADM_SegS_UTC_n)+ABS((((nADM_SegE_UTC_n+AJ150)-ABS(nADM_SegE_UTC_n-AJ150))/2)-nADM_SegS_UTC_n))/2)/60)</f>
        <v>0</v>
      </c>
      <c r="AQ150" s="21">
        <f>IF(AE150=0,0,SUMPRODUCT((nADM_SelKey=AD150)*nADM_SegValid*nADM_Rate_n*(((((nADM_SegE_Loc_n+AI150)-ABS(nADM_SegE_Loc_n-AI150))/2)-nADM_SegS_Loc_n)+ABS((((nADM_SegE_Loc_n+AI150)-ABS(nADM_SegE_Loc_n-AI150))/2)-nADM_SegS_Loc_n))/2)/60)</f>
        <v>0</v>
      </c>
      <c r="AR150" s="21" t="str">
        <f t="shared" si="288"/>
        <v/>
      </c>
      <c r="AS150" s="21" t="str">
        <f t="shared" si="289"/>
        <v/>
      </c>
      <c r="AT150" s="21" t="str">
        <f t="shared" si="290"/>
        <v/>
      </c>
      <c r="AU150" s="21" t="str">
        <f t="shared" si="291"/>
        <v/>
      </c>
      <c r="AV150" s="22">
        <f t="shared" si="292"/>
        <v>0</v>
      </c>
    </row>
    <row r="151" spans="1:51" x14ac:dyDescent="0.2">
      <c r="A151" s="24" t="s">
        <v>294</v>
      </c>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row>
    <row r="152" spans="1:51" x14ac:dyDescent="0.2">
      <c r="A152" s="9" t="s">
        <v>1425</v>
      </c>
      <c r="B152" s="9" t="s">
        <v>297</v>
      </c>
      <c r="C152" s="11">
        <v>2</v>
      </c>
      <c r="D152" s="9" t="s">
        <v>1426</v>
      </c>
      <c r="E152" s="9"/>
      <c r="F152" s="9" t="s">
        <v>453</v>
      </c>
      <c r="G152" s="9" t="s">
        <v>1128</v>
      </c>
      <c r="H152" s="16"/>
      <c r="I152" s="16"/>
      <c r="J152" s="9"/>
      <c r="K152" s="21" t="str">
        <f>IF(AA152=1,"",IF(AT152&lt;&gt;"",AT152&amp;": no result is shown"&amp;IF(ISNUMBER(SEARCH("E_INVALID_UNIT",AT152))," (infusion rates must be in mg/hour; mL/hour needs a concentration and is not supported in CALC-SPEC 1.1)",""),FIXED(M152,1,FALSE)&amp;" mg infused before onset"&amp;IF(N152&lt;&gt;"","; "&amp;FIXED(N152,1,TRUE)&amp;"% of the planned "&amp;H152&amp;" mg","")&amp;" ("&amp;O152&amp;" segments; "&amp;P152&amp;")"))</f>
        <v>E_INVALID_UNIT: no result is shown (infusion rates must be in mg/hour; mL/hour needs a concentration and is not supported in CALC-SPEC 1.1)</v>
      </c>
      <c r="L152" s="21" t="str">
        <f>IF(AA152=1,"",IF(AV152=0,"Not calculable",MID(IF(TRUE,"; "&amp;"Amount infused before onset"&amp;": "&amp;FIXED(M152,1,FALSE)&amp;" mg","")&amp;IF(N152&lt;&gt;"","; "&amp;"Percent of the planned dose"&amp;": "&amp;FIXED(N152,1,TRUE)&amp;"%",""),3,9999)))</f>
        <v>Not calculable</v>
      </c>
      <c r="M152" s="21" t="str">
        <f>IF(AV152=1,IF(AL152=1,AP152,AQ152),"")</f>
        <v/>
      </c>
      <c r="N152" s="21" t="str">
        <f>IF(AND(AV152=1,ISNUMBER(H152)),100*M152/H152,"")</f>
        <v/>
      </c>
      <c r="O152" s="21">
        <f>IF(AA152=1,"",AK152)</f>
        <v>1</v>
      </c>
      <c r="P152" s="21" t="str">
        <f>IF(AV152=0,"",IF(AL152=1,"UTC","local clock"))</f>
        <v/>
      </c>
      <c r="Q152" s="21" t="str">
        <f>IF(AA152=1,"",IF(AT152&lt;&gt;"",AT152,MID(IF(AL152=0,"; W_TZ_UNKNOWN",""),3,999)))</f>
        <v>E_INVALID_UNIT</v>
      </c>
      <c r="R152" s="21" t="str">
        <f>IF(AA152=1,"",MID(IF(ISNUMBER(SEARCH("E_INVALID_DATE",AT152))," | E_INVALID_DATE: "&amp;SUBSTITUTE(IFERROR(INDEX(nMSG_Text,MATCH("E_INVALID_DATE",nMSG_Code,0)),""),"[input]",""),"")&amp;IF(ISNUMBER(SEARCH("E_REVERSED_BOUNDS",AT152))," | E_REVERSED_BOUNDS: "&amp;SUBSTITUTE(IFERROR(INDEX(nMSG_Text,MATCH("E_REVERSED_BOUNDS",nMSG_Code,0)),""),"[input]",""),"")&amp;IF(ISNUMBER(SEARCH("E_DUPLICATE_ID",AT152))," | E_DUPLICATE_ID: "&amp;SUBSTITUTE(IFERROR(INDEX(nMSG_Text,MATCH("E_DUPLICATE_ID",nMSG_Code,0)),""),"[input]",""),"")&amp;IF(ISNUMBER(SEARCH("E_MISSING_LINK",AT152))," | E_MISSING_LINK: "&amp;SUBSTITUTE(IFERROR(INDEX(nMSG_Text,MATCH("E_MISSING_LINK",nMSG_Code,0)),""),"[input]",""),"")&amp;IF(ISNUMBER(SEARCH("E_MISSING_INPUT",AT152))," | E_MISSING_INPUT: "&amp;SUBSTITUTE(IFERROR(INDEX(nMSG_Text,MATCH("E_MISSING_INPUT",nMSG_Code,0)),""),"[input]",IF(AU152="","an input",AU152)),"")&amp;IF(ISNUMBER(SEARCH("E_INVALID_UNIT",AT152))," | E_INVALID_UNIT: "&amp;SUBSTITUTE(IFERROR(INDEX(nMSG_Text,MATCH("E_INVALID_UNIT",nMSG_Code,0)),""),"[input]",""),"")&amp;IF(ISNUMBER(SEARCH("E_NONPOSITIVE_PARAMETER",AT152))," | E_NONPOSITIVE_PARAMETER: "&amp;SUBSTITUTE(IFERROR(INDEX(nMSG_Text,MATCH("E_NONPOSITIVE_PARAMETER",nMSG_Code,0)),""),"[input]",""),"")&amp;IF(ISNUMBER(SEARCH("E_OUT_OF_RANGE",AT152))," | E_OUT_OF_RANGE: "&amp;SUBSTITUTE(IFERROR(INDEX(nMSG_Text,MATCH("E_OUT_OF_RANGE",nMSG_Code,0)),""),"[input]",""),"")&amp;IF(ISNUMBER(SEARCH("E_APPLICABILITY_UNCONFIRMED",AT152))," | E_APPLICABILITY_UNCONFIRMED: "&amp;SUBSTITUTE(IFERROR(INDEX(nMSG_Text,MATCH("E_APPLICABILITY_UNCONFIRMED",nMSG_Code,0)),""),"[input]",""),"")&amp;IF(ISNUMBER(SEARCH("E_CREATININE_STABILITY_UNCONFIRMED",AT152))," | E_CREATININE_STABILITY_UNCONFIRMED: "&amp;SUBSTITUTE(IFERROR(INDEX(nMSG_Text,MATCH("E_CREATININE_STABILITY_UNCONFIRMED",nMSG_Code,0)),""),"[input]",""),"")&amp;IF(ISNUMBER(SEARCH("E_OVERLAPPING_SEGMENTS",AT152))," | E_OVERLAPPING_SEGMENTS: "&amp;SUBSTITUTE(IFERROR(INDEX(nMSG_Text,MATCH("E_OVERLAPPING_SEGMENTS",nMSG_Code,0)),""),"[input]",""),"")&amp;IF(AV152=1,IF(AL152=0," | W_TZ_UNKNOWN: "&amp;SUBSTITUTE(IFERROR(INDEX(nMSG_Text,MATCH("W_TZ_UNKNOWN",nMSG_Code,0)),""),"[input]",""),""),""),4,9999))</f>
        <v>E_INVALID_UNIT: This unit is not supported here. Use one of the listed units.</v>
      </c>
      <c r="S152" s="21" t="str">
        <f>IF(AA152=1,"","Rate segments of exposure episode "&amp;F152&amp;" (Administrations, "&amp;AK152&amp;" segments) [case measurement]; onset "&amp;G152&amp;" [case measurement]"&amp;IF(H152&lt;&gt;"","; planned dose = "&amp;H152&amp;" mg ["&amp;IF(I152="","status not recorded",I152)&amp;IF(J152&lt;&gt;"","; "&amp;J152,"")&amp;"]",""))</f>
        <v>Rate segments of exposure episode EX-A (Administrations, 1 segments) [case measurement]; onset EV-1/ONSET [case measurement]</v>
      </c>
      <c r="T152" s="21" t="str">
        <f>IF(AA152=1,"",MID(""&amp;IF(TRIM(E152&amp;"")&lt;&gt;""," | "&amp;E152,""),4,9999))</f>
        <v/>
      </c>
      <c r="U152" s="21" t="str">
        <f>IF(AV152=0,"",MID(IF(TRUE,"; "&amp;"Amount infused before onset"&amp;" = "&amp;M152&amp;" ("&amp;FIXED(M152,1,FALSE)&amp;" mg"&amp;")","")&amp;IF(N152&lt;&gt;"","; "&amp;"Percent of the planned dose"&amp;" = "&amp;N152&amp;" ("&amp;FIXED(N152,1,TRUE)&amp;"%"&amp;")",""),3,9999))</f>
        <v/>
      </c>
      <c r="V152" s="21" t="str">
        <f>IF(AV152=0,"","mg")</f>
        <v/>
      </c>
      <c r="W152" s="21" t="str">
        <f>IF(AA152=1,"",IF(TRIM(D152&amp;"")&lt;&gt;"",D152,"Q9 Dose received before onset during an infusion"))</f>
        <v>Amount of Drug A infused before onset (pump rate recorded in mL/hour only)</v>
      </c>
      <c r="X152" s="21" t="str">
        <f>IF(AA152=1,"","Amount infused, not systemic or effect-site exposure. Assumes the recorded times without interruption and ignores line dead volume.")</f>
        <v>Amount infused, not systemic or effect-site exposure. Assumes the recorded times without interruption and ignores line dead volume.</v>
      </c>
      <c r="Y152" s="21" t="str">
        <f>IF(AA152=1,"","Amount = sum over segments of rate (mg/hour) x hours of that segment before onset")</f>
        <v>Amount = sum over segments of rate (mg/hour) x hours of that segment before onset</v>
      </c>
      <c r="Z152" s="21" t="str">
        <f>IF(AA152=1,"","CALC-SPEC 1.1")</f>
        <v>CALC-SPEC 1.1</v>
      </c>
      <c r="AA152" s="22">
        <f>IF(AND(A152="",F152="",G152=""),1,0)</f>
        <v>0</v>
      </c>
      <c r="AB152" s="21" t="str">
        <f>IF(AA152=1,"",B152&amp;"|"&amp;C152)</f>
        <v>EX-C01|2</v>
      </c>
      <c r="AC152" s="21" t="str">
        <f>IF(A152="","",B152&amp;"|"&amp;C152&amp;"|"&amp;A152)</f>
        <v>EX-C01|2|Q9-C01</v>
      </c>
      <c r="AD152" s="21" t="str">
        <f>B152&amp;"|"&amp;C152&amp;"|"&amp;F152</f>
        <v>EX-C01|2|EX-A</v>
      </c>
      <c r="AE152" s="22">
        <f>IF(G152="",0,IFERROR(MATCH(B152&amp;"|"&amp;C152&amp;"|"&amp;G152,nTP_Key,0),0))</f>
        <v>312</v>
      </c>
      <c r="AF152" s="21" t="str">
        <f>IF(AE152=0,"",INDEX(nTP_Err,AE152)&amp;"")</f>
        <v/>
      </c>
      <c r="AG152" s="22">
        <f>IF(AE152=0,0,INDEX(nTP_HT,AE152))</f>
        <v>1</v>
      </c>
      <c r="AH152" s="22">
        <f>IF(AE152=0,0,INDEX(nTP_OK,AE152))</f>
        <v>1</v>
      </c>
      <c r="AI152" s="22">
        <f>IF(AE152=0,0,INDEX(nTP_Loc_n,AE152))</f>
        <v>66286635</v>
      </c>
      <c r="AJ152" s="22">
        <f>IF(AE152=0,0,INDEX(nTP_UTC_n,AE152))</f>
        <v>66286935</v>
      </c>
      <c r="AK152" s="22">
        <f>COUNTIFS(nADM_SelKey,AD152,nADM_Kind,"INFUSION_SEGMENT")</f>
        <v>1</v>
      </c>
      <c r="AL152" s="22">
        <f>IF(AND(AH152=1,COUNTIFS(nADM_SelKey,AD152,nADM_SegValid,1,nADM_SegOK,0)=0),1,0)</f>
        <v>1</v>
      </c>
      <c r="AM152" s="21" t="str">
        <f>IF(SUMPRODUCT((nADM_SelKey=AD152)*(nADM_Kind="INFUSION_SEGMENT")*ISNUMBER(SEARCH("E_INVALID_DATE",nADM_Seg_Raw)))&gt;0,"; E_INVALID_DATE","")&amp;IF(SUMPRODUCT((nADM_SelKey=AD152)*(nADM_Kind="INFUSION_SEGMENT")*ISNUMBER(SEARCH("E_MISSING_INPUT",nADM_Seg_Raw)))&gt;0,"; E_MISSING_INPUT","")&amp;IF(SUMPRODUCT((nADM_SelKey=AD152)*(nADM_Kind="INFUSION_SEGMENT")*ISNUMBER(SEARCH("E_INVALID_UNIT",nADM_Seg_Raw)))&gt;0,"; E_INVALID_UNIT","")&amp;IF(SUMPRODUCT((nADM_SelKey=AD152)*(nADM_Kind="INFUSION_SEGMENT")*ISNUMBER(SEARCH("E_NONPOSITIVE_PARAMETER",nADM_Seg_Raw)))&gt;0,"; E_NONPOSITIVE_PARAMETER","")</f>
        <v>; E_INVALID_UNIT</v>
      </c>
      <c r="AN152" s="22">
        <f>IF(AL152=1,SUMIFS(nADM_Rev_UTC,nADM_SelKey,AD152),SUMIFS(nADM_Rev_Loc,nADM_SelKey,AD152))</f>
        <v>0</v>
      </c>
      <c r="AO152" s="22">
        <f>IF(AL152=1,SUMIFS(nADM_Ovl_UTC,nADM_SelKey,AD152),SUMIFS(nADM_Ovl_Loc,nADM_SelKey,AD152))</f>
        <v>0</v>
      </c>
      <c r="AP152" s="21">
        <f>IF(AE152=0,0,SUMPRODUCT((nADM_SelKey=AD152)*nADM_SegValid*nADM_Rate_n*(((((nADM_SegE_UTC_n+AJ152)-ABS(nADM_SegE_UTC_n-AJ152))/2)-nADM_SegS_UTC_n)+ABS((((nADM_SegE_UTC_n+AJ152)-ABS(nADM_SegE_UTC_n-AJ152))/2)-nADM_SegS_UTC_n))/2)/60)</f>
        <v>12.5</v>
      </c>
      <c r="AQ152" s="21">
        <f>IF(AE152=0,0,SUMPRODUCT((nADM_SelKey=AD152)*nADM_SegValid*nADM_Rate_n*(((((nADM_SegE_Loc_n+AI152)-ABS(nADM_SegE_Loc_n-AI152))/2)-nADM_SegS_Loc_n)+ABS((((nADM_SegE_Loc_n+AI152)-ABS(nADM_SegE_Loc_n-AI152))/2)-nADM_SegS_Loc_n))/2)/60)</f>
        <v>12.5</v>
      </c>
      <c r="AR152" s="21" t="str">
        <f>IF(AA152=1,"",IF(A152="","; E_MISSING_INPUT","")&amp;IF(F152="","; E_MISSING_INPUT","")&amp;IF(G152="","; E_MISSING_INPUT","")&amp;IF(AND(G152&lt;&gt;"",AE152=0),"; E_MISSING_INPUT","")&amp;IF(AF152&lt;&gt;"","; "&amp;AF152&amp;"","")&amp;IF(AND(AE152&gt;0,AF152="",AG152=0),"; E_MISSING_INPUT","")&amp;IF(AND(F152&lt;&gt;"",AK152=0),"; E_MISSING_INPUT","")&amp;IF(AM152&lt;&gt;"","; "&amp;MID(AM152,3,999)&amp;"","")&amp;IF(ISNUMBER(SEARCH("E_MISSING_INPUT",AM152)),"; E_MISSING_INPUT","")&amp;IF(AND(H152&lt;&gt;"",NOT(ISNUMBER(H152))),"; E_MISSING_INPUT","")&amp;IF(AND(ISNUMBER(H152),H152&lt;=0),"; E_NONPOSITIVE_PARAMETER","")&amp;IF(AN152&gt;0,"; E_REVERSED_BOUNDS","")&amp;IF(AO152&gt;0,"; E_OVERLAPPING_SEGMENTS",""))</f>
        <v>; E_INVALID_UNIT</v>
      </c>
      <c r="AS152" s="21" t="str">
        <f>IF(AA152=1,"",IF(A152="",", a Calc_ID","")&amp;IF(F152="",", an Exposure_Episode_ID","")&amp;IF(G152="",", the onset time","")&amp;IF(AND(G152&lt;&gt;"",AE152=0),", the onset record "&amp;G152&amp;"","")&amp;IF(AND(AE152&gt;0,AF152="",AG152=0),", the onset time (a timestamp)","")&amp;IF(AND(F152&lt;&gt;"",AK152=0),", at least one infusion segment (INFUSION_SEGMENT rows on Administrations for "&amp;F152&amp;")","")&amp;IF(ISNUMBER(SEARCH("E_MISSING_INPUT",AM152)),", segment start and end timestamps and a rate in mg/hour for every segment","")&amp;IF(AND(H152&lt;&gt;"",NOT(ISNUMBER(H152))),", the planned dose as a number",""))</f>
        <v/>
      </c>
      <c r="AT152" s="21" t="str">
        <f>IF(AA152=1,"",MID(IF(ISNUMBER(SEARCH("E_INVALID_DATE",AR152)),"; E_INVALID_DATE","")&amp;IF(ISNUMBER(SEARCH("E_REVERSED_BOUNDS",AR152)),"; E_REVERSED_BOUNDS","")&amp;IF(ISNUMBER(SEARCH("E_DUPLICATE_ID",AR152)),"; E_DUPLICATE_ID","")&amp;IF(ISNUMBER(SEARCH("E_MISSING_LINK",AR152)),"; E_MISSING_LINK","")&amp;IF(ISNUMBER(SEARCH("E_MISSING_INPUT",AR152)),"; E_MISSING_INPUT","")&amp;IF(ISNUMBER(SEARCH("E_INVALID_UNIT",AR152)),"; E_INVALID_UNIT","")&amp;IF(ISNUMBER(SEARCH("E_NONPOSITIVE_PARAMETER",AR152)),"; E_NONPOSITIVE_PARAMETER","")&amp;IF(ISNUMBER(SEARCH("E_OUT_OF_RANGE",AR152)),"; E_OUT_OF_RANGE","")&amp;IF(ISNUMBER(SEARCH("E_APPLICABILITY_UNCONFIRMED",AR152)),"; E_APPLICABILITY_UNCONFIRMED","")&amp;IF(ISNUMBER(SEARCH("E_CREATININE_STABILITY_UNCONFIRMED",AR152)),"; E_CREATININE_STABILITY_UNCONFIRMED","")&amp;IF(ISNUMBER(SEARCH("E_OVERLAPPING_SEGMENTS",AR152)),"; E_OVERLAPPING_SEGMENTS",""),3,999))</f>
        <v>E_INVALID_UNIT</v>
      </c>
      <c r="AU152" s="21" t="str">
        <f>MID(AS152,3,999)</f>
        <v/>
      </c>
      <c r="AV152" s="22">
        <f>IF(AND(AA152=0,AT152=""),1,0)</f>
        <v>0</v>
      </c>
    </row>
    <row r="153" spans="1:51" x14ac:dyDescent="0.2">
      <c r="A153" s="24" t="s">
        <v>295</v>
      </c>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row>
    <row r="154" spans="1:51" x14ac:dyDescent="0.2">
      <c r="A154" s="9" t="s">
        <v>1427</v>
      </c>
      <c r="B154" s="9" t="s">
        <v>357</v>
      </c>
      <c r="C154" s="11">
        <v>1</v>
      </c>
      <c r="D154" s="9" t="s">
        <v>1428</v>
      </c>
      <c r="E154" s="9"/>
      <c r="F154" s="9" t="s">
        <v>522</v>
      </c>
      <c r="G154" s="9" t="s">
        <v>1181</v>
      </c>
      <c r="H154" s="16">
        <v>500</v>
      </c>
      <c r="I154" s="16" t="s">
        <v>83</v>
      </c>
      <c r="J154" s="9" t="s">
        <v>1429</v>
      </c>
      <c r="K154" s="21" t="str">
        <f>IF(AA154=1,"",IF(AT154&lt;&gt;"",AT154&amp;": no result is shown"&amp;IF(ISNUMBER(SEARCH("E_INVALID_UNIT",AT154))," (infusion rates must be in mg/hour; mL/hour needs a concentration and is not supported in CALC-SPEC 1.1)",""),FIXED(M154,1,FALSE)&amp;" mg infused before onset"&amp;IF(N154&lt;&gt;"","; "&amp;FIXED(N154,1,TRUE)&amp;"% of the planned "&amp;H154&amp;" mg","")&amp;" ("&amp;O154&amp;" segments; "&amp;P154&amp;")"))</f>
        <v>58.3 mg infused before onset; 11.7% of the planned 500 mg (2 segments; UTC)</v>
      </c>
      <c r="L154" s="21" t="str">
        <f>IF(AA154=1,"",IF(AV154=0,"Not calculable",MID(IF(TRUE,"; "&amp;"Amount infused before onset"&amp;": "&amp;FIXED(M154,1,FALSE)&amp;" mg","")&amp;IF(N154&lt;&gt;"","; "&amp;"Percent of the planned dose"&amp;": "&amp;FIXED(N154,1,TRUE)&amp;"%",""),3,9999)))</f>
        <v>Amount infused before onset: 58.3 mg; Percent of the planned dose: 11.7%</v>
      </c>
      <c r="M154" s="21">
        <f>IF(AV154=1,IF(AL154=1,AP154,AQ154),"")</f>
        <v>58.333333333333336</v>
      </c>
      <c r="N154" s="21">
        <f>IF(AND(AV154=1,ISNUMBER(H154)),100*M154/H154,"")</f>
        <v>11.666666666666668</v>
      </c>
      <c r="O154" s="21">
        <f>IF(AA154=1,"",AK154)</f>
        <v>2</v>
      </c>
      <c r="P154" s="21" t="str">
        <f>IF(AV154=0,"",IF(AL154=1,"UTC","local clock"))</f>
        <v>UTC</v>
      </c>
      <c r="Q154" s="21" t="str">
        <f>IF(AA154=1,"",IF(AT154&lt;&gt;"",AT154,MID(IF(AL154=0,"; W_TZ_UNKNOWN",""),3,999)))</f>
        <v/>
      </c>
      <c r="R154" s="21" t="str">
        <f>IF(AA154=1,"",MID(IF(ISNUMBER(SEARCH("E_INVALID_DATE",AT154))," | E_INVALID_DATE: "&amp;SUBSTITUTE(IFERROR(INDEX(nMSG_Text,MATCH("E_INVALID_DATE",nMSG_Code,0)),""),"[input]",""),"")&amp;IF(ISNUMBER(SEARCH("E_REVERSED_BOUNDS",AT154))," | E_REVERSED_BOUNDS: "&amp;SUBSTITUTE(IFERROR(INDEX(nMSG_Text,MATCH("E_REVERSED_BOUNDS",nMSG_Code,0)),""),"[input]",""),"")&amp;IF(ISNUMBER(SEARCH("E_DUPLICATE_ID",AT154))," | E_DUPLICATE_ID: "&amp;SUBSTITUTE(IFERROR(INDEX(nMSG_Text,MATCH("E_DUPLICATE_ID",nMSG_Code,0)),""),"[input]",""),"")&amp;IF(ISNUMBER(SEARCH("E_MISSING_LINK",AT154))," | E_MISSING_LINK: "&amp;SUBSTITUTE(IFERROR(INDEX(nMSG_Text,MATCH("E_MISSING_LINK",nMSG_Code,0)),""),"[input]",""),"")&amp;IF(ISNUMBER(SEARCH("E_MISSING_INPUT",AT154))," | E_MISSING_INPUT: "&amp;SUBSTITUTE(IFERROR(INDEX(nMSG_Text,MATCH("E_MISSING_INPUT",nMSG_Code,0)),""),"[input]",IF(AU154="","an input",AU154)),"")&amp;IF(ISNUMBER(SEARCH("E_INVALID_UNIT",AT154))," | E_INVALID_UNIT: "&amp;SUBSTITUTE(IFERROR(INDEX(nMSG_Text,MATCH("E_INVALID_UNIT",nMSG_Code,0)),""),"[input]",""),"")&amp;IF(ISNUMBER(SEARCH("E_NONPOSITIVE_PARAMETER",AT154))," | E_NONPOSITIVE_PARAMETER: "&amp;SUBSTITUTE(IFERROR(INDEX(nMSG_Text,MATCH("E_NONPOSITIVE_PARAMETER",nMSG_Code,0)),""),"[input]",""),"")&amp;IF(ISNUMBER(SEARCH("E_OUT_OF_RANGE",AT154))," | E_OUT_OF_RANGE: "&amp;SUBSTITUTE(IFERROR(INDEX(nMSG_Text,MATCH("E_OUT_OF_RANGE",nMSG_Code,0)),""),"[input]",""),"")&amp;IF(ISNUMBER(SEARCH("E_APPLICABILITY_UNCONFIRMED",AT154))," | E_APPLICABILITY_UNCONFIRMED: "&amp;SUBSTITUTE(IFERROR(INDEX(nMSG_Text,MATCH("E_APPLICABILITY_UNCONFIRMED",nMSG_Code,0)),""),"[input]",""),"")&amp;IF(ISNUMBER(SEARCH("E_CREATININE_STABILITY_UNCONFIRMED",AT154))," | E_CREATININE_STABILITY_UNCONFIRMED: "&amp;SUBSTITUTE(IFERROR(INDEX(nMSG_Text,MATCH("E_CREATININE_STABILITY_UNCONFIRMED",nMSG_Code,0)),""),"[input]",""),"")&amp;IF(ISNUMBER(SEARCH("E_OVERLAPPING_SEGMENTS",AT154))," | E_OVERLAPPING_SEGMENTS: "&amp;SUBSTITUTE(IFERROR(INDEX(nMSG_Text,MATCH("E_OVERLAPPING_SEGMENTS",nMSG_Code,0)),""),"[input]",""),"")&amp;IF(AV154=1,IF(AL154=0," | W_TZ_UNKNOWN: "&amp;SUBSTITUTE(IFERROR(INDEX(nMSG_Text,MATCH("W_TZ_UNKNOWN",nMSG_Code,0)),""),"[input]",""),""),""),4,9999))</f>
        <v/>
      </c>
      <c r="S154" s="21" t="str">
        <f>IF(AA154=1,"","Rate segments of exposure episode "&amp;F154&amp;" (Administrations, "&amp;AK154&amp;" segments) [case measurement]; onset "&amp;G154&amp;" [case measurement]"&amp;IF(H154&lt;&gt;"","; planned dose = "&amp;H154&amp;" mg ["&amp;IF(I154="","status not recorded",I154)&amp;IF(J154&lt;&gt;"","; "&amp;J154,"")&amp;"]",""))</f>
        <v>Rate segments of exposure episode EX1 (Administrations, 2 segments) [case measurement]; onset EV1/ONSET [case measurement]; planned dose = 500 mg [hypothetical example; V34 V25]</v>
      </c>
      <c r="T154" s="21" t="str">
        <f>IF(AA154=1,"",MID(""&amp;IF(TRIM(E154&amp;"")&lt;&gt;""," | "&amp;E154,""),4,9999))</f>
        <v/>
      </c>
      <c r="U154" s="21" t="str">
        <f>IF(AV154=0,"",MID(IF(TRUE,"; "&amp;"Amount infused before onset"&amp;" = "&amp;M154&amp;" ("&amp;FIXED(M154,1,FALSE)&amp;" mg"&amp;")","")&amp;IF(N154&lt;&gt;"","; "&amp;"Percent of the planned dose"&amp;" = "&amp;N154&amp;" ("&amp;FIXED(N154,1,TRUE)&amp;"%"&amp;")",""),3,9999))</f>
        <v>Amount infused before onset = 58.3333333333333 (58.3 mg); Percent of the planned dose = 11.6666666666667 (11.7%)</v>
      </c>
      <c r="V154" s="21" t="str">
        <f>IF(AV154=0,"","mg")</f>
        <v>mg</v>
      </c>
      <c r="W154" s="21" t="str">
        <f>IF(AA154=1,"",IF(TRIM(D154&amp;"")&lt;&gt;"",D154,"Q9 Dose received before onset during an infusion"))</f>
        <v>Vector V25</v>
      </c>
      <c r="X154" s="21" t="str">
        <f>IF(AA154=1,"","Amount infused, not systemic or effect-site exposure. Assumes the recorded times without interruption and ignores line dead volume.")</f>
        <v>Amount infused, not systemic or effect-site exposure. Assumes the recorded times without interruption and ignores line dead volume.</v>
      </c>
      <c r="Y154" s="21" t="str">
        <f>IF(AA154=1,"","Amount = sum over segments of rate (mg/hour) x hours of that segment before onset")</f>
        <v>Amount = sum over segments of rate (mg/hour) x hours of that segment before onset</v>
      </c>
      <c r="Z154" s="21" t="str">
        <f>IF(AA154=1,"","CALC-SPEC 1.1")</f>
        <v>CALC-SPEC 1.1</v>
      </c>
      <c r="AA154" s="22">
        <f>IF(AND(A154="",F154="",G154=""),1,0)</f>
        <v>0</v>
      </c>
      <c r="AB154" s="21" t="str">
        <f>IF(AA154=1,"",B154&amp;"|"&amp;C154)</f>
        <v>VEC-V25|1</v>
      </c>
      <c r="AC154" s="21" t="str">
        <f>IF(A154="","",B154&amp;"|"&amp;C154&amp;"|"&amp;A154)</f>
        <v>VEC-V25|1|Q9-V25</v>
      </c>
      <c r="AD154" s="21" t="str">
        <f>B154&amp;"|"&amp;C154&amp;"|"&amp;F154</f>
        <v>VEC-V25|1|EX1</v>
      </c>
      <c r="AE154" s="22">
        <f>IF(G154="",0,IFERROR(MATCH(B154&amp;"|"&amp;C154&amp;"|"&amp;G154,nTP_Key,0),0))</f>
        <v>332</v>
      </c>
      <c r="AF154" s="21" t="str">
        <f>IF(AE154=0,"",INDEX(nTP_Err,AE154)&amp;"")</f>
        <v/>
      </c>
      <c r="AG154" s="22">
        <f>IF(AE154=0,0,INDEX(nTP_HT,AE154))</f>
        <v>1</v>
      </c>
      <c r="AH154" s="22">
        <f>IF(AE154=0,0,INDEX(nTP_OK,AE154))</f>
        <v>1</v>
      </c>
      <c r="AI154" s="22">
        <f>IF(AE154=0,0,INDEX(nTP_Loc_n,AE154))</f>
        <v>66286670</v>
      </c>
      <c r="AJ154" s="22">
        <f>IF(AE154=0,0,INDEX(nTP_UTC_n,AE154))</f>
        <v>66286970</v>
      </c>
      <c r="AK154" s="22">
        <f>COUNTIFS(nADM_SelKey,AD154,nADM_Kind,"INFUSION_SEGMENT")</f>
        <v>2</v>
      </c>
      <c r="AL154" s="22">
        <f>IF(AND(AH154=1,COUNTIFS(nADM_SelKey,AD154,nADM_SegValid,1,nADM_SegOK,0)=0),1,0)</f>
        <v>1</v>
      </c>
      <c r="AM154" s="21" t="str">
        <f>IF(SUMPRODUCT((nADM_SelKey=AD154)*(nADM_Kind="INFUSION_SEGMENT")*ISNUMBER(SEARCH("E_INVALID_DATE",nADM_Seg_Raw)))&gt;0,"; E_INVALID_DATE","")&amp;IF(SUMPRODUCT((nADM_SelKey=AD154)*(nADM_Kind="INFUSION_SEGMENT")*ISNUMBER(SEARCH("E_MISSING_INPUT",nADM_Seg_Raw)))&gt;0,"; E_MISSING_INPUT","")&amp;IF(SUMPRODUCT((nADM_SelKey=AD154)*(nADM_Kind="INFUSION_SEGMENT")*ISNUMBER(SEARCH("E_INVALID_UNIT",nADM_Seg_Raw)))&gt;0,"; E_INVALID_UNIT","")&amp;IF(SUMPRODUCT((nADM_SelKey=AD154)*(nADM_Kind="INFUSION_SEGMENT")*ISNUMBER(SEARCH("E_NONPOSITIVE_PARAMETER",nADM_Seg_Raw)))&gt;0,"; E_NONPOSITIVE_PARAMETER","")</f>
        <v/>
      </c>
      <c r="AN154" s="22">
        <f>IF(AL154=1,SUMIFS(nADM_Rev_UTC,nADM_SelKey,AD154),SUMIFS(nADM_Rev_Loc,nADM_SelKey,AD154))</f>
        <v>0</v>
      </c>
      <c r="AO154" s="22">
        <f>IF(AL154=1,SUMIFS(nADM_Ovl_UTC,nADM_SelKey,AD154),SUMIFS(nADM_Ovl_Loc,nADM_SelKey,AD154))</f>
        <v>0</v>
      </c>
      <c r="AP154" s="21">
        <f>IF(AE154=0,0,SUMPRODUCT((nADM_SelKey=AD154)*nADM_SegValid*nADM_Rate_n*(((((nADM_SegE_UTC_n+AJ154)-ABS(nADM_SegE_UTC_n-AJ154))/2)-nADM_SegS_UTC_n)+ABS((((nADM_SegE_UTC_n+AJ154)-ABS(nADM_SegE_UTC_n-AJ154))/2)-nADM_SegS_UTC_n))/2)/60)</f>
        <v>58.333333333333336</v>
      </c>
      <c r="AQ154" s="21">
        <f>IF(AE154=0,0,SUMPRODUCT((nADM_SelKey=AD154)*nADM_SegValid*nADM_Rate_n*(((((nADM_SegE_Loc_n+AI154)-ABS(nADM_SegE_Loc_n-AI154))/2)-nADM_SegS_Loc_n)+ABS((((nADM_SegE_Loc_n+AI154)-ABS(nADM_SegE_Loc_n-AI154))/2)-nADM_SegS_Loc_n))/2)/60)</f>
        <v>58.333333333333336</v>
      </c>
      <c r="AR154" s="21" t="str">
        <f>IF(AA154=1,"",IF(A154="","; E_MISSING_INPUT","")&amp;IF(F154="","; E_MISSING_INPUT","")&amp;IF(G154="","; E_MISSING_INPUT","")&amp;IF(AND(G154&lt;&gt;"",AE154=0),"; E_MISSING_INPUT","")&amp;IF(AF154&lt;&gt;"","; "&amp;AF154&amp;"","")&amp;IF(AND(AE154&gt;0,AF154="",AG154=0),"; E_MISSING_INPUT","")&amp;IF(AND(F154&lt;&gt;"",AK154=0),"; E_MISSING_INPUT","")&amp;IF(AM154&lt;&gt;"","; "&amp;MID(AM154,3,999)&amp;"","")&amp;IF(ISNUMBER(SEARCH("E_MISSING_INPUT",AM154)),"; E_MISSING_INPUT","")&amp;IF(AND(H154&lt;&gt;"",NOT(ISNUMBER(H154))),"; E_MISSING_INPUT","")&amp;IF(AND(ISNUMBER(H154),H154&lt;=0),"; E_NONPOSITIVE_PARAMETER","")&amp;IF(AN154&gt;0,"; E_REVERSED_BOUNDS","")&amp;IF(AO154&gt;0,"; E_OVERLAPPING_SEGMENTS",""))</f>
        <v/>
      </c>
      <c r="AS154" s="21" t="str">
        <f>IF(AA154=1,"",IF(A154="",", a Calc_ID","")&amp;IF(F154="",", an Exposure_Episode_ID","")&amp;IF(G154="",", the onset time","")&amp;IF(AND(G154&lt;&gt;"",AE154=0),", the onset record "&amp;G154&amp;"","")&amp;IF(AND(AE154&gt;0,AF154="",AG154=0),", the onset time (a timestamp)","")&amp;IF(AND(F154&lt;&gt;"",AK154=0),", at least one infusion segment (INFUSION_SEGMENT rows on Administrations for "&amp;F154&amp;")","")&amp;IF(ISNUMBER(SEARCH("E_MISSING_INPUT",AM154)),", segment start and end timestamps and a rate in mg/hour for every segment","")&amp;IF(AND(H154&lt;&gt;"",NOT(ISNUMBER(H154))),", the planned dose as a number",""))</f>
        <v/>
      </c>
      <c r="AT154" s="21" t="str">
        <f>IF(AA154=1,"",MID(IF(ISNUMBER(SEARCH("E_INVALID_DATE",AR154)),"; E_INVALID_DATE","")&amp;IF(ISNUMBER(SEARCH("E_REVERSED_BOUNDS",AR154)),"; E_REVERSED_BOUNDS","")&amp;IF(ISNUMBER(SEARCH("E_DUPLICATE_ID",AR154)),"; E_DUPLICATE_ID","")&amp;IF(ISNUMBER(SEARCH("E_MISSING_LINK",AR154)),"; E_MISSING_LINK","")&amp;IF(ISNUMBER(SEARCH("E_MISSING_INPUT",AR154)),"; E_MISSING_INPUT","")&amp;IF(ISNUMBER(SEARCH("E_INVALID_UNIT",AR154)),"; E_INVALID_UNIT","")&amp;IF(ISNUMBER(SEARCH("E_NONPOSITIVE_PARAMETER",AR154)),"; E_NONPOSITIVE_PARAMETER","")&amp;IF(ISNUMBER(SEARCH("E_OUT_OF_RANGE",AR154)),"; E_OUT_OF_RANGE","")&amp;IF(ISNUMBER(SEARCH("E_APPLICABILITY_UNCONFIRMED",AR154)),"; E_APPLICABILITY_UNCONFIRMED","")&amp;IF(ISNUMBER(SEARCH("E_CREATININE_STABILITY_UNCONFIRMED",AR154)),"; E_CREATININE_STABILITY_UNCONFIRMED","")&amp;IF(ISNUMBER(SEARCH("E_OVERLAPPING_SEGMENTS",AR154)),"; E_OVERLAPPING_SEGMENTS",""),3,999))</f>
        <v/>
      </c>
      <c r="AU154" s="21" t="str">
        <f>MID(AS154,3,999)</f>
        <v/>
      </c>
      <c r="AV154" s="22">
        <f>IF(AND(AA154=0,AT154=""),1,0)</f>
        <v>1</v>
      </c>
    </row>
    <row r="157" spans="1:51" ht="17.25" x14ac:dyDescent="0.3">
      <c r="A157" s="6" t="s">
        <v>1430</v>
      </c>
    </row>
    <row r="158" spans="1:51" x14ac:dyDescent="0.2">
      <c r="A158" s="7" t="s">
        <v>1203</v>
      </c>
    </row>
    <row r="159" spans="1:51" x14ac:dyDescent="0.2">
      <c r="A159" s="2" t="s">
        <v>1204</v>
      </c>
      <c r="F159" s="2" t="s">
        <v>1431</v>
      </c>
      <c r="J159" s="2" t="s">
        <v>1225</v>
      </c>
      <c r="AB159" s="2" t="s">
        <v>1237</v>
      </c>
    </row>
    <row r="160" spans="1:51" ht="66" customHeight="1" x14ac:dyDescent="0.2">
      <c r="A160" s="8" t="s">
        <v>1205</v>
      </c>
      <c r="B160" s="8" t="s">
        <v>280</v>
      </c>
      <c r="C160" s="8" t="s">
        <v>281</v>
      </c>
      <c r="D160" s="8" t="s">
        <v>1206</v>
      </c>
      <c r="E160" s="8" t="s">
        <v>1207</v>
      </c>
      <c r="F160" s="8" t="s">
        <v>1432</v>
      </c>
      <c r="G160" s="8" t="s">
        <v>1433</v>
      </c>
      <c r="H160" s="8" t="s">
        <v>1434</v>
      </c>
      <c r="I160" s="8" t="s">
        <v>1435</v>
      </c>
      <c r="J160" s="19" t="s">
        <v>1226</v>
      </c>
      <c r="K160" s="19" t="s">
        <v>981</v>
      </c>
      <c r="L160" s="19" t="s">
        <v>1436</v>
      </c>
      <c r="M160" s="19" t="s">
        <v>1437</v>
      </c>
      <c r="N160" s="19" t="s">
        <v>1438</v>
      </c>
      <c r="O160" s="19" t="s">
        <v>1439</v>
      </c>
      <c r="P160" s="19" t="s">
        <v>1440</v>
      </c>
      <c r="Q160" s="19" t="s">
        <v>1441</v>
      </c>
      <c r="R160" s="19" t="s">
        <v>988</v>
      </c>
      <c r="S160" s="19" t="s">
        <v>1231</v>
      </c>
      <c r="T160" s="19" t="s">
        <v>1232</v>
      </c>
      <c r="U160" s="19" t="s">
        <v>1003</v>
      </c>
      <c r="V160" s="19" t="s">
        <v>1233</v>
      </c>
      <c r="W160" s="19" t="s">
        <v>1234</v>
      </c>
      <c r="X160" s="19" t="s">
        <v>954</v>
      </c>
      <c r="Y160" s="19" t="s">
        <v>1235</v>
      </c>
      <c r="Z160" s="19" t="s">
        <v>1236</v>
      </c>
      <c r="AA160" s="19" t="s">
        <v>1006</v>
      </c>
      <c r="AB160" s="19" t="s">
        <v>1008</v>
      </c>
      <c r="AC160" s="19" t="s">
        <v>1009</v>
      </c>
      <c r="AD160" s="19" t="s">
        <v>1238</v>
      </c>
      <c r="AE160" s="19" t="s">
        <v>1411</v>
      </c>
      <c r="AF160" s="19" t="s">
        <v>1442</v>
      </c>
      <c r="AG160" s="19" t="s">
        <v>1443</v>
      </c>
      <c r="AH160" s="19" t="s">
        <v>1444</v>
      </c>
      <c r="AI160" s="19" t="s">
        <v>1445</v>
      </c>
      <c r="AJ160" s="19" t="s">
        <v>1446</v>
      </c>
      <c r="AK160" s="19" t="s">
        <v>1447</v>
      </c>
      <c r="AL160" s="19" t="s">
        <v>1448</v>
      </c>
      <c r="AM160" s="19" t="s">
        <v>1449</v>
      </c>
      <c r="AN160" s="19" t="s">
        <v>1450</v>
      </c>
      <c r="AO160" s="19" t="s">
        <v>1451</v>
      </c>
      <c r="AP160" s="19" t="s">
        <v>1452</v>
      </c>
      <c r="AQ160" s="19" t="s">
        <v>1453</v>
      </c>
      <c r="AR160" s="19" t="s">
        <v>1454</v>
      </c>
      <c r="AS160" s="19" t="s">
        <v>1455</v>
      </c>
      <c r="AT160" s="19" t="s">
        <v>1456</v>
      </c>
      <c r="AU160" s="19" t="s">
        <v>1085</v>
      </c>
      <c r="AV160" s="19" t="s">
        <v>1240</v>
      </c>
      <c r="AW160" s="19" t="s">
        <v>1095</v>
      </c>
      <c r="AX160" s="19" t="s">
        <v>1241</v>
      </c>
      <c r="AY160" s="19" t="s">
        <v>1097</v>
      </c>
    </row>
    <row r="161" spans="1:51" x14ac:dyDescent="0.2">
      <c r="A161" s="10"/>
      <c r="B161" s="10"/>
      <c r="C161" s="12"/>
      <c r="D161" s="10"/>
      <c r="E161" s="10"/>
      <c r="F161" s="10"/>
      <c r="G161" s="17"/>
      <c r="H161" s="17"/>
      <c r="I161" s="10"/>
      <c r="J161" s="21" t="str">
        <f t="shared" ref="J161:J168" si="293">IF(AB161=1,"",IF(AW161&lt;&gt;"",AW161&amp;": no result is shown","Method A (sum of dose / BSA at each administration): "&amp;FIXED(L161,1,FALSE)&amp;" mg/m²"&amp;IF(AH161&gt;0," (lower bound from "&amp;O161&amp;" of "&amp;N161&amp;" administrations)","")&amp;IF(G161="","","; Method B (total "&amp;M161&amp;" mg / "&amp;P161&amp;" m², "&amp;G161&amp;" BSA): "&amp;FIXED(Q161,1,FALSE)&amp;" mg/m²")))</f>
        <v/>
      </c>
      <c r="K161" s="21" t="str">
        <f t="shared" ref="K161:K168" si="294">IF(AB161=1,"",IF(AY161=0,"Not calculable",MID(IF(AH161=0,"; "&amp;"Cumulative dose, Method A (sum of dose / BSA at each administration)"&amp;": "&amp;FIXED(L161,1,FALSE)&amp;" mg/m²","")&amp;IF(AH161&gt;0,"; "&amp;"Cumulative dose, Method A, lower bound from the known administrations"&amp;": "&amp;FIXED(L161,1,FALSE)&amp;" mg/m² (lower bound)","")&amp;IF(G161&lt;&gt;"","; "&amp;IF(G161="STATED","Method B (total dose / stated BSA "&amp;AT161&amp;" m²)","Method B (total dose / "&amp;LOWER(G161)&amp;" BSA)")&amp;": "&amp;FIXED(Q161,1,FALSE)&amp;" mg/m²",""),3,9999)))</f>
        <v/>
      </c>
      <c r="L161" s="21" t="str">
        <f>IF(AY161=1,SUMPRODUCT((nADM_SelKey=AE161)*(nADM_Kind&lt;&gt;"INFUSION_SEGMENT")*nADM_Dose_per_BSA),"")</f>
        <v/>
      </c>
      <c r="M161" s="21" t="str">
        <f>IF(AY161=1,SUMPRODUCT((nADM_SelKey=AE161)*(nADM_Kind&lt;&gt;"INFUSION_SEGMENT")*nADM_Dose_pos_n),"")</f>
        <v/>
      </c>
      <c r="N161" s="21" t="str">
        <f t="shared" ref="N161:N168" si="295">IF(AB161=1,"",AF161)</f>
        <v/>
      </c>
      <c r="O161" s="21" t="str">
        <f>IF(AB161=1,"",SUMPRODUCT((nADM_SelKey=AE161)*(nADM_Kind&lt;&gt;"INFUSION_SEGMENT")*nADM_Known))</f>
        <v/>
      </c>
      <c r="P161" s="21" t="str">
        <f t="shared" ref="P161:P168" si="296">IF(OR(AY161=0,G161=""),"",AT161)</f>
        <v/>
      </c>
      <c r="Q161" s="21" t="str">
        <f t="shared" ref="Q161:Q168" si="297">IF(OR(AY161=0,G161=""),"",M161/AT161)</f>
        <v/>
      </c>
      <c r="R161" s="21" t="str">
        <f t="shared" ref="R161:R168" si="298">IF(AB161=1,"",IF(AW161&lt;&gt;"",AW161,MID(IF(AH161&gt;0,"; W_PARTIAL_BSA",""),3,999)))</f>
        <v/>
      </c>
      <c r="S161" s="21" t="str">
        <f>IF(AB161=1,"",MID(IF(ISNUMBER(SEARCH("E_INVALID_DATE",AW161))," | E_INVALID_DATE: "&amp;SUBSTITUTE(IFERROR(INDEX(nMSG_Text,MATCH("E_INVALID_DATE",nMSG_Code,0)),""),"[input]",""),"")&amp;IF(ISNUMBER(SEARCH("E_REVERSED_BOUNDS",AW161))," | E_REVERSED_BOUNDS: "&amp;SUBSTITUTE(IFERROR(INDEX(nMSG_Text,MATCH("E_REVERSED_BOUNDS",nMSG_Code,0)),""),"[input]",""),"")&amp;IF(ISNUMBER(SEARCH("E_DUPLICATE_ID",AW161))," | E_DUPLICATE_ID: "&amp;SUBSTITUTE(IFERROR(INDEX(nMSG_Text,MATCH("E_DUPLICATE_ID",nMSG_Code,0)),""),"[input]",""),"")&amp;IF(ISNUMBER(SEARCH("E_MISSING_LINK",AW161))," | E_MISSING_LINK: "&amp;SUBSTITUTE(IFERROR(INDEX(nMSG_Text,MATCH("E_MISSING_LINK",nMSG_Code,0)),""),"[input]",""),"")&amp;IF(ISNUMBER(SEARCH("E_MISSING_INPUT",AW161))," | E_MISSING_INPUT: "&amp;SUBSTITUTE(IFERROR(INDEX(nMSG_Text,MATCH("E_MISSING_INPUT",nMSG_Code,0)),""),"[input]",IF(AX161="","an input",AX161)),"")&amp;IF(ISNUMBER(SEARCH("E_INVALID_UNIT",AW161))," | E_INVALID_UNIT: "&amp;SUBSTITUTE(IFERROR(INDEX(nMSG_Text,MATCH("E_INVALID_UNIT",nMSG_Code,0)),""),"[input]",""),"")&amp;IF(ISNUMBER(SEARCH("E_NONPOSITIVE_PARAMETER",AW161))," | E_NONPOSITIVE_PARAMETER: "&amp;SUBSTITUTE(IFERROR(INDEX(nMSG_Text,MATCH("E_NONPOSITIVE_PARAMETER",nMSG_Code,0)),""),"[input]",""),"")&amp;IF(ISNUMBER(SEARCH("E_OUT_OF_RANGE",AW161))," | E_OUT_OF_RANGE: "&amp;SUBSTITUTE(IFERROR(INDEX(nMSG_Text,MATCH("E_OUT_OF_RANGE",nMSG_Code,0)),""),"[input]",""),"")&amp;IF(ISNUMBER(SEARCH("E_APPLICABILITY_UNCONFIRMED",AW161))," | E_APPLICABILITY_UNCONFIRMED: "&amp;SUBSTITUTE(IFERROR(INDEX(nMSG_Text,MATCH("E_APPLICABILITY_UNCONFIRMED",nMSG_Code,0)),""),"[input]",""),"")&amp;IF(ISNUMBER(SEARCH("E_CREATININE_STABILITY_UNCONFIRMED",AW161))," | E_CREATININE_STABILITY_UNCONFIRMED: "&amp;SUBSTITUTE(IFERROR(INDEX(nMSG_Text,MATCH("E_CREATININE_STABILITY_UNCONFIRMED",nMSG_Code,0)),""),"[input]",""),"")&amp;IF(ISNUMBER(SEARCH("E_OVERLAPPING_SEGMENTS",AW161))," | E_OVERLAPPING_SEGMENTS: "&amp;SUBSTITUTE(IFERROR(INDEX(nMSG_Text,MATCH("E_OVERLAPPING_SEGMENTS",nMSG_Code,0)),""),"[input]",""),"")&amp;IF(AY161=1,IF(AH161&gt;0," | W_PARTIAL_BSA: "&amp;SUBSTITUTE(IFERROR(INDEX(nMSG_Text,MATCH("W_PARTIAL_BSA",nMSG_Code,0)),""),"[input]",""),""),""),4,9999))</f>
        <v/>
      </c>
      <c r="T161" s="21" t="str">
        <f t="shared" ref="T161:T168" si="299">IF(AB161=1,"","Doses (mg), dates and BSA (m²) recorded at each administration of "&amp;F161&amp;" on Administrations ("&amp;AF161&amp;" administrations) [case measurement]"&amp;IF(G161&lt;&gt;"","; Method B BSA: "&amp;G161&amp;IF(I161&lt;&gt;""," ("&amp;I161&amp;")",""),""))</f>
        <v/>
      </c>
      <c r="U161" s="21" t="str">
        <f>IF(AB161=1,"",MID(""&amp;" | BSA is the value recorded at each administration; the tool never calculates BSA (CALC-SPEC 1.1, Q10)."&amp;IF(TRIM(E161&amp;"")&lt;&gt;""," | "&amp;E161,"")&amp;IF(AY161=1,IF(AJ161=1,IF(AM161=1," | Method B takes the first and last administrations by date ("&amp;DAY(AN161)&amp;" "&amp;INDEX(nLIST_Months,MONTH(AN161))&amp;" "&amp;YEAR(AN161)&amp;" and "&amp;DAY(AO161)&amp;" "&amp;INDEX(nLIST_Months,MONTH(AO161))&amp;" "&amp;YEAR(AO161)&amp;").",IF(AK161=0," | No administration date is recorded, so Method B takes the first and last administrations in the order entered.","")),""),""),4,9999))</f>
        <v/>
      </c>
      <c r="V161" s="21" t="str">
        <f t="shared" ref="V161:V168" si="300">IF(AY161=0,"",MID(IF(AH161=0,"; "&amp;"Cumulative dose, Method A (sum of dose / BSA at each administration)"&amp;" = "&amp;L161&amp;" ("&amp;FIXED(L161,1,FALSE)&amp;" mg/m²"&amp;")","")&amp;IF(AH161&gt;0,"; "&amp;"Cumulative dose, Method A, lower bound from the known administrations"&amp;" = "&amp;L161&amp;" ("&amp;FIXED(L161,1,FALSE)&amp;" mg/m² (lower bound)"&amp;")","")&amp;IF(G161&lt;&gt;"","; "&amp;IF(G161="STATED","Method B (total dose / stated BSA "&amp;AT161&amp;" m²)","Method B (total dose / "&amp;LOWER(G161)&amp;" BSA)")&amp;" = "&amp;Q161&amp;" ("&amp;FIXED(Q161,1,FALSE)&amp;" mg/m²"&amp;")",""),3,9999))</f>
        <v/>
      </c>
      <c r="W161" s="21" t="str">
        <f t="shared" ref="W161:W168" si="301">IF(AY161=0,"","mg/m²")</f>
        <v/>
      </c>
      <c r="X161" s="21" t="str">
        <f t="shared" ref="X161:X168" si="302">IF(AB161=1,"",IF(TRIM(D161&amp;"")&lt;&gt;"",D161,"Q10 Cumulative dose normalized to body surface area"))</f>
        <v/>
      </c>
      <c r="Y161" s="21" t="str">
        <f t="shared" ref="Y161:Y168" si="303">IF(AB161=1,"","Describes cumulative exposure. It is not a toxicity threshold.")</f>
        <v/>
      </c>
      <c r="Z161" s="21" t="str">
        <f t="shared" ref="Z161:Z168" si="304">IF(AB161=1,"","Method A (default): sum of dose_i / BSA_i; Method B (on request): total dose / one BSA (first or last administration by date, or stated)")</f>
        <v/>
      </c>
      <c r="AA161" s="21" t="str">
        <f t="shared" ref="AA161:AA168" si="305">IF(AB161=1,"","CALC-SPEC 1.1")</f>
        <v/>
      </c>
      <c r="AB161" s="22">
        <f t="shared" ref="AB161:AB168" si="306">IF(AND(A161="",F161=""),1,0)</f>
        <v>1</v>
      </c>
      <c r="AC161" s="21" t="str">
        <f t="shared" ref="AC161:AC168" si="307">IF(AB161=1,"",B161&amp;"|"&amp;C161)</f>
        <v/>
      </c>
      <c r="AD161" s="21" t="str">
        <f t="shared" ref="AD161:AD168" si="308">IF(A161="","",B161&amp;"|"&amp;C161&amp;"|"&amp;A161)</f>
        <v/>
      </c>
      <c r="AE161" s="21" t="str">
        <f t="shared" ref="AE161:AE168" si="309">B161&amp;"|"&amp;C161&amp;"|"&amp;F161</f>
        <v>||</v>
      </c>
      <c r="AF161" s="22">
        <f>SUMPRODUCT((nADM_SelKey=AE161)*(nADM_Kind&lt;&gt;"INFUSION_SEGMENT"))</f>
        <v>0</v>
      </c>
      <c r="AG161" s="22">
        <f>SUMPRODUCT((nADM_SelKey=AE161)*(nADM_Kind&lt;&gt;"INFUSION_SEGMENT")*nADM_Known)</f>
        <v>0</v>
      </c>
      <c r="AH161" s="22">
        <f>SUMPRODUCT((nADM_SelKey=AE161)*(nADM_Kind&lt;&gt;"INFUSION_SEGMENT")*nADM_BSA_missing)</f>
        <v>0</v>
      </c>
      <c r="AI161" s="21" t="str">
        <f>IF(SUMPRODUCT((nADM_SelKey=AE161)*(nADM_Kind&lt;&gt;"INFUSION_SEGMENT")*ISNUMBER(SEARCH("E_MISSING_INPUT",nADM_Q10_Raw)))&gt;0,"; E_MISSING_INPUT","")&amp;IF(SUMPRODUCT((nADM_SelKey=AE161)*(nADM_Kind&lt;&gt;"INFUSION_SEGMENT")*ISNUMBER(SEARCH("E_INVALID_UNIT",nADM_Q10_Raw)))&gt;0,"; E_INVALID_UNIT","")&amp;IF(SUMPRODUCT((nADM_SelKey=AE161)*(nADM_Kind&lt;&gt;"INFUSION_SEGMENT")*ISNUMBER(SEARCH("E_NONPOSITIVE_PARAMETER",nADM_Q10_Raw)))&gt;0,"; E_NONPOSITIVE_PARAMETER","")</f>
        <v/>
      </c>
      <c r="AJ161" s="22">
        <f t="shared" ref="AJ161:AJ168" si="310">IF(OR(G161="FIRST",G161="LAST"),1,0)</f>
        <v>0</v>
      </c>
      <c r="AK161" s="22">
        <f>SUMPRODUCT((nADM_SelKey=AE161)*(nADM_Kind&lt;&gt;"INFUSION_SEGMENT")*nADM_A_Dated)</f>
        <v>0</v>
      </c>
      <c r="AL161" s="21" t="str">
        <f>IF(OR(AJ161=0,AF161=0,AK161&lt;AF161),"",IF(SUMPRODUCT((nADM_SelKey=AE161)*(nADM_Kind&lt;&gt;"INFUSION_SEGMENT")*(nADM_Q10_DateErr="E_INVALID_DATE"))&gt;0,"; E_INVALID_DATE","")&amp;IF(SUMPRODUCT((nADM_SelKey=AE161)*(nADM_Kind&lt;&gt;"INFUSION_SEGMENT")*(nADM_Q10_DateErr="E_REVERSED_BOUNDS"))&gt;0,"; E_REVERSED_BOUNDS","")&amp;IF(SUMPRODUCT((nADM_SelKey=AE161)*(nADM_Kind&lt;&gt;"INFUSION_SEGMENT")*(nADM_Q10_DateErr="E_MISSING_INPUT"))&gt;0,"; E_MISSING_INPUT","")&amp;IF(SUMPRODUCT((nADM_SelKey=AE161)*(nADM_Kind&lt;&gt;"INFUSION_SEGMENT")*(nADM_Q10_DateErr="E_INVALID_UNIT"))&gt;0,"; E_INVALID_UNIT",""))</f>
        <v/>
      </c>
      <c r="AM161" s="22">
        <f>IF(AND(AJ161=1,AF161&gt;0,AK161=AF161,SUMPRODUCT((nADM_SelKey=AE161)*(nADM_Kind&lt;&gt;"INFUSION_SEGMENT")*nADM_Valid)=AF161),1,0)</f>
        <v>0</v>
      </c>
      <c r="AN161" s="28">
        <f>IF(AM161=0,0,1000000000000-SUMPRODUCT(MAX((nADM_SelKey=AE161)*(nADM_Kind&lt;&gt;"INFUSION_SEGMENT")*(1000000000000-nADM_Lo_n))))</f>
        <v>0</v>
      </c>
      <c r="AO161" s="28">
        <f>IF(AM161=0,0,SUMPRODUCT(MAX((nADM_SelKey=AE161)*(nADM_Kind&lt;&gt;"INFUSION_SEGMENT")*nADM_Lo_n)))</f>
        <v>0</v>
      </c>
      <c r="AP161" s="22">
        <f>IF(AF161=0,0,IF(AM161=1,MATCH(1,INDEX((nADM_SelKey=AE161)*(nADM_Kind&lt;&gt;"INFUSION_SEGMENT")*(nADM_Lo_n=AN161),0),0),MATCH(1,INDEX((nADM_SelKey=AE161)*(nADM_Kind&lt;&gt;"INFUSION_SEGMENT"),0),0)))</f>
        <v>0</v>
      </c>
      <c r="AQ161" s="22">
        <f>IF(AF161=0,0,IF(AM161=1,MATCH(1,INDEX((nADM_SelKey=AE161)*(nADM_Kind&lt;&gt;"INFUSION_SEGMENT")*(nADM_Lo_n=AO161),0),0),MATCH(SUMPRODUCT(MAX((nADM_SelKey=AE161)*(nADM_Kind&lt;&gt;"INFUSION_SEGMENT")*nADM_RowN)),nADM_RowN,0)))</f>
        <v>0</v>
      </c>
      <c r="AR161" s="22">
        <f>IF(OR(AM161=0,AP161=0),0,IF(SUMPRODUCT((nADM_SelKey=AE161)*(nADM_Kind&lt;&gt;"INFUSION_SEGMENT")*(nADM_Lo_n=AN161)*(nADM_BSA_key&lt;&gt;INDEX(nADM_BSA_key,AP161)))&gt;0,1,0))</f>
        <v>0</v>
      </c>
      <c r="AS161" s="22">
        <f>IF(OR(AM161=0,AQ161=0),0,IF(SUMPRODUCT((nADM_SelKey=AE161)*(nADM_Kind&lt;&gt;"INFUSION_SEGMENT")*(nADM_Lo_n=AO161)*(nADM_BSA_key&lt;&gt;INDEX(nADM_BSA_key,AQ161)))&gt;0,1,0))</f>
        <v>0</v>
      </c>
      <c r="AT161" s="21" t="str">
        <f>IF(G161="STATED",IF(ISNUMBER(H161),H161,""),IF(AND(AJ161=1,AF161&gt;0),IF(G161="FIRST",IF(AP161=0,"",INDEX(nADM_BSA_m2,AP161)),IF(AQ161=0,"",INDEX(nADM_BSA_m2,AQ161))),""))</f>
        <v/>
      </c>
      <c r="AU161" s="21" t="str">
        <f>IF(AB161=1,"",IF(A161="","; E_MISSING_INPUT","")&amp;IF(F161="","; E_MISSING_INPUT","")&amp;IF(AND(F161&lt;&gt;"",AF161=0),"; E_MISSING_INPUT","")&amp;IF(AI161&lt;&gt;"","; "&amp;MID(AI161,3,999)&amp;"","")&amp;IF(ISNUMBER(SEARCH("E_MISSING_INPUT",AI161)),"; E_MISSING_INPUT","")&amp;IF(AND(AF161&gt;0,AG161=0,AI161=""),"; E_MISSING_INPUT","")&amp;IF(AND(G161&lt;&gt;"",ISNA(MATCH(G161,nLIST_MethodB,0))),"; E_MISSING_INPUT","")&amp;IF(AND(AJ161=1,AK161&gt;0,AK161&lt;AF161),"; E_MISSING_INPUT","")&amp;IF(AL161&lt;&gt;"","; "&amp;MID(AL161,3,999)&amp;"","")&amp;IF(AR161=1,"; E_MISSING_INPUT","")&amp;IF(AS161=1,"; E_MISSING_INPUT","")&amp;IF(AND(AJ161=1,AF161&gt;0,NOT(ISNUMBER(AT161))),"; E_MISSING_INPUT","")&amp;IF(AND(G161="STATED",NOT(ISNUMBER(H161))),"; E_MISSING_INPUT","")&amp;IF(AND(G161="STATED",ISNUMBER(H161),H161&lt;=0),"; E_NONPOSITIVE_PARAMETER",""))</f>
        <v/>
      </c>
      <c r="AV161" s="21" t="str">
        <f>IF(AB161=1,"",IF(A161="",", a Calc_ID","")&amp;IF(F161="",", an Exposure_Episode_ID","")&amp;IF(AND(F161&lt;&gt;"",AF161=0),", at least one administration","")&amp;IF(ISNUMBER(SEARCH("E_MISSING_INPUT",AI161)),", the dose, dose unit and any BSA of every administration of "&amp;F161&amp;" as numbers","")&amp;IF(AND(AF161&gt;0,AG161=0,AI161=""),", the BSA recorded at one or more administrations","")&amp;IF(AND(G161&lt;&gt;"",ISNA(MATCH(G161,nLIST_MethodB,0))),", a Method B choice (FIRST, LAST or STATED)","")&amp;IF(AND(AJ161=1,AK161&gt;0,AK161&lt;AF161),", the date of every administration (Method B by first or last administration)","")&amp;IF(AR161=1,", one BSA for the first administration: administrations share its date with different BSAs","")&amp;IF(AS161=1,", one BSA for the last administration: administrations share its date with different BSAs","")&amp;IF(AND(AJ161=1,AF161&gt;0,NOT(ISNUMBER(AT161))),", the "&amp;LOWER(G161)&amp;" BSA for Method B","")&amp;IF(AND(G161="STATED",NOT(ISNUMBER(H161))),", the stated BSA for Method B",""))</f>
        <v/>
      </c>
      <c r="AW161" s="21" t="str">
        <f t="shared" ref="AW161:AW168" si="311">IF(AB161=1,"",MID(IF(ISNUMBER(SEARCH("E_INVALID_DATE",AU161)),"; E_INVALID_DATE","")&amp;IF(ISNUMBER(SEARCH("E_REVERSED_BOUNDS",AU161)),"; E_REVERSED_BOUNDS","")&amp;IF(ISNUMBER(SEARCH("E_DUPLICATE_ID",AU161)),"; E_DUPLICATE_ID","")&amp;IF(ISNUMBER(SEARCH("E_MISSING_LINK",AU161)),"; E_MISSING_LINK","")&amp;IF(ISNUMBER(SEARCH("E_MISSING_INPUT",AU161)),"; E_MISSING_INPUT","")&amp;IF(ISNUMBER(SEARCH("E_INVALID_UNIT",AU161)),"; E_INVALID_UNIT","")&amp;IF(ISNUMBER(SEARCH("E_NONPOSITIVE_PARAMETER",AU161)),"; E_NONPOSITIVE_PARAMETER","")&amp;IF(ISNUMBER(SEARCH("E_OUT_OF_RANGE",AU161)),"; E_OUT_OF_RANGE","")&amp;IF(ISNUMBER(SEARCH("E_APPLICABILITY_UNCONFIRMED",AU161)),"; E_APPLICABILITY_UNCONFIRMED","")&amp;IF(ISNUMBER(SEARCH("E_CREATININE_STABILITY_UNCONFIRMED",AU161)),"; E_CREATININE_STABILITY_UNCONFIRMED","")&amp;IF(ISNUMBER(SEARCH("E_OVERLAPPING_SEGMENTS",AU161)),"; E_OVERLAPPING_SEGMENTS",""),3,999))</f>
        <v/>
      </c>
      <c r="AX161" s="21" t="str">
        <f t="shared" ref="AX161:AX168" si="312">MID(AV161,3,999)</f>
        <v/>
      </c>
      <c r="AY161" s="22">
        <f t="shared" ref="AY161:AY168" si="313">IF(AND(AB161=0,AW161=""),1,0)</f>
        <v>0</v>
      </c>
    </row>
    <row r="162" spans="1:51" x14ac:dyDescent="0.2">
      <c r="A162" s="10"/>
      <c r="B162" s="10"/>
      <c r="C162" s="12"/>
      <c r="D162" s="10"/>
      <c r="E162" s="10"/>
      <c r="F162" s="10"/>
      <c r="G162" s="17"/>
      <c r="H162" s="17"/>
      <c r="I162" s="10"/>
      <c r="J162" s="21" t="str">
        <f t="shared" si="293"/>
        <v/>
      </c>
      <c r="K162" s="21" t="str">
        <f t="shared" si="294"/>
        <v/>
      </c>
      <c r="L162" s="21" t="str">
        <f>IF(AY162=1,SUMPRODUCT((nADM_SelKey=AE162)*(nADM_Kind&lt;&gt;"INFUSION_SEGMENT")*nADM_Dose_per_BSA),"")</f>
        <v/>
      </c>
      <c r="M162" s="21" t="str">
        <f>IF(AY162=1,SUMPRODUCT((nADM_SelKey=AE162)*(nADM_Kind&lt;&gt;"INFUSION_SEGMENT")*nADM_Dose_pos_n),"")</f>
        <v/>
      </c>
      <c r="N162" s="21" t="str">
        <f t="shared" si="295"/>
        <v/>
      </c>
      <c r="O162" s="21" t="str">
        <f>IF(AB162=1,"",SUMPRODUCT((nADM_SelKey=AE162)*(nADM_Kind&lt;&gt;"INFUSION_SEGMENT")*nADM_Known))</f>
        <v/>
      </c>
      <c r="P162" s="21" t="str">
        <f t="shared" si="296"/>
        <v/>
      </c>
      <c r="Q162" s="21" t="str">
        <f t="shared" si="297"/>
        <v/>
      </c>
      <c r="R162" s="21" t="str">
        <f t="shared" si="298"/>
        <v/>
      </c>
      <c r="S162" s="21" t="str">
        <f>IF(AB162=1,"",MID(IF(ISNUMBER(SEARCH("E_INVALID_DATE",AW162))," | E_INVALID_DATE: "&amp;SUBSTITUTE(IFERROR(INDEX(nMSG_Text,MATCH("E_INVALID_DATE",nMSG_Code,0)),""),"[input]",""),"")&amp;IF(ISNUMBER(SEARCH("E_REVERSED_BOUNDS",AW162))," | E_REVERSED_BOUNDS: "&amp;SUBSTITUTE(IFERROR(INDEX(nMSG_Text,MATCH("E_REVERSED_BOUNDS",nMSG_Code,0)),""),"[input]",""),"")&amp;IF(ISNUMBER(SEARCH("E_DUPLICATE_ID",AW162))," | E_DUPLICATE_ID: "&amp;SUBSTITUTE(IFERROR(INDEX(nMSG_Text,MATCH("E_DUPLICATE_ID",nMSG_Code,0)),""),"[input]",""),"")&amp;IF(ISNUMBER(SEARCH("E_MISSING_LINK",AW162))," | E_MISSING_LINK: "&amp;SUBSTITUTE(IFERROR(INDEX(nMSG_Text,MATCH("E_MISSING_LINK",nMSG_Code,0)),""),"[input]",""),"")&amp;IF(ISNUMBER(SEARCH("E_MISSING_INPUT",AW162))," | E_MISSING_INPUT: "&amp;SUBSTITUTE(IFERROR(INDEX(nMSG_Text,MATCH("E_MISSING_INPUT",nMSG_Code,0)),""),"[input]",IF(AX162="","an input",AX162)),"")&amp;IF(ISNUMBER(SEARCH("E_INVALID_UNIT",AW162))," | E_INVALID_UNIT: "&amp;SUBSTITUTE(IFERROR(INDEX(nMSG_Text,MATCH("E_INVALID_UNIT",nMSG_Code,0)),""),"[input]",""),"")&amp;IF(ISNUMBER(SEARCH("E_NONPOSITIVE_PARAMETER",AW162))," | E_NONPOSITIVE_PARAMETER: "&amp;SUBSTITUTE(IFERROR(INDEX(nMSG_Text,MATCH("E_NONPOSITIVE_PARAMETER",nMSG_Code,0)),""),"[input]",""),"")&amp;IF(ISNUMBER(SEARCH("E_OUT_OF_RANGE",AW162))," | E_OUT_OF_RANGE: "&amp;SUBSTITUTE(IFERROR(INDEX(nMSG_Text,MATCH("E_OUT_OF_RANGE",nMSG_Code,0)),""),"[input]",""),"")&amp;IF(ISNUMBER(SEARCH("E_APPLICABILITY_UNCONFIRMED",AW162))," | E_APPLICABILITY_UNCONFIRMED: "&amp;SUBSTITUTE(IFERROR(INDEX(nMSG_Text,MATCH("E_APPLICABILITY_UNCONFIRMED",nMSG_Code,0)),""),"[input]",""),"")&amp;IF(ISNUMBER(SEARCH("E_CREATININE_STABILITY_UNCONFIRMED",AW162))," | E_CREATININE_STABILITY_UNCONFIRMED: "&amp;SUBSTITUTE(IFERROR(INDEX(nMSG_Text,MATCH("E_CREATININE_STABILITY_UNCONFIRMED",nMSG_Code,0)),""),"[input]",""),"")&amp;IF(ISNUMBER(SEARCH("E_OVERLAPPING_SEGMENTS",AW162))," | E_OVERLAPPING_SEGMENTS: "&amp;SUBSTITUTE(IFERROR(INDEX(nMSG_Text,MATCH("E_OVERLAPPING_SEGMENTS",nMSG_Code,0)),""),"[input]",""),"")&amp;IF(AY162=1,IF(AH162&gt;0," | W_PARTIAL_BSA: "&amp;SUBSTITUTE(IFERROR(INDEX(nMSG_Text,MATCH("W_PARTIAL_BSA",nMSG_Code,0)),""),"[input]",""),""),""),4,9999))</f>
        <v/>
      </c>
      <c r="T162" s="21" t="str">
        <f t="shared" si="299"/>
        <v/>
      </c>
      <c r="U162" s="21" t="str">
        <f>IF(AB162=1,"",MID(""&amp;" | BSA is the value recorded at each administration; the tool never calculates BSA (CALC-SPEC 1.1, Q10)."&amp;IF(TRIM(E162&amp;"")&lt;&gt;""," | "&amp;E162,"")&amp;IF(AY162=1,IF(AJ162=1,IF(AM162=1," | Method B takes the first and last administrations by date ("&amp;DAY(AN162)&amp;" "&amp;INDEX(nLIST_Months,MONTH(AN162))&amp;" "&amp;YEAR(AN162)&amp;" and "&amp;DAY(AO162)&amp;" "&amp;INDEX(nLIST_Months,MONTH(AO162))&amp;" "&amp;YEAR(AO162)&amp;").",IF(AK162=0," | No administration date is recorded, so Method B takes the first and last administrations in the order entered.","")),""),""),4,9999))</f>
        <v/>
      </c>
      <c r="V162" s="21" t="str">
        <f t="shared" si="300"/>
        <v/>
      </c>
      <c r="W162" s="21" t="str">
        <f t="shared" si="301"/>
        <v/>
      </c>
      <c r="X162" s="21" t="str">
        <f t="shared" si="302"/>
        <v/>
      </c>
      <c r="Y162" s="21" t="str">
        <f t="shared" si="303"/>
        <v/>
      </c>
      <c r="Z162" s="21" t="str">
        <f t="shared" si="304"/>
        <v/>
      </c>
      <c r="AA162" s="21" t="str">
        <f t="shared" si="305"/>
        <v/>
      </c>
      <c r="AB162" s="22">
        <f t="shared" si="306"/>
        <v>1</v>
      </c>
      <c r="AC162" s="21" t="str">
        <f t="shared" si="307"/>
        <v/>
      </c>
      <c r="AD162" s="21" t="str">
        <f t="shared" si="308"/>
        <v/>
      </c>
      <c r="AE162" s="21" t="str">
        <f t="shared" si="309"/>
        <v>||</v>
      </c>
      <c r="AF162" s="22">
        <f>SUMPRODUCT((nADM_SelKey=AE162)*(nADM_Kind&lt;&gt;"INFUSION_SEGMENT"))</f>
        <v>0</v>
      </c>
      <c r="AG162" s="22">
        <f>SUMPRODUCT((nADM_SelKey=AE162)*(nADM_Kind&lt;&gt;"INFUSION_SEGMENT")*nADM_Known)</f>
        <v>0</v>
      </c>
      <c r="AH162" s="22">
        <f>SUMPRODUCT((nADM_SelKey=AE162)*(nADM_Kind&lt;&gt;"INFUSION_SEGMENT")*nADM_BSA_missing)</f>
        <v>0</v>
      </c>
      <c r="AI162" s="21" t="str">
        <f>IF(SUMPRODUCT((nADM_SelKey=AE162)*(nADM_Kind&lt;&gt;"INFUSION_SEGMENT")*ISNUMBER(SEARCH("E_MISSING_INPUT",nADM_Q10_Raw)))&gt;0,"; E_MISSING_INPUT","")&amp;IF(SUMPRODUCT((nADM_SelKey=AE162)*(nADM_Kind&lt;&gt;"INFUSION_SEGMENT")*ISNUMBER(SEARCH("E_INVALID_UNIT",nADM_Q10_Raw)))&gt;0,"; E_INVALID_UNIT","")&amp;IF(SUMPRODUCT((nADM_SelKey=AE162)*(nADM_Kind&lt;&gt;"INFUSION_SEGMENT")*ISNUMBER(SEARCH("E_NONPOSITIVE_PARAMETER",nADM_Q10_Raw)))&gt;0,"; E_NONPOSITIVE_PARAMETER","")</f>
        <v/>
      </c>
      <c r="AJ162" s="22">
        <f t="shared" si="310"/>
        <v>0</v>
      </c>
      <c r="AK162" s="22">
        <f>SUMPRODUCT((nADM_SelKey=AE162)*(nADM_Kind&lt;&gt;"INFUSION_SEGMENT")*nADM_A_Dated)</f>
        <v>0</v>
      </c>
      <c r="AL162" s="21" t="str">
        <f>IF(OR(AJ162=0,AF162=0,AK162&lt;AF162),"",IF(SUMPRODUCT((nADM_SelKey=AE162)*(nADM_Kind&lt;&gt;"INFUSION_SEGMENT")*(nADM_Q10_DateErr="E_INVALID_DATE"))&gt;0,"; E_INVALID_DATE","")&amp;IF(SUMPRODUCT((nADM_SelKey=AE162)*(nADM_Kind&lt;&gt;"INFUSION_SEGMENT")*(nADM_Q10_DateErr="E_REVERSED_BOUNDS"))&gt;0,"; E_REVERSED_BOUNDS","")&amp;IF(SUMPRODUCT((nADM_SelKey=AE162)*(nADM_Kind&lt;&gt;"INFUSION_SEGMENT")*(nADM_Q10_DateErr="E_MISSING_INPUT"))&gt;0,"; E_MISSING_INPUT","")&amp;IF(SUMPRODUCT((nADM_SelKey=AE162)*(nADM_Kind&lt;&gt;"INFUSION_SEGMENT")*(nADM_Q10_DateErr="E_INVALID_UNIT"))&gt;0,"; E_INVALID_UNIT",""))</f>
        <v/>
      </c>
      <c r="AM162" s="22">
        <f>IF(AND(AJ162=1,AF162&gt;0,AK162=AF162,SUMPRODUCT((nADM_SelKey=AE162)*(nADM_Kind&lt;&gt;"INFUSION_SEGMENT")*nADM_Valid)=AF162),1,0)</f>
        <v>0</v>
      </c>
      <c r="AN162" s="28">
        <f>IF(AM162=0,0,1000000000000-SUMPRODUCT(MAX((nADM_SelKey=AE162)*(nADM_Kind&lt;&gt;"INFUSION_SEGMENT")*(1000000000000-nADM_Lo_n))))</f>
        <v>0</v>
      </c>
      <c r="AO162" s="28">
        <f>IF(AM162=0,0,SUMPRODUCT(MAX((nADM_SelKey=AE162)*(nADM_Kind&lt;&gt;"INFUSION_SEGMENT")*nADM_Lo_n)))</f>
        <v>0</v>
      </c>
      <c r="AP162" s="22">
        <f>IF(AF162=0,0,IF(AM162=1,MATCH(1,INDEX((nADM_SelKey=AE162)*(nADM_Kind&lt;&gt;"INFUSION_SEGMENT")*(nADM_Lo_n=AN162),0),0),MATCH(1,INDEX((nADM_SelKey=AE162)*(nADM_Kind&lt;&gt;"INFUSION_SEGMENT"),0),0)))</f>
        <v>0</v>
      </c>
      <c r="AQ162" s="22">
        <f>IF(AF162=0,0,IF(AM162=1,MATCH(1,INDEX((nADM_SelKey=AE162)*(nADM_Kind&lt;&gt;"INFUSION_SEGMENT")*(nADM_Lo_n=AO162),0),0),MATCH(SUMPRODUCT(MAX((nADM_SelKey=AE162)*(nADM_Kind&lt;&gt;"INFUSION_SEGMENT")*nADM_RowN)),nADM_RowN,0)))</f>
        <v>0</v>
      </c>
      <c r="AR162" s="22">
        <f>IF(OR(AM162=0,AP162=0),0,IF(SUMPRODUCT((nADM_SelKey=AE162)*(nADM_Kind&lt;&gt;"INFUSION_SEGMENT")*(nADM_Lo_n=AN162)*(nADM_BSA_key&lt;&gt;INDEX(nADM_BSA_key,AP162)))&gt;0,1,0))</f>
        <v>0</v>
      </c>
      <c r="AS162" s="22">
        <f>IF(OR(AM162=0,AQ162=0),0,IF(SUMPRODUCT((nADM_SelKey=AE162)*(nADM_Kind&lt;&gt;"INFUSION_SEGMENT")*(nADM_Lo_n=AO162)*(nADM_BSA_key&lt;&gt;INDEX(nADM_BSA_key,AQ162)))&gt;0,1,0))</f>
        <v>0</v>
      </c>
      <c r="AT162" s="21" t="str">
        <f>IF(G162="STATED",IF(ISNUMBER(H162),H162,""),IF(AND(AJ162=1,AF162&gt;0),IF(G162="FIRST",IF(AP162=0,"",INDEX(nADM_BSA_m2,AP162)),IF(AQ162=0,"",INDEX(nADM_BSA_m2,AQ162))),""))</f>
        <v/>
      </c>
      <c r="AU162" s="21" t="str">
        <f>IF(AB162=1,"",IF(A162="","; E_MISSING_INPUT","")&amp;IF(F162="","; E_MISSING_INPUT","")&amp;IF(AND(F162&lt;&gt;"",AF162=0),"; E_MISSING_INPUT","")&amp;IF(AI162&lt;&gt;"","; "&amp;MID(AI162,3,999)&amp;"","")&amp;IF(ISNUMBER(SEARCH("E_MISSING_INPUT",AI162)),"; E_MISSING_INPUT","")&amp;IF(AND(AF162&gt;0,AG162=0,AI162=""),"; E_MISSING_INPUT","")&amp;IF(AND(G162&lt;&gt;"",ISNA(MATCH(G162,nLIST_MethodB,0))),"; E_MISSING_INPUT","")&amp;IF(AND(AJ162=1,AK162&gt;0,AK162&lt;AF162),"; E_MISSING_INPUT","")&amp;IF(AL162&lt;&gt;"","; "&amp;MID(AL162,3,999)&amp;"","")&amp;IF(AR162=1,"; E_MISSING_INPUT","")&amp;IF(AS162=1,"; E_MISSING_INPUT","")&amp;IF(AND(AJ162=1,AF162&gt;0,NOT(ISNUMBER(AT162))),"; E_MISSING_INPUT","")&amp;IF(AND(G162="STATED",NOT(ISNUMBER(H162))),"; E_MISSING_INPUT","")&amp;IF(AND(G162="STATED",ISNUMBER(H162),H162&lt;=0),"; E_NONPOSITIVE_PARAMETER",""))</f>
        <v/>
      </c>
      <c r="AV162" s="21" t="str">
        <f>IF(AB162=1,"",IF(A162="",", a Calc_ID","")&amp;IF(F162="",", an Exposure_Episode_ID","")&amp;IF(AND(F162&lt;&gt;"",AF162=0),", at least one administration","")&amp;IF(ISNUMBER(SEARCH("E_MISSING_INPUT",AI162)),", the dose, dose unit and any BSA of every administration of "&amp;F162&amp;" as numbers","")&amp;IF(AND(AF162&gt;0,AG162=0,AI162=""),", the BSA recorded at one or more administrations","")&amp;IF(AND(G162&lt;&gt;"",ISNA(MATCH(G162,nLIST_MethodB,0))),", a Method B choice (FIRST, LAST or STATED)","")&amp;IF(AND(AJ162=1,AK162&gt;0,AK162&lt;AF162),", the date of every administration (Method B by first or last administration)","")&amp;IF(AR162=1,", one BSA for the first administration: administrations share its date with different BSAs","")&amp;IF(AS162=1,", one BSA for the last administration: administrations share its date with different BSAs","")&amp;IF(AND(AJ162=1,AF162&gt;0,NOT(ISNUMBER(AT162))),", the "&amp;LOWER(G162)&amp;" BSA for Method B","")&amp;IF(AND(G162="STATED",NOT(ISNUMBER(H162))),", the stated BSA for Method B",""))</f>
        <v/>
      </c>
      <c r="AW162" s="21" t="str">
        <f t="shared" si="311"/>
        <v/>
      </c>
      <c r="AX162" s="21" t="str">
        <f t="shared" si="312"/>
        <v/>
      </c>
      <c r="AY162" s="22">
        <f t="shared" si="313"/>
        <v>0</v>
      </c>
    </row>
    <row r="163" spans="1:51" x14ac:dyDescent="0.2">
      <c r="A163" s="10"/>
      <c r="B163" s="10"/>
      <c r="C163" s="12"/>
      <c r="D163" s="10"/>
      <c r="E163" s="10"/>
      <c r="F163" s="10"/>
      <c r="G163" s="17"/>
      <c r="H163" s="17"/>
      <c r="I163" s="10"/>
      <c r="J163" s="21" t="str">
        <f t="shared" si="293"/>
        <v/>
      </c>
      <c r="K163" s="21" t="str">
        <f t="shared" si="294"/>
        <v/>
      </c>
      <c r="L163" s="21" t="str">
        <f>IF(AY163=1,SUMPRODUCT((nADM_SelKey=AE163)*(nADM_Kind&lt;&gt;"INFUSION_SEGMENT")*nADM_Dose_per_BSA),"")</f>
        <v/>
      </c>
      <c r="M163" s="21" t="str">
        <f>IF(AY163=1,SUMPRODUCT((nADM_SelKey=AE163)*(nADM_Kind&lt;&gt;"INFUSION_SEGMENT")*nADM_Dose_pos_n),"")</f>
        <v/>
      </c>
      <c r="N163" s="21" t="str">
        <f t="shared" si="295"/>
        <v/>
      </c>
      <c r="O163" s="21" t="str">
        <f>IF(AB163=1,"",SUMPRODUCT((nADM_SelKey=AE163)*(nADM_Kind&lt;&gt;"INFUSION_SEGMENT")*nADM_Known))</f>
        <v/>
      </c>
      <c r="P163" s="21" t="str">
        <f t="shared" si="296"/>
        <v/>
      </c>
      <c r="Q163" s="21" t="str">
        <f t="shared" si="297"/>
        <v/>
      </c>
      <c r="R163" s="21" t="str">
        <f t="shared" si="298"/>
        <v/>
      </c>
      <c r="S163" s="21" t="str">
        <f>IF(AB163=1,"",MID(IF(ISNUMBER(SEARCH("E_INVALID_DATE",AW163))," | E_INVALID_DATE: "&amp;SUBSTITUTE(IFERROR(INDEX(nMSG_Text,MATCH("E_INVALID_DATE",nMSG_Code,0)),""),"[input]",""),"")&amp;IF(ISNUMBER(SEARCH("E_REVERSED_BOUNDS",AW163))," | E_REVERSED_BOUNDS: "&amp;SUBSTITUTE(IFERROR(INDEX(nMSG_Text,MATCH("E_REVERSED_BOUNDS",nMSG_Code,0)),""),"[input]",""),"")&amp;IF(ISNUMBER(SEARCH("E_DUPLICATE_ID",AW163))," | E_DUPLICATE_ID: "&amp;SUBSTITUTE(IFERROR(INDEX(nMSG_Text,MATCH("E_DUPLICATE_ID",nMSG_Code,0)),""),"[input]",""),"")&amp;IF(ISNUMBER(SEARCH("E_MISSING_LINK",AW163))," | E_MISSING_LINK: "&amp;SUBSTITUTE(IFERROR(INDEX(nMSG_Text,MATCH("E_MISSING_LINK",nMSG_Code,0)),""),"[input]",""),"")&amp;IF(ISNUMBER(SEARCH("E_MISSING_INPUT",AW163))," | E_MISSING_INPUT: "&amp;SUBSTITUTE(IFERROR(INDEX(nMSG_Text,MATCH("E_MISSING_INPUT",nMSG_Code,0)),""),"[input]",IF(AX163="","an input",AX163)),"")&amp;IF(ISNUMBER(SEARCH("E_INVALID_UNIT",AW163))," | E_INVALID_UNIT: "&amp;SUBSTITUTE(IFERROR(INDEX(nMSG_Text,MATCH("E_INVALID_UNIT",nMSG_Code,0)),""),"[input]",""),"")&amp;IF(ISNUMBER(SEARCH("E_NONPOSITIVE_PARAMETER",AW163))," | E_NONPOSITIVE_PARAMETER: "&amp;SUBSTITUTE(IFERROR(INDEX(nMSG_Text,MATCH("E_NONPOSITIVE_PARAMETER",nMSG_Code,0)),""),"[input]",""),"")&amp;IF(ISNUMBER(SEARCH("E_OUT_OF_RANGE",AW163))," | E_OUT_OF_RANGE: "&amp;SUBSTITUTE(IFERROR(INDEX(nMSG_Text,MATCH("E_OUT_OF_RANGE",nMSG_Code,0)),""),"[input]",""),"")&amp;IF(ISNUMBER(SEARCH("E_APPLICABILITY_UNCONFIRMED",AW163))," | E_APPLICABILITY_UNCONFIRMED: "&amp;SUBSTITUTE(IFERROR(INDEX(nMSG_Text,MATCH("E_APPLICABILITY_UNCONFIRMED",nMSG_Code,0)),""),"[input]",""),"")&amp;IF(ISNUMBER(SEARCH("E_CREATININE_STABILITY_UNCONFIRMED",AW163))," | E_CREATININE_STABILITY_UNCONFIRMED: "&amp;SUBSTITUTE(IFERROR(INDEX(nMSG_Text,MATCH("E_CREATININE_STABILITY_UNCONFIRMED",nMSG_Code,0)),""),"[input]",""),"")&amp;IF(ISNUMBER(SEARCH("E_OVERLAPPING_SEGMENTS",AW163))," | E_OVERLAPPING_SEGMENTS: "&amp;SUBSTITUTE(IFERROR(INDEX(nMSG_Text,MATCH("E_OVERLAPPING_SEGMENTS",nMSG_Code,0)),""),"[input]",""),"")&amp;IF(AY163=1,IF(AH163&gt;0," | W_PARTIAL_BSA: "&amp;SUBSTITUTE(IFERROR(INDEX(nMSG_Text,MATCH("W_PARTIAL_BSA",nMSG_Code,0)),""),"[input]",""),""),""),4,9999))</f>
        <v/>
      </c>
      <c r="T163" s="21" t="str">
        <f t="shared" si="299"/>
        <v/>
      </c>
      <c r="U163" s="21" t="str">
        <f>IF(AB163=1,"",MID(""&amp;" | BSA is the value recorded at each administration; the tool never calculates BSA (CALC-SPEC 1.1, Q10)."&amp;IF(TRIM(E163&amp;"")&lt;&gt;""," | "&amp;E163,"")&amp;IF(AY163=1,IF(AJ163=1,IF(AM163=1," | Method B takes the first and last administrations by date ("&amp;DAY(AN163)&amp;" "&amp;INDEX(nLIST_Months,MONTH(AN163))&amp;" "&amp;YEAR(AN163)&amp;" and "&amp;DAY(AO163)&amp;" "&amp;INDEX(nLIST_Months,MONTH(AO163))&amp;" "&amp;YEAR(AO163)&amp;").",IF(AK163=0," | No administration date is recorded, so Method B takes the first and last administrations in the order entered.","")),""),""),4,9999))</f>
        <v/>
      </c>
      <c r="V163" s="21" t="str">
        <f t="shared" si="300"/>
        <v/>
      </c>
      <c r="W163" s="21" t="str">
        <f t="shared" si="301"/>
        <v/>
      </c>
      <c r="X163" s="21" t="str">
        <f t="shared" si="302"/>
        <v/>
      </c>
      <c r="Y163" s="21" t="str">
        <f t="shared" si="303"/>
        <v/>
      </c>
      <c r="Z163" s="21" t="str">
        <f t="shared" si="304"/>
        <v/>
      </c>
      <c r="AA163" s="21" t="str">
        <f t="shared" si="305"/>
        <v/>
      </c>
      <c r="AB163" s="22">
        <f t="shared" si="306"/>
        <v>1</v>
      </c>
      <c r="AC163" s="21" t="str">
        <f t="shared" si="307"/>
        <v/>
      </c>
      <c r="AD163" s="21" t="str">
        <f t="shared" si="308"/>
        <v/>
      </c>
      <c r="AE163" s="21" t="str">
        <f t="shared" si="309"/>
        <v>||</v>
      </c>
      <c r="AF163" s="22">
        <f>SUMPRODUCT((nADM_SelKey=AE163)*(nADM_Kind&lt;&gt;"INFUSION_SEGMENT"))</f>
        <v>0</v>
      </c>
      <c r="AG163" s="22">
        <f>SUMPRODUCT((nADM_SelKey=AE163)*(nADM_Kind&lt;&gt;"INFUSION_SEGMENT")*nADM_Known)</f>
        <v>0</v>
      </c>
      <c r="AH163" s="22">
        <f>SUMPRODUCT((nADM_SelKey=AE163)*(nADM_Kind&lt;&gt;"INFUSION_SEGMENT")*nADM_BSA_missing)</f>
        <v>0</v>
      </c>
      <c r="AI163" s="21" t="str">
        <f>IF(SUMPRODUCT((nADM_SelKey=AE163)*(nADM_Kind&lt;&gt;"INFUSION_SEGMENT")*ISNUMBER(SEARCH("E_MISSING_INPUT",nADM_Q10_Raw)))&gt;0,"; E_MISSING_INPUT","")&amp;IF(SUMPRODUCT((nADM_SelKey=AE163)*(nADM_Kind&lt;&gt;"INFUSION_SEGMENT")*ISNUMBER(SEARCH("E_INVALID_UNIT",nADM_Q10_Raw)))&gt;0,"; E_INVALID_UNIT","")&amp;IF(SUMPRODUCT((nADM_SelKey=AE163)*(nADM_Kind&lt;&gt;"INFUSION_SEGMENT")*ISNUMBER(SEARCH("E_NONPOSITIVE_PARAMETER",nADM_Q10_Raw)))&gt;0,"; E_NONPOSITIVE_PARAMETER","")</f>
        <v/>
      </c>
      <c r="AJ163" s="22">
        <f t="shared" si="310"/>
        <v>0</v>
      </c>
      <c r="AK163" s="22">
        <f>SUMPRODUCT((nADM_SelKey=AE163)*(nADM_Kind&lt;&gt;"INFUSION_SEGMENT")*nADM_A_Dated)</f>
        <v>0</v>
      </c>
      <c r="AL163" s="21" t="str">
        <f>IF(OR(AJ163=0,AF163=0,AK163&lt;AF163),"",IF(SUMPRODUCT((nADM_SelKey=AE163)*(nADM_Kind&lt;&gt;"INFUSION_SEGMENT")*(nADM_Q10_DateErr="E_INVALID_DATE"))&gt;0,"; E_INVALID_DATE","")&amp;IF(SUMPRODUCT((nADM_SelKey=AE163)*(nADM_Kind&lt;&gt;"INFUSION_SEGMENT")*(nADM_Q10_DateErr="E_REVERSED_BOUNDS"))&gt;0,"; E_REVERSED_BOUNDS","")&amp;IF(SUMPRODUCT((nADM_SelKey=AE163)*(nADM_Kind&lt;&gt;"INFUSION_SEGMENT")*(nADM_Q10_DateErr="E_MISSING_INPUT"))&gt;0,"; E_MISSING_INPUT","")&amp;IF(SUMPRODUCT((nADM_SelKey=AE163)*(nADM_Kind&lt;&gt;"INFUSION_SEGMENT")*(nADM_Q10_DateErr="E_INVALID_UNIT"))&gt;0,"; E_INVALID_UNIT",""))</f>
        <v/>
      </c>
      <c r="AM163" s="22">
        <f>IF(AND(AJ163=1,AF163&gt;0,AK163=AF163,SUMPRODUCT((nADM_SelKey=AE163)*(nADM_Kind&lt;&gt;"INFUSION_SEGMENT")*nADM_Valid)=AF163),1,0)</f>
        <v>0</v>
      </c>
      <c r="AN163" s="28">
        <f>IF(AM163=0,0,1000000000000-SUMPRODUCT(MAX((nADM_SelKey=AE163)*(nADM_Kind&lt;&gt;"INFUSION_SEGMENT")*(1000000000000-nADM_Lo_n))))</f>
        <v>0</v>
      </c>
      <c r="AO163" s="28">
        <f>IF(AM163=0,0,SUMPRODUCT(MAX((nADM_SelKey=AE163)*(nADM_Kind&lt;&gt;"INFUSION_SEGMENT")*nADM_Lo_n)))</f>
        <v>0</v>
      </c>
      <c r="AP163" s="22">
        <f>IF(AF163=0,0,IF(AM163=1,MATCH(1,INDEX((nADM_SelKey=AE163)*(nADM_Kind&lt;&gt;"INFUSION_SEGMENT")*(nADM_Lo_n=AN163),0),0),MATCH(1,INDEX((nADM_SelKey=AE163)*(nADM_Kind&lt;&gt;"INFUSION_SEGMENT"),0),0)))</f>
        <v>0</v>
      </c>
      <c r="AQ163" s="22">
        <f>IF(AF163=0,0,IF(AM163=1,MATCH(1,INDEX((nADM_SelKey=AE163)*(nADM_Kind&lt;&gt;"INFUSION_SEGMENT")*(nADM_Lo_n=AO163),0),0),MATCH(SUMPRODUCT(MAX((nADM_SelKey=AE163)*(nADM_Kind&lt;&gt;"INFUSION_SEGMENT")*nADM_RowN)),nADM_RowN,0)))</f>
        <v>0</v>
      </c>
      <c r="AR163" s="22">
        <f>IF(OR(AM163=0,AP163=0),0,IF(SUMPRODUCT((nADM_SelKey=AE163)*(nADM_Kind&lt;&gt;"INFUSION_SEGMENT")*(nADM_Lo_n=AN163)*(nADM_BSA_key&lt;&gt;INDEX(nADM_BSA_key,AP163)))&gt;0,1,0))</f>
        <v>0</v>
      </c>
      <c r="AS163" s="22">
        <f>IF(OR(AM163=0,AQ163=0),0,IF(SUMPRODUCT((nADM_SelKey=AE163)*(nADM_Kind&lt;&gt;"INFUSION_SEGMENT")*(nADM_Lo_n=AO163)*(nADM_BSA_key&lt;&gt;INDEX(nADM_BSA_key,AQ163)))&gt;0,1,0))</f>
        <v>0</v>
      </c>
      <c r="AT163" s="21" t="str">
        <f>IF(G163="STATED",IF(ISNUMBER(H163),H163,""),IF(AND(AJ163=1,AF163&gt;0),IF(G163="FIRST",IF(AP163=0,"",INDEX(nADM_BSA_m2,AP163)),IF(AQ163=0,"",INDEX(nADM_BSA_m2,AQ163))),""))</f>
        <v/>
      </c>
      <c r="AU163" s="21" t="str">
        <f>IF(AB163=1,"",IF(A163="","; E_MISSING_INPUT","")&amp;IF(F163="","; E_MISSING_INPUT","")&amp;IF(AND(F163&lt;&gt;"",AF163=0),"; E_MISSING_INPUT","")&amp;IF(AI163&lt;&gt;"","; "&amp;MID(AI163,3,999)&amp;"","")&amp;IF(ISNUMBER(SEARCH("E_MISSING_INPUT",AI163)),"; E_MISSING_INPUT","")&amp;IF(AND(AF163&gt;0,AG163=0,AI163=""),"; E_MISSING_INPUT","")&amp;IF(AND(G163&lt;&gt;"",ISNA(MATCH(G163,nLIST_MethodB,0))),"; E_MISSING_INPUT","")&amp;IF(AND(AJ163=1,AK163&gt;0,AK163&lt;AF163),"; E_MISSING_INPUT","")&amp;IF(AL163&lt;&gt;"","; "&amp;MID(AL163,3,999)&amp;"","")&amp;IF(AR163=1,"; E_MISSING_INPUT","")&amp;IF(AS163=1,"; E_MISSING_INPUT","")&amp;IF(AND(AJ163=1,AF163&gt;0,NOT(ISNUMBER(AT163))),"; E_MISSING_INPUT","")&amp;IF(AND(G163="STATED",NOT(ISNUMBER(H163))),"; E_MISSING_INPUT","")&amp;IF(AND(G163="STATED",ISNUMBER(H163),H163&lt;=0),"; E_NONPOSITIVE_PARAMETER",""))</f>
        <v/>
      </c>
      <c r="AV163" s="21" t="str">
        <f>IF(AB163=1,"",IF(A163="",", a Calc_ID","")&amp;IF(F163="",", an Exposure_Episode_ID","")&amp;IF(AND(F163&lt;&gt;"",AF163=0),", at least one administration","")&amp;IF(ISNUMBER(SEARCH("E_MISSING_INPUT",AI163)),", the dose, dose unit and any BSA of every administration of "&amp;F163&amp;" as numbers","")&amp;IF(AND(AF163&gt;0,AG163=0,AI163=""),", the BSA recorded at one or more administrations","")&amp;IF(AND(G163&lt;&gt;"",ISNA(MATCH(G163,nLIST_MethodB,0))),", a Method B choice (FIRST, LAST or STATED)","")&amp;IF(AND(AJ163=1,AK163&gt;0,AK163&lt;AF163),", the date of every administration (Method B by first or last administration)","")&amp;IF(AR163=1,", one BSA for the first administration: administrations share its date with different BSAs","")&amp;IF(AS163=1,", one BSA for the last administration: administrations share its date with different BSAs","")&amp;IF(AND(AJ163=1,AF163&gt;0,NOT(ISNUMBER(AT163))),", the "&amp;LOWER(G163)&amp;" BSA for Method B","")&amp;IF(AND(G163="STATED",NOT(ISNUMBER(H163))),", the stated BSA for Method B",""))</f>
        <v/>
      </c>
      <c r="AW163" s="21" t="str">
        <f t="shared" si="311"/>
        <v/>
      </c>
      <c r="AX163" s="21" t="str">
        <f t="shared" si="312"/>
        <v/>
      </c>
      <c r="AY163" s="22">
        <f t="shared" si="313"/>
        <v>0</v>
      </c>
    </row>
    <row r="164" spans="1:51" x14ac:dyDescent="0.2">
      <c r="A164" s="10"/>
      <c r="B164" s="10"/>
      <c r="C164" s="12"/>
      <c r="D164" s="10"/>
      <c r="E164" s="10"/>
      <c r="F164" s="10"/>
      <c r="G164" s="17"/>
      <c r="H164" s="17"/>
      <c r="I164" s="10"/>
      <c r="J164" s="21" t="str">
        <f t="shared" si="293"/>
        <v/>
      </c>
      <c r="K164" s="21" t="str">
        <f t="shared" si="294"/>
        <v/>
      </c>
      <c r="L164" s="21" t="str">
        <f>IF(AY164=1,SUMPRODUCT((nADM_SelKey=AE164)*(nADM_Kind&lt;&gt;"INFUSION_SEGMENT")*nADM_Dose_per_BSA),"")</f>
        <v/>
      </c>
      <c r="M164" s="21" t="str">
        <f>IF(AY164=1,SUMPRODUCT((nADM_SelKey=AE164)*(nADM_Kind&lt;&gt;"INFUSION_SEGMENT")*nADM_Dose_pos_n),"")</f>
        <v/>
      </c>
      <c r="N164" s="21" t="str">
        <f t="shared" si="295"/>
        <v/>
      </c>
      <c r="O164" s="21" t="str">
        <f>IF(AB164=1,"",SUMPRODUCT((nADM_SelKey=AE164)*(nADM_Kind&lt;&gt;"INFUSION_SEGMENT")*nADM_Known))</f>
        <v/>
      </c>
      <c r="P164" s="21" t="str">
        <f t="shared" si="296"/>
        <v/>
      </c>
      <c r="Q164" s="21" t="str">
        <f t="shared" si="297"/>
        <v/>
      </c>
      <c r="R164" s="21" t="str">
        <f t="shared" si="298"/>
        <v/>
      </c>
      <c r="S164" s="21" t="str">
        <f>IF(AB164=1,"",MID(IF(ISNUMBER(SEARCH("E_INVALID_DATE",AW164))," | E_INVALID_DATE: "&amp;SUBSTITUTE(IFERROR(INDEX(nMSG_Text,MATCH("E_INVALID_DATE",nMSG_Code,0)),""),"[input]",""),"")&amp;IF(ISNUMBER(SEARCH("E_REVERSED_BOUNDS",AW164))," | E_REVERSED_BOUNDS: "&amp;SUBSTITUTE(IFERROR(INDEX(nMSG_Text,MATCH("E_REVERSED_BOUNDS",nMSG_Code,0)),""),"[input]",""),"")&amp;IF(ISNUMBER(SEARCH("E_DUPLICATE_ID",AW164))," | E_DUPLICATE_ID: "&amp;SUBSTITUTE(IFERROR(INDEX(nMSG_Text,MATCH("E_DUPLICATE_ID",nMSG_Code,0)),""),"[input]",""),"")&amp;IF(ISNUMBER(SEARCH("E_MISSING_LINK",AW164))," | E_MISSING_LINK: "&amp;SUBSTITUTE(IFERROR(INDEX(nMSG_Text,MATCH("E_MISSING_LINK",nMSG_Code,0)),""),"[input]",""),"")&amp;IF(ISNUMBER(SEARCH("E_MISSING_INPUT",AW164))," | E_MISSING_INPUT: "&amp;SUBSTITUTE(IFERROR(INDEX(nMSG_Text,MATCH("E_MISSING_INPUT",nMSG_Code,0)),""),"[input]",IF(AX164="","an input",AX164)),"")&amp;IF(ISNUMBER(SEARCH("E_INVALID_UNIT",AW164))," | E_INVALID_UNIT: "&amp;SUBSTITUTE(IFERROR(INDEX(nMSG_Text,MATCH("E_INVALID_UNIT",nMSG_Code,0)),""),"[input]",""),"")&amp;IF(ISNUMBER(SEARCH("E_NONPOSITIVE_PARAMETER",AW164))," | E_NONPOSITIVE_PARAMETER: "&amp;SUBSTITUTE(IFERROR(INDEX(nMSG_Text,MATCH("E_NONPOSITIVE_PARAMETER",nMSG_Code,0)),""),"[input]",""),"")&amp;IF(ISNUMBER(SEARCH("E_OUT_OF_RANGE",AW164))," | E_OUT_OF_RANGE: "&amp;SUBSTITUTE(IFERROR(INDEX(nMSG_Text,MATCH("E_OUT_OF_RANGE",nMSG_Code,0)),""),"[input]",""),"")&amp;IF(ISNUMBER(SEARCH("E_APPLICABILITY_UNCONFIRMED",AW164))," | E_APPLICABILITY_UNCONFIRMED: "&amp;SUBSTITUTE(IFERROR(INDEX(nMSG_Text,MATCH("E_APPLICABILITY_UNCONFIRMED",nMSG_Code,0)),""),"[input]",""),"")&amp;IF(ISNUMBER(SEARCH("E_CREATININE_STABILITY_UNCONFIRMED",AW164))," | E_CREATININE_STABILITY_UNCONFIRMED: "&amp;SUBSTITUTE(IFERROR(INDEX(nMSG_Text,MATCH("E_CREATININE_STABILITY_UNCONFIRMED",nMSG_Code,0)),""),"[input]",""),"")&amp;IF(ISNUMBER(SEARCH("E_OVERLAPPING_SEGMENTS",AW164))," | E_OVERLAPPING_SEGMENTS: "&amp;SUBSTITUTE(IFERROR(INDEX(nMSG_Text,MATCH("E_OVERLAPPING_SEGMENTS",nMSG_Code,0)),""),"[input]",""),"")&amp;IF(AY164=1,IF(AH164&gt;0," | W_PARTIAL_BSA: "&amp;SUBSTITUTE(IFERROR(INDEX(nMSG_Text,MATCH("W_PARTIAL_BSA",nMSG_Code,0)),""),"[input]",""),""),""),4,9999))</f>
        <v/>
      </c>
      <c r="T164" s="21" t="str">
        <f t="shared" si="299"/>
        <v/>
      </c>
      <c r="U164" s="21" t="str">
        <f>IF(AB164=1,"",MID(""&amp;" | BSA is the value recorded at each administration; the tool never calculates BSA (CALC-SPEC 1.1, Q10)."&amp;IF(TRIM(E164&amp;"")&lt;&gt;""," | "&amp;E164,"")&amp;IF(AY164=1,IF(AJ164=1,IF(AM164=1," | Method B takes the first and last administrations by date ("&amp;DAY(AN164)&amp;" "&amp;INDEX(nLIST_Months,MONTH(AN164))&amp;" "&amp;YEAR(AN164)&amp;" and "&amp;DAY(AO164)&amp;" "&amp;INDEX(nLIST_Months,MONTH(AO164))&amp;" "&amp;YEAR(AO164)&amp;").",IF(AK164=0," | No administration date is recorded, so Method B takes the first and last administrations in the order entered.","")),""),""),4,9999))</f>
        <v/>
      </c>
      <c r="V164" s="21" t="str">
        <f t="shared" si="300"/>
        <v/>
      </c>
      <c r="W164" s="21" t="str">
        <f t="shared" si="301"/>
        <v/>
      </c>
      <c r="X164" s="21" t="str">
        <f t="shared" si="302"/>
        <v/>
      </c>
      <c r="Y164" s="21" t="str">
        <f t="shared" si="303"/>
        <v/>
      </c>
      <c r="Z164" s="21" t="str">
        <f t="shared" si="304"/>
        <v/>
      </c>
      <c r="AA164" s="21" t="str">
        <f t="shared" si="305"/>
        <v/>
      </c>
      <c r="AB164" s="22">
        <f t="shared" si="306"/>
        <v>1</v>
      </c>
      <c r="AC164" s="21" t="str">
        <f t="shared" si="307"/>
        <v/>
      </c>
      <c r="AD164" s="21" t="str">
        <f t="shared" si="308"/>
        <v/>
      </c>
      <c r="AE164" s="21" t="str">
        <f t="shared" si="309"/>
        <v>||</v>
      </c>
      <c r="AF164" s="22">
        <f>SUMPRODUCT((nADM_SelKey=AE164)*(nADM_Kind&lt;&gt;"INFUSION_SEGMENT"))</f>
        <v>0</v>
      </c>
      <c r="AG164" s="22">
        <f>SUMPRODUCT((nADM_SelKey=AE164)*(nADM_Kind&lt;&gt;"INFUSION_SEGMENT")*nADM_Known)</f>
        <v>0</v>
      </c>
      <c r="AH164" s="22">
        <f>SUMPRODUCT((nADM_SelKey=AE164)*(nADM_Kind&lt;&gt;"INFUSION_SEGMENT")*nADM_BSA_missing)</f>
        <v>0</v>
      </c>
      <c r="AI164" s="21" t="str">
        <f>IF(SUMPRODUCT((nADM_SelKey=AE164)*(nADM_Kind&lt;&gt;"INFUSION_SEGMENT")*ISNUMBER(SEARCH("E_MISSING_INPUT",nADM_Q10_Raw)))&gt;0,"; E_MISSING_INPUT","")&amp;IF(SUMPRODUCT((nADM_SelKey=AE164)*(nADM_Kind&lt;&gt;"INFUSION_SEGMENT")*ISNUMBER(SEARCH("E_INVALID_UNIT",nADM_Q10_Raw)))&gt;0,"; E_INVALID_UNIT","")&amp;IF(SUMPRODUCT((nADM_SelKey=AE164)*(nADM_Kind&lt;&gt;"INFUSION_SEGMENT")*ISNUMBER(SEARCH("E_NONPOSITIVE_PARAMETER",nADM_Q10_Raw)))&gt;0,"; E_NONPOSITIVE_PARAMETER","")</f>
        <v/>
      </c>
      <c r="AJ164" s="22">
        <f t="shared" si="310"/>
        <v>0</v>
      </c>
      <c r="AK164" s="22">
        <f>SUMPRODUCT((nADM_SelKey=AE164)*(nADM_Kind&lt;&gt;"INFUSION_SEGMENT")*nADM_A_Dated)</f>
        <v>0</v>
      </c>
      <c r="AL164" s="21" t="str">
        <f>IF(OR(AJ164=0,AF164=0,AK164&lt;AF164),"",IF(SUMPRODUCT((nADM_SelKey=AE164)*(nADM_Kind&lt;&gt;"INFUSION_SEGMENT")*(nADM_Q10_DateErr="E_INVALID_DATE"))&gt;0,"; E_INVALID_DATE","")&amp;IF(SUMPRODUCT((nADM_SelKey=AE164)*(nADM_Kind&lt;&gt;"INFUSION_SEGMENT")*(nADM_Q10_DateErr="E_REVERSED_BOUNDS"))&gt;0,"; E_REVERSED_BOUNDS","")&amp;IF(SUMPRODUCT((nADM_SelKey=AE164)*(nADM_Kind&lt;&gt;"INFUSION_SEGMENT")*(nADM_Q10_DateErr="E_MISSING_INPUT"))&gt;0,"; E_MISSING_INPUT","")&amp;IF(SUMPRODUCT((nADM_SelKey=AE164)*(nADM_Kind&lt;&gt;"INFUSION_SEGMENT")*(nADM_Q10_DateErr="E_INVALID_UNIT"))&gt;0,"; E_INVALID_UNIT",""))</f>
        <v/>
      </c>
      <c r="AM164" s="22">
        <f>IF(AND(AJ164=1,AF164&gt;0,AK164=AF164,SUMPRODUCT((nADM_SelKey=AE164)*(nADM_Kind&lt;&gt;"INFUSION_SEGMENT")*nADM_Valid)=AF164),1,0)</f>
        <v>0</v>
      </c>
      <c r="AN164" s="28">
        <f>IF(AM164=0,0,1000000000000-SUMPRODUCT(MAX((nADM_SelKey=AE164)*(nADM_Kind&lt;&gt;"INFUSION_SEGMENT")*(1000000000000-nADM_Lo_n))))</f>
        <v>0</v>
      </c>
      <c r="AO164" s="28">
        <f>IF(AM164=0,0,SUMPRODUCT(MAX((nADM_SelKey=AE164)*(nADM_Kind&lt;&gt;"INFUSION_SEGMENT")*nADM_Lo_n)))</f>
        <v>0</v>
      </c>
      <c r="AP164" s="22">
        <f>IF(AF164=0,0,IF(AM164=1,MATCH(1,INDEX((nADM_SelKey=AE164)*(nADM_Kind&lt;&gt;"INFUSION_SEGMENT")*(nADM_Lo_n=AN164),0),0),MATCH(1,INDEX((nADM_SelKey=AE164)*(nADM_Kind&lt;&gt;"INFUSION_SEGMENT"),0),0)))</f>
        <v>0</v>
      </c>
      <c r="AQ164" s="22">
        <f>IF(AF164=0,0,IF(AM164=1,MATCH(1,INDEX((nADM_SelKey=AE164)*(nADM_Kind&lt;&gt;"INFUSION_SEGMENT")*(nADM_Lo_n=AO164),0),0),MATCH(SUMPRODUCT(MAX((nADM_SelKey=AE164)*(nADM_Kind&lt;&gt;"INFUSION_SEGMENT")*nADM_RowN)),nADM_RowN,0)))</f>
        <v>0</v>
      </c>
      <c r="AR164" s="22">
        <f>IF(OR(AM164=0,AP164=0),0,IF(SUMPRODUCT((nADM_SelKey=AE164)*(nADM_Kind&lt;&gt;"INFUSION_SEGMENT")*(nADM_Lo_n=AN164)*(nADM_BSA_key&lt;&gt;INDEX(nADM_BSA_key,AP164)))&gt;0,1,0))</f>
        <v>0</v>
      </c>
      <c r="AS164" s="22">
        <f>IF(OR(AM164=0,AQ164=0),0,IF(SUMPRODUCT((nADM_SelKey=AE164)*(nADM_Kind&lt;&gt;"INFUSION_SEGMENT")*(nADM_Lo_n=AO164)*(nADM_BSA_key&lt;&gt;INDEX(nADM_BSA_key,AQ164)))&gt;0,1,0))</f>
        <v>0</v>
      </c>
      <c r="AT164" s="21" t="str">
        <f>IF(G164="STATED",IF(ISNUMBER(H164),H164,""),IF(AND(AJ164=1,AF164&gt;0),IF(G164="FIRST",IF(AP164=0,"",INDEX(nADM_BSA_m2,AP164)),IF(AQ164=0,"",INDEX(nADM_BSA_m2,AQ164))),""))</f>
        <v/>
      </c>
      <c r="AU164" s="21" t="str">
        <f>IF(AB164=1,"",IF(A164="","; E_MISSING_INPUT","")&amp;IF(F164="","; E_MISSING_INPUT","")&amp;IF(AND(F164&lt;&gt;"",AF164=0),"; E_MISSING_INPUT","")&amp;IF(AI164&lt;&gt;"","; "&amp;MID(AI164,3,999)&amp;"","")&amp;IF(ISNUMBER(SEARCH("E_MISSING_INPUT",AI164)),"; E_MISSING_INPUT","")&amp;IF(AND(AF164&gt;0,AG164=0,AI164=""),"; E_MISSING_INPUT","")&amp;IF(AND(G164&lt;&gt;"",ISNA(MATCH(G164,nLIST_MethodB,0))),"; E_MISSING_INPUT","")&amp;IF(AND(AJ164=1,AK164&gt;0,AK164&lt;AF164),"; E_MISSING_INPUT","")&amp;IF(AL164&lt;&gt;"","; "&amp;MID(AL164,3,999)&amp;"","")&amp;IF(AR164=1,"; E_MISSING_INPUT","")&amp;IF(AS164=1,"; E_MISSING_INPUT","")&amp;IF(AND(AJ164=1,AF164&gt;0,NOT(ISNUMBER(AT164))),"; E_MISSING_INPUT","")&amp;IF(AND(G164="STATED",NOT(ISNUMBER(H164))),"; E_MISSING_INPUT","")&amp;IF(AND(G164="STATED",ISNUMBER(H164),H164&lt;=0),"; E_NONPOSITIVE_PARAMETER",""))</f>
        <v/>
      </c>
      <c r="AV164" s="21" t="str">
        <f>IF(AB164=1,"",IF(A164="",", a Calc_ID","")&amp;IF(F164="",", an Exposure_Episode_ID","")&amp;IF(AND(F164&lt;&gt;"",AF164=0),", at least one administration","")&amp;IF(ISNUMBER(SEARCH("E_MISSING_INPUT",AI164)),", the dose, dose unit and any BSA of every administration of "&amp;F164&amp;" as numbers","")&amp;IF(AND(AF164&gt;0,AG164=0,AI164=""),", the BSA recorded at one or more administrations","")&amp;IF(AND(G164&lt;&gt;"",ISNA(MATCH(G164,nLIST_MethodB,0))),", a Method B choice (FIRST, LAST or STATED)","")&amp;IF(AND(AJ164=1,AK164&gt;0,AK164&lt;AF164),", the date of every administration (Method B by first or last administration)","")&amp;IF(AR164=1,", one BSA for the first administration: administrations share its date with different BSAs","")&amp;IF(AS164=1,", one BSA for the last administration: administrations share its date with different BSAs","")&amp;IF(AND(AJ164=1,AF164&gt;0,NOT(ISNUMBER(AT164))),", the "&amp;LOWER(G164)&amp;" BSA for Method B","")&amp;IF(AND(G164="STATED",NOT(ISNUMBER(H164))),", the stated BSA for Method B",""))</f>
        <v/>
      </c>
      <c r="AW164" s="21" t="str">
        <f t="shared" si="311"/>
        <v/>
      </c>
      <c r="AX164" s="21" t="str">
        <f t="shared" si="312"/>
        <v/>
      </c>
      <c r="AY164" s="22">
        <f t="shared" si="313"/>
        <v>0</v>
      </c>
    </row>
    <row r="165" spans="1:51" x14ac:dyDescent="0.2">
      <c r="A165" s="10"/>
      <c r="B165" s="10"/>
      <c r="C165" s="12"/>
      <c r="D165" s="10"/>
      <c r="E165" s="10"/>
      <c r="F165" s="10"/>
      <c r="G165" s="17"/>
      <c r="H165" s="17"/>
      <c r="I165" s="10"/>
      <c r="J165" s="21" t="str">
        <f t="shared" si="293"/>
        <v/>
      </c>
      <c r="K165" s="21" t="str">
        <f t="shared" si="294"/>
        <v/>
      </c>
      <c r="L165" s="21" t="str">
        <f>IF(AY165=1,SUMPRODUCT((nADM_SelKey=AE165)*(nADM_Kind&lt;&gt;"INFUSION_SEGMENT")*nADM_Dose_per_BSA),"")</f>
        <v/>
      </c>
      <c r="M165" s="21" t="str">
        <f>IF(AY165=1,SUMPRODUCT((nADM_SelKey=AE165)*(nADM_Kind&lt;&gt;"INFUSION_SEGMENT")*nADM_Dose_pos_n),"")</f>
        <v/>
      </c>
      <c r="N165" s="21" t="str">
        <f t="shared" si="295"/>
        <v/>
      </c>
      <c r="O165" s="21" t="str">
        <f>IF(AB165=1,"",SUMPRODUCT((nADM_SelKey=AE165)*(nADM_Kind&lt;&gt;"INFUSION_SEGMENT")*nADM_Known))</f>
        <v/>
      </c>
      <c r="P165" s="21" t="str">
        <f t="shared" si="296"/>
        <v/>
      </c>
      <c r="Q165" s="21" t="str">
        <f t="shared" si="297"/>
        <v/>
      </c>
      <c r="R165" s="21" t="str">
        <f t="shared" si="298"/>
        <v/>
      </c>
      <c r="S165" s="21" t="str">
        <f>IF(AB165=1,"",MID(IF(ISNUMBER(SEARCH("E_INVALID_DATE",AW165))," | E_INVALID_DATE: "&amp;SUBSTITUTE(IFERROR(INDEX(nMSG_Text,MATCH("E_INVALID_DATE",nMSG_Code,0)),""),"[input]",""),"")&amp;IF(ISNUMBER(SEARCH("E_REVERSED_BOUNDS",AW165))," | E_REVERSED_BOUNDS: "&amp;SUBSTITUTE(IFERROR(INDEX(nMSG_Text,MATCH("E_REVERSED_BOUNDS",nMSG_Code,0)),""),"[input]",""),"")&amp;IF(ISNUMBER(SEARCH("E_DUPLICATE_ID",AW165))," | E_DUPLICATE_ID: "&amp;SUBSTITUTE(IFERROR(INDEX(nMSG_Text,MATCH("E_DUPLICATE_ID",nMSG_Code,0)),""),"[input]",""),"")&amp;IF(ISNUMBER(SEARCH("E_MISSING_LINK",AW165))," | E_MISSING_LINK: "&amp;SUBSTITUTE(IFERROR(INDEX(nMSG_Text,MATCH("E_MISSING_LINK",nMSG_Code,0)),""),"[input]",""),"")&amp;IF(ISNUMBER(SEARCH("E_MISSING_INPUT",AW165))," | E_MISSING_INPUT: "&amp;SUBSTITUTE(IFERROR(INDEX(nMSG_Text,MATCH("E_MISSING_INPUT",nMSG_Code,0)),""),"[input]",IF(AX165="","an input",AX165)),"")&amp;IF(ISNUMBER(SEARCH("E_INVALID_UNIT",AW165))," | E_INVALID_UNIT: "&amp;SUBSTITUTE(IFERROR(INDEX(nMSG_Text,MATCH("E_INVALID_UNIT",nMSG_Code,0)),""),"[input]",""),"")&amp;IF(ISNUMBER(SEARCH("E_NONPOSITIVE_PARAMETER",AW165))," | E_NONPOSITIVE_PARAMETER: "&amp;SUBSTITUTE(IFERROR(INDEX(nMSG_Text,MATCH("E_NONPOSITIVE_PARAMETER",nMSG_Code,0)),""),"[input]",""),"")&amp;IF(ISNUMBER(SEARCH("E_OUT_OF_RANGE",AW165))," | E_OUT_OF_RANGE: "&amp;SUBSTITUTE(IFERROR(INDEX(nMSG_Text,MATCH("E_OUT_OF_RANGE",nMSG_Code,0)),""),"[input]",""),"")&amp;IF(ISNUMBER(SEARCH("E_APPLICABILITY_UNCONFIRMED",AW165))," | E_APPLICABILITY_UNCONFIRMED: "&amp;SUBSTITUTE(IFERROR(INDEX(nMSG_Text,MATCH("E_APPLICABILITY_UNCONFIRMED",nMSG_Code,0)),""),"[input]",""),"")&amp;IF(ISNUMBER(SEARCH("E_CREATININE_STABILITY_UNCONFIRMED",AW165))," | E_CREATININE_STABILITY_UNCONFIRMED: "&amp;SUBSTITUTE(IFERROR(INDEX(nMSG_Text,MATCH("E_CREATININE_STABILITY_UNCONFIRMED",nMSG_Code,0)),""),"[input]",""),"")&amp;IF(ISNUMBER(SEARCH("E_OVERLAPPING_SEGMENTS",AW165))," | E_OVERLAPPING_SEGMENTS: "&amp;SUBSTITUTE(IFERROR(INDEX(nMSG_Text,MATCH("E_OVERLAPPING_SEGMENTS",nMSG_Code,0)),""),"[input]",""),"")&amp;IF(AY165=1,IF(AH165&gt;0," | W_PARTIAL_BSA: "&amp;SUBSTITUTE(IFERROR(INDEX(nMSG_Text,MATCH("W_PARTIAL_BSA",nMSG_Code,0)),""),"[input]",""),""),""),4,9999))</f>
        <v/>
      </c>
      <c r="T165" s="21" t="str">
        <f t="shared" si="299"/>
        <v/>
      </c>
      <c r="U165" s="21" t="str">
        <f>IF(AB165=1,"",MID(""&amp;" | BSA is the value recorded at each administration; the tool never calculates BSA (CALC-SPEC 1.1, Q10)."&amp;IF(TRIM(E165&amp;"")&lt;&gt;""," | "&amp;E165,"")&amp;IF(AY165=1,IF(AJ165=1,IF(AM165=1," | Method B takes the first and last administrations by date ("&amp;DAY(AN165)&amp;" "&amp;INDEX(nLIST_Months,MONTH(AN165))&amp;" "&amp;YEAR(AN165)&amp;" and "&amp;DAY(AO165)&amp;" "&amp;INDEX(nLIST_Months,MONTH(AO165))&amp;" "&amp;YEAR(AO165)&amp;").",IF(AK165=0," | No administration date is recorded, so Method B takes the first and last administrations in the order entered.","")),""),""),4,9999))</f>
        <v/>
      </c>
      <c r="V165" s="21" t="str">
        <f t="shared" si="300"/>
        <v/>
      </c>
      <c r="W165" s="21" t="str">
        <f t="shared" si="301"/>
        <v/>
      </c>
      <c r="X165" s="21" t="str">
        <f t="shared" si="302"/>
        <v/>
      </c>
      <c r="Y165" s="21" t="str">
        <f t="shared" si="303"/>
        <v/>
      </c>
      <c r="Z165" s="21" t="str">
        <f t="shared" si="304"/>
        <v/>
      </c>
      <c r="AA165" s="21" t="str">
        <f t="shared" si="305"/>
        <v/>
      </c>
      <c r="AB165" s="22">
        <f t="shared" si="306"/>
        <v>1</v>
      </c>
      <c r="AC165" s="21" t="str">
        <f t="shared" si="307"/>
        <v/>
      </c>
      <c r="AD165" s="21" t="str">
        <f t="shared" si="308"/>
        <v/>
      </c>
      <c r="AE165" s="21" t="str">
        <f t="shared" si="309"/>
        <v>||</v>
      </c>
      <c r="AF165" s="22">
        <f>SUMPRODUCT((nADM_SelKey=AE165)*(nADM_Kind&lt;&gt;"INFUSION_SEGMENT"))</f>
        <v>0</v>
      </c>
      <c r="AG165" s="22">
        <f>SUMPRODUCT((nADM_SelKey=AE165)*(nADM_Kind&lt;&gt;"INFUSION_SEGMENT")*nADM_Known)</f>
        <v>0</v>
      </c>
      <c r="AH165" s="22">
        <f>SUMPRODUCT((nADM_SelKey=AE165)*(nADM_Kind&lt;&gt;"INFUSION_SEGMENT")*nADM_BSA_missing)</f>
        <v>0</v>
      </c>
      <c r="AI165" s="21" t="str">
        <f>IF(SUMPRODUCT((nADM_SelKey=AE165)*(nADM_Kind&lt;&gt;"INFUSION_SEGMENT")*ISNUMBER(SEARCH("E_MISSING_INPUT",nADM_Q10_Raw)))&gt;0,"; E_MISSING_INPUT","")&amp;IF(SUMPRODUCT((nADM_SelKey=AE165)*(nADM_Kind&lt;&gt;"INFUSION_SEGMENT")*ISNUMBER(SEARCH("E_INVALID_UNIT",nADM_Q10_Raw)))&gt;0,"; E_INVALID_UNIT","")&amp;IF(SUMPRODUCT((nADM_SelKey=AE165)*(nADM_Kind&lt;&gt;"INFUSION_SEGMENT")*ISNUMBER(SEARCH("E_NONPOSITIVE_PARAMETER",nADM_Q10_Raw)))&gt;0,"; E_NONPOSITIVE_PARAMETER","")</f>
        <v/>
      </c>
      <c r="AJ165" s="22">
        <f t="shared" si="310"/>
        <v>0</v>
      </c>
      <c r="AK165" s="22">
        <f>SUMPRODUCT((nADM_SelKey=AE165)*(nADM_Kind&lt;&gt;"INFUSION_SEGMENT")*nADM_A_Dated)</f>
        <v>0</v>
      </c>
      <c r="AL165" s="21" t="str">
        <f>IF(OR(AJ165=0,AF165=0,AK165&lt;AF165),"",IF(SUMPRODUCT((nADM_SelKey=AE165)*(nADM_Kind&lt;&gt;"INFUSION_SEGMENT")*(nADM_Q10_DateErr="E_INVALID_DATE"))&gt;0,"; E_INVALID_DATE","")&amp;IF(SUMPRODUCT((nADM_SelKey=AE165)*(nADM_Kind&lt;&gt;"INFUSION_SEGMENT")*(nADM_Q10_DateErr="E_REVERSED_BOUNDS"))&gt;0,"; E_REVERSED_BOUNDS","")&amp;IF(SUMPRODUCT((nADM_SelKey=AE165)*(nADM_Kind&lt;&gt;"INFUSION_SEGMENT")*(nADM_Q10_DateErr="E_MISSING_INPUT"))&gt;0,"; E_MISSING_INPUT","")&amp;IF(SUMPRODUCT((nADM_SelKey=AE165)*(nADM_Kind&lt;&gt;"INFUSION_SEGMENT")*(nADM_Q10_DateErr="E_INVALID_UNIT"))&gt;0,"; E_INVALID_UNIT",""))</f>
        <v/>
      </c>
      <c r="AM165" s="22">
        <f>IF(AND(AJ165=1,AF165&gt;0,AK165=AF165,SUMPRODUCT((nADM_SelKey=AE165)*(nADM_Kind&lt;&gt;"INFUSION_SEGMENT")*nADM_Valid)=AF165),1,0)</f>
        <v>0</v>
      </c>
      <c r="AN165" s="28">
        <f>IF(AM165=0,0,1000000000000-SUMPRODUCT(MAX((nADM_SelKey=AE165)*(nADM_Kind&lt;&gt;"INFUSION_SEGMENT")*(1000000000000-nADM_Lo_n))))</f>
        <v>0</v>
      </c>
      <c r="AO165" s="28">
        <f>IF(AM165=0,0,SUMPRODUCT(MAX((nADM_SelKey=AE165)*(nADM_Kind&lt;&gt;"INFUSION_SEGMENT")*nADM_Lo_n)))</f>
        <v>0</v>
      </c>
      <c r="AP165" s="22">
        <f>IF(AF165=0,0,IF(AM165=1,MATCH(1,INDEX((nADM_SelKey=AE165)*(nADM_Kind&lt;&gt;"INFUSION_SEGMENT")*(nADM_Lo_n=AN165),0),0),MATCH(1,INDEX((nADM_SelKey=AE165)*(nADM_Kind&lt;&gt;"INFUSION_SEGMENT"),0),0)))</f>
        <v>0</v>
      </c>
      <c r="AQ165" s="22">
        <f>IF(AF165=0,0,IF(AM165=1,MATCH(1,INDEX((nADM_SelKey=AE165)*(nADM_Kind&lt;&gt;"INFUSION_SEGMENT")*(nADM_Lo_n=AO165),0),0),MATCH(SUMPRODUCT(MAX((nADM_SelKey=AE165)*(nADM_Kind&lt;&gt;"INFUSION_SEGMENT")*nADM_RowN)),nADM_RowN,0)))</f>
        <v>0</v>
      </c>
      <c r="AR165" s="22">
        <f>IF(OR(AM165=0,AP165=0),0,IF(SUMPRODUCT((nADM_SelKey=AE165)*(nADM_Kind&lt;&gt;"INFUSION_SEGMENT")*(nADM_Lo_n=AN165)*(nADM_BSA_key&lt;&gt;INDEX(nADM_BSA_key,AP165)))&gt;0,1,0))</f>
        <v>0</v>
      </c>
      <c r="AS165" s="22">
        <f>IF(OR(AM165=0,AQ165=0),0,IF(SUMPRODUCT((nADM_SelKey=AE165)*(nADM_Kind&lt;&gt;"INFUSION_SEGMENT")*(nADM_Lo_n=AO165)*(nADM_BSA_key&lt;&gt;INDEX(nADM_BSA_key,AQ165)))&gt;0,1,0))</f>
        <v>0</v>
      </c>
      <c r="AT165" s="21" t="str">
        <f>IF(G165="STATED",IF(ISNUMBER(H165),H165,""),IF(AND(AJ165=1,AF165&gt;0),IF(G165="FIRST",IF(AP165=0,"",INDEX(nADM_BSA_m2,AP165)),IF(AQ165=0,"",INDEX(nADM_BSA_m2,AQ165))),""))</f>
        <v/>
      </c>
      <c r="AU165" s="21" t="str">
        <f>IF(AB165=1,"",IF(A165="","; E_MISSING_INPUT","")&amp;IF(F165="","; E_MISSING_INPUT","")&amp;IF(AND(F165&lt;&gt;"",AF165=0),"; E_MISSING_INPUT","")&amp;IF(AI165&lt;&gt;"","; "&amp;MID(AI165,3,999)&amp;"","")&amp;IF(ISNUMBER(SEARCH("E_MISSING_INPUT",AI165)),"; E_MISSING_INPUT","")&amp;IF(AND(AF165&gt;0,AG165=0,AI165=""),"; E_MISSING_INPUT","")&amp;IF(AND(G165&lt;&gt;"",ISNA(MATCH(G165,nLIST_MethodB,0))),"; E_MISSING_INPUT","")&amp;IF(AND(AJ165=1,AK165&gt;0,AK165&lt;AF165),"; E_MISSING_INPUT","")&amp;IF(AL165&lt;&gt;"","; "&amp;MID(AL165,3,999)&amp;"","")&amp;IF(AR165=1,"; E_MISSING_INPUT","")&amp;IF(AS165=1,"; E_MISSING_INPUT","")&amp;IF(AND(AJ165=1,AF165&gt;0,NOT(ISNUMBER(AT165))),"; E_MISSING_INPUT","")&amp;IF(AND(G165="STATED",NOT(ISNUMBER(H165))),"; E_MISSING_INPUT","")&amp;IF(AND(G165="STATED",ISNUMBER(H165),H165&lt;=0),"; E_NONPOSITIVE_PARAMETER",""))</f>
        <v/>
      </c>
      <c r="AV165" s="21" t="str">
        <f>IF(AB165=1,"",IF(A165="",", a Calc_ID","")&amp;IF(F165="",", an Exposure_Episode_ID","")&amp;IF(AND(F165&lt;&gt;"",AF165=0),", at least one administration","")&amp;IF(ISNUMBER(SEARCH("E_MISSING_INPUT",AI165)),", the dose, dose unit and any BSA of every administration of "&amp;F165&amp;" as numbers","")&amp;IF(AND(AF165&gt;0,AG165=0,AI165=""),", the BSA recorded at one or more administrations","")&amp;IF(AND(G165&lt;&gt;"",ISNA(MATCH(G165,nLIST_MethodB,0))),", a Method B choice (FIRST, LAST or STATED)","")&amp;IF(AND(AJ165=1,AK165&gt;0,AK165&lt;AF165),", the date of every administration (Method B by first or last administration)","")&amp;IF(AR165=1,", one BSA for the first administration: administrations share its date with different BSAs","")&amp;IF(AS165=1,", one BSA for the last administration: administrations share its date with different BSAs","")&amp;IF(AND(AJ165=1,AF165&gt;0,NOT(ISNUMBER(AT165))),", the "&amp;LOWER(G165)&amp;" BSA for Method B","")&amp;IF(AND(G165="STATED",NOT(ISNUMBER(H165))),", the stated BSA for Method B",""))</f>
        <v/>
      </c>
      <c r="AW165" s="21" t="str">
        <f t="shared" si="311"/>
        <v/>
      </c>
      <c r="AX165" s="21" t="str">
        <f t="shared" si="312"/>
        <v/>
      </c>
      <c r="AY165" s="22">
        <f t="shared" si="313"/>
        <v>0</v>
      </c>
    </row>
    <row r="166" spans="1:51" x14ac:dyDescent="0.2">
      <c r="A166" s="10"/>
      <c r="B166" s="10"/>
      <c r="C166" s="12"/>
      <c r="D166" s="10"/>
      <c r="E166" s="10"/>
      <c r="F166" s="10"/>
      <c r="G166" s="17"/>
      <c r="H166" s="17"/>
      <c r="I166" s="10"/>
      <c r="J166" s="21" t="str">
        <f t="shared" si="293"/>
        <v/>
      </c>
      <c r="K166" s="21" t="str">
        <f t="shared" si="294"/>
        <v/>
      </c>
      <c r="L166" s="21" t="str">
        <f>IF(AY166=1,SUMPRODUCT((nADM_SelKey=AE166)*(nADM_Kind&lt;&gt;"INFUSION_SEGMENT")*nADM_Dose_per_BSA),"")</f>
        <v/>
      </c>
      <c r="M166" s="21" t="str">
        <f>IF(AY166=1,SUMPRODUCT((nADM_SelKey=AE166)*(nADM_Kind&lt;&gt;"INFUSION_SEGMENT")*nADM_Dose_pos_n),"")</f>
        <v/>
      </c>
      <c r="N166" s="21" t="str">
        <f t="shared" si="295"/>
        <v/>
      </c>
      <c r="O166" s="21" t="str">
        <f>IF(AB166=1,"",SUMPRODUCT((nADM_SelKey=AE166)*(nADM_Kind&lt;&gt;"INFUSION_SEGMENT")*nADM_Known))</f>
        <v/>
      </c>
      <c r="P166" s="21" t="str">
        <f t="shared" si="296"/>
        <v/>
      </c>
      <c r="Q166" s="21" t="str">
        <f t="shared" si="297"/>
        <v/>
      </c>
      <c r="R166" s="21" t="str">
        <f t="shared" si="298"/>
        <v/>
      </c>
      <c r="S166" s="21" t="str">
        <f>IF(AB166=1,"",MID(IF(ISNUMBER(SEARCH("E_INVALID_DATE",AW166))," | E_INVALID_DATE: "&amp;SUBSTITUTE(IFERROR(INDEX(nMSG_Text,MATCH("E_INVALID_DATE",nMSG_Code,0)),""),"[input]",""),"")&amp;IF(ISNUMBER(SEARCH("E_REVERSED_BOUNDS",AW166))," | E_REVERSED_BOUNDS: "&amp;SUBSTITUTE(IFERROR(INDEX(nMSG_Text,MATCH("E_REVERSED_BOUNDS",nMSG_Code,0)),""),"[input]",""),"")&amp;IF(ISNUMBER(SEARCH("E_DUPLICATE_ID",AW166))," | E_DUPLICATE_ID: "&amp;SUBSTITUTE(IFERROR(INDEX(nMSG_Text,MATCH("E_DUPLICATE_ID",nMSG_Code,0)),""),"[input]",""),"")&amp;IF(ISNUMBER(SEARCH("E_MISSING_LINK",AW166))," | E_MISSING_LINK: "&amp;SUBSTITUTE(IFERROR(INDEX(nMSG_Text,MATCH("E_MISSING_LINK",nMSG_Code,0)),""),"[input]",""),"")&amp;IF(ISNUMBER(SEARCH("E_MISSING_INPUT",AW166))," | E_MISSING_INPUT: "&amp;SUBSTITUTE(IFERROR(INDEX(nMSG_Text,MATCH("E_MISSING_INPUT",nMSG_Code,0)),""),"[input]",IF(AX166="","an input",AX166)),"")&amp;IF(ISNUMBER(SEARCH("E_INVALID_UNIT",AW166))," | E_INVALID_UNIT: "&amp;SUBSTITUTE(IFERROR(INDEX(nMSG_Text,MATCH("E_INVALID_UNIT",nMSG_Code,0)),""),"[input]",""),"")&amp;IF(ISNUMBER(SEARCH("E_NONPOSITIVE_PARAMETER",AW166))," | E_NONPOSITIVE_PARAMETER: "&amp;SUBSTITUTE(IFERROR(INDEX(nMSG_Text,MATCH("E_NONPOSITIVE_PARAMETER",nMSG_Code,0)),""),"[input]",""),"")&amp;IF(ISNUMBER(SEARCH("E_OUT_OF_RANGE",AW166))," | E_OUT_OF_RANGE: "&amp;SUBSTITUTE(IFERROR(INDEX(nMSG_Text,MATCH("E_OUT_OF_RANGE",nMSG_Code,0)),""),"[input]",""),"")&amp;IF(ISNUMBER(SEARCH("E_APPLICABILITY_UNCONFIRMED",AW166))," | E_APPLICABILITY_UNCONFIRMED: "&amp;SUBSTITUTE(IFERROR(INDEX(nMSG_Text,MATCH("E_APPLICABILITY_UNCONFIRMED",nMSG_Code,0)),""),"[input]",""),"")&amp;IF(ISNUMBER(SEARCH("E_CREATININE_STABILITY_UNCONFIRMED",AW166))," | E_CREATININE_STABILITY_UNCONFIRMED: "&amp;SUBSTITUTE(IFERROR(INDEX(nMSG_Text,MATCH("E_CREATININE_STABILITY_UNCONFIRMED",nMSG_Code,0)),""),"[input]",""),"")&amp;IF(ISNUMBER(SEARCH("E_OVERLAPPING_SEGMENTS",AW166))," | E_OVERLAPPING_SEGMENTS: "&amp;SUBSTITUTE(IFERROR(INDEX(nMSG_Text,MATCH("E_OVERLAPPING_SEGMENTS",nMSG_Code,0)),""),"[input]",""),"")&amp;IF(AY166=1,IF(AH166&gt;0," | W_PARTIAL_BSA: "&amp;SUBSTITUTE(IFERROR(INDEX(nMSG_Text,MATCH("W_PARTIAL_BSA",nMSG_Code,0)),""),"[input]",""),""),""),4,9999))</f>
        <v/>
      </c>
      <c r="T166" s="21" t="str">
        <f t="shared" si="299"/>
        <v/>
      </c>
      <c r="U166" s="21" t="str">
        <f>IF(AB166=1,"",MID(""&amp;" | BSA is the value recorded at each administration; the tool never calculates BSA (CALC-SPEC 1.1, Q10)."&amp;IF(TRIM(E166&amp;"")&lt;&gt;""," | "&amp;E166,"")&amp;IF(AY166=1,IF(AJ166=1,IF(AM166=1," | Method B takes the first and last administrations by date ("&amp;DAY(AN166)&amp;" "&amp;INDEX(nLIST_Months,MONTH(AN166))&amp;" "&amp;YEAR(AN166)&amp;" and "&amp;DAY(AO166)&amp;" "&amp;INDEX(nLIST_Months,MONTH(AO166))&amp;" "&amp;YEAR(AO166)&amp;").",IF(AK166=0," | No administration date is recorded, so Method B takes the first and last administrations in the order entered.","")),""),""),4,9999))</f>
        <v/>
      </c>
      <c r="V166" s="21" t="str">
        <f t="shared" si="300"/>
        <v/>
      </c>
      <c r="W166" s="21" t="str">
        <f t="shared" si="301"/>
        <v/>
      </c>
      <c r="X166" s="21" t="str">
        <f t="shared" si="302"/>
        <v/>
      </c>
      <c r="Y166" s="21" t="str">
        <f t="shared" si="303"/>
        <v/>
      </c>
      <c r="Z166" s="21" t="str">
        <f t="shared" si="304"/>
        <v/>
      </c>
      <c r="AA166" s="21" t="str">
        <f t="shared" si="305"/>
        <v/>
      </c>
      <c r="AB166" s="22">
        <f t="shared" si="306"/>
        <v>1</v>
      </c>
      <c r="AC166" s="21" t="str">
        <f t="shared" si="307"/>
        <v/>
      </c>
      <c r="AD166" s="21" t="str">
        <f t="shared" si="308"/>
        <v/>
      </c>
      <c r="AE166" s="21" t="str">
        <f t="shared" si="309"/>
        <v>||</v>
      </c>
      <c r="AF166" s="22">
        <f>SUMPRODUCT((nADM_SelKey=AE166)*(nADM_Kind&lt;&gt;"INFUSION_SEGMENT"))</f>
        <v>0</v>
      </c>
      <c r="AG166" s="22">
        <f>SUMPRODUCT((nADM_SelKey=AE166)*(nADM_Kind&lt;&gt;"INFUSION_SEGMENT")*nADM_Known)</f>
        <v>0</v>
      </c>
      <c r="AH166" s="22">
        <f>SUMPRODUCT((nADM_SelKey=AE166)*(nADM_Kind&lt;&gt;"INFUSION_SEGMENT")*nADM_BSA_missing)</f>
        <v>0</v>
      </c>
      <c r="AI166" s="21" t="str">
        <f>IF(SUMPRODUCT((nADM_SelKey=AE166)*(nADM_Kind&lt;&gt;"INFUSION_SEGMENT")*ISNUMBER(SEARCH("E_MISSING_INPUT",nADM_Q10_Raw)))&gt;0,"; E_MISSING_INPUT","")&amp;IF(SUMPRODUCT((nADM_SelKey=AE166)*(nADM_Kind&lt;&gt;"INFUSION_SEGMENT")*ISNUMBER(SEARCH("E_INVALID_UNIT",nADM_Q10_Raw)))&gt;0,"; E_INVALID_UNIT","")&amp;IF(SUMPRODUCT((nADM_SelKey=AE166)*(nADM_Kind&lt;&gt;"INFUSION_SEGMENT")*ISNUMBER(SEARCH("E_NONPOSITIVE_PARAMETER",nADM_Q10_Raw)))&gt;0,"; E_NONPOSITIVE_PARAMETER","")</f>
        <v/>
      </c>
      <c r="AJ166" s="22">
        <f t="shared" si="310"/>
        <v>0</v>
      </c>
      <c r="AK166" s="22">
        <f>SUMPRODUCT((nADM_SelKey=AE166)*(nADM_Kind&lt;&gt;"INFUSION_SEGMENT")*nADM_A_Dated)</f>
        <v>0</v>
      </c>
      <c r="AL166" s="21" t="str">
        <f>IF(OR(AJ166=0,AF166=0,AK166&lt;AF166),"",IF(SUMPRODUCT((nADM_SelKey=AE166)*(nADM_Kind&lt;&gt;"INFUSION_SEGMENT")*(nADM_Q10_DateErr="E_INVALID_DATE"))&gt;0,"; E_INVALID_DATE","")&amp;IF(SUMPRODUCT((nADM_SelKey=AE166)*(nADM_Kind&lt;&gt;"INFUSION_SEGMENT")*(nADM_Q10_DateErr="E_REVERSED_BOUNDS"))&gt;0,"; E_REVERSED_BOUNDS","")&amp;IF(SUMPRODUCT((nADM_SelKey=AE166)*(nADM_Kind&lt;&gt;"INFUSION_SEGMENT")*(nADM_Q10_DateErr="E_MISSING_INPUT"))&gt;0,"; E_MISSING_INPUT","")&amp;IF(SUMPRODUCT((nADM_SelKey=AE166)*(nADM_Kind&lt;&gt;"INFUSION_SEGMENT")*(nADM_Q10_DateErr="E_INVALID_UNIT"))&gt;0,"; E_INVALID_UNIT",""))</f>
        <v/>
      </c>
      <c r="AM166" s="22">
        <f>IF(AND(AJ166=1,AF166&gt;0,AK166=AF166,SUMPRODUCT((nADM_SelKey=AE166)*(nADM_Kind&lt;&gt;"INFUSION_SEGMENT")*nADM_Valid)=AF166),1,0)</f>
        <v>0</v>
      </c>
      <c r="AN166" s="28">
        <f>IF(AM166=0,0,1000000000000-SUMPRODUCT(MAX((nADM_SelKey=AE166)*(nADM_Kind&lt;&gt;"INFUSION_SEGMENT")*(1000000000000-nADM_Lo_n))))</f>
        <v>0</v>
      </c>
      <c r="AO166" s="28">
        <f>IF(AM166=0,0,SUMPRODUCT(MAX((nADM_SelKey=AE166)*(nADM_Kind&lt;&gt;"INFUSION_SEGMENT")*nADM_Lo_n)))</f>
        <v>0</v>
      </c>
      <c r="AP166" s="22">
        <f>IF(AF166=0,0,IF(AM166=1,MATCH(1,INDEX((nADM_SelKey=AE166)*(nADM_Kind&lt;&gt;"INFUSION_SEGMENT")*(nADM_Lo_n=AN166),0),0),MATCH(1,INDEX((nADM_SelKey=AE166)*(nADM_Kind&lt;&gt;"INFUSION_SEGMENT"),0),0)))</f>
        <v>0</v>
      </c>
      <c r="AQ166" s="22">
        <f>IF(AF166=0,0,IF(AM166=1,MATCH(1,INDEX((nADM_SelKey=AE166)*(nADM_Kind&lt;&gt;"INFUSION_SEGMENT")*(nADM_Lo_n=AO166),0),0),MATCH(SUMPRODUCT(MAX((nADM_SelKey=AE166)*(nADM_Kind&lt;&gt;"INFUSION_SEGMENT")*nADM_RowN)),nADM_RowN,0)))</f>
        <v>0</v>
      </c>
      <c r="AR166" s="22">
        <f>IF(OR(AM166=0,AP166=0),0,IF(SUMPRODUCT((nADM_SelKey=AE166)*(nADM_Kind&lt;&gt;"INFUSION_SEGMENT")*(nADM_Lo_n=AN166)*(nADM_BSA_key&lt;&gt;INDEX(nADM_BSA_key,AP166)))&gt;0,1,0))</f>
        <v>0</v>
      </c>
      <c r="AS166" s="22">
        <f>IF(OR(AM166=0,AQ166=0),0,IF(SUMPRODUCT((nADM_SelKey=AE166)*(nADM_Kind&lt;&gt;"INFUSION_SEGMENT")*(nADM_Lo_n=AO166)*(nADM_BSA_key&lt;&gt;INDEX(nADM_BSA_key,AQ166)))&gt;0,1,0))</f>
        <v>0</v>
      </c>
      <c r="AT166" s="21" t="str">
        <f>IF(G166="STATED",IF(ISNUMBER(H166),H166,""),IF(AND(AJ166=1,AF166&gt;0),IF(G166="FIRST",IF(AP166=0,"",INDEX(nADM_BSA_m2,AP166)),IF(AQ166=0,"",INDEX(nADM_BSA_m2,AQ166))),""))</f>
        <v/>
      </c>
      <c r="AU166" s="21" t="str">
        <f>IF(AB166=1,"",IF(A166="","; E_MISSING_INPUT","")&amp;IF(F166="","; E_MISSING_INPUT","")&amp;IF(AND(F166&lt;&gt;"",AF166=0),"; E_MISSING_INPUT","")&amp;IF(AI166&lt;&gt;"","; "&amp;MID(AI166,3,999)&amp;"","")&amp;IF(ISNUMBER(SEARCH("E_MISSING_INPUT",AI166)),"; E_MISSING_INPUT","")&amp;IF(AND(AF166&gt;0,AG166=0,AI166=""),"; E_MISSING_INPUT","")&amp;IF(AND(G166&lt;&gt;"",ISNA(MATCH(G166,nLIST_MethodB,0))),"; E_MISSING_INPUT","")&amp;IF(AND(AJ166=1,AK166&gt;0,AK166&lt;AF166),"; E_MISSING_INPUT","")&amp;IF(AL166&lt;&gt;"","; "&amp;MID(AL166,3,999)&amp;"","")&amp;IF(AR166=1,"; E_MISSING_INPUT","")&amp;IF(AS166=1,"; E_MISSING_INPUT","")&amp;IF(AND(AJ166=1,AF166&gt;0,NOT(ISNUMBER(AT166))),"; E_MISSING_INPUT","")&amp;IF(AND(G166="STATED",NOT(ISNUMBER(H166))),"; E_MISSING_INPUT","")&amp;IF(AND(G166="STATED",ISNUMBER(H166),H166&lt;=0),"; E_NONPOSITIVE_PARAMETER",""))</f>
        <v/>
      </c>
      <c r="AV166" s="21" t="str">
        <f>IF(AB166=1,"",IF(A166="",", a Calc_ID","")&amp;IF(F166="",", an Exposure_Episode_ID","")&amp;IF(AND(F166&lt;&gt;"",AF166=0),", at least one administration","")&amp;IF(ISNUMBER(SEARCH("E_MISSING_INPUT",AI166)),", the dose, dose unit and any BSA of every administration of "&amp;F166&amp;" as numbers","")&amp;IF(AND(AF166&gt;0,AG166=0,AI166=""),", the BSA recorded at one or more administrations","")&amp;IF(AND(G166&lt;&gt;"",ISNA(MATCH(G166,nLIST_MethodB,0))),", a Method B choice (FIRST, LAST or STATED)","")&amp;IF(AND(AJ166=1,AK166&gt;0,AK166&lt;AF166),", the date of every administration (Method B by first or last administration)","")&amp;IF(AR166=1,", one BSA for the first administration: administrations share its date with different BSAs","")&amp;IF(AS166=1,", one BSA for the last administration: administrations share its date with different BSAs","")&amp;IF(AND(AJ166=1,AF166&gt;0,NOT(ISNUMBER(AT166))),", the "&amp;LOWER(G166)&amp;" BSA for Method B","")&amp;IF(AND(G166="STATED",NOT(ISNUMBER(H166))),", the stated BSA for Method B",""))</f>
        <v/>
      </c>
      <c r="AW166" s="21" t="str">
        <f t="shared" si="311"/>
        <v/>
      </c>
      <c r="AX166" s="21" t="str">
        <f t="shared" si="312"/>
        <v/>
      </c>
      <c r="AY166" s="22">
        <f t="shared" si="313"/>
        <v>0</v>
      </c>
    </row>
    <row r="167" spans="1:51" x14ac:dyDescent="0.2">
      <c r="A167" s="10"/>
      <c r="B167" s="10"/>
      <c r="C167" s="12"/>
      <c r="D167" s="10"/>
      <c r="E167" s="10"/>
      <c r="F167" s="10"/>
      <c r="G167" s="17"/>
      <c r="H167" s="17"/>
      <c r="I167" s="10"/>
      <c r="J167" s="21" t="str">
        <f t="shared" si="293"/>
        <v/>
      </c>
      <c r="K167" s="21" t="str">
        <f t="shared" si="294"/>
        <v/>
      </c>
      <c r="L167" s="21" t="str">
        <f>IF(AY167=1,SUMPRODUCT((nADM_SelKey=AE167)*(nADM_Kind&lt;&gt;"INFUSION_SEGMENT")*nADM_Dose_per_BSA),"")</f>
        <v/>
      </c>
      <c r="M167" s="21" t="str">
        <f>IF(AY167=1,SUMPRODUCT((nADM_SelKey=AE167)*(nADM_Kind&lt;&gt;"INFUSION_SEGMENT")*nADM_Dose_pos_n),"")</f>
        <v/>
      </c>
      <c r="N167" s="21" t="str">
        <f t="shared" si="295"/>
        <v/>
      </c>
      <c r="O167" s="21" t="str">
        <f>IF(AB167=1,"",SUMPRODUCT((nADM_SelKey=AE167)*(nADM_Kind&lt;&gt;"INFUSION_SEGMENT")*nADM_Known))</f>
        <v/>
      </c>
      <c r="P167" s="21" t="str">
        <f t="shared" si="296"/>
        <v/>
      </c>
      <c r="Q167" s="21" t="str">
        <f t="shared" si="297"/>
        <v/>
      </c>
      <c r="R167" s="21" t="str">
        <f t="shared" si="298"/>
        <v/>
      </c>
      <c r="S167" s="21" t="str">
        <f>IF(AB167=1,"",MID(IF(ISNUMBER(SEARCH("E_INVALID_DATE",AW167))," | E_INVALID_DATE: "&amp;SUBSTITUTE(IFERROR(INDEX(nMSG_Text,MATCH("E_INVALID_DATE",nMSG_Code,0)),""),"[input]",""),"")&amp;IF(ISNUMBER(SEARCH("E_REVERSED_BOUNDS",AW167))," | E_REVERSED_BOUNDS: "&amp;SUBSTITUTE(IFERROR(INDEX(nMSG_Text,MATCH("E_REVERSED_BOUNDS",nMSG_Code,0)),""),"[input]",""),"")&amp;IF(ISNUMBER(SEARCH("E_DUPLICATE_ID",AW167))," | E_DUPLICATE_ID: "&amp;SUBSTITUTE(IFERROR(INDEX(nMSG_Text,MATCH("E_DUPLICATE_ID",nMSG_Code,0)),""),"[input]",""),"")&amp;IF(ISNUMBER(SEARCH("E_MISSING_LINK",AW167))," | E_MISSING_LINK: "&amp;SUBSTITUTE(IFERROR(INDEX(nMSG_Text,MATCH("E_MISSING_LINK",nMSG_Code,0)),""),"[input]",""),"")&amp;IF(ISNUMBER(SEARCH("E_MISSING_INPUT",AW167))," | E_MISSING_INPUT: "&amp;SUBSTITUTE(IFERROR(INDEX(nMSG_Text,MATCH("E_MISSING_INPUT",nMSG_Code,0)),""),"[input]",IF(AX167="","an input",AX167)),"")&amp;IF(ISNUMBER(SEARCH("E_INVALID_UNIT",AW167))," | E_INVALID_UNIT: "&amp;SUBSTITUTE(IFERROR(INDEX(nMSG_Text,MATCH("E_INVALID_UNIT",nMSG_Code,0)),""),"[input]",""),"")&amp;IF(ISNUMBER(SEARCH("E_NONPOSITIVE_PARAMETER",AW167))," | E_NONPOSITIVE_PARAMETER: "&amp;SUBSTITUTE(IFERROR(INDEX(nMSG_Text,MATCH("E_NONPOSITIVE_PARAMETER",nMSG_Code,0)),""),"[input]",""),"")&amp;IF(ISNUMBER(SEARCH("E_OUT_OF_RANGE",AW167))," | E_OUT_OF_RANGE: "&amp;SUBSTITUTE(IFERROR(INDEX(nMSG_Text,MATCH("E_OUT_OF_RANGE",nMSG_Code,0)),""),"[input]",""),"")&amp;IF(ISNUMBER(SEARCH("E_APPLICABILITY_UNCONFIRMED",AW167))," | E_APPLICABILITY_UNCONFIRMED: "&amp;SUBSTITUTE(IFERROR(INDEX(nMSG_Text,MATCH("E_APPLICABILITY_UNCONFIRMED",nMSG_Code,0)),""),"[input]",""),"")&amp;IF(ISNUMBER(SEARCH("E_CREATININE_STABILITY_UNCONFIRMED",AW167))," | E_CREATININE_STABILITY_UNCONFIRMED: "&amp;SUBSTITUTE(IFERROR(INDEX(nMSG_Text,MATCH("E_CREATININE_STABILITY_UNCONFIRMED",nMSG_Code,0)),""),"[input]",""),"")&amp;IF(ISNUMBER(SEARCH("E_OVERLAPPING_SEGMENTS",AW167))," | E_OVERLAPPING_SEGMENTS: "&amp;SUBSTITUTE(IFERROR(INDEX(nMSG_Text,MATCH("E_OVERLAPPING_SEGMENTS",nMSG_Code,0)),""),"[input]",""),"")&amp;IF(AY167=1,IF(AH167&gt;0," | W_PARTIAL_BSA: "&amp;SUBSTITUTE(IFERROR(INDEX(nMSG_Text,MATCH("W_PARTIAL_BSA",nMSG_Code,0)),""),"[input]",""),""),""),4,9999))</f>
        <v/>
      </c>
      <c r="T167" s="21" t="str">
        <f t="shared" si="299"/>
        <v/>
      </c>
      <c r="U167" s="21" t="str">
        <f>IF(AB167=1,"",MID(""&amp;" | BSA is the value recorded at each administration; the tool never calculates BSA (CALC-SPEC 1.1, Q10)."&amp;IF(TRIM(E167&amp;"")&lt;&gt;""," | "&amp;E167,"")&amp;IF(AY167=1,IF(AJ167=1,IF(AM167=1," | Method B takes the first and last administrations by date ("&amp;DAY(AN167)&amp;" "&amp;INDEX(nLIST_Months,MONTH(AN167))&amp;" "&amp;YEAR(AN167)&amp;" and "&amp;DAY(AO167)&amp;" "&amp;INDEX(nLIST_Months,MONTH(AO167))&amp;" "&amp;YEAR(AO167)&amp;").",IF(AK167=0," | No administration date is recorded, so Method B takes the first and last administrations in the order entered.","")),""),""),4,9999))</f>
        <v/>
      </c>
      <c r="V167" s="21" t="str">
        <f t="shared" si="300"/>
        <v/>
      </c>
      <c r="W167" s="21" t="str">
        <f t="shared" si="301"/>
        <v/>
      </c>
      <c r="X167" s="21" t="str">
        <f t="shared" si="302"/>
        <v/>
      </c>
      <c r="Y167" s="21" t="str">
        <f t="shared" si="303"/>
        <v/>
      </c>
      <c r="Z167" s="21" t="str">
        <f t="shared" si="304"/>
        <v/>
      </c>
      <c r="AA167" s="21" t="str">
        <f t="shared" si="305"/>
        <v/>
      </c>
      <c r="AB167" s="22">
        <f t="shared" si="306"/>
        <v>1</v>
      </c>
      <c r="AC167" s="21" t="str">
        <f t="shared" si="307"/>
        <v/>
      </c>
      <c r="AD167" s="21" t="str">
        <f t="shared" si="308"/>
        <v/>
      </c>
      <c r="AE167" s="21" t="str">
        <f t="shared" si="309"/>
        <v>||</v>
      </c>
      <c r="AF167" s="22">
        <f>SUMPRODUCT((nADM_SelKey=AE167)*(nADM_Kind&lt;&gt;"INFUSION_SEGMENT"))</f>
        <v>0</v>
      </c>
      <c r="AG167" s="22">
        <f>SUMPRODUCT((nADM_SelKey=AE167)*(nADM_Kind&lt;&gt;"INFUSION_SEGMENT")*nADM_Known)</f>
        <v>0</v>
      </c>
      <c r="AH167" s="22">
        <f>SUMPRODUCT((nADM_SelKey=AE167)*(nADM_Kind&lt;&gt;"INFUSION_SEGMENT")*nADM_BSA_missing)</f>
        <v>0</v>
      </c>
      <c r="AI167" s="21" t="str">
        <f>IF(SUMPRODUCT((nADM_SelKey=AE167)*(nADM_Kind&lt;&gt;"INFUSION_SEGMENT")*ISNUMBER(SEARCH("E_MISSING_INPUT",nADM_Q10_Raw)))&gt;0,"; E_MISSING_INPUT","")&amp;IF(SUMPRODUCT((nADM_SelKey=AE167)*(nADM_Kind&lt;&gt;"INFUSION_SEGMENT")*ISNUMBER(SEARCH("E_INVALID_UNIT",nADM_Q10_Raw)))&gt;0,"; E_INVALID_UNIT","")&amp;IF(SUMPRODUCT((nADM_SelKey=AE167)*(nADM_Kind&lt;&gt;"INFUSION_SEGMENT")*ISNUMBER(SEARCH("E_NONPOSITIVE_PARAMETER",nADM_Q10_Raw)))&gt;0,"; E_NONPOSITIVE_PARAMETER","")</f>
        <v/>
      </c>
      <c r="AJ167" s="22">
        <f t="shared" si="310"/>
        <v>0</v>
      </c>
      <c r="AK167" s="22">
        <f>SUMPRODUCT((nADM_SelKey=AE167)*(nADM_Kind&lt;&gt;"INFUSION_SEGMENT")*nADM_A_Dated)</f>
        <v>0</v>
      </c>
      <c r="AL167" s="21" t="str">
        <f>IF(OR(AJ167=0,AF167=0,AK167&lt;AF167),"",IF(SUMPRODUCT((nADM_SelKey=AE167)*(nADM_Kind&lt;&gt;"INFUSION_SEGMENT")*(nADM_Q10_DateErr="E_INVALID_DATE"))&gt;0,"; E_INVALID_DATE","")&amp;IF(SUMPRODUCT((nADM_SelKey=AE167)*(nADM_Kind&lt;&gt;"INFUSION_SEGMENT")*(nADM_Q10_DateErr="E_REVERSED_BOUNDS"))&gt;0,"; E_REVERSED_BOUNDS","")&amp;IF(SUMPRODUCT((nADM_SelKey=AE167)*(nADM_Kind&lt;&gt;"INFUSION_SEGMENT")*(nADM_Q10_DateErr="E_MISSING_INPUT"))&gt;0,"; E_MISSING_INPUT","")&amp;IF(SUMPRODUCT((nADM_SelKey=AE167)*(nADM_Kind&lt;&gt;"INFUSION_SEGMENT")*(nADM_Q10_DateErr="E_INVALID_UNIT"))&gt;0,"; E_INVALID_UNIT",""))</f>
        <v/>
      </c>
      <c r="AM167" s="22">
        <f>IF(AND(AJ167=1,AF167&gt;0,AK167=AF167,SUMPRODUCT((nADM_SelKey=AE167)*(nADM_Kind&lt;&gt;"INFUSION_SEGMENT")*nADM_Valid)=AF167),1,0)</f>
        <v>0</v>
      </c>
      <c r="AN167" s="28">
        <f>IF(AM167=0,0,1000000000000-SUMPRODUCT(MAX((nADM_SelKey=AE167)*(nADM_Kind&lt;&gt;"INFUSION_SEGMENT")*(1000000000000-nADM_Lo_n))))</f>
        <v>0</v>
      </c>
      <c r="AO167" s="28">
        <f>IF(AM167=0,0,SUMPRODUCT(MAX((nADM_SelKey=AE167)*(nADM_Kind&lt;&gt;"INFUSION_SEGMENT")*nADM_Lo_n)))</f>
        <v>0</v>
      </c>
      <c r="AP167" s="22">
        <f>IF(AF167=0,0,IF(AM167=1,MATCH(1,INDEX((nADM_SelKey=AE167)*(nADM_Kind&lt;&gt;"INFUSION_SEGMENT")*(nADM_Lo_n=AN167),0),0),MATCH(1,INDEX((nADM_SelKey=AE167)*(nADM_Kind&lt;&gt;"INFUSION_SEGMENT"),0),0)))</f>
        <v>0</v>
      </c>
      <c r="AQ167" s="22">
        <f>IF(AF167=0,0,IF(AM167=1,MATCH(1,INDEX((nADM_SelKey=AE167)*(nADM_Kind&lt;&gt;"INFUSION_SEGMENT")*(nADM_Lo_n=AO167),0),0),MATCH(SUMPRODUCT(MAX((nADM_SelKey=AE167)*(nADM_Kind&lt;&gt;"INFUSION_SEGMENT")*nADM_RowN)),nADM_RowN,0)))</f>
        <v>0</v>
      </c>
      <c r="AR167" s="22">
        <f>IF(OR(AM167=0,AP167=0),0,IF(SUMPRODUCT((nADM_SelKey=AE167)*(nADM_Kind&lt;&gt;"INFUSION_SEGMENT")*(nADM_Lo_n=AN167)*(nADM_BSA_key&lt;&gt;INDEX(nADM_BSA_key,AP167)))&gt;0,1,0))</f>
        <v>0</v>
      </c>
      <c r="AS167" s="22">
        <f>IF(OR(AM167=0,AQ167=0),0,IF(SUMPRODUCT((nADM_SelKey=AE167)*(nADM_Kind&lt;&gt;"INFUSION_SEGMENT")*(nADM_Lo_n=AO167)*(nADM_BSA_key&lt;&gt;INDEX(nADM_BSA_key,AQ167)))&gt;0,1,0))</f>
        <v>0</v>
      </c>
      <c r="AT167" s="21" t="str">
        <f>IF(G167="STATED",IF(ISNUMBER(H167),H167,""),IF(AND(AJ167=1,AF167&gt;0),IF(G167="FIRST",IF(AP167=0,"",INDEX(nADM_BSA_m2,AP167)),IF(AQ167=0,"",INDEX(nADM_BSA_m2,AQ167))),""))</f>
        <v/>
      </c>
      <c r="AU167" s="21" t="str">
        <f>IF(AB167=1,"",IF(A167="","; E_MISSING_INPUT","")&amp;IF(F167="","; E_MISSING_INPUT","")&amp;IF(AND(F167&lt;&gt;"",AF167=0),"; E_MISSING_INPUT","")&amp;IF(AI167&lt;&gt;"","; "&amp;MID(AI167,3,999)&amp;"","")&amp;IF(ISNUMBER(SEARCH("E_MISSING_INPUT",AI167)),"; E_MISSING_INPUT","")&amp;IF(AND(AF167&gt;0,AG167=0,AI167=""),"; E_MISSING_INPUT","")&amp;IF(AND(G167&lt;&gt;"",ISNA(MATCH(G167,nLIST_MethodB,0))),"; E_MISSING_INPUT","")&amp;IF(AND(AJ167=1,AK167&gt;0,AK167&lt;AF167),"; E_MISSING_INPUT","")&amp;IF(AL167&lt;&gt;"","; "&amp;MID(AL167,3,999)&amp;"","")&amp;IF(AR167=1,"; E_MISSING_INPUT","")&amp;IF(AS167=1,"; E_MISSING_INPUT","")&amp;IF(AND(AJ167=1,AF167&gt;0,NOT(ISNUMBER(AT167))),"; E_MISSING_INPUT","")&amp;IF(AND(G167="STATED",NOT(ISNUMBER(H167))),"; E_MISSING_INPUT","")&amp;IF(AND(G167="STATED",ISNUMBER(H167),H167&lt;=0),"; E_NONPOSITIVE_PARAMETER",""))</f>
        <v/>
      </c>
      <c r="AV167" s="21" t="str">
        <f>IF(AB167=1,"",IF(A167="",", a Calc_ID","")&amp;IF(F167="",", an Exposure_Episode_ID","")&amp;IF(AND(F167&lt;&gt;"",AF167=0),", at least one administration","")&amp;IF(ISNUMBER(SEARCH("E_MISSING_INPUT",AI167)),", the dose, dose unit and any BSA of every administration of "&amp;F167&amp;" as numbers","")&amp;IF(AND(AF167&gt;0,AG167=0,AI167=""),", the BSA recorded at one or more administrations","")&amp;IF(AND(G167&lt;&gt;"",ISNA(MATCH(G167,nLIST_MethodB,0))),", a Method B choice (FIRST, LAST or STATED)","")&amp;IF(AND(AJ167=1,AK167&gt;0,AK167&lt;AF167),", the date of every administration (Method B by first or last administration)","")&amp;IF(AR167=1,", one BSA for the first administration: administrations share its date with different BSAs","")&amp;IF(AS167=1,", one BSA for the last administration: administrations share its date with different BSAs","")&amp;IF(AND(AJ167=1,AF167&gt;0,NOT(ISNUMBER(AT167))),", the "&amp;LOWER(G167)&amp;" BSA for Method B","")&amp;IF(AND(G167="STATED",NOT(ISNUMBER(H167))),", the stated BSA for Method B",""))</f>
        <v/>
      </c>
      <c r="AW167" s="21" t="str">
        <f t="shared" si="311"/>
        <v/>
      </c>
      <c r="AX167" s="21" t="str">
        <f t="shared" si="312"/>
        <v/>
      </c>
      <c r="AY167" s="22">
        <f t="shared" si="313"/>
        <v>0</v>
      </c>
    </row>
    <row r="168" spans="1:51" x14ac:dyDescent="0.2">
      <c r="A168" s="10"/>
      <c r="B168" s="10"/>
      <c r="C168" s="12"/>
      <c r="D168" s="10"/>
      <c r="E168" s="10"/>
      <c r="F168" s="10"/>
      <c r="G168" s="17"/>
      <c r="H168" s="17"/>
      <c r="I168" s="10"/>
      <c r="J168" s="21" t="str">
        <f t="shared" si="293"/>
        <v/>
      </c>
      <c r="K168" s="21" t="str">
        <f t="shared" si="294"/>
        <v/>
      </c>
      <c r="L168" s="21" t="str">
        <f>IF(AY168=1,SUMPRODUCT((nADM_SelKey=AE168)*(nADM_Kind&lt;&gt;"INFUSION_SEGMENT")*nADM_Dose_per_BSA),"")</f>
        <v/>
      </c>
      <c r="M168" s="21" t="str">
        <f>IF(AY168=1,SUMPRODUCT((nADM_SelKey=AE168)*(nADM_Kind&lt;&gt;"INFUSION_SEGMENT")*nADM_Dose_pos_n),"")</f>
        <v/>
      </c>
      <c r="N168" s="21" t="str">
        <f t="shared" si="295"/>
        <v/>
      </c>
      <c r="O168" s="21" t="str">
        <f>IF(AB168=1,"",SUMPRODUCT((nADM_SelKey=AE168)*(nADM_Kind&lt;&gt;"INFUSION_SEGMENT")*nADM_Known))</f>
        <v/>
      </c>
      <c r="P168" s="21" t="str">
        <f t="shared" si="296"/>
        <v/>
      </c>
      <c r="Q168" s="21" t="str">
        <f t="shared" si="297"/>
        <v/>
      </c>
      <c r="R168" s="21" t="str">
        <f t="shared" si="298"/>
        <v/>
      </c>
      <c r="S168" s="21" t="str">
        <f>IF(AB168=1,"",MID(IF(ISNUMBER(SEARCH("E_INVALID_DATE",AW168))," | E_INVALID_DATE: "&amp;SUBSTITUTE(IFERROR(INDEX(nMSG_Text,MATCH("E_INVALID_DATE",nMSG_Code,0)),""),"[input]",""),"")&amp;IF(ISNUMBER(SEARCH("E_REVERSED_BOUNDS",AW168))," | E_REVERSED_BOUNDS: "&amp;SUBSTITUTE(IFERROR(INDEX(nMSG_Text,MATCH("E_REVERSED_BOUNDS",nMSG_Code,0)),""),"[input]",""),"")&amp;IF(ISNUMBER(SEARCH("E_DUPLICATE_ID",AW168))," | E_DUPLICATE_ID: "&amp;SUBSTITUTE(IFERROR(INDEX(nMSG_Text,MATCH("E_DUPLICATE_ID",nMSG_Code,0)),""),"[input]",""),"")&amp;IF(ISNUMBER(SEARCH("E_MISSING_LINK",AW168))," | E_MISSING_LINK: "&amp;SUBSTITUTE(IFERROR(INDEX(nMSG_Text,MATCH("E_MISSING_LINK",nMSG_Code,0)),""),"[input]",""),"")&amp;IF(ISNUMBER(SEARCH("E_MISSING_INPUT",AW168))," | E_MISSING_INPUT: "&amp;SUBSTITUTE(IFERROR(INDEX(nMSG_Text,MATCH("E_MISSING_INPUT",nMSG_Code,0)),""),"[input]",IF(AX168="","an input",AX168)),"")&amp;IF(ISNUMBER(SEARCH("E_INVALID_UNIT",AW168))," | E_INVALID_UNIT: "&amp;SUBSTITUTE(IFERROR(INDEX(nMSG_Text,MATCH("E_INVALID_UNIT",nMSG_Code,0)),""),"[input]",""),"")&amp;IF(ISNUMBER(SEARCH("E_NONPOSITIVE_PARAMETER",AW168))," | E_NONPOSITIVE_PARAMETER: "&amp;SUBSTITUTE(IFERROR(INDEX(nMSG_Text,MATCH("E_NONPOSITIVE_PARAMETER",nMSG_Code,0)),""),"[input]",""),"")&amp;IF(ISNUMBER(SEARCH("E_OUT_OF_RANGE",AW168))," | E_OUT_OF_RANGE: "&amp;SUBSTITUTE(IFERROR(INDEX(nMSG_Text,MATCH("E_OUT_OF_RANGE",nMSG_Code,0)),""),"[input]",""),"")&amp;IF(ISNUMBER(SEARCH("E_APPLICABILITY_UNCONFIRMED",AW168))," | E_APPLICABILITY_UNCONFIRMED: "&amp;SUBSTITUTE(IFERROR(INDEX(nMSG_Text,MATCH("E_APPLICABILITY_UNCONFIRMED",nMSG_Code,0)),""),"[input]",""),"")&amp;IF(ISNUMBER(SEARCH("E_CREATININE_STABILITY_UNCONFIRMED",AW168))," | E_CREATININE_STABILITY_UNCONFIRMED: "&amp;SUBSTITUTE(IFERROR(INDEX(nMSG_Text,MATCH("E_CREATININE_STABILITY_UNCONFIRMED",nMSG_Code,0)),""),"[input]",""),"")&amp;IF(ISNUMBER(SEARCH("E_OVERLAPPING_SEGMENTS",AW168))," | E_OVERLAPPING_SEGMENTS: "&amp;SUBSTITUTE(IFERROR(INDEX(nMSG_Text,MATCH("E_OVERLAPPING_SEGMENTS",nMSG_Code,0)),""),"[input]",""),"")&amp;IF(AY168=1,IF(AH168&gt;0," | W_PARTIAL_BSA: "&amp;SUBSTITUTE(IFERROR(INDEX(nMSG_Text,MATCH("W_PARTIAL_BSA",nMSG_Code,0)),""),"[input]",""),""),""),4,9999))</f>
        <v/>
      </c>
      <c r="T168" s="21" t="str">
        <f t="shared" si="299"/>
        <v/>
      </c>
      <c r="U168" s="21" t="str">
        <f>IF(AB168=1,"",MID(""&amp;" | BSA is the value recorded at each administration; the tool never calculates BSA (CALC-SPEC 1.1, Q10)."&amp;IF(TRIM(E168&amp;"")&lt;&gt;""," | "&amp;E168,"")&amp;IF(AY168=1,IF(AJ168=1,IF(AM168=1," | Method B takes the first and last administrations by date ("&amp;DAY(AN168)&amp;" "&amp;INDEX(nLIST_Months,MONTH(AN168))&amp;" "&amp;YEAR(AN168)&amp;" and "&amp;DAY(AO168)&amp;" "&amp;INDEX(nLIST_Months,MONTH(AO168))&amp;" "&amp;YEAR(AO168)&amp;").",IF(AK168=0," | No administration date is recorded, so Method B takes the first and last administrations in the order entered.","")),""),""),4,9999))</f>
        <v/>
      </c>
      <c r="V168" s="21" t="str">
        <f t="shared" si="300"/>
        <v/>
      </c>
      <c r="W168" s="21" t="str">
        <f t="shared" si="301"/>
        <v/>
      </c>
      <c r="X168" s="21" t="str">
        <f t="shared" si="302"/>
        <v/>
      </c>
      <c r="Y168" s="21" t="str">
        <f t="shared" si="303"/>
        <v/>
      </c>
      <c r="Z168" s="21" t="str">
        <f t="shared" si="304"/>
        <v/>
      </c>
      <c r="AA168" s="21" t="str">
        <f t="shared" si="305"/>
        <v/>
      </c>
      <c r="AB168" s="22">
        <f t="shared" si="306"/>
        <v>1</v>
      </c>
      <c r="AC168" s="21" t="str">
        <f t="shared" si="307"/>
        <v/>
      </c>
      <c r="AD168" s="21" t="str">
        <f t="shared" si="308"/>
        <v/>
      </c>
      <c r="AE168" s="21" t="str">
        <f t="shared" si="309"/>
        <v>||</v>
      </c>
      <c r="AF168" s="22">
        <f>SUMPRODUCT((nADM_SelKey=AE168)*(nADM_Kind&lt;&gt;"INFUSION_SEGMENT"))</f>
        <v>0</v>
      </c>
      <c r="AG168" s="22">
        <f>SUMPRODUCT((nADM_SelKey=AE168)*(nADM_Kind&lt;&gt;"INFUSION_SEGMENT")*nADM_Known)</f>
        <v>0</v>
      </c>
      <c r="AH168" s="22">
        <f>SUMPRODUCT((nADM_SelKey=AE168)*(nADM_Kind&lt;&gt;"INFUSION_SEGMENT")*nADM_BSA_missing)</f>
        <v>0</v>
      </c>
      <c r="AI168" s="21" t="str">
        <f>IF(SUMPRODUCT((nADM_SelKey=AE168)*(nADM_Kind&lt;&gt;"INFUSION_SEGMENT")*ISNUMBER(SEARCH("E_MISSING_INPUT",nADM_Q10_Raw)))&gt;0,"; E_MISSING_INPUT","")&amp;IF(SUMPRODUCT((nADM_SelKey=AE168)*(nADM_Kind&lt;&gt;"INFUSION_SEGMENT")*ISNUMBER(SEARCH("E_INVALID_UNIT",nADM_Q10_Raw)))&gt;0,"; E_INVALID_UNIT","")&amp;IF(SUMPRODUCT((nADM_SelKey=AE168)*(nADM_Kind&lt;&gt;"INFUSION_SEGMENT")*ISNUMBER(SEARCH("E_NONPOSITIVE_PARAMETER",nADM_Q10_Raw)))&gt;0,"; E_NONPOSITIVE_PARAMETER","")</f>
        <v/>
      </c>
      <c r="AJ168" s="22">
        <f t="shared" si="310"/>
        <v>0</v>
      </c>
      <c r="AK168" s="22">
        <f>SUMPRODUCT((nADM_SelKey=AE168)*(nADM_Kind&lt;&gt;"INFUSION_SEGMENT")*nADM_A_Dated)</f>
        <v>0</v>
      </c>
      <c r="AL168" s="21" t="str">
        <f>IF(OR(AJ168=0,AF168=0,AK168&lt;AF168),"",IF(SUMPRODUCT((nADM_SelKey=AE168)*(nADM_Kind&lt;&gt;"INFUSION_SEGMENT")*(nADM_Q10_DateErr="E_INVALID_DATE"))&gt;0,"; E_INVALID_DATE","")&amp;IF(SUMPRODUCT((nADM_SelKey=AE168)*(nADM_Kind&lt;&gt;"INFUSION_SEGMENT")*(nADM_Q10_DateErr="E_REVERSED_BOUNDS"))&gt;0,"; E_REVERSED_BOUNDS","")&amp;IF(SUMPRODUCT((nADM_SelKey=AE168)*(nADM_Kind&lt;&gt;"INFUSION_SEGMENT")*(nADM_Q10_DateErr="E_MISSING_INPUT"))&gt;0,"; E_MISSING_INPUT","")&amp;IF(SUMPRODUCT((nADM_SelKey=AE168)*(nADM_Kind&lt;&gt;"INFUSION_SEGMENT")*(nADM_Q10_DateErr="E_INVALID_UNIT"))&gt;0,"; E_INVALID_UNIT",""))</f>
        <v/>
      </c>
      <c r="AM168" s="22">
        <f>IF(AND(AJ168=1,AF168&gt;0,AK168=AF168,SUMPRODUCT((nADM_SelKey=AE168)*(nADM_Kind&lt;&gt;"INFUSION_SEGMENT")*nADM_Valid)=AF168),1,0)</f>
        <v>0</v>
      </c>
      <c r="AN168" s="28">
        <f>IF(AM168=0,0,1000000000000-SUMPRODUCT(MAX((nADM_SelKey=AE168)*(nADM_Kind&lt;&gt;"INFUSION_SEGMENT")*(1000000000000-nADM_Lo_n))))</f>
        <v>0</v>
      </c>
      <c r="AO168" s="28">
        <f>IF(AM168=0,0,SUMPRODUCT(MAX((nADM_SelKey=AE168)*(nADM_Kind&lt;&gt;"INFUSION_SEGMENT")*nADM_Lo_n)))</f>
        <v>0</v>
      </c>
      <c r="AP168" s="22">
        <f>IF(AF168=0,0,IF(AM168=1,MATCH(1,INDEX((nADM_SelKey=AE168)*(nADM_Kind&lt;&gt;"INFUSION_SEGMENT")*(nADM_Lo_n=AN168),0),0),MATCH(1,INDEX((nADM_SelKey=AE168)*(nADM_Kind&lt;&gt;"INFUSION_SEGMENT"),0),0)))</f>
        <v>0</v>
      </c>
      <c r="AQ168" s="22">
        <f>IF(AF168=0,0,IF(AM168=1,MATCH(1,INDEX((nADM_SelKey=AE168)*(nADM_Kind&lt;&gt;"INFUSION_SEGMENT")*(nADM_Lo_n=AO168),0),0),MATCH(SUMPRODUCT(MAX((nADM_SelKey=AE168)*(nADM_Kind&lt;&gt;"INFUSION_SEGMENT")*nADM_RowN)),nADM_RowN,0)))</f>
        <v>0</v>
      </c>
      <c r="AR168" s="22">
        <f>IF(OR(AM168=0,AP168=0),0,IF(SUMPRODUCT((nADM_SelKey=AE168)*(nADM_Kind&lt;&gt;"INFUSION_SEGMENT")*(nADM_Lo_n=AN168)*(nADM_BSA_key&lt;&gt;INDEX(nADM_BSA_key,AP168)))&gt;0,1,0))</f>
        <v>0</v>
      </c>
      <c r="AS168" s="22">
        <f>IF(OR(AM168=0,AQ168=0),0,IF(SUMPRODUCT((nADM_SelKey=AE168)*(nADM_Kind&lt;&gt;"INFUSION_SEGMENT")*(nADM_Lo_n=AO168)*(nADM_BSA_key&lt;&gt;INDEX(nADM_BSA_key,AQ168)))&gt;0,1,0))</f>
        <v>0</v>
      </c>
      <c r="AT168" s="21" t="str">
        <f>IF(G168="STATED",IF(ISNUMBER(H168),H168,""),IF(AND(AJ168=1,AF168&gt;0),IF(G168="FIRST",IF(AP168=0,"",INDEX(nADM_BSA_m2,AP168)),IF(AQ168=0,"",INDEX(nADM_BSA_m2,AQ168))),""))</f>
        <v/>
      </c>
      <c r="AU168" s="21" t="str">
        <f>IF(AB168=1,"",IF(A168="","; E_MISSING_INPUT","")&amp;IF(F168="","; E_MISSING_INPUT","")&amp;IF(AND(F168&lt;&gt;"",AF168=0),"; E_MISSING_INPUT","")&amp;IF(AI168&lt;&gt;"","; "&amp;MID(AI168,3,999)&amp;"","")&amp;IF(ISNUMBER(SEARCH("E_MISSING_INPUT",AI168)),"; E_MISSING_INPUT","")&amp;IF(AND(AF168&gt;0,AG168=0,AI168=""),"; E_MISSING_INPUT","")&amp;IF(AND(G168&lt;&gt;"",ISNA(MATCH(G168,nLIST_MethodB,0))),"; E_MISSING_INPUT","")&amp;IF(AND(AJ168=1,AK168&gt;0,AK168&lt;AF168),"; E_MISSING_INPUT","")&amp;IF(AL168&lt;&gt;"","; "&amp;MID(AL168,3,999)&amp;"","")&amp;IF(AR168=1,"; E_MISSING_INPUT","")&amp;IF(AS168=1,"; E_MISSING_INPUT","")&amp;IF(AND(AJ168=1,AF168&gt;0,NOT(ISNUMBER(AT168))),"; E_MISSING_INPUT","")&amp;IF(AND(G168="STATED",NOT(ISNUMBER(H168))),"; E_MISSING_INPUT","")&amp;IF(AND(G168="STATED",ISNUMBER(H168),H168&lt;=0),"; E_NONPOSITIVE_PARAMETER",""))</f>
        <v/>
      </c>
      <c r="AV168" s="21" t="str">
        <f>IF(AB168=1,"",IF(A168="",", a Calc_ID","")&amp;IF(F168="",", an Exposure_Episode_ID","")&amp;IF(AND(F168&lt;&gt;"",AF168=0),", at least one administration","")&amp;IF(ISNUMBER(SEARCH("E_MISSING_INPUT",AI168)),", the dose, dose unit and any BSA of every administration of "&amp;F168&amp;" as numbers","")&amp;IF(AND(AF168&gt;0,AG168=0,AI168=""),", the BSA recorded at one or more administrations","")&amp;IF(AND(G168&lt;&gt;"",ISNA(MATCH(G168,nLIST_MethodB,0))),", a Method B choice (FIRST, LAST or STATED)","")&amp;IF(AND(AJ168=1,AK168&gt;0,AK168&lt;AF168),", the date of every administration (Method B by first or last administration)","")&amp;IF(AR168=1,", one BSA for the first administration: administrations share its date with different BSAs","")&amp;IF(AS168=1,", one BSA for the last administration: administrations share its date with different BSAs","")&amp;IF(AND(AJ168=1,AF168&gt;0,NOT(ISNUMBER(AT168))),", the "&amp;LOWER(G168)&amp;" BSA for Method B","")&amp;IF(AND(G168="STATED",NOT(ISNUMBER(H168))),", the stated BSA for Method B",""))</f>
        <v/>
      </c>
      <c r="AW168" s="21" t="str">
        <f t="shared" si="311"/>
        <v/>
      </c>
      <c r="AX168" s="21" t="str">
        <f t="shared" si="312"/>
        <v/>
      </c>
      <c r="AY168" s="22">
        <f t="shared" si="313"/>
        <v>0</v>
      </c>
    </row>
    <row r="169" spans="1:51" x14ac:dyDescent="0.2">
      <c r="A169" s="24" t="s">
        <v>295</v>
      </c>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row>
    <row r="170" spans="1:51" x14ac:dyDescent="0.2">
      <c r="A170" s="9" t="s">
        <v>1457</v>
      </c>
      <c r="B170" s="9" t="s">
        <v>359</v>
      </c>
      <c r="C170" s="11">
        <v>1</v>
      </c>
      <c r="D170" s="9" t="s">
        <v>1458</v>
      </c>
      <c r="E170" s="9"/>
      <c r="F170" s="9" t="s">
        <v>522</v>
      </c>
      <c r="G170" s="16" t="s">
        <v>130</v>
      </c>
      <c r="H170" s="16"/>
      <c r="I170" s="9" t="s">
        <v>1459</v>
      </c>
      <c r="J170" s="21" t="str">
        <f t="shared" ref="J170:J173" si="314">IF(AB170=1,"",IF(AW170&lt;&gt;"",AW170&amp;": no result is shown","Method A (sum of dose / BSA at each administration): "&amp;FIXED(L170,1,FALSE)&amp;" mg/m²"&amp;IF(AH170&gt;0," (lower bound from "&amp;O170&amp;" of "&amp;N170&amp;" administrations)","")&amp;IF(G170="","","; Method B (total "&amp;M170&amp;" mg / "&amp;P170&amp;" m², "&amp;G170&amp;" BSA): "&amp;FIXED(Q170,1,FALSE)&amp;" mg/m²")))</f>
        <v>Method A (sum of dose / BSA at each administration): 164.1 mg/m²; Method B (total 290 mg / 1.8 m², FIRST BSA): 161.1 mg/m²</v>
      </c>
      <c r="K170" s="21" t="str">
        <f t="shared" ref="K170:K173" si="315">IF(AB170=1,"",IF(AY170=0,"Not calculable",MID(IF(AH170=0,"; "&amp;"Cumulative dose, Method A (sum of dose / BSA at each administration)"&amp;": "&amp;FIXED(L170,1,FALSE)&amp;" mg/m²","")&amp;IF(AH170&gt;0,"; "&amp;"Cumulative dose, Method A, lower bound from the known administrations"&amp;": "&amp;FIXED(L170,1,FALSE)&amp;" mg/m² (lower bound)","")&amp;IF(G170&lt;&gt;"","; "&amp;IF(G170="STATED","Method B (total dose / stated BSA "&amp;AT170&amp;" m²)","Method B (total dose / "&amp;LOWER(G170)&amp;" BSA)")&amp;": "&amp;FIXED(Q170,1,FALSE)&amp;" mg/m²",""),3,9999)))</f>
        <v>Cumulative dose, Method A (sum of dose / BSA at each administration): 164.1 mg/m²; Method B (total dose / first BSA): 161.1 mg/m²</v>
      </c>
      <c r="L170" s="21">
        <f>IF(AY170=1,SUMPRODUCT((nADM_SelKey=AE170)*(nADM_Kind&lt;&gt;"INFUSION_SEGMENT")*nADM_Dose_per_BSA),"")</f>
        <v>164.05228758169935</v>
      </c>
      <c r="M170" s="21">
        <f>IF(AY170=1,SUMPRODUCT((nADM_SelKey=AE170)*(nADM_Kind&lt;&gt;"INFUSION_SEGMENT")*nADM_Dose_pos_n),"")</f>
        <v>290</v>
      </c>
      <c r="N170" s="21">
        <f t="shared" ref="N170:N173" si="316">IF(AB170=1,"",AF170)</f>
        <v>3</v>
      </c>
      <c r="O170" s="21">
        <f>IF(AB170=1,"",SUMPRODUCT((nADM_SelKey=AE170)*(nADM_Kind&lt;&gt;"INFUSION_SEGMENT")*nADM_Known))</f>
        <v>3</v>
      </c>
      <c r="P170" s="21">
        <f t="shared" ref="P170:P173" si="317">IF(OR(AY170=0,G170=""),"",AT170)</f>
        <v>1.8</v>
      </c>
      <c r="Q170" s="21">
        <f t="shared" ref="Q170:Q173" si="318">IF(OR(AY170=0,G170=""),"",M170/AT170)</f>
        <v>161.11111111111111</v>
      </c>
      <c r="R170" s="21" t="str">
        <f t="shared" ref="R170:R173" si="319">IF(AB170=1,"",IF(AW170&lt;&gt;"",AW170,MID(IF(AH170&gt;0,"; W_PARTIAL_BSA",""),3,999)))</f>
        <v/>
      </c>
      <c r="S170" s="21" t="str">
        <f>IF(AB170=1,"",MID(IF(ISNUMBER(SEARCH("E_INVALID_DATE",AW170))," | E_INVALID_DATE: "&amp;SUBSTITUTE(IFERROR(INDEX(nMSG_Text,MATCH("E_INVALID_DATE",nMSG_Code,0)),""),"[input]",""),"")&amp;IF(ISNUMBER(SEARCH("E_REVERSED_BOUNDS",AW170))," | E_REVERSED_BOUNDS: "&amp;SUBSTITUTE(IFERROR(INDEX(nMSG_Text,MATCH("E_REVERSED_BOUNDS",nMSG_Code,0)),""),"[input]",""),"")&amp;IF(ISNUMBER(SEARCH("E_DUPLICATE_ID",AW170))," | E_DUPLICATE_ID: "&amp;SUBSTITUTE(IFERROR(INDEX(nMSG_Text,MATCH("E_DUPLICATE_ID",nMSG_Code,0)),""),"[input]",""),"")&amp;IF(ISNUMBER(SEARCH("E_MISSING_LINK",AW170))," | E_MISSING_LINK: "&amp;SUBSTITUTE(IFERROR(INDEX(nMSG_Text,MATCH("E_MISSING_LINK",nMSG_Code,0)),""),"[input]",""),"")&amp;IF(ISNUMBER(SEARCH("E_MISSING_INPUT",AW170))," | E_MISSING_INPUT: "&amp;SUBSTITUTE(IFERROR(INDEX(nMSG_Text,MATCH("E_MISSING_INPUT",nMSG_Code,0)),""),"[input]",IF(AX170="","an input",AX170)),"")&amp;IF(ISNUMBER(SEARCH("E_INVALID_UNIT",AW170))," | E_INVALID_UNIT: "&amp;SUBSTITUTE(IFERROR(INDEX(nMSG_Text,MATCH("E_INVALID_UNIT",nMSG_Code,0)),""),"[input]",""),"")&amp;IF(ISNUMBER(SEARCH("E_NONPOSITIVE_PARAMETER",AW170))," | E_NONPOSITIVE_PARAMETER: "&amp;SUBSTITUTE(IFERROR(INDEX(nMSG_Text,MATCH("E_NONPOSITIVE_PARAMETER",nMSG_Code,0)),""),"[input]",""),"")&amp;IF(ISNUMBER(SEARCH("E_OUT_OF_RANGE",AW170))," | E_OUT_OF_RANGE: "&amp;SUBSTITUTE(IFERROR(INDEX(nMSG_Text,MATCH("E_OUT_OF_RANGE",nMSG_Code,0)),""),"[input]",""),"")&amp;IF(ISNUMBER(SEARCH("E_APPLICABILITY_UNCONFIRMED",AW170))," | E_APPLICABILITY_UNCONFIRMED: "&amp;SUBSTITUTE(IFERROR(INDEX(nMSG_Text,MATCH("E_APPLICABILITY_UNCONFIRMED",nMSG_Code,0)),""),"[input]",""),"")&amp;IF(ISNUMBER(SEARCH("E_CREATININE_STABILITY_UNCONFIRMED",AW170))," | E_CREATININE_STABILITY_UNCONFIRMED: "&amp;SUBSTITUTE(IFERROR(INDEX(nMSG_Text,MATCH("E_CREATININE_STABILITY_UNCONFIRMED",nMSG_Code,0)),""),"[input]",""),"")&amp;IF(ISNUMBER(SEARCH("E_OVERLAPPING_SEGMENTS",AW170))," | E_OVERLAPPING_SEGMENTS: "&amp;SUBSTITUTE(IFERROR(INDEX(nMSG_Text,MATCH("E_OVERLAPPING_SEGMENTS",nMSG_Code,0)),""),"[input]",""),"")&amp;IF(AY170=1,IF(AH170&gt;0," | W_PARTIAL_BSA: "&amp;SUBSTITUTE(IFERROR(INDEX(nMSG_Text,MATCH("W_PARTIAL_BSA",nMSG_Code,0)),""),"[input]",""),""),""),4,9999))</f>
        <v/>
      </c>
      <c r="T170" s="21" t="str">
        <f t="shared" ref="T170:T173" si="320">IF(AB170=1,"","Doses (mg), dates and BSA (m²) recorded at each administration of "&amp;F170&amp;" on Administrations ("&amp;AF170&amp;" administrations) [case measurement]"&amp;IF(G170&lt;&gt;"","; Method B BSA: "&amp;G170&amp;IF(I170&lt;&gt;""," ("&amp;I170&amp;")",""),""))</f>
        <v>Doses (mg), dates and BSA (m²) recorded at each administration of EX1 on Administrations (3 administrations) [case measurement]; Method B BSA: FIRST (BSA at the first administration)</v>
      </c>
      <c r="U170" s="21" t="str">
        <f>IF(AB170=1,"",MID(""&amp;" | BSA is the value recorded at each administration; the tool never calculates BSA (CALC-SPEC 1.1, Q10)."&amp;IF(TRIM(E170&amp;"")&lt;&gt;""," | "&amp;E170,"")&amp;IF(AY170=1,IF(AJ170=1,IF(AM170=1," | Method B takes the first and last administrations by date ("&amp;DAY(AN170)&amp;" "&amp;INDEX(nLIST_Months,MONTH(AN170))&amp;" "&amp;YEAR(AN170)&amp;" and "&amp;DAY(AO170)&amp;" "&amp;INDEX(nLIST_Months,MONTH(AO170))&amp;" "&amp;YEAR(AO170)&amp;").",IF(AK170=0," | No administration date is recorded, so Method B takes the first and last administrations in the order entered.","")),""),""),4,9999))</f>
        <v>BSA is the value recorded at each administration; the tool never calculates BSA (CALC-SPEC 1.1, Q10). | No administration date is recorded, so Method B takes the first and last administrations in the order entered.</v>
      </c>
      <c r="V170" s="21" t="str">
        <f t="shared" ref="V170:V173" si="321">IF(AY170=0,"",MID(IF(AH170=0,"; "&amp;"Cumulative dose, Method A (sum of dose / BSA at each administration)"&amp;" = "&amp;L170&amp;" ("&amp;FIXED(L170,1,FALSE)&amp;" mg/m²"&amp;")","")&amp;IF(AH170&gt;0,"; "&amp;"Cumulative dose, Method A, lower bound from the known administrations"&amp;" = "&amp;L170&amp;" ("&amp;FIXED(L170,1,FALSE)&amp;" mg/m² (lower bound)"&amp;")","")&amp;IF(G170&lt;&gt;"","; "&amp;IF(G170="STATED","Method B (total dose / stated BSA "&amp;AT170&amp;" m²)","Method B (total dose / "&amp;LOWER(G170)&amp;" BSA)")&amp;" = "&amp;Q170&amp;" ("&amp;FIXED(Q170,1,FALSE)&amp;" mg/m²"&amp;")",""),3,9999))</f>
        <v>Cumulative dose, Method A (sum of dose / BSA at each administration) = 164.052287581699 (164.1 mg/m²); Method B (total dose / first BSA) = 161.111111111111 (161.1 mg/m²)</v>
      </c>
      <c r="W170" s="21" t="str">
        <f t="shared" ref="W170:W173" si="322">IF(AY170=0,"","mg/m²")</f>
        <v>mg/m²</v>
      </c>
      <c r="X170" s="21" t="str">
        <f t="shared" ref="X170:X173" si="323">IF(AB170=1,"",IF(TRIM(D170&amp;"")&lt;&gt;"",D170,"Q10 Cumulative dose normalized to body surface area"))</f>
        <v>Vector V26, Method B with the first BSA (no dates: order entered)</v>
      </c>
      <c r="Y170" s="21" t="str">
        <f t="shared" ref="Y170:Y173" si="324">IF(AB170=1,"","Describes cumulative exposure. It is not a toxicity threshold.")</f>
        <v>Describes cumulative exposure. It is not a toxicity threshold.</v>
      </c>
      <c r="Z170" s="21" t="str">
        <f t="shared" ref="Z170:Z173" si="325">IF(AB170=1,"","Method A (default): sum of dose_i / BSA_i; Method B (on request): total dose / one BSA (first or last administration by date, or stated)")</f>
        <v>Method A (default): sum of dose_i / BSA_i; Method B (on request): total dose / one BSA (first or last administration by date, or stated)</v>
      </c>
      <c r="AA170" s="21" t="str">
        <f t="shared" ref="AA170:AA173" si="326">IF(AB170=1,"","CALC-SPEC 1.1")</f>
        <v>CALC-SPEC 1.1</v>
      </c>
      <c r="AB170" s="22">
        <f t="shared" ref="AB170:AB173" si="327">IF(AND(A170="",F170=""),1,0)</f>
        <v>0</v>
      </c>
      <c r="AC170" s="21" t="str">
        <f t="shared" ref="AC170:AC173" si="328">IF(AB170=1,"",B170&amp;"|"&amp;C170)</f>
        <v>VEC-V26|1</v>
      </c>
      <c r="AD170" s="21" t="str">
        <f t="shared" ref="AD170:AD173" si="329">IF(A170="","",B170&amp;"|"&amp;C170&amp;"|"&amp;A170)</f>
        <v>VEC-V26|1|Q10-V26-first</v>
      </c>
      <c r="AE170" s="21" t="str">
        <f t="shared" ref="AE170:AE173" si="330">B170&amp;"|"&amp;C170&amp;"|"&amp;F170</f>
        <v>VEC-V26|1|EX1</v>
      </c>
      <c r="AF170" s="22">
        <f>SUMPRODUCT((nADM_SelKey=AE170)*(nADM_Kind&lt;&gt;"INFUSION_SEGMENT"))</f>
        <v>3</v>
      </c>
      <c r="AG170" s="22">
        <f>SUMPRODUCT((nADM_SelKey=AE170)*(nADM_Kind&lt;&gt;"INFUSION_SEGMENT")*nADM_Known)</f>
        <v>3</v>
      </c>
      <c r="AH170" s="22">
        <f>SUMPRODUCT((nADM_SelKey=AE170)*(nADM_Kind&lt;&gt;"INFUSION_SEGMENT")*nADM_BSA_missing)</f>
        <v>0</v>
      </c>
      <c r="AI170" s="21" t="str">
        <f>IF(SUMPRODUCT((nADM_SelKey=AE170)*(nADM_Kind&lt;&gt;"INFUSION_SEGMENT")*ISNUMBER(SEARCH("E_MISSING_INPUT",nADM_Q10_Raw)))&gt;0,"; E_MISSING_INPUT","")&amp;IF(SUMPRODUCT((nADM_SelKey=AE170)*(nADM_Kind&lt;&gt;"INFUSION_SEGMENT")*ISNUMBER(SEARCH("E_INVALID_UNIT",nADM_Q10_Raw)))&gt;0,"; E_INVALID_UNIT","")&amp;IF(SUMPRODUCT((nADM_SelKey=AE170)*(nADM_Kind&lt;&gt;"INFUSION_SEGMENT")*ISNUMBER(SEARCH("E_NONPOSITIVE_PARAMETER",nADM_Q10_Raw)))&gt;0,"; E_NONPOSITIVE_PARAMETER","")</f>
        <v/>
      </c>
      <c r="AJ170" s="22">
        <f t="shared" ref="AJ170:AJ173" si="331">IF(OR(G170="FIRST",G170="LAST"),1,0)</f>
        <v>1</v>
      </c>
      <c r="AK170" s="22">
        <f>SUMPRODUCT((nADM_SelKey=AE170)*(nADM_Kind&lt;&gt;"INFUSION_SEGMENT")*nADM_A_Dated)</f>
        <v>0</v>
      </c>
      <c r="AL170" s="21" t="str">
        <f>IF(OR(AJ170=0,AF170=0,AK170&lt;AF170),"",IF(SUMPRODUCT((nADM_SelKey=AE170)*(nADM_Kind&lt;&gt;"INFUSION_SEGMENT")*(nADM_Q10_DateErr="E_INVALID_DATE"))&gt;0,"; E_INVALID_DATE","")&amp;IF(SUMPRODUCT((nADM_SelKey=AE170)*(nADM_Kind&lt;&gt;"INFUSION_SEGMENT")*(nADM_Q10_DateErr="E_REVERSED_BOUNDS"))&gt;0,"; E_REVERSED_BOUNDS","")&amp;IF(SUMPRODUCT((nADM_SelKey=AE170)*(nADM_Kind&lt;&gt;"INFUSION_SEGMENT")*(nADM_Q10_DateErr="E_MISSING_INPUT"))&gt;0,"; E_MISSING_INPUT","")&amp;IF(SUMPRODUCT((nADM_SelKey=AE170)*(nADM_Kind&lt;&gt;"INFUSION_SEGMENT")*(nADM_Q10_DateErr="E_INVALID_UNIT"))&gt;0,"; E_INVALID_UNIT",""))</f>
        <v/>
      </c>
      <c r="AM170" s="22">
        <f>IF(AND(AJ170=1,AF170&gt;0,AK170=AF170,SUMPRODUCT((nADM_SelKey=AE170)*(nADM_Kind&lt;&gt;"INFUSION_SEGMENT")*nADM_Valid)=AF170),1,0)</f>
        <v>0</v>
      </c>
      <c r="AN170" s="28">
        <f>IF(AM170=0,0,1000000000000-SUMPRODUCT(MAX((nADM_SelKey=AE170)*(nADM_Kind&lt;&gt;"INFUSION_SEGMENT")*(1000000000000-nADM_Lo_n))))</f>
        <v>0</v>
      </c>
      <c r="AO170" s="28">
        <f>IF(AM170=0,0,SUMPRODUCT(MAX((nADM_SelKey=AE170)*(nADM_Kind&lt;&gt;"INFUSION_SEGMENT")*nADM_Lo_n)))</f>
        <v>0</v>
      </c>
      <c r="AP170" s="22">
        <f>IF(AF170=0,0,IF(AM170=1,MATCH(1,INDEX((nADM_SelKey=AE170)*(nADM_Kind&lt;&gt;"INFUSION_SEGMENT")*(nADM_Lo_n=AN170),0),0),MATCH(1,INDEX((nADM_SelKey=AE170)*(nADM_Kind&lt;&gt;"INFUSION_SEGMENT"),0),0)))</f>
        <v>72</v>
      </c>
      <c r="AQ170" s="22">
        <f>IF(AF170=0,0,IF(AM170=1,MATCH(1,INDEX((nADM_SelKey=AE170)*(nADM_Kind&lt;&gt;"INFUSION_SEGMENT")*(nADM_Lo_n=AO170),0),0),MATCH(SUMPRODUCT(MAX((nADM_SelKey=AE170)*(nADM_Kind&lt;&gt;"INFUSION_SEGMENT")*nADM_RowN)),nADM_RowN,0)))</f>
        <v>74</v>
      </c>
      <c r="AR170" s="22">
        <f>IF(OR(AM170=0,AP170=0),0,IF(SUMPRODUCT((nADM_SelKey=AE170)*(nADM_Kind&lt;&gt;"INFUSION_SEGMENT")*(nADM_Lo_n=AN170)*(nADM_BSA_key&lt;&gt;INDEX(nADM_BSA_key,AP170)))&gt;0,1,0))</f>
        <v>0</v>
      </c>
      <c r="AS170" s="22">
        <f>IF(OR(AM170=0,AQ170=0),0,IF(SUMPRODUCT((nADM_SelKey=AE170)*(nADM_Kind&lt;&gt;"INFUSION_SEGMENT")*(nADM_Lo_n=AO170)*(nADM_BSA_key&lt;&gt;INDEX(nADM_BSA_key,AQ170)))&gt;0,1,0))</f>
        <v>0</v>
      </c>
      <c r="AT170" s="21">
        <f>IF(G170="STATED",IF(ISNUMBER(H170),H170,""),IF(AND(AJ170=1,AF170&gt;0),IF(G170="FIRST",IF(AP170=0,"",INDEX(nADM_BSA_m2,AP170)),IF(AQ170=0,"",INDEX(nADM_BSA_m2,AQ170))),""))</f>
        <v>1.8</v>
      </c>
      <c r="AU170" s="21" t="str">
        <f>IF(AB170=1,"",IF(A170="","; E_MISSING_INPUT","")&amp;IF(F170="","; E_MISSING_INPUT","")&amp;IF(AND(F170&lt;&gt;"",AF170=0),"; E_MISSING_INPUT","")&amp;IF(AI170&lt;&gt;"","; "&amp;MID(AI170,3,999)&amp;"","")&amp;IF(ISNUMBER(SEARCH("E_MISSING_INPUT",AI170)),"; E_MISSING_INPUT","")&amp;IF(AND(AF170&gt;0,AG170=0,AI170=""),"; E_MISSING_INPUT","")&amp;IF(AND(G170&lt;&gt;"",ISNA(MATCH(G170,nLIST_MethodB,0))),"; E_MISSING_INPUT","")&amp;IF(AND(AJ170=1,AK170&gt;0,AK170&lt;AF170),"; E_MISSING_INPUT","")&amp;IF(AL170&lt;&gt;"","; "&amp;MID(AL170,3,999)&amp;"","")&amp;IF(AR170=1,"; E_MISSING_INPUT","")&amp;IF(AS170=1,"; E_MISSING_INPUT","")&amp;IF(AND(AJ170=1,AF170&gt;0,NOT(ISNUMBER(AT170))),"; E_MISSING_INPUT","")&amp;IF(AND(G170="STATED",NOT(ISNUMBER(H170))),"; E_MISSING_INPUT","")&amp;IF(AND(G170="STATED",ISNUMBER(H170),H170&lt;=0),"; E_NONPOSITIVE_PARAMETER",""))</f>
        <v/>
      </c>
      <c r="AV170" s="21" t="str">
        <f>IF(AB170=1,"",IF(A170="",", a Calc_ID","")&amp;IF(F170="",", an Exposure_Episode_ID","")&amp;IF(AND(F170&lt;&gt;"",AF170=0),", at least one administration","")&amp;IF(ISNUMBER(SEARCH("E_MISSING_INPUT",AI170)),", the dose, dose unit and any BSA of every administration of "&amp;F170&amp;" as numbers","")&amp;IF(AND(AF170&gt;0,AG170=0,AI170=""),", the BSA recorded at one or more administrations","")&amp;IF(AND(G170&lt;&gt;"",ISNA(MATCH(G170,nLIST_MethodB,0))),", a Method B choice (FIRST, LAST or STATED)","")&amp;IF(AND(AJ170=1,AK170&gt;0,AK170&lt;AF170),", the date of every administration (Method B by first or last administration)","")&amp;IF(AR170=1,", one BSA for the first administration: administrations share its date with different BSAs","")&amp;IF(AS170=1,", one BSA for the last administration: administrations share its date with different BSAs","")&amp;IF(AND(AJ170=1,AF170&gt;0,NOT(ISNUMBER(AT170))),", the "&amp;LOWER(G170)&amp;" BSA for Method B","")&amp;IF(AND(G170="STATED",NOT(ISNUMBER(H170))),", the stated BSA for Method B",""))</f>
        <v/>
      </c>
      <c r="AW170" s="21" t="str">
        <f t="shared" ref="AW170:AW173" si="332">IF(AB170=1,"",MID(IF(ISNUMBER(SEARCH("E_INVALID_DATE",AU170)),"; E_INVALID_DATE","")&amp;IF(ISNUMBER(SEARCH("E_REVERSED_BOUNDS",AU170)),"; E_REVERSED_BOUNDS","")&amp;IF(ISNUMBER(SEARCH("E_DUPLICATE_ID",AU170)),"; E_DUPLICATE_ID","")&amp;IF(ISNUMBER(SEARCH("E_MISSING_LINK",AU170)),"; E_MISSING_LINK","")&amp;IF(ISNUMBER(SEARCH("E_MISSING_INPUT",AU170)),"; E_MISSING_INPUT","")&amp;IF(ISNUMBER(SEARCH("E_INVALID_UNIT",AU170)),"; E_INVALID_UNIT","")&amp;IF(ISNUMBER(SEARCH("E_NONPOSITIVE_PARAMETER",AU170)),"; E_NONPOSITIVE_PARAMETER","")&amp;IF(ISNUMBER(SEARCH("E_OUT_OF_RANGE",AU170)),"; E_OUT_OF_RANGE","")&amp;IF(ISNUMBER(SEARCH("E_APPLICABILITY_UNCONFIRMED",AU170)),"; E_APPLICABILITY_UNCONFIRMED","")&amp;IF(ISNUMBER(SEARCH("E_CREATININE_STABILITY_UNCONFIRMED",AU170)),"; E_CREATININE_STABILITY_UNCONFIRMED","")&amp;IF(ISNUMBER(SEARCH("E_OVERLAPPING_SEGMENTS",AU170)),"; E_OVERLAPPING_SEGMENTS",""),3,999))</f>
        <v/>
      </c>
      <c r="AX170" s="21" t="str">
        <f t="shared" ref="AX170:AX173" si="333">MID(AV170,3,999)</f>
        <v/>
      </c>
      <c r="AY170" s="22">
        <f t="shared" ref="AY170:AY173" si="334">IF(AND(AB170=0,AW170=""),1,0)</f>
        <v>1</v>
      </c>
    </row>
    <row r="171" spans="1:51" x14ac:dyDescent="0.2">
      <c r="A171" s="9" t="s">
        <v>1460</v>
      </c>
      <c r="B171" s="9" t="s">
        <v>359</v>
      </c>
      <c r="C171" s="11">
        <v>1</v>
      </c>
      <c r="D171" s="9" t="s">
        <v>1461</v>
      </c>
      <c r="E171" s="9"/>
      <c r="F171" s="9" t="s">
        <v>522</v>
      </c>
      <c r="G171" s="16" t="s">
        <v>131</v>
      </c>
      <c r="H171" s="16"/>
      <c r="I171" s="9" t="s">
        <v>1462</v>
      </c>
      <c r="J171" s="21" t="str">
        <f t="shared" si="314"/>
        <v>Method A (sum of dose / BSA at each administration): 164.1 mg/m²; Method B (total 290 mg / 1.7 m², LAST BSA): 170.6 mg/m²</v>
      </c>
      <c r="K171" s="21" t="str">
        <f t="shared" si="315"/>
        <v>Cumulative dose, Method A (sum of dose / BSA at each administration): 164.1 mg/m²; Method B (total dose / last BSA): 170.6 mg/m²</v>
      </c>
      <c r="L171" s="21">
        <f>IF(AY171=1,SUMPRODUCT((nADM_SelKey=AE171)*(nADM_Kind&lt;&gt;"INFUSION_SEGMENT")*nADM_Dose_per_BSA),"")</f>
        <v>164.05228758169935</v>
      </c>
      <c r="M171" s="21">
        <f>IF(AY171=1,SUMPRODUCT((nADM_SelKey=AE171)*(nADM_Kind&lt;&gt;"INFUSION_SEGMENT")*nADM_Dose_pos_n),"")</f>
        <v>290</v>
      </c>
      <c r="N171" s="21">
        <f t="shared" si="316"/>
        <v>3</v>
      </c>
      <c r="O171" s="21">
        <f>IF(AB171=1,"",SUMPRODUCT((nADM_SelKey=AE171)*(nADM_Kind&lt;&gt;"INFUSION_SEGMENT")*nADM_Known))</f>
        <v>3</v>
      </c>
      <c r="P171" s="21">
        <f t="shared" si="317"/>
        <v>1.7</v>
      </c>
      <c r="Q171" s="21">
        <f t="shared" si="318"/>
        <v>170.58823529411765</v>
      </c>
      <c r="R171" s="21" t="str">
        <f t="shared" si="319"/>
        <v/>
      </c>
      <c r="S171" s="21" t="str">
        <f>IF(AB171=1,"",MID(IF(ISNUMBER(SEARCH("E_INVALID_DATE",AW171))," | E_INVALID_DATE: "&amp;SUBSTITUTE(IFERROR(INDEX(nMSG_Text,MATCH("E_INVALID_DATE",nMSG_Code,0)),""),"[input]",""),"")&amp;IF(ISNUMBER(SEARCH("E_REVERSED_BOUNDS",AW171))," | E_REVERSED_BOUNDS: "&amp;SUBSTITUTE(IFERROR(INDEX(nMSG_Text,MATCH("E_REVERSED_BOUNDS",nMSG_Code,0)),""),"[input]",""),"")&amp;IF(ISNUMBER(SEARCH("E_DUPLICATE_ID",AW171))," | E_DUPLICATE_ID: "&amp;SUBSTITUTE(IFERROR(INDEX(nMSG_Text,MATCH("E_DUPLICATE_ID",nMSG_Code,0)),""),"[input]",""),"")&amp;IF(ISNUMBER(SEARCH("E_MISSING_LINK",AW171))," | E_MISSING_LINK: "&amp;SUBSTITUTE(IFERROR(INDEX(nMSG_Text,MATCH("E_MISSING_LINK",nMSG_Code,0)),""),"[input]",""),"")&amp;IF(ISNUMBER(SEARCH("E_MISSING_INPUT",AW171))," | E_MISSING_INPUT: "&amp;SUBSTITUTE(IFERROR(INDEX(nMSG_Text,MATCH("E_MISSING_INPUT",nMSG_Code,0)),""),"[input]",IF(AX171="","an input",AX171)),"")&amp;IF(ISNUMBER(SEARCH("E_INVALID_UNIT",AW171))," | E_INVALID_UNIT: "&amp;SUBSTITUTE(IFERROR(INDEX(nMSG_Text,MATCH("E_INVALID_UNIT",nMSG_Code,0)),""),"[input]",""),"")&amp;IF(ISNUMBER(SEARCH("E_NONPOSITIVE_PARAMETER",AW171))," | E_NONPOSITIVE_PARAMETER: "&amp;SUBSTITUTE(IFERROR(INDEX(nMSG_Text,MATCH("E_NONPOSITIVE_PARAMETER",nMSG_Code,0)),""),"[input]",""),"")&amp;IF(ISNUMBER(SEARCH("E_OUT_OF_RANGE",AW171))," | E_OUT_OF_RANGE: "&amp;SUBSTITUTE(IFERROR(INDEX(nMSG_Text,MATCH("E_OUT_OF_RANGE",nMSG_Code,0)),""),"[input]",""),"")&amp;IF(ISNUMBER(SEARCH("E_APPLICABILITY_UNCONFIRMED",AW171))," | E_APPLICABILITY_UNCONFIRMED: "&amp;SUBSTITUTE(IFERROR(INDEX(nMSG_Text,MATCH("E_APPLICABILITY_UNCONFIRMED",nMSG_Code,0)),""),"[input]",""),"")&amp;IF(ISNUMBER(SEARCH("E_CREATININE_STABILITY_UNCONFIRMED",AW171))," | E_CREATININE_STABILITY_UNCONFIRMED: "&amp;SUBSTITUTE(IFERROR(INDEX(nMSG_Text,MATCH("E_CREATININE_STABILITY_UNCONFIRMED",nMSG_Code,0)),""),"[input]",""),"")&amp;IF(ISNUMBER(SEARCH("E_OVERLAPPING_SEGMENTS",AW171))," | E_OVERLAPPING_SEGMENTS: "&amp;SUBSTITUTE(IFERROR(INDEX(nMSG_Text,MATCH("E_OVERLAPPING_SEGMENTS",nMSG_Code,0)),""),"[input]",""),"")&amp;IF(AY171=1,IF(AH171&gt;0," | W_PARTIAL_BSA: "&amp;SUBSTITUTE(IFERROR(INDEX(nMSG_Text,MATCH("W_PARTIAL_BSA",nMSG_Code,0)),""),"[input]",""),""),""),4,9999))</f>
        <v/>
      </c>
      <c r="T171" s="21" t="str">
        <f t="shared" si="320"/>
        <v>Doses (mg), dates and BSA (m²) recorded at each administration of EX1 on Administrations (3 administrations) [case measurement]; Method B BSA: LAST (BSA at the last administration)</v>
      </c>
      <c r="U171" s="21" t="str">
        <f>IF(AB171=1,"",MID(""&amp;" | BSA is the value recorded at each administration; the tool never calculates BSA (CALC-SPEC 1.1, Q10)."&amp;IF(TRIM(E171&amp;"")&lt;&gt;""," | "&amp;E171,"")&amp;IF(AY171=1,IF(AJ171=1,IF(AM171=1," | Method B takes the first and last administrations by date ("&amp;DAY(AN171)&amp;" "&amp;INDEX(nLIST_Months,MONTH(AN171))&amp;" "&amp;YEAR(AN171)&amp;" and "&amp;DAY(AO171)&amp;" "&amp;INDEX(nLIST_Months,MONTH(AO171))&amp;" "&amp;YEAR(AO171)&amp;").",IF(AK171=0," | No administration date is recorded, so Method B takes the first and last administrations in the order entered.","")),""),""),4,9999))</f>
        <v>BSA is the value recorded at each administration; the tool never calculates BSA (CALC-SPEC 1.1, Q10). | No administration date is recorded, so Method B takes the first and last administrations in the order entered.</v>
      </c>
      <c r="V171" s="21" t="str">
        <f t="shared" si="321"/>
        <v>Cumulative dose, Method A (sum of dose / BSA at each administration) = 164.052287581699 (164.1 mg/m²); Method B (total dose / last BSA) = 170.588235294118 (170.6 mg/m²)</v>
      </c>
      <c r="W171" s="21" t="str">
        <f t="shared" si="322"/>
        <v>mg/m²</v>
      </c>
      <c r="X171" s="21" t="str">
        <f t="shared" si="323"/>
        <v>Vector V26, Method B with the last BSA (no dates: order entered)</v>
      </c>
      <c r="Y171" s="21" t="str">
        <f t="shared" si="324"/>
        <v>Describes cumulative exposure. It is not a toxicity threshold.</v>
      </c>
      <c r="Z171" s="21" t="str">
        <f t="shared" si="325"/>
        <v>Method A (default): sum of dose_i / BSA_i; Method B (on request): total dose / one BSA (first or last administration by date, or stated)</v>
      </c>
      <c r="AA171" s="21" t="str">
        <f t="shared" si="326"/>
        <v>CALC-SPEC 1.1</v>
      </c>
      <c r="AB171" s="22">
        <f t="shared" si="327"/>
        <v>0</v>
      </c>
      <c r="AC171" s="21" t="str">
        <f t="shared" si="328"/>
        <v>VEC-V26|1</v>
      </c>
      <c r="AD171" s="21" t="str">
        <f t="shared" si="329"/>
        <v>VEC-V26|1|Q10-V26-last</v>
      </c>
      <c r="AE171" s="21" t="str">
        <f t="shared" si="330"/>
        <v>VEC-V26|1|EX1</v>
      </c>
      <c r="AF171" s="22">
        <f>SUMPRODUCT((nADM_SelKey=AE171)*(nADM_Kind&lt;&gt;"INFUSION_SEGMENT"))</f>
        <v>3</v>
      </c>
      <c r="AG171" s="22">
        <f>SUMPRODUCT((nADM_SelKey=AE171)*(nADM_Kind&lt;&gt;"INFUSION_SEGMENT")*nADM_Known)</f>
        <v>3</v>
      </c>
      <c r="AH171" s="22">
        <f>SUMPRODUCT((nADM_SelKey=AE171)*(nADM_Kind&lt;&gt;"INFUSION_SEGMENT")*nADM_BSA_missing)</f>
        <v>0</v>
      </c>
      <c r="AI171" s="21" t="str">
        <f>IF(SUMPRODUCT((nADM_SelKey=AE171)*(nADM_Kind&lt;&gt;"INFUSION_SEGMENT")*ISNUMBER(SEARCH("E_MISSING_INPUT",nADM_Q10_Raw)))&gt;0,"; E_MISSING_INPUT","")&amp;IF(SUMPRODUCT((nADM_SelKey=AE171)*(nADM_Kind&lt;&gt;"INFUSION_SEGMENT")*ISNUMBER(SEARCH("E_INVALID_UNIT",nADM_Q10_Raw)))&gt;0,"; E_INVALID_UNIT","")&amp;IF(SUMPRODUCT((nADM_SelKey=AE171)*(nADM_Kind&lt;&gt;"INFUSION_SEGMENT")*ISNUMBER(SEARCH("E_NONPOSITIVE_PARAMETER",nADM_Q10_Raw)))&gt;0,"; E_NONPOSITIVE_PARAMETER","")</f>
        <v/>
      </c>
      <c r="AJ171" s="22">
        <f t="shared" si="331"/>
        <v>1</v>
      </c>
      <c r="AK171" s="22">
        <f>SUMPRODUCT((nADM_SelKey=AE171)*(nADM_Kind&lt;&gt;"INFUSION_SEGMENT")*nADM_A_Dated)</f>
        <v>0</v>
      </c>
      <c r="AL171" s="21" t="str">
        <f>IF(OR(AJ171=0,AF171=0,AK171&lt;AF171),"",IF(SUMPRODUCT((nADM_SelKey=AE171)*(nADM_Kind&lt;&gt;"INFUSION_SEGMENT")*(nADM_Q10_DateErr="E_INVALID_DATE"))&gt;0,"; E_INVALID_DATE","")&amp;IF(SUMPRODUCT((nADM_SelKey=AE171)*(nADM_Kind&lt;&gt;"INFUSION_SEGMENT")*(nADM_Q10_DateErr="E_REVERSED_BOUNDS"))&gt;0,"; E_REVERSED_BOUNDS","")&amp;IF(SUMPRODUCT((nADM_SelKey=AE171)*(nADM_Kind&lt;&gt;"INFUSION_SEGMENT")*(nADM_Q10_DateErr="E_MISSING_INPUT"))&gt;0,"; E_MISSING_INPUT","")&amp;IF(SUMPRODUCT((nADM_SelKey=AE171)*(nADM_Kind&lt;&gt;"INFUSION_SEGMENT")*(nADM_Q10_DateErr="E_INVALID_UNIT"))&gt;0,"; E_INVALID_UNIT",""))</f>
        <v/>
      </c>
      <c r="AM171" s="22">
        <f>IF(AND(AJ171=1,AF171&gt;0,AK171=AF171,SUMPRODUCT((nADM_SelKey=AE171)*(nADM_Kind&lt;&gt;"INFUSION_SEGMENT")*nADM_Valid)=AF171),1,0)</f>
        <v>0</v>
      </c>
      <c r="AN171" s="28">
        <f>IF(AM171=0,0,1000000000000-SUMPRODUCT(MAX((nADM_SelKey=AE171)*(nADM_Kind&lt;&gt;"INFUSION_SEGMENT")*(1000000000000-nADM_Lo_n))))</f>
        <v>0</v>
      </c>
      <c r="AO171" s="28">
        <f>IF(AM171=0,0,SUMPRODUCT(MAX((nADM_SelKey=AE171)*(nADM_Kind&lt;&gt;"INFUSION_SEGMENT")*nADM_Lo_n)))</f>
        <v>0</v>
      </c>
      <c r="AP171" s="22">
        <f>IF(AF171=0,0,IF(AM171=1,MATCH(1,INDEX((nADM_SelKey=AE171)*(nADM_Kind&lt;&gt;"INFUSION_SEGMENT")*(nADM_Lo_n=AN171),0),0),MATCH(1,INDEX((nADM_SelKey=AE171)*(nADM_Kind&lt;&gt;"INFUSION_SEGMENT"),0),0)))</f>
        <v>72</v>
      </c>
      <c r="AQ171" s="22">
        <f>IF(AF171=0,0,IF(AM171=1,MATCH(1,INDEX((nADM_SelKey=AE171)*(nADM_Kind&lt;&gt;"INFUSION_SEGMENT")*(nADM_Lo_n=AO171),0),0),MATCH(SUMPRODUCT(MAX((nADM_SelKey=AE171)*(nADM_Kind&lt;&gt;"INFUSION_SEGMENT")*nADM_RowN)),nADM_RowN,0)))</f>
        <v>74</v>
      </c>
      <c r="AR171" s="22">
        <f>IF(OR(AM171=0,AP171=0),0,IF(SUMPRODUCT((nADM_SelKey=AE171)*(nADM_Kind&lt;&gt;"INFUSION_SEGMENT")*(nADM_Lo_n=AN171)*(nADM_BSA_key&lt;&gt;INDEX(nADM_BSA_key,AP171)))&gt;0,1,0))</f>
        <v>0</v>
      </c>
      <c r="AS171" s="22">
        <f>IF(OR(AM171=0,AQ171=0),0,IF(SUMPRODUCT((nADM_SelKey=AE171)*(nADM_Kind&lt;&gt;"INFUSION_SEGMENT")*(nADM_Lo_n=AO171)*(nADM_BSA_key&lt;&gt;INDEX(nADM_BSA_key,AQ171)))&gt;0,1,0))</f>
        <v>0</v>
      </c>
      <c r="AT171" s="21">
        <f>IF(G171="STATED",IF(ISNUMBER(H171),H171,""),IF(AND(AJ171=1,AF171&gt;0),IF(G171="FIRST",IF(AP171=0,"",INDEX(nADM_BSA_m2,AP171)),IF(AQ171=0,"",INDEX(nADM_BSA_m2,AQ171))),""))</f>
        <v>1.7</v>
      </c>
      <c r="AU171" s="21" t="str">
        <f>IF(AB171=1,"",IF(A171="","; E_MISSING_INPUT","")&amp;IF(F171="","; E_MISSING_INPUT","")&amp;IF(AND(F171&lt;&gt;"",AF171=0),"; E_MISSING_INPUT","")&amp;IF(AI171&lt;&gt;"","; "&amp;MID(AI171,3,999)&amp;"","")&amp;IF(ISNUMBER(SEARCH("E_MISSING_INPUT",AI171)),"; E_MISSING_INPUT","")&amp;IF(AND(AF171&gt;0,AG171=0,AI171=""),"; E_MISSING_INPUT","")&amp;IF(AND(G171&lt;&gt;"",ISNA(MATCH(G171,nLIST_MethodB,0))),"; E_MISSING_INPUT","")&amp;IF(AND(AJ171=1,AK171&gt;0,AK171&lt;AF171),"; E_MISSING_INPUT","")&amp;IF(AL171&lt;&gt;"","; "&amp;MID(AL171,3,999)&amp;"","")&amp;IF(AR171=1,"; E_MISSING_INPUT","")&amp;IF(AS171=1,"; E_MISSING_INPUT","")&amp;IF(AND(AJ171=1,AF171&gt;0,NOT(ISNUMBER(AT171))),"; E_MISSING_INPUT","")&amp;IF(AND(G171="STATED",NOT(ISNUMBER(H171))),"; E_MISSING_INPUT","")&amp;IF(AND(G171="STATED",ISNUMBER(H171),H171&lt;=0),"; E_NONPOSITIVE_PARAMETER",""))</f>
        <v/>
      </c>
      <c r="AV171" s="21" t="str">
        <f>IF(AB171=1,"",IF(A171="",", a Calc_ID","")&amp;IF(F171="",", an Exposure_Episode_ID","")&amp;IF(AND(F171&lt;&gt;"",AF171=0),", at least one administration","")&amp;IF(ISNUMBER(SEARCH("E_MISSING_INPUT",AI171)),", the dose, dose unit and any BSA of every administration of "&amp;F171&amp;" as numbers","")&amp;IF(AND(AF171&gt;0,AG171=0,AI171=""),", the BSA recorded at one or more administrations","")&amp;IF(AND(G171&lt;&gt;"",ISNA(MATCH(G171,nLIST_MethodB,0))),", a Method B choice (FIRST, LAST or STATED)","")&amp;IF(AND(AJ171=1,AK171&gt;0,AK171&lt;AF171),", the date of every administration (Method B by first or last administration)","")&amp;IF(AR171=1,", one BSA for the first administration: administrations share its date with different BSAs","")&amp;IF(AS171=1,", one BSA for the last administration: administrations share its date with different BSAs","")&amp;IF(AND(AJ171=1,AF171&gt;0,NOT(ISNUMBER(AT171))),", the "&amp;LOWER(G171)&amp;" BSA for Method B","")&amp;IF(AND(G171="STATED",NOT(ISNUMBER(H171))),", the stated BSA for Method B",""))</f>
        <v/>
      </c>
      <c r="AW171" s="21" t="str">
        <f t="shared" si="332"/>
        <v/>
      </c>
      <c r="AX171" s="21" t="str">
        <f t="shared" si="333"/>
        <v/>
      </c>
      <c r="AY171" s="22">
        <f t="shared" si="334"/>
        <v>1</v>
      </c>
    </row>
    <row r="172" spans="1:51" x14ac:dyDescent="0.2">
      <c r="A172" s="9" t="s">
        <v>1463</v>
      </c>
      <c r="B172" s="9" t="s">
        <v>383</v>
      </c>
      <c r="C172" s="11">
        <v>1</v>
      </c>
      <c r="D172" s="9" t="s">
        <v>1464</v>
      </c>
      <c r="E172" s="9"/>
      <c r="F172" s="9" t="s">
        <v>522</v>
      </c>
      <c r="G172" s="16" t="s">
        <v>130</v>
      </c>
      <c r="H172" s="16"/>
      <c r="I172" s="9" t="s">
        <v>1465</v>
      </c>
      <c r="J172" s="21" t="str">
        <f t="shared" si="314"/>
        <v>Method A (sum of dose / BSA at each administration): 164.1 mg/m²; Method B (total 290 mg / 1.8 m², FIRST BSA): 161.1 mg/m²</v>
      </c>
      <c r="K172" s="21" t="str">
        <f t="shared" si="315"/>
        <v>Cumulative dose, Method A (sum of dose / BSA at each administration): 164.1 mg/m²; Method B (total dose / first BSA): 161.1 mg/m²</v>
      </c>
      <c r="L172" s="21">
        <f>IF(AY172=1,SUMPRODUCT((nADM_SelKey=AE172)*(nADM_Kind&lt;&gt;"INFUSION_SEGMENT")*nADM_Dose_per_BSA),"")</f>
        <v>164.05228758169937</v>
      </c>
      <c r="M172" s="21">
        <f>IF(AY172=1,SUMPRODUCT((nADM_SelKey=AE172)*(nADM_Kind&lt;&gt;"INFUSION_SEGMENT")*nADM_Dose_pos_n),"")</f>
        <v>290</v>
      </c>
      <c r="N172" s="21">
        <f t="shared" si="316"/>
        <v>3</v>
      </c>
      <c r="O172" s="21">
        <f>IF(AB172=1,"",SUMPRODUCT((nADM_SelKey=AE172)*(nADM_Kind&lt;&gt;"INFUSION_SEGMENT")*nADM_Known))</f>
        <v>3</v>
      </c>
      <c r="P172" s="21">
        <f t="shared" si="317"/>
        <v>1.8</v>
      </c>
      <c r="Q172" s="21">
        <f t="shared" si="318"/>
        <v>161.11111111111111</v>
      </c>
      <c r="R172" s="21" t="str">
        <f t="shared" si="319"/>
        <v/>
      </c>
      <c r="S172" s="21" t="str">
        <f>IF(AB172=1,"",MID(IF(ISNUMBER(SEARCH("E_INVALID_DATE",AW172))," | E_INVALID_DATE: "&amp;SUBSTITUTE(IFERROR(INDEX(nMSG_Text,MATCH("E_INVALID_DATE",nMSG_Code,0)),""),"[input]",""),"")&amp;IF(ISNUMBER(SEARCH("E_REVERSED_BOUNDS",AW172))," | E_REVERSED_BOUNDS: "&amp;SUBSTITUTE(IFERROR(INDEX(nMSG_Text,MATCH("E_REVERSED_BOUNDS",nMSG_Code,0)),""),"[input]",""),"")&amp;IF(ISNUMBER(SEARCH("E_DUPLICATE_ID",AW172))," | E_DUPLICATE_ID: "&amp;SUBSTITUTE(IFERROR(INDEX(nMSG_Text,MATCH("E_DUPLICATE_ID",nMSG_Code,0)),""),"[input]",""),"")&amp;IF(ISNUMBER(SEARCH("E_MISSING_LINK",AW172))," | E_MISSING_LINK: "&amp;SUBSTITUTE(IFERROR(INDEX(nMSG_Text,MATCH("E_MISSING_LINK",nMSG_Code,0)),""),"[input]",""),"")&amp;IF(ISNUMBER(SEARCH("E_MISSING_INPUT",AW172))," | E_MISSING_INPUT: "&amp;SUBSTITUTE(IFERROR(INDEX(nMSG_Text,MATCH("E_MISSING_INPUT",nMSG_Code,0)),""),"[input]",IF(AX172="","an input",AX172)),"")&amp;IF(ISNUMBER(SEARCH("E_INVALID_UNIT",AW172))," | E_INVALID_UNIT: "&amp;SUBSTITUTE(IFERROR(INDEX(nMSG_Text,MATCH("E_INVALID_UNIT",nMSG_Code,0)),""),"[input]",""),"")&amp;IF(ISNUMBER(SEARCH("E_NONPOSITIVE_PARAMETER",AW172))," | E_NONPOSITIVE_PARAMETER: "&amp;SUBSTITUTE(IFERROR(INDEX(nMSG_Text,MATCH("E_NONPOSITIVE_PARAMETER",nMSG_Code,0)),""),"[input]",""),"")&amp;IF(ISNUMBER(SEARCH("E_OUT_OF_RANGE",AW172))," | E_OUT_OF_RANGE: "&amp;SUBSTITUTE(IFERROR(INDEX(nMSG_Text,MATCH("E_OUT_OF_RANGE",nMSG_Code,0)),""),"[input]",""),"")&amp;IF(ISNUMBER(SEARCH("E_APPLICABILITY_UNCONFIRMED",AW172))," | E_APPLICABILITY_UNCONFIRMED: "&amp;SUBSTITUTE(IFERROR(INDEX(nMSG_Text,MATCH("E_APPLICABILITY_UNCONFIRMED",nMSG_Code,0)),""),"[input]",""),"")&amp;IF(ISNUMBER(SEARCH("E_CREATININE_STABILITY_UNCONFIRMED",AW172))," | E_CREATININE_STABILITY_UNCONFIRMED: "&amp;SUBSTITUTE(IFERROR(INDEX(nMSG_Text,MATCH("E_CREATININE_STABILITY_UNCONFIRMED",nMSG_Code,0)),""),"[input]",""),"")&amp;IF(ISNUMBER(SEARCH("E_OVERLAPPING_SEGMENTS",AW172))," | E_OVERLAPPING_SEGMENTS: "&amp;SUBSTITUTE(IFERROR(INDEX(nMSG_Text,MATCH("E_OVERLAPPING_SEGMENTS",nMSG_Code,0)),""),"[input]",""),"")&amp;IF(AY172=1,IF(AH172&gt;0," | W_PARTIAL_BSA: "&amp;SUBSTITUTE(IFERROR(INDEX(nMSG_Text,MATCH("W_PARTIAL_BSA",nMSG_Code,0)),""),"[input]",""),""),""),4,9999))</f>
        <v/>
      </c>
      <c r="T172" s="21" t="str">
        <f t="shared" si="320"/>
        <v>Doses (mg), dates and BSA (m²) recorded at each administration of EX1 on Administrations (3 administrations) [case measurement]; Method B BSA: FIRST (BSA at the earliest administration)</v>
      </c>
      <c r="U172" s="21" t="str">
        <f>IF(AB172=1,"",MID(""&amp;" | BSA is the value recorded at each administration; the tool never calculates BSA (CALC-SPEC 1.1, Q10)."&amp;IF(TRIM(E172&amp;"")&lt;&gt;""," | "&amp;E172,"")&amp;IF(AY172=1,IF(AJ172=1,IF(AM172=1," | Method B takes the first and last administrations by date ("&amp;DAY(AN172)&amp;" "&amp;INDEX(nLIST_Months,MONTH(AN172))&amp;" "&amp;YEAR(AN172)&amp;" and "&amp;DAY(AO172)&amp;" "&amp;INDEX(nLIST_Months,MONTH(AO172))&amp;" "&amp;YEAR(AO172)&amp;").",IF(AK172=0," | No administration date is recorded, so Method B takes the first and last administrations in the order entered.","")),""),""),4,9999))</f>
        <v>BSA is the value recorded at each administration; the tool never calculates BSA (CALC-SPEC 1.1, Q10). | Method B takes the first and last administrations by date (1 January 2026 and 1 February 2026).</v>
      </c>
      <c r="V172" s="21" t="str">
        <f t="shared" si="321"/>
        <v>Cumulative dose, Method A (sum of dose / BSA at each administration) = 164.052287581699 (164.1 mg/m²); Method B (total dose / first BSA) = 161.111111111111 (161.1 mg/m²)</v>
      </c>
      <c r="W172" s="21" t="str">
        <f t="shared" si="322"/>
        <v>mg/m²</v>
      </c>
      <c r="X172" s="21" t="str">
        <f t="shared" si="323"/>
        <v>Vector V38, Method B with the first BSA by date (listed out of date order)</v>
      </c>
      <c r="Y172" s="21" t="str">
        <f t="shared" si="324"/>
        <v>Describes cumulative exposure. It is not a toxicity threshold.</v>
      </c>
      <c r="Z172" s="21" t="str">
        <f t="shared" si="325"/>
        <v>Method A (default): sum of dose_i / BSA_i; Method B (on request): total dose / one BSA (first or last administration by date, or stated)</v>
      </c>
      <c r="AA172" s="21" t="str">
        <f t="shared" si="326"/>
        <v>CALC-SPEC 1.1</v>
      </c>
      <c r="AB172" s="22">
        <f t="shared" si="327"/>
        <v>0</v>
      </c>
      <c r="AC172" s="21" t="str">
        <f t="shared" si="328"/>
        <v>VEC-V38|1</v>
      </c>
      <c r="AD172" s="21" t="str">
        <f t="shared" si="329"/>
        <v>VEC-V38|1|Q10-V38-first</v>
      </c>
      <c r="AE172" s="21" t="str">
        <f t="shared" si="330"/>
        <v>VEC-V38|1|EX1</v>
      </c>
      <c r="AF172" s="22">
        <f>SUMPRODUCT((nADM_SelKey=AE172)*(nADM_Kind&lt;&gt;"INFUSION_SEGMENT"))</f>
        <v>3</v>
      </c>
      <c r="AG172" s="22">
        <f>SUMPRODUCT((nADM_SelKey=AE172)*(nADM_Kind&lt;&gt;"INFUSION_SEGMENT")*nADM_Known)</f>
        <v>3</v>
      </c>
      <c r="AH172" s="22">
        <f>SUMPRODUCT((nADM_SelKey=AE172)*(nADM_Kind&lt;&gt;"INFUSION_SEGMENT")*nADM_BSA_missing)</f>
        <v>0</v>
      </c>
      <c r="AI172" s="21" t="str">
        <f>IF(SUMPRODUCT((nADM_SelKey=AE172)*(nADM_Kind&lt;&gt;"INFUSION_SEGMENT")*ISNUMBER(SEARCH("E_MISSING_INPUT",nADM_Q10_Raw)))&gt;0,"; E_MISSING_INPUT","")&amp;IF(SUMPRODUCT((nADM_SelKey=AE172)*(nADM_Kind&lt;&gt;"INFUSION_SEGMENT")*ISNUMBER(SEARCH("E_INVALID_UNIT",nADM_Q10_Raw)))&gt;0,"; E_INVALID_UNIT","")&amp;IF(SUMPRODUCT((nADM_SelKey=AE172)*(nADM_Kind&lt;&gt;"INFUSION_SEGMENT")*ISNUMBER(SEARCH("E_NONPOSITIVE_PARAMETER",nADM_Q10_Raw)))&gt;0,"; E_NONPOSITIVE_PARAMETER","")</f>
        <v/>
      </c>
      <c r="AJ172" s="22">
        <f t="shared" si="331"/>
        <v>1</v>
      </c>
      <c r="AK172" s="22">
        <f>SUMPRODUCT((nADM_SelKey=AE172)*(nADM_Kind&lt;&gt;"INFUSION_SEGMENT")*nADM_A_Dated)</f>
        <v>3</v>
      </c>
      <c r="AL172" s="21" t="str">
        <f>IF(OR(AJ172=0,AF172=0,AK172&lt;AF172),"",IF(SUMPRODUCT((nADM_SelKey=AE172)*(nADM_Kind&lt;&gt;"INFUSION_SEGMENT")*(nADM_Q10_DateErr="E_INVALID_DATE"))&gt;0,"; E_INVALID_DATE","")&amp;IF(SUMPRODUCT((nADM_SelKey=AE172)*(nADM_Kind&lt;&gt;"INFUSION_SEGMENT")*(nADM_Q10_DateErr="E_REVERSED_BOUNDS"))&gt;0,"; E_REVERSED_BOUNDS","")&amp;IF(SUMPRODUCT((nADM_SelKey=AE172)*(nADM_Kind&lt;&gt;"INFUSION_SEGMENT")*(nADM_Q10_DateErr="E_MISSING_INPUT"))&gt;0,"; E_MISSING_INPUT","")&amp;IF(SUMPRODUCT((nADM_SelKey=AE172)*(nADM_Kind&lt;&gt;"INFUSION_SEGMENT")*(nADM_Q10_DateErr="E_INVALID_UNIT"))&gt;0,"; E_INVALID_UNIT",""))</f>
        <v/>
      </c>
      <c r="AM172" s="22">
        <f>IF(AND(AJ172=1,AF172&gt;0,AK172=AF172,SUMPRODUCT((nADM_SelKey=AE172)*(nADM_Kind&lt;&gt;"INFUSION_SEGMENT")*nADM_Valid)=AF172),1,0)</f>
        <v>1</v>
      </c>
      <c r="AN172" s="28">
        <f>IF(AM172=0,0,1000000000000-SUMPRODUCT(MAX((nADM_SelKey=AE172)*(nADM_Kind&lt;&gt;"INFUSION_SEGMENT")*(1000000000000-nADM_Lo_n))))</f>
        <v>46023</v>
      </c>
      <c r="AO172" s="28">
        <f>IF(AM172=0,0,SUMPRODUCT(MAX((nADM_SelKey=AE172)*(nADM_Kind&lt;&gt;"INFUSION_SEGMENT")*nADM_Lo_n)))</f>
        <v>46054</v>
      </c>
      <c r="AP172" s="22">
        <f>IF(AF172=0,0,IF(AM172=1,MATCH(1,INDEX((nADM_SelKey=AE172)*(nADM_Kind&lt;&gt;"INFUSION_SEGMENT")*(nADM_Lo_n=AN172),0),0),MATCH(1,INDEX((nADM_SelKey=AE172)*(nADM_Kind&lt;&gt;"INFUSION_SEGMENT"),0),0)))</f>
        <v>78</v>
      </c>
      <c r="AQ172" s="22">
        <f>IF(AF172=0,0,IF(AM172=1,MATCH(1,INDEX((nADM_SelKey=AE172)*(nADM_Kind&lt;&gt;"INFUSION_SEGMENT")*(nADM_Lo_n=AO172),0),0),MATCH(SUMPRODUCT(MAX((nADM_SelKey=AE172)*(nADM_Kind&lt;&gt;"INFUSION_SEGMENT")*nADM_RowN)),nADM_RowN,0)))</f>
        <v>77</v>
      </c>
      <c r="AR172" s="22">
        <f>IF(OR(AM172=0,AP172=0),0,IF(SUMPRODUCT((nADM_SelKey=AE172)*(nADM_Kind&lt;&gt;"INFUSION_SEGMENT")*(nADM_Lo_n=AN172)*(nADM_BSA_key&lt;&gt;INDEX(nADM_BSA_key,AP172)))&gt;0,1,0))</f>
        <v>0</v>
      </c>
      <c r="AS172" s="22">
        <f>IF(OR(AM172=0,AQ172=0),0,IF(SUMPRODUCT((nADM_SelKey=AE172)*(nADM_Kind&lt;&gt;"INFUSION_SEGMENT")*(nADM_Lo_n=AO172)*(nADM_BSA_key&lt;&gt;INDEX(nADM_BSA_key,AQ172)))&gt;0,1,0))</f>
        <v>0</v>
      </c>
      <c r="AT172" s="21">
        <f>IF(G172="STATED",IF(ISNUMBER(H172),H172,""),IF(AND(AJ172=1,AF172&gt;0),IF(G172="FIRST",IF(AP172=0,"",INDEX(nADM_BSA_m2,AP172)),IF(AQ172=0,"",INDEX(nADM_BSA_m2,AQ172))),""))</f>
        <v>1.8</v>
      </c>
      <c r="AU172" s="21" t="str">
        <f>IF(AB172=1,"",IF(A172="","; E_MISSING_INPUT","")&amp;IF(F172="","; E_MISSING_INPUT","")&amp;IF(AND(F172&lt;&gt;"",AF172=0),"; E_MISSING_INPUT","")&amp;IF(AI172&lt;&gt;"","; "&amp;MID(AI172,3,999)&amp;"","")&amp;IF(ISNUMBER(SEARCH("E_MISSING_INPUT",AI172)),"; E_MISSING_INPUT","")&amp;IF(AND(AF172&gt;0,AG172=0,AI172=""),"; E_MISSING_INPUT","")&amp;IF(AND(G172&lt;&gt;"",ISNA(MATCH(G172,nLIST_MethodB,0))),"; E_MISSING_INPUT","")&amp;IF(AND(AJ172=1,AK172&gt;0,AK172&lt;AF172),"; E_MISSING_INPUT","")&amp;IF(AL172&lt;&gt;"","; "&amp;MID(AL172,3,999)&amp;"","")&amp;IF(AR172=1,"; E_MISSING_INPUT","")&amp;IF(AS172=1,"; E_MISSING_INPUT","")&amp;IF(AND(AJ172=1,AF172&gt;0,NOT(ISNUMBER(AT172))),"; E_MISSING_INPUT","")&amp;IF(AND(G172="STATED",NOT(ISNUMBER(H172))),"; E_MISSING_INPUT","")&amp;IF(AND(G172="STATED",ISNUMBER(H172),H172&lt;=0),"; E_NONPOSITIVE_PARAMETER",""))</f>
        <v/>
      </c>
      <c r="AV172" s="21" t="str">
        <f>IF(AB172=1,"",IF(A172="",", a Calc_ID","")&amp;IF(F172="",", an Exposure_Episode_ID","")&amp;IF(AND(F172&lt;&gt;"",AF172=0),", at least one administration","")&amp;IF(ISNUMBER(SEARCH("E_MISSING_INPUT",AI172)),", the dose, dose unit and any BSA of every administration of "&amp;F172&amp;" as numbers","")&amp;IF(AND(AF172&gt;0,AG172=0,AI172=""),", the BSA recorded at one or more administrations","")&amp;IF(AND(G172&lt;&gt;"",ISNA(MATCH(G172,nLIST_MethodB,0))),", a Method B choice (FIRST, LAST or STATED)","")&amp;IF(AND(AJ172=1,AK172&gt;0,AK172&lt;AF172),", the date of every administration (Method B by first or last administration)","")&amp;IF(AR172=1,", one BSA for the first administration: administrations share its date with different BSAs","")&amp;IF(AS172=1,", one BSA for the last administration: administrations share its date with different BSAs","")&amp;IF(AND(AJ172=1,AF172&gt;0,NOT(ISNUMBER(AT172))),", the "&amp;LOWER(G172)&amp;" BSA for Method B","")&amp;IF(AND(G172="STATED",NOT(ISNUMBER(H172))),", the stated BSA for Method B",""))</f>
        <v/>
      </c>
      <c r="AW172" s="21" t="str">
        <f t="shared" si="332"/>
        <v/>
      </c>
      <c r="AX172" s="21" t="str">
        <f t="shared" si="333"/>
        <v/>
      </c>
      <c r="AY172" s="22">
        <f t="shared" si="334"/>
        <v>1</v>
      </c>
    </row>
    <row r="173" spans="1:51" x14ac:dyDescent="0.2">
      <c r="A173" s="9" t="s">
        <v>1466</v>
      </c>
      <c r="B173" s="9" t="s">
        <v>383</v>
      </c>
      <c r="C173" s="11">
        <v>1</v>
      </c>
      <c r="D173" s="9" t="s">
        <v>1467</v>
      </c>
      <c r="E173" s="9"/>
      <c r="F173" s="9" t="s">
        <v>522</v>
      </c>
      <c r="G173" s="16" t="s">
        <v>131</v>
      </c>
      <c r="H173" s="16"/>
      <c r="I173" s="9" t="s">
        <v>1468</v>
      </c>
      <c r="J173" s="21" t="str">
        <f t="shared" si="314"/>
        <v>Method A (sum of dose / BSA at each administration): 164.1 mg/m²; Method B (total 290 mg / 1.7 m², LAST BSA): 170.6 mg/m²</v>
      </c>
      <c r="K173" s="21" t="str">
        <f t="shared" si="315"/>
        <v>Cumulative dose, Method A (sum of dose / BSA at each administration): 164.1 mg/m²; Method B (total dose / last BSA): 170.6 mg/m²</v>
      </c>
      <c r="L173" s="21">
        <f>IF(AY173=1,SUMPRODUCT((nADM_SelKey=AE173)*(nADM_Kind&lt;&gt;"INFUSION_SEGMENT")*nADM_Dose_per_BSA),"")</f>
        <v>164.05228758169937</v>
      </c>
      <c r="M173" s="21">
        <f>IF(AY173=1,SUMPRODUCT((nADM_SelKey=AE173)*(nADM_Kind&lt;&gt;"INFUSION_SEGMENT")*nADM_Dose_pos_n),"")</f>
        <v>290</v>
      </c>
      <c r="N173" s="21">
        <f t="shared" si="316"/>
        <v>3</v>
      </c>
      <c r="O173" s="21">
        <f>IF(AB173=1,"",SUMPRODUCT((nADM_SelKey=AE173)*(nADM_Kind&lt;&gt;"INFUSION_SEGMENT")*nADM_Known))</f>
        <v>3</v>
      </c>
      <c r="P173" s="21">
        <f t="shared" si="317"/>
        <v>1.7</v>
      </c>
      <c r="Q173" s="21">
        <f t="shared" si="318"/>
        <v>170.58823529411765</v>
      </c>
      <c r="R173" s="21" t="str">
        <f t="shared" si="319"/>
        <v/>
      </c>
      <c r="S173" s="21" t="str">
        <f>IF(AB173=1,"",MID(IF(ISNUMBER(SEARCH("E_INVALID_DATE",AW173))," | E_INVALID_DATE: "&amp;SUBSTITUTE(IFERROR(INDEX(nMSG_Text,MATCH("E_INVALID_DATE",nMSG_Code,0)),""),"[input]",""),"")&amp;IF(ISNUMBER(SEARCH("E_REVERSED_BOUNDS",AW173))," | E_REVERSED_BOUNDS: "&amp;SUBSTITUTE(IFERROR(INDEX(nMSG_Text,MATCH("E_REVERSED_BOUNDS",nMSG_Code,0)),""),"[input]",""),"")&amp;IF(ISNUMBER(SEARCH("E_DUPLICATE_ID",AW173))," | E_DUPLICATE_ID: "&amp;SUBSTITUTE(IFERROR(INDEX(nMSG_Text,MATCH("E_DUPLICATE_ID",nMSG_Code,0)),""),"[input]",""),"")&amp;IF(ISNUMBER(SEARCH("E_MISSING_LINK",AW173))," | E_MISSING_LINK: "&amp;SUBSTITUTE(IFERROR(INDEX(nMSG_Text,MATCH("E_MISSING_LINK",nMSG_Code,0)),""),"[input]",""),"")&amp;IF(ISNUMBER(SEARCH("E_MISSING_INPUT",AW173))," | E_MISSING_INPUT: "&amp;SUBSTITUTE(IFERROR(INDEX(nMSG_Text,MATCH("E_MISSING_INPUT",nMSG_Code,0)),""),"[input]",IF(AX173="","an input",AX173)),"")&amp;IF(ISNUMBER(SEARCH("E_INVALID_UNIT",AW173))," | E_INVALID_UNIT: "&amp;SUBSTITUTE(IFERROR(INDEX(nMSG_Text,MATCH("E_INVALID_UNIT",nMSG_Code,0)),""),"[input]",""),"")&amp;IF(ISNUMBER(SEARCH("E_NONPOSITIVE_PARAMETER",AW173))," | E_NONPOSITIVE_PARAMETER: "&amp;SUBSTITUTE(IFERROR(INDEX(nMSG_Text,MATCH("E_NONPOSITIVE_PARAMETER",nMSG_Code,0)),""),"[input]",""),"")&amp;IF(ISNUMBER(SEARCH("E_OUT_OF_RANGE",AW173))," | E_OUT_OF_RANGE: "&amp;SUBSTITUTE(IFERROR(INDEX(nMSG_Text,MATCH("E_OUT_OF_RANGE",nMSG_Code,0)),""),"[input]",""),"")&amp;IF(ISNUMBER(SEARCH("E_APPLICABILITY_UNCONFIRMED",AW173))," | E_APPLICABILITY_UNCONFIRMED: "&amp;SUBSTITUTE(IFERROR(INDEX(nMSG_Text,MATCH("E_APPLICABILITY_UNCONFIRMED",nMSG_Code,0)),""),"[input]",""),"")&amp;IF(ISNUMBER(SEARCH("E_CREATININE_STABILITY_UNCONFIRMED",AW173))," | E_CREATININE_STABILITY_UNCONFIRMED: "&amp;SUBSTITUTE(IFERROR(INDEX(nMSG_Text,MATCH("E_CREATININE_STABILITY_UNCONFIRMED",nMSG_Code,0)),""),"[input]",""),"")&amp;IF(ISNUMBER(SEARCH("E_OVERLAPPING_SEGMENTS",AW173))," | E_OVERLAPPING_SEGMENTS: "&amp;SUBSTITUTE(IFERROR(INDEX(nMSG_Text,MATCH("E_OVERLAPPING_SEGMENTS",nMSG_Code,0)),""),"[input]",""),"")&amp;IF(AY173=1,IF(AH173&gt;0," | W_PARTIAL_BSA: "&amp;SUBSTITUTE(IFERROR(INDEX(nMSG_Text,MATCH("W_PARTIAL_BSA",nMSG_Code,0)),""),"[input]",""),""),""),4,9999))</f>
        <v/>
      </c>
      <c r="T173" s="21" t="str">
        <f t="shared" si="320"/>
        <v>Doses (mg), dates and BSA (m²) recorded at each administration of EX1 on Administrations (3 administrations) [case measurement]; Method B BSA: LAST (BSA at the latest administration)</v>
      </c>
      <c r="U173" s="21" t="str">
        <f>IF(AB173=1,"",MID(""&amp;" | BSA is the value recorded at each administration; the tool never calculates BSA (CALC-SPEC 1.1, Q10)."&amp;IF(TRIM(E173&amp;"")&lt;&gt;""," | "&amp;E173,"")&amp;IF(AY173=1,IF(AJ173=1,IF(AM173=1," | Method B takes the first and last administrations by date ("&amp;DAY(AN173)&amp;" "&amp;INDEX(nLIST_Months,MONTH(AN173))&amp;" "&amp;YEAR(AN173)&amp;" and "&amp;DAY(AO173)&amp;" "&amp;INDEX(nLIST_Months,MONTH(AO173))&amp;" "&amp;YEAR(AO173)&amp;").",IF(AK173=0," | No administration date is recorded, so Method B takes the first and last administrations in the order entered.","")),""),""),4,9999))</f>
        <v>BSA is the value recorded at each administration; the tool never calculates BSA (CALC-SPEC 1.1, Q10). | Method B takes the first and last administrations by date (1 January 2026 and 1 February 2026).</v>
      </c>
      <c r="V173" s="21" t="str">
        <f t="shared" si="321"/>
        <v>Cumulative dose, Method A (sum of dose / BSA at each administration) = 164.052287581699 (164.1 mg/m²); Method B (total dose / last BSA) = 170.588235294118 (170.6 mg/m²)</v>
      </c>
      <c r="W173" s="21" t="str">
        <f t="shared" si="322"/>
        <v>mg/m²</v>
      </c>
      <c r="X173" s="21" t="str">
        <f t="shared" si="323"/>
        <v>Vector V38, Method B with the last BSA by date (listed out of date order)</v>
      </c>
      <c r="Y173" s="21" t="str">
        <f t="shared" si="324"/>
        <v>Describes cumulative exposure. It is not a toxicity threshold.</v>
      </c>
      <c r="Z173" s="21" t="str">
        <f t="shared" si="325"/>
        <v>Method A (default): sum of dose_i / BSA_i; Method B (on request): total dose / one BSA (first or last administration by date, or stated)</v>
      </c>
      <c r="AA173" s="21" t="str">
        <f t="shared" si="326"/>
        <v>CALC-SPEC 1.1</v>
      </c>
      <c r="AB173" s="22">
        <f t="shared" si="327"/>
        <v>0</v>
      </c>
      <c r="AC173" s="21" t="str">
        <f t="shared" si="328"/>
        <v>VEC-V38|1</v>
      </c>
      <c r="AD173" s="21" t="str">
        <f t="shared" si="329"/>
        <v>VEC-V38|1|Q10-V38-last</v>
      </c>
      <c r="AE173" s="21" t="str">
        <f t="shared" si="330"/>
        <v>VEC-V38|1|EX1</v>
      </c>
      <c r="AF173" s="22">
        <f>SUMPRODUCT((nADM_SelKey=AE173)*(nADM_Kind&lt;&gt;"INFUSION_SEGMENT"))</f>
        <v>3</v>
      </c>
      <c r="AG173" s="22">
        <f>SUMPRODUCT((nADM_SelKey=AE173)*(nADM_Kind&lt;&gt;"INFUSION_SEGMENT")*nADM_Known)</f>
        <v>3</v>
      </c>
      <c r="AH173" s="22">
        <f>SUMPRODUCT((nADM_SelKey=AE173)*(nADM_Kind&lt;&gt;"INFUSION_SEGMENT")*nADM_BSA_missing)</f>
        <v>0</v>
      </c>
      <c r="AI173" s="21" t="str">
        <f>IF(SUMPRODUCT((nADM_SelKey=AE173)*(nADM_Kind&lt;&gt;"INFUSION_SEGMENT")*ISNUMBER(SEARCH("E_MISSING_INPUT",nADM_Q10_Raw)))&gt;0,"; E_MISSING_INPUT","")&amp;IF(SUMPRODUCT((nADM_SelKey=AE173)*(nADM_Kind&lt;&gt;"INFUSION_SEGMENT")*ISNUMBER(SEARCH("E_INVALID_UNIT",nADM_Q10_Raw)))&gt;0,"; E_INVALID_UNIT","")&amp;IF(SUMPRODUCT((nADM_SelKey=AE173)*(nADM_Kind&lt;&gt;"INFUSION_SEGMENT")*ISNUMBER(SEARCH("E_NONPOSITIVE_PARAMETER",nADM_Q10_Raw)))&gt;0,"; E_NONPOSITIVE_PARAMETER","")</f>
        <v/>
      </c>
      <c r="AJ173" s="22">
        <f t="shared" si="331"/>
        <v>1</v>
      </c>
      <c r="AK173" s="22">
        <f>SUMPRODUCT((nADM_SelKey=AE173)*(nADM_Kind&lt;&gt;"INFUSION_SEGMENT")*nADM_A_Dated)</f>
        <v>3</v>
      </c>
      <c r="AL173" s="21" t="str">
        <f>IF(OR(AJ173=0,AF173=0,AK173&lt;AF173),"",IF(SUMPRODUCT((nADM_SelKey=AE173)*(nADM_Kind&lt;&gt;"INFUSION_SEGMENT")*(nADM_Q10_DateErr="E_INVALID_DATE"))&gt;0,"; E_INVALID_DATE","")&amp;IF(SUMPRODUCT((nADM_SelKey=AE173)*(nADM_Kind&lt;&gt;"INFUSION_SEGMENT")*(nADM_Q10_DateErr="E_REVERSED_BOUNDS"))&gt;0,"; E_REVERSED_BOUNDS","")&amp;IF(SUMPRODUCT((nADM_SelKey=AE173)*(nADM_Kind&lt;&gt;"INFUSION_SEGMENT")*(nADM_Q10_DateErr="E_MISSING_INPUT"))&gt;0,"; E_MISSING_INPUT","")&amp;IF(SUMPRODUCT((nADM_SelKey=AE173)*(nADM_Kind&lt;&gt;"INFUSION_SEGMENT")*(nADM_Q10_DateErr="E_INVALID_UNIT"))&gt;0,"; E_INVALID_UNIT",""))</f>
        <v/>
      </c>
      <c r="AM173" s="22">
        <f>IF(AND(AJ173=1,AF173&gt;0,AK173=AF173,SUMPRODUCT((nADM_SelKey=AE173)*(nADM_Kind&lt;&gt;"INFUSION_SEGMENT")*nADM_Valid)=AF173),1,0)</f>
        <v>1</v>
      </c>
      <c r="AN173" s="28">
        <f>IF(AM173=0,0,1000000000000-SUMPRODUCT(MAX((nADM_SelKey=AE173)*(nADM_Kind&lt;&gt;"INFUSION_SEGMENT")*(1000000000000-nADM_Lo_n))))</f>
        <v>46023</v>
      </c>
      <c r="AO173" s="28">
        <f>IF(AM173=0,0,SUMPRODUCT(MAX((nADM_SelKey=AE173)*(nADM_Kind&lt;&gt;"INFUSION_SEGMENT")*nADM_Lo_n)))</f>
        <v>46054</v>
      </c>
      <c r="AP173" s="22">
        <f>IF(AF173=0,0,IF(AM173=1,MATCH(1,INDEX((nADM_SelKey=AE173)*(nADM_Kind&lt;&gt;"INFUSION_SEGMENT")*(nADM_Lo_n=AN173),0),0),MATCH(1,INDEX((nADM_SelKey=AE173)*(nADM_Kind&lt;&gt;"INFUSION_SEGMENT"),0),0)))</f>
        <v>78</v>
      </c>
      <c r="AQ173" s="22">
        <f>IF(AF173=0,0,IF(AM173=1,MATCH(1,INDEX((nADM_SelKey=AE173)*(nADM_Kind&lt;&gt;"INFUSION_SEGMENT")*(nADM_Lo_n=AO173),0),0),MATCH(SUMPRODUCT(MAX((nADM_SelKey=AE173)*(nADM_Kind&lt;&gt;"INFUSION_SEGMENT")*nADM_RowN)),nADM_RowN,0)))</f>
        <v>77</v>
      </c>
      <c r="AR173" s="22">
        <f>IF(OR(AM173=0,AP173=0),0,IF(SUMPRODUCT((nADM_SelKey=AE173)*(nADM_Kind&lt;&gt;"INFUSION_SEGMENT")*(nADM_Lo_n=AN173)*(nADM_BSA_key&lt;&gt;INDEX(nADM_BSA_key,AP173)))&gt;0,1,0))</f>
        <v>0</v>
      </c>
      <c r="AS173" s="22">
        <f>IF(OR(AM173=0,AQ173=0),0,IF(SUMPRODUCT((nADM_SelKey=AE173)*(nADM_Kind&lt;&gt;"INFUSION_SEGMENT")*(nADM_Lo_n=AO173)*(nADM_BSA_key&lt;&gt;INDEX(nADM_BSA_key,AQ173)))&gt;0,1,0))</f>
        <v>0</v>
      </c>
      <c r="AT173" s="21">
        <f>IF(G173="STATED",IF(ISNUMBER(H173),H173,""),IF(AND(AJ173=1,AF173&gt;0),IF(G173="FIRST",IF(AP173=0,"",INDEX(nADM_BSA_m2,AP173)),IF(AQ173=0,"",INDEX(nADM_BSA_m2,AQ173))),""))</f>
        <v>1.7</v>
      </c>
      <c r="AU173" s="21" t="str">
        <f>IF(AB173=1,"",IF(A173="","; E_MISSING_INPUT","")&amp;IF(F173="","; E_MISSING_INPUT","")&amp;IF(AND(F173&lt;&gt;"",AF173=0),"; E_MISSING_INPUT","")&amp;IF(AI173&lt;&gt;"","; "&amp;MID(AI173,3,999)&amp;"","")&amp;IF(ISNUMBER(SEARCH("E_MISSING_INPUT",AI173)),"; E_MISSING_INPUT","")&amp;IF(AND(AF173&gt;0,AG173=0,AI173=""),"; E_MISSING_INPUT","")&amp;IF(AND(G173&lt;&gt;"",ISNA(MATCH(G173,nLIST_MethodB,0))),"; E_MISSING_INPUT","")&amp;IF(AND(AJ173=1,AK173&gt;0,AK173&lt;AF173),"; E_MISSING_INPUT","")&amp;IF(AL173&lt;&gt;"","; "&amp;MID(AL173,3,999)&amp;"","")&amp;IF(AR173=1,"; E_MISSING_INPUT","")&amp;IF(AS173=1,"; E_MISSING_INPUT","")&amp;IF(AND(AJ173=1,AF173&gt;0,NOT(ISNUMBER(AT173))),"; E_MISSING_INPUT","")&amp;IF(AND(G173="STATED",NOT(ISNUMBER(H173))),"; E_MISSING_INPUT","")&amp;IF(AND(G173="STATED",ISNUMBER(H173),H173&lt;=0),"; E_NONPOSITIVE_PARAMETER",""))</f>
        <v/>
      </c>
      <c r="AV173" s="21" t="str">
        <f>IF(AB173=1,"",IF(A173="",", a Calc_ID","")&amp;IF(F173="",", an Exposure_Episode_ID","")&amp;IF(AND(F173&lt;&gt;"",AF173=0),", at least one administration","")&amp;IF(ISNUMBER(SEARCH("E_MISSING_INPUT",AI173)),", the dose, dose unit and any BSA of every administration of "&amp;F173&amp;" as numbers","")&amp;IF(AND(AF173&gt;0,AG173=0,AI173=""),", the BSA recorded at one or more administrations","")&amp;IF(AND(G173&lt;&gt;"",ISNA(MATCH(G173,nLIST_MethodB,0))),", a Method B choice (FIRST, LAST or STATED)","")&amp;IF(AND(AJ173=1,AK173&gt;0,AK173&lt;AF173),", the date of every administration (Method B by first or last administration)","")&amp;IF(AR173=1,", one BSA for the first administration: administrations share its date with different BSAs","")&amp;IF(AS173=1,", one BSA for the last administration: administrations share its date with different BSAs","")&amp;IF(AND(AJ173=1,AF173&gt;0,NOT(ISNUMBER(AT173))),", the "&amp;LOWER(G173)&amp;" BSA for Method B","")&amp;IF(AND(G173="STATED",NOT(ISNUMBER(H173))),", the stated BSA for Method B",""))</f>
        <v/>
      </c>
      <c r="AW173" s="21" t="str">
        <f t="shared" si="332"/>
        <v/>
      </c>
      <c r="AX173" s="21" t="str">
        <f t="shared" si="333"/>
        <v/>
      </c>
      <c r="AY173" s="22">
        <f t="shared" si="334"/>
        <v>1</v>
      </c>
    </row>
    <row r="176" spans="1:51" ht="17.25" x14ac:dyDescent="0.3">
      <c r="A176" s="6" t="s">
        <v>1469</v>
      </c>
    </row>
    <row r="177" spans="1:41" x14ac:dyDescent="0.2">
      <c r="A177" s="7" t="s">
        <v>1203</v>
      </c>
    </row>
    <row r="178" spans="1:41" x14ac:dyDescent="0.2">
      <c r="A178" s="2" t="s">
        <v>1204</v>
      </c>
      <c r="F178" s="2" t="s">
        <v>1470</v>
      </c>
      <c r="H178" s="2" t="s">
        <v>1204</v>
      </c>
      <c r="R178" s="2" t="s">
        <v>1225</v>
      </c>
      <c r="AH178" s="2" t="s">
        <v>1237</v>
      </c>
    </row>
    <row r="179" spans="1:41" ht="66" customHeight="1" x14ac:dyDescent="0.2">
      <c r="A179" s="8" t="s">
        <v>1205</v>
      </c>
      <c r="B179" s="8" t="s">
        <v>280</v>
      </c>
      <c r="C179" s="8" t="s">
        <v>281</v>
      </c>
      <c r="D179" s="8" t="s">
        <v>1206</v>
      </c>
      <c r="E179" s="8" t="s">
        <v>1207</v>
      </c>
      <c r="F179" s="8" t="s">
        <v>1471</v>
      </c>
      <c r="G179" s="8" t="s">
        <v>1472</v>
      </c>
      <c r="H179" s="8" t="s">
        <v>1473</v>
      </c>
      <c r="I179" s="8" t="s">
        <v>1474</v>
      </c>
      <c r="J179" s="8" t="s">
        <v>1475</v>
      </c>
      <c r="K179" s="8" t="s">
        <v>1476</v>
      </c>
      <c r="L179" s="8" t="s">
        <v>1477</v>
      </c>
      <c r="M179" s="8" t="s">
        <v>1478</v>
      </c>
      <c r="N179" s="8" t="s">
        <v>1479</v>
      </c>
      <c r="O179" s="8" t="s">
        <v>1480</v>
      </c>
      <c r="P179" s="8" t="s">
        <v>1481</v>
      </c>
      <c r="Q179" s="8" t="s">
        <v>1482</v>
      </c>
      <c r="R179" s="19" t="s">
        <v>1226</v>
      </c>
      <c r="S179" s="19" t="s">
        <v>981</v>
      </c>
      <c r="T179" s="19" t="s">
        <v>1483</v>
      </c>
      <c r="U179" s="19" t="s">
        <v>1484</v>
      </c>
      <c r="V179" s="19" t="s">
        <v>1485</v>
      </c>
      <c r="W179" s="19" t="s">
        <v>1486</v>
      </c>
      <c r="X179" s="19" t="s">
        <v>988</v>
      </c>
      <c r="Y179" s="19" t="s">
        <v>1231</v>
      </c>
      <c r="Z179" s="19" t="s">
        <v>1232</v>
      </c>
      <c r="AA179" s="19" t="s">
        <v>1003</v>
      </c>
      <c r="AB179" s="19" t="s">
        <v>1233</v>
      </c>
      <c r="AC179" s="19" t="s">
        <v>1234</v>
      </c>
      <c r="AD179" s="19" t="s">
        <v>954</v>
      </c>
      <c r="AE179" s="19" t="s">
        <v>1235</v>
      </c>
      <c r="AF179" s="19" t="s">
        <v>1236</v>
      </c>
      <c r="AG179" s="19" t="s">
        <v>1006</v>
      </c>
      <c r="AH179" s="19" t="s">
        <v>1008</v>
      </c>
      <c r="AI179" s="19" t="s">
        <v>1009</v>
      </c>
      <c r="AJ179" s="19" t="s">
        <v>1238</v>
      </c>
      <c r="AK179" s="19" t="s">
        <v>1085</v>
      </c>
      <c r="AL179" s="19" t="s">
        <v>1240</v>
      </c>
      <c r="AM179" s="19" t="s">
        <v>1095</v>
      </c>
      <c r="AN179" s="19" t="s">
        <v>1241</v>
      </c>
      <c r="AO179" s="19" t="s">
        <v>1097</v>
      </c>
    </row>
    <row r="180" spans="1:41" x14ac:dyDescent="0.2">
      <c r="A180" s="10"/>
      <c r="B180" s="10"/>
      <c r="C180" s="12"/>
      <c r="D180" s="10"/>
      <c r="E180" s="10"/>
      <c r="F180" s="17"/>
      <c r="G180" s="10"/>
      <c r="H180" s="17"/>
      <c r="I180" s="17"/>
      <c r="J180" s="17"/>
      <c r="K180" s="17"/>
      <c r="L180" s="17"/>
      <c r="M180" s="17"/>
      <c r="N180" s="17"/>
      <c r="O180" s="17"/>
      <c r="P180" s="10"/>
      <c r="Q180" s="17"/>
      <c r="R180" s="21" t="str">
        <f t="shared" ref="R180:R187" si="335">IF(AH180=1,"",IF(AM180&lt;&gt;"",AM180&amp;": no result is shown",IF(Q180="not recorded","Female "&amp;FIXED(V180,0,TRUE)&amp;" mL/minute; male "&amp;FIXED(W180,0,TRUE)&amp;" mL/minute (sex not recorded; both shown)",FIXED(U180,0,TRUE)&amp;" mL/minute estimated creatinine clearance ("&amp;Q180&amp;")")))</f>
        <v/>
      </c>
      <c r="S180" s="21" t="str">
        <f t="shared" ref="S180:S187" si="336">IF(AH180=1,"",IF(AO180=0,"Not calculable",MID(IF(Q180&lt;&gt;"not recorded","; "&amp;"Estimated creatinine clearance"&amp;": "&amp;FIXED(U180,0,TRUE)&amp;" mL/minute","")&amp;IF(Q180="not recorded","; "&amp;"Estimated CrCl with the female factor (0.85)"&amp;": "&amp;FIXED(V180,0,TRUE)&amp;" mL/minute","")&amp;IF(Q180="not recorded","; "&amp;"Estimated CrCl without the female factor"&amp;": "&amp;FIXED(W180,0,TRUE)&amp;" mL/minute","")&amp;IF(N180&lt;&gt;"mg/dL","; "&amp;"Serum creatinine in mg/dL"&amp;": "&amp;FIXED(T180,2,TRUE)&amp;" mg/dL",""),3,9999)))</f>
        <v/>
      </c>
      <c r="T180" s="21" t="str">
        <f t="shared" ref="T180:T187" si="337">IF(AO180=1,IF(N180="mg/dL",M180,M180/88.4),"")</f>
        <v/>
      </c>
      <c r="U180" s="21" t="str">
        <f t="shared" ref="U180:U187" si="338">IF(AND(AO180=1,Q180&lt;&gt;"not recorded"),(140-H180)*J180/(72*T180)*IF(Q180="female",0.85,1),"")</f>
        <v/>
      </c>
      <c r="V180" s="21" t="str">
        <f t="shared" ref="V180:V187" si="339">IF(AND(AO180=1,Q180="not recorded"),0.85*(140-H180)*J180/(72*T180),"")</f>
        <v/>
      </c>
      <c r="W180" s="21" t="str">
        <f t="shared" ref="W180:W187" si="340">IF(AND(AO180=1,Q180="not recorded"),(140-H180)*J180/(72*T180),"")</f>
        <v/>
      </c>
      <c r="X180" s="21" t="str">
        <f t="shared" ref="X180:X187" si="341">IF(AH180=1,"",IF(AM180&lt;&gt;"",AM180,MID(IF(Q180="not recorded","; W_SEX_NOT_RECORDED",""),3,999)))</f>
        <v/>
      </c>
      <c r="Y180" s="21" t="str">
        <f>IF(AH180=1,"",MID(IF(ISNUMBER(SEARCH("E_INVALID_DATE",AM180))," | E_INVALID_DATE: "&amp;SUBSTITUTE(IFERROR(INDEX(nMSG_Text,MATCH("E_INVALID_DATE",nMSG_Code,0)),""),"[input]",""),"")&amp;IF(ISNUMBER(SEARCH("E_REVERSED_BOUNDS",AM180))," | E_REVERSED_BOUNDS: "&amp;SUBSTITUTE(IFERROR(INDEX(nMSG_Text,MATCH("E_REVERSED_BOUNDS",nMSG_Code,0)),""),"[input]",""),"")&amp;IF(ISNUMBER(SEARCH("E_DUPLICATE_ID",AM180))," | E_DUPLICATE_ID: "&amp;SUBSTITUTE(IFERROR(INDEX(nMSG_Text,MATCH("E_DUPLICATE_ID",nMSG_Code,0)),""),"[input]",""),"")&amp;IF(ISNUMBER(SEARCH("E_MISSING_LINK",AM180))," | E_MISSING_LINK: "&amp;SUBSTITUTE(IFERROR(INDEX(nMSG_Text,MATCH("E_MISSING_LINK",nMSG_Code,0)),""),"[input]",""),"")&amp;IF(ISNUMBER(SEARCH("E_MISSING_INPUT",AM180))," | E_MISSING_INPUT: "&amp;SUBSTITUTE(IFERROR(INDEX(nMSG_Text,MATCH("E_MISSING_INPUT",nMSG_Code,0)),""),"[input]",IF(AN180="","an input",AN180)),"")&amp;IF(ISNUMBER(SEARCH("E_INVALID_UNIT",AM180))," | E_INVALID_UNIT: "&amp;SUBSTITUTE(IFERROR(INDEX(nMSG_Text,MATCH("E_INVALID_UNIT",nMSG_Code,0)),""),"[input]",""),"")&amp;IF(ISNUMBER(SEARCH("E_NONPOSITIVE_PARAMETER",AM180))," | E_NONPOSITIVE_PARAMETER: "&amp;SUBSTITUTE(IFERROR(INDEX(nMSG_Text,MATCH("E_NONPOSITIVE_PARAMETER",nMSG_Code,0)),""),"[input]",""),"")&amp;IF(ISNUMBER(SEARCH("E_OUT_OF_RANGE",AM180))," | E_OUT_OF_RANGE: "&amp;SUBSTITUTE(IFERROR(INDEX(nMSG_Text,MATCH("E_OUT_OF_RANGE",nMSG_Code,0)),""),"[input]",""),"")&amp;IF(ISNUMBER(SEARCH("E_APPLICABILITY_UNCONFIRMED",AM180))," | E_APPLICABILITY_UNCONFIRMED: "&amp;SUBSTITUTE(IFERROR(INDEX(nMSG_Text,MATCH("E_APPLICABILITY_UNCONFIRMED",nMSG_Code,0)),""),"[input]",""),"")&amp;IF(ISNUMBER(SEARCH("E_CREATININE_STABILITY_UNCONFIRMED",AM180))," | E_CREATININE_STABILITY_UNCONFIRMED: "&amp;SUBSTITUTE(IFERROR(INDEX(nMSG_Text,MATCH("E_CREATININE_STABILITY_UNCONFIRMED",nMSG_Code,0)),""),"[input]",""),"")&amp;IF(ISNUMBER(SEARCH("E_OVERLAPPING_SEGMENTS",AM180))," | E_OVERLAPPING_SEGMENTS: "&amp;SUBSTITUTE(IFERROR(INDEX(nMSG_Text,MATCH("E_OVERLAPPING_SEGMENTS",nMSG_Code,0)),""),"[input]",""),"")&amp;IF(AO180=1,IF(Q180="not recorded"," | W_SEX_NOT_RECORDED: "&amp;SUBSTITUTE(IFERROR(INDEX(nMSG_Text,MATCH("W_SEX_NOT_RECORDED",nMSG_Code,0)),""),"[input]",""),""),""),4,9999))</f>
        <v/>
      </c>
      <c r="Z180" s="21" t="str">
        <f t="shared" ref="Z180:Z187" si="342">IF(AH180=1,"","age = "&amp;H180&amp;" years ["&amp;IF(I180="","status not recorded",I180)&amp;"]; weight = "&amp;J180&amp;" kg, "&amp;K180&amp;" ["&amp;IF(L180="","status not recorded",L180)&amp;"]; serum creatinine = "&amp;M180&amp;" "&amp;N180&amp;" ["&amp;IF(O180="","status not recorded",O180)&amp;IF(P180&lt;&gt;"","; "&amp;P180,"")&amp;"]; sex: "&amp;Q180)</f>
        <v/>
      </c>
      <c r="AA180" s="21" t="str">
        <f t="shared" ref="AA180:AA187" si="343">IF(AH180=1,"",MID(""&amp;IF(F180="Yes"," | Stable creatinine confirmed by the reviewer"&amp;IF(TRIM(G180&amp;"")&lt;&gt;"",": "&amp;G180,".")," | Creatinine stability not confirmed.")&amp;IF(TRIM(E180&amp;"")&lt;&gt;""," | "&amp;E180,""),4,9999))</f>
        <v/>
      </c>
      <c r="AB180" s="21" t="str">
        <f t="shared" ref="AB180:AB187" si="344">IF(AO180=0,"",MID(IF(Q180&lt;&gt;"not recorded","; "&amp;"Estimated creatinine clearance"&amp;" = "&amp;U180&amp;" ("&amp;FIXED(U180,0,TRUE)&amp;" mL/minute"&amp;")","")&amp;IF(Q180="not recorded","; "&amp;"Estimated CrCl with the female factor (0.85)"&amp;" = "&amp;V180&amp;" ("&amp;FIXED(V180,0,TRUE)&amp;" mL/minute"&amp;")","")&amp;IF(Q180="not recorded","; "&amp;"Estimated CrCl without the female factor"&amp;" = "&amp;W180&amp;" ("&amp;FIXED(W180,0,TRUE)&amp;" mL/minute"&amp;")","")&amp;IF(N180&lt;&gt;"mg/dL","; "&amp;"Serum creatinine in mg/dL"&amp;" = "&amp;T180&amp;" ("&amp;FIXED(T180,2,TRUE)&amp;" mg/dL"&amp;")",""),3,9999))</f>
        <v/>
      </c>
      <c r="AC180" s="21" t="str">
        <f t="shared" ref="AC180:AC187" si="345">IF(AO180=0,"","mL/minute")</f>
        <v/>
      </c>
      <c r="AD180" s="21" t="str">
        <f t="shared" ref="AD180:AD187" si="346">IF(AH180=1,"",IF(TRIM(D180&amp;"")&lt;&gt;"",D180,"Q11 Estimated renal function (Cockcroft–Gault)"))</f>
        <v/>
      </c>
      <c r="AE180" s="21" t="str">
        <f t="shared" ref="AE180:AE187" si="347">IF(AH180=1,"","Assumes stable creatinine. It is not drug clearance and not a dosing recommendation.")</f>
        <v/>
      </c>
      <c r="AF180" s="21" t="str">
        <f t="shared" ref="AF180:AF187" si="348">IF(AH180=1,"","Cockcroft–Gault: CrCl = (140 - age) x weight / (72 x SCr), x 0.85 when female sex is recorded; µmol/L / 88.4 = mg/dL")</f>
        <v/>
      </c>
      <c r="AG180" s="21" t="str">
        <f t="shared" ref="AG180:AG187" si="349">IF(AH180=1,"","CALC-SPEC 1.1")</f>
        <v/>
      </c>
      <c r="AH180" s="22">
        <f t="shared" ref="AH180:AH187" si="350">IF(AND(A180="",H180="",M180=""),1,0)</f>
        <v>1</v>
      </c>
      <c r="AI180" s="21" t="str">
        <f t="shared" ref="AI180:AI187" si="351">IF(AH180=1,"",B180&amp;"|"&amp;C180)</f>
        <v/>
      </c>
      <c r="AJ180" s="21" t="str">
        <f t="shared" ref="AJ180:AJ187" si="352">IF(A180="","",B180&amp;"|"&amp;C180&amp;"|"&amp;A180)</f>
        <v/>
      </c>
      <c r="AK180" s="21" t="str">
        <f t="shared" ref="AK180:AK187" si="353">IF(AH180=1,"",IF(A180="","; E_MISSING_INPUT","")&amp;IF(F180&lt;&gt;"Yes","; E_CREATININE_STABILITY_UNCONFIRMED","")&amp;IF(J180="","; E_MISSING_INPUT","")&amp;IF(AND(J180&lt;&gt;"",NOT(ISNUMBER(J180))),"; E_MISSING_INPUT","")&amp;IF(AND(ISNUMBER(J180),J180&lt;=0),"; E_NONPOSITIVE_PARAMETER","")&amp;IF(M180="","; E_MISSING_INPUT","")&amp;IF(AND(M180&lt;&gt;"",NOT(ISNUMBER(M180))),"; E_MISSING_INPUT","")&amp;IF(AND(ISNUMBER(M180),M180&lt;=0),"; E_NONPOSITIVE_PARAMETER","")&amp;IF(H180="","; E_MISSING_INPUT","")&amp;IF(AND(H180&lt;&gt;"",NOT(ISNUMBER(H180))),"; E_MISSING_INPUT","")&amp;IF(AND(ISNUMBER(H180),OR(H180&lt;18,H180&gt;120)),"; E_OUT_OF_RANGE","")&amp;IF(N180="","; E_MISSING_INPUT","")&amp;IF(AND(N180&lt;&gt;"",N180&lt;&gt;"mg/dL",N180&lt;&gt;"µmol/L",N180&lt;&gt;"umol/L"),"; E_INVALID_UNIT","")&amp;IF(AND(Q180&lt;&gt;"male",Q180&lt;&gt;"female",Q180&lt;&gt;"not recorded"),"; E_MISSING_INPUT","")&amp;IF(TRIM(K180&amp;"")="","; E_MISSING_INPUT",""))</f>
        <v/>
      </c>
      <c r="AL180" s="21" t="str">
        <f t="shared" ref="AL180:AL187" si="354">IF(AH180=1,"",IF(A180="",", a Calc_ID","")&amp;IF(J180="",", the weight","")&amp;IF(AND(J180&lt;&gt;"",NOT(ISNUMBER(J180))),", the weight as a number","")&amp;IF(M180="",", the serum creatinine","")&amp;IF(AND(M180&lt;&gt;"",NOT(ISNUMBER(M180))),", the serum creatinine as a number","")&amp;IF(H180="",", the age","")&amp;IF(AND(H180&lt;&gt;"",NOT(ISNUMBER(H180))),", the age as a number","")&amp;IF(N180="",", the creatinine unit","")&amp;IF(AND(Q180&lt;&gt;"male",Q180&lt;&gt;"female",Q180&lt;&gt;"not recorded"),", sex as recorded (male, female or not recorded)","")&amp;IF(TRIM(K180&amp;"")="",", the weight type (for example actual body weight)",""))</f>
        <v/>
      </c>
      <c r="AM180" s="21" t="str">
        <f t="shared" ref="AM180:AM187" si="355">IF(AH180=1,"",MID(IF(ISNUMBER(SEARCH("E_INVALID_DATE",AK180)),"; E_INVALID_DATE","")&amp;IF(ISNUMBER(SEARCH("E_REVERSED_BOUNDS",AK180)),"; E_REVERSED_BOUNDS","")&amp;IF(ISNUMBER(SEARCH("E_DUPLICATE_ID",AK180)),"; E_DUPLICATE_ID","")&amp;IF(ISNUMBER(SEARCH("E_MISSING_LINK",AK180)),"; E_MISSING_LINK","")&amp;IF(ISNUMBER(SEARCH("E_MISSING_INPUT",AK180)),"; E_MISSING_INPUT","")&amp;IF(ISNUMBER(SEARCH("E_INVALID_UNIT",AK180)),"; E_INVALID_UNIT","")&amp;IF(ISNUMBER(SEARCH("E_NONPOSITIVE_PARAMETER",AK180)),"; E_NONPOSITIVE_PARAMETER","")&amp;IF(ISNUMBER(SEARCH("E_OUT_OF_RANGE",AK180)),"; E_OUT_OF_RANGE","")&amp;IF(ISNUMBER(SEARCH("E_APPLICABILITY_UNCONFIRMED",AK180)),"; E_APPLICABILITY_UNCONFIRMED","")&amp;IF(ISNUMBER(SEARCH("E_CREATININE_STABILITY_UNCONFIRMED",AK180)),"; E_CREATININE_STABILITY_UNCONFIRMED","")&amp;IF(ISNUMBER(SEARCH("E_OVERLAPPING_SEGMENTS",AK180)),"; E_OVERLAPPING_SEGMENTS",""),3,999))</f>
        <v/>
      </c>
      <c r="AN180" s="21" t="str">
        <f t="shared" ref="AN180:AN187" si="356">MID(AL180,3,999)</f>
        <v/>
      </c>
      <c r="AO180" s="22">
        <f t="shared" ref="AO180:AO187" si="357">IF(AND(AH180=0,AM180=""),1,0)</f>
        <v>0</v>
      </c>
    </row>
    <row r="181" spans="1:41" x14ac:dyDescent="0.2">
      <c r="A181" s="10"/>
      <c r="B181" s="10"/>
      <c r="C181" s="12"/>
      <c r="D181" s="10"/>
      <c r="E181" s="10"/>
      <c r="F181" s="17"/>
      <c r="G181" s="10"/>
      <c r="H181" s="17"/>
      <c r="I181" s="17"/>
      <c r="J181" s="17"/>
      <c r="K181" s="17"/>
      <c r="L181" s="17"/>
      <c r="M181" s="17"/>
      <c r="N181" s="17"/>
      <c r="O181" s="17"/>
      <c r="P181" s="10"/>
      <c r="Q181" s="17"/>
      <c r="R181" s="21" t="str">
        <f t="shared" si="335"/>
        <v/>
      </c>
      <c r="S181" s="21" t="str">
        <f t="shared" si="336"/>
        <v/>
      </c>
      <c r="T181" s="21" t="str">
        <f t="shared" si="337"/>
        <v/>
      </c>
      <c r="U181" s="21" t="str">
        <f t="shared" si="338"/>
        <v/>
      </c>
      <c r="V181" s="21" t="str">
        <f t="shared" si="339"/>
        <v/>
      </c>
      <c r="W181" s="21" t="str">
        <f t="shared" si="340"/>
        <v/>
      </c>
      <c r="X181" s="21" t="str">
        <f t="shared" si="341"/>
        <v/>
      </c>
      <c r="Y181" s="21" t="str">
        <f>IF(AH181=1,"",MID(IF(ISNUMBER(SEARCH("E_INVALID_DATE",AM181))," | E_INVALID_DATE: "&amp;SUBSTITUTE(IFERROR(INDEX(nMSG_Text,MATCH("E_INVALID_DATE",nMSG_Code,0)),""),"[input]",""),"")&amp;IF(ISNUMBER(SEARCH("E_REVERSED_BOUNDS",AM181))," | E_REVERSED_BOUNDS: "&amp;SUBSTITUTE(IFERROR(INDEX(nMSG_Text,MATCH("E_REVERSED_BOUNDS",nMSG_Code,0)),""),"[input]",""),"")&amp;IF(ISNUMBER(SEARCH("E_DUPLICATE_ID",AM181))," | E_DUPLICATE_ID: "&amp;SUBSTITUTE(IFERROR(INDEX(nMSG_Text,MATCH("E_DUPLICATE_ID",nMSG_Code,0)),""),"[input]",""),"")&amp;IF(ISNUMBER(SEARCH("E_MISSING_LINK",AM181))," | E_MISSING_LINK: "&amp;SUBSTITUTE(IFERROR(INDEX(nMSG_Text,MATCH("E_MISSING_LINK",nMSG_Code,0)),""),"[input]",""),"")&amp;IF(ISNUMBER(SEARCH("E_MISSING_INPUT",AM181))," | E_MISSING_INPUT: "&amp;SUBSTITUTE(IFERROR(INDEX(nMSG_Text,MATCH("E_MISSING_INPUT",nMSG_Code,0)),""),"[input]",IF(AN181="","an input",AN181)),"")&amp;IF(ISNUMBER(SEARCH("E_INVALID_UNIT",AM181))," | E_INVALID_UNIT: "&amp;SUBSTITUTE(IFERROR(INDEX(nMSG_Text,MATCH("E_INVALID_UNIT",nMSG_Code,0)),""),"[input]",""),"")&amp;IF(ISNUMBER(SEARCH("E_NONPOSITIVE_PARAMETER",AM181))," | E_NONPOSITIVE_PARAMETER: "&amp;SUBSTITUTE(IFERROR(INDEX(nMSG_Text,MATCH("E_NONPOSITIVE_PARAMETER",nMSG_Code,0)),""),"[input]",""),"")&amp;IF(ISNUMBER(SEARCH("E_OUT_OF_RANGE",AM181))," | E_OUT_OF_RANGE: "&amp;SUBSTITUTE(IFERROR(INDEX(nMSG_Text,MATCH("E_OUT_OF_RANGE",nMSG_Code,0)),""),"[input]",""),"")&amp;IF(ISNUMBER(SEARCH("E_APPLICABILITY_UNCONFIRMED",AM181))," | E_APPLICABILITY_UNCONFIRMED: "&amp;SUBSTITUTE(IFERROR(INDEX(nMSG_Text,MATCH("E_APPLICABILITY_UNCONFIRMED",nMSG_Code,0)),""),"[input]",""),"")&amp;IF(ISNUMBER(SEARCH("E_CREATININE_STABILITY_UNCONFIRMED",AM181))," | E_CREATININE_STABILITY_UNCONFIRMED: "&amp;SUBSTITUTE(IFERROR(INDEX(nMSG_Text,MATCH("E_CREATININE_STABILITY_UNCONFIRMED",nMSG_Code,0)),""),"[input]",""),"")&amp;IF(ISNUMBER(SEARCH("E_OVERLAPPING_SEGMENTS",AM181))," | E_OVERLAPPING_SEGMENTS: "&amp;SUBSTITUTE(IFERROR(INDEX(nMSG_Text,MATCH("E_OVERLAPPING_SEGMENTS",nMSG_Code,0)),""),"[input]",""),"")&amp;IF(AO181=1,IF(Q181="not recorded"," | W_SEX_NOT_RECORDED: "&amp;SUBSTITUTE(IFERROR(INDEX(nMSG_Text,MATCH("W_SEX_NOT_RECORDED",nMSG_Code,0)),""),"[input]",""),""),""),4,9999))</f>
        <v/>
      </c>
      <c r="Z181" s="21" t="str">
        <f t="shared" si="342"/>
        <v/>
      </c>
      <c r="AA181" s="21" t="str">
        <f t="shared" si="343"/>
        <v/>
      </c>
      <c r="AB181" s="21" t="str">
        <f t="shared" si="344"/>
        <v/>
      </c>
      <c r="AC181" s="21" t="str">
        <f t="shared" si="345"/>
        <v/>
      </c>
      <c r="AD181" s="21" t="str">
        <f t="shared" si="346"/>
        <v/>
      </c>
      <c r="AE181" s="21" t="str">
        <f t="shared" si="347"/>
        <v/>
      </c>
      <c r="AF181" s="21" t="str">
        <f t="shared" si="348"/>
        <v/>
      </c>
      <c r="AG181" s="21" t="str">
        <f t="shared" si="349"/>
        <v/>
      </c>
      <c r="AH181" s="22">
        <f t="shared" si="350"/>
        <v>1</v>
      </c>
      <c r="AI181" s="21" t="str">
        <f t="shared" si="351"/>
        <v/>
      </c>
      <c r="AJ181" s="21" t="str">
        <f t="shared" si="352"/>
        <v/>
      </c>
      <c r="AK181" s="21" t="str">
        <f t="shared" si="353"/>
        <v/>
      </c>
      <c r="AL181" s="21" t="str">
        <f t="shared" si="354"/>
        <v/>
      </c>
      <c r="AM181" s="21" t="str">
        <f t="shared" si="355"/>
        <v/>
      </c>
      <c r="AN181" s="21" t="str">
        <f t="shared" si="356"/>
        <v/>
      </c>
      <c r="AO181" s="22">
        <f t="shared" si="357"/>
        <v>0</v>
      </c>
    </row>
    <row r="182" spans="1:41" x14ac:dyDescent="0.2">
      <c r="A182" s="10"/>
      <c r="B182" s="10"/>
      <c r="C182" s="12"/>
      <c r="D182" s="10"/>
      <c r="E182" s="10"/>
      <c r="F182" s="17"/>
      <c r="G182" s="10"/>
      <c r="H182" s="17"/>
      <c r="I182" s="17"/>
      <c r="J182" s="17"/>
      <c r="K182" s="17"/>
      <c r="L182" s="17"/>
      <c r="M182" s="17"/>
      <c r="N182" s="17"/>
      <c r="O182" s="17"/>
      <c r="P182" s="10"/>
      <c r="Q182" s="17"/>
      <c r="R182" s="21" t="str">
        <f t="shared" si="335"/>
        <v/>
      </c>
      <c r="S182" s="21" t="str">
        <f t="shared" si="336"/>
        <v/>
      </c>
      <c r="T182" s="21" t="str">
        <f t="shared" si="337"/>
        <v/>
      </c>
      <c r="U182" s="21" t="str">
        <f t="shared" si="338"/>
        <v/>
      </c>
      <c r="V182" s="21" t="str">
        <f t="shared" si="339"/>
        <v/>
      </c>
      <c r="W182" s="21" t="str">
        <f t="shared" si="340"/>
        <v/>
      </c>
      <c r="X182" s="21" t="str">
        <f t="shared" si="341"/>
        <v/>
      </c>
      <c r="Y182" s="21" t="str">
        <f>IF(AH182=1,"",MID(IF(ISNUMBER(SEARCH("E_INVALID_DATE",AM182))," | E_INVALID_DATE: "&amp;SUBSTITUTE(IFERROR(INDEX(nMSG_Text,MATCH("E_INVALID_DATE",nMSG_Code,0)),""),"[input]",""),"")&amp;IF(ISNUMBER(SEARCH("E_REVERSED_BOUNDS",AM182))," | E_REVERSED_BOUNDS: "&amp;SUBSTITUTE(IFERROR(INDEX(nMSG_Text,MATCH("E_REVERSED_BOUNDS",nMSG_Code,0)),""),"[input]",""),"")&amp;IF(ISNUMBER(SEARCH("E_DUPLICATE_ID",AM182))," | E_DUPLICATE_ID: "&amp;SUBSTITUTE(IFERROR(INDEX(nMSG_Text,MATCH("E_DUPLICATE_ID",nMSG_Code,0)),""),"[input]",""),"")&amp;IF(ISNUMBER(SEARCH("E_MISSING_LINK",AM182))," | E_MISSING_LINK: "&amp;SUBSTITUTE(IFERROR(INDEX(nMSG_Text,MATCH("E_MISSING_LINK",nMSG_Code,0)),""),"[input]",""),"")&amp;IF(ISNUMBER(SEARCH("E_MISSING_INPUT",AM182))," | E_MISSING_INPUT: "&amp;SUBSTITUTE(IFERROR(INDEX(nMSG_Text,MATCH("E_MISSING_INPUT",nMSG_Code,0)),""),"[input]",IF(AN182="","an input",AN182)),"")&amp;IF(ISNUMBER(SEARCH("E_INVALID_UNIT",AM182))," | E_INVALID_UNIT: "&amp;SUBSTITUTE(IFERROR(INDEX(nMSG_Text,MATCH("E_INVALID_UNIT",nMSG_Code,0)),""),"[input]",""),"")&amp;IF(ISNUMBER(SEARCH("E_NONPOSITIVE_PARAMETER",AM182))," | E_NONPOSITIVE_PARAMETER: "&amp;SUBSTITUTE(IFERROR(INDEX(nMSG_Text,MATCH("E_NONPOSITIVE_PARAMETER",nMSG_Code,0)),""),"[input]",""),"")&amp;IF(ISNUMBER(SEARCH("E_OUT_OF_RANGE",AM182))," | E_OUT_OF_RANGE: "&amp;SUBSTITUTE(IFERROR(INDEX(nMSG_Text,MATCH("E_OUT_OF_RANGE",nMSG_Code,0)),""),"[input]",""),"")&amp;IF(ISNUMBER(SEARCH("E_APPLICABILITY_UNCONFIRMED",AM182))," | E_APPLICABILITY_UNCONFIRMED: "&amp;SUBSTITUTE(IFERROR(INDEX(nMSG_Text,MATCH("E_APPLICABILITY_UNCONFIRMED",nMSG_Code,0)),""),"[input]",""),"")&amp;IF(ISNUMBER(SEARCH("E_CREATININE_STABILITY_UNCONFIRMED",AM182))," | E_CREATININE_STABILITY_UNCONFIRMED: "&amp;SUBSTITUTE(IFERROR(INDEX(nMSG_Text,MATCH("E_CREATININE_STABILITY_UNCONFIRMED",nMSG_Code,0)),""),"[input]",""),"")&amp;IF(ISNUMBER(SEARCH("E_OVERLAPPING_SEGMENTS",AM182))," | E_OVERLAPPING_SEGMENTS: "&amp;SUBSTITUTE(IFERROR(INDEX(nMSG_Text,MATCH("E_OVERLAPPING_SEGMENTS",nMSG_Code,0)),""),"[input]",""),"")&amp;IF(AO182=1,IF(Q182="not recorded"," | W_SEX_NOT_RECORDED: "&amp;SUBSTITUTE(IFERROR(INDEX(nMSG_Text,MATCH("W_SEX_NOT_RECORDED",nMSG_Code,0)),""),"[input]",""),""),""),4,9999))</f>
        <v/>
      </c>
      <c r="Z182" s="21" t="str">
        <f t="shared" si="342"/>
        <v/>
      </c>
      <c r="AA182" s="21" t="str">
        <f t="shared" si="343"/>
        <v/>
      </c>
      <c r="AB182" s="21" t="str">
        <f t="shared" si="344"/>
        <v/>
      </c>
      <c r="AC182" s="21" t="str">
        <f t="shared" si="345"/>
        <v/>
      </c>
      <c r="AD182" s="21" t="str">
        <f t="shared" si="346"/>
        <v/>
      </c>
      <c r="AE182" s="21" t="str">
        <f t="shared" si="347"/>
        <v/>
      </c>
      <c r="AF182" s="21" t="str">
        <f t="shared" si="348"/>
        <v/>
      </c>
      <c r="AG182" s="21" t="str">
        <f t="shared" si="349"/>
        <v/>
      </c>
      <c r="AH182" s="22">
        <f t="shared" si="350"/>
        <v>1</v>
      </c>
      <c r="AI182" s="21" t="str">
        <f t="shared" si="351"/>
        <v/>
      </c>
      <c r="AJ182" s="21" t="str">
        <f t="shared" si="352"/>
        <v/>
      </c>
      <c r="AK182" s="21" t="str">
        <f t="shared" si="353"/>
        <v/>
      </c>
      <c r="AL182" s="21" t="str">
        <f t="shared" si="354"/>
        <v/>
      </c>
      <c r="AM182" s="21" t="str">
        <f t="shared" si="355"/>
        <v/>
      </c>
      <c r="AN182" s="21" t="str">
        <f t="shared" si="356"/>
        <v/>
      </c>
      <c r="AO182" s="22">
        <f t="shared" si="357"/>
        <v>0</v>
      </c>
    </row>
    <row r="183" spans="1:41" x14ac:dyDescent="0.2">
      <c r="A183" s="10"/>
      <c r="B183" s="10"/>
      <c r="C183" s="12"/>
      <c r="D183" s="10"/>
      <c r="E183" s="10"/>
      <c r="F183" s="17"/>
      <c r="G183" s="10"/>
      <c r="H183" s="17"/>
      <c r="I183" s="17"/>
      <c r="J183" s="17"/>
      <c r="K183" s="17"/>
      <c r="L183" s="17"/>
      <c r="M183" s="17"/>
      <c r="N183" s="17"/>
      <c r="O183" s="17"/>
      <c r="P183" s="10"/>
      <c r="Q183" s="17"/>
      <c r="R183" s="21" t="str">
        <f t="shared" si="335"/>
        <v/>
      </c>
      <c r="S183" s="21" t="str">
        <f t="shared" si="336"/>
        <v/>
      </c>
      <c r="T183" s="21" t="str">
        <f t="shared" si="337"/>
        <v/>
      </c>
      <c r="U183" s="21" t="str">
        <f t="shared" si="338"/>
        <v/>
      </c>
      <c r="V183" s="21" t="str">
        <f t="shared" si="339"/>
        <v/>
      </c>
      <c r="W183" s="21" t="str">
        <f t="shared" si="340"/>
        <v/>
      </c>
      <c r="X183" s="21" t="str">
        <f t="shared" si="341"/>
        <v/>
      </c>
      <c r="Y183" s="21" t="str">
        <f>IF(AH183=1,"",MID(IF(ISNUMBER(SEARCH("E_INVALID_DATE",AM183))," | E_INVALID_DATE: "&amp;SUBSTITUTE(IFERROR(INDEX(nMSG_Text,MATCH("E_INVALID_DATE",nMSG_Code,0)),""),"[input]",""),"")&amp;IF(ISNUMBER(SEARCH("E_REVERSED_BOUNDS",AM183))," | E_REVERSED_BOUNDS: "&amp;SUBSTITUTE(IFERROR(INDEX(nMSG_Text,MATCH("E_REVERSED_BOUNDS",nMSG_Code,0)),""),"[input]",""),"")&amp;IF(ISNUMBER(SEARCH("E_DUPLICATE_ID",AM183))," | E_DUPLICATE_ID: "&amp;SUBSTITUTE(IFERROR(INDEX(nMSG_Text,MATCH("E_DUPLICATE_ID",nMSG_Code,0)),""),"[input]",""),"")&amp;IF(ISNUMBER(SEARCH("E_MISSING_LINK",AM183))," | E_MISSING_LINK: "&amp;SUBSTITUTE(IFERROR(INDEX(nMSG_Text,MATCH("E_MISSING_LINK",nMSG_Code,0)),""),"[input]",""),"")&amp;IF(ISNUMBER(SEARCH("E_MISSING_INPUT",AM183))," | E_MISSING_INPUT: "&amp;SUBSTITUTE(IFERROR(INDEX(nMSG_Text,MATCH("E_MISSING_INPUT",nMSG_Code,0)),""),"[input]",IF(AN183="","an input",AN183)),"")&amp;IF(ISNUMBER(SEARCH("E_INVALID_UNIT",AM183))," | E_INVALID_UNIT: "&amp;SUBSTITUTE(IFERROR(INDEX(nMSG_Text,MATCH("E_INVALID_UNIT",nMSG_Code,0)),""),"[input]",""),"")&amp;IF(ISNUMBER(SEARCH("E_NONPOSITIVE_PARAMETER",AM183))," | E_NONPOSITIVE_PARAMETER: "&amp;SUBSTITUTE(IFERROR(INDEX(nMSG_Text,MATCH("E_NONPOSITIVE_PARAMETER",nMSG_Code,0)),""),"[input]",""),"")&amp;IF(ISNUMBER(SEARCH("E_OUT_OF_RANGE",AM183))," | E_OUT_OF_RANGE: "&amp;SUBSTITUTE(IFERROR(INDEX(nMSG_Text,MATCH("E_OUT_OF_RANGE",nMSG_Code,0)),""),"[input]",""),"")&amp;IF(ISNUMBER(SEARCH("E_APPLICABILITY_UNCONFIRMED",AM183))," | E_APPLICABILITY_UNCONFIRMED: "&amp;SUBSTITUTE(IFERROR(INDEX(nMSG_Text,MATCH("E_APPLICABILITY_UNCONFIRMED",nMSG_Code,0)),""),"[input]",""),"")&amp;IF(ISNUMBER(SEARCH("E_CREATININE_STABILITY_UNCONFIRMED",AM183))," | E_CREATININE_STABILITY_UNCONFIRMED: "&amp;SUBSTITUTE(IFERROR(INDEX(nMSG_Text,MATCH("E_CREATININE_STABILITY_UNCONFIRMED",nMSG_Code,0)),""),"[input]",""),"")&amp;IF(ISNUMBER(SEARCH("E_OVERLAPPING_SEGMENTS",AM183))," | E_OVERLAPPING_SEGMENTS: "&amp;SUBSTITUTE(IFERROR(INDEX(nMSG_Text,MATCH("E_OVERLAPPING_SEGMENTS",nMSG_Code,0)),""),"[input]",""),"")&amp;IF(AO183=1,IF(Q183="not recorded"," | W_SEX_NOT_RECORDED: "&amp;SUBSTITUTE(IFERROR(INDEX(nMSG_Text,MATCH("W_SEX_NOT_RECORDED",nMSG_Code,0)),""),"[input]",""),""),""),4,9999))</f>
        <v/>
      </c>
      <c r="Z183" s="21" t="str">
        <f t="shared" si="342"/>
        <v/>
      </c>
      <c r="AA183" s="21" t="str">
        <f t="shared" si="343"/>
        <v/>
      </c>
      <c r="AB183" s="21" t="str">
        <f t="shared" si="344"/>
        <v/>
      </c>
      <c r="AC183" s="21" t="str">
        <f t="shared" si="345"/>
        <v/>
      </c>
      <c r="AD183" s="21" t="str">
        <f t="shared" si="346"/>
        <v/>
      </c>
      <c r="AE183" s="21" t="str">
        <f t="shared" si="347"/>
        <v/>
      </c>
      <c r="AF183" s="21" t="str">
        <f t="shared" si="348"/>
        <v/>
      </c>
      <c r="AG183" s="21" t="str">
        <f t="shared" si="349"/>
        <v/>
      </c>
      <c r="AH183" s="22">
        <f t="shared" si="350"/>
        <v>1</v>
      </c>
      <c r="AI183" s="21" t="str">
        <f t="shared" si="351"/>
        <v/>
      </c>
      <c r="AJ183" s="21" t="str">
        <f t="shared" si="352"/>
        <v/>
      </c>
      <c r="AK183" s="21" t="str">
        <f t="shared" si="353"/>
        <v/>
      </c>
      <c r="AL183" s="21" t="str">
        <f t="shared" si="354"/>
        <v/>
      </c>
      <c r="AM183" s="21" t="str">
        <f t="shared" si="355"/>
        <v/>
      </c>
      <c r="AN183" s="21" t="str">
        <f t="shared" si="356"/>
        <v/>
      </c>
      <c r="AO183" s="22">
        <f t="shared" si="357"/>
        <v>0</v>
      </c>
    </row>
    <row r="184" spans="1:41" x14ac:dyDescent="0.2">
      <c r="A184" s="10"/>
      <c r="B184" s="10"/>
      <c r="C184" s="12"/>
      <c r="D184" s="10"/>
      <c r="E184" s="10"/>
      <c r="F184" s="17"/>
      <c r="G184" s="10"/>
      <c r="H184" s="17"/>
      <c r="I184" s="17"/>
      <c r="J184" s="17"/>
      <c r="K184" s="17"/>
      <c r="L184" s="17"/>
      <c r="M184" s="17"/>
      <c r="N184" s="17"/>
      <c r="O184" s="17"/>
      <c r="P184" s="10"/>
      <c r="Q184" s="17"/>
      <c r="R184" s="21" t="str">
        <f t="shared" si="335"/>
        <v/>
      </c>
      <c r="S184" s="21" t="str">
        <f t="shared" si="336"/>
        <v/>
      </c>
      <c r="T184" s="21" t="str">
        <f t="shared" si="337"/>
        <v/>
      </c>
      <c r="U184" s="21" t="str">
        <f t="shared" si="338"/>
        <v/>
      </c>
      <c r="V184" s="21" t="str">
        <f t="shared" si="339"/>
        <v/>
      </c>
      <c r="W184" s="21" t="str">
        <f t="shared" si="340"/>
        <v/>
      </c>
      <c r="X184" s="21" t="str">
        <f t="shared" si="341"/>
        <v/>
      </c>
      <c r="Y184" s="21" t="str">
        <f>IF(AH184=1,"",MID(IF(ISNUMBER(SEARCH("E_INVALID_DATE",AM184))," | E_INVALID_DATE: "&amp;SUBSTITUTE(IFERROR(INDEX(nMSG_Text,MATCH("E_INVALID_DATE",nMSG_Code,0)),""),"[input]",""),"")&amp;IF(ISNUMBER(SEARCH("E_REVERSED_BOUNDS",AM184))," | E_REVERSED_BOUNDS: "&amp;SUBSTITUTE(IFERROR(INDEX(nMSG_Text,MATCH("E_REVERSED_BOUNDS",nMSG_Code,0)),""),"[input]",""),"")&amp;IF(ISNUMBER(SEARCH("E_DUPLICATE_ID",AM184))," | E_DUPLICATE_ID: "&amp;SUBSTITUTE(IFERROR(INDEX(nMSG_Text,MATCH("E_DUPLICATE_ID",nMSG_Code,0)),""),"[input]",""),"")&amp;IF(ISNUMBER(SEARCH("E_MISSING_LINK",AM184))," | E_MISSING_LINK: "&amp;SUBSTITUTE(IFERROR(INDEX(nMSG_Text,MATCH("E_MISSING_LINK",nMSG_Code,0)),""),"[input]",""),"")&amp;IF(ISNUMBER(SEARCH("E_MISSING_INPUT",AM184))," | E_MISSING_INPUT: "&amp;SUBSTITUTE(IFERROR(INDEX(nMSG_Text,MATCH("E_MISSING_INPUT",nMSG_Code,0)),""),"[input]",IF(AN184="","an input",AN184)),"")&amp;IF(ISNUMBER(SEARCH("E_INVALID_UNIT",AM184))," | E_INVALID_UNIT: "&amp;SUBSTITUTE(IFERROR(INDEX(nMSG_Text,MATCH("E_INVALID_UNIT",nMSG_Code,0)),""),"[input]",""),"")&amp;IF(ISNUMBER(SEARCH("E_NONPOSITIVE_PARAMETER",AM184))," | E_NONPOSITIVE_PARAMETER: "&amp;SUBSTITUTE(IFERROR(INDEX(nMSG_Text,MATCH("E_NONPOSITIVE_PARAMETER",nMSG_Code,0)),""),"[input]",""),"")&amp;IF(ISNUMBER(SEARCH("E_OUT_OF_RANGE",AM184))," | E_OUT_OF_RANGE: "&amp;SUBSTITUTE(IFERROR(INDEX(nMSG_Text,MATCH("E_OUT_OF_RANGE",nMSG_Code,0)),""),"[input]",""),"")&amp;IF(ISNUMBER(SEARCH("E_APPLICABILITY_UNCONFIRMED",AM184))," | E_APPLICABILITY_UNCONFIRMED: "&amp;SUBSTITUTE(IFERROR(INDEX(nMSG_Text,MATCH("E_APPLICABILITY_UNCONFIRMED",nMSG_Code,0)),""),"[input]",""),"")&amp;IF(ISNUMBER(SEARCH("E_CREATININE_STABILITY_UNCONFIRMED",AM184))," | E_CREATININE_STABILITY_UNCONFIRMED: "&amp;SUBSTITUTE(IFERROR(INDEX(nMSG_Text,MATCH("E_CREATININE_STABILITY_UNCONFIRMED",nMSG_Code,0)),""),"[input]",""),"")&amp;IF(ISNUMBER(SEARCH("E_OVERLAPPING_SEGMENTS",AM184))," | E_OVERLAPPING_SEGMENTS: "&amp;SUBSTITUTE(IFERROR(INDEX(nMSG_Text,MATCH("E_OVERLAPPING_SEGMENTS",nMSG_Code,0)),""),"[input]",""),"")&amp;IF(AO184=1,IF(Q184="not recorded"," | W_SEX_NOT_RECORDED: "&amp;SUBSTITUTE(IFERROR(INDEX(nMSG_Text,MATCH("W_SEX_NOT_RECORDED",nMSG_Code,0)),""),"[input]",""),""),""),4,9999))</f>
        <v/>
      </c>
      <c r="Z184" s="21" t="str">
        <f t="shared" si="342"/>
        <v/>
      </c>
      <c r="AA184" s="21" t="str">
        <f t="shared" si="343"/>
        <v/>
      </c>
      <c r="AB184" s="21" t="str">
        <f t="shared" si="344"/>
        <v/>
      </c>
      <c r="AC184" s="21" t="str">
        <f t="shared" si="345"/>
        <v/>
      </c>
      <c r="AD184" s="21" t="str">
        <f t="shared" si="346"/>
        <v/>
      </c>
      <c r="AE184" s="21" t="str">
        <f t="shared" si="347"/>
        <v/>
      </c>
      <c r="AF184" s="21" t="str">
        <f t="shared" si="348"/>
        <v/>
      </c>
      <c r="AG184" s="21" t="str">
        <f t="shared" si="349"/>
        <v/>
      </c>
      <c r="AH184" s="22">
        <f t="shared" si="350"/>
        <v>1</v>
      </c>
      <c r="AI184" s="21" t="str">
        <f t="shared" si="351"/>
        <v/>
      </c>
      <c r="AJ184" s="21" t="str">
        <f t="shared" si="352"/>
        <v/>
      </c>
      <c r="AK184" s="21" t="str">
        <f t="shared" si="353"/>
        <v/>
      </c>
      <c r="AL184" s="21" t="str">
        <f t="shared" si="354"/>
        <v/>
      </c>
      <c r="AM184" s="21" t="str">
        <f t="shared" si="355"/>
        <v/>
      </c>
      <c r="AN184" s="21" t="str">
        <f t="shared" si="356"/>
        <v/>
      </c>
      <c r="AO184" s="22">
        <f t="shared" si="357"/>
        <v>0</v>
      </c>
    </row>
    <row r="185" spans="1:41" x14ac:dyDescent="0.2">
      <c r="A185" s="10"/>
      <c r="B185" s="10"/>
      <c r="C185" s="12"/>
      <c r="D185" s="10"/>
      <c r="E185" s="10"/>
      <c r="F185" s="17"/>
      <c r="G185" s="10"/>
      <c r="H185" s="17"/>
      <c r="I185" s="17"/>
      <c r="J185" s="17"/>
      <c r="K185" s="17"/>
      <c r="L185" s="17"/>
      <c r="M185" s="17"/>
      <c r="N185" s="17"/>
      <c r="O185" s="17"/>
      <c r="P185" s="10"/>
      <c r="Q185" s="17"/>
      <c r="R185" s="21" t="str">
        <f t="shared" si="335"/>
        <v/>
      </c>
      <c r="S185" s="21" t="str">
        <f t="shared" si="336"/>
        <v/>
      </c>
      <c r="T185" s="21" t="str">
        <f t="shared" si="337"/>
        <v/>
      </c>
      <c r="U185" s="21" t="str">
        <f t="shared" si="338"/>
        <v/>
      </c>
      <c r="V185" s="21" t="str">
        <f t="shared" si="339"/>
        <v/>
      </c>
      <c r="W185" s="21" t="str">
        <f t="shared" si="340"/>
        <v/>
      </c>
      <c r="X185" s="21" t="str">
        <f t="shared" si="341"/>
        <v/>
      </c>
      <c r="Y185" s="21" t="str">
        <f>IF(AH185=1,"",MID(IF(ISNUMBER(SEARCH("E_INVALID_DATE",AM185))," | E_INVALID_DATE: "&amp;SUBSTITUTE(IFERROR(INDEX(nMSG_Text,MATCH("E_INVALID_DATE",nMSG_Code,0)),""),"[input]",""),"")&amp;IF(ISNUMBER(SEARCH("E_REVERSED_BOUNDS",AM185))," | E_REVERSED_BOUNDS: "&amp;SUBSTITUTE(IFERROR(INDEX(nMSG_Text,MATCH("E_REVERSED_BOUNDS",nMSG_Code,0)),""),"[input]",""),"")&amp;IF(ISNUMBER(SEARCH("E_DUPLICATE_ID",AM185))," | E_DUPLICATE_ID: "&amp;SUBSTITUTE(IFERROR(INDEX(nMSG_Text,MATCH("E_DUPLICATE_ID",nMSG_Code,0)),""),"[input]",""),"")&amp;IF(ISNUMBER(SEARCH("E_MISSING_LINK",AM185))," | E_MISSING_LINK: "&amp;SUBSTITUTE(IFERROR(INDEX(nMSG_Text,MATCH("E_MISSING_LINK",nMSG_Code,0)),""),"[input]",""),"")&amp;IF(ISNUMBER(SEARCH("E_MISSING_INPUT",AM185))," | E_MISSING_INPUT: "&amp;SUBSTITUTE(IFERROR(INDEX(nMSG_Text,MATCH("E_MISSING_INPUT",nMSG_Code,0)),""),"[input]",IF(AN185="","an input",AN185)),"")&amp;IF(ISNUMBER(SEARCH("E_INVALID_UNIT",AM185))," | E_INVALID_UNIT: "&amp;SUBSTITUTE(IFERROR(INDEX(nMSG_Text,MATCH("E_INVALID_UNIT",nMSG_Code,0)),""),"[input]",""),"")&amp;IF(ISNUMBER(SEARCH("E_NONPOSITIVE_PARAMETER",AM185))," | E_NONPOSITIVE_PARAMETER: "&amp;SUBSTITUTE(IFERROR(INDEX(nMSG_Text,MATCH("E_NONPOSITIVE_PARAMETER",nMSG_Code,0)),""),"[input]",""),"")&amp;IF(ISNUMBER(SEARCH("E_OUT_OF_RANGE",AM185))," | E_OUT_OF_RANGE: "&amp;SUBSTITUTE(IFERROR(INDEX(nMSG_Text,MATCH("E_OUT_OF_RANGE",nMSG_Code,0)),""),"[input]",""),"")&amp;IF(ISNUMBER(SEARCH("E_APPLICABILITY_UNCONFIRMED",AM185))," | E_APPLICABILITY_UNCONFIRMED: "&amp;SUBSTITUTE(IFERROR(INDEX(nMSG_Text,MATCH("E_APPLICABILITY_UNCONFIRMED",nMSG_Code,0)),""),"[input]",""),"")&amp;IF(ISNUMBER(SEARCH("E_CREATININE_STABILITY_UNCONFIRMED",AM185))," | E_CREATININE_STABILITY_UNCONFIRMED: "&amp;SUBSTITUTE(IFERROR(INDEX(nMSG_Text,MATCH("E_CREATININE_STABILITY_UNCONFIRMED",nMSG_Code,0)),""),"[input]",""),"")&amp;IF(ISNUMBER(SEARCH("E_OVERLAPPING_SEGMENTS",AM185))," | E_OVERLAPPING_SEGMENTS: "&amp;SUBSTITUTE(IFERROR(INDEX(nMSG_Text,MATCH("E_OVERLAPPING_SEGMENTS",nMSG_Code,0)),""),"[input]",""),"")&amp;IF(AO185=1,IF(Q185="not recorded"," | W_SEX_NOT_RECORDED: "&amp;SUBSTITUTE(IFERROR(INDEX(nMSG_Text,MATCH("W_SEX_NOT_RECORDED",nMSG_Code,0)),""),"[input]",""),""),""),4,9999))</f>
        <v/>
      </c>
      <c r="Z185" s="21" t="str">
        <f t="shared" si="342"/>
        <v/>
      </c>
      <c r="AA185" s="21" t="str">
        <f t="shared" si="343"/>
        <v/>
      </c>
      <c r="AB185" s="21" t="str">
        <f t="shared" si="344"/>
        <v/>
      </c>
      <c r="AC185" s="21" t="str">
        <f t="shared" si="345"/>
        <v/>
      </c>
      <c r="AD185" s="21" t="str">
        <f t="shared" si="346"/>
        <v/>
      </c>
      <c r="AE185" s="21" t="str">
        <f t="shared" si="347"/>
        <v/>
      </c>
      <c r="AF185" s="21" t="str">
        <f t="shared" si="348"/>
        <v/>
      </c>
      <c r="AG185" s="21" t="str">
        <f t="shared" si="349"/>
        <v/>
      </c>
      <c r="AH185" s="22">
        <f t="shared" si="350"/>
        <v>1</v>
      </c>
      <c r="AI185" s="21" t="str">
        <f t="shared" si="351"/>
        <v/>
      </c>
      <c r="AJ185" s="21" t="str">
        <f t="shared" si="352"/>
        <v/>
      </c>
      <c r="AK185" s="21" t="str">
        <f t="shared" si="353"/>
        <v/>
      </c>
      <c r="AL185" s="21" t="str">
        <f t="shared" si="354"/>
        <v/>
      </c>
      <c r="AM185" s="21" t="str">
        <f t="shared" si="355"/>
        <v/>
      </c>
      <c r="AN185" s="21" t="str">
        <f t="shared" si="356"/>
        <v/>
      </c>
      <c r="AO185" s="22">
        <f t="shared" si="357"/>
        <v>0</v>
      </c>
    </row>
    <row r="186" spans="1:41" x14ac:dyDescent="0.2">
      <c r="A186" s="10"/>
      <c r="B186" s="10"/>
      <c r="C186" s="12"/>
      <c r="D186" s="10"/>
      <c r="E186" s="10"/>
      <c r="F186" s="17"/>
      <c r="G186" s="10"/>
      <c r="H186" s="17"/>
      <c r="I186" s="17"/>
      <c r="J186" s="17"/>
      <c r="K186" s="17"/>
      <c r="L186" s="17"/>
      <c r="M186" s="17"/>
      <c r="N186" s="17"/>
      <c r="O186" s="17"/>
      <c r="P186" s="10"/>
      <c r="Q186" s="17"/>
      <c r="R186" s="21" t="str">
        <f t="shared" si="335"/>
        <v/>
      </c>
      <c r="S186" s="21" t="str">
        <f t="shared" si="336"/>
        <v/>
      </c>
      <c r="T186" s="21" t="str">
        <f t="shared" si="337"/>
        <v/>
      </c>
      <c r="U186" s="21" t="str">
        <f t="shared" si="338"/>
        <v/>
      </c>
      <c r="V186" s="21" t="str">
        <f t="shared" si="339"/>
        <v/>
      </c>
      <c r="W186" s="21" t="str">
        <f t="shared" si="340"/>
        <v/>
      </c>
      <c r="X186" s="21" t="str">
        <f t="shared" si="341"/>
        <v/>
      </c>
      <c r="Y186" s="21" t="str">
        <f>IF(AH186=1,"",MID(IF(ISNUMBER(SEARCH("E_INVALID_DATE",AM186))," | E_INVALID_DATE: "&amp;SUBSTITUTE(IFERROR(INDEX(nMSG_Text,MATCH("E_INVALID_DATE",nMSG_Code,0)),""),"[input]",""),"")&amp;IF(ISNUMBER(SEARCH("E_REVERSED_BOUNDS",AM186))," | E_REVERSED_BOUNDS: "&amp;SUBSTITUTE(IFERROR(INDEX(nMSG_Text,MATCH("E_REVERSED_BOUNDS",nMSG_Code,0)),""),"[input]",""),"")&amp;IF(ISNUMBER(SEARCH("E_DUPLICATE_ID",AM186))," | E_DUPLICATE_ID: "&amp;SUBSTITUTE(IFERROR(INDEX(nMSG_Text,MATCH("E_DUPLICATE_ID",nMSG_Code,0)),""),"[input]",""),"")&amp;IF(ISNUMBER(SEARCH("E_MISSING_LINK",AM186))," | E_MISSING_LINK: "&amp;SUBSTITUTE(IFERROR(INDEX(nMSG_Text,MATCH("E_MISSING_LINK",nMSG_Code,0)),""),"[input]",""),"")&amp;IF(ISNUMBER(SEARCH("E_MISSING_INPUT",AM186))," | E_MISSING_INPUT: "&amp;SUBSTITUTE(IFERROR(INDEX(nMSG_Text,MATCH("E_MISSING_INPUT",nMSG_Code,0)),""),"[input]",IF(AN186="","an input",AN186)),"")&amp;IF(ISNUMBER(SEARCH("E_INVALID_UNIT",AM186))," | E_INVALID_UNIT: "&amp;SUBSTITUTE(IFERROR(INDEX(nMSG_Text,MATCH("E_INVALID_UNIT",nMSG_Code,0)),""),"[input]",""),"")&amp;IF(ISNUMBER(SEARCH("E_NONPOSITIVE_PARAMETER",AM186))," | E_NONPOSITIVE_PARAMETER: "&amp;SUBSTITUTE(IFERROR(INDEX(nMSG_Text,MATCH("E_NONPOSITIVE_PARAMETER",nMSG_Code,0)),""),"[input]",""),"")&amp;IF(ISNUMBER(SEARCH("E_OUT_OF_RANGE",AM186))," | E_OUT_OF_RANGE: "&amp;SUBSTITUTE(IFERROR(INDEX(nMSG_Text,MATCH("E_OUT_OF_RANGE",nMSG_Code,0)),""),"[input]",""),"")&amp;IF(ISNUMBER(SEARCH("E_APPLICABILITY_UNCONFIRMED",AM186))," | E_APPLICABILITY_UNCONFIRMED: "&amp;SUBSTITUTE(IFERROR(INDEX(nMSG_Text,MATCH("E_APPLICABILITY_UNCONFIRMED",nMSG_Code,0)),""),"[input]",""),"")&amp;IF(ISNUMBER(SEARCH("E_CREATININE_STABILITY_UNCONFIRMED",AM186))," | E_CREATININE_STABILITY_UNCONFIRMED: "&amp;SUBSTITUTE(IFERROR(INDEX(nMSG_Text,MATCH("E_CREATININE_STABILITY_UNCONFIRMED",nMSG_Code,0)),""),"[input]",""),"")&amp;IF(ISNUMBER(SEARCH("E_OVERLAPPING_SEGMENTS",AM186))," | E_OVERLAPPING_SEGMENTS: "&amp;SUBSTITUTE(IFERROR(INDEX(nMSG_Text,MATCH("E_OVERLAPPING_SEGMENTS",nMSG_Code,0)),""),"[input]",""),"")&amp;IF(AO186=1,IF(Q186="not recorded"," | W_SEX_NOT_RECORDED: "&amp;SUBSTITUTE(IFERROR(INDEX(nMSG_Text,MATCH("W_SEX_NOT_RECORDED",nMSG_Code,0)),""),"[input]",""),""),""),4,9999))</f>
        <v/>
      </c>
      <c r="Z186" s="21" t="str">
        <f t="shared" si="342"/>
        <v/>
      </c>
      <c r="AA186" s="21" t="str">
        <f t="shared" si="343"/>
        <v/>
      </c>
      <c r="AB186" s="21" t="str">
        <f t="shared" si="344"/>
        <v/>
      </c>
      <c r="AC186" s="21" t="str">
        <f t="shared" si="345"/>
        <v/>
      </c>
      <c r="AD186" s="21" t="str">
        <f t="shared" si="346"/>
        <v/>
      </c>
      <c r="AE186" s="21" t="str">
        <f t="shared" si="347"/>
        <v/>
      </c>
      <c r="AF186" s="21" t="str">
        <f t="shared" si="348"/>
        <v/>
      </c>
      <c r="AG186" s="21" t="str">
        <f t="shared" si="349"/>
        <v/>
      </c>
      <c r="AH186" s="22">
        <f t="shared" si="350"/>
        <v>1</v>
      </c>
      <c r="AI186" s="21" t="str">
        <f t="shared" si="351"/>
        <v/>
      </c>
      <c r="AJ186" s="21" t="str">
        <f t="shared" si="352"/>
        <v/>
      </c>
      <c r="AK186" s="21" t="str">
        <f t="shared" si="353"/>
        <v/>
      </c>
      <c r="AL186" s="21" t="str">
        <f t="shared" si="354"/>
        <v/>
      </c>
      <c r="AM186" s="21" t="str">
        <f t="shared" si="355"/>
        <v/>
      </c>
      <c r="AN186" s="21" t="str">
        <f t="shared" si="356"/>
        <v/>
      </c>
      <c r="AO186" s="22">
        <f t="shared" si="357"/>
        <v>0</v>
      </c>
    </row>
    <row r="187" spans="1:41" x14ac:dyDescent="0.2">
      <c r="A187" s="10"/>
      <c r="B187" s="10"/>
      <c r="C187" s="12"/>
      <c r="D187" s="10"/>
      <c r="E187" s="10"/>
      <c r="F187" s="17"/>
      <c r="G187" s="10"/>
      <c r="H187" s="17"/>
      <c r="I187" s="17"/>
      <c r="J187" s="17"/>
      <c r="K187" s="17"/>
      <c r="L187" s="17"/>
      <c r="M187" s="17"/>
      <c r="N187" s="17"/>
      <c r="O187" s="17"/>
      <c r="P187" s="10"/>
      <c r="Q187" s="17"/>
      <c r="R187" s="21" t="str">
        <f t="shared" si="335"/>
        <v/>
      </c>
      <c r="S187" s="21" t="str">
        <f t="shared" si="336"/>
        <v/>
      </c>
      <c r="T187" s="21" t="str">
        <f t="shared" si="337"/>
        <v/>
      </c>
      <c r="U187" s="21" t="str">
        <f t="shared" si="338"/>
        <v/>
      </c>
      <c r="V187" s="21" t="str">
        <f t="shared" si="339"/>
        <v/>
      </c>
      <c r="W187" s="21" t="str">
        <f t="shared" si="340"/>
        <v/>
      </c>
      <c r="X187" s="21" t="str">
        <f t="shared" si="341"/>
        <v/>
      </c>
      <c r="Y187" s="21" t="str">
        <f>IF(AH187=1,"",MID(IF(ISNUMBER(SEARCH("E_INVALID_DATE",AM187))," | E_INVALID_DATE: "&amp;SUBSTITUTE(IFERROR(INDEX(nMSG_Text,MATCH("E_INVALID_DATE",nMSG_Code,0)),""),"[input]",""),"")&amp;IF(ISNUMBER(SEARCH("E_REVERSED_BOUNDS",AM187))," | E_REVERSED_BOUNDS: "&amp;SUBSTITUTE(IFERROR(INDEX(nMSG_Text,MATCH("E_REVERSED_BOUNDS",nMSG_Code,0)),""),"[input]",""),"")&amp;IF(ISNUMBER(SEARCH("E_DUPLICATE_ID",AM187))," | E_DUPLICATE_ID: "&amp;SUBSTITUTE(IFERROR(INDEX(nMSG_Text,MATCH("E_DUPLICATE_ID",nMSG_Code,0)),""),"[input]",""),"")&amp;IF(ISNUMBER(SEARCH("E_MISSING_LINK",AM187))," | E_MISSING_LINK: "&amp;SUBSTITUTE(IFERROR(INDEX(nMSG_Text,MATCH("E_MISSING_LINK",nMSG_Code,0)),""),"[input]",""),"")&amp;IF(ISNUMBER(SEARCH("E_MISSING_INPUT",AM187))," | E_MISSING_INPUT: "&amp;SUBSTITUTE(IFERROR(INDEX(nMSG_Text,MATCH("E_MISSING_INPUT",nMSG_Code,0)),""),"[input]",IF(AN187="","an input",AN187)),"")&amp;IF(ISNUMBER(SEARCH("E_INVALID_UNIT",AM187))," | E_INVALID_UNIT: "&amp;SUBSTITUTE(IFERROR(INDEX(nMSG_Text,MATCH("E_INVALID_UNIT",nMSG_Code,0)),""),"[input]",""),"")&amp;IF(ISNUMBER(SEARCH("E_NONPOSITIVE_PARAMETER",AM187))," | E_NONPOSITIVE_PARAMETER: "&amp;SUBSTITUTE(IFERROR(INDEX(nMSG_Text,MATCH("E_NONPOSITIVE_PARAMETER",nMSG_Code,0)),""),"[input]",""),"")&amp;IF(ISNUMBER(SEARCH("E_OUT_OF_RANGE",AM187))," | E_OUT_OF_RANGE: "&amp;SUBSTITUTE(IFERROR(INDEX(nMSG_Text,MATCH("E_OUT_OF_RANGE",nMSG_Code,0)),""),"[input]",""),"")&amp;IF(ISNUMBER(SEARCH("E_APPLICABILITY_UNCONFIRMED",AM187))," | E_APPLICABILITY_UNCONFIRMED: "&amp;SUBSTITUTE(IFERROR(INDEX(nMSG_Text,MATCH("E_APPLICABILITY_UNCONFIRMED",nMSG_Code,0)),""),"[input]",""),"")&amp;IF(ISNUMBER(SEARCH("E_CREATININE_STABILITY_UNCONFIRMED",AM187))," | E_CREATININE_STABILITY_UNCONFIRMED: "&amp;SUBSTITUTE(IFERROR(INDEX(nMSG_Text,MATCH("E_CREATININE_STABILITY_UNCONFIRMED",nMSG_Code,0)),""),"[input]",""),"")&amp;IF(ISNUMBER(SEARCH("E_OVERLAPPING_SEGMENTS",AM187))," | E_OVERLAPPING_SEGMENTS: "&amp;SUBSTITUTE(IFERROR(INDEX(nMSG_Text,MATCH("E_OVERLAPPING_SEGMENTS",nMSG_Code,0)),""),"[input]",""),"")&amp;IF(AO187=1,IF(Q187="not recorded"," | W_SEX_NOT_RECORDED: "&amp;SUBSTITUTE(IFERROR(INDEX(nMSG_Text,MATCH("W_SEX_NOT_RECORDED",nMSG_Code,0)),""),"[input]",""),""),""),4,9999))</f>
        <v/>
      </c>
      <c r="Z187" s="21" t="str">
        <f t="shared" si="342"/>
        <v/>
      </c>
      <c r="AA187" s="21" t="str">
        <f t="shared" si="343"/>
        <v/>
      </c>
      <c r="AB187" s="21" t="str">
        <f t="shared" si="344"/>
        <v/>
      </c>
      <c r="AC187" s="21" t="str">
        <f t="shared" si="345"/>
        <v/>
      </c>
      <c r="AD187" s="21" t="str">
        <f t="shared" si="346"/>
        <v/>
      </c>
      <c r="AE187" s="21" t="str">
        <f t="shared" si="347"/>
        <v/>
      </c>
      <c r="AF187" s="21" t="str">
        <f t="shared" si="348"/>
        <v/>
      </c>
      <c r="AG187" s="21" t="str">
        <f t="shared" si="349"/>
        <v/>
      </c>
      <c r="AH187" s="22">
        <f t="shared" si="350"/>
        <v>1</v>
      </c>
      <c r="AI187" s="21" t="str">
        <f t="shared" si="351"/>
        <v/>
      </c>
      <c r="AJ187" s="21" t="str">
        <f t="shared" si="352"/>
        <v/>
      </c>
      <c r="AK187" s="21" t="str">
        <f t="shared" si="353"/>
        <v/>
      </c>
      <c r="AL187" s="21" t="str">
        <f t="shared" si="354"/>
        <v/>
      </c>
      <c r="AM187" s="21" t="str">
        <f t="shared" si="355"/>
        <v/>
      </c>
      <c r="AN187" s="21" t="str">
        <f t="shared" si="356"/>
        <v/>
      </c>
      <c r="AO187" s="22">
        <f t="shared" si="357"/>
        <v>0</v>
      </c>
    </row>
    <row r="188" spans="1:41" x14ac:dyDescent="0.2">
      <c r="A188" s="24" t="s">
        <v>294</v>
      </c>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row>
    <row r="189" spans="1:41" x14ac:dyDescent="0.2">
      <c r="A189" s="9" t="s">
        <v>1487</v>
      </c>
      <c r="B189" s="9" t="s">
        <v>301</v>
      </c>
      <c r="C189" s="11">
        <v>2</v>
      </c>
      <c r="D189" s="9" t="s">
        <v>1488</v>
      </c>
      <c r="E189" s="9"/>
      <c r="F189" s="16" t="s">
        <v>85</v>
      </c>
      <c r="G189" s="9" t="s">
        <v>1489</v>
      </c>
      <c r="H189" s="16">
        <v>81</v>
      </c>
      <c r="I189" s="16" t="s">
        <v>81</v>
      </c>
      <c r="J189" s="16">
        <v>58</v>
      </c>
      <c r="K189" s="16" t="s">
        <v>92</v>
      </c>
      <c r="L189" s="16" t="s">
        <v>81</v>
      </c>
      <c r="M189" s="16">
        <v>1</v>
      </c>
      <c r="N189" s="16" t="s">
        <v>96</v>
      </c>
      <c r="O189" s="16" t="s">
        <v>81</v>
      </c>
      <c r="P189" s="9" t="s">
        <v>1490</v>
      </c>
      <c r="Q189" s="16" t="s">
        <v>89</v>
      </c>
      <c r="R189" s="21" t="str">
        <f t="shared" ref="R189:R191" si="358">IF(AH189=1,"",IF(AM189&lt;&gt;"",AM189&amp;": no result is shown",IF(Q189="not recorded","Female "&amp;FIXED(V189,0,TRUE)&amp;" mL/minute; male "&amp;FIXED(W189,0,TRUE)&amp;" mL/minute (sex not recorded; both shown)",FIXED(U189,0,TRUE)&amp;" mL/minute estimated creatinine clearance ("&amp;Q189&amp;")")))</f>
        <v>40 mL/minute estimated creatinine clearance (female)</v>
      </c>
      <c r="S189" s="21" t="str">
        <f t="shared" ref="S189:S191" si="359">IF(AH189=1,"",IF(AO189=0,"Not calculable",MID(IF(Q189&lt;&gt;"not recorded","; "&amp;"Estimated creatinine clearance"&amp;": "&amp;FIXED(U189,0,TRUE)&amp;" mL/minute","")&amp;IF(Q189="not recorded","; "&amp;"Estimated CrCl with the female factor (0.85)"&amp;": "&amp;FIXED(V189,0,TRUE)&amp;" mL/minute","")&amp;IF(Q189="not recorded","; "&amp;"Estimated CrCl without the female factor"&amp;": "&amp;FIXED(W189,0,TRUE)&amp;" mL/minute","")&amp;IF(N189&lt;&gt;"mg/dL","; "&amp;"Serum creatinine in mg/dL"&amp;": "&amp;FIXED(T189,2,TRUE)&amp;" mg/dL",""),3,9999)))</f>
        <v>Estimated creatinine clearance: 40 mL/minute</v>
      </c>
      <c r="T189" s="21">
        <f t="shared" ref="T189:T191" si="360">IF(AO189=1,IF(N189="mg/dL",M189,M189/88.4),"")</f>
        <v>1</v>
      </c>
      <c r="U189" s="21">
        <f t="shared" ref="U189:U191" si="361">IF(AND(AO189=1,Q189&lt;&gt;"not recorded"),(140-H189)*J189/(72*T189)*IF(Q189="female",0.85,1),"")</f>
        <v>40.398611111111109</v>
      </c>
      <c r="V189" s="21" t="str">
        <f t="shared" ref="V189:V191" si="362">IF(AND(AO189=1,Q189="not recorded"),0.85*(140-H189)*J189/(72*T189),"")</f>
        <v/>
      </c>
      <c r="W189" s="21" t="str">
        <f t="shared" ref="W189:W191" si="363">IF(AND(AO189=1,Q189="not recorded"),(140-H189)*J189/(72*T189),"")</f>
        <v/>
      </c>
      <c r="X189" s="21" t="str">
        <f t="shared" ref="X189:X191" si="364">IF(AH189=1,"",IF(AM189&lt;&gt;"",AM189,MID(IF(Q189="not recorded","; W_SEX_NOT_RECORDED",""),3,999)))</f>
        <v/>
      </c>
      <c r="Y189" s="21" t="str">
        <f>IF(AH189=1,"",MID(IF(ISNUMBER(SEARCH("E_INVALID_DATE",AM189))," | E_INVALID_DATE: "&amp;SUBSTITUTE(IFERROR(INDEX(nMSG_Text,MATCH("E_INVALID_DATE",nMSG_Code,0)),""),"[input]",""),"")&amp;IF(ISNUMBER(SEARCH("E_REVERSED_BOUNDS",AM189))," | E_REVERSED_BOUNDS: "&amp;SUBSTITUTE(IFERROR(INDEX(nMSG_Text,MATCH("E_REVERSED_BOUNDS",nMSG_Code,0)),""),"[input]",""),"")&amp;IF(ISNUMBER(SEARCH("E_DUPLICATE_ID",AM189))," | E_DUPLICATE_ID: "&amp;SUBSTITUTE(IFERROR(INDEX(nMSG_Text,MATCH("E_DUPLICATE_ID",nMSG_Code,0)),""),"[input]",""),"")&amp;IF(ISNUMBER(SEARCH("E_MISSING_LINK",AM189))," | E_MISSING_LINK: "&amp;SUBSTITUTE(IFERROR(INDEX(nMSG_Text,MATCH("E_MISSING_LINK",nMSG_Code,0)),""),"[input]",""),"")&amp;IF(ISNUMBER(SEARCH("E_MISSING_INPUT",AM189))," | E_MISSING_INPUT: "&amp;SUBSTITUTE(IFERROR(INDEX(nMSG_Text,MATCH("E_MISSING_INPUT",nMSG_Code,0)),""),"[input]",IF(AN189="","an input",AN189)),"")&amp;IF(ISNUMBER(SEARCH("E_INVALID_UNIT",AM189))," | E_INVALID_UNIT: "&amp;SUBSTITUTE(IFERROR(INDEX(nMSG_Text,MATCH("E_INVALID_UNIT",nMSG_Code,0)),""),"[input]",""),"")&amp;IF(ISNUMBER(SEARCH("E_NONPOSITIVE_PARAMETER",AM189))," | E_NONPOSITIVE_PARAMETER: "&amp;SUBSTITUTE(IFERROR(INDEX(nMSG_Text,MATCH("E_NONPOSITIVE_PARAMETER",nMSG_Code,0)),""),"[input]",""),"")&amp;IF(ISNUMBER(SEARCH("E_OUT_OF_RANGE",AM189))," | E_OUT_OF_RANGE: "&amp;SUBSTITUTE(IFERROR(INDEX(nMSG_Text,MATCH("E_OUT_OF_RANGE",nMSG_Code,0)),""),"[input]",""),"")&amp;IF(ISNUMBER(SEARCH("E_APPLICABILITY_UNCONFIRMED",AM189))," | E_APPLICABILITY_UNCONFIRMED: "&amp;SUBSTITUTE(IFERROR(INDEX(nMSG_Text,MATCH("E_APPLICABILITY_UNCONFIRMED",nMSG_Code,0)),""),"[input]",""),"")&amp;IF(ISNUMBER(SEARCH("E_CREATININE_STABILITY_UNCONFIRMED",AM189))," | E_CREATININE_STABILITY_UNCONFIRMED: "&amp;SUBSTITUTE(IFERROR(INDEX(nMSG_Text,MATCH("E_CREATININE_STABILITY_UNCONFIRMED",nMSG_Code,0)),""),"[input]",""),"")&amp;IF(ISNUMBER(SEARCH("E_OVERLAPPING_SEGMENTS",AM189))," | E_OVERLAPPING_SEGMENTS: "&amp;SUBSTITUTE(IFERROR(INDEX(nMSG_Text,MATCH("E_OVERLAPPING_SEGMENTS",nMSG_Code,0)),""),"[input]",""),"")&amp;IF(AO189=1,IF(Q189="not recorded"," | W_SEX_NOT_RECORDED: "&amp;SUBSTITUTE(IFERROR(INDEX(nMSG_Text,MATCH("W_SEX_NOT_RECORDED",nMSG_Code,0)),""),"[input]",""),""),""),4,9999))</f>
        <v/>
      </c>
      <c r="Z189" s="21" t="str">
        <f t="shared" ref="Z189:Z191" si="365">IF(AH189=1,"","age = "&amp;H189&amp;" years ["&amp;IF(I189="","status not recorded",I189)&amp;"]; weight = "&amp;J189&amp;" kg, "&amp;K189&amp;" ["&amp;IF(L189="","status not recorded",L189)&amp;"]; serum creatinine = "&amp;M189&amp;" "&amp;N189&amp;" ["&amp;IF(O189="","status not recorded",O189)&amp;IF(P189&lt;&gt;"","; "&amp;P189,"")&amp;"]; sex: "&amp;Q189)</f>
        <v>age = 81 years [case measurement]; weight = 58 kg, actual [case measurement]; serum creatinine = 1 mg/dL [case measurement; M-CR2, 12 March 2026]; sex: female</v>
      </c>
      <c r="AA189" s="21" t="str">
        <f t="shared" ref="AA189:AA191" si="366">IF(AH189=1,"",MID(""&amp;IF(F189="Yes"," | Stable creatinine confirmed by the reviewer"&amp;IF(TRIM(G189&amp;"")&lt;&gt;"",": "&amp;G189,".")," | Creatinine stability not confirmed.")&amp;IF(TRIM(E189&amp;"")&lt;&gt;""," | "&amp;E189,""),4,9999))</f>
        <v>Stable creatinine confirmed by the reviewer: 1.0 mg/dL on 14 November 2025 and 12 March 2026 (two equal values four months apart)</v>
      </c>
      <c r="AB189" s="21" t="str">
        <f t="shared" ref="AB189:AB191" si="367">IF(AO189=0,"",MID(IF(Q189&lt;&gt;"not recorded","; "&amp;"Estimated creatinine clearance"&amp;" = "&amp;U189&amp;" ("&amp;FIXED(U189,0,TRUE)&amp;" mL/minute"&amp;")","")&amp;IF(Q189="not recorded","; "&amp;"Estimated CrCl with the female factor (0.85)"&amp;" = "&amp;V189&amp;" ("&amp;FIXED(V189,0,TRUE)&amp;" mL/minute"&amp;")","")&amp;IF(Q189="not recorded","; "&amp;"Estimated CrCl without the female factor"&amp;" = "&amp;W189&amp;" ("&amp;FIXED(W189,0,TRUE)&amp;" mL/minute"&amp;")","")&amp;IF(N189&lt;&gt;"mg/dL","; "&amp;"Serum creatinine in mg/dL"&amp;" = "&amp;T189&amp;" ("&amp;FIXED(T189,2,TRUE)&amp;" mg/dL"&amp;")",""),3,9999))</f>
        <v>Estimated creatinine clearance = 40.3986111111111 (40 mL/minute)</v>
      </c>
      <c r="AC189" s="21" t="str">
        <f t="shared" ref="AC189:AC191" si="368">IF(AO189=0,"","mL/minute")</f>
        <v>mL/minute</v>
      </c>
      <c r="AD189" s="21" t="str">
        <f t="shared" ref="AD189:AD191" si="369">IF(AH189=1,"",IF(TRIM(D189&amp;"")&lt;&gt;"",D189,"Q11 Estimated renal function (Cockcroft–Gault)"))</f>
        <v>Estimated renal function at baseline (March 2026)</v>
      </c>
      <c r="AE189" s="21" t="str">
        <f t="shared" ref="AE189:AE191" si="370">IF(AH189=1,"","Assumes stable creatinine. It is not drug clearance and not a dosing recommendation.")</f>
        <v>Assumes stable creatinine. It is not drug clearance and not a dosing recommendation.</v>
      </c>
      <c r="AF189" s="21" t="str">
        <f t="shared" ref="AF189:AF191" si="371">IF(AH189=1,"","Cockcroft–Gault: CrCl = (140 - age) x weight / (72 x SCr), x 0.85 when female sex is recorded; µmol/L / 88.4 = mg/dL")</f>
        <v>Cockcroft–Gault: CrCl = (140 - age) x weight / (72 x SCr), x 0.85 when female sex is recorded; µmol/L / 88.4 = mg/dL</v>
      </c>
      <c r="AG189" s="21" t="str">
        <f t="shared" ref="AG189:AG191" si="372">IF(AH189=1,"","CALC-SPEC 1.1")</f>
        <v>CALC-SPEC 1.1</v>
      </c>
      <c r="AH189" s="22">
        <f t="shared" ref="AH189:AH191" si="373">IF(AND(A189="",H189="",M189=""),1,0)</f>
        <v>0</v>
      </c>
      <c r="AI189" s="21" t="str">
        <f t="shared" ref="AI189:AI191" si="374">IF(AH189=1,"",B189&amp;"|"&amp;C189)</f>
        <v>EX-C04|2</v>
      </c>
      <c r="AJ189" s="21" t="str">
        <f t="shared" ref="AJ189:AJ191" si="375">IF(A189="","",B189&amp;"|"&amp;C189&amp;"|"&amp;A189)</f>
        <v>EX-C04|2|Q11-C04-baseline</v>
      </c>
      <c r="AK189" s="21" t="str">
        <f t="shared" ref="AK189:AK191" si="376">IF(AH189=1,"",IF(A189="","; E_MISSING_INPUT","")&amp;IF(F189&lt;&gt;"Yes","; E_CREATININE_STABILITY_UNCONFIRMED","")&amp;IF(J189="","; E_MISSING_INPUT","")&amp;IF(AND(J189&lt;&gt;"",NOT(ISNUMBER(J189))),"; E_MISSING_INPUT","")&amp;IF(AND(ISNUMBER(J189),J189&lt;=0),"; E_NONPOSITIVE_PARAMETER","")&amp;IF(M189="","; E_MISSING_INPUT","")&amp;IF(AND(M189&lt;&gt;"",NOT(ISNUMBER(M189))),"; E_MISSING_INPUT","")&amp;IF(AND(ISNUMBER(M189),M189&lt;=0),"; E_NONPOSITIVE_PARAMETER","")&amp;IF(H189="","; E_MISSING_INPUT","")&amp;IF(AND(H189&lt;&gt;"",NOT(ISNUMBER(H189))),"; E_MISSING_INPUT","")&amp;IF(AND(ISNUMBER(H189),OR(H189&lt;18,H189&gt;120)),"; E_OUT_OF_RANGE","")&amp;IF(N189="","; E_MISSING_INPUT","")&amp;IF(AND(N189&lt;&gt;"",N189&lt;&gt;"mg/dL",N189&lt;&gt;"µmol/L",N189&lt;&gt;"umol/L"),"; E_INVALID_UNIT","")&amp;IF(AND(Q189&lt;&gt;"male",Q189&lt;&gt;"female",Q189&lt;&gt;"not recorded"),"; E_MISSING_INPUT","")&amp;IF(TRIM(K189&amp;"")="","; E_MISSING_INPUT",""))</f>
        <v/>
      </c>
      <c r="AL189" s="21" t="str">
        <f t="shared" ref="AL189:AL191" si="377">IF(AH189=1,"",IF(A189="",", a Calc_ID","")&amp;IF(J189="",", the weight","")&amp;IF(AND(J189&lt;&gt;"",NOT(ISNUMBER(J189))),", the weight as a number","")&amp;IF(M189="",", the serum creatinine","")&amp;IF(AND(M189&lt;&gt;"",NOT(ISNUMBER(M189))),", the serum creatinine as a number","")&amp;IF(H189="",", the age","")&amp;IF(AND(H189&lt;&gt;"",NOT(ISNUMBER(H189))),", the age as a number","")&amp;IF(N189="",", the creatinine unit","")&amp;IF(AND(Q189&lt;&gt;"male",Q189&lt;&gt;"female",Q189&lt;&gt;"not recorded"),", sex as recorded (male, female or not recorded)","")&amp;IF(TRIM(K189&amp;"")="",", the weight type (for example actual body weight)",""))</f>
        <v/>
      </c>
      <c r="AM189" s="21" t="str">
        <f t="shared" ref="AM189:AM191" si="378">IF(AH189=1,"",MID(IF(ISNUMBER(SEARCH("E_INVALID_DATE",AK189)),"; E_INVALID_DATE","")&amp;IF(ISNUMBER(SEARCH("E_REVERSED_BOUNDS",AK189)),"; E_REVERSED_BOUNDS","")&amp;IF(ISNUMBER(SEARCH("E_DUPLICATE_ID",AK189)),"; E_DUPLICATE_ID","")&amp;IF(ISNUMBER(SEARCH("E_MISSING_LINK",AK189)),"; E_MISSING_LINK","")&amp;IF(ISNUMBER(SEARCH("E_MISSING_INPUT",AK189)),"; E_MISSING_INPUT","")&amp;IF(ISNUMBER(SEARCH("E_INVALID_UNIT",AK189)),"; E_INVALID_UNIT","")&amp;IF(ISNUMBER(SEARCH("E_NONPOSITIVE_PARAMETER",AK189)),"; E_NONPOSITIVE_PARAMETER","")&amp;IF(ISNUMBER(SEARCH("E_OUT_OF_RANGE",AK189)),"; E_OUT_OF_RANGE","")&amp;IF(ISNUMBER(SEARCH("E_APPLICABILITY_UNCONFIRMED",AK189)),"; E_APPLICABILITY_UNCONFIRMED","")&amp;IF(ISNUMBER(SEARCH("E_CREATININE_STABILITY_UNCONFIRMED",AK189)),"; E_CREATININE_STABILITY_UNCONFIRMED","")&amp;IF(ISNUMBER(SEARCH("E_OVERLAPPING_SEGMENTS",AK189)),"; E_OVERLAPPING_SEGMENTS",""),3,999))</f>
        <v/>
      </c>
      <c r="AN189" s="21" t="str">
        <f t="shared" ref="AN189:AN191" si="379">MID(AL189,3,999)</f>
        <v/>
      </c>
      <c r="AO189" s="22">
        <f t="shared" ref="AO189:AO191" si="380">IF(AND(AH189=0,AM189=""),1,0)</f>
        <v>1</v>
      </c>
    </row>
    <row r="190" spans="1:41" x14ac:dyDescent="0.2">
      <c r="A190" s="9" t="s">
        <v>1491</v>
      </c>
      <c r="B190" s="9" t="s">
        <v>301</v>
      </c>
      <c r="C190" s="11">
        <v>2</v>
      </c>
      <c r="D190" s="9" t="s">
        <v>1492</v>
      </c>
      <c r="E190" s="9"/>
      <c r="F190" s="16" t="s">
        <v>86</v>
      </c>
      <c r="G190" s="9" t="s">
        <v>1493</v>
      </c>
      <c r="H190" s="16">
        <v>81</v>
      </c>
      <c r="I190" s="16" t="s">
        <v>81</v>
      </c>
      <c r="J190" s="16">
        <v>58</v>
      </c>
      <c r="K190" s="16" t="s">
        <v>92</v>
      </c>
      <c r="L190" s="16" t="s">
        <v>81</v>
      </c>
      <c r="M190" s="16">
        <v>1.7</v>
      </c>
      <c r="N190" s="16" t="s">
        <v>96</v>
      </c>
      <c r="O190" s="16" t="s">
        <v>81</v>
      </c>
      <c r="P190" s="9" t="s">
        <v>1494</v>
      </c>
      <c r="Q190" s="16" t="s">
        <v>89</v>
      </c>
      <c r="R190" s="21" t="str">
        <f t="shared" si="358"/>
        <v>E_CREATININE_STABILITY_UNCONFIRMED: no result is shown</v>
      </c>
      <c r="S190" s="21" t="str">
        <f t="shared" si="359"/>
        <v>Not calculable</v>
      </c>
      <c r="T190" s="21" t="str">
        <f t="shared" si="360"/>
        <v/>
      </c>
      <c r="U190" s="21" t="str">
        <f t="shared" si="361"/>
        <v/>
      </c>
      <c r="V190" s="21" t="str">
        <f t="shared" si="362"/>
        <v/>
      </c>
      <c r="W190" s="21" t="str">
        <f t="shared" si="363"/>
        <v/>
      </c>
      <c r="X190" s="21" t="str">
        <f t="shared" si="364"/>
        <v>E_CREATININE_STABILITY_UNCONFIRMED</v>
      </c>
      <c r="Y190" s="21" t="str">
        <f>IF(AH190=1,"",MID(IF(ISNUMBER(SEARCH("E_INVALID_DATE",AM190))," | E_INVALID_DATE: "&amp;SUBSTITUTE(IFERROR(INDEX(nMSG_Text,MATCH("E_INVALID_DATE",nMSG_Code,0)),""),"[input]",""),"")&amp;IF(ISNUMBER(SEARCH("E_REVERSED_BOUNDS",AM190))," | E_REVERSED_BOUNDS: "&amp;SUBSTITUTE(IFERROR(INDEX(nMSG_Text,MATCH("E_REVERSED_BOUNDS",nMSG_Code,0)),""),"[input]",""),"")&amp;IF(ISNUMBER(SEARCH("E_DUPLICATE_ID",AM190))," | E_DUPLICATE_ID: "&amp;SUBSTITUTE(IFERROR(INDEX(nMSG_Text,MATCH("E_DUPLICATE_ID",nMSG_Code,0)),""),"[input]",""),"")&amp;IF(ISNUMBER(SEARCH("E_MISSING_LINK",AM190))," | E_MISSING_LINK: "&amp;SUBSTITUTE(IFERROR(INDEX(nMSG_Text,MATCH("E_MISSING_LINK",nMSG_Code,0)),""),"[input]",""),"")&amp;IF(ISNUMBER(SEARCH("E_MISSING_INPUT",AM190))," | E_MISSING_INPUT: "&amp;SUBSTITUTE(IFERROR(INDEX(nMSG_Text,MATCH("E_MISSING_INPUT",nMSG_Code,0)),""),"[input]",IF(AN190="","an input",AN190)),"")&amp;IF(ISNUMBER(SEARCH("E_INVALID_UNIT",AM190))," | E_INVALID_UNIT: "&amp;SUBSTITUTE(IFERROR(INDEX(nMSG_Text,MATCH("E_INVALID_UNIT",nMSG_Code,0)),""),"[input]",""),"")&amp;IF(ISNUMBER(SEARCH("E_NONPOSITIVE_PARAMETER",AM190))," | E_NONPOSITIVE_PARAMETER: "&amp;SUBSTITUTE(IFERROR(INDEX(nMSG_Text,MATCH("E_NONPOSITIVE_PARAMETER",nMSG_Code,0)),""),"[input]",""),"")&amp;IF(ISNUMBER(SEARCH("E_OUT_OF_RANGE",AM190))," | E_OUT_OF_RANGE: "&amp;SUBSTITUTE(IFERROR(INDEX(nMSG_Text,MATCH("E_OUT_OF_RANGE",nMSG_Code,0)),""),"[input]",""),"")&amp;IF(ISNUMBER(SEARCH("E_APPLICABILITY_UNCONFIRMED",AM190))," | E_APPLICABILITY_UNCONFIRMED: "&amp;SUBSTITUTE(IFERROR(INDEX(nMSG_Text,MATCH("E_APPLICABILITY_UNCONFIRMED",nMSG_Code,0)),""),"[input]",""),"")&amp;IF(ISNUMBER(SEARCH("E_CREATININE_STABILITY_UNCONFIRMED",AM190))," | E_CREATININE_STABILITY_UNCONFIRMED: "&amp;SUBSTITUTE(IFERROR(INDEX(nMSG_Text,MATCH("E_CREATININE_STABILITY_UNCONFIRMED",nMSG_Code,0)),""),"[input]",""),"")&amp;IF(ISNUMBER(SEARCH("E_OVERLAPPING_SEGMENTS",AM190))," | E_OVERLAPPING_SEGMENTS: "&amp;SUBSTITUTE(IFERROR(INDEX(nMSG_Text,MATCH("E_OVERLAPPING_SEGMENTS",nMSG_Code,0)),""),"[input]",""),"")&amp;IF(AO190=1,IF(Q190="not recorded"," | W_SEX_NOT_RECORDED: "&amp;SUBSTITUTE(IFERROR(INDEX(nMSG_Text,MATCH("W_SEX_NOT_RECORDED",nMSG_Code,0)),""),"[input]",""),""),""),4,9999))</f>
        <v>E_CREATININE_STABILITY_UNCONFIRMED: Cockcroft–Gault assumes stable creatinine. Confirm stability before an estimate is shown.</v>
      </c>
      <c r="Z190" s="21" t="str">
        <f t="shared" si="365"/>
        <v>age = 81 years [case measurement]; weight = 58 kg, actual [case measurement]; serum creatinine = 1.7 mg/dL [case measurement; M-CR3, 1 July 2026]; sex: female</v>
      </c>
      <c r="AA190" s="21" t="str">
        <f t="shared" si="366"/>
        <v>Creatinine stability not confirmed.</v>
      </c>
      <c r="AB190" s="21" t="str">
        <f t="shared" si="367"/>
        <v/>
      </c>
      <c r="AC190" s="21" t="str">
        <f t="shared" si="368"/>
        <v/>
      </c>
      <c r="AD190" s="21" t="str">
        <f t="shared" si="369"/>
        <v>Estimated renal function on 1 July 2026</v>
      </c>
      <c r="AE190" s="21" t="str">
        <f t="shared" si="370"/>
        <v>Assumes stable creatinine. It is not drug clearance and not a dosing recommendation.</v>
      </c>
      <c r="AF190" s="21" t="str">
        <f t="shared" si="371"/>
        <v>Cockcroft–Gault: CrCl = (140 - age) x weight / (72 x SCr), x 0.85 when female sex is recorded; µmol/L / 88.4 = mg/dL</v>
      </c>
      <c r="AG190" s="21" t="str">
        <f t="shared" si="372"/>
        <v>CALC-SPEC 1.1</v>
      </c>
      <c r="AH190" s="22">
        <f t="shared" si="373"/>
        <v>0</v>
      </c>
      <c r="AI190" s="21" t="str">
        <f t="shared" si="374"/>
        <v>EX-C04|2</v>
      </c>
      <c r="AJ190" s="21" t="str">
        <f t="shared" si="375"/>
        <v>EX-C04|2|Q11-C04-1Jul</v>
      </c>
      <c r="AK190" s="21" t="str">
        <f t="shared" si="376"/>
        <v>; E_CREATININE_STABILITY_UNCONFIRMED</v>
      </c>
      <c r="AL190" s="21" t="str">
        <f t="shared" si="377"/>
        <v/>
      </c>
      <c r="AM190" s="21" t="str">
        <f t="shared" si="378"/>
        <v>E_CREATININE_STABILITY_UNCONFIRMED</v>
      </c>
      <c r="AN190" s="21" t="str">
        <f t="shared" si="379"/>
        <v/>
      </c>
      <c r="AO190" s="22">
        <f t="shared" si="380"/>
        <v>0</v>
      </c>
    </row>
    <row r="191" spans="1:41" x14ac:dyDescent="0.2">
      <c r="A191" s="9" t="s">
        <v>1495</v>
      </c>
      <c r="B191" s="9" t="s">
        <v>301</v>
      </c>
      <c r="C191" s="11">
        <v>2</v>
      </c>
      <c r="D191" s="9" t="s">
        <v>1496</v>
      </c>
      <c r="E191" s="9"/>
      <c r="F191" s="16" t="s">
        <v>86</v>
      </c>
      <c r="G191" s="9" t="s">
        <v>1497</v>
      </c>
      <c r="H191" s="16">
        <v>81</v>
      </c>
      <c r="I191" s="16" t="s">
        <v>81</v>
      </c>
      <c r="J191" s="16">
        <v>58</v>
      </c>
      <c r="K191" s="16" t="s">
        <v>92</v>
      </c>
      <c r="L191" s="16" t="s">
        <v>81</v>
      </c>
      <c r="M191" s="16">
        <v>2.4</v>
      </c>
      <c r="N191" s="16" t="s">
        <v>96</v>
      </c>
      <c r="O191" s="16" t="s">
        <v>81</v>
      </c>
      <c r="P191" s="9" t="s">
        <v>1498</v>
      </c>
      <c r="Q191" s="16" t="s">
        <v>89</v>
      </c>
      <c r="R191" s="21" t="str">
        <f t="shared" si="358"/>
        <v>E_CREATININE_STABILITY_UNCONFIRMED: no result is shown</v>
      </c>
      <c r="S191" s="21" t="str">
        <f t="shared" si="359"/>
        <v>Not calculable</v>
      </c>
      <c r="T191" s="21" t="str">
        <f t="shared" si="360"/>
        <v/>
      </c>
      <c r="U191" s="21" t="str">
        <f t="shared" si="361"/>
        <v/>
      </c>
      <c r="V191" s="21" t="str">
        <f t="shared" si="362"/>
        <v/>
      </c>
      <c r="W191" s="21" t="str">
        <f t="shared" si="363"/>
        <v/>
      </c>
      <c r="X191" s="21" t="str">
        <f t="shared" si="364"/>
        <v>E_CREATININE_STABILITY_UNCONFIRMED</v>
      </c>
      <c r="Y191" s="21" t="str">
        <f>IF(AH191=1,"",MID(IF(ISNUMBER(SEARCH("E_INVALID_DATE",AM191))," | E_INVALID_DATE: "&amp;SUBSTITUTE(IFERROR(INDEX(nMSG_Text,MATCH("E_INVALID_DATE",nMSG_Code,0)),""),"[input]",""),"")&amp;IF(ISNUMBER(SEARCH("E_REVERSED_BOUNDS",AM191))," | E_REVERSED_BOUNDS: "&amp;SUBSTITUTE(IFERROR(INDEX(nMSG_Text,MATCH("E_REVERSED_BOUNDS",nMSG_Code,0)),""),"[input]",""),"")&amp;IF(ISNUMBER(SEARCH("E_DUPLICATE_ID",AM191))," | E_DUPLICATE_ID: "&amp;SUBSTITUTE(IFERROR(INDEX(nMSG_Text,MATCH("E_DUPLICATE_ID",nMSG_Code,0)),""),"[input]",""),"")&amp;IF(ISNUMBER(SEARCH("E_MISSING_LINK",AM191))," | E_MISSING_LINK: "&amp;SUBSTITUTE(IFERROR(INDEX(nMSG_Text,MATCH("E_MISSING_LINK",nMSG_Code,0)),""),"[input]",""),"")&amp;IF(ISNUMBER(SEARCH("E_MISSING_INPUT",AM191))," | E_MISSING_INPUT: "&amp;SUBSTITUTE(IFERROR(INDEX(nMSG_Text,MATCH("E_MISSING_INPUT",nMSG_Code,0)),""),"[input]",IF(AN191="","an input",AN191)),"")&amp;IF(ISNUMBER(SEARCH("E_INVALID_UNIT",AM191))," | E_INVALID_UNIT: "&amp;SUBSTITUTE(IFERROR(INDEX(nMSG_Text,MATCH("E_INVALID_UNIT",nMSG_Code,0)),""),"[input]",""),"")&amp;IF(ISNUMBER(SEARCH("E_NONPOSITIVE_PARAMETER",AM191))," | E_NONPOSITIVE_PARAMETER: "&amp;SUBSTITUTE(IFERROR(INDEX(nMSG_Text,MATCH("E_NONPOSITIVE_PARAMETER",nMSG_Code,0)),""),"[input]",""),"")&amp;IF(ISNUMBER(SEARCH("E_OUT_OF_RANGE",AM191))," | E_OUT_OF_RANGE: "&amp;SUBSTITUTE(IFERROR(INDEX(nMSG_Text,MATCH("E_OUT_OF_RANGE",nMSG_Code,0)),""),"[input]",""),"")&amp;IF(ISNUMBER(SEARCH("E_APPLICABILITY_UNCONFIRMED",AM191))," | E_APPLICABILITY_UNCONFIRMED: "&amp;SUBSTITUTE(IFERROR(INDEX(nMSG_Text,MATCH("E_APPLICABILITY_UNCONFIRMED",nMSG_Code,0)),""),"[input]",""),"")&amp;IF(ISNUMBER(SEARCH("E_CREATININE_STABILITY_UNCONFIRMED",AM191))," | E_CREATININE_STABILITY_UNCONFIRMED: "&amp;SUBSTITUTE(IFERROR(INDEX(nMSG_Text,MATCH("E_CREATININE_STABILITY_UNCONFIRMED",nMSG_Code,0)),""),"[input]",""),"")&amp;IF(ISNUMBER(SEARCH("E_OVERLAPPING_SEGMENTS",AM191))," | E_OVERLAPPING_SEGMENTS: "&amp;SUBSTITUTE(IFERROR(INDEX(nMSG_Text,MATCH("E_OVERLAPPING_SEGMENTS",nMSG_Code,0)),""),"[input]",""),"")&amp;IF(AO191=1,IF(Q191="not recorded"," | W_SEX_NOT_RECORDED: "&amp;SUBSTITUTE(IFERROR(INDEX(nMSG_Text,MATCH("W_SEX_NOT_RECORDED",nMSG_Code,0)),""),"[input]",""),""),""),4,9999))</f>
        <v>E_CREATININE_STABILITY_UNCONFIRMED: Cockcroft–Gault assumes stable creatinine. Confirm stability before an estimate is shown.</v>
      </c>
      <c r="Z191" s="21" t="str">
        <f t="shared" si="365"/>
        <v>age = 81 years [case measurement]; weight = 58 kg, actual [case measurement]; serum creatinine = 2.4 mg/dL [case measurement; M-CR4, 5 July 2026]; sex: female</v>
      </c>
      <c r="AA191" s="21" t="str">
        <f t="shared" si="366"/>
        <v>Creatinine stability not confirmed.</v>
      </c>
      <c r="AB191" s="21" t="str">
        <f t="shared" si="367"/>
        <v/>
      </c>
      <c r="AC191" s="21" t="str">
        <f t="shared" si="368"/>
        <v/>
      </c>
      <c r="AD191" s="21" t="str">
        <f t="shared" si="369"/>
        <v>Estimated renal function on 5 July 2026</v>
      </c>
      <c r="AE191" s="21" t="str">
        <f t="shared" si="370"/>
        <v>Assumes stable creatinine. It is not drug clearance and not a dosing recommendation.</v>
      </c>
      <c r="AF191" s="21" t="str">
        <f t="shared" si="371"/>
        <v>Cockcroft–Gault: CrCl = (140 - age) x weight / (72 x SCr), x 0.85 when female sex is recorded; µmol/L / 88.4 = mg/dL</v>
      </c>
      <c r="AG191" s="21" t="str">
        <f t="shared" si="372"/>
        <v>CALC-SPEC 1.1</v>
      </c>
      <c r="AH191" s="22">
        <f t="shared" si="373"/>
        <v>0</v>
      </c>
      <c r="AI191" s="21" t="str">
        <f t="shared" si="374"/>
        <v>EX-C04|2</v>
      </c>
      <c r="AJ191" s="21" t="str">
        <f t="shared" si="375"/>
        <v>EX-C04|2|Q11-C04-5Jul</v>
      </c>
      <c r="AK191" s="21" t="str">
        <f t="shared" si="376"/>
        <v>; E_CREATININE_STABILITY_UNCONFIRMED</v>
      </c>
      <c r="AL191" s="21" t="str">
        <f t="shared" si="377"/>
        <v/>
      </c>
      <c r="AM191" s="21" t="str">
        <f t="shared" si="378"/>
        <v>E_CREATININE_STABILITY_UNCONFIRMED</v>
      </c>
      <c r="AN191" s="21" t="str">
        <f t="shared" si="379"/>
        <v/>
      </c>
      <c r="AO191" s="22">
        <f t="shared" si="380"/>
        <v>0</v>
      </c>
    </row>
    <row r="192" spans="1:41" x14ac:dyDescent="0.2">
      <c r="A192" s="24" t="s">
        <v>295</v>
      </c>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row>
    <row r="193" spans="1:41" x14ac:dyDescent="0.2">
      <c r="A193" s="9" t="s">
        <v>1499</v>
      </c>
      <c r="B193" s="9" t="s">
        <v>361</v>
      </c>
      <c r="C193" s="11">
        <v>1</v>
      </c>
      <c r="D193" s="9" t="s">
        <v>1500</v>
      </c>
      <c r="E193" s="9"/>
      <c r="F193" s="16" t="s">
        <v>85</v>
      </c>
      <c r="G193" s="9" t="s">
        <v>1501</v>
      </c>
      <c r="H193" s="16">
        <v>70</v>
      </c>
      <c r="I193" s="16" t="s">
        <v>83</v>
      </c>
      <c r="J193" s="16">
        <v>70</v>
      </c>
      <c r="K193" s="16" t="s">
        <v>92</v>
      </c>
      <c r="L193" s="16" t="s">
        <v>83</v>
      </c>
      <c r="M193" s="16">
        <v>1</v>
      </c>
      <c r="N193" s="16" t="s">
        <v>96</v>
      </c>
      <c r="O193" s="16" t="s">
        <v>83</v>
      </c>
      <c r="P193" s="9"/>
      <c r="Q193" s="16" t="s">
        <v>88</v>
      </c>
      <c r="R193" s="21" t="str">
        <f t="shared" ref="R193:R197" si="381">IF(AH193=1,"",IF(AM193&lt;&gt;"",AM193&amp;": no result is shown",IF(Q193="not recorded","Female "&amp;FIXED(V193,0,TRUE)&amp;" mL/minute; male "&amp;FIXED(W193,0,TRUE)&amp;" mL/minute (sex not recorded; both shown)",FIXED(U193,0,TRUE)&amp;" mL/minute estimated creatinine clearance ("&amp;Q193&amp;")")))</f>
        <v>68 mL/minute estimated creatinine clearance (male)</v>
      </c>
      <c r="S193" s="21" t="str">
        <f t="shared" ref="S193:S197" si="382">IF(AH193=1,"",IF(AO193=0,"Not calculable",MID(IF(Q193&lt;&gt;"not recorded","; "&amp;"Estimated creatinine clearance"&amp;": "&amp;FIXED(U193,0,TRUE)&amp;" mL/minute","")&amp;IF(Q193="not recorded","; "&amp;"Estimated CrCl with the female factor (0.85)"&amp;": "&amp;FIXED(V193,0,TRUE)&amp;" mL/minute","")&amp;IF(Q193="not recorded","; "&amp;"Estimated CrCl without the female factor"&amp;": "&amp;FIXED(W193,0,TRUE)&amp;" mL/minute","")&amp;IF(N193&lt;&gt;"mg/dL","; "&amp;"Serum creatinine in mg/dL"&amp;": "&amp;FIXED(T193,2,TRUE)&amp;" mg/dL",""),3,9999)))</f>
        <v>Estimated creatinine clearance: 68 mL/minute</v>
      </c>
      <c r="T193" s="21">
        <f t="shared" ref="T193:T197" si="383">IF(AO193=1,IF(N193="mg/dL",M193,M193/88.4),"")</f>
        <v>1</v>
      </c>
      <c r="U193" s="21">
        <f t="shared" ref="U193:U197" si="384">IF(AND(AO193=1,Q193&lt;&gt;"not recorded"),(140-H193)*J193/(72*T193)*IF(Q193="female",0.85,1),"")</f>
        <v>68.055555555555557</v>
      </c>
      <c r="V193" s="21" t="str">
        <f t="shared" ref="V193:V197" si="385">IF(AND(AO193=1,Q193="not recorded"),0.85*(140-H193)*J193/(72*T193),"")</f>
        <v/>
      </c>
      <c r="W193" s="21" t="str">
        <f t="shared" ref="W193:W197" si="386">IF(AND(AO193=1,Q193="not recorded"),(140-H193)*J193/(72*T193),"")</f>
        <v/>
      </c>
      <c r="X193" s="21" t="str">
        <f t="shared" ref="X193:X197" si="387">IF(AH193=1,"",IF(AM193&lt;&gt;"",AM193,MID(IF(Q193="not recorded","; W_SEX_NOT_RECORDED",""),3,999)))</f>
        <v/>
      </c>
      <c r="Y193" s="21" t="str">
        <f>IF(AH193=1,"",MID(IF(ISNUMBER(SEARCH("E_INVALID_DATE",AM193))," | E_INVALID_DATE: "&amp;SUBSTITUTE(IFERROR(INDEX(nMSG_Text,MATCH("E_INVALID_DATE",nMSG_Code,0)),""),"[input]",""),"")&amp;IF(ISNUMBER(SEARCH("E_REVERSED_BOUNDS",AM193))," | E_REVERSED_BOUNDS: "&amp;SUBSTITUTE(IFERROR(INDEX(nMSG_Text,MATCH("E_REVERSED_BOUNDS",nMSG_Code,0)),""),"[input]",""),"")&amp;IF(ISNUMBER(SEARCH("E_DUPLICATE_ID",AM193))," | E_DUPLICATE_ID: "&amp;SUBSTITUTE(IFERROR(INDEX(nMSG_Text,MATCH("E_DUPLICATE_ID",nMSG_Code,0)),""),"[input]",""),"")&amp;IF(ISNUMBER(SEARCH("E_MISSING_LINK",AM193))," | E_MISSING_LINK: "&amp;SUBSTITUTE(IFERROR(INDEX(nMSG_Text,MATCH("E_MISSING_LINK",nMSG_Code,0)),""),"[input]",""),"")&amp;IF(ISNUMBER(SEARCH("E_MISSING_INPUT",AM193))," | E_MISSING_INPUT: "&amp;SUBSTITUTE(IFERROR(INDEX(nMSG_Text,MATCH("E_MISSING_INPUT",nMSG_Code,0)),""),"[input]",IF(AN193="","an input",AN193)),"")&amp;IF(ISNUMBER(SEARCH("E_INVALID_UNIT",AM193))," | E_INVALID_UNIT: "&amp;SUBSTITUTE(IFERROR(INDEX(nMSG_Text,MATCH("E_INVALID_UNIT",nMSG_Code,0)),""),"[input]",""),"")&amp;IF(ISNUMBER(SEARCH("E_NONPOSITIVE_PARAMETER",AM193))," | E_NONPOSITIVE_PARAMETER: "&amp;SUBSTITUTE(IFERROR(INDEX(nMSG_Text,MATCH("E_NONPOSITIVE_PARAMETER",nMSG_Code,0)),""),"[input]",""),"")&amp;IF(ISNUMBER(SEARCH("E_OUT_OF_RANGE",AM193))," | E_OUT_OF_RANGE: "&amp;SUBSTITUTE(IFERROR(INDEX(nMSG_Text,MATCH("E_OUT_OF_RANGE",nMSG_Code,0)),""),"[input]",""),"")&amp;IF(ISNUMBER(SEARCH("E_APPLICABILITY_UNCONFIRMED",AM193))," | E_APPLICABILITY_UNCONFIRMED: "&amp;SUBSTITUTE(IFERROR(INDEX(nMSG_Text,MATCH("E_APPLICABILITY_UNCONFIRMED",nMSG_Code,0)),""),"[input]",""),"")&amp;IF(ISNUMBER(SEARCH("E_CREATININE_STABILITY_UNCONFIRMED",AM193))," | E_CREATININE_STABILITY_UNCONFIRMED: "&amp;SUBSTITUTE(IFERROR(INDEX(nMSG_Text,MATCH("E_CREATININE_STABILITY_UNCONFIRMED",nMSG_Code,0)),""),"[input]",""),"")&amp;IF(ISNUMBER(SEARCH("E_OVERLAPPING_SEGMENTS",AM193))," | E_OVERLAPPING_SEGMENTS: "&amp;SUBSTITUTE(IFERROR(INDEX(nMSG_Text,MATCH("E_OVERLAPPING_SEGMENTS",nMSG_Code,0)),""),"[input]",""),"")&amp;IF(AO193=1,IF(Q193="not recorded"," | W_SEX_NOT_RECORDED: "&amp;SUBSTITUTE(IFERROR(INDEX(nMSG_Text,MATCH("W_SEX_NOT_RECORDED",nMSG_Code,0)),""),"[input]",""),""),""),4,9999))</f>
        <v/>
      </c>
      <c r="Z193" s="21" t="str">
        <f t="shared" ref="Z193:Z197" si="388">IF(AH193=1,"","age = "&amp;H193&amp;" years ["&amp;IF(I193="","status not recorded",I193)&amp;"]; weight = "&amp;J193&amp;" kg, "&amp;K193&amp;" ["&amp;IF(L193="","status not recorded",L193)&amp;"]; serum creatinine = "&amp;M193&amp;" "&amp;N193&amp;" ["&amp;IF(O193="","status not recorded",O193)&amp;IF(P193&lt;&gt;"","; "&amp;P193,"")&amp;"]; sex: "&amp;Q193)</f>
        <v>age = 70 years [hypothetical example]; weight = 70 kg, actual [hypothetical example]; serum creatinine = 1 mg/dL [hypothetical example]; sex: male</v>
      </c>
      <c r="AA193" s="21" t="str">
        <f t="shared" ref="AA193:AA197" si="389">IF(AH193=1,"",MID(""&amp;IF(F193="Yes"," | Stable creatinine confirmed by the reviewer"&amp;IF(TRIM(G193&amp;"")&lt;&gt;"",": "&amp;G193,".")," | Creatinine stability not confirmed.")&amp;IF(TRIM(E193&amp;"")&lt;&gt;""," | "&amp;E193,""),4,9999))</f>
        <v>Stable creatinine confirmed by the reviewer: Vector input</v>
      </c>
      <c r="AB193" s="21" t="str">
        <f t="shared" ref="AB193:AB197" si="390">IF(AO193=0,"",MID(IF(Q193&lt;&gt;"not recorded","; "&amp;"Estimated creatinine clearance"&amp;" = "&amp;U193&amp;" ("&amp;FIXED(U193,0,TRUE)&amp;" mL/minute"&amp;")","")&amp;IF(Q193="not recorded","; "&amp;"Estimated CrCl with the female factor (0.85)"&amp;" = "&amp;V193&amp;" ("&amp;FIXED(V193,0,TRUE)&amp;" mL/minute"&amp;")","")&amp;IF(Q193="not recorded","; "&amp;"Estimated CrCl without the female factor"&amp;" = "&amp;W193&amp;" ("&amp;FIXED(W193,0,TRUE)&amp;" mL/minute"&amp;")","")&amp;IF(N193&lt;&gt;"mg/dL","; "&amp;"Serum creatinine in mg/dL"&amp;" = "&amp;T193&amp;" ("&amp;FIXED(T193,2,TRUE)&amp;" mg/dL"&amp;")",""),3,9999))</f>
        <v>Estimated creatinine clearance = 68.0555555555556 (68 mL/minute)</v>
      </c>
      <c r="AC193" s="21" t="str">
        <f t="shared" ref="AC193:AC197" si="391">IF(AO193=0,"","mL/minute")</f>
        <v>mL/minute</v>
      </c>
      <c r="AD193" s="21" t="str">
        <f t="shared" ref="AD193:AD197" si="392">IF(AH193=1,"",IF(TRIM(D193&amp;"")&lt;&gt;"",D193,"Q11 Estimated renal function (Cockcroft–Gault)"))</f>
        <v>Vector V27, case 1</v>
      </c>
      <c r="AE193" s="21" t="str">
        <f t="shared" ref="AE193:AE197" si="393">IF(AH193=1,"","Assumes stable creatinine. It is not drug clearance and not a dosing recommendation.")</f>
        <v>Assumes stable creatinine. It is not drug clearance and not a dosing recommendation.</v>
      </c>
      <c r="AF193" s="21" t="str">
        <f t="shared" ref="AF193:AF197" si="394">IF(AH193=1,"","Cockcroft–Gault: CrCl = (140 - age) x weight / (72 x SCr), x 0.85 when female sex is recorded; µmol/L / 88.4 = mg/dL")</f>
        <v>Cockcroft–Gault: CrCl = (140 - age) x weight / (72 x SCr), x 0.85 when female sex is recorded; µmol/L / 88.4 = mg/dL</v>
      </c>
      <c r="AG193" s="21" t="str">
        <f t="shared" ref="AG193:AG197" si="395">IF(AH193=1,"","CALC-SPEC 1.1")</f>
        <v>CALC-SPEC 1.1</v>
      </c>
      <c r="AH193" s="22">
        <f t="shared" ref="AH193:AH197" si="396">IF(AND(A193="",H193="",M193=""),1,0)</f>
        <v>0</v>
      </c>
      <c r="AI193" s="21" t="str">
        <f t="shared" ref="AI193:AI197" si="397">IF(AH193=1,"",B193&amp;"|"&amp;C193)</f>
        <v>VEC-V27|1</v>
      </c>
      <c r="AJ193" s="21" t="str">
        <f t="shared" ref="AJ193:AJ197" si="398">IF(A193="","",B193&amp;"|"&amp;C193&amp;"|"&amp;A193)</f>
        <v>VEC-V27|1|Q11-V27a</v>
      </c>
      <c r="AK193" s="21" t="str">
        <f t="shared" ref="AK193:AK197" si="399">IF(AH193=1,"",IF(A193="","; E_MISSING_INPUT","")&amp;IF(F193&lt;&gt;"Yes","; E_CREATININE_STABILITY_UNCONFIRMED","")&amp;IF(J193="","; E_MISSING_INPUT","")&amp;IF(AND(J193&lt;&gt;"",NOT(ISNUMBER(J193))),"; E_MISSING_INPUT","")&amp;IF(AND(ISNUMBER(J193),J193&lt;=0),"; E_NONPOSITIVE_PARAMETER","")&amp;IF(M193="","; E_MISSING_INPUT","")&amp;IF(AND(M193&lt;&gt;"",NOT(ISNUMBER(M193))),"; E_MISSING_INPUT","")&amp;IF(AND(ISNUMBER(M193),M193&lt;=0),"; E_NONPOSITIVE_PARAMETER","")&amp;IF(H193="","; E_MISSING_INPUT","")&amp;IF(AND(H193&lt;&gt;"",NOT(ISNUMBER(H193))),"; E_MISSING_INPUT","")&amp;IF(AND(ISNUMBER(H193),OR(H193&lt;18,H193&gt;120)),"; E_OUT_OF_RANGE","")&amp;IF(N193="","; E_MISSING_INPUT","")&amp;IF(AND(N193&lt;&gt;"",N193&lt;&gt;"mg/dL",N193&lt;&gt;"µmol/L",N193&lt;&gt;"umol/L"),"; E_INVALID_UNIT","")&amp;IF(AND(Q193&lt;&gt;"male",Q193&lt;&gt;"female",Q193&lt;&gt;"not recorded"),"; E_MISSING_INPUT","")&amp;IF(TRIM(K193&amp;"")="","; E_MISSING_INPUT",""))</f>
        <v/>
      </c>
      <c r="AL193" s="21" t="str">
        <f t="shared" ref="AL193:AL197" si="400">IF(AH193=1,"",IF(A193="",", a Calc_ID","")&amp;IF(J193="",", the weight","")&amp;IF(AND(J193&lt;&gt;"",NOT(ISNUMBER(J193))),", the weight as a number","")&amp;IF(M193="",", the serum creatinine","")&amp;IF(AND(M193&lt;&gt;"",NOT(ISNUMBER(M193))),", the serum creatinine as a number","")&amp;IF(H193="",", the age","")&amp;IF(AND(H193&lt;&gt;"",NOT(ISNUMBER(H193))),", the age as a number","")&amp;IF(N193="",", the creatinine unit","")&amp;IF(AND(Q193&lt;&gt;"male",Q193&lt;&gt;"female",Q193&lt;&gt;"not recorded"),", sex as recorded (male, female or not recorded)","")&amp;IF(TRIM(K193&amp;"")="",", the weight type (for example actual body weight)",""))</f>
        <v/>
      </c>
      <c r="AM193" s="21" t="str">
        <f t="shared" ref="AM193:AM197" si="401">IF(AH193=1,"",MID(IF(ISNUMBER(SEARCH("E_INVALID_DATE",AK193)),"; E_INVALID_DATE","")&amp;IF(ISNUMBER(SEARCH("E_REVERSED_BOUNDS",AK193)),"; E_REVERSED_BOUNDS","")&amp;IF(ISNUMBER(SEARCH("E_DUPLICATE_ID",AK193)),"; E_DUPLICATE_ID","")&amp;IF(ISNUMBER(SEARCH("E_MISSING_LINK",AK193)),"; E_MISSING_LINK","")&amp;IF(ISNUMBER(SEARCH("E_MISSING_INPUT",AK193)),"; E_MISSING_INPUT","")&amp;IF(ISNUMBER(SEARCH("E_INVALID_UNIT",AK193)),"; E_INVALID_UNIT","")&amp;IF(ISNUMBER(SEARCH("E_NONPOSITIVE_PARAMETER",AK193)),"; E_NONPOSITIVE_PARAMETER","")&amp;IF(ISNUMBER(SEARCH("E_OUT_OF_RANGE",AK193)),"; E_OUT_OF_RANGE","")&amp;IF(ISNUMBER(SEARCH("E_APPLICABILITY_UNCONFIRMED",AK193)),"; E_APPLICABILITY_UNCONFIRMED","")&amp;IF(ISNUMBER(SEARCH("E_CREATININE_STABILITY_UNCONFIRMED",AK193)),"; E_CREATININE_STABILITY_UNCONFIRMED","")&amp;IF(ISNUMBER(SEARCH("E_OVERLAPPING_SEGMENTS",AK193)),"; E_OVERLAPPING_SEGMENTS",""),3,999))</f>
        <v/>
      </c>
      <c r="AN193" s="21" t="str">
        <f t="shared" ref="AN193:AN197" si="402">MID(AL193,3,999)</f>
        <v/>
      </c>
      <c r="AO193" s="22">
        <f t="shared" ref="AO193:AO197" si="403">IF(AND(AH193=0,AM193=""),1,0)</f>
        <v>1</v>
      </c>
    </row>
    <row r="194" spans="1:41" x14ac:dyDescent="0.2">
      <c r="A194" s="9" t="s">
        <v>1502</v>
      </c>
      <c r="B194" s="9" t="s">
        <v>361</v>
      </c>
      <c r="C194" s="11">
        <v>1</v>
      </c>
      <c r="D194" s="9" t="s">
        <v>1503</v>
      </c>
      <c r="E194" s="9"/>
      <c r="F194" s="16" t="s">
        <v>85</v>
      </c>
      <c r="G194" s="9" t="s">
        <v>1501</v>
      </c>
      <c r="H194" s="16">
        <v>70</v>
      </c>
      <c r="I194" s="16" t="s">
        <v>83</v>
      </c>
      <c r="J194" s="16">
        <v>70</v>
      </c>
      <c r="K194" s="16" t="s">
        <v>92</v>
      </c>
      <c r="L194" s="16" t="s">
        <v>83</v>
      </c>
      <c r="M194" s="16">
        <v>2</v>
      </c>
      <c r="N194" s="16" t="s">
        <v>96</v>
      </c>
      <c r="O194" s="16" t="s">
        <v>83</v>
      </c>
      <c r="P194" s="9"/>
      <c r="Q194" s="16" t="s">
        <v>88</v>
      </c>
      <c r="R194" s="21" t="str">
        <f t="shared" si="381"/>
        <v>34 mL/minute estimated creatinine clearance (male)</v>
      </c>
      <c r="S194" s="21" t="str">
        <f t="shared" si="382"/>
        <v>Estimated creatinine clearance: 34 mL/minute</v>
      </c>
      <c r="T194" s="21">
        <f t="shared" si="383"/>
        <v>2</v>
      </c>
      <c r="U194" s="21">
        <f t="shared" si="384"/>
        <v>34.027777777777779</v>
      </c>
      <c r="V194" s="21" t="str">
        <f t="shared" si="385"/>
        <v/>
      </c>
      <c r="W194" s="21" t="str">
        <f t="shared" si="386"/>
        <v/>
      </c>
      <c r="X194" s="21" t="str">
        <f t="shared" si="387"/>
        <v/>
      </c>
      <c r="Y194" s="21" t="str">
        <f>IF(AH194=1,"",MID(IF(ISNUMBER(SEARCH("E_INVALID_DATE",AM194))," | E_INVALID_DATE: "&amp;SUBSTITUTE(IFERROR(INDEX(nMSG_Text,MATCH("E_INVALID_DATE",nMSG_Code,0)),""),"[input]",""),"")&amp;IF(ISNUMBER(SEARCH("E_REVERSED_BOUNDS",AM194))," | E_REVERSED_BOUNDS: "&amp;SUBSTITUTE(IFERROR(INDEX(nMSG_Text,MATCH("E_REVERSED_BOUNDS",nMSG_Code,0)),""),"[input]",""),"")&amp;IF(ISNUMBER(SEARCH("E_DUPLICATE_ID",AM194))," | E_DUPLICATE_ID: "&amp;SUBSTITUTE(IFERROR(INDEX(nMSG_Text,MATCH("E_DUPLICATE_ID",nMSG_Code,0)),""),"[input]",""),"")&amp;IF(ISNUMBER(SEARCH("E_MISSING_LINK",AM194))," | E_MISSING_LINK: "&amp;SUBSTITUTE(IFERROR(INDEX(nMSG_Text,MATCH("E_MISSING_LINK",nMSG_Code,0)),""),"[input]",""),"")&amp;IF(ISNUMBER(SEARCH("E_MISSING_INPUT",AM194))," | E_MISSING_INPUT: "&amp;SUBSTITUTE(IFERROR(INDEX(nMSG_Text,MATCH("E_MISSING_INPUT",nMSG_Code,0)),""),"[input]",IF(AN194="","an input",AN194)),"")&amp;IF(ISNUMBER(SEARCH("E_INVALID_UNIT",AM194))," | E_INVALID_UNIT: "&amp;SUBSTITUTE(IFERROR(INDEX(nMSG_Text,MATCH("E_INVALID_UNIT",nMSG_Code,0)),""),"[input]",""),"")&amp;IF(ISNUMBER(SEARCH("E_NONPOSITIVE_PARAMETER",AM194))," | E_NONPOSITIVE_PARAMETER: "&amp;SUBSTITUTE(IFERROR(INDEX(nMSG_Text,MATCH("E_NONPOSITIVE_PARAMETER",nMSG_Code,0)),""),"[input]",""),"")&amp;IF(ISNUMBER(SEARCH("E_OUT_OF_RANGE",AM194))," | E_OUT_OF_RANGE: "&amp;SUBSTITUTE(IFERROR(INDEX(nMSG_Text,MATCH("E_OUT_OF_RANGE",nMSG_Code,0)),""),"[input]",""),"")&amp;IF(ISNUMBER(SEARCH("E_APPLICABILITY_UNCONFIRMED",AM194))," | E_APPLICABILITY_UNCONFIRMED: "&amp;SUBSTITUTE(IFERROR(INDEX(nMSG_Text,MATCH("E_APPLICABILITY_UNCONFIRMED",nMSG_Code,0)),""),"[input]",""),"")&amp;IF(ISNUMBER(SEARCH("E_CREATININE_STABILITY_UNCONFIRMED",AM194))," | E_CREATININE_STABILITY_UNCONFIRMED: "&amp;SUBSTITUTE(IFERROR(INDEX(nMSG_Text,MATCH("E_CREATININE_STABILITY_UNCONFIRMED",nMSG_Code,0)),""),"[input]",""),"")&amp;IF(ISNUMBER(SEARCH("E_OVERLAPPING_SEGMENTS",AM194))," | E_OVERLAPPING_SEGMENTS: "&amp;SUBSTITUTE(IFERROR(INDEX(nMSG_Text,MATCH("E_OVERLAPPING_SEGMENTS",nMSG_Code,0)),""),"[input]",""),"")&amp;IF(AO194=1,IF(Q194="not recorded"," | W_SEX_NOT_RECORDED: "&amp;SUBSTITUTE(IFERROR(INDEX(nMSG_Text,MATCH("W_SEX_NOT_RECORDED",nMSG_Code,0)),""),"[input]",""),""),""),4,9999))</f>
        <v/>
      </c>
      <c r="Z194" s="21" t="str">
        <f t="shared" si="388"/>
        <v>age = 70 years [hypothetical example]; weight = 70 kg, actual [hypothetical example]; serum creatinine = 2 mg/dL [hypothetical example]; sex: male</v>
      </c>
      <c r="AA194" s="21" t="str">
        <f t="shared" si="389"/>
        <v>Stable creatinine confirmed by the reviewer: Vector input</v>
      </c>
      <c r="AB194" s="21" t="str">
        <f t="shared" si="390"/>
        <v>Estimated creatinine clearance = 34.0277777777778 (34 mL/minute)</v>
      </c>
      <c r="AC194" s="21" t="str">
        <f t="shared" si="391"/>
        <v>mL/minute</v>
      </c>
      <c r="AD194" s="21" t="str">
        <f t="shared" si="392"/>
        <v>Vector V27, case 2</v>
      </c>
      <c r="AE194" s="21" t="str">
        <f t="shared" si="393"/>
        <v>Assumes stable creatinine. It is not drug clearance and not a dosing recommendation.</v>
      </c>
      <c r="AF194" s="21" t="str">
        <f t="shared" si="394"/>
        <v>Cockcroft–Gault: CrCl = (140 - age) x weight / (72 x SCr), x 0.85 when female sex is recorded; µmol/L / 88.4 = mg/dL</v>
      </c>
      <c r="AG194" s="21" t="str">
        <f t="shared" si="395"/>
        <v>CALC-SPEC 1.1</v>
      </c>
      <c r="AH194" s="22">
        <f t="shared" si="396"/>
        <v>0</v>
      </c>
      <c r="AI194" s="21" t="str">
        <f t="shared" si="397"/>
        <v>VEC-V27|1</v>
      </c>
      <c r="AJ194" s="21" t="str">
        <f t="shared" si="398"/>
        <v>VEC-V27|1|Q11-V27b</v>
      </c>
      <c r="AK194" s="21" t="str">
        <f t="shared" si="399"/>
        <v/>
      </c>
      <c r="AL194" s="21" t="str">
        <f t="shared" si="400"/>
        <v/>
      </c>
      <c r="AM194" s="21" t="str">
        <f t="shared" si="401"/>
        <v/>
      </c>
      <c r="AN194" s="21" t="str">
        <f t="shared" si="402"/>
        <v/>
      </c>
      <c r="AO194" s="22">
        <f t="shared" si="403"/>
        <v>1</v>
      </c>
    </row>
    <row r="195" spans="1:41" x14ac:dyDescent="0.2">
      <c r="A195" s="9" t="s">
        <v>1504</v>
      </c>
      <c r="B195" s="9" t="s">
        <v>361</v>
      </c>
      <c r="C195" s="11">
        <v>1</v>
      </c>
      <c r="D195" s="9" t="s">
        <v>1505</v>
      </c>
      <c r="E195" s="9"/>
      <c r="F195" s="16" t="s">
        <v>85</v>
      </c>
      <c r="G195" s="9" t="s">
        <v>1501</v>
      </c>
      <c r="H195" s="16">
        <v>70</v>
      </c>
      <c r="I195" s="16" t="s">
        <v>83</v>
      </c>
      <c r="J195" s="16">
        <v>70</v>
      </c>
      <c r="K195" s="16" t="s">
        <v>92</v>
      </c>
      <c r="L195" s="16" t="s">
        <v>83</v>
      </c>
      <c r="M195" s="16">
        <v>1</v>
      </c>
      <c r="N195" s="16" t="s">
        <v>96</v>
      </c>
      <c r="O195" s="16" t="s">
        <v>83</v>
      </c>
      <c r="P195" s="9"/>
      <c r="Q195" s="16" t="s">
        <v>89</v>
      </c>
      <c r="R195" s="21" t="str">
        <f t="shared" si="381"/>
        <v>58 mL/minute estimated creatinine clearance (female)</v>
      </c>
      <c r="S195" s="21" t="str">
        <f t="shared" si="382"/>
        <v>Estimated creatinine clearance: 58 mL/minute</v>
      </c>
      <c r="T195" s="21">
        <f t="shared" si="383"/>
        <v>1</v>
      </c>
      <c r="U195" s="21">
        <f t="shared" si="384"/>
        <v>57.847222222222221</v>
      </c>
      <c r="V195" s="21" t="str">
        <f t="shared" si="385"/>
        <v/>
      </c>
      <c r="W195" s="21" t="str">
        <f t="shared" si="386"/>
        <v/>
      </c>
      <c r="X195" s="21" t="str">
        <f t="shared" si="387"/>
        <v/>
      </c>
      <c r="Y195" s="21" t="str">
        <f>IF(AH195=1,"",MID(IF(ISNUMBER(SEARCH("E_INVALID_DATE",AM195))," | E_INVALID_DATE: "&amp;SUBSTITUTE(IFERROR(INDEX(nMSG_Text,MATCH("E_INVALID_DATE",nMSG_Code,0)),""),"[input]",""),"")&amp;IF(ISNUMBER(SEARCH("E_REVERSED_BOUNDS",AM195))," | E_REVERSED_BOUNDS: "&amp;SUBSTITUTE(IFERROR(INDEX(nMSG_Text,MATCH("E_REVERSED_BOUNDS",nMSG_Code,0)),""),"[input]",""),"")&amp;IF(ISNUMBER(SEARCH("E_DUPLICATE_ID",AM195))," | E_DUPLICATE_ID: "&amp;SUBSTITUTE(IFERROR(INDEX(nMSG_Text,MATCH("E_DUPLICATE_ID",nMSG_Code,0)),""),"[input]",""),"")&amp;IF(ISNUMBER(SEARCH("E_MISSING_LINK",AM195))," | E_MISSING_LINK: "&amp;SUBSTITUTE(IFERROR(INDEX(nMSG_Text,MATCH("E_MISSING_LINK",nMSG_Code,0)),""),"[input]",""),"")&amp;IF(ISNUMBER(SEARCH("E_MISSING_INPUT",AM195))," | E_MISSING_INPUT: "&amp;SUBSTITUTE(IFERROR(INDEX(nMSG_Text,MATCH("E_MISSING_INPUT",nMSG_Code,0)),""),"[input]",IF(AN195="","an input",AN195)),"")&amp;IF(ISNUMBER(SEARCH("E_INVALID_UNIT",AM195))," | E_INVALID_UNIT: "&amp;SUBSTITUTE(IFERROR(INDEX(nMSG_Text,MATCH("E_INVALID_UNIT",nMSG_Code,0)),""),"[input]",""),"")&amp;IF(ISNUMBER(SEARCH("E_NONPOSITIVE_PARAMETER",AM195))," | E_NONPOSITIVE_PARAMETER: "&amp;SUBSTITUTE(IFERROR(INDEX(nMSG_Text,MATCH("E_NONPOSITIVE_PARAMETER",nMSG_Code,0)),""),"[input]",""),"")&amp;IF(ISNUMBER(SEARCH("E_OUT_OF_RANGE",AM195))," | E_OUT_OF_RANGE: "&amp;SUBSTITUTE(IFERROR(INDEX(nMSG_Text,MATCH("E_OUT_OF_RANGE",nMSG_Code,0)),""),"[input]",""),"")&amp;IF(ISNUMBER(SEARCH("E_APPLICABILITY_UNCONFIRMED",AM195))," | E_APPLICABILITY_UNCONFIRMED: "&amp;SUBSTITUTE(IFERROR(INDEX(nMSG_Text,MATCH("E_APPLICABILITY_UNCONFIRMED",nMSG_Code,0)),""),"[input]",""),"")&amp;IF(ISNUMBER(SEARCH("E_CREATININE_STABILITY_UNCONFIRMED",AM195))," | E_CREATININE_STABILITY_UNCONFIRMED: "&amp;SUBSTITUTE(IFERROR(INDEX(nMSG_Text,MATCH("E_CREATININE_STABILITY_UNCONFIRMED",nMSG_Code,0)),""),"[input]",""),"")&amp;IF(ISNUMBER(SEARCH("E_OVERLAPPING_SEGMENTS",AM195))," | E_OVERLAPPING_SEGMENTS: "&amp;SUBSTITUTE(IFERROR(INDEX(nMSG_Text,MATCH("E_OVERLAPPING_SEGMENTS",nMSG_Code,0)),""),"[input]",""),"")&amp;IF(AO195=1,IF(Q195="not recorded"," | W_SEX_NOT_RECORDED: "&amp;SUBSTITUTE(IFERROR(INDEX(nMSG_Text,MATCH("W_SEX_NOT_RECORDED",nMSG_Code,0)),""),"[input]",""),""),""),4,9999))</f>
        <v/>
      </c>
      <c r="Z195" s="21" t="str">
        <f t="shared" si="388"/>
        <v>age = 70 years [hypothetical example]; weight = 70 kg, actual [hypothetical example]; serum creatinine = 1 mg/dL [hypothetical example]; sex: female</v>
      </c>
      <c r="AA195" s="21" t="str">
        <f t="shared" si="389"/>
        <v>Stable creatinine confirmed by the reviewer: Vector input</v>
      </c>
      <c r="AB195" s="21" t="str">
        <f t="shared" si="390"/>
        <v>Estimated creatinine clearance = 57.8472222222222 (58 mL/minute)</v>
      </c>
      <c r="AC195" s="21" t="str">
        <f t="shared" si="391"/>
        <v>mL/minute</v>
      </c>
      <c r="AD195" s="21" t="str">
        <f t="shared" si="392"/>
        <v>Vector V27, case 3</v>
      </c>
      <c r="AE195" s="21" t="str">
        <f t="shared" si="393"/>
        <v>Assumes stable creatinine. It is not drug clearance and not a dosing recommendation.</v>
      </c>
      <c r="AF195" s="21" t="str">
        <f t="shared" si="394"/>
        <v>Cockcroft–Gault: CrCl = (140 - age) x weight / (72 x SCr), x 0.85 when female sex is recorded; µmol/L / 88.4 = mg/dL</v>
      </c>
      <c r="AG195" s="21" t="str">
        <f t="shared" si="395"/>
        <v>CALC-SPEC 1.1</v>
      </c>
      <c r="AH195" s="22">
        <f t="shared" si="396"/>
        <v>0</v>
      </c>
      <c r="AI195" s="21" t="str">
        <f t="shared" si="397"/>
        <v>VEC-V27|1</v>
      </c>
      <c r="AJ195" s="21" t="str">
        <f t="shared" si="398"/>
        <v>VEC-V27|1|Q11-V27c</v>
      </c>
      <c r="AK195" s="21" t="str">
        <f t="shared" si="399"/>
        <v/>
      </c>
      <c r="AL195" s="21" t="str">
        <f t="shared" si="400"/>
        <v/>
      </c>
      <c r="AM195" s="21" t="str">
        <f t="shared" si="401"/>
        <v/>
      </c>
      <c r="AN195" s="21" t="str">
        <f t="shared" si="402"/>
        <v/>
      </c>
      <c r="AO195" s="22">
        <f t="shared" si="403"/>
        <v>1</v>
      </c>
    </row>
    <row r="196" spans="1:41" x14ac:dyDescent="0.2">
      <c r="A196" s="9" t="s">
        <v>1506</v>
      </c>
      <c r="B196" s="9" t="s">
        <v>361</v>
      </c>
      <c r="C196" s="11">
        <v>1</v>
      </c>
      <c r="D196" s="9" t="s">
        <v>1507</v>
      </c>
      <c r="E196" s="9"/>
      <c r="F196" s="16" t="s">
        <v>85</v>
      </c>
      <c r="G196" s="9" t="s">
        <v>1501</v>
      </c>
      <c r="H196" s="16">
        <v>70</v>
      </c>
      <c r="I196" s="16" t="s">
        <v>83</v>
      </c>
      <c r="J196" s="16">
        <v>70</v>
      </c>
      <c r="K196" s="16" t="s">
        <v>92</v>
      </c>
      <c r="L196" s="16" t="s">
        <v>83</v>
      </c>
      <c r="M196" s="16">
        <v>88.4</v>
      </c>
      <c r="N196" s="16" t="s">
        <v>97</v>
      </c>
      <c r="O196" s="16" t="s">
        <v>83</v>
      </c>
      <c r="P196" s="9"/>
      <c r="Q196" s="16" t="s">
        <v>90</v>
      </c>
      <c r="R196" s="21" t="str">
        <f t="shared" si="381"/>
        <v>Female 58 mL/minute; male 68 mL/minute (sex not recorded; both shown)</v>
      </c>
      <c r="S196" s="21" t="str">
        <f t="shared" si="382"/>
        <v>Estimated CrCl with the female factor (0.85): 58 mL/minute; Estimated CrCl without the female factor: 68 mL/minute; Serum creatinine in mg/dL: 1.00 mg/dL</v>
      </c>
      <c r="T196" s="21">
        <f t="shared" si="383"/>
        <v>1</v>
      </c>
      <c r="U196" s="21" t="str">
        <f t="shared" si="384"/>
        <v/>
      </c>
      <c r="V196" s="21">
        <f t="shared" si="385"/>
        <v>57.847222222222221</v>
      </c>
      <c r="W196" s="21">
        <f t="shared" si="386"/>
        <v>68.055555555555557</v>
      </c>
      <c r="X196" s="21" t="str">
        <f t="shared" si="387"/>
        <v>W_SEX_NOT_RECORDED</v>
      </c>
      <c r="Y196" s="21" t="str">
        <f>IF(AH196=1,"",MID(IF(ISNUMBER(SEARCH("E_INVALID_DATE",AM196))," | E_INVALID_DATE: "&amp;SUBSTITUTE(IFERROR(INDEX(nMSG_Text,MATCH("E_INVALID_DATE",nMSG_Code,0)),""),"[input]",""),"")&amp;IF(ISNUMBER(SEARCH("E_REVERSED_BOUNDS",AM196))," | E_REVERSED_BOUNDS: "&amp;SUBSTITUTE(IFERROR(INDEX(nMSG_Text,MATCH("E_REVERSED_BOUNDS",nMSG_Code,0)),""),"[input]",""),"")&amp;IF(ISNUMBER(SEARCH("E_DUPLICATE_ID",AM196))," | E_DUPLICATE_ID: "&amp;SUBSTITUTE(IFERROR(INDEX(nMSG_Text,MATCH("E_DUPLICATE_ID",nMSG_Code,0)),""),"[input]",""),"")&amp;IF(ISNUMBER(SEARCH("E_MISSING_LINK",AM196))," | E_MISSING_LINK: "&amp;SUBSTITUTE(IFERROR(INDEX(nMSG_Text,MATCH("E_MISSING_LINK",nMSG_Code,0)),""),"[input]",""),"")&amp;IF(ISNUMBER(SEARCH("E_MISSING_INPUT",AM196))," | E_MISSING_INPUT: "&amp;SUBSTITUTE(IFERROR(INDEX(nMSG_Text,MATCH("E_MISSING_INPUT",nMSG_Code,0)),""),"[input]",IF(AN196="","an input",AN196)),"")&amp;IF(ISNUMBER(SEARCH("E_INVALID_UNIT",AM196))," | E_INVALID_UNIT: "&amp;SUBSTITUTE(IFERROR(INDEX(nMSG_Text,MATCH("E_INVALID_UNIT",nMSG_Code,0)),""),"[input]",""),"")&amp;IF(ISNUMBER(SEARCH("E_NONPOSITIVE_PARAMETER",AM196))," | E_NONPOSITIVE_PARAMETER: "&amp;SUBSTITUTE(IFERROR(INDEX(nMSG_Text,MATCH("E_NONPOSITIVE_PARAMETER",nMSG_Code,0)),""),"[input]",""),"")&amp;IF(ISNUMBER(SEARCH("E_OUT_OF_RANGE",AM196))," | E_OUT_OF_RANGE: "&amp;SUBSTITUTE(IFERROR(INDEX(nMSG_Text,MATCH("E_OUT_OF_RANGE",nMSG_Code,0)),""),"[input]",""),"")&amp;IF(ISNUMBER(SEARCH("E_APPLICABILITY_UNCONFIRMED",AM196))," | E_APPLICABILITY_UNCONFIRMED: "&amp;SUBSTITUTE(IFERROR(INDEX(nMSG_Text,MATCH("E_APPLICABILITY_UNCONFIRMED",nMSG_Code,0)),""),"[input]",""),"")&amp;IF(ISNUMBER(SEARCH("E_CREATININE_STABILITY_UNCONFIRMED",AM196))," | E_CREATININE_STABILITY_UNCONFIRMED: "&amp;SUBSTITUTE(IFERROR(INDEX(nMSG_Text,MATCH("E_CREATININE_STABILITY_UNCONFIRMED",nMSG_Code,0)),""),"[input]",""),"")&amp;IF(ISNUMBER(SEARCH("E_OVERLAPPING_SEGMENTS",AM196))," | E_OVERLAPPING_SEGMENTS: "&amp;SUBSTITUTE(IFERROR(INDEX(nMSG_Text,MATCH("E_OVERLAPPING_SEGMENTS",nMSG_Code,0)),""),"[input]",""),"")&amp;IF(AO196=1,IF(Q196="not recorded"," | W_SEX_NOT_RECORDED: "&amp;SUBSTITUTE(IFERROR(INDEX(nMSG_Text,MATCH("W_SEX_NOT_RECORDED",nMSG_Code,0)),""),"[input]",""),""),""),4,9999))</f>
        <v>W_SEX_NOT_RECORDED: Sex not recorded: both estimates are shown.</v>
      </c>
      <c r="Z196" s="21" t="str">
        <f t="shared" si="388"/>
        <v>age = 70 years [hypothetical example]; weight = 70 kg, actual [hypothetical example]; serum creatinine = 88.4 µmol/L [hypothetical example]; sex: not recorded</v>
      </c>
      <c r="AA196" s="21" t="str">
        <f t="shared" si="389"/>
        <v>Stable creatinine confirmed by the reviewer: Vector input</v>
      </c>
      <c r="AB196" s="21" t="str">
        <f t="shared" si="390"/>
        <v>Estimated CrCl with the female factor (0.85) = 57.8472222222222 (58 mL/minute); Estimated CrCl without the female factor = 68.0555555555556 (68 mL/minute); Serum creatinine in mg/dL = 1 (1.00 mg/dL)</v>
      </c>
      <c r="AC196" s="21" t="str">
        <f t="shared" si="391"/>
        <v>mL/minute</v>
      </c>
      <c r="AD196" s="21" t="str">
        <f t="shared" si="392"/>
        <v>Vector V27, case 4 (sex not recorded)</v>
      </c>
      <c r="AE196" s="21" t="str">
        <f t="shared" si="393"/>
        <v>Assumes stable creatinine. It is not drug clearance and not a dosing recommendation.</v>
      </c>
      <c r="AF196" s="21" t="str">
        <f t="shared" si="394"/>
        <v>Cockcroft–Gault: CrCl = (140 - age) x weight / (72 x SCr), x 0.85 when female sex is recorded; µmol/L / 88.4 = mg/dL</v>
      </c>
      <c r="AG196" s="21" t="str">
        <f t="shared" si="395"/>
        <v>CALC-SPEC 1.1</v>
      </c>
      <c r="AH196" s="22">
        <f t="shared" si="396"/>
        <v>0</v>
      </c>
      <c r="AI196" s="21" t="str">
        <f t="shared" si="397"/>
        <v>VEC-V27|1</v>
      </c>
      <c r="AJ196" s="21" t="str">
        <f t="shared" si="398"/>
        <v>VEC-V27|1|Q11-V27d</v>
      </c>
      <c r="AK196" s="21" t="str">
        <f t="shared" si="399"/>
        <v/>
      </c>
      <c r="AL196" s="21" t="str">
        <f t="shared" si="400"/>
        <v/>
      </c>
      <c r="AM196" s="21" t="str">
        <f t="shared" si="401"/>
        <v/>
      </c>
      <c r="AN196" s="21" t="str">
        <f t="shared" si="402"/>
        <v/>
      </c>
      <c r="AO196" s="22">
        <f t="shared" si="403"/>
        <v>1</v>
      </c>
    </row>
    <row r="197" spans="1:41" x14ac:dyDescent="0.2">
      <c r="A197" s="9" t="s">
        <v>1508</v>
      </c>
      <c r="B197" s="9" t="s">
        <v>361</v>
      </c>
      <c r="C197" s="11">
        <v>1</v>
      </c>
      <c r="D197" s="9" t="s">
        <v>1509</v>
      </c>
      <c r="E197" s="9"/>
      <c r="F197" s="16" t="s">
        <v>86</v>
      </c>
      <c r="G197" s="9" t="s">
        <v>1510</v>
      </c>
      <c r="H197" s="16">
        <v>70</v>
      </c>
      <c r="I197" s="16" t="s">
        <v>83</v>
      </c>
      <c r="J197" s="16">
        <v>70</v>
      </c>
      <c r="K197" s="16" t="s">
        <v>92</v>
      </c>
      <c r="L197" s="16" t="s">
        <v>83</v>
      </c>
      <c r="M197" s="16">
        <v>1</v>
      </c>
      <c r="N197" s="16" t="s">
        <v>96</v>
      </c>
      <c r="O197" s="16" t="s">
        <v>83</v>
      </c>
      <c r="P197" s="9"/>
      <c r="Q197" s="16" t="s">
        <v>88</v>
      </c>
      <c r="R197" s="21" t="str">
        <f t="shared" si="381"/>
        <v>E_CREATININE_STABILITY_UNCONFIRMED: no result is shown</v>
      </c>
      <c r="S197" s="21" t="str">
        <f t="shared" si="382"/>
        <v>Not calculable</v>
      </c>
      <c r="T197" s="21" t="str">
        <f t="shared" si="383"/>
        <v/>
      </c>
      <c r="U197" s="21" t="str">
        <f t="shared" si="384"/>
        <v/>
      </c>
      <c r="V197" s="21" t="str">
        <f t="shared" si="385"/>
        <v/>
      </c>
      <c r="W197" s="21" t="str">
        <f t="shared" si="386"/>
        <v/>
      </c>
      <c r="X197" s="21" t="str">
        <f t="shared" si="387"/>
        <v>E_CREATININE_STABILITY_UNCONFIRMED</v>
      </c>
      <c r="Y197" s="21" t="str">
        <f>IF(AH197=1,"",MID(IF(ISNUMBER(SEARCH("E_INVALID_DATE",AM197))," | E_INVALID_DATE: "&amp;SUBSTITUTE(IFERROR(INDEX(nMSG_Text,MATCH("E_INVALID_DATE",nMSG_Code,0)),""),"[input]",""),"")&amp;IF(ISNUMBER(SEARCH("E_REVERSED_BOUNDS",AM197))," | E_REVERSED_BOUNDS: "&amp;SUBSTITUTE(IFERROR(INDEX(nMSG_Text,MATCH("E_REVERSED_BOUNDS",nMSG_Code,0)),""),"[input]",""),"")&amp;IF(ISNUMBER(SEARCH("E_DUPLICATE_ID",AM197))," | E_DUPLICATE_ID: "&amp;SUBSTITUTE(IFERROR(INDEX(nMSG_Text,MATCH("E_DUPLICATE_ID",nMSG_Code,0)),""),"[input]",""),"")&amp;IF(ISNUMBER(SEARCH("E_MISSING_LINK",AM197))," | E_MISSING_LINK: "&amp;SUBSTITUTE(IFERROR(INDEX(nMSG_Text,MATCH("E_MISSING_LINK",nMSG_Code,0)),""),"[input]",""),"")&amp;IF(ISNUMBER(SEARCH("E_MISSING_INPUT",AM197))," | E_MISSING_INPUT: "&amp;SUBSTITUTE(IFERROR(INDEX(nMSG_Text,MATCH("E_MISSING_INPUT",nMSG_Code,0)),""),"[input]",IF(AN197="","an input",AN197)),"")&amp;IF(ISNUMBER(SEARCH("E_INVALID_UNIT",AM197))," | E_INVALID_UNIT: "&amp;SUBSTITUTE(IFERROR(INDEX(nMSG_Text,MATCH("E_INVALID_UNIT",nMSG_Code,0)),""),"[input]",""),"")&amp;IF(ISNUMBER(SEARCH("E_NONPOSITIVE_PARAMETER",AM197))," | E_NONPOSITIVE_PARAMETER: "&amp;SUBSTITUTE(IFERROR(INDEX(nMSG_Text,MATCH("E_NONPOSITIVE_PARAMETER",nMSG_Code,0)),""),"[input]",""),"")&amp;IF(ISNUMBER(SEARCH("E_OUT_OF_RANGE",AM197))," | E_OUT_OF_RANGE: "&amp;SUBSTITUTE(IFERROR(INDEX(nMSG_Text,MATCH("E_OUT_OF_RANGE",nMSG_Code,0)),""),"[input]",""),"")&amp;IF(ISNUMBER(SEARCH("E_APPLICABILITY_UNCONFIRMED",AM197))," | E_APPLICABILITY_UNCONFIRMED: "&amp;SUBSTITUTE(IFERROR(INDEX(nMSG_Text,MATCH("E_APPLICABILITY_UNCONFIRMED",nMSG_Code,0)),""),"[input]",""),"")&amp;IF(ISNUMBER(SEARCH("E_CREATININE_STABILITY_UNCONFIRMED",AM197))," | E_CREATININE_STABILITY_UNCONFIRMED: "&amp;SUBSTITUTE(IFERROR(INDEX(nMSG_Text,MATCH("E_CREATININE_STABILITY_UNCONFIRMED",nMSG_Code,0)),""),"[input]",""),"")&amp;IF(ISNUMBER(SEARCH("E_OVERLAPPING_SEGMENTS",AM197))," | E_OVERLAPPING_SEGMENTS: "&amp;SUBSTITUTE(IFERROR(INDEX(nMSG_Text,MATCH("E_OVERLAPPING_SEGMENTS",nMSG_Code,0)),""),"[input]",""),"")&amp;IF(AO197=1,IF(Q197="not recorded"," | W_SEX_NOT_RECORDED: "&amp;SUBSTITUTE(IFERROR(INDEX(nMSG_Text,MATCH("W_SEX_NOT_RECORDED",nMSG_Code,0)),""),"[input]",""),""),""),4,9999))</f>
        <v>E_CREATININE_STABILITY_UNCONFIRMED: Cockcroft–Gault assumes stable creatinine. Confirm stability before an estimate is shown.</v>
      </c>
      <c r="Z197" s="21" t="str">
        <f t="shared" si="388"/>
        <v>age = 70 years [hypothetical example]; weight = 70 kg, actual [hypothetical example]; serum creatinine = 1 mg/dL [hypothetical example]; sex: male</v>
      </c>
      <c r="AA197" s="21" t="str">
        <f t="shared" si="389"/>
        <v>Creatinine stability not confirmed.</v>
      </c>
      <c r="AB197" s="21" t="str">
        <f t="shared" si="390"/>
        <v/>
      </c>
      <c r="AC197" s="21" t="str">
        <f t="shared" si="391"/>
        <v/>
      </c>
      <c r="AD197" s="21" t="str">
        <f t="shared" si="392"/>
        <v>Vector V27, case 5 (stability unconfirmed)</v>
      </c>
      <c r="AE197" s="21" t="str">
        <f t="shared" si="393"/>
        <v>Assumes stable creatinine. It is not drug clearance and not a dosing recommendation.</v>
      </c>
      <c r="AF197" s="21" t="str">
        <f t="shared" si="394"/>
        <v>Cockcroft–Gault: CrCl = (140 - age) x weight / (72 x SCr), x 0.85 when female sex is recorded; µmol/L / 88.4 = mg/dL</v>
      </c>
      <c r="AG197" s="21" t="str">
        <f t="shared" si="395"/>
        <v>CALC-SPEC 1.1</v>
      </c>
      <c r="AH197" s="22">
        <f t="shared" si="396"/>
        <v>0</v>
      </c>
      <c r="AI197" s="21" t="str">
        <f t="shared" si="397"/>
        <v>VEC-V27|1</v>
      </c>
      <c r="AJ197" s="21" t="str">
        <f t="shared" si="398"/>
        <v>VEC-V27|1|Q11-V27e</v>
      </c>
      <c r="AK197" s="21" t="str">
        <f t="shared" si="399"/>
        <v>; E_CREATININE_STABILITY_UNCONFIRMED</v>
      </c>
      <c r="AL197" s="21" t="str">
        <f t="shared" si="400"/>
        <v/>
      </c>
      <c r="AM197" s="21" t="str">
        <f t="shared" si="401"/>
        <v>E_CREATININE_STABILITY_UNCONFIRMED</v>
      </c>
      <c r="AN197" s="21" t="str">
        <f t="shared" si="402"/>
        <v/>
      </c>
      <c r="AO197" s="22">
        <f t="shared" si="403"/>
        <v>0</v>
      </c>
    </row>
  </sheetData>
  <sheetProtection sheet="1" objects="1" scenarios="1" formatColumns="0" formatRows="0" autoFilter="0"/>
  <dataValidations count="11">
    <dataValidation type="whole" operator="greaterThanOrEqual" allowBlank="1" showInputMessage="1" showErrorMessage="1" sqref="C8:C15 C31:C38 C47:C54 C63:C70 C84:C91 C100:C107 C119:C126 C143:C150 C161:C168 C180:C187" xr:uid="{F29D0E95-8DB4-414E-9558-601A600B01C8}">
      <formula1>1</formula1>
    </dataValidation>
    <dataValidation type="list" allowBlank="1" showInputMessage="1" showErrorMessage="1" sqref="F8:F15 G8:G15 K8:K15 M8:M15 F31:F38 G31:G38 K31:K38 M31:M38 F47:F54 G47:G54 K47:K54 M47:M54 F63:F70 G63:G70 K63:K70 M63:M70 F84:F91 G84:G91 K84:K91 M84:M91 F100:F107 G100:G107 K100:K107 M100:M107 F119:F126 G119:G126 K119:K126 M119:M126 O119:O126 F180:F187" xr:uid="{37FF8B14-C083-42BD-AC75-6DD4C0793BB0}">
      <formula1>nLIST_YesNo</formula1>
    </dataValidation>
    <dataValidation type="list" allowBlank="1" showInputMessage="1" showErrorMessage="1" sqref="N8:N15 N31:N38 N47:N54 N84:N91 N119:N126" xr:uid="{8AA1C3EB-A008-4B3B-965C-DA86E496A39F}">
      <formula1>nLIST_TimeUnit</formula1>
    </dataValidation>
    <dataValidation type="decimal" allowBlank="1" showInputMessage="1" showErrorMessage="1" sqref="O8:O15 R8:R15 O31:O38 R31:R38 O47:O54 R47:R54 O63:O70 R63:R70 U63:U70 O84:O91 R84:R91 U84:U91 O100:O107 R100:R107 P119:P126 S119:S126 V119:V126 H143:H150 H161:H168 H180:H187 J180:J187 M180:M187" xr:uid="{DE54C98A-EE75-4D26-82B6-4597B964D30B}">
      <formula1>-1000000000000</formula1>
      <formula2>1000000000000</formula2>
    </dataValidation>
    <dataValidation type="list" allowBlank="1" showInputMessage="1" showErrorMessage="1" sqref="P8:P15 S8:S15 P31:P38 S31:S38 P47:P54 S47:S54 P63:P70 S63:S70 V63:V70 P84:P91 S84:S91 V84:V91 P100:P107 S100:S107 Q119:Q126 T119:T126 W119:W126 I143:I150 I180:I187 L180:L187 O180:O187" xr:uid="{18AA1260-D309-4085-915A-DEB03A36228A}">
      <formula1>nLIST_Status</formula1>
    </dataValidation>
    <dataValidation type="list" allowBlank="1" showInputMessage="1" showErrorMessage="1" sqref="N63:N70" xr:uid="{C35AD6F3-DFD4-403C-9D49-98CEC96AECDE}">
      <formula1>nLIST_CLUnit</formula1>
    </dataValidation>
    <dataValidation type="list" allowBlank="1" showInputMessage="1" showErrorMessage="1" sqref="N100:N107" xr:uid="{73AC2942-4EF4-45A5-81EA-72E35D697BDD}">
      <formula1>nLIST_DaysOnly</formula1>
    </dataValidation>
    <dataValidation type="list" allowBlank="1" showInputMessage="1" showErrorMessage="1" sqref="G161:G168" xr:uid="{2A67D3BE-81E0-451F-8596-B09DFC18A14A}">
      <formula1>nLIST_MethodB</formula1>
    </dataValidation>
    <dataValidation type="list" allowBlank="1" showInputMessage="1" showErrorMessage="1" sqref="K180:K187" xr:uid="{7F97DE7C-A4E2-4B0A-9AF4-E28BB7F1CF24}">
      <formula1>nLIST_WeightType</formula1>
    </dataValidation>
    <dataValidation type="list" allowBlank="1" showInputMessage="1" showErrorMessage="1" sqref="N180:N187" xr:uid="{E50AFC77-EF83-4EED-B3EB-04D241FA079F}">
      <formula1>nLIST_SCrUnit</formula1>
    </dataValidation>
    <dataValidation type="list" allowBlank="1" showInputMessage="1" showErrorMessage="1" sqref="Q180:Q187" xr:uid="{1D20F4F8-0869-4BDA-811E-4E497FB3AD7C}">
      <formula1>nLIST_Sex</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807FB-2F45-445C-8AD3-8706BD4BEFA6}">
  <dimension ref="A1:AK38"/>
  <sheetViews>
    <sheetView zoomScale="90" zoomScaleNormal="90" workbookViewId="0"/>
  </sheetViews>
  <sheetFormatPr defaultRowHeight="12.75" x14ac:dyDescent="0.2"/>
  <cols>
    <col min="1" max="1" width="14.7109375" style="1" customWidth="1"/>
    <col min="2" max="2" width="10.7109375" style="1" customWidth="1"/>
    <col min="3" max="3" width="7.7109375" style="1" customWidth="1"/>
    <col min="4" max="4" width="30.7109375" style="1" customWidth="1"/>
    <col min="5" max="5" width="22.7109375" style="1" customWidth="1"/>
    <col min="6" max="6" width="28.7109375" style="1" customWidth="1"/>
    <col min="7" max="7" width="34.7109375" style="1" customWidth="1"/>
    <col min="8" max="8" width="28.7109375" style="1" customWidth="1"/>
    <col min="9" max="9" width="24.7109375" style="1" customWidth="1"/>
    <col min="10" max="10" width="30.7109375" style="1" customWidth="1"/>
    <col min="11" max="11" width="18.7109375" style="1" customWidth="1"/>
    <col min="12" max="12" width="9.7109375" style="1" customWidth="1"/>
    <col min="13" max="13" width="13.7109375" style="1" customWidth="1"/>
    <col min="14" max="14" width="18.7109375" style="1" customWidth="1"/>
    <col min="15" max="15" width="36.7109375" style="1" customWidth="1"/>
    <col min="16" max="16" width="30.7109375" style="1" customWidth="1"/>
    <col min="17" max="17" width="22.7109375" style="1" customWidth="1"/>
    <col min="18" max="19" width="12.7109375" style="1" customWidth="1"/>
    <col min="20" max="20" width="22.7109375" style="1" customWidth="1"/>
    <col min="21" max="23" width="40.7109375" style="1" customWidth="1"/>
    <col min="24" max="24" width="36.7109375" style="1" customWidth="1"/>
    <col min="25" max="25" width="12.7109375" style="1" customWidth="1"/>
    <col min="26" max="26" width="20.7109375" style="1" customWidth="1"/>
    <col min="27" max="27" width="40.7109375" style="1" customWidth="1"/>
    <col min="28" max="28" width="30.7109375" style="1" customWidth="1"/>
    <col min="29" max="29" width="11.7109375" style="1" customWidth="1"/>
    <col min="30" max="30" width="5.7109375" style="1" customWidth="1"/>
    <col min="31" max="31" width="12.7109375" style="1" customWidth="1"/>
    <col min="32" max="36" width="14.7109375" style="1" customWidth="1"/>
    <col min="37" max="37" width="5.7109375" style="1" customWidth="1"/>
    <col min="38" max="16384" width="9.140625" style="1"/>
  </cols>
  <sheetData>
    <row r="1" spans="1:10" ht="17.25" x14ac:dyDescent="0.3">
      <c r="A1" s="6" t="s">
        <v>1511</v>
      </c>
    </row>
    <row r="2" spans="1:10" x14ac:dyDescent="0.2">
      <c r="A2" s="7" t="s">
        <v>1512</v>
      </c>
    </row>
    <row r="4" spans="1:10" ht="66" customHeight="1" x14ac:dyDescent="0.2">
      <c r="A4" s="8" t="s">
        <v>280</v>
      </c>
      <c r="B4" s="8" t="s">
        <v>281</v>
      </c>
      <c r="C4" s="8" t="s">
        <v>886</v>
      </c>
      <c r="D4" s="8" t="s">
        <v>1513</v>
      </c>
      <c r="E4" s="8" t="s">
        <v>1514</v>
      </c>
      <c r="F4" s="8" t="s">
        <v>1515</v>
      </c>
      <c r="G4" s="8" t="s">
        <v>1516</v>
      </c>
      <c r="H4" s="8" t="s">
        <v>1517</v>
      </c>
      <c r="I4" s="8" t="s">
        <v>1518</v>
      </c>
      <c r="J4" s="8" t="s">
        <v>1519</v>
      </c>
    </row>
    <row r="5" spans="1:10" x14ac:dyDescent="0.2">
      <c r="A5" s="10"/>
      <c r="B5" s="17"/>
      <c r="C5" s="10"/>
      <c r="D5" s="10"/>
      <c r="E5" s="17"/>
      <c r="F5" s="10"/>
      <c r="G5" s="10"/>
      <c r="H5" s="10"/>
      <c r="I5" s="10"/>
      <c r="J5" s="10"/>
    </row>
    <row r="6" spans="1:10" x14ac:dyDescent="0.2">
      <c r="A6" s="10"/>
      <c r="B6" s="17"/>
      <c r="C6" s="10"/>
      <c r="D6" s="10"/>
      <c r="E6" s="17"/>
      <c r="F6" s="10"/>
      <c r="G6" s="10"/>
      <c r="H6" s="10"/>
      <c r="I6" s="10"/>
      <c r="J6" s="10"/>
    </row>
    <row r="7" spans="1:10" x14ac:dyDescent="0.2">
      <c r="A7" s="10"/>
      <c r="B7" s="17"/>
      <c r="C7" s="10"/>
      <c r="D7" s="10"/>
      <c r="E7" s="17"/>
      <c r="F7" s="10"/>
      <c r="G7" s="10"/>
      <c r="H7" s="10"/>
      <c r="I7" s="10"/>
      <c r="J7" s="10"/>
    </row>
    <row r="8" spans="1:10" x14ac:dyDescent="0.2">
      <c r="A8" s="10"/>
      <c r="B8" s="17"/>
      <c r="C8" s="10"/>
      <c r="D8" s="10"/>
      <c r="E8" s="17"/>
      <c r="F8" s="10"/>
      <c r="G8" s="10"/>
      <c r="H8" s="10"/>
      <c r="I8" s="10"/>
      <c r="J8" s="10"/>
    </row>
    <row r="9" spans="1:10" x14ac:dyDescent="0.2">
      <c r="A9" s="10"/>
      <c r="B9" s="17"/>
      <c r="C9" s="10"/>
      <c r="D9" s="10"/>
      <c r="E9" s="17"/>
      <c r="F9" s="10"/>
      <c r="G9" s="10"/>
      <c r="H9" s="10"/>
      <c r="I9" s="10"/>
      <c r="J9" s="10"/>
    </row>
    <row r="10" spans="1:10" x14ac:dyDescent="0.2">
      <c r="A10" s="10"/>
      <c r="B10" s="17"/>
      <c r="C10" s="10"/>
      <c r="D10" s="10"/>
      <c r="E10" s="17"/>
      <c r="F10" s="10"/>
      <c r="G10" s="10"/>
      <c r="H10" s="10"/>
      <c r="I10" s="10"/>
      <c r="J10" s="10"/>
    </row>
    <row r="11" spans="1:10" x14ac:dyDescent="0.2">
      <c r="A11" s="10"/>
      <c r="B11" s="17"/>
      <c r="C11" s="10"/>
      <c r="D11" s="10"/>
      <c r="E11" s="17"/>
      <c r="F11" s="10"/>
      <c r="G11" s="10"/>
      <c r="H11" s="10"/>
      <c r="I11" s="10"/>
      <c r="J11" s="10"/>
    </row>
    <row r="12" spans="1:10" x14ac:dyDescent="0.2">
      <c r="A12" s="10"/>
      <c r="B12" s="17"/>
      <c r="C12" s="10"/>
      <c r="D12" s="10"/>
      <c r="E12" s="17"/>
      <c r="F12" s="10"/>
      <c r="G12" s="10"/>
      <c r="H12" s="10"/>
      <c r="I12" s="10"/>
      <c r="J12" s="10"/>
    </row>
    <row r="13" spans="1:10" x14ac:dyDescent="0.2">
      <c r="A13" s="10"/>
      <c r="B13" s="17"/>
      <c r="C13" s="10"/>
      <c r="D13" s="10"/>
      <c r="E13" s="17"/>
      <c r="F13" s="10"/>
      <c r="G13" s="10"/>
      <c r="H13" s="10"/>
      <c r="I13" s="10"/>
      <c r="J13" s="10"/>
    </row>
    <row r="14" spans="1:10" x14ac:dyDescent="0.2">
      <c r="A14" s="10"/>
      <c r="B14" s="17"/>
      <c r="C14" s="10"/>
      <c r="D14" s="10"/>
      <c r="E14" s="17"/>
      <c r="F14" s="10"/>
      <c r="G14" s="10"/>
      <c r="H14" s="10"/>
      <c r="I14" s="10"/>
      <c r="J14" s="10"/>
    </row>
    <row r="15" spans="1:10" x14ac:dyDescent="0.2">
      <c r="A15" s="10"/>
      <c r="B15" s="17"/>
      <c r="C15" s="10"/>
      <c r="D15" s="10"/>
      <c r="E15" s="17"/>
      <c r="F15" s="10"/>
      <c r="G15" s="10"/>
      <c r="H15" s="10"/>
      <c r="I15" s="10"/>
      <c r="J15" s="10"/>
    </row>
    <row r="16" spans="1:10" x14ac:dyDescent="0.2">
      <c r="A16" s="10"/>
      <c r="B16" s="17"/>
      <c r="C16" s="10"/>
      <c r="D16" s="10"/>
      <c r="E16" s="17"/>
      <c r="F16" s="10"/>
      <c r="G16" s="10"/>
      <c r="H16" s="10"/>
      <c r="I16" s="10"/>
      <c r="J16" s="10"/>
    </row>
    <row r="17" spans="1:37" x14ac:dyDescent="0.2">
      <c r="A17" s="10"/>
      <c r="B17" s="17"/>
      <c r="C17" s="10"/>
      <c r="D17" s="10"/>
      <c r="E17" s="17"/>
      <c r="F17" s="10"/>
      <c r="G17" s="10"/>
      <c r="H17" s="10"/>
      <c r="I17" s="10"/>
      <c r="J17" s="10"/>
    </row>
    <row r="18" spans="1:37" x14ac:dyDescent="0.2">
      <c r="A18" s="10"/>
      <c r="B18" s="17"/>
      <c r="C18" s="10"/>
      <c r="D18" s="10"/>
      <c r="E18" s="17"/>
      <c r="F18" s="10"/>
      <c r="G18" s="10"/>
      <c r="H18" s="10"/>
      <c r="I18" s="10"/>
      <c r="J18" s="10"/>
    </row>
    <row r="19" spans="1:37" x14ac:dyDescent="0.2">
      <c r="A19" s="10"/>
      <c r="B19" s="17"/>
      <c r="C19" s="10"/>
      <c r="D19" s="10"/>
      <c r="E19" s="17"/>
      <c r="F19" s="10"/>
      <c r="G19" s="10"/>
      <c r="H19" s="10"/>
      <c r="I19" s="10"/>
      <c r="J19" s="10"/>
    </row>
    <row r="20" spans="1:37" x14ac:dyDescent="0.2">
      <c r="A20" s="24" t="s">
        <v>294</v>
      </c>
      <c r="B20" s="23"/>
      <c r="C20" s="23"/>
      <c r="D20" s="23"/>
      <c r="E20" s="23"/>
      <c r="F20" s="23"/>
      <c r="G20" s="23"/>
      <c r="H20" s="23"/>
      <c r="I20" s="23"/>
      <c r="J20" s="23"/>
    </row>
    <row r="21" spans="1:37" x14ac:dyDescent="0.2">
      <c r="A21" s="9" t="s">
        <v>305</v>
      </c>
      <c r="B21" s="16">
        <v>2</v>
      </c>
      <c r="C21" s="9" t="s">
        <v>894</v>
      </c>
      <c r="D21" s="9" t="s">
        <v>1520</v>
      </c>
      <c r="E21" s="16" t="s">
        <v>164</v>
      </c>
      <c r="F21" s="9" t="s">
        <v>1524</v>
      </c>
      <c r="G21" s="9" t="s">
        <v>1521</v>
      </c>
      <c r="H21" s="9" t="s">
        <v>1523</v>
      </c>
      <c r="I21" s="9" t="s">
        <v>1525</v>
      </c>
      <c r="J21" s="9" t="s">
        <v>1522</v>
      </c>
    </row>
    <row r="24" spans="1:37" ht="17.25" x14ac:dyDescent="0.3">
      <c r="A24" s="6" t="s">
        <v>1526</v>
      </c>
    </row>
    <row r="25" spans="1:37" x14ac:dyDescent="0.2">
      <c r="A25" s="7" t="s">
        <v>1527</v>
      </c>
    </row>
    <row r="26" spans="1:37" x14ac:dyDescent="0.2">
      <c r="A26" s="2" t="s">
        <v>1204</v>
      </c>
      <c r="F26" s="2" t="s">
        <v>1528</v>
      </c>
      <c r="H26" s="2" t="s">
        <v>1204</v>
      </c>
      <c r="O26" s="2" t="s">
        <v>1225</v>
      </c>
      <c r="AD26" s="2" t="s">
        <v>1237</v>
      </c>
    </row>
    <row r="27" spans="1:37" ht="66" customHeight="1" x14ac:dyDescent="0.2">
      <c r="A27" s="8" t="s">
        <v>1205</v>
      </c>
      <c r="B27" s="8" t="s">
        <v>280</v>
      </c>
      <c r="C27" s="8" t="s">
        <v>281</v>
      </c>
      <c r="D27" s="8" t="s">
        <v>1206</v>
      </c>
      <c r="E27" s="8" t="s">
        <v>1207</v>
      </c>
      <c r="F27" s="8" t="s">
        <v>1529</v>
      </c>
      <c r="G27" s="8" t="s">
        <v>1530</v>
      </c>
      <c r="H27" s="8" t="s">
        <v>1218</v>
      </c>
      <c r="I27" s="8" t="s">
        <v>1531</v>
      </c>
      <c r="J27" s="8" t="s">
        <v>1532</v>
      </c>
      <c r="K27" s="8" t="s">
        <v>1533</v>
      </c>
      <c r="L27" s="8" t="s">
        <v>1534</v>
      </c>
      <c r="M27" s="8" t="s">
        <v>1223</v>
      </c>
      <c r="N27" s="8" t="s">
        <v>1224</v>
      </c>
      <c r="O27" s="19" t="s">
        <v>1226</v>
      </c>
      <c r="P27" s="19" t="s">
        <v>981</v>
      </c>
      <c r="Q27" s="19" t="s">
        <v>1535</v>
      </c>
      <c r="R27" s="19" t="s">
        <v>1536</v>
      </c>
      <c r="S27" s="19" t="s">
        <v>1537</v>
      </c>
      <c r="T27" s="19" t="s">
        <v>988</v>
      </c>
      <c r="U27" s="19" t="s">
        <v>1231</v>
      </c>
      <c r="V27" s="19" t="s">
        <v>1232</v>
      </c>
      <c r="W27" s="19" t="s">
        <v>1003</v>
      </c>
      <c r="X27" s="19" t="s">
        <v>1233</v>
      </c>
      <c r="Y27" s="19" t="s">
        <v>1234</v>
      </c>
      <c r="Z27" s="19" t="s">
        <v>954</v>
      </c>
      <c r="AA27" s="19" t="s">
        <v>1235</v>
      </c>
      <c r="AB27" s="19" t="s">
        <v>1236</v>
      </c>
      <c r="AC27" s="19" t="s">
        <v>1006</v>
      </c>
      <c r="AD27" s="19" t="s">
        <v>1008</v>
      </c>
      <c r="AE27" s="19" t="s">
        <v>1009</v>
      </c>
      <c r="AF27" s="19" t="s">
        <v>1238</v>
      </c>
      <c r="AG27" s="19" t="s">
        <v>1085</v>
      </c>
      <c r="AH27" s="19" t="s">
        <v>1240</v>
      </c>
      <c r="AI27" s="19" t="s">
        <v>1095</v>
      </c>
      <c r="AJ27" s="19" t="s">
        <v>1241</v>
      </c>
      <c r="AK27" s="19" t="s">
        <v>1097</v>
      </c>
    </row>
    <row r="28" spans="1:37" x14ac:dyDescent="0.2">
      <c r="A28" s="10"/>
      <c r="B28" s="10"/>
      <c r="C28" s="12"/>
      <c r="D28" s="10"/>
      <c r="E28" s="10"/>
      <c r="F28" s="17"/>
      <c r="G28" s="17"/>
      <c r="H28" s="17"/>
      <c r="I28" s="17"/>
      <c r="J28" s="17"/>
      <c r="K28" s="10"/>
      <c r="L28" s="17"/>
      <c r="M28" s="17"/>
      <c r="N28" s="10"/>
      <c r="O28" s="21" t="str">
        <f t="shared" ref="O28:O35" si="0">IF(AD28=1,"",IF(AI28&lt;&gt;"",AI28&amp;": no result is shown"&amp;IF(ISNUMBER(SEARCH("E_APPLICABILITY_UNCONFIRMED",AI28))," (Q6 is shown only with the teaching-demonstration switch on)",""),IF(S28=0,"0",IF(ABS(S28)&lt;0.0001,FIXED(IF(ABS(ROUND(S28/10^INT(LOG10(ABS(S28))),2))&gt;=10,ROUND(S28/10^INT(LOG10(ABS(S28))),2)/10,ROUND(S28/10^INT(LOG10(ABS(S28))),2)),2,TRUE)&amp;" × 10"&amp;SUBSTITUTE(SUBSTITUTE(SUBSTITUTE(SUBSTITUTE(SUBSTITUTE(SUBSTITUTE(SUBSTITUTE(SUBSTITUTE(SUBSTITUTE(SUBSTITUTE(SUBSTITUTE(TEXT((INT(LOG10(ABS(S28)))+IF(ABS(ROUND(S28/10^INT(LOG10(ABS(S28))),2))&gt;=10,1,0)),"0"),"-","⁻"),"0","⁰"),"1","¹"),"2","²"),"3","³"),"4","⁴"),"5","⁵"),"6","⁶"),"7","⁷"),"8","⁸"),"9","⁹"),FIXED(ROUND(S28,MAX(0,2-INT(LOG10(ABS(S28))))),MAX(0,2-INT(LOG10(ABS(ROUND(S28,MAX(0,2-INT(LOG10(ABS(S28))))))))),FALSE)))&amp;IF(G28="approach to a new level","% of the change to the new level completed after ","% replaced after ")&amp;L28&amp;" "&amp;H28&amp;" (teaching demonstration with hypothetical values)"))</f>
        <v/>
      </c>
      <c r="P28" s="21" t="str">
        <f t="shared" ref="P28:P35" si="1">IF(AD28=1,"",IF(AK28=0,"Not calculable",MID(IF(TRUE,"; "&amp;Q28&amp;": "&amp;IF(100*R28=0,"0",IF(ABS(100*R28)&lt;0.0001,FIXED(IF(ABS(ROUND(100*R28/10^INT(LOG10(ABS(100*R28))),2))&gt;=10,ROUND(100*R28/10^INT(LOG10(ABS(100*R28))),2)/10,ROUND(100*R28/10^INT(LOG10(ABS(100*R28))),2)),2,TRUE)&amp;" × 10"&amp;SUBSTITUTE(SUBSTITUTE(SUBSTITUTE(SUBSTITUTE(SUBSTITUTE(SUBSTITUTE(SUBSTITUTE(SUBSTITUTE(SUBSTITUTE(SUBSTITUTE(SUBSTITUTE(TEXT((INT(LOG10(ABS(100*R28)))+IF(ABS(ROUND(100*R28/10^INT(LOG10(ABS(100*R28))),2))&gt;=10,1,0)),"0"),"-","⁻"),"0","⁰"),"1","¹"),"2","²"),"3","³"),"4","⁴"),"5","⁵"),"6","⁶"),"7","⁷"),"8","⁸"),"9","⁹"),FIXED(ROUND(100*R28,MAX(0,2-INT(LOG10(ABS(100*R28))))),MAX(0,2-INT(LOG10(ABS(ROUND(100*R28,MAX(0,2-INT(LOG10(ABS(100*R28))))))))),FALSE)))&amp;"%",""),3,9999)))</f>
        <v/>
      </c>
      <c r="Q28" s="21" t="str">
        <f t="shared" ref="Q28:Q35" si="2">IF(AK28=0,"",IF(G28="approach to a new level","Fraction of the change to the new level completed","Fraction replaced"))</f>
        <v/>
      </c>
      <c r="R28" s="21" t="str">
        <f t="shared" ref="R28:R35" si="3">IF(AK28=1,1-2^(-L28/I28),"")</f>
        <v/>
      </c>
      <c r="S28" s="21" t="str">
        <f t="shared" ref="S28:S35" si="4">IF(AK28=1,100*R28,"")</f>
        <v/>
      </c>
      <c r="T28" s="21" t="str">
        <f t="shared" ref="T28:T35" si="5">IF(AD28=1,"",IF(AI28&lt;&gt;"",AI28,MID(IF(TRUE,"; I_TEACHING_DEMONSTRATION",""),3,999)))</f>
        <v/>
      </c>
      <c r="U28" s="21" t="str">
        <f>IF(AD28=1,"",MID(IF(ISNUMBER(SEARCH("E_INVALID_DATE",AI28))," | E_INVALID_DATE: "&amp;SUBSTITUTE(IFERROR(INDEX(nMSG_Text,MATCH("E_INVALID_DATE",nMSG_Code,0)),""),"[input]",""),"")&amp;IF(ISNUMBER(SEARCH("E_REVERSED_BOUNDS",AI28))," | E_REVERSED_BOUNDS: "&amp;SUBSTITUTE(IFERROR(INDEX(nMSG_Text,MATCH("E_REVERSED_BOUNDS",nMSG_Code,0)),""),"[input]",""),"")&amp;IF(ISNUMBER(SEARCH("E_DUPLICATE_ID",AI28))," | E_DUPLICATE_ID: "&amp;SUBSTITUTE(IFERROR(INDEX(nMSG_Text,MATCH("E_DUPLICATE_ID",nMSG_Code,0)),""),"[input]",""),"")&amp;IF(ISNUMBER(SEARCH("E_MISSING_LINK",AI28))," | E_MISSING_LINK: "&amp;SUBSTITUTE(IFERROR(INDEX(nMSG_Text,MATCH("E_MISSING_LINK",nMSG_Code,0)),""),"[input]",""),"")&amp;IF(ISNUMBER(SEARCH("E_MISSING_INPUT",AI28))," | E_MISSING_INPUT: "&amp;SUBSTITUTE(IFERROR(INDEX(nMSG_Text,MATCH("E_MISSING_INPUT",nMSG_Code,0)),""),"[input]",IF(AJ28="","an input",AJ28)),"")&amp;IF(ISNUMBER(SEARCH("E_INVALID_UNIT",AI28))," | E_INVALID_UNIT: "&amp;SUBSTITUTE(IFERROR(INDEX(nMSG_Text,MATCH("E_INVALID_UNIT",nMSG_Code,0)),""),"[input]",""),"")&amp;IF(ISNUMBER(SEARCH("E_NONPOSITIVE_PARAMETER",AI28))," | E_NONPOSITIVE_PARAMETER: "&amp;SUBSTITUTE(IFERROR(INDEX(nMSG_Text,MATCH("E_NONPOSITIVE_PARAMETER",nMSG_Code,0)),""),"[input]",""),"")&amp;IF(ISNUMBER(SEARCH("E_OUT_OF_RANGE",AI28))," | E_OUT_OF_RANGE: "&amp;SUBSTITUTE(IFERROR(INDEX(nMSG_Text,MATCH("E_OUT_OF_RANGE",nMSG_Code,0)),""),"[input]",""),"")&amp;IF(ISNUMBER(SEARCH("E_APPLICABILITY_UNCONFIRMED",AI28))," | E_APPLICABILITY_UNCONFIRMED: "&amp;SUBSTITUTE(IFERROR(INDEX(nMSG_Text,MATCH("E_APPLICABILITY_UNCONFIRMED",nMSG_Code,0)),""),"[input]",""),"")&amp;IF(ISNUMBER(SEARCH("E_CREATININE_STABILITY_UNCONFIRMED",AI28))," | E_CREATININE_STABILITY_UNCONFIRMED: "&amp;SUBSTITUTE(IFERROR(INDEX(nMSG_Text,MATCH("E_CREATININE_STABILITY_UNCONFIRMED",nMSG_Code,0)),""),"[input]",""),"")&amp;IF(ISNUMBER(SEARCH("E_OVERLAPPING_SEGMENTS",AI28))," | E_OVERLAPPING_SEGMENTS: "&amp;SUBSTITUTE(IFERROR(INDEX(nMSG_Text,MATCH("E_OVERLAPPING_SEGMENTS",nMSG_Code,0)),""),"[input]",""),"")&amp;IF(AK28=1,IF(TRUE," | I_TEACHING_DEMONSTRATION: "&amp;SUBSTITUTE(IFERROR(INDEX(nMSG_Text,MATCH("I_TEACHING_DEMONSTRATION",nMSG_Code,0)),""),"[input]",""),""),""),4,9999))</f>
        <v/>
      </c>
      <c r="V28" s="21" t="str">
        <f t="shared" ref="V28:V35" si="6">IF(AD28=1,"","Replacement_Half_Time = "&amp;I28&amp;" "&amp;H28&amp;" ["&amp;IF(J28="","status not recorded",J28)&amp;IF(K28&lt;&gt;"","; "&amp;K28,"")&amp;"]"&amp;"; "&amp;"t = "&amp;L28&amp;" "&amp;H28&amp;" ["&amp;IF(M28="","status not recorded",M28)&amp;IF(N28&lt;&gt;"","; "&amp;N28,"")&amp;"]"&amp;"; use: "&amp;IF(G28="","not recorded",G28))</f>
        <v/>
      </c>
      <c r="W28" s="21" t="str">
        <f t="shared" ref="W28:W35" si="7">IF(AD28=1,"",MID(""&amp;IF(F28="Yes"," | Teaching-demonstration switch on."," | Teaching-demonstration switch off.")&amp;IF(TRIM(E28&amp;"")&lt;&gt;""," | "&amp;E28,""),4,9999))</f>
        <v/>
      </c>
      <c r="X28" s="21" t="str">
        <f t="shared" ref="X28:X35" si="8">IF(AK28=0,"",MID(IF(TRUE,"; "&amp;Q28&amp;" = "&amp;R28&amp;" ("&amp;IF(100*R28=0,"0",IF(ABS(100*R28)&lt;0.0001,FIXED(IF(ABS(ROUND(100*R28/10^INT(LOG10(ABS(100*R28))),2))&gt;=10,ROUND(100*R28/10^INT(LOG10(ABS(100*R28))),2)/10,ROUND(100*R28/10^INT(LOG10(ABS(100*R28))),2)),2,TRUE)&amp;" × 10"&amp;SUBSTITUTE(SUBSTITUTE(SUBSTITUTE(SUBSTITUTE(SUBSTITUTE(SUBSTITUTE(SUBSTITUTE(SUBSTITUTE(SUBSTITUTE(SUBSTITUTE(SUBSTITUTE(TEXT((INT(LOG10(ABS(100*R28)))+IF(ABS(ROUND(100*R28/10^INT(LOG10(ABS(100*R28))),2))&gt;=10,1,0)),"0"),"-","⁻"),"0","⁰"),"1","¹"),"2","²"),"3","³"),"4","⁴"),"5","⁵"),"6","⁶"),"7","⁷"),"8","⁸"),"9","⁹"),FIXED(ROUND(100*R28,MAX(0,2-INT(LOG10(ABS(100*R28))))),MAX(0,2-INT(LOG10(ABS(ROUND(100*R28,MAX(0,2-INT(LOG10(ABS(100*R28))))))))),FALSE)))&amp;"%"&amp;")",""),3,9999))</f>
        <v/>
      </c>
      <c r="Y28" s="21" t="str">
        <f t="shared" ref="Y28:Y35" si="9">IF(AK28=0,"","fraction (shown as percent)")</f>
        <v/>
      </c>
      <c r="Z28" s="21" t="str">
        <f t="shared" ref="Z28:Z35" si="10">IF(AD28=1,"",IF(TRIM(D28&amp;"")&lt;&gt;"",D28,"Q6 Biological replacement, recovery or approach to a new level (teaching demonstration)"))</f>
        <v/>
      </c>
      <c r="AA28" s="21" t="str">
        <f t="shared" ref="AA28:AA35" si="11">IF(AD28=1,"","Hypothetical turnover illustration. It is not a measured recovery curve for platelets or any other clinical target.")</f>
        <v/>
      </c>
      <c r="AB28" s="21" t="str">
        <f t="shared" ref="AB28:AB35" si="12">IF(AD28=1,"","fraction = 1 - 2^(-t / half-time): the fraction replaced, or the fraction of the change to a new level completed")</f>
        <v/>
      </c>
      <c r="AC28" s="21" t="str">
        <f t="shared" ref="AC28:AC35" si="13">IF(AD28=1,"","CALC-SPEC 1.1")</f>
        <v/>
      </c>
      <c r="AD28" s="22">
        <f t="shared" ref="AD28:AD35" si="14">IF(AND(A28="",I28="",L28=""),1,0)</f>
        <v>1</v>
      </c>
      <c r="AE28" s="21" t="str">
        <f t="shared" ref="AE28:AE35" si="15">IF(AD28=1,"",B28&amp;"|"&amp;C28)</f>
        <v/>
      </c>
      <c r="AF28" s="21" t="str">
        <f t="shared" ref="AF28:AF35" si="16">IF(A28="","",B28&amp;"|"&amp;C28&amp;"|"&amp;A28)</f>
        <v/>
      </c>
      <c r="AG28" s="21" t="str">
        <f>IF(AD28=1,"",IF(A28="","; E_MISSING_INPUT","")&amp;IF(H28="","; E_MISSING_INPUT","")&amp;IF(AND(H28&lt;&gt;"",ISNA(MATCH(H28,nLIST_TimeUnit,0))),"; E_INVALID_UNIT","")&amp;IF(I28="","; E_MISSING_INPUT","")&amp;IF(AND(I28&lt;&gt;"",NOT(ISNUMBER(I28))),"; E_MISSING_INPUT","")&amp;IF(AND(ISNUMBER(I28),I28&lt;=0),"; E_NONPOSITIVE_PARAMETER","")&amp;IF(L28="","; E_MISSING_INPUT","")&amp;IF(AND(L28&lt;&gt;"",NOT(ISNUMBER(L28))),"; E_MISSING_INPUT","")&amp;IF(AND(ISNUMBER(L28),L28&lt;0),"; E_OUT_OF_RANGE","")&amp;IF(F28&lt;&gt;"Yes","; E_APPLICABILITY_UNCONFIRMED","")&amp;IF(ISNA(MATCH(G28,nLIST_Q6Use,0)),"; E_MISSING_INPUT",""))</f>
        <v/>
      </c>
      <c r="AH28" s="21" t="str">
        <f>IF(AD28=1,"",IF(A28="",", a Calc_ID","")&amp;IF(H28="",", a time unit","")&amp;IF(I28="",", the replacement half-time","")&amp;IF(AND(I28&lt;&gt;"",NOT(ISNUMBER(I28))),", the replacement half-time as a number","")&amp;IF(L28="",", the time","")&amp;IF(AND(L28&lt;&gt;"",NOT(ISNUMBER(L28))),", the time as a number","")&amp;IF(ISNA(MATCH(G28,nLIST_Q6Use,0)),", the use of Q6 (replacement or recovery, or approach to a new level)",""))</f>
        <v/>
      </c>
      <c r="AI28" s="21" t="str">
        <f t="shared" ref="AI28:AI35" si="17">IF(AD28=1,"",MID(IF(ISNUMBER(SEARCH("E_INVALID_DATE",AG28)),"; E_INVALID_DATE","")&amp;IF(ISNUMBER(SEARCH("E_REVERSED_BOUNDS",AG28)),"; E_REVERSED_BOUNDS","")&amp;IF(ISNUMBER(SEARCH("E_DUPLICATE_ID",AG28)),"; E_DUPLICATE_ID","")&amp;IF(ISNUMBER(SEARCH("E_MISSING_LINK",AG28)),"; E_MISSING_LINK","")&amp;IF(ISNUMBER(SEARCH("E_MISSING_INPUT",AG28)),"; E_MISSING_INPUT","")&amp;IF(ISNUMBER(SEARCH("E_INVALID_UNIT",AG28)),"; E_INVALID_UNIT","")&amp;IF(ISNUMBER(SEARCH("E_NONPOSITIVE_PARAMETER",AG28)),"; E_NONPOSITIVE_PARAMETER","")&amp;IF(ISNUMBER(SEARCH("E_OUT_OF_RANGE",AG28)),"; E_OUT_OF_RANGE","")&amp;IF(ISNUMBER(SEARCH("E_APPLICABILITY_UNCONFIRMED",AG28)),"; E_APPLICABILITY_UNCONFIRMED","")&amp;IF(ISNUMBER(SEARCH("E_CREATININE_STABILITY_UNCONFIRMED",AG28)),"; E_CREATININE_STABILITY_UNCONFIRMED","")&amp;IF(ISNUMBER(SEARCH("E_OVERLAPPING_SEGMENTS",AG28)),"; E_OVERLAPPING_SEGMENTS",""),3,999))</f>
        <v/>
      </c>
      <c r="AJ28" s="21" t="str">
        <f t="shared" ref="AJ28:AJ35" si="18">MID(AH28,3,999)</f>
        <v/>
      </c>
      <c r="AK28" s="22">
        <f t="shared" ref="AK28:AK35" si="19">IF(AND(AD28=0,AI28=""),1,0)</f>
        <v>0</v>
      </c>
    </row>
    <row r="29" spans="1:37" x14ac:dyDescent="0.2">
      <c r="A29" s="10"/>
      <c r="B29" s="10"/>
      <c r="C29" s="12"/>
      <c r="D29" s="10"/>
      <c r="E29" s="10"/>
      <c r="F29" s="17"/>
      <c r="G29" s="17"/>
      <c r="H29" s="17"/>
      <c r="I29" s="17"/>
      <c r="J29" s="17"/>
      <c r="K29" s="10"/>
      <c r="L29" s="17"/>
      <c r="M29" s="17"/>
      <c r="N29" s="10"/>
      <c r="O29" s="21" t="str">
        <f t="shared" si="0"/>
        <v/>
      </c>
      <c r="P29" s="21" t="str">
        <f t="shared" si="1"/>
        <v/>
      </c>
      <c r="Q29" s="21" t="str">
        <f t="shared" si="2"/>
        <v/>
      </c>
      <c r="R29" s="21" t="str">
        <f t="shared" si="3"/>
        <v/>
      </c>
      <c r="S29" s="21" t="str">
        <f t="shared" si="4"/>
        <v/>
      </c>
      <c r="T29" s="21" t="str">
        <f t="shared" si="5"/>
        <v/>
      </c>
      <c r="U29" s="21" t="str">
        <f>IF(AD29=1,"",MID(IF(ISNUMBER(SEARCH("E_INVALID_DATE",AI29))," | E_INVALID_DATE: "&amp;SUBSTITUTE(IFERROR(INDEX(nMSG_Text,MATCH("E_INVALID_DATE",nMSG_Code,0)),""),"[input]",""),"")&amp;IF(ISNUMBER(SEARCH("E_REVERSED_BOUNDS",AI29))," | E_REVERSED_BOUNDS: "&amp;SUBSTITUTE(IFERROR(INDEX(nMSG_Text,MATCH("E_REVERSED_BOUNDS",nMSG_Code,0)),""),"[input]",""),"")&amp;IF(ISNUMBER(SEARCH("E_DUPLICATE_ID",AI29))," | E_DUPLICATE_ID: "&amp;SUBSTITUTE(IFERROR(INDEX(nMSG_Text,MATCH("E_DUPLICATE_ID",nMSG_Code,0)),""),"[input]",""),"")&amp;IF(ISNUMBER(SEARCH("E_MISSING_LINK",AI29))," | E_MISSING_LINK: "&amp;SUBSTITUTE(IFERROR(INDEX(nMSG_Text,MATCH("E_MISSING_LINK",nMSG_Code,0)),""),"[input]",""),"")&amp;IF(ISNUMBER(SEARCH("E_MISSING_INPUT",AI29))," | E_MISSING_INPUT: "&amp;SUBSTITUTE(IFERROR(INDEX(nMSG_Text,MATCH("E_MISSING_INPUT",nMSG_Code,0)),""),"[input]",IF(AJ29="","an input",AJ29)),"")&amp;IF(ISNUMBER(SEARCH("E_INVALID_UNIT",AI29))," | E_INVALID_UNIT: "&amp;SUBSTITUTE(IFERROR(INDEX(nMSG_Text,MATCH("E_INVALID_UNIT",nMSG_Code,0)),""),"[input]",""),"")&amp;IF(ISNUMBER(SEARCH("E_NONPOSITIVE_PARAMETER",AI29))," | E_NONPOSITIVE_PARAMETER: "&amp;SUBSTITUTE(IFERROR(INDEX(nMSG_Text,MATCH("E_NONPOSITIVE_PARAMETER",nMSG_Code,0)),""),"[input]",""),"")&amp;IF(ISNUMBER(SEARCH("E_OUT_OF_RANGE",AI29))," | E_OUT_OF_RANGE: "&amp;SUBSTITUTE(IFERROR(INDEX(nMSG_Text,MATCH("E_OUT_OF_RANGE",nMSG_Code,0)),""),"[input]",""),"")&amp;IF(ISNUMBER(SEARCH("E_APPLICABILITY_UNCONFIRMED",AI29))," | E_APPLICABILITY_UNCONFIRMED: "&amp;SUBSTITUTE(IFERROR(INDEX(nMSG_Text,MATCH("E_APPLICABILITY_UNCONFIRMED",nMSG_Code,0)),""),"[input]",""),"")&amp;IF(ISNUMBER(SEARCH("E_CREATININE_STABILITY_UNCONFIRMED",AI29))," | E_CREATININE_STABILITY_UNCONFIRMED: "&amp;SUBSTITUTE(IFERROR(INDEX(nMSG_Text,MATCH("E_CREATININE_STABILITY_UNCONFIRMED",nMSG_Code,0)),""),"[input]",""),"")&amp;IF(ISNUMBER(SEARCH("E_OVERLAPPING_SEGMENTS",AI29))," | E_OVERLAPPING_SEGMENTS: "&amp;SUBSTITUTE(IFERROR(INDEX(nMSG_Text,MATCH("E_OVERLAPPING_SEGMENTS",nMSG_Code,0)),""),"[input]",""),"")&amp;IF(AK29=1,IF(TRUE," | I_TEACHING_DEMONSTRATION: "&amp;SUBSTITUTE(IFERROR(INDEX(nMSG_Text,MATCH("I_TEACHING_DEMONSTRATION",nMSG_Code,0)),""),"[input]",""),""),""),4,9999))</f>
        <v/>
      </c>
      <c r="V29" s="21" t="str">
        <f t="shared" si="6"/>
        <v/>
      </c>
      <c r="W29" s="21" t="str">
        <f t="shared" si="7"/>
        <v/>
      </c>
      <c r="X29" s="21" t="str">
        <f t="shared" si="8"/>
        <v/>
      </c>
      <c r="Y29" s="21" t="str">
        <f t="shared" si="9"/>
        <v/>
      </c>
      <c r="Z29" s="21" t="str">
        <f t="shared" si="10"/>
        <v/>
      </c>
      <c r="AA29" s="21" t="str">
        <f t="shared" si="11"/>
        <v/>
      </c>
      <c r="AB29" s="21" t="str">
        <f t="shared" si="12"/>
        <v/>
      </c>
      <c r="AC29" s="21" t="str">
        <f t="shared" si="13"/>
        <v/>
      </c>
      <c r="AD29" s="22">
        <f t="shared" si="14"/>
        <v>1</v>
      </c>
      <c r="AE29" s="21" t="str">
        <f t="shared" si="15"/>
        <v/>
      </c>
      <c r="AF29" s="21" t="str">
        <f t="shared" si="16"/>
        <v/>
      </c>
      <c r="AG29" s="21" t="str">
        <f>IF(AD29=1,"",IF(A29="","; E_MISSING_INPUT","")&amp;IF(H29="","; E_MISSING_INPUT","")&amp;IF(AND(H29&lt;&gt;"",ISNA(MATCH(H29,nLIST_TimeUnit,0))),"; E_INVALID_UNIT","")&amp;IF(I29="","; E_MISSING_INPUT","")&amp;IF(AND(I29&lt;&gt;"",NOT(ISNUMBER(I29))),"; E_MISSING_INPUT","")&amp;IF(AND(ISNUMBER(I29),I29&lt;=0),"; E_NONPOSITIVE_PARAMETER","")&amp;IF(L29="","; E_MISSING_INPUT","")&amp;IF(AND(L29&lt;&gt;"",NOT(ISNUMBER(L29))),"; E_MISSING_INPUT","")&amp;IF(AND(ISNUMBER(L29),L29&lt;0),"; E_OUT_OF_RANGE","")&amp;IF(F29&lt;&gt;"Yes","; E_APPLICABILITY_UNCONFIRMED","")&amp;IF(ISNA(MATCH(G29,nLIST_Q6Use,0)),"; E_MISSING_INPUT",""))</f>
        <v/>
      </c>
      <c r="AH29" s="21" t="str">
        <f>IF(AD29=1,"",IF(A29="",", a Calc_ID","")&amp;IF(H29="",", a time unit","")&amp;IF(I29="",", the replacement half-time","")&amp;IF(AND(I29&lt;&gt;"",NOT(ISNUMBER(I29))),", the replacement half-time as a number","")&amp;IF(L29="",", the time","")&amp;IF(AND(L29&lt;&gt;"",NOT(ISNUMBER(L29))),", the time as a number","")&amp;IF(ISNA(MATCH(G29,nLIST_Q6Use,0)),", the use of Q6 (replacement or recovery, or approach to a new level)",""))</f>
        <v/>
      </c>
      <c r="AI29" s="21" t="str">
        <f t="shared" si="17"/>
        <v/>
      </c>
      <c r="AJ29" s="21" t="str">
        <f t="shared" si="18"/>
        <v/>
      </c>
      <c r="AK29" s="22">
        <f t="shared" si="19"/>
        <v>0</v>
      </c>
    </row>
    <row r="30" spans="1:37" x14ac:dyDescent="0.2">
      <c r="A30" s="10"/>
      <c r="B30" s="10"/>
      <c r="C30" s="12"/>
      <c r="D30" s="10"/>
      <c r="E30" s="10"/>
      <c r="F30" s="17"/>
      <c r="G30" s="17"/>
      <c r="H30" s="17"/>
      <c r="I30" s="17"/>
      <c r="J30" s="17"/>
      <c r="K30" s="10"/>
      <c r="L30" s="17"/>
      <c r="M30" s="17"/>
      <c r="N30" s="10"/>
      <c r="O30" s="21" t="str">
        <f t="shared" si="0"/>
        <v/>
      </c>
      <c r="P30" s="21" t="str">
        <f t="shared" si="1"/>
        <v/>
      </c>
      <c r="Q30" s="21" t="str">
        <f t="shared" si="2"/>
        <v/>
      </c>
      <c r="R30" s="21" t="str">
        <f t="shared" si="3"/>
        <v/>
      </c>
      <c r="S30" s="21" t="str">
        <f t="shared" si="4"/>
        <v/>
      </c>
      <c r="T30" s="21" t="str">
        <f t="shared" si="5"/>
        <v/>
      </c>
      <c r="U30" s="21" t="str">
        <f>IF(AD30=1,"",MID(IF(ISNUMBER(SEARCH("E_INVALID_DATE",AI30))," | E_INVALID_DATE: "&amp;SUBSTITUTE(IFERROR(INDEX(nMSG_Text,MATCH("E_INVALID_DATE",nMSG_Code,0)),""),"[input]",""),"")&amp;IF(ISNUMBER(SEARCH("E_REVERSED_BOUNDS",AI30))," | E_REVERSED_BOUNDS: "&amp;SUBSTITUTE(IFERROR(INDEX(nMSG_Text,MATCH("E_REVERSED_BOUNDS",nMSG_Code,0)),""),"[input]",""),"")&amp;IF(ISNUMBER(SEARCH("E_DUPLICATE_ID",AI30))," | E_DUPLICATE_ID: "&amp;SUBSTITUTE(IFERROR(INDEX(nMSG_Text,MATCH("E_DUPLICATE_ID",nMSG_Code,0)),""),"[input]",""),"")&amp;IF(ISNUMBER(SEARCH("E_MISSING_LINK",AI30))," | E_MISSING_LINK: "&amp;SUBSTITUTE(IFERROR(INDEX(nMSG_Text,MATCH("E_MISSING_LINK",nMSG_Code,0)),""),"[input]",""),"")&amp;IF(ISNUMBER(SEARCH("E_MISSING_INPUT",AI30))," | E_MISSING_INPUT: "&amp;SUBSTITUTE(IFERROR(INDEX(nMSG_Text,MATCH("E_MISSING_INPUT",nMSG_Code,0)),""),"[input]",IF(AJ30="","an input",AJ30)),"")&amp;IF(ISNUMBER(SEARCH("E_INVALID_UNIT",AI30))," | E_INVALID_UNIT: "&amp;SUBSTITUTE(IFERROR(INDEX(nMSG_Text,MATCH("E_INVALID_UNIT",nMSG_Code,0)),""),"[input]",""),"")&amp;IF(ISNUMBER(SEARCH("E_NONPOSITIVE_PARAMETER",AI30))," | E_NONPOSITIVE_PARAMETER: "&amp;SUBSTITUTE(IFERROR(INDEX(nMSG_Text,MATCH("E_NONPOSITIVE_PARAMETER",nMSG_Code,0)),""),"[input]",""),"")&amp;IF(ISNUMBER(SEARCH("E_OUT_OF_RANGE",AI30))," | E_OUT_OF_RANGE: "&amp;SUBSTITUTE(IFERROR(INDEX(nMSG_Text,MATCH("E_OUT_OF_RANGE",nMSG_Code,0)),""),"[input]",""),"")&amp;IF(ISNUMBER(SEARCH("E_APPLICABILITY_UNCONFIRMED",AI30))," | E_APPLICABILITY_UNCONFIRMED: "&amp;SUBSTITUTE(IFERROR(INDEX(nMSG_Text,MATCH("E_APPLICABILITY_UNCONFIRMED",nMSG_Code,0)),""),"[input]",""),"")&amp;IF(ISNUMBER(SEARCH("E_CREATININE_STABILITY_UNCONFIRMED",AI30))," | E_CREATININE_STABILITY_UNCONFIRMED: "&amp;SUBSTITUTE(IFERROR(INDEX(nMSG_Text,MATCH("E_CREATININE_STABILITY_UNCONFIRMED",nMSG_Code,0)),""),"[input]",""),"")&amp;IF(ISNUMBER(SEARCH("E_OVERLAPPING_SEGMENTS",AI30))," | E_OVERLAPPING_SEGMENTS: "&amp;SUBSTITUTE(IFERROR(INDEX(nMSG_Text,MATCH("E_OVERLAPPING_SEGMENTS",nMSG_Code,0)),""),"[input]",""),"")&amp;IF(AK30=1,IF(TRUE," | I_TEACHING_DEMONSTRATION: "&amp;SUBSTITUTE(IFERROR(INDEX(nMSG_Text,MATCH("I_TEACHING_DEMONSTRATION",nMSG_Code,0)),""),"[input]",""),""),""),4,9999))</f>
        <v/>
      </c>
      <c r="V30" s="21" t="str">
        <f t="shared" si="6"/>
        <v/>
      </c>
      <c r="W30" s="21" t="str">
        <f t="shared" si="7"/>
        <v/>
      </c>
      <c r="X30" s="21" t="str">
        <f t="shared" si="8"/>
        <v/>
      </c>
      <c r="Y30" s="21" t="str">
        <f t="shared" si="9"/>
        <v/>
      </c>
      <c r="Z30" s="21" t="str">
        <f t="shared" si="10"/>
        <v/>
      </c>
      <c r="AA30" s="21" t="str">
        <f t="shared" si="11"/>
        <v/>
      </c>
      <c r="AB30" s="21" t="str">
        <f t="shared" si="12"/>
        <v/>
      </c>
      <c r="AC30" s="21" t="str">
        <f t="shared" si="13"/>
        <v/>
      </c>
      <c r="AD30" s="22">
        <f t="shared" si="14"/>
        <v>1</v>
      </c>
      <c r="AE30" s="21" t="str">
        <f t="shared" si="15"/>
        <v/>
      </c>
      <c r="AF30" s="21" t="str">
        <f t="shared" si="16"/>
        <v/>
      </c>
      <c r="AG30" s="21" t="str">
        <f>IF(AD30=1,"",IF(A30="","; E_MISSING_INPUT","")&amp;IF(H30="","; E_MISSING_INPUT","")&amp;IF(AND(H30&lt;&gt;"",ISNA(MATCH(H30,nLIST_TimeUnit,0))),"; E_INVALID_UNIT","")&amp;IF(I30="","; E_MISSING_INPUT","")&amp;IF(AND(I30&lt;&gt;"",NOT(ISNUMBER(I30))),"; E_MISSING_INPUT","")&amp;IF(AND(ISNUMBER(I30),I30&lt;=0),"; E_NONPOSITIVE_PARAMETER","")&amp;IF(L30="","; E_MISSING_INPUT","")&amp;IF(AND(L30&lt;&gt;"",NOT(ISNUMBER(L30))),"; E_MISSING_INPUT","")&amp;IF(AND(ISNUMBER(L30),L30&lt;0),"; E_OUT_OF_RANGE","")&amp;IF(F30&lt;&gt;"Yes","; E_APPLICABILITY_UNCONFIRMED","")&amp;IF(ISNA(MATCH(G30,nLIST_Q6Use,0)),"; E_MISSING_INPUT",""))</f>
        <v/>
      </c>
      <c r="AH30" s="21" t="str">
        <f>IF(AD30=1,"",IF(A30="",", a Calc_ID","")&amp;IF(H30="",", a time unit","")&amp;IF(I30="",", the replacement half-time","")&amp;IF(AND(I30&lt;&gt;"",NOT(ISNUMBER(I30))),", the replacement half-time as a number","")&amp;IF(L30="",", the time","")&amp;IF(AND(L30&lt;&gt;"",NOT(ISNUMBER(L30))),", the time as a number","")&amp;IF(ISNA(MATCH(G30,nLIST_Q6Use,0)),", the use of Q6 (replacement or recovery, or approach to a new level)",""))</f>
        <v/>
      </c>
      <c r="AI30" s="21" t="str">
        <f t="shared" si="17"/>
        <v/>
      </c>
      <c r="AJ30" s="21" t="str">
        <f t="shared" si="18"/>
        <v/>
      </c>
      <c r="AK30" s="22">
        <f t="shared" si="19"/>
        <v>0</v>
      </c>
    </row>
    <row r="31" spans="1:37" x14ac:dyDescent="0.2">
      <c r="A31" s="10"/>
      <c r="B31" s="10"/>
      <c r="C31" s="12"/>
      <c r="D31" s="10"/>
      <c r="E31" s="10"/>
      <c r="F31" s="17"/>
      <c r="G31" s="17"/>
      <c r="H31" s="17"/>
      <c r="I31" s="17"/>
      <c r="J31" s="17"/>
      <c r="K31" s="10"/>
      <c r="L31" s="17"/>
      <c r="M31" s="17"/>
      <c r="N31" s="10"/>
      <c r="O31" s="21" t="str">
        <f t="shared" si="0"/>
        <v/>
      </c>
      <c r="P31" s="21" t="str">
        <f t="shared" si="1"/>
        <v/>
      </c>
      <c r="Q31" s="21" t="str">
        <f t="shared" si="2"/>
        <v/>
      </c>
      <c r="R31" s="21" t="str">
        <f t="shared" si="3"/>
        <v/>
      </c>
      <c r="S31" s="21" t="str">
        <f t="shared" si="4"/>
        <v/>
      </c>
      <c r="T31" s="21" t="str">
        <f t="shared" si="5"/>
        <v/>
      </c>
      <c r="U31" s="21" t="str">
        <f>IF(AD31=1,"",MID(IF(ISNUMBER(SEARCH("E_INVALID_DATE",AI31))," | E_INVALID_DATE: "&amp;SUBSTITUTE(IFERROR(INDEX(nMSG_Text,MATCH("E_INVALID_DATE",nMSG_Code,0)),""),"[input]",""),"")&amp;IF(ISNUMBER(SEARCH("E_REVERSED_BOUNDS",AI31))," | E_REVERSED_BOUNDS: "&amp;SUBSTITUTE(IFERROR(INDEX(nMSG_Text,MATCH("E_REVERSED_BOUNDS",nMSG_Code,0)),""),"[input]",""),"")&amp;IF(ISNUMBER(SEARCH("E_DUPLICATE_ID",AI31))," | E_DUPLICATE_ID: "&amp;SUBSTITUTE(IFERROR(INDEX(nMSG_Text,MATCH("E_DUPLICATE_ID",nMSG_Code,0)),""),"[input]",""),"")&amp;IF(ISNUMBER(SEARCH("E_MISSING_LINK",AI31))," | E_MISSING_LINK: "&amp;SUBSTITUTE(IFERROR(INDEX(nMSG_Text,MATCH("E_MISSING_LINK",nMSG_Code,0)),""),"[input]",""),"")&amp;IF(ISNUMBER(SEARCH("E_MISSING_INPUT",AI31))," | E_MISSING_INPUT: "&amp;SUBSTITUTE(IFERROR(INDEX(nMSG_Text,MATCH("E_MISSING_INPUT",nMSG_Code,0)),""),"[input]",IF(AJ31="","an input",AJ31)),"")&amp;IF(ISNUMBER(SEARCH("E_INVALID_UNIT",AI31))," | E_INVALID_UNIT: "&amp;SUBSTITUTE(IFERROR(INDEX(nMSG_Text,MATCH("E_INVALID_UNIT",nMSG_Code,0)),""),"[input]",""),"")&amp;IF(ISNUMBER(SEARCH("E_NONPOSITIVE_PARAMETER",AI31))," | E_NONPOSITIVE_PARAMETER: "&amp;SUBSTITUTE(IFERROR(INDEX(nMSG_Text,MATCH("E_NONPOSITIVE_PARAMETER",nMSG_Code,0)),""),"[input]",""),"")&amp;IF(ISNUMBER(SEARCH("E_OUT_OF_RANGE",AI31))," | E_OUT_OF_RANGE: "&amp;SUBSTITUTE(IFERROR(INDEX(nMSG_Text,MATCH("E_OUT_OF_RANGE",nMSG_Code,0)),""),"[input]",""),"")&amp;IF(ISNUMBER(SEARCH("E_APPLICABILITY_UNCONFIRMED",AI31))," | E_APPLICABILITY_UNCONFIRMED: "&amp;SUBSTITUTE(IFERROR(INDEX(nMSG_Text,MATCH("E_APPLICABILITY_UNCONFIRMED",nMSG_Code,0)),""),"[input]",""),"")&amp;IF(ISNUMBER(SEARCH("E_CREATININE_STABILITY_UNCONFIRMED",AI31))," | E_CREATININE_STABILITY_UNCONFIRMED: "&amp;SUBSTITUTE(IFERROR(INDEX(nMSG_Text,MATCH("E_CREATININE_STABILITY_UNCONFIRMED",nMSG_Code,0)),""),"[input]",""),"")&amp;IF(ISNUMBER(SEARCH("E_OVERLAPPING_SEGMENTS",AI31))," | E_OVERLAPPING_SEGMENTS: "&amp;SUBSTITUTE(IFERROR(INDEX(nMSG_Text,MATCH("E_OVERLAPPING_SEGMENTS",nMSG_Code,0)),""),"[input]",""),"")&amp;IF(AK31=1,IF(TRUE," | I_TEACHING_DEMONSTRATION: "&amp;SUBSTITUTE(IFERROR(INDEX(nMSG_Text,MATCH("I_TEACHING_DEMONSTRATION",nMSG_Code,0)),""),"[input]",""),""),""),4,9999))</f>
        <v/>
      </c>
      <c r="V31" s="21" t="str">
        <f t="shared" si="6"/>
        <v/>
      </c>
      <c r="W31" s="21" t="str">
        <f t="shared" si="7"/>
        <v/>
      </c>
      <c r="X31" s="21" t="str">
        <f t="shared" si="8"/>
        <v/>
      </c>
      <c r="Y31" s="21" t="str">
        <f t="shared" si="9"/>
        <v/>
      </c>
      <c r="Z31" s="21" t="str">
        <f t="shared" si="10"/>
        <v/>
      </c>
      <c r="AA31" s="21" t="str">
        <f t="shared" si="11"/>
        <v/>
      </c>
      <c r="AB31" s="21" t="str">
        <f t="shared" si="12"/>
        <v/>
      </c>
      <c r="AC31" s="21" t="str">
        <f t="shared" si="13"/>
        <v/>
      </c>
      <c r="AD31" s="22">
        <f t="shared" si="14"/>
        <v>1</v>
      </c>
      <c r="AE31" s="21" t="str">
        <f t="shared" si="15"/>
        <v/>
      </c>
      <c r="AF31" s="21" t="str">
        <f t="shared" si="16"/>
        <v/>
      </c>
      <c r="AG31" s="21" t="str">
        <f>IF(AD31=1,"",IF(A31="","; E_MISSING_INPUT","")&amp;IF(H31="","; E_MISSING_INPUT","")&amp;IF(AND(H31&lt;&gt;"",ISNA(MATCH(H31,nLIST_TimeUnit,0))),"; E_INVALID_UNIT","")&amp;IF(I31="","; E_MISSING_INPUT","")&amp;IF(AND(I31&lt;&gt;"",NOT(ISNUMBER(I31))),"; E_MISSING_INPUT","")&amp;IF(AND(ISNUMBER(I31),I31&lt;=0),"; E_NONPOSITIVE_PARAMETER","")&amp;IF(L31="","; E_MISSING_INPUT","")&amp;IF(AND(L31&lt;&gt;"",NOT(ISNUMBER(L31))),"; E_MISSING_INPUT","")&amp;IF(AND(ISNUMBER(L31),L31&lt;0),"; E_OUT_OF_RANGE","")&amp;IF(F31&lt;&gt;"Yes","; E_APPLICABILITY_UNCONFIRMED","")&amp;IF(ISNA(MATCH(G31,nLIST_Q6Use,0)),"; E_MISSING_INPUT",""))</f>
        <v/>
      </c>
      <c r="AH31" s="21" t="str">
        <f>IF(AD31=1,"",IF(A31="",", a Calc_ID","")&amp;IF(H31="",", a time unit","")&amp;IF(I31="",", the replacement half-time","")&amp;IF(AND(I31&lt;&gt;"",NOT(ISNUMBER(I31))),", the replacement half-time as a number","")&amp;IF(L31="",", the time","")&amp;IF(AND(L31&lt;&gt;"",NOT(ISNUMBER(L31))),", the time as a number","")&amp;IF(ISNA(MATCH(G31,nLIST_Q6Use,0)),", the use of Q6 (replacement or recovery, or approach to a new level)",""))</f>
        <v/>
      </c>
      <c r="AI31" s="21" t="str">
        <f t="shared" si="17"/>
        <v/>
      </c>
      <c r="AJ31" s="21" t="str">
        <f t="shared" si="18"/>
        <v/>
      </c>
      <c r="AK31" s="22">
        <f t="shared" si="19"/>
        <v>0</v>
      </c>
    </row>
    <row r="32" spans="1:37" x14ac:dyDescent="0.2">
      <c r="A32" s="10"/>
      <c r="B32" s="10"/>
      <c r="C32" s="12"/>
      <c r="D32" s="10"/>
      <c r="E32" s="10"/>
      <c r="F32" s="17"/>
      <c r="G32" s="17"/>
      <c r="H32" s="17"/>
      <c r="I32" s="17"/>
      <c r="J32" s="17"/>
      <c r="K32" s="10"/>
      <c r="L32" s="17"/>
      <c r="M32" s="17"/>
      <c r="N32" s="10"/>
      <c r="O32" s="21" t="str">
        <f t="shared" si="0"/>
        <v/>
      </c>
      <c r="P32" s="21" t="str">
        <f t="shared" si="1"/>
        <v/>
      </c>
      <c r="Q32" s="21" t="str">
        <f t="shared" si="2"/>
        <v/>
      </c>
      <c r="R32" s="21" t="str">
        <f t="shared" si="3"/>
        <v/>
      </c>
      <c r="S32" s="21" t="str">
        <f t="shared" si="4"/>
        <v/>
      </c>
      <c r="T32" s="21" t="str">
        <f t="shared" si="5"/>
        <v/>
      </c>
      <c r="U32" s="21" t="str">
        <f>IF(AD32=1,"",MID(IF(ISNUMBER(SEARCH("E_INVALID_DATE",AI32))," | E_INVALID_DATE: "&amp;SUBSTITUTE(IFERROR(INDEX(nMSG_Text,MATCH("E_INVALID_DATE",nMSG_Code,0)),""),"[input]",""),"")&amp;IF(ISNUMBER(SEARCH("E_REVERSED_BOUNDS",AI32))," | E_REVERSED_BOUNDS: "&amp;SUBSTITUTE(IFERROR(INDEX(nMSG_Text,MATCH("E_REVERSED_BOUNDS",nMSG_Code,0)),""),"[input]",""),"")&amp;IF(ISNUMBER(SEARCH("E_DUPLICATE_ID",AI32))," | E_DUPLICATE_ID: "&amp;SUBSTITUTE(IFERROR(INDEX(nMSG_Text,MATCH("E_DUPLICATE_ID",nMSG_Code,0)),""),"[input]",""),"")&amp;IF(ISNUMBER(SEARCH("E_MISSING_LINK",AI32))," | E_MISSING_LINK: "&amp;SUBSTITUTE(IFERROR(INDEX(nMSG_Text,MATCH("E_MISSING_LINK",nMSG_Code,0)),""),"[input]",""),"")&amp;IF(ISNUMBER(SEARCH("E_MISSING_INPUT",AI32))," | E_MISSING_INPUT: "&amp;SUBSTITUTE(IFERROR(INDEX(nMSG_Text,MATCH("E_MISSING_INPUT",nMSG_Code,0)),""),"[input]",IF(AJ32="","an input",AJ32)),"")&amp;IF(ISNUMBER(SEARCH("E_INVALID_UNIT",AI32))," | E_INVALID_UNIT: "&amp;SUBSTITUTE(IFERROR(INDEX(nMSG_Text,MATCH("E_INVALID_UNIT",nMSG_Code,0)),""),"[input]",""),"")&amp;IF(ISNUMBER(SEARCH("E_NONPOSITIVE_PARAMETER",AI32))," | E_NONPOSITIVE_PARAMETER: "&amp;SUBSTITUTE(IFERROR(INDEX(nMSG_Text,MATCH("E_NONPOSITIVE_PARAMETER",nMSG_Code,0)),""),"[input]",""),"")&amp;IF(ISNUMBER(SEARCH("E_OUT_OF_RANGE",AI32))," | E_OUT_OF_RANGE: "&amp;SUBSTITUTE(IFERROR(INDEX(nMSG_Text,MATCH("E_OUT_OF_RANGE",nMSG_Code,0)),""),"[input]",""),"")&amp;IF(ISNUMBER(SEARCH("E_APPLICABILITY_UNCONFIRMED",AI32))," | E_APPLICABILITY_UNCONFIRMED: "&amp;SUBSTITUTE(IFERROR(INDEX(nMSG_Text,MATCH("E_APPLICABILITY_UNCONFIRMED",nMSG_Code,0)),""),"[input]",""),"")&amp;IF(ISNUMBER(SEARCH("E_CREATININE_STABILITY_UNCONFIRMED",AI32))," | E_CREATININE_STABILITY_UNCONFIRMED: "&amp;SUBSTITUTE(IFERROR(INDEX(nMSG_Text,MATCH("E_CREATININE_STABILITY_UNCONFIRMED",nMSG_Code,0)),""),"[input]",""),"")&amp;IF(ISNUMBER(SEARCH("E_OVERLAPPING_SEGMENTS",AI32))," | E_OVERLAPPING_SEGMENTS: "&amp;SUBSTITUTE(IFERROR(INDEX(nMSG_Text,MATCH("E_OVERLAPPING_SEGMENTS",nMSG_Code,0)),""),"[input]",""),"")&amp;IF(AK32=1,IF(TRUE," | I_TEACHING_DEMONSTRATION: "&amp;SUBSTITUTE(IFERROR(INDEX(nMSG_Text,MATCH("I_TEACHING_DEMONSTRATION",nMSG_Code,0)),""),"[input]",""),""),""),4,9999))</f>
        <v/>
      </c>
      <c r="V32" s="21" t="str">
        <f t="shared" si="6"/>
        <v/>
      </c>
      <c r="W32" s="21" t="str">
        <f t="shared" si="7"/>
        <v/>
      </c>
      <c r="X32" s="21" t="str">
        <f t="shared" si="8"/>
        <v/>
      </c>
      <c r="Y32" s="21" t="str">
        <f t="shared" si="9"/>
        <v/>
      </c>
      <c r="Z32" s="21" t="str">
        <f t="shared" si="10"/>
        <v/>
      </c>
      <c r="AA32" s="21" t="str">
        <f t="shared" si="11"/>
        <v/>
      </c>
      <c r="AB32" s="21" t="str">
        <f t="shared" si="12"/>
        <v/>
      </c>
      <c r="AC32" s="21" t="str">
        <f t="shared" si="13"/>
        <v/>
      </c>
      <c r="AD32" s="22">
        <f t="shared" si="14"/>
        <v>1</v>
      </c>
      <c r="AE32" s="21" t="str">
        <f t="shared" si="15"/>
        <v/>
      </c>
      <c r="AF32" s="21" t="str">
        <f t="shared" si="16"/>
        <v/>
      </c>
      <c r="AG32" s="21" t="str">
        <f>IF(AD32=1,"",IF(A32="","; E_MISSING_INPUT","")&amp;IF(H32="","; E_MISSING_INPUT","")&amp;IF(AND(H32&lt;&gt;"",ISNA(MATCH(H32,nLIST_TimeUnit,0))),"; E_INVALID_UNIT","")&amp;IF(I32="","; E_MISSING_INPUT","")&amp;IF(AND(I32&lt;&gt;"",NOT(ISNUMBER(I32))),"; E_MISSING_INPUT","")&amp;IF(AND(ISNUMBER(I32),I32&lt;=0),"; E_NONPOSITIVE_PARAMETER","")&amp;IF(L32="","; E_MISSING_INPUT","")&amp;IF(AND(L32&lt;&gt;"",NOT(ISNUMBER(L32))),"; E_MISSING_INPUT","")&amp;IF(AND(ISNUMBER(L32),L32&lt;0),"; E_OUT_OF_RANGE","")&amp;IF(F32&lt;&gt;"Yes","; E_APPLICABILITY_UNCONFIRMED","")&amp;IF(ISNA(MATCH(G32,nLIST_Q6Use,0)),"; E_MISSING_INPUT",""))</f>
        <v/>
      </c>
      <c r="AH32" s="21" t="str">
        <f>IF(AD32=1,"",IF(A32="",", a Calc_ID","")&amp;IF(H32="",", a time unit","")&amp;IF(I32="",", the replacement half-time","")&amp;IF(AND(I32&lt;&gt;"",NOT(ISNUMBER(I32))),", the replacement half-time as a number","")&amp;IF(L32="",", the time","")&amp;IF(AND(L32&lt;&gt;"",NOT(ISNUMBER(L32))),", the time as a number","")&amp;IF(ISNA(MATCH(G32,nLIST_Q6Use,0)),", the use of Q6 (replacement or recovery, or approach to a new level)",""))</f>
        <v/>
      </c>
      <c r="AI32" s="21" t="str">
        <f t="shared" si="17"/>
        <v/>
      </c>
      <c r="AJ32" s="21" t="str">
        <f t="shared" si="18"/>
        <v/>
      </c>
      <c r="AK32" s="22">
        <f t="shared" si="19"/>
        <v>0</v>
      </c>
    </row>
    <row r="33" spans="1:37" x14ac:dyDescent="0.2">
      <c r="A33" s="10"/>
      <c r="B33" s="10"/>
      <c r="C33" s="12"/>
      <c r="D33" s="10"/>
      <c r="E33" s="10"/>
      <c r="F33" s="17"/>
      <c r="G33" s="17"/>
      <c r="H33" s="17"/>
      <c r="I33" s="17"/>
      <c r="J33" s="17"/>
      <c r="K33" s="10"/>
      <c r="L33" s="17"/>
      <c r="M33" s="17"/>
      <c r="N33" s="10"/>
      <c r="O33" s="21" t="str">
        <f t="shared" si="0"/>
        <v/>
      </c>
      <c r="P33" s="21" t="str">
        <f t="shared" si="1"/>
        <v/>
      </c>
      <c r="Q33" s="21" t="str">
        <f t="shared" si="2"/>
        <v/>
      </c>
      <c r="R33" s="21" t="str">
        <f t="shared" si="3"/>
        <v/>
      </c>
      <c r="S33" s="21" t="str">
        <f t="shared" si="4"/>
        <v/>
      </c>
      <c r="T33" s="21" t="str">
        <f t="shared" si="5"/>
        <v/>
      </c>
      <c r="U33" s="21" t="str">
        <f>IF(AD33=1,"",MID(IF(ISNUMBER(SEARCH("E_INVALID_DATE",AI33))," | E_INVALID_DATE: "&amp;SUBSTITUTE(IFERROR(INDEX(nMSG_Text,MATCH("E_INVALID_DATE",nMSG_Code,0)),""),"[input]",""),"")&amp;IF(ISNUMBER(SEARCH("E_REVERSED_BOUNDS",AI33))," | E_REVERSED_BOUNDS: "&amp;SUBSTITUTE(IFERROR(INDEX(nMSG_Text,MATCH("E_REVERSED_BOUNDS",nMSG_Code,0)),""),"[input]",""),"")&amp;IF(ISNUMBER(SEARCH("E_DUPLICATE_ID",AI33))," | E_DUPLICATE_ID: "&amp;SUBSTITUTE(IFERROR(INDEX(nMSG_Text,MATCH("E_DUPLICATE_ID",nMSG_Code,0)),""),"[input]",""),"")&amp;IF(ISNUMBER(SEARCH("E_MISSING_LINK",AI33))," | E_MISSING_LINK: "&amp;SUBSTITUTE(IFERROR(INDEX(nMSG_Text,MATCH("E_MISSING_LINK",nMSG_Code,0)),""),"[input]",""),"")&amp;IF(ISNUMBER(SEARCH("E_MISSING_INPUT",AI33))," | E_MISSING_INPUT: "&amp;SUBSTITUTE(IFERROR(INDEX(nMSG_Text,MATCH("E_MISSING_INPUT",nMSG_Code,0)),""),"[input]",IF(AJ33="","an input",AJ33)),"")&amp;IF(ISNUMBER(SEARCH("E_INVALID_UNIT",AI33))," | E_INVALID_UNIT: "&amp;SUBSTITUTE(IFERROR(INDEX(nMSG_Text,MATCH("E_INVALID_UNIT",nMSG_Code,0)),""),"[input]",""),"")&amp;IF(ISNUMBER(SEARCH("E_NONPOSITIVE_PARAMETER",AI33))," | E_NONPOSITIVE_PARAMETER: "&amp;SUBSTITUTE(IFERROR(INDEX(nMSG_Text,MATCH("E_NONPOSITIVE_PARAMETER",nMSG_Code,0)),""),"[input]",""),"")&amp;IF(ISNUMBER(SEARCH("E_OUT_OF_RANGE",AI33))," | E_OUT_OF_RANGE: "&amp;SUBSTITUTE(IFERROR(INDEX(nMSG_Text,MATCH("E_OUT_OF_RANGE",nMSG_Code,0)),""),"[input]",""),"")&amp;IF(ISNUMBER(SEARCH("E_APPLICABILITY_UNCONFIRMED",AI33))," | E_APPLICABILITY_UNCONFIRMED: "&amp;SUBSTITUTE(IFERROR(INDEX(nMSG_Text,MATCH("E_APPLICABILITY_UNCONFIRMED",nMSG_Code,0)),""),"[input]",""),"")&amp;IF(ISNUMBER(SEARCH("E_CREATININE_STABILITY_UNCONFIRMED",AI33))," | E_CREATININE_STABILITY_UNCONFIRMED: "&amp;SUBSTITUTE(IFERROR(INDEX(nMSG_Text,MATCH("E_CREATININE_STABILITY_UNCONFIRMED",nMSG_Code,0)),""),"[input]",""),"")&amp;IF(ISNUMBER(SEARCH("E_OVERLAPPING_SEGMENTS",AI33))," | E_OVERLAPPING_SEGMENTS: "&amp;SUBSTITUTE(IFERROR(INDEX(nMSG_Text,MATCH("E_OVERLAPPING_SEGMENTS",nMSG_Code,0)),""),"[input]",""),"")&amp;IF(AK33=1,IF(TRUE," | I_TEACHING_DEMONSTRATION: "&amp;SUBSTITUTE(IFERROR(INDEX(nMSG_Text,MATCH("I_TEACHING_DEMONSTRATION",nMSG_Code,0)),""),"[input]",""),""),""),4,9999))</f>
        <v/>
      </c>
      <c r="V33" s="21" t="str">
        <f t="shared" si="6"/>
        <v/>
      </c>
      <c r="W33" s="21" t="str">
        <f t="shared" si="7"/>
        <v/>
      </c>
      <c r="X33" s="21" t="str">
        <f t="shared" si="8"/>
        <v/>
      </c>
      <c r="Y33" s="21" t="str">
        <f t="shared" si="9"/>
        <v/>
      </c>
      <c r="Z33" s="21" t="str">
        <f t="shared" si="10"/>
        <v/>
      </c>
      <c r="AA33" s="21" t="str">
        <f t="shared" si="11"/>
        <v/>
      </c>
      <c r="AB33" s="21" t="str">
        <f t="shared" si="12"/>
        <v/>
      </c>
      <c r="AC33" s="21" t="str">
        <f t="shared" si="13"/>
        <v/>
      </c>
      <c r="AD33" s="22">
        <f t="shared" si="14"/>
        <v>1</v>
      </c>
      <c r="AE33" s="21" t="str">
        <f t="shared" si="15"/>
        <v/>
      </c>
      <c r="AF33" s="21" t="str">
        <f t="shared" si="16"/>
        <v/>
      </c>
      <c r="AG33" s="21" t="str">
        <f>IF(AD33=1,"",IF(A33="","; E_MISSING_INPUT","")&amp;IF(H33="","; E_MISSING_INPUT","")&amp;IF(AND(H33&lt;&gt;"",ISNA(MATCH(H33,nLIST_TimeUnit,0))),"; E_INVALID_UNIT","")&amp;IF(I33="","; E_MISSING_INPUT","")&amp;IF(AND(I33&lt;&gt;"",NOT(ISNUMBER(I33))),"; E_MISSING_INPUT","")&amp;IF(AND(ISNUMBER(I33),I33&lt;=0),"; E_NONPOSITIVE_PARAMETER","")&amp;IF(L33="","; E_MISSING_INPUT","")&amp;IF(AND(L33&lt;&gt;"",NOT(ISNUMBER(L33))),"; E_MISSING_INPUT","")&amp;IF(AND(ISNUMBER(L33),L33&lt;0),"; E_OUT_OF_RANGE","")&amp;IF(F33&lt;&gt;"Yes","; E_APPLICABILITY_UNCONFIRMED","")&amp;IF(ISNA(MATCH(G33,nLIST_Q6Use,0)),"; E_MISSING_INPUT",""))</f>
        <v/>
      </c>
      <c r="AH33" s="21" t="str">
        <f>IF(AD33=1,"",IF(A33="",", a Calc_ID","")&amp;IF(H33="",", a time unit","")&amp;IF(I33="",", the replacement half-time","")&amp;IF(AND(I33&lt;&gt;"",NOT(ISNUMBER(I33))),", the replacement half-time as a number","")&amp;IF(L33="",", the time","")&amp;IF(AND(L33&lt;&gt;"",NOT(ISNUMBER(L33))),", the time as a number","")&amp;IF(ISNA(MATCH(G33,nLIST_Q6Use,0)),", the use of Q6 (replacement or recovery, or approach to a new level)",""))</f>
        <v/>
      </c>
      <c r="AI33" s="21" t="str">
        <f t="shared" si="17"/>
        <v/>
      </c>
      <c r="AJ33" s="21" t="str">
        <f t="shared" si="18"/>
        <v/>
      </c>
      <c r="AK33" s="22">
        <f t="shared" si="19"/>
        <v>0</v>
      </c>
    </row>
    <row r="34" spans="1:37" x14ac:dyDescent="0.2">
      <c r="A34" s="10"/>
      <c r="B34" s="10"/>
      <c r="C34" s="12"/>
      <c r="D34" s="10"/>
      <c r="E34" s="10"/>
      <c r="F34" s="17"/>
      <c r="G34" s="17"/>
      <c r="H34" s="17"/>
      <c r="I34" s="17"/>
      <c r="J34" s="17"/>
      <c r="K34" s="10"/>
      <c r="L34" s="17"/>
      <c r="M34" s="17"/>
      <c r="N34" s="10"/>
      <c r="O34" s="21" t="str">
        <f t="shared" si="0"/>
        <v/>
      </c>
      <c r="P34" s="21" t="str">
        <f t="shared" si="1"/>
        <v/>
      </c>
      <c r="Q34" s="21" t="str">
        <f t="shared" si="2"/>
        <v/>
      </c>
      <c r="R34" s="21" t="str">
        <f t="shared" si="3"/>
        <v/>
      </c>
      <c r="S34" s="21" t="str">
        <f t="shared" si="4"/>
        <v/>
      </c>
      <c r="T34" s="21" t="str">
        <f t="shared" si="5"/>
        <v/>
      </c>
      <c r="U34" s="21" t="str">
        <f>IF(AD34=1,"",MID(IF(ISNUMBER(SEARCH("E_INVALID_DATE",AI34))," | E_INVALID_DATE: "&amp;SUBSTITUTE(IFERROR(INDEX(nMSG_Text,MATCH("E_INVALID_DATE",nMSG_Code,0)),""),"[input]",""),"")&amp;IF(ISNUMBER(SEARCH("E_REVERSED_BOUNDS",AI34))," | E_REVERSED_BOUNDS: "&amp;SUBSTITUTE(IFERROR(INDEX(nMSG_Text,MATCH("E_REVERSED_BOUNDS",nMSG_Code,0)),""),"[input]",""),"")&amp;IF(ISNUMBER(SEARCH("E_DUPLICATE_ID",AI34))," | E_DUPLICATE_ID: "&amp;SUBSTITUTE(IFERROR(INDEX(nMSG_Text,MATCH("E_DUPLICATE_ID",nMSG_Code,0)),""),"[input]",""),"")&amp;IF(ISNUMBER(SEARCH("E_MISSING_LINK",AI34))," | E_MISSING_LINK: "&amp;SUBSTITUTE(IFERROR(INDEX(nMSG_Text,MATCH("E_MISSING_LINK",nMSG_Code,0)),""),"[input]",""),"")&amp;IF(ISNUMBER(SEARCH("E_MISSING_INPUT",AI34))," | E_MISSING_INPUT: "&amp;SUBSTITUTE(IFERROR(INDEX(nMSG_Text,MATCH("E_MISSING_INPUT",nMSG_Code,0)),""),"[input]",IF(AJ34="","an input",AJ34)),"")&amp;IF(ISNUMBER(SEARCH("E_INVALID_UNIT",AI34))," | E_INVALID_UNIT: "&amp;SUBSTITUTE(IFERROR(INDEX(nMSG_Text,MATCH("E_INVALID_UNIT",nMSG_Code,0)),""),"[input]",""),"")&amp;IF(ISNUMBER(SEARCH("E_NONPOSITIVE_PARAMETER",AI34))," | E_NONPOSITIVE_PARAMETER: "&amp;SUBSTITUTE(IFERROR(INDEX(nMSG_Text,MATCH("E_NONPOSITIVE_PARAMETER",nMSG_Code,0)),""),"[input]",""),"")&amp;IF(ISNUMBER(SEARCH("E_OUT_OF_RANGE",AI34))," | E_OUT_OF_RANGE: "&amp;SUBSTITUTE(IFERROR(INDEX(nMSG_Text,MATCH("E_OUT_OF_RANGE",nMSG_Code,0)),""),"[input]",""),"")&amp;IF(ISNUMBER(SEARCH("E_APPLICABILITY_UNCONFIRMED",AI34))," | E_APPLICABILITY_UNCONFIRMED: "&amp;SUBSTITUTE(IFERROR(INDEX(nMSG_Text,MATCH("E_APPLICABILITY_UNCONFIRMED",nMSG_Code,0)),""),"[input]",""),"")&amp;IF(ISNUMBER(SEARCH("E_CREATININE_STABILITY_UNCONFIRMED",AI34))," | E_CREATININE_STABILITY_UNCONFIRMED: "&amp;SUBSTITUTE(IFERROR(INDEX(nMSG_Text,MATCH("E_CREATININE_STABILITY_UNCONFIRMED",nMSG_Code,0)),""),"[input]",""),"")&amp;IF(ISNUMBER(SEARCH("E_OVERLAPPING_SEGMENTS",AI34))," | E_OVERLAPPING_SEGMENTS: "&amp;SUBSTITUTE(IFERROR(INDEX(nMSG_Text,MATCH("E_OVERLAPPING_SEGMENTS",nMSG_Code,0)),""),"[input]",""),"")&amp;IF(AK34=1,IF(TRUE," | I_TEACHING_DEMONSTRATION: "&amp;SUBSTITUTE(IFERROR(INDEX(nMSG_Text,MATCH("I_TEACHING_DEMONSTRATION",nMSG_Code,0)),""),"[input]",""),""),""),4,9999))</f>
        <v/>
      </c>
      <c r="V34" s="21" t="str">
        <f t="shared" si="6"/>
        <v/>
      </c>
      <c r="W34" s="21" t="str">
        <f t="shared" si="7"/>
        <v/>
      </c>
      <c r="X34" s="21" t="str">
        <f t="shared" si="8"/>
        <v/>
      </c>
      <c r="Y34" s="21" t="str">
        <f t="shared" si="9"/>
        <v/>
      </c>
      <c r="Z34" s="21" t="str">
        <f t="shared" si="10"/>
        <v/>
      </c>
      <c r="AA34" s="21" t="str">
        <f t="shared" si="11"/>
        <v/>
      </c>
      <c r="AB34" s="21" t="str">
        <f t="shared" si="12"/>
        <v/>
      </c>
      <c r="AC34" s="21" t="str">
        <f t="shared" si="13"/>
        <v/>
      </c>
      <c r="AD34" s="22">
        <f t="shared" si="14"/>
        <v>1</v>
      </c>
      <c r="AE34" s="21" t="str">
        <f t="shared" si="15"/>
        <v/>
      </c>
      <c r="AF34" s="21" t="str">
        <f t="shared" si="16"/>
        <v/>
      </c>
      <c r="AG34" s="21" t="str">
        <f>IF(AD34=1,"",IF(A34="","; E_MISSING_INPUT","")&amp;IF(H34="","; E_MISSING_INPUT","")&amp;IF(AND(H34&lt;&gt;"",ISNA(MATCH(H34,nLIST_TimeUnit,0))),"; E_INVALID_UNIT","")&amp;IF(I34="","; E_MISSING_INPUT","")&amp;IF(AND(I34&lt;&gt;"",NOT(ISNUMBER(I34))),"; E_MISSING_INPUT","")&amp;IF(AND(ISNUMBER(I34),I34&lt;=0),"; E_NONPOSITIVE_PARAMETER","")&amp;IF(L34="","; E_MISSING_INPUT","")&amp;IF(AND(L34&lt;&gt;"",NOT(ISNUMBER(L34))),"; E_MISSING_INPUT","")&amp;IF(AND(ISNUMBER(L34),L34&lt;0),"; E_OUT_OF_RANGE","")&amp;IF(F34&lt;&gt;"Yes","; E_APPLICABILITY_UNCONFIRMED","")&amp;IF(ISNA(MATCH(G34,nLIST_Q6Use,0)),"; E_MISSING_INPUT",""))</f>
        <v/>
      </c>
      <c r="AH34" s="21" t="str">
        <f>IF(AD34=1,"",IF(A34="",", a Calc_ID","")&amp;IF(H34="",", a time unit","")&amp;IF(I34="",", the replacement half-time","")&amp;IF(AND(I34&lt;&gt;"",NOT(ISNUMBER(I34))),", the replacement half-time as a number","")&amp;IF(L34="",", the time","")&amp;IF(AND(L34&lt;&gt;"",NOT(ISNUMBER(L34))),", the time as a number","")&amp;IF(ISNA(MATCH(G34,nLIST_Q6Use,0)),", the use of Q6 (replacement or recovery, or approach to a new level)",""))</f>
        <v/>
      </c>
      <c r="AI34" s="21" t="str">
        <f t="shared" si="17"/>
        <v/>
      </c>
      <c r="AJ34" s="21" t="str">
        <f t="shared" si="18"/>
        <v/>
      </c>
      <c r="AK34" s="22">
        <f t="shared" si="19"/>
        <v>0</v>
      </c>
    </row>
    <row r="35" spans="1:37" x14ac:dyDescent="0.2">
      <c r="A35" s="10"/>
      <c r="B35" s="10"/>
      <c r="C35" s="12"/>
      <c r="D35" s="10"/>
      <c r="E35" s="10"/>
      <c r="F35" s="17"/>
      <c r="G35" s="17"/>
      <c r="H35" s="17"/>
      <c r="I35" s="17"/>
      <c r="J35" s="17"/>
      <c r="K35" s="10"/>
      <c r="L35" s="17"/>
      <c r="M35" s="17"/>
      <c r="N35" s="10"/>
      <c r="O35" s="21" t="str">
        <f t="shared" si="0"/>
        <v/>
      </c>
      <c r="P35" s="21" t="str">
        <f t="shared" si="1"/>
        <v/>
      </c>
      <c r="Q35" s="21" t="str">
        <f t="shared" si="2"/>
        <v/>
      </c>
      <c r="R35" s="21" t="str">
        <f t="shared" si="3"/>
        <v/>
      </c>
      <c r="S35" s="21" t="str">
        <f t="shared" si="4"/>
        <v/>
      </c>
      <c r="T35" s="21" t="str">
        <f t="shared" si="5"/>
        <v/>
      </c>
      <c r="U35" s="21" t="str">
        <f>IF(AD35=1,"",MID(IF(ISNUMBER(SEARCH("E_INVALID_DATE",AI35))," | E_INVALID_DATE: "&amp;SUBSTITUTE(IFERROR(INDEX(nMSG_Text,MATCH("E_INVALID_DATE",nMSG_Code,0)),""),"[input]",""),"")&amp;IF(ISNUMBER(SEARCH("E_REVERSED_BOUNDS",AI35))," | E_REVERSED_BOUNDS: "&amp;SUBSTITUTE(IFERROR(INDEX(nMSG_Text,MATCH("E_REVERSED_BOUNDS",nMSG_Code,0)),""),"[input]",""),"")&amp;IF(ISNUMBER(SEARCH("E_DUPLICATE_ID",AI35))," | E_DUPLICATE_ID: "&amp;SUBSTITUTE(IFERROR(INDEX(nMSG_Text,MATCH("E_DUPLICATE_ID",nMSG_Code,0)),""),"[input]",""),"")&amp;IF(ISNUMBER(SEARCH("E_MISSING_LINK",AI35))," | E_MISSING_LINK: "&amp;SUBSTITUTE(IFERROR(INDEX(nMSG_Text,MATCH("E_MISSING_LINK",nMSG_Code,0)),""),"[input]",""),"")&amp;IF(ISNUMBER(SEARCH("E_MISSING_INPUT",AI35))," | E_MISSING_INPUT: "&amp;SUBSTITUTE(IFERROR(INDEX(nMSG_Text,MATCH("E_MISSING_INPUT",nMSG_Code,0)),""),"[input]",IF(AJ35="","an input",AJ35)),"")&amp;IF(ISNUMBER(SEARCH("E_INVALID_UNIT",AI35))," | E_INVALID_UNIT: "&amp;SUBSTITUTE(IFERROR(INDEX(nMSG_Text,MATCH("E_INVALID_UNIT",nMSG_Code,0)),""),"[input]",""),"")&amp;IF(ISNUMBER(SEARCH("E_NONPOSITIVE_PARAMETER",AI35))," | E_NONPOSITIVE_PARAMETER: "&amp;SUBSTITUTE(IFERROR(INDEX(nMSG_Text,MATCH("E_NONPOSITIVE_PARAMETER",nMSG_Code,0)),""),"[input]",""),"")&amp;IF(ISNUMBER(SEARCH("E_OUT_OF_RANGE",AI35))," | E_OUT_OF_RANGE: "&amp;SUBSTITUTE(IFERROR(INDEX(nMSG_Text,MATCH("E_OUT_OF_RANGE",nMSG_Code,0)),""),"[input]",""),"")&amp;IF(ISNUMBER(SEARCH("E_APPLICABILITY_UNCONFIRMED",AI35))," | E_APPLICABILITY_UNCONFIRMED: "&amp;SUBSTITUTE(IFERROR(INDEX(nMSG_Text,MATCH("E_APPLICABILITY_UNCONFIRMED",nMSG_Code,0)),""),"[input]",""),"")&amp;IF(ISNUMBER(SEARCH("E_CREATININE_STABILITY_UNCONFIRMED",AI35))," | E_CREATININE_STABILITY_UNCONFIRMED: "&amp;SUBSTITUTE(IFERROR(INDEX(nMSG_Text,MATCH("E_CREATININE_STABILITY_UNCONFIRMED",nMSG_Code,0)),""),"[input]",""),"")&amp;IF(ISNUMBER(SEARCH("E_OVERLAPPING_SEGMENTS",AI35))," | E_OVERLAPPING_SEGMENTS: "&amp;SUBSTITUTE(IFERROR(INDEX(nMSG_Text,MATCH("E_OVERLAPPING_SEGMENTS",nMSG_Code,0)),""),"[input]",""),"")&amp;IF(AK35=1,IF(TRUE," | I_TEACHING_DEMONSTRATION: "&amp;SUBSTITUTE(IFERROR(INDEX(nMSG_Text,MATCH("I_TEACHING_DEMONSTRATION",nMSG_Code,0)),""),"[input]",""),""),""),4,9999))</f>
        <v/>
      </c>
      <c r="V35" s="21" t="str">
        <f t="shared" si="6"/>
        <v/>
      </c>
      <c r="W35" s="21" t="str">
        <f t="shared" si="7"/>
        <v/>
      </c>
      <c r="X35" s="21" t="str">
        <f t="shared" si="8"/>
        <v/>
      </c>
      <c r="Y35" s="21" t="str">
        <f t="shared" si="9"/>
        <v/>
      </c>
      <c r="Z35" s="21" t="str">
        <f t="shared" si="10"/>
        <v/>
      </c>
      <c r="AA35" s="21" t="str">
        <f t="shared" si="11"/>
        <v/>
      </c>
      <c r="AB35" s="21" t="str">
        <f t="shared" si="12"/>
        <v/>
      </c>
      <c r="AC35" s="21" t="str">
        <f t="shared" si="13"/>
        <v/>
      </c>
      <c r="AD35" s="22">
        <f t="shared" si="14"/>
        <v>1</v>
      </c>
      <c r="AE35" s="21" t="str">
        <f t="shared" si="15"/>
        <v/>
      </c>
      <c r="AF35" s="21" t="str">
        <f t="shared" si="16"/>
        <v/>
      </c>
      <c r="AG35" s="21" t="str">
        <f>IF(AD35=1,"",IF(A35="","; E_MISSING_INPUT","")&amp;IF(H35="","; E_MISSING_INPUT","")&amp;IF(AND(H35&lt;&gt;"",ISNA(MATCH(H35,nLIST_TimeUnit,0))),"; E_INVALID_UNIT","")&amp;IF(I35="","; E_MISSING_INPUT","")&amp;IF(AND(I35&lt;&gt;"",NOT(ISNUMBER(I35))),"; E_MISSING_INPUT","")&amp;IF(AND(ISNUMBER(I35),I35&lt;=0),"; E_NONPOSITIVE_PARAMETER","")&amp;IF(L35="","; E_MISSING_INPUT","")&amp;IF(AND(L35&lt;&gt;"",NOT(ISNUMBER(L35))),"; E_MISSING_INPUT","")&amp;IF(AND(ISNUMBER(L35),L35&lt;0),"; E_OUT_OF_RANGE","")&amp;IF(F35&lt;&gt;"Yes","; E_APPLICABILITY_UNCONFIRMED","")&amp;IF(ISNA(MATCH(G35,nLIST_Q6Use,0)),"; E_MISSING_INPUT",""))</f>
        <v/>
      </c>
      <c r="AH35" s="21" t="str">
        <f>IF(AD35=1,"",IF(A35="",", a Calc_ID","")&amp;IF(H35="",", a time unit","")&amp;IF(I35="",", the replacement half-time","")&amp;IF(AND(I35&lt;&gt;"",NOT(ISNUMBER(I35))),", the replacement half-time as a number","")&amp;IF(L35="",", the time","")&amp;IF(AND(L35&lt;&gt;"",NOT(ISNUMBER(L35))),", the time as a number","")&amp;IF(ISNA(MATCH(G35,nLIST_Q6Use,0)),", the use of Q6 (replacement or recovery, or approach to a new level)",""))</f>
        <v/>
      </c>
      <c r="AI35" s="21" t="str">
        <f t="shared" si="17"/>
        <v/>
      </c>
      <c r="AJ35" s="21" t="str">
        <f t="shared" si="18"/>
        <v/>
      </c>
      <c r="AK35" s="22">
        <f t="shared" si="19"/>
        <v>0</v>
      </c>
    </row>
    <row r="36" spans="1:37" x14ac:dyDescent="0.2">
      <c r="A36" s="24" t="s">
        <v>295</v>
      </c>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row>
    <row r="37" spans="1:37" x14ac:dyDescent="0.2">
      <c r="A37" s="9" t="s">
        <v>1538</v>
      </c>
      <c r="B37" s="9" t="s">
        <v>349</v>
      </c>
      <c r="C37" s="11">
        <v>1</v>
      </c>
      <c r="D37" s="9" t="s">
        <v>1539</v>
      </c>
      <c r="E37" s="9"/>
      <c r="F37" s="16" t="s">
        <v>85</v>
      </c>
      <c r="G37" s="16" t="s">
        <v>134</v>
      </c>
      <c r="H37" s="16" t="s">
        <v>68</v>
      </c>
      <c r="I37" s="16">
        <v>3</v>
      </c>
      <c r="J37" s="16" t="s">
        <v>83</v>
      </c>
      <c r="K37" s="9" t="s">
        <v>1540</v>
      </c>
      <c r="L37" s="16">
        <v>6</v>
      </c>
      <c r="M37" s="16" t="s">
        <v>83</v>
      </c>
      <c r="N37" s="9" t="s">
        <v>1540</v>
      </c>
      <c r="O37" s="21" t="str">
        <f t="shared" ref="O37:O38" si="20">IF(AD37=1,"",IF(AI37&lt;&gt;"",AI37&amp;": no result is shown"&amp;IF(ISNUMBER(SEARCH("E_APPLICABILITY_UNCONFIRMED",AI37))," (Q6 is shown only with the teaching-demonstration switch on)",""),IF(S37=0,"0",IF(ABS(S37)&lt;0.0001,FIXED(IF(ABS(ROUND(S37/10^INT(LOG10(ABS(S37))),2))&gt;=10,ROUND(S37/10^INT(LOG10(ABS(S37))),2)/10,ROUND(S37/10^INT(LOG10(ABS(S37))),2)),2,TRUE)&amp;" × 10"&amp;SUBSTITUTE(SUBSTITUTE(SUBSTITUTE(SUBSTITUTE(SUBSTITUTE(SUBSTITUTE(SUBSTITUTE(SUBSTITUTE(SUBSTITUTE(SUBSTITUTE(SUBSTITUTE(TEXT((INT(LOG10(ABS(S37)))+IF(ABS(ROUND(S37/10^INT(LOG10(ABS(S37))),2))&gt;=10,1,0)),"0"),"-","⁻"),"0","⁰"),"1","¹"),"2","²"),"3","³"),"4","⁴"),"5","⁵"),"6","⁶"),"7","⁷"),"8","⁸"),"9","⁹"),FIXED(ROUND(S37,MAX(0,2-INT(LOG10(ABS(S37))))),MAX(0,2-INT(LOG10(ABS(ROUND(S37,MAX(0,2-INT(LOG10(ABS(S37))))))))),FALSE)))&amp;IF(G37="approach to a new level","% of the change to the new level completed after ","% replaced after ")&amp;L37&amp;" "&amp;H37&amp;" (teaching demonstration with hypothetical values)"))</f>
        <v>75.0% replaced after 6 days (teaching demonstration with hypothetical values)</v>
      </c>
      <c r="P37" s="21" t="str">
        <f t="shared" ref="P37:P38" si="21">IF(AD37=1,"",IF(AK37=0,"Not calculable",MID(IF(TRUE,"; "&amp;Q37&amp;": "&amp;IF(100*R37=0,"0",IF(ABS(100*R37)&lt;0.0001,FIXED(IF(ABS(ROUND(100*R37/10^INT(LOG10(ABS(100*R37))),2))&gt;=10,ROUND(100*R37/10^INT(LOG10(ABS(100*R37))),2)/10,ROUND(100*R37/10^INT(LOG10(ABS(100*R37))),2)),2,TRUE)&amp;" × 10"&amp;SUBSTITUTE(SUBSTITUTE(SUBSTITUTE(SUBSTITUTE(SUBSTITUTE(SUBSTITUTE(SUBSTITUTE(SUBSTITUTE(SUBSTITUTE(SUBSTITUTE(SUBSTITUTE(TEXT((INT(LOG10(ABS(100*R37)))+IF(ABS(ROUND(100*R37/10^INT(LOG10(ABS(100*R37))),2))&gt;=10,1,0)),"0"),"-","⁻"),"0","⁰"),"1","¹"),"2","²"),"3","³"),"4","⁴"),"5","⁵"),"6","⁶"),"7","⁷"),"8","⁸"),"9","⁹"),FIXED(ROUND(100*R37,MAX(0,2-INT(LOG10(ABS(100*R37))))),MAX(0,2-INT(LOG10(ABS(ROUND(100*R37,MAX(0,2-INT(LOG10(ABS(100*R37))))))))),FALSE)))&amp;"%",""),3,9999)))</f>
        <v>Fraction replaced: 75.0%</v>
      </c>
      <c r="Q37" s="21" t="str">
        <f t="shared" ref="Q37:Q38" si="22">IF(AK37=0,"",IF(G37="approach to a new level","Fraction of the change to the new level completed","Fraction replaced"))</f>
        <v>Fraction replaced</v>
      </c>
      <c r="R37" s="21">
        <f t="shared" ref="R37:R38" si="23">IF(AK37=1,1-2^(-L37/I37),"")</f>
        <v>0.75</v>
      </c>
      <c r="S37" s="21">
        <f t="shared" ref="S37:S38" si="24">IF(AK37=1,100*R37,"")</f>
        <v>75</v>
      </c>
      <c r="T37" s="21" t="str">
        <f t="shared" ref="T37:T38" si="25">IF(AD37=1,"",IF(AI37&lt;&gt;"",AI37,MID(IF(TRUE,"; I_TEACHING_DEMONSTRATION",""),3,999)))</f>
        <v>I_TEACHING_DEMONSTRATION</v>
      </c>
      <c r="U37" s="21" t="str">
        <f>IF(AD37=1,"",MID(IF(ISNUMBER(SEARCH("E_INVALID_DATE",AI37))," | E_INVALID_DATE: "&amp;SUBSTITUTE(IFERROR(INDEX(nMSG_Text,MATCH("E_INVALID_DATE",nMSG_Code,0)),""),"[input]",""),"")&amp;IF(ISNUMBER(SEARCH("E_REVERSED_BOUNDS",AI37))," | E_REVERSED_BOUNDS: "&amp;SUBSTITUTE(IFERROR(INDEX(nMSG_Text,MATCH("E_REVERSED_BOUNDS",nMSG_Code,0)),""),"[input]",""),"")&amp;IF(ISNUMBER(SEARCH("E_DUPLICATE_ID",AI37))," | E_DUPLICATE_ID: "&amp;SUBSTITUTE(IFERROR(INDEX(nMSG_Text,MATCH("E_DUPLICATE_ID",nMSG_Code,0)),""),"[input]",""),"")&amp;IF(ISNUMBER(SEARCH("E_MISSING_LINK",AI37))," | E_MISSING_LINK: "&amp;SUBSTITUTE(IFERROR(INDEX(nMSG_Text,MATCH("E_MISSING_LINK",nMSG_Code,0)),""),"[input]",""),"")&amp;IF(ISNUMBER(SEARCH("E_MISSING_INPUT",AI37))," | E_MISSING_INPUT: "&amp;SUBSTITUTE(IFERROR(INDEX(nMSG_Text,MATCH("E_MISSING_INPUT",nMSG_Code,0)),""),"[input]",IF(AJ37="","an input",AJ37)),"")&amp;IF(ISNUMBER(SEARCH("E_INVALID_UNIT",AI37))," | E_INVALID_UNIT: "&amp;SUBSTITUTE(IFERROR(INDEX(nMSG_Text,MATCH("E_INVALID_UNIT",nMSG_Code,0)),""),"[input]",""),"")&amp;IF(ISNUMBER(SEARCH("E_NONPOSITIVE_PARAMETER",AI37))," | E_NONPOSITIVE_PARAMETER: "&amp;SUBSTITUTE(IFERROR(INDEX(nMSG_Text,MATCH("E_NONPOSITIVE_PARAMETER",nMSG_Code,0)),""),"[input]",""),"")&amp;IF(ISNUMBER(SEARCH("E_OUT_OF_RANGE",AI37))," | E_OUT_OF_RANGE: "&amp;SUBSTITUTE(IFERROR(INDEX(nMSG_Text,MATCH("E_OUT_OF_RANGE",nMSG_Code,0)),""),"[input]",""),"")&amp;IF(ISNUMBER(SEARCH("E_APPLICABILITY_UNCONFIRMED",AI37))," | E_APPLICABILITY_UNCONFIRMED: "&amp;SUBSTITUTE(IFERROR(INDEX(nMSG_Text,MATCH("E_APPLICABILITY_UNCONFIRMED",nMSG_Code,0)),""),"[input]",""),"")&amp;IF(ISNUMBER(SEARCH("E_CREATININE_STABILITY_UNCONFIRMED",AI37))," | E_CREATININE_STABILITY_UNCONFIRMED: "&amp;SUBSTITUTE(IFERROR(INDEX(nMSG_Text,MATCH("E_CREATININE_STABILITY_UNCONFIRMED",nMSG_Code,0)),""),"[input]",""),"")&amp;IF(ISNUMBER(SEARCH("E_OVERLAPPING_SEGMENTS",AI37))," | E_OVERLAPPING_SEGMENTS: "&amp;SUBSTITUTE(IFERROR(INDEX(nMSG_Text,MATCH("E_OVERLAPPING_SEGMENTS",nMSG_Code,0)),""),"[input]",""),"")&amp;IF(AK37=1,IF(TRUE," | I_TEACHING_DEMONSTRATION: "&amp;SUBSTITUTE(IFERROR(INDEX(nMSG_Text,MATCH("I_TEACHING_DEMONSTRATION",nMSG_Code,0)),""),"[input]",""),""),""),4,9999))</f>
        <v>I_TEACHING_DEMONSTRATION: Teaching demonstration with hypothetical values.</v>
      </c>
      <c r="V37" s="21" t="str">
        <f t="shared" ref="V37:V38" si="26">IF(AD37=1,"","Replacement_Half_Time = "&amp;I37&amp;" "&amp;H37&amp;" ["&amp;IF(J37="","status not recorded",J37)&amp;IF(K37&lt;&gt;"","; "&amp;K37,"")&amp;"]"&amp;"; "&amp;"t = "&amp;L37&amp;" "&amp;H37&amp;" ["&amp;IF(M37="","status not recorded",M37)&amp;IF(N37&lt;&gt;"","; "&amp;N37,"")&amp;"]"&amp;"; use: "&amp;IF(G37="","not recorded",G37))</f>
        <v>Replacement_Half_Time = 3 days [hypothetical example; V34 V21]; t = 6 days [hypothetical example; V34 V21]; use: replacement or recovery</v>
      </c>
      <c r="W37" s="21" t="str">
        <f t="shared" ref="W37:W38" si="27">IF(AD37=1,"",MID(""&amp;IF(F37="Yes"," | Teaching-demonstration switch on."," | Teaching-demonstration switch off.")&amp;IF(TRIM(E37&amp;"")&lt;&gt;""," | "&amp;E37,""),4,9999))</f>
        <v>Teaching-demonstration switch on.</v>
      </c>
      <c r="X37" s="21" t="str">
        <f t="shared" ref="X37:X38" si="28">IF(AK37=0,"",MID(IF(TRUE,"; "&amp;Q37&amp;" = "&amp;R37&amp;" ("&amp;IF(100*R37=0,"0",IF(ABS(100*R37)&lt;0.0001,FIXED(IF(ABS(ROUND(100*R37/10^INT(LOG10(ABS(100*R37))),2))&gt;=10,ROUND(100*R37/10^INT(LOG10(ABS(100*R37))),2)/10,ROUND(100*R37/10^INT(LOG10(ABS(100*R37))),2)),2,TRUE)&amp;" × 10"&amp;SUBSTITUTE(SUBSTITUTE(SUBSTITUTE(SUBSTITUTE(SUBSTITUTE(SUBSTITUTE(SUBSTITUTE(SUBSTITUTE(SUBSTITUTE(SUBSTITUTE(SUBSTITUTE(TEXT((INT(LOG10(ABS(100*R37)))+IF(ABS(ROUND(100*R37/10^INT(LOG10(ABS(100*R37))),2))&gt;=10,1,0)),"0"),"-","⁻"),"0","⁰"),"1","¹"),"2","²"),"3","³"),"4","⁴"),"5","⁵"),"6","⁶"),"7","⁷"),"8","⁸"),"9","⁹"),FIXED(ROUND(100*R37,MAX(0,2-INT(LOG10(ABS(100*R37))))),MAX(0,2-INT(LOG10(ABS(ROUND(100*R37,MAX(0,2-INT(LOG10(ABS(100*R37))))))))),FALSE)))&amp;"%"&amp;")",""),3,9999))</f>
        <v>Fraction replaced = 0.75 (75.0%)</v>
      </c>
      <c r="Y37" s="21" t="str">
        <f t="shared" ref="Y37:Y38" si="29">IF(AK37=0,"","fraction (shown as percent)")</f>
        <v>fraction (shown as percent)</v>
      </c>
      <c r="Z37" s="21" t="str">
        <f t="shared" ref="Z37:Z38" si="30">IF(AD37=1,"",IF(TRIM(D37&amp;"")&lt;&gt;"",D37,"Q6 Biological replacement, recovery or approach to a new level (teaching demonstration)"))</f>
        <v>Vector V21</v>
      </c>
      <c r="AA37" s="21" t="str">
        <f t="shared" ref="AA37:AA38" si="31">IF(AD37=1,"","Hypothetical turnover illustration. It is not a measured recovery curve for platelets or any other clinical target.")</f>
        <v>Hypothetical turnover illustration. It is not a measured recovery curve for platelets or any other clinical target.</v>
      </c>
      <c r="AB37" s="21" t="str">
        <f t="shared" ref="AB37:AB38" si="32">IF(AD37=1,"","fraction = 1 - 2^(-t / half-time): the fraction replaced, or the fraction of the change to a new level completed")</f>
        <v>fraction = 1 - 2^(-t / half-time): the fraction replaced, or the fraction of the change to a new level completed</v>
      </c>
      <c r="AC37" s="21" t="str">
        <f t="shared" ref="AC37:AC38" si="33">IF(AD37=1,"","CALC-SPEC 1.1")</f>
        <v>CALC-SPEC 1.1</v>
      </c>
      <c r="AD37" s="22">
        <f t="shared" ref="AD37:AD38" si="34">IF(AND(A37="",I37="",L37=""),1,0)</f>
        <v>0</v>
      </c>
      <c r="AE37" s="21" t="str">
        <f t="shared" ref="AE37:AE38" si="35">IF(AD37=1,"",B37&amp;"|"&amp;C37)</f>
        <v>VEC-V21|1</v>
      </c>
      <c r="AF37" s="21" t="str">
        <f t="shared" ref="AF37:AF38" si="36">IF(A37="","",B37&amp;"|"&amp;C37&amp;"|"&amp;A37)</f>
        <v>VEC-V21|1|Q6-V21</v>
      </c>
      <c r="AG37" s="21" t="str">
        <f>IF(AD37=1,"",IF(A37="","; E_MISSING_INPUT","")&amp;IF(H37="","; E_MISSING_INPUT","")&amp;IF(AND(H37&lt;&gt;"",ISNA(MATCH(H37,nLIST_TimeUnit,0))),"; E_INVALID_UNIT","")&amp;IF(I37="","; E_MISSING_INPUT","")&amp;IF(AND(I37&lt;&gt;"",NOT(ISNUMBER(I37))),"; E_MISSING_INPUT","")&amp;IF(AND(ISNUMBER(I37),I37&lt;=0),"; E_NONPOSITIVE_PARAMETER","")&amp;IF(L37="","; E_MISSING_INPUT","")&amp;IF(AND(L37&lt;&gt;"",NOT(ISNUMBER(L37))),"; E_MISSING_INPUT","")&amp;IF(AND(ISNUMBER(L37),L37&lt;0),"; E_OUT_OF_RANGE","")&amp;IF(F37&lt;&gt;"Yes","; E_APPLICABILITY_UNCONFIRMED","")&amp;IF(ISNA(MATCH(G37,nLIST_Q6Use,0)),"; E_MISSING_INPUT",""))</f>
        <v/>
      </c>
      <c r="AH37" s="21" t="str">
        <f>IF(AD37=1,"",IF(A37="",", a Calc_ID","")&amp;IF(H37="",", a time unit","")&amp;IF(I37="",", the replacement half-time","")&amp;IF(AND(I37&lt;&gt;"",NOT(ISNUMBER(I37))),", the replacement half-time as a number","")&amp;IF(L37="",", the time","")&amp;IF(AND(L37&lt;&gt;"",NOT(ISNUMBER(L37))),", the time as a number","")&amp;IF(ISNA(MATCH(G37,nLIST_Q6Use,0)),", the use of Q6 (replacement or recovery, or approach to a new level)",""))</f>
        <v/>
      </c>
      <c r="AI37" s="21" t="str">
        <f t="shared" ref="AI37:AI38" si="37">IF(AD37=1,"",MID(IF(ISNUMBER(SEARCH("E_INVALID_DATE",AG37)),"; E_INVALID_DATE","")&amp;IF(ISNUMBER(SEARCH("E_REVERSED_BOUNDS",AG37)),"; E_REVERSED_BOUNDS","")&amp;IF(ISNUMBER(SEARCH("E_DUPLICATE_ID",AG37)),"; E_DUPLICATE_ID","")&amp;IF(ISNUMBER(SEARCH("E_MISSING_LINK",AG37)),"; E_MISSING_LINK","")&amp;IF(ISNUMBER(SEARCH("E_MISSING_INPUT",AG37)),"; E_MISSING_INPUT","")&amp;IF(ISNUMBER(SEARCH("E_INVALID_UNIT",AG37)),"; E_INVALID_UNIT","")&amp;IF(ISNUMBER(SEARCH("E_NONPOSITIVE_PARAMETER",AG37)),"; E_NONPOSITIVE_PARAMETER","")&amp;IF(ISNUMBER(SEARCH("E_OUT_OF_RANGE",AG37)),"; E_OUT_OF_RANGE","")&amp;IF(ISNUMBER(SEARCH("E_APPLICABILITY_UNCONFIRMED",AG37)),"; E_APPLICABILITY_UNCONFIRMED","")&amp;IF(ISNUMBER(SEARCH("E_CREATININE_STABILITY_UNCONFIRMED",AG37)),"; E_CREATININE_STABILITY_UNCONFIRMED","")&amp;IF(ISNUMBER(SEARCH("E_OVERLAPPING_SEGMENTS",AG37)),"; E_OVERLAPPING_SEGMENTS",""),3,999))</f>
        <v/>
      </c>
      <c r="AJ37" s="21" t="str">
        <f t="shared" ref="AJ37:AJ38" si="38">MID(AH37,3,999)</f>
        <v/>
      </c>
      <c r="AK37" s="22">
        <f t="shared" ref="AK37:AK38" si="39">IF(AND(AD37=0,AI37=""),1,0)</f>
        <v>1</v>
      </c>
    </row>
    <row r="38" spans="1:37" x14ac:dyDescent="0.2">
      <c r="A38" s="9" t="s">
        <v>1541</v>
      </c>
      <c r="B38" s="9" t="s">
        <v>371</v>
      </c>
      <c r="C38" s="11">
        <v>1</v>
      </c>
      <c r="D38" s="9" t="s">
        <v>1542</v>
      </c>
      <c r="E38" s="9"/>
      <c r="F38" s="16" t="s">
        <v>85</v>
      </c>
      <c r="G38" s="16" t="s">
        <v>135</v>
      </c>
      <c r="H38" s="16" t="s">
        <v>67</v>
      </c>
      <c r="I38" s="16">
        <v>8</v>
      </c>
      <c r="J38" s="16" t="s">
        <v>83</v>
      </c>
      <c r="K38" s="9" t="s">
        <v>1543</v>
      </c>
      <c r="L38" s="16">
        <v>24</v>
      </c>
      <c r="M38" s="16" t="s">
        <v>83</v>
      </c>
      <c r="N38" s="9" t="s">
        <v>1543</v>
      </c>
      <c r="O38" s="21" t="str">
        <f t="shared" si="20"/>
        <v>87.5% of the change to the new level completed after 24 hours (teaching demonstration with hypothetical values)</v>
      </c>
      <c r="P38" s="21" t="str">
        <f t="shared" si="21"/>
        <v>Fraction of the change to the new level completed: 87.5%</v>
      </c>
      <c r="Q38" s="21" t="str">
        <f t="shared" si="22"/>
        <v>Fraction of the change to the new level completed</v>
      </c>
      <c r="R38" s="21">
        <f t="shared" si="23"/>
        <v>0.875</v>
      </c>
      <c r="S38" s="21">
        <f t="shared" si="24"/>
        <v>87.5</v>
      </c>
      <c r="T38" s="21" t="str">
        <f t="shared" si="25"/>
        <v>I_TEACHING_DEMONSTRATION</v>
      </c>
      <c r="U38" s="21" t="str">
        <f>IF(AD38=1,"",MID(IF(ISNUMBER(SEARCH("E_INVALID_DATE",AI38))," | E_INVALID_DATE: "&amp;SUBSTITUTE(IFERROR(INDEX(nMSG_Text,MATCH("E_INVALID_DATE",nMSG_Code,0)),""),"[input]",""),"")&amp;IF(ISNUMBER(SEARCH("E_REVERSED_BOUNDS",AI38))," | E_REVERSED_BOUNDS: "&amp;SUBSTITUTE(IFERROR(INDEX(nMSG_Text,MATCH("E_REVERSED_BOUNDS",nMSG_Code,0)),""),"[input]",""),"")&amp;IF(ISNUMBER(SEARCH("E_DUPLICATE_ID",AI38))," | E_DUPLICATE_ID: "&amp;SUBSTITUTE(IFERROR(INDEX(nMSG_Text,MATCH("E_DUPLICATE_ID",nMSG_Code,0)),""),"[input]",""),"")&amp;IF(ISNUMBER(SEARCH("E_MISSING_LINK",AI38))," | E_MISSING_LINK: "&amp;SUBSTITUTE(IFERROR(INDEX(nMSG_Text,MATCH("E_MISSING_LINK",nMSG_Code,0)),""),"[input]",""),"")&amp;IF(ISNUMBER(SEARCH("E_MISSING_INPUT",AI38))," | E_MISSING_INPUT: "&amp;SUBSTITUTE(IFERROR(INDEX(nMSG_Text,MATCH("E_MISSING_INPUT",nMSG_Code,0)),""),"[input]",IF(AJ38="","an input",AJ38)),"")&amp;IF(ISNUMBER(SEARCH("E_INVALID_UNIT",AI38))," | E_INVALID_UNIT: "&amp;SUBSTITUTE(IFERROR(INDEX(nMSG_Text,MATCH("E_INVALID_UNIT",nMSG_Code,0)),""),"[input]",""),"")&amp;IF(ISNUMBER(SEARCH("E_NONPOSITIVE_PARAMETER",AI38))," | E_NONPOSITIVE_PARAMETER: "&amp;SUBSTITUTE(IFERROR(INDEX(nMSG_Text,MATCH("E_NONPOSITIVE_PARAMETER",nMSG_Code,0)),""),"[input]",""),"")&amp;IF(ISNUMBER(SEARCH("E_OUT_OF_RANGE",AI38))," | E_OUT_OF_RANGE: "&amp;SUBSTITUTE(IFERROR(INDEX(nMSG_Text,MATCH("E_OUT_OF_RANGE",nMSG_Code,0)),""),"[input]",""),"")&amp;IF(ISNUMBER(SEARCH("E_APPLICABILITY_UNCONFIRMED",AI38))," | E_APPLICABILITY_UNCONFIRMED: "&amp;SUBSTITUTE(IFERROR(INDEX(nMSG_Text,MATCH("E_APPLICABILITY_UNCONFIRMED",nMSG_Code,0)),""),"[input]",""),"")&amp;IF(ISNUMBER(SEARCH("E_CREATININE_STABILITY_UNCONFIRMED",AI38))," | E_CREATININE_STABILITY_UNCONFIRMED: "&amp;SUBSTITUTE(IFERROR(INDEX(nMSG_Text,MATCH("E_CREATININE_STABILITY_UNCONFIRMED",nMSG_Code,0)),""),"[input]",""),"")&amp;IF(ISNUMBER(SEARCH("E_OVERLAPPING_SEGMENTS",AI38))," | E_OVERLAPPING_SEGMENTS: "&amp;SUBSTITUTE(IFERROR(INDEX(nMSG_Text,MATCH("E_OVERLAPPING_SEGMENTS",nMSG_Code,0)),""),"[input]",""),"")&amp;IF(AK38=1,IF(TRUE," | I_TEACHING_DEMONSTRATION: "&amp;SUBSTITUTE(IFERROR(INDEX(nMSG_Text,MATCH("I_TEACHING_DEMONSTRATION",nMSG_Code,0)),""),"[input]",""),""),""),4,9999))</f>
        <v>I_TEACHING_DEMONSTRATION: Teaching demonstration with hypothetical values.</v>
      </c>
      <c r="V38" s="21" t="str">
        <f t="shared" si="26"/>
        <v>Replacement_Half_Time = 8 hours [hypothetical example; V34 V32]; t = 24 hours [hypothetical example; V34 V32]; use: approach to a new level</v>
      </c>
      <c r="W38" s="21" t="str">
        <f t="shared" si="27"/>
        <v>Teaching-demonstration switch on.</v>
      </c>
      <c r="X38" s="21" t="str">
        <f t="shared" si="28"/>
        <v>Fraction of the change to the new level completed = 0.875 (87.5%)</v>
      </c>
      <c r="Y38" s="21" t="str">
        <f t="shared" si="29"/>
        <v>fraction (shown as percent)</v>
      </c>
      <c r="Z38" s="21" t="str">
        <f t="shared" si="30"/>
        <v>Vector V32: approach to a new level (protein C, hypothetical half-time 8 hours, at 24 hours)</v>
      </c>
      <c r="AA38" s="21" t="str">
        <f t="shared" si="31"/>
        <v>Hypothetical turnover illustration. It is not a measured recovery curve for platelets or any other clinical target.</v>
      </c>
      <c r="AB38" s="21" t="str">
        <f t="shared" si="32"/>
        <v>fraction = 1 - 2^(-t / half-time): the fraction replaced, or the fraction of the change to a new level completed</v>
      </c>
      <c r="AC38" s="21" t="str">
        <f t="shared" si="33"/>
        <v>CALC-SPEC 1.1</v>
      </c>
      <c r="AD38" s="22">
        <f t="shared" si="34"/>
        <v>0</v>
      </c>
      <c r="AE38" s="21" t="str">
        <f t="shared" si="35"/>
        <v>VEC-V32|1</v>
      </c>
      <c r="AF38" s="21" t="str">
        <f t="shared" si="36"/>
        <v>VEC-V32|1|Q6-V32</v>
      </c>
      <c r="AG38" s="21" t="str">
        <f>IF(AD38=1,"",IF(A38="","; E_MISSING_INPUT","")&amp;IF(H38="","; E_MISSING_INPUT","")&amp;IF(AND(H38&lt;&gt;"",ISNA(MATCH(H38,nLIST_TimeUnit,0))),"; E_INVALID_UNIT","")&amp;IF(I38="","; E_MISSING_INPUT","")&amp;IF(AND(I38&lt;&gt;"",NOT(ISNUMBER(I38))),"; E_MISSING_INPUT","")&amp;IF(AND(ISNUMBER(I38),I38&lt;=0),"; E_NONPOSITIVE_PARAMETER","")&amp;IF(L38="","; E_MISSING_INPUT","")&amp;IF(AND(L38&lt;&gt;"",NOT(ISNUMBER(L38))),"; E_MISSING_INPUT","")&amp;IF(AND(ISNUMBER(L38),L38&lt;0),"; E_OUT_OF_RANGE","")&amp;IF(F38&lt;&gt;"Yes","; E_APPLICABILITY_UNCONFIRMED","")&amp;IF(ISNA(MATCH(G38,nLIST_Q6Use,0)),"; E_MISSING_INPUT",""))</f>
        <v/>
      </c>
      <c r="AH38" s="21" t="str">
        <f>IF(AD38=1,"",IF(A38="",", a Calc_ID","")&amp;IF(H38="",", a time unit","")&amp;IF(I38="",", the replacement half-time","")&amp;IF(AND(I38&lt;&gt;"",NOT(ISNUMBER(I38))),", the replacement half-time as a number","")&amp;IF(L38="",", the time","")&amp;IF(AND(L38&lt;&gt;"",NOT(ISNUMBER(L38))),", the time as a number","")&amp;IF(ISNA(MATCH(G38,nLIST_Q6Use,0)),", the use of Q6 (replacement or recovery, or approach to a new level)",""))</f>
        <v/>
      </c>
      <c r="AI38" s="21" t="str">
        <f t="shared" si="37"/>
        <v/>
      </c>
      <c r="AJ38" s="21" t="str">
        <f t="shared" si="38"/>
        <v/>
      </c>
      <c r="AK38" s="22">
        <f t="shared" si="39"/>
        <v>1</v>
      </c>
    </row>
  </sheetData>
  <sheetProtection sheet="1" objects="1" scenarios="1" formatColumns="0" formatRows="0" autoFilter="0"/>
  <dataValidations count="7">
    <dataValidation type="whole" operator="greaterThanOrEqual" allowBlank="1" showInputMessage="1" showErrorMessage="1" sqref="B5:B19 C28:C35" xr:uid="{C35D7CB8-E8B9-4ABE-9722-3E25F87EC290}">
      <formula1>1</formula1>
    </dataValidation>
    <dataValidation type="list" allowBlank="1" showInputMessage="1" showErrorMessage="1" sqref="E5:E19" xr:uid="{24602241-BA1E-493F-AE44-621A6F5912E6}">
      <formula1>nLIST_MechStatus</formula1>
    </dataValidation>
    <dataValidation type="list" allowBlank="1" showInputMessage="1" showErrorMessage="1" sqref="F28:F35" xr:uid="{D5C4BDBC-ABB2-4A8C-9D93-5E4F0EFE1B04}">
      <formula1>nLIST_YesNo</formula1>
    </dataValidation>
    <dataValidation type="list" allowBlank="1" showInputMessage="1" showErrorMessage="1" sqref="G28:G35" xr:uid="{9D7C0881-77E5-477E-9525-51F41D8ABA36}">
      <formula1>nLIST_Q6Use</formula1>
    </dataValidation>
    <dataValidation type="list" allowBlank="1" showInputMessage="1" showErrorMessage="1" sqref="H28:H35" xr:uid="{1900425C-B669-4CA3-9B1C-A5A3A643462B}">
      <formula1>nLIST_TimeUnit</formula1>
    </dataValidation>
    <dataValidation type="decimal" allowBlank="1" showInputMessage="1" showErrorMessage="1" sqref="I28:I35 L28:L35" xr:uid="{9EE1A291-DEC4-4228-B63A-7732EBB6BE9D}">
      <formula1>-1000000000000</formula1>
      <formula2>1000000000000</formula2>
    </dataValidation>
    <dataValidation type="list" allowBlank="1" showInputMessage="1" showErrorMessage="1" sqref="J28:J35 M28:M35" xr:uid="{64E1375D-9E9A-4B4D-BFAB-D6B1ED5012CF}">
      <formula1>nLIST_Status</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80495-D4E1-4E67-A155-534E9ADEFE80}">
  <dimension ref="A1:J22"/>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3" width="7.7109375" style="1" customWidth="1"/>
    <col min="4" max="4" width="26.7109375" style="1" customWidth="1"/>
    <col min="5" max="5" width="28.7109375" style="1" customWidth="1"/>
    <col min="6" max="6" width="26.7109375" style="1" customWidth="1"/>
    <col min="7" max="8" width="28.7109375" style="1" customWidth="1"/>
    <col min="9" max="9" width="12.7109375" style="1" customWidth="1"/>
    <col min="10" max="10" width="34.7109375" style="1" customWidth="1"/>
    <col min="11" max="16384" width="9.140625" style="1"/>
  </cols>
  <sheetData>
    <row r="1" spans="1:10" ht="17.25" x14ac:dyDescent="0.3">
      <c r="A1" s="6" t="s">
        <v>1651</v>
      </c>
    </row>
    <row r="2" spans="1:10" x14ac:dyDescent="0.2">
      <c r="A2" s="7" t="s">
        <v>1652</v>
      </c>
    </row>
    <row r="4" spans="1:10" ht="66" customHeight="1" x14ac:dyDescent="0.2">
      <c r="A4" s="8" t="s">
        <v>280</v>
      </c>
      <c r="B4" s="8" t="s">
        <v>281</v>
      </c>
      <c r="C4" s="8" t="s">
        <v>886</v>
      </c>
      <c r="D4" s="8" t="s">
        <v>1653</v>
      </c>
      <c r="E4" s="8" t="s">
        <v>1654</v>
      </c>
      <c r="F4" s="8" t="s">
        <v>1655</v>
      </c>
      <c r="G4" s="8" t="s">
        <v>1656</v>
      </c>
      <c r="H4" s="8" t="s">
        <v>1657</v>
      </c>
      <c r="I4" s="8" t="s">
        <v>1658</v>
      </c>
      <c r="J4" s="8" t="s">
        <v>1659</v>
      </c>
    </row>
    <row r="5" spans="1:10" x14ac:dyDescent="0.2">
      <c r="A5" s="10"/>
      <c r="B5" s="17"/>
      <c r="C5" s="10"/>
      <c r="D5" s="10"/>
      <c r="E5" s="10"/>
      <c r="F5" s="10"/>
      <c r="G5" s="10"/>
      <c r="H5" s="10"/>
      <c r="I5" s="10"/>
      <c r="J5" s="10"/>
    </row>
    <row r="6" spans="1:10" x14ac:dyDescent="0.2">
      <c r="A6" s="10"/>
      <c r="B6" s="17"/>
      <c r="C6" s="10"/>
      <c r="D6" s="10"/>
      <c r="E6" s="10"/>
      <c r="F6" s="10"/>
      <c r="G6" s="10"/>
      <c r="H6" s="10"/>
      <c r="I6" s="10"/>
      <c r="J6" s="10"/>
    </row>
    <row r="7" spans="1:10" x14ac:dyDescent="0.2">
      <c r="A7" s="10"/>
      <c r="B7" s="17"/>
      <c r="C7" s="10"/>
      <c r="D7" s="10"/>
      <c r="E7" s="10"/>
      <c r="F7" s="10"/>
      <c r="G7" s="10"/>
      <c r="H7" s="10"/>
      <c r="I7" s="10"/>
      <c r="J7" s="10"/>
    </row>
    <row r="8" spans="1:10" x14ac:dyDescent="0.2">
      <c r="A8" s="10"/>
      <c r="B8" s="17"/>
      <c r="C8" s="10"/>
      <c r="D8" s="10"/>
      <c r="E8" s="10"/>
      <c r="F8" s="10"/>
      <c r="G8" s="10"/>
      <c r="H8" s="10"/>
      <c r="I8" s="10"/>
      <c r="J8" s="10"/>
    </row>
    <row r="9" spans="1:10" x14ac:dyDescent="0.2">
      <c r="A9" s="10"/>
      <c r="B9" s="17"/>
      <c r="C9" s="10"/>
      <c r="D9" s="10"/>
      <c r="E9" s="10"/>
      <c r="F9" s="10"/>
      <c r="G9" s="10"/>
      <c r="H9" s="10"/>
      <c r="I9" s="10"/>
      <c r="J9" s="10"/>
    </row>
    <row r="10" spans="1:10" x14ac:dyDescent="0.2">
      <c r="A10" s="10"/>
      <c r="B10" s="17"/>
      <c r="C10" s="10"/>
      <c r="D10" s="10"/>
      <c r="E10" s="10"/>
      <c r="F10" s="10"/>
      <c r="G10" s="10"/>
      <c r="H10" s="10"/>
      <c r="I10" s="10"/>
      <c r="J10" s="10"/>
    </row>
    <row r="11" spans="1:10" x14ac:dyDescent="0.2">
      <c r="A11" s="10"/>
      <c r="B11" s="17"/>
      <c r="C11" s="10"/>
      <c r="D11" s="10"/>
      <c r="E11" s="10"/>
      <c r="F11" s="10"/>
      <c r="G11" s="10"/>
      <c r="H11" s="10"/>
      <c r="I11" s="10"/>
      <c r="J11" s="10"/>
    </row>
    <row r="12" spans="1:10" x14ac:dyDescent="0.2">
      <c r="A12" s="10"/>
      <c r="B12" s="17"/>
      <c r="C12" s="10"/>
      <c r="D12" s="10"/>
      <c r="E12" s="10"/>
      <c r="F12" s="10"/>
      <c r="G12" s="10"/>
      <c r="H12" s="10"/>
      <c r="I12" s="10"/>
      <c r="J12" s="10"/>
    </row>
    <row r="13" spans="1:10" x14ac:dyDescent="0.2">
      <c r="A13" s="10"/>
      <c r="B13" s="17"/>
      <c r="C13" s="10"/>
      <c r="D13" s="10"/>
      <c r="E13" s="10"/>
      <c r="F13" s="10"/>
      <c r="G13" s="10"/>
      <c r="H13" s="10"/>
      <c r="I13" s="10"/>
      <c r="J13" s="10"/>
    </row>
    <row r="14" spans="1:10" x14ac:dyDescent="0.2">
      <c r="A14" s="10"/>
      <c r="B14" s="17"/>
      <c r="C14" s="10"/>
      <c r="D14" s="10"/>
      <c r="E14" s="10"/>
      <c r="F14" s="10"/>
      <c r="G14" s="10"/>
      <c r="H14" s="10"/>
      <c r="I14" s="10"/>
      <c r="J14" s="10"/>
    </row>
    <row r="15" spans="1:10" x14ac:dyDescent="0.2">
      <c r="A15" s="10"/>
      <c r="B15" s="17"/>
      <c r="C15" s="10"/>
      <c r="D15" s="10"/>
      <c r="E15" s="10"/>
      <c r="F15" s="10"/>
      <c r="G15" s="10"/>
      <c r="H15" s="10"/>
      <c r="I15" s="10"/>
      <c r="J15" s="10"/>
    </row>
    <row r="16" spans="1:10" x14ac:dyDescent="0.2">
      <c r="A16" s="10"/>
      <c r="B16" s="17"/>
      <c r="C16" s="10"/>
      <c r="D16" s="10"/>
      <c r="E16" s="10"/>
      <c r="F16" s="10"/>
      <c r="G16" s="10"/>
      <c r="H16" s="10"/>
      <c r="I16" s="10"/>
      <c r="J16" s="10"/>
    </row>
    <row r="17" spans="1:10" x14ac:dyDescent="0.2">
      <c r="A17" s="10"/>
      <c r="B17" s="17"/>
      <c r="C17" s="10"/>
      <c r="D17" s="10"/>
      <c r="E17" s="10"/>
      <c r="F17" s="10"/>
      <c r="G17" s="10"/>
      <c r="H17" s="10"/>
      <c r="I17" s="10"/>
      <c r="J17" s="10"/>
    </row>
    <row r="18" spans="1:10" x14ac:dyDescent="0.2">
      <c r="A18" s="10"/>
      <c r="B18" s="17"/>
      <c r="C18" s="10"/>
      <c r="D18" s="10"/>
      <c r="E18" s="10"/>
      <c r="F18" s="10"/>
      <c r="G18" s="10"/>
      <c r="H18" s="10"/>
      <c r="I18" s="10"/>
      <c r="J18" s="10"/>
    </row>
    <row r="19" spans="1:10" x14ac:dyDescent="0.2">
      <c r="A19" s="10"/>
      <c r="B19" s="17"/>
      <c r="C19" s="10"/>
      <c r="D19" s="10"/>
      <c r="E19" s="10"/>
      <c r="F19" s="10"/>
      <c r="G19" s="10"/>
      <c r="H19" s="10"/>
      <c r="I19" s="10"/>
      <c r="J19" s="10"/>
    </row>
    <row r="20" spans="1:10" x14ac:dyDescent="0.2">
      <c r="A20" s="24" t="s">
        <v>294</v>
      </c>
      <c r="B20" s="23"/>
      <c r="C20" s="23"/>
      <c r="D20" s="23"/>
      <c r="E20" s="23"/>
      <c r="F20" s="23"/>
      <c r="G20" s="23"/>
      <c r="H20" s="23"/>
      <c r="I20" s="23"/>
      <c r="J20" s="23"/>
    </row>
    <row r="21" spans="1:10" x14ac:dyDescent="0.2">
      <c r="A21" s="9" t="s">
        <v>301</v>
      </c>
      <c r="B21" s="16">
        <v>2</v>
      </c>
      <c r="C21" s="9" t="s">
        <v>894</v>
      </c>
      <c r="D21" s="9" t="s">
        <v>1661</v>
      </c>
      <c r="E21" s="9" t="s">
        <v>1662</v>
      </c>
      <c r="F21" s="9" t="s">
        <v>1664</v>
      </c>
      <c r="G21" s="9" t="s">
        <v>1663</v>
      </c>
      <c r="H21" s="9" t="s">
        <v>1665</v>
      </c>
      <c r="I21" s="9" t="s">
        <v>1666</v>
      </c>
      <c r="J21" s="9" t="s">
        <v>1660</v>
      </c>
    </row>
    <row r="22" spans="1:10" x14ac:dyDescent="0.2">
      <c r="A22" s="9" t="s">
        <v>305</v>
      </c>
      <c r="B22" s="16">
        <v>2</v>
      </c>
      <c r="C22" s="9" t="s">
        <v>894</v>
      </c>
      <c r="D22" s="9" t="s">
        <v>1668</v>
      </c>
      <c r="E22" s="9" t="s">
        <v>1669</v>
      </c>
      <c r="F22" s="9" t="s">
        <v>1671</v>
      </c>
      <c r="G22" s="9" t="s">
        <v>1670</v>
      </c>
      <c r="H22" s="9" t="s">
        <v>1672</v>
      </c>
      <c r="I22" s="9" t="s">
        <v>1673</v>
      </c>
      <c r="J22" s="9" t="s">
        <v>1667</v>
      </c>
    </row>
  </sheetData>
  <sheetProtection sheet="1" objects="1" scenarios="1" formatColumns="0" formatRows="0" autoFilter="0"/>
  <autoFilter ref="A4:J22" xr:uid="{7F880495-D4E1-4E67-A155-534E9ADEFE80}"/>
  <dataValidations count="1">
    <dataValidation type="whole" operator="greaterThanOrEqual" allowBlank="1" showInputMessage="1" showErrorMessage="1" sqref="B5:B19" xr:uid="{2E58039F-0232-4EA9-809A-541BF79CD5A6}">
      <formula1>1</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EE6B2-9AD1-4D70-BCB6-AE74D9BF22EC}">
  <dimension ref="A1:I23"/>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3" width="7.7109375" style="1" customWidth="1"/>
    <col min="4" max="4" width="22.7109375" style="1" customWidth="1"/>
    <col min="5" max="5" width="44.7109375" style="1" customWidth="1"/>
    <col min="6" max="6" width="40.7109375" style="1" customWidth="1"/>
    <col min="7" max="7" width="12.7109375" style="1" customWidth="1"/>
    <col min="8" max="8" width="14.7109375" style="1" customWidth="1"/>
    <col min="9" max="9" width="34.7109375" style="1" customWidth="1"/>
    <col min="10" max="16384" width="9.140625" style="1"/>
  </cols>
  <sheetData>
    <row r="1" spans="1:9" ht="17.25" x14ac:dyDescent="0.3">
      <c r="A1" s="6" t="s">
        <v>1674</v>
      </c>
    </row>
    <row r="2" spans="1:9" x14ac:dyDescent="0.2">
      <c r="A2" s="7" t="s">
        <v>1652</v>
      </c>
    </row>
    <row r="3" spans="1:9" x14ac:dyDescent="0.2">
      <c r="I3" s="2" t="s">
        <v>1560</v>
      </c>
    </row>
    <row r="4" spans="1:9" ht="66" customHeight="1" x14ac:dyDescent="0.2">
      <c r="A4" s="8" t="s">
        <v>280</v>
      </c>
      <c r="B4" s="8" t="s">
        <v>281</v>
      </c>
      <c r="C4" s="8" t="s">
        <v>886</v>
      </c>
      <c r="D4" s="8" t="s">
        <v>1675</v>
      </c>
      <c r="E4" s="8" t="s">
        <v>1676</v>
      </c>
      <c r="F4" s="8" t="s">
        <v>1677</v>
      </c>
      <c r="G4" s="8" t="s">
        <v>284</v>
      </c>
      <c r="H4" s="8" t="s">
        <v>285</v>
      </c>
      <c r="I4" s="19" t="s">
        <v>1678</v>
      </c>
    </row>
    <row r="5" spans="1:9" x14ac:dyDescent="0.2">
      <c r="A5" s="10"/>
      <c r="B5" s="17"/>
      <c r="C5" s="10"/>
      <c r="D5" s="17"/>
      <c r="E5" s="10"/>
      <c r="F5" s="10"/>
      <c r="G5" s="10"/>
      <c r="H5" s="15"/>
      <c r="I5" s="21" t="str">
        <f t="shared" ref="I5:I19" si="0">IF(D5="","",IF(E5="","A rationale is required for every Biological_Fit entry","Rationale recorded; this is not a relatedness category"))</f>
        <v/>
      </c>
    </row>
    <row r="6" spans="1:9" x14ac:dyDescent="0.2">
      <c r="A6" s="10"/>
      <c r="B6" s="17"/>
      <c r="C6" s="10"/>
      <c r="D6" s="17"/>
      <c r="E6" s="10"/>
      <c r="F6" s="10"/>
      <c r="G6" s="10"/>
      <c r="H6" s="15"/>
      <c r="I6" s="21" t="str">
        <f t="shared" si="0"/>
        <v/>
      </c>
    </row>
    <row r="7" spans="1:9" x14ac:dyDescent="0.2">
      <c r="A7" s="10"/>
      <c r="B7" s="17"/>
      <c r="C7" s="10"/>
      <c r="D7" s="17"/>
      <c r="E7" s="10"/>
      <c r="F7" s="10"/>
      <c r="G7" s="10"/>
      <c r="H7" s="15"/>
      <c r="I7" s="21" t="str">
        <f t="shared" si="0"/>
        <v/>
      </c>
    </row>
    <row r="8" spans="1:9" x14ac:dyDescent="0.2">
      <c r="A8" s="10"/>
      <c r="B8" s="17"/>
      <c r="C8" s="10"/>
      <c r="D8" s="17"/>
      <c r="E8" s="10"/>
      <c r="F8" s="10"/>
      <c r="G8" s="10"/>
      <c r="H8" s="15"/>
      <c r="I8" s="21" t="str">
        <f t="shared" si="0"/>
        <v/>
      </c>
    </row>
    <row r="9" spans="1:9" x14ac:dyDescent="0.2">
      <c r="A9" s="10"/>
      <c r="B9" s="17"/>
      <c r="C9" s="10"/>
      <c r="D9" s="17"/>
      <c r="E9" s="10"/>
      <c r="F9" s="10"/>
      <c r="G9" s="10"/>
      <c r="H9" s="15"/>
      <c r="I9" s="21" t="str">
        <f t="shared" si="0"/>
        <v/>
      </c>
    </row>
    <row r="10" spans="1:9" x14ac:dyDescent="0.2">
      <c r="A10" s="10"/>
      <c r="B10" s="17"/>
      <c r="C10" s="10"/>
      <c r="D10" s="17"/>
      <c r="E10" s="10"/>
      <c r="F10" s="10"/>
      <c r="G10" s="10"/>
      <c r="H10" s="15"/>
      <c r="I10" s="21" t="str">
        <f t="shared" si="0"/>
        <v/>
      </c>
    </row>
    <row r="11" spans="1:9" x14ac:dyDescent="0.2">
      <c r="A11" s="10"/>
      <c r="B11" s="17"/>
      <c r="C11" s="10"/>
      <c r="D11" s="17"/>
      <c r="E11" s="10"/>
      <c r="F11" s="10"/>
      <c r="G11" s="10"/>
      <c r="H11" s="15"/>
      <c r="I11" s="21" t="str">
        <f t="shared" si="0"/>
        <v/>
      </c>
    </row>
    <row r="12" spans="1:9" x14ac:dyDescent="0.2">
      <c r="A12" s="10"/>
      <c r="B12" s="17"/>
      <c r="C12" s="10"/>
      <c r="D12" s="17"/>
      <c r="E12" s="10"/>
      <c r="F12" s="10"/>
      <c r="G12" s="10"/>
      <c r="H12" s="15"/>
      <c r="I12" s="21" t="str">
        <f t="shared" si="0"/>
        <v/>
      </c>
    </row>
    <row r="13" spans="1:9" x14ac:dyDescent="0.2">
      <c r="A13" s="10"/>
      <c r="B13" s="17"/>
      <c r="C13" s="10"/>
      <c r="D13" s="17"/>
      <c r="E13" s="10"/>
      <c r="F13" s="10"/>
      <c r="G13" s="10"/>
      <c r="H13" s="15"/>
      <c r="I13" s="21" t="str">
        <f t="shared" si="0"/>
        <v/>
      </c>
    </row>
    <row r="14" spans="1:9" x14ac:dyDescent="0.2">
      <c r="A14" s="10"/>
      <c r="B14" s="17"/>
      <c r="C14" s="10"/>
      <c r="D14" s="17"/>
      <c r="E14" s="10"/>
      <c r="F14" s="10"/>
      <c r="G14" s="10"/>
      <c r="H14" s="15"/>
      <c r="I14" s="21" t="str">
        <f t="shared" si="0"/>
        <v/>
      </c>
    </row>
    <row r="15" spans="1:9" x14ac:dyDescent="0.2">
      <c r="A15" s="10"/>
      <c r="B15" s="17"/>
      <c r="C15" s="10"/>
      <c r="D15" s="17"/>
      <c r="E15" s="10"/>
      <c r="F15" s="10"/>
      <c r="G15" s="10"/>
      <c r="H15" s="15"/>
      <c r="I15" s="21" t="str">
        <f t="shared" si="0"/>
        <v/>
      </c>
    </row>
    <row r="16" spans="1:9" x14ac:dyDescent="0.2">
      <c r="A16" s="10"/>
      <c r="B16" s="17"/>
      <c r="C16" s="10"/>
      <c r="D16" s="17"/>
      <c r="E16" s="10"/>
      <c r="F16" s="10"/>
      <c r="G16" s="10"/>
      <c r="H16" s="15"/>
      <c r="I16" s="21" t="str">
        <f t="shared" si="0"/>
        <v/>
      </c>
    </row>
    <row r="17" spans="1:9" x14ac:dyDescent="0.2">
      <c r="A17" s="10"/>
      <c r="B17" s="17"/>
      <c r="C17" s="10"/>
      <c r="D17" s="17"/>
      <c r="E17" s="10"/>
      <c r="F17" s="10"/>
      <c r="G17" s="10"/>
      <c r="H17" s="15"/>
      <c r="I17" s="21" t="str">
        <f t="shared" si="0"/>
        <v/>
      </c>
    </row>
    <row r="18" spans="1:9" x14ac:dyDescent="0.2">
      <c r="A18" s="10"/>
      <c r="B18" s="17"/>
      <c r="C18" s="10"/>
      <c r="D18" s="17"/>
      <c r="E18" s="10"/>
      <c r="F18" s="10"/>
      <c r="G18" s="10"/>
      <c r="H18" s="15"/>
      <c r="I18" s="21" t="str">
        <f t="shared" si="0"/>
        <v/>
      </c>
    </row>
    <row r="19" spans="1:9" x14ac:dyDescent="0.2">
      <c r="A19" s="10"/>
      <c r="B19" s="17"/>
      <c r="C19" s="10"/>
      <c r="D19" s="17"/>
      <c r="E19" s="10"/>
      <c r="F19" s="10"/>
      <c r="G19" s="10"/>
      <c r="H19" s="15"/>
      <c r="I19" s="21" t="str">
        <f t="shared" si="0"/>
        <v/>
      </c>
    </row>
    <row r="20" spans="1:9" x14ac:dyDescent="0.2">
      <c r="A20" s="24" t="s">
        <v>294</v>
      </c>
      <c r="B20" s="23"/>
      <c r="C20" s="23"/>
      <c r="D20" s="23"/>
      <c r="E20" s="23"/>
      <c r="F20" s="23"/>
      <c r="G20" s="23"/>
      <c r="H20" s="23"/>
      <c r="I20" s="23"/>
    </row>
    <row r="21" spans="1:9" x14ac:dyDescent="0.2">
      <c r="A21" s="9" t="s">
        <v>297</v>
      </c>
      <c r="B21" s="16">
        <v>2</v>
      </c>
      <c r="C21" s="9" t="s">
        <v>894</v>
      </c>
      <c r="D21" s="16" t="s">
        <v>137</v>
      </c>
      <c r="E21" s="9" t="s">
        <v>1680</v>
      </c>
      <c r="F21" s="9" t="s">
        <v>1679</v>
      </c>
      <c r="G21" s="9"/>
      <c r="H21" s="14"/>
      <c r="I21" s="21" t="str">
        <f t="shared" ref="I21:I23" si="1">IF(D21="","",IF(E21="","A rationale is required for every Biological_Fit entry","Rationale recorded; this is not a relatedness category"))</f>
        <v>Rationale recorded; this is not a relatedness category</v>
      </c>
    </row>
    <row r="22" spans="1:9" x14ac:dyDescent="0.2">
      <c r="A22" s="9" t="s">
        <v>301</v>
      </c>
      <c r="B22" s="16">
        <v>2</v>
      </c>
      <c r="C22" s="9" t="s">
        <v>894</v>
      </c>
      <c r="D22" s="16" t="s">
        <v>137</v>
      </c>
      <c r="E22" s="9" t="s">
        <v>1682</v>
      </c>
      <c r="F22" s="9" t="s">
        <v>1681</v>
      </c>
      <c r="G22" s="9"/>
      <c r="H22" s="14"/>
      <c r="I22" s="21" t="str">
        <f t="shared" si="1"/>
        <v>Rationale recorded; this is not a relatedness category</v>
      </c>
    </row>
    <row r="23" spans="1:9" x14ac:dyDescent="0.2">
      <c r="A23" s="9" t="s">
        <v>305</v>
      </c>
      <c r="B23" s="16">
        <v>2</v>
      </c>
      <c r="C23" s="9" t="s">
        <v>894</v>
      </c>
      <c r="D23" s="16" t="s">
        <v>137</v>
      </c>
      <c r="E23" s="9" t="s">
        <v>1684</v>
      </c>
      <c r="F23" s="9" t="s">
        <v>1683</v>
      </c>
      <c r="G23" s="9"/>
      <c r="H23" s="14"/>
      <c r="I23" s="21" t="str">
        <f t="shared" si="1"/>
        <v>Rationale recorded; this is not a relatedness category</v>
      </c>
    </row>
  </sheetData>
  <sheetProtection sheet="1" objects="1" scenarios="1" formatColumns="0" formatRows="0" autoFilter="0"/>
  <autoFilter ref="A4:I23" xr:uid="{7D9EE6B2-9AD1-4D70-BCB6-AE74D9BF22EC}"/>
  <dataValidations count="3">
    <dataValidation type="whole" operator="greaterThanOrEqual" allowBlank="1" showInputMessage="1" showErrorMessage="1" sqref="B5:B19" xr:uid="{CC15E8EA-65B5-49AE-957B-684BCF48DDC0}">
      <formula1>1</formula1>
    </dataValidation>
    <dataValidation type="list" allowBlank="1" showInputMessage="1" showErrorMessage="1" sqref="D5:D19" xr:uid="{77C488CF-2429-41BD-A790-A4C6360053F6}">
      <formula1>nLIST_Fit</formula1>
    </dataValidation>
    <dataValidation type="date" allowBlank="1" showInputMessage="1" showErrorMessage="1" sqref="H5:H19" xr:uid="{381E5215-D759-447C-BE95-A96199FD1A7F}">
      <formula1>1</formula1>
      <formula2>2958465</formula2>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9084-DF95-4A90-B4BE-40015D7E9FB1}">
  <dimension ref="A1:K23"/>
  <sheetViews>
    <sheetView zoomScale="90" zoomScaleNormal="90" workbookViewId="0">
      <pane xSplit="3" ySplit="4" topLeftCell="D5" activePane="bottomRight" state="frozenSplit"/>
      <selection pane="topRight" activeCell="D1" sqref="D1"/>
      <selection pane="bottomLeft" activeCell="A5" sqref="A5"/>
      <selection pane="bottomRight"/>
    </sheetView>
  </sheetViews>
  <sheetFormatPr defaultRowHeight="12.75" x14ac:dyDescent="0.2"/>
  <cols>
    <col min="1" max="1" width="10.7109375" style="1" customWidth="1"/>
    <col min="2" max="3" width="7.7109375" style="1" customWidth="1"/>
    <col min="4" max="6" width="14.7109375" style="1" customWidth="1"/>
    <col min="7" max="7" width="10.7109375" style="1" customWidth="1"/>
    <col min="8" max="8" width="30.7109375" style="1" customWidth="1"/>
    <col min="9" max="9" width="18.7109375" style="1" customWidth="1"/>
    <col min="10" max="10" width="30.7109375" style="1" customWidth="1"/>
    <col min="11" max="11" width="36.7109375" style="1" customWidth="1"/>
    <col min="12" max="16384" width="9.140625" style="1"/>
  </cols>
  <sheetData>
    <row r="1" spans="1:11" ht="17.25" x14ac:dyDescent="0.3">
      <c r="A1" s="6" t="s">
        <v>1685</v>
      </c>
    </row>
    <row r="2" spans="1:11" x14ac:dyDescent="0.2">
      <c r="A2" s="7" t="s">
        <v>1652</v>
      </c>
    </row>
    <row r="4" spans="1:11" ht="66" customHeight="1" x14ac:dyDescent="0.2">
      <c r="A4" s="8" t="s">
        <v>280</v>
      </c>
      <c r="B4" s="8" t="s">
        <v>281</v>
      </c>
      <c r="C4" s="8" t="s">
        <v>886</v>
      </c>
      <c r="D4" s="8" t="s">
        <v>165</v>
      </c>
      <c r="E4" s="8" t="s">
        <v>1686</v>
      </c>
      <c r="F4" s="8" t="s">
        <v>1687</v>
      </c>
      <c r="G4" s="8" t="s">
        <v>1688</v>
      </c>
      <c r="H4" s="8" t="s">
        <v>1689</v>
      </c>
      <c r="I4" s="8" t="s">
        <v>1690</v>
      </c>
      <c r="J4" s="8" t="s">
        <v>1691</v>
      </c>
      <c r="K4" s="8" t="s">
        <v>1692</v>
      </c>
    </row>
    <row r="5" spans="1:11" x14ac:dyDescent="0.2">
      <c r="A5" s="10"/>
      <c r="B5" s="17"/>
      <c r="C5" s="10"/>
      <c r="D5" s="17"/>
      <c r="E5" s="10"/>
      <c r="F5" s="10"/>
      <c r="G5" s="10"/>
      <c r="H5" s="10"/>
      <c r="I5" s="10"/>
      <c r="J5" s="10"/>
      <c r="K5" s="10"/>
    </row>
    <row r="6" spans="1:11" x14ac:dyDescent="0.2">
      <c r="A6" s="10"/>
      <c r="B6" s="17"/>
      <c r="C6" s="10"/>
      <c r="D6" s="17"/>
      <c r="E6" s="10"/>
      <c r="F6" s="10"/>
      <c r="G6" s="10"/>
      <c r="H6" s="10"/>
      <c r="I6" s="10"/>
      <c r="J6" s="10"/>
      <c r="K6" s="10"/>
    </row>
    <row r="7" spans="1:11" x14ac:dyDescent="0.2">
      <c r="A7" s="10"/>
      <c r="B7" s="17"/>
      <c r="C7" s="10"/>
      <c r="D7" s="17"/>
      <c r="E7" s="10"/>
      <c r="F7" s="10"/>
      <c r="G7" s="10"/>
      <c r="H7" s="10"/>
      <c r="I7" s="10"/>
      <c r="J7" s="10"/>
      <c r="K7" s="10"/>
    </row>
    <row r="8" spans="1:11" x14ac:dyDescent="0.2">
      <c r="A8" s="10"/>
      <c r="B8" s="17"/>
      <c r="C8" s="10"/>
      <c r="D8" s="17"/>
      <c r="E8" s="10"/>
      <c r="F8" s="10"/>
      <c r="G8" s="10"/>
      <c r="H8" s="10"/>
      <c r="I8" s="10"/>
      <c r="J8" s="10"/>
      <c r="K8" s="10"/>
    </row>
    <row r="9" spans="1:11" x14ac:dyDescent="0.2">
      <c r="A9" s="10"/>
      <c r="B9" s="17"/>
      <c r="C9" s="10"/>
      <c r="D9" s="17"/>
      <c r="E9" s="10"/>
      <c r="F9" s="10"/>
      <c r="G9" s="10"/>
      <c r="H9" s="10"/>
      <c r="I9" s="10"/>
      <c r="J9" s="10"/>
      <c r="K9" s="10"/>
    </row>
    <row r="10" spans="1:11" x14ac:dyDescent="0.2">
      <c r="A10" s="10"/>
      <c r="B10" s="17"/>
      <c r="C10" s="10"/>
      <c r="D10" s="17"/>
      <c r="E10" s="10"/>
      <c r="F10" s="10"/>
      <c r="G10" s="10"/>
      <c r="H10" s="10"/>
      <c r="I10" s="10"/>
      <c r="J10" s="10"/>
      <c r="K10" s="10"/>
    </row>
    <row r="11" spans="1:11" x14ac:dyDescent="0.2">
      <c r="A11" s="10"/>
      <c r="B11" s="17"/>
      <c r="C11" s="10"/>
      <c r="D11" s="17"/>
      <c r="E11" s="10"/>
      <c r="F11" s="10"/>
      <c r="G11" s="10"/>
      <c r="H11" s="10"/>
      <c r="I11" s="10"/>
      <c r="J11" s="10"/>
      <c r="K11" s="10"/>
    </row>
    <row r="12" spans="1:11" x14ac:dyDescent="0.2">
      <c r="A12" s="10"/>
      <c r="B12" s="17"/>
      <c r="C12" s="10"/>
      <c r="D12" s="17"/>
      <c r="E12" s="10"/>
      <c r="F12" s="10"/>
      <c r="G12" s="10"/>
      <c r="H12" s="10"/>
      <c r="I12" s="10"/>
      <c r="J12" s="10"/>
      <c r="K12" s="10"/>
    </row>
    <row r="13" spans="1:11" x14ac:dyDescent="0.2">
      <c r="A13" s="10"/>
      <c r="B13" s="17"/>
      <c r="C13" s="10"/>
      <c r="D13" s="17"/>
      <c r="E13" s="10"/>
      <c r="F13" s="10"/>
      <c r="G13" s="10"/>
      <c r="H13" s="10"/>
      <c r="I13" s="10"/>
      <c r="J13" s="10"/>
      <c r="K13" s="10"/>
    </row>
    <row r="14" spans="1:11" x14ac:dyDescent="0.2">
      <c r="A14" s="10"/>
      <c r="B14" s="17"/>
      <c r="C14" s="10"/>
      <c r="D14" s="17"/>
      <c r="E14" s="10"/>
      <c r="F14" s="10"/>
      <c r="G14" s="10"/>
      <c r="H14" s="10"/>
      <c r="I14" s="10"/>
      <c r="J14" s="10"/>
      <c r="K14" s="10"/>
    </row>
    <row r="15" spans="1:11" x14ac:dyDescent="0.2">
      <c r="A15" s="10"/>
      <c r="B15" s="17"/>
      <c r="C15" s="10"/>
      <c r="D15" s="17"/>
      <c r="E15" s="10"/>
      <c r="F15" s="10"/>
      <c r="G15" s="10"/>
      <c r="H15" s="10"/>
      <c r="I15" s="10"/>
      <c r="J15" s="10"/>
      <c r="K15" s="10"/>
    </row>
    <row r="16" spans="1:11" x14ac:dyDescent="0.2">
      <c r="A16" s="10"/>
      <c r="B16" s="17"/>
      <c r="C16" s="10"/>
      <c r="D16" s="17"/>
      <c r="E16" s="10"/>
      <c r="F16" s="10"/>
      <c r="G16" s="10"/>
      <c r="H16" s="10"/>
      <c r="I16" s="10"/>
      <c r="J16" s="10"/>
      <c r="K16" s="10"/>
    </row>
    <row r="17" spans="1:11" x14ac:dyDescent="0.2">
      <c r="A17" s="10"/>
      <c r="B17" s="17"/>
      <c r="C17" s="10"/>
      <c r="D17" s="17"/>
      <c r="E17" s="10"/>
      <c r="F17" s="10"/>
      <c r="G17" s="10"/>
      <c r="H17" s="10"/>
      <c r="I17" s="10"/>
      <c r="J17" s="10"/>
      <c r="K17" s="10"/>
    </row>
    <row r="18" spans="1:11" x14ac:dyDescent="0.2">
      <c r="A18" s="10"/>
      <c r="B18" s="17"/>
      <c r="C18" s="10"/>
      <c r="D18" s="17"/>
      <c r="E18" s="10"/>
      <c r="F18" s="10"/>
      <c r="G18" s="10"/>
      <c r="H18" s="10"/>
      <c r="I18" s="10"/>
      <c r="J18" s="10"/>
      <c r="K18" s="10"/>
    </row>
    <row r="19" spans="1:11" x14ac:dyDescent="0.2">
      <c r="A19" s="10"/>
      <c r="B19" s="17"/>
      <c r="C19" s="10"/>
      <c r="D19" s="17"/>
      <c r="E19" s="10"/>
      <c r="F19" s="10"/>
      <c r="G19" s="10"/>
      <c r="H19" s="10"/>
      <c r="I19" s="10"/>
      <c r="J19" s="10"/>
      <c r="K19" s="10"/>
    </row>
    <row r="20" spans="1:11" x14ac:dyDescent="0.2">
      <c r="A20" s="24" t="s">
        <v>294</v>
      </c>
      <c r="B20" s="23"/>
      <c r="C20" s="23"/>
      <c r="D20" s="23"/>
      <c r="E20" s="23"/>
      <c r="F20" s="23"/>
      <c r="G20" s="23"/>
      <c r="H20" s="23"/>
      <c r="I20" s="23"/>
      <c r="J20" s="23"/>
      <c r="K20" s="23"/>
    </row>
    <row r="21" spans="1:11" x14ac:dyDescent="0.2">
      <c r="A21" s="9" t="s">
        <v>297</v>
      </c>
      <c r="B21" s="16">
        <v>2</v>
      </c>
      <c r="C21" s="9" t="s">
        <v>894</v>
      </c>
      <c r="D21" s="16" t="s">
        <v>166</v>
      </c>
      <c r="E21" s="9" t="s">
        <v>1144</v>
      </c>
      <c r="F21" s="9" t="s">
        <v>804</v>
      </c>
      <c r="G21" s="9" t="s">
        <v>1149</v>
      </c>
      <c r="H21" s="9" t="s">
        <v>1695</v>
      </c>
      <c r="I21" s="9" t="s">
        <v>1694</v>
      </c>
      <c r="J21" s="9" t="s">
        <v>1693</v>
      </c>
      <c r="K21" s="9" t="s">
        <v>1696</v>
      </c>
    </row>
    <row r="22" spans="1:11" x14ac:dyDescent="0.2">
      <c r="A22" s="9" t="s">
        <v>301</v>
      </c>
      <c r="B22" s="16">
        <v>2</v>
      </c>
      <c r="C22" s="9" t="s">
        <v>894</v>
      </c>
      <c r="D22" s="16" t="s">
        <v>166</v>
      </c>
      <c r="E22" s="9" t="s">
        <v>1163</v>
      </c>
      <c r="F22" s="9" t="s">
        <v>804</v>
      </c>
      <c r="G22" s="9" t="s">
        <v>1140</v>
      </c>
      <c r="H22" s="9" t="s">
        <v>1699</v>
      </c>
      <c r="I22" s="9" t="s">
        <v>1698</v>
      </c>
      <c r="J22" s="9" t="s">
        <v>1697</v>
      </c>
      <c r="K22" s="9" t="s">
        <v>1700</v>
      </c>
    </row>
    <row r="23" spans="1:11" x14ac:dyDescent="0.2">
      <c r="A23" s="9" t="s">
        <v>305</v>
      </c>
      <c r="B23" s="16">
        <v>2</v>
      </c>
      <c r="C23" s="9" t="s">
        <v>894</v>
      </c>
      <c r="D23" s="16" t="s">
        <v>169</v>
      </c>
      <c r="E23" s="9" t="s">
        <v>1701</v>
      </c>
      <c r="F23" s="9"/>
      <c r="G23" s="9"/>
      <c r="H23" s="9"/>
      <c r="I23" s="9" t="s">
        <v>161</v>
      </c>
      <c r="J23" s="9"/>
      <c r="K23" s="9" t="s">
        <v>1702</v>
      </c>
    </row>
  </sheetData>
  <sheetProtection sheet="1" objects="1" scenarios="1" formatColumns="0" formatRows="0" autoFilter="0"/>
  <autoFilter ref="A4:K23" xr:uid="{3DC59084-DF95-4A90-B4BE-40015D7E9FB1}"/>
  <dataValidations count="2">
    <dataValidation type="whole" operator="greaterThanOrEqual" allowBlank="1" showInputMessage="1" showErrorMessage="1" sqref="B5:B19" xr:uid="{63BBA8ED-E57E-4536-8078-7DD257C59143}">
      <formula1>1</formula1>
    </dataValidation>
    <dataValidation type="list" allowBlank="1" showInputMessage="1" showErrorMessage="1" sqref="D5:D19" xr:uid="{1C84E099-4599-4D4D-80D9-9A9EF4B43BA3}">
      <formula1>nLIST_Action</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CE166-0F52-4C6A-AAE6-654BE3758098}">
  <dimension ref="A1:J41"/>
  <sheetViews>
    <sheetView zoomScale="90" zoomScaleNormal="90" workbookViewId="0">
      <pane xSplit="2" ySplit="4" topLeftCell="C5" activePane="bottomRight" state="frozenSplit"/>
      <selection pane="topRight" activeCell="C1" sqref="C1"/>
      <selection pane="bottomLeft" activeCell="A5" sqref="A5"/>
      <selection pane="bottomRight"/>
    </sheetView>
  </sheetViews>
  <sheetFormatPr defaultRowHeight="12.75" x14ac:dyDescent="0.2"/>
  <cols>
    <col min="1" max="1" width="10.7109375" style="1" customWidth="1"/>
    <col min="2" max="2" width="7.7109375" style="1" customWidth="1"/>
    <col min="3" max="3" width="14.7109375" style="1" customWidth="1"/>
    <col min="4" max="4" width="40.7109375" style="1" customWidth="1"/>
    <col min="5" max="5" width="26.7109375" style="1" customWidth="1"/>
    <col min="6" max="6" width="30.7109375" style="1" customWidth="1"/>
    <col min="7" max="7" width="14.7109375" style="1" customWidth="1"/>
    <col min="8" max="9" width="10.7109375" style="1" customWidth="1"/>
    <col min="10" max="10" width="40.7109375" style="1" customWidth="1"/>
    <col min="11" max="16384" width="9.140625" style="1"/>
  </cols>
  <sheetData>
    <row r="1" spans="1:10" ht="17.25" x14ac:dyDescent="0.3">
      <c r="A1" s="6" t="s">
        <v>1703</v>
      </c>
    </row>
    <row r="2" spans="1:10" x14ac:dyDescent="0.2">
      <c r="A2" s="7" t="s">
        <v>1652</v>
      </c>
    </row>
    <row r="3" spans="1:10" x14ac:dyDescent="0.2">
      <c r="J3" s="2" t="s">
        <v>1710</v>
      </c>
    </row>
    <row r="4" spans="1:10" ht="66" customHeight="1" x14ac:dyDescent="0.2">
      <c r="A4" s="8" t="s">
        <v>280</v>
      </c>
      <c r="B4" s="8" t="s">
        <v>281</v>
      </c>
      <c r="C4" s="8" t="s">
        <v>1704</v>
      </c>
      <c r="D4" s="8" t="s">
        <v>1705</v>
      </c>
      <c r="E4" s="8" t="s">
        <v>1706</v>
      </c>
      <c r="F4" s="8" t="s">
        <v>1707</v>
      </c>
      <c r="G4" s="8" t="s">
        <v>1708</v>
      </c>
      <c r="H4" s="8" t="s">
        <v>1709</v>
      </c>
      <c r="I4" s="8" t="s">
        <v>78</v>
      </c>
      <c r="J4" s="19" t="s">
        <v>1711</v>
      </c>
    </row>
    <row r="5" spans="1:10" x14ac:dyDescent="0.2">
      <c r="A5" s="10"/>
      <c r="B5" s="17"/>
      <c r="C5" s="17"/>
      <c r="D5" s="10"/>
      <c r="E5" s="10"/>
      <c r="F5" s="10"/>
      <c r="G5" s="10"/>
      <c r="H5" s="17"/>
      <c r="I5" s="17"/>
      <c r="J5" s="21" t="str">
        <f t="shared" ref="J5:J34" si="0">IF(D5="","",IF(OR(LEFT(D5,1)="=",LEFT(D5,1)="+",LEFT(D5,1)="-",LEFT(D5,1)="@",LEFT(D5,1)=CHAR(9),LEFT(D5,1)=CHAR(13)),"'"&amp;D5,D5))</f>
        <v/>
      </c>
    </row>
    <row r="6" spans="1:10" x14ac:dyDescent="0.2">
      <c r="A6" s="10"/>
      <c r="B6" s="17"/>
      <c r="C6" s="17"/>
      <c r="D6" s="10"/>
      <c r="E6" s="10"/>
      <c r="F6" s="10"/>
      <c r="G6" s="10"/>
      <c r="H6" s="17"/>
      <c r="I6" s="17"/>
      <c r="J6" s="21" t="str">
        <f t="shared" si="0"/>
        <v/>
      </c>
    </row>
    <row r="7" spans="1:10" x14ac:dyDescent="0.2">
      <c r="A7" s="10"/>
      <c r="B7" s="17"/>
      <c r="C7" s="17"/>
      <c r="D7" s="10"/>
      <c r="E7" s="10"/>
      <c r="F7" s="10"/>
      <c r="G7" s="10"/>
      <c r="H7" s="17"/>
      <c r="I7" s="17"/>
      <c r="J7" s="21" t="str">
        <f t="shared" si="0"/>
        <v/>
      </c>
    </row>
    <row r="8" spans="1:10" x14ac:dyDescent="0.2">
      <c r="A8" s="10"/>
      <c r="B8" s="17"/>
      <c r="C8" s="17"/>
      <c r="D8" s="10"/>
      <c r="E8" s="10"/>
      <c r="F8" s="10"/>
      <c r="G8" s="10"/>
      <c r="H8" s="17"/>
      <c r="I8" s="17"/>
      <c r="J8" s="21" t="str">
        <f t="shared" si="0"/>
        <v/>
      </c>
    </row>
    <row r="9" spans="1:10" x14ac:dyDescent="0.2">
      <c r="A9" s="10"/>
      <c r="B9" s="17"/>
      <c r="C9" s="17"/>
      <c r="D9" s="10"/>
      <c r="E9" s="10"/>
      <c r="F9" s="10"/>
      <c r="G9" s="10"/>
      <c r="H9" s="17"/>
      <c r="I9" s="17"/>
      <c r="J9" s="21" t="str">
        <f t="shared" si="0"/>
        <v/>
      </c>
    </row>
    <row r="10" spans="1:10" x14ac:dyDescent="0.2">
      <c r="A10" s="10"/>
      <c r="B10" s="17"/>
      <c r="C10" s="17"/>
      <c r="D10" s="10"/>
      <c r="E10" s="10"/>
      <c r="F10" s="10"/>
      <c r="G10" s="10"/>
      <c r="H10" s="17"/>
      <c r="I10" s="17"/>
      <c r="J10" s="21" t="str">
        <f t="shared" si="0"/>
        <v/>
      </c>
    </row>
    <row r="11" spans="1:10" x14ac:dyDescent="0.2">
      <c r="A11" s="10"/>
      <c r="B11" s="17"/>
      <c r="C11" s="17"/>
      <c r="D11" s="10"/>
      <c r="E11" s="10"/>
      <c r="F11" s="10"/>
      <c r="G11" s="10"/>
      <c r="H11" s="17"/>
      <c r="I11" s="17"/>
      <c r="J11" s="21" t="str">
        <f t="shared" si="0"/>
        <v/>
      </c>
    </row>
    <row r="12" spans="1:10" x14ac:dyDescent="0.2">
      <c r="A12" s="10"/>
      <c r="B12" s="17"/>
      <c r="C12" s="17"/>
      <c r="D12" s="10"/>
      <c r="E12" s="10"/>
      <c r="F12" s="10"/>
      <c r="G12" s="10"/>
      <c r="H12" s="17"/>
      <c r="I12" s="17"/>
      <c r="J12" s="21" t="str">
        <f t="shared" si="0"/>
        <v/>
      </c>
    </row>
    <row r="13" spans="1:10" x14ac:dyDescent="0.2">
      <c r="A13" s="10"/>
      <c r="B13" s="17"/>
      <c r="C13" s="17"/>
      <c r="D13" s="10"/>
      <c r="E13" s="10"/>
      <c r="F13" s="10"/>
      <c r="G13" s="10"/>
      <c r="H13" s="17"/>
      <c r="I13" s="17"/>
      <c r="J13" s="21" t="str">
        <f t="shared" si="0"/>
        <v/>
      </c>
    </row>
    <row r="14" spans="1:10" x14ac:dyDescent="0.2">
      <c r="A14" s="10"/>
      <c r="B14" s="17"/>
      <c r="C14" s="17"/>
      <c r="D14" s="10"/>
      <c r="E14" s="10"/>
      <c r="F14" s="10"/>
      <c r="G14" s="10"/>
      <c r="H14" s="17"/>
      <c r="I14" s="17"/>
      <c r="J14" s="21" t="str">
        <f t="shared" si="0"/>
        <v/>
      </c>
    </row>
    <row r="15" spans="1:10" x14ac:dyDescent="0.2">
      <c r="A15" s="10"/>
      <c r="B15" s="17"/>
      <c r="C15" s="17"/>
      <c r="D15" s="10"/>
      <c r="E15" s="10"/>
      <c r="F15" s="10"/>
      <c r="G15" s="10"/>
      <c r="H15" s="17"/>
      <c r="I15" s="17"/>
      <c r="J15" s="21" t="str">
        <f t="shared" si="0"/>
        <v/>
      </c>
    </row>
    <row r="16" spans="1:10" x14ac:dyDescent="0.2">
      <c r="A16" s="10"/>
      <c r="B16" s="17"/>
      <c r="C16" s="17"/>
      <c r="D16" s="10"/>
      <c r="E16" s="10"/>
      <c r="F16" s="10"/>
      <c r="G16" s="10"/>
      <c r="H16" s="17"/>
      <c r="I16" s="17"/>
      <c r="J16" s="21" t="str">
        <f t="shared" si="0"/>
        <v/>
      </c>
    </row>
    <row r="17" spans="1:10" x14ac:dyDescent="0.2">
      <c r="A17" s="10"/>
      <c r="B17" s="17"/>
      <c r="C17" s="17"/>
      <c r="D17" s="10"/>
      <c r="E17" s="10"/>
      <c r="F17" s="10"/>
      <c r="G17" s="10"/>
      <c r="H17" s="17"/>
      <c r="I17" s="17"/>
      <c r="J17" s="21" t="str">
        <f t="shared" si="0"/>
        <v/>
      </c>
    </row>
    <row r="18" spans="1:10" x14ac:dyDescent="0.2">
      <c r="A18" s="10"/>
      <c r="B18" s="17"/>
      <c r="C18" s="17"/>
      <c r="D18" s="10"/>
      <c r="E18" s="10"/>
      <c r="F18" s="10"/>
      <c r="G18" s="10"/>
      <c r="H18" s="17"/>
      <c r="I18" s="17"/>
      <c r="J18" s="21" t="str">
        <f t="shared" si="0"/>
        <v/>
      </c>
    </row>
    <row r="19" spans="1:10" x14ac:dyDescent="0.2">
      <c r="A19" s="10"/>
      <c r="B19" s="17"/>
      <c r="C19" s="17"/>
      <c r="D19" s="10"/>
      <c r="E19" s="10"/>
      <c r="F19" s="10"/>
      <c r="G19" s="10"/>
      <c r="H19" s="17"/>
      <c r="I19" s="17"/>
      <c r="J19" s="21" t="str">
        <f t="shared" si="0"/>
        <v/>
      </c>
    </row>
    <row r="20" spans="1:10" x14ac:dyDescent="0.2">
      <c r="A20" s="10"/>
      <c r="B20" s="17"/>
      <c r="C20" s="17"/>
      <c r="D20" s="10"/>
      <c r="E20" s="10"/>
      <c r="F20" s="10"/>
      <c r="G20" s="10"/>
      <c r="H20" s="17"/>
      <c r="I20" s="17"/>
      <c r="J20" s="21" t="str">
        <f t="shared" si="0"/>
        <v/>
      </c>
    </row>
    <row r="21" spans="1:10" x14ac:dyDescent="0.2">
      <c r="A21" s="10"/>
      <c r="B21" s="17"/>
      <c r="C21" s="17"/>
      <c r="D21" s="10"/>
      <c r="E21" s="10"/>
      <c r="F21" s="10"/>
      <c r="G21" s="10"/>
      <c r="H21" s="17"/>
      <c r="I21" s="17"/>
      <c r="J21" s="21" t="str">
        <f t="shared" si="0"/>
        <v/>
      </c>
    </row>
    <row r="22" spans="1:10" x14ac:dyDescent="0.2">
      <c r="A22" s="10"/>
      <c r="B22" s="17"/>
      <c r="C22" s="17"/>
      <c r="D22" s="10"/>
      <c r="E22" s="10"/>
      <c r="F22" s="10"/>
      <c r="G22" s="10"/>
      <c r="H22" s="17"/>
      <c r="I22" s="17"/>
      <c r="J22" s="21" t="str">
        <f t="shared" si="0"/>
        <v/>
      </c>
    </row>
    <row r="23" spans="1:10" x14ac:dyDescent="0.2">
      <c r="A23" s="10"/>
      <c r="B23" s="17"/>
      <c r="C23" s="17"/>
      <c r="D23" s="10"/>
      <c r="E23" s="10"/>
      <c r="F23" s="10"/>
      <c r="G23" s="10"/>
      <c r="H23" s="17"/>
      <c r="I23" s="17"/>
      <c r="J23" s="21" t="str">
        <f t="shared" si="0"/>
        <v/>
      </c>
    </row>
    <row r="24" spans="1:10" x14ac:dyDescent="0.2">
      <c r="A24" s="10"/>
      <c r="B24" s="17"/>
      <c r="C24" s="17"/>
      <c r="D24" s="10"/>
      <c r="E24" s="10"/>
      <c r="F24" s="10"/>
      <c r="G24" s="10"/>
      <c r="H24" s="17"/>
      <c r="I24" s="17"/>
      <c r="J24" s="21" t="str">
        <f t="shared" si="0"/>
        <v/>
      </c>
    </row>
    <row r="25" spans="1:10" x14ac:dyDescent="0.2">
      <c r="A25" s="10"/>
      <c r="B25" s="17"/>
      <c r="C25" s="17"/>
      <c r="D25" s="10"/>
      <c r="E25" s="10"/>
      <c r="F25" s="10"/>
      <c r="G25" s="10"/>
      <c r="H25" s="17"/>
      <c r="I25" s="17"/>
      <c r="J25" s="21" t="str">
        <f t="shared" si="0"/>
        <v/>
      </c>
    </row>
    <row r="26" spans="1:10" x14ac:dyDescent="0.2">
      <c r="A26" s="10"/>
      <c r="B26" s="17"/>
      <c r="C26" s="17"/>
      <c r="D26" s="10"/>
      <c r="E26" s="10"/>
      <c r="F26" s="10"/>
      <c r="G26" s="10"/>
      <c r="H26" s="17"/>
      <c r="I26" s="17"/>
      <c r="J26" s="21" t="str">
        <f t="shared" si="0"/>
        <v/>
      </c>
    </row>
    <row r="27" spans="1:10" x14ac:dyDescent="0.2">
      <c r="A27" s="10"/>
      <c r="B27" s="17"/>
      <c r="C27" s="17"/>
      <c r="D27" s="10"/>
      <c r="E27" s="10"/>
      <c r="F27" s="10"/>
      <c r="G27" s="10"/>
      <c r="H27" s="17"/>
      <c r="I27" s="17"/>
      <c r="J27" s="21" t="str">
        <f t="shared" si="0"/>
        <v/>
      </c>
    </row>
    <row r="28" spans="1:10" x14ac:dyDescent="0.2">
      <c r="A28" s="10"/>
      <c r="B28" s="17"/>
      <c r="C28" s="17"/>
      <c r="D28" s="10"/>
      <c r="E28" s="10"/>
      <c r="F28" s="10"/>
      <c r="G28" s="10"/>
      <c r="H28" s="17"/>
      <c r="I28" s="17"/>
      <c r="J28" s="21" t="str">
        <f t="shared" si="0"/>
        <v/>
      </c>
    </row>
    <row r="29" spans="1:10" x14ac:dyDescent="0.2">
      <c r="A29" s="10"/>
      <c r="B29" s="17"/>
      <c r="C29" s="17"/>
      <c r="D29" s="10"/>
      <c r="E29" s="10"/>
      <c r="F29" s="10"/>
      <c r="G29" s="10"/>
      <c r="H29" s="17"/>
      <c r="I29" s="17"/>
      <c r="J29" s="21" t="str">
        <f t="shared" si="0"/>
        <v/>
      </c>
    </row>
    <row r="30" spans="1:10" x14ac:dyDescent="0.2">
      <c r="A30" s="10"/>
      <c r="B30" s="17"/>
      <c r="C30" s="17"/>
      <c r="D30" s="10"/>
      <c r="E30" s="10"/>
      <c r="F30" s="10"/>
      <c r="G30" s="10"/>
      <c r="H30" s="17"/>
      <c r="I30" s="17"/>
      <c r="J30" s="21" t="str">
        <f t="shared" si="0"/>
        <v/>
      </c>
    </row>
    <row r="31" spans="1:10" x14ac:dyDescent="0.2">
      <c r="A31" s="10"/>
      <c r="B31" s="17"/>
      <c r="C31" s="17"/>
      <c r="D31" s="10"/>
      <c r="E31" s="10"/>
      <c r="F31" s="10"/>
      <c r="G31" s="10"/>
      <c r="H31" s="17"/>
      <c r="I31" s="17"/>
      <c r="J31" s="21" t="str">
        <f t="shared" si="0"/>
        <v/>
      </c>
    </row>
    <row r="32" spans="1:10" x14ac:dyDescent="0.2">
      <c r="A32" s="10"/>
      <c r="B32" s="17"/>
      <c r="C32" s="17"/>
      <c r="D32" s="10"/>
      <c r="E32" s="10"/>
      <c r="F32" s="10"/>
      <c r="G32" s="10"/>
      <c r="H32" s="17"/>
      <c r="I32" s="17"/>
      <c r="J32" s="21" t="str">
        <f t="shared" si="0"/>
        <v/>
      </c>
    </row>
    <row r="33" spans="1:10" x14ac:dyDescent="0.2">
      <c r="A33" s="10"/>
      <c r="B33" s="17"/>
      <c r="C33" s="17"/>
      <c r="D33" s="10"/>
      <c r="E33" s="10"/>
      <c r="F33" s="10"/>
      <c r="G33" s="10"/>
      <c r="H33" s="17"/>
      <c r="I33" s="17"/>
      <c r="J33" s="21" t="str">
        <f t="shared" si="0"/>
        <v/>
      </c>
    </row>
    <row r="34" spans="1:10" x14ac:dyDescent="0.2">
      <c r="A34" s="10"/>
      <c r="B34" s="17"/>
      <c r="C34" s="17"/>
      <c r="D34" s="10"/>
      <c r="E34" s="10"/>
      <c r="F34" s="10"/>
      <c r="G34" s="10"/>
      <c r="H34" s="17"/>
      <c r="I34" s="17"/>
      <c r="J34" s="21" t="str">
        <f t="shared" si="0"/>
        <v/>
      </c>
    </row>
    <row r="35" spans="1:10" x14ac:dyDescent="0.2">
      <c r="A35" s="24" t="s">
        <v>294</v>
      </c>
      <c r="B35" s="23"/>
      <c r="C35" s="23"/>
      <c r="D35" s="23"/>
      <c r="E35" s="23"/>
      <c r="F35" s="23"/>
      <c r="G35" s="23"/>
      <c r="H35" s="23"/>
      <c r="I35" s="23"/>
      <c r="J35" s="23"/>
    </row>
    <row r="36" spans="1:10" x14ac:dyDescent="0.2">
      <c r="A36" s="9" t="s">
        <v>297</v>
      </c>
      <c r="B36" s="16">
        <v>2</v>
      </c>
      <c r="C36" s="16" t="s">
        <v>181</v>
      </c>
      <c r="D36" s="9" t="s">
        <v>1712</v>
      </c>
      <c r="E36" s="9" t="s">
        <v>1713</v>
      </c>
      <c r="F36" s="9" t="s">
        <v>1714</v>
      </c>
      <c r="G36" s="9"/>
      <c r="H36" s="16"/>
      <c r="I36" s="16"/>
      <c r="J36" s="21" t="str">
        <f t="shared" ref="J36:J41" si="1">IF(D36="","",IF(OR(LEFT(D36,1)="=",LEFT(D36,1)="+",LEFT(D36,1)="-",LEFT(D36,1)="@",LEFT(D36,1)=CHAR(9),LEFT(D36,1)=CHAR(13)),"'"&amp;D36,D36))</f>
        <v>Reaction to Drug B (same cannula; previous courses)</v>
      </c>
    </row>
    <row r="37" spans="1:10" x14ac:dyDescent="0.2">
      <c r="A37" s="9" t="s">
        <v>297</v>
      </c>
      <c r="B37" s="16">
        <v>2</v>
      </c>
      <c r="C37" s="16" t="s">
        <v>182</v>
      </c>
      <c r="D37" s="9" t="s">
        <v>1716</v>
      </c>
      <c r="E37" s="9"/>
      <c r="F37" s="9"/>
      <c r="G37" s="9" t="s">
        <v>1715</v>
      </c>
      <c r="H37" s="16" t="s">
        <v>172</v>
      </c>
      <c r="I37" s="16" t="s">
        <v>176</v>
      </c>
      <c r="J37" s="21" t="str">
        <f t="shared" si="1"/>
        <v>Tryptase result; emergency medicines with doses and times; Drug A concentration in the bag; earlier Drug B courses</v>
      </c>
    </row>
    <row r="38" spans="1:10" x14ac:dyDescent="0.2">
      <c r="A38" s="9" t="s">
        <v>301</v>
      </c>
      <c r="B38" s="16">
        <v>2</v>
      </c>
      <c r="C38" s="16" t="s">
        <v>181</v>
      </c>
      <c r="D38" s="9" t="s">
        <v>1717</v>
      </c>
      <c r="E38" s="9" t="s">
        <v>1718</v>
      </c>
      <c r="F38" s="9" t="s">
        <v>1719</v>
      </c>
      <c r="G38" s="9"/>
      <c r="H38" s="16"/>
      <c r="I38" s="16"/>
      <c r="J38" s="21" t="str">
        <f t="shared" si="1"/>
        <v>Bradycardia from the unchanged beta-blocker, made more likely by dehydration</v>
      </c>
    </row>
    <row r="39" spans="1:10" x14ac:dyDescent="0.2">
      <c r="A39" s="9" t="s">
        <v>301</v>
      </c>
      <c r="B39" s="16">
        <v>2</v>
      </c>
      <c r="C39" s="16" t="s">
        <v>182</v>
      </c>
      <c r="D39" s="9" t="s">
        <v>1721</v>
      </c>
      <c r="E39" s="9"/>
      <c r="F39" s="9"/>
      <c r="G39" s="9" t="s">
        <v>1720</v>
      </c>
      <c r="H39" s="16" t="s">
        <v>172</v>
      </c>
      <c r="I39" s="16" t="s">
        <v>176</v>
      </c>
      <c r="J39" s="21" t="str">
        <f t="shared" si="1"/>
        <v>Creatinine values between March and July; magnesium, calcium, thyroid function; earlier ECGs; full treatment record 5-8 July</v>
      </c>
    </row>
    <row r="40" spans="1:10" x14ac:dyDescent="0.2">
      <c r="A40" s="9" t="s">
        <v>305</v>
      </c>
      <c r="B40" s="16">
        <v>2</v>
      </c>
      <c r="C40" s="16" t="s">
        <v>181</v>
      </c>
      <c r="D40" s="9" t="s">
        <v>1722</v>
      </c>
      <c r="E40" s="9" t="s">
        <v>1723</v>
      </c>
      <c r="F40" s="9" t="s">
        <v>1724</v>
      </c>
      <c r="G40" s="9"/>
      <c r="H40" s="16"/>
      <c r="I40" s="16"/>
      <c r="J40" s="21" t="str">
        <f t="shared" si="1"/>
        <v>Prednisolone course 2-11 March 2026</v>
      </c>
    </row>
    <row r="41" spans="1:10" x14ac:dyDescent="0.2">
      <c r="A41" s="9" t="s">
        <v>305</v>
      </c>
      <c r="B41" s="16">
        <v>2</v>
      </c>
      <c r="C41" s="16" t="s">
        <v>182</v>
      </c>
      <c r="D41" s="9" t="s">
        <v>1726</v>
      </c>
      <c r="E41" s="9"/>
      <c r="F41" s="9"/>
      <c r="G41" s="9" t="s">
        <v>1725</v>
      </c>
      <c r="H41" s="16" t="s">
        <v>172</v>
      </c>
      <c r="I41" s="16" t="s">
        <v>176</v>
      </c>
      <c r="J41" s="21" t="str">
        <f t="shared" si="1"/>
        <v>Planned length of prophylaxis and why it stopped; prednisolone dose; lymphoma relapse or further treatment</v>
      </c>
    </row>
  </sheetData>
  <sheetProtection sheet="1" objects="1" scenarios="1" formatColumns="0" formatRows="0" autoFilter="0"/>
  <autoFilter ref="A4:J41" xr:uid="{E20CE166-0F52-4C6A-AAE6-654BE3758098}"/>
  <dataValidations count="4">
    <dataValidation type="whole" operator="greaterThanOrEqual" allowBlank="1" showInputMessage="1" showErrorMessage="1" sqref="B5:B34" xr:uid="{60330C66-B8FE-488F-9F3C-53D82AB0EF86}">
      <formula1>1</formula1>
    </dataValidation>
    <dataValidation type="list" allowBlank="1" showInputMessage="1" showErrorMessage="1" sqref="C5:C34" xr:uid="{812073A5-B47E-4BA5-AA11-83F004A91E7B}">
      <formula1>nLIST_ItemType</formula1>
    </dataValidation>
    <dataValidation type="list" allowBlank="1" showInputMessage="1" showErrorMessage="1" sqref="H5:H34" xr:uid="{F1389FBF-BCFB-4656-8954-69BCF6159A34}">
      <formula1>nLIST_Priority</formula1>
    </dataValidation>
    <dataValidation type="list" allowBlank="1" showInputMessage="1" showErrorMessage="1" sqref="I5:I34" xr:uid="{F5C581DB-4CBC-4A60-B728-BCEC06E6175E}">
      <formula1>nLIST_QueryStatus</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5715-13FA-4A6E-93C2-0DB79E62A5A2}">
  <dimension ref="A1:M23"/>
  <sheetViews>
    <sheetView zoomScale="90" zoomScaleNormal="90" workbookViewId="0">
      <pane xSplit="2" ySplit="4" topLeftCell="C5" activePane="bottomRight" state="frozenSplit"/>
      <selection pane="topRight" activeCell="C1" sqref="C1"/>
      <selection pane="bottomLeft" activeCell="A5" sqref="A5"/>
      <selection pane="bottomRight"/>
    </sheetView>
  </sheetViews>
  <sheetFormatPr defaultRowHeight="12.75" x14ac:dyDescent="0.2"/>
  <cols>
    <col min="1" max="1" width="10.7109375" style="1" customWidth="1"/>
    <col min="2" max="2" width="7.7109375" style="1" customWidth="1"/>
    <col min="3" max="3" width="50.7109375" style="1" customWidth="1"/>
    <col min="4" max="4" width="14.7109375" style="1" customWidth="1"/>
    <col min="5" max="5" width="18.7109375" style="1" customWidth="1"/>
    <col min="6" max="6" width="12.7109375" style="1" customWidth="1"/>
    <col min="7" max="7" width="14.7109375" style="1" customWidth="1"/>
    <col min="8" max="8" width="34.7109375" style="1" customWidth="1"/>
    <col min="9" max="12" width="10.7109375" style="1" customWidth="1"/>
    <col min="13" max="13" width="40.7109375" style="1" customWidth="1"/>
    <col min="14" max="16384" width="9.140625" style="1"/>
  </cols>
  <sheetData>
    <row r="1" spans="1:13" ht="17.25" x14ac:dyDescent="0.3">
      <c r="A1" s="6" t="s">
        <v>1727</v>
      </c>
    </row>
    <row r="2" spans="1:13" x14ac:dyDescent="0.2">
      <c r="A2" s="7" t="s">
        <v>1652</v>
      </c>
    </row>
    <row r="3" spans="1:13" x14ac:dyDescent="0.2">
      <c r="J3" s="2" t="s">
        <v>289</v>
      </c>
    </row>
    <row r="4" spans="1:13" ht="66" customHeight="1" x14ac:dyDescent="0.2">
      <c r="A4" s="8" t="s">
        <v>280</v>
      </c>
      <c r="B4" s="8" t="s">
        <v>281</v>
      </c>
      <c r="C4" s="8" t="s">
        <v>1728</v>
      </c>
      <c r="D4" s="8" t="s">
        <v>1729</v>
      </c>
      <c r="E4" s="8" t="s">
        <v>1730</v>
      </c>
      <c r="F4" s="8" t="s">
        <v>284</v>
      </c>
      <c r="G4" s="8" t="s">
        <v>285</v>
      </c>
      <c r="H4" s="8" t="s">
        <v>1731</v>
      </c>
      <c r="I4" s="8" t="s">
        <v>1732</v>
      </c>
      <c r="J4" s="19" t="s">
        <v>1733</v>
      </c>
      <c r="K4" s="19" t="s">
        <v>1734</v>
      </c>
      <c r="L4" s="19" t="s">
        <v>1735</v>
      </c>
      <c r="M4" s="19" t="s">
        <v>1736</v>
      </c>
    </row>
    <row r="5" spans="1:13" x14ac:dyDescent="0.2">
      <c r="A5" s="10"/>
      <c r="B5" s="17"/>
      <c r="C5" s="10"/>
      <c r="D5" s="10"/>
      <c r="E5" s="10"/>
      <c r="F5" s="10"/>
      <c r="G5" s="15"/>
      <c r="H5" s="10"/>
      <c r="I5" s="10"/>
      <c r="J5" s="22" t="str">
        <f>IF(A5="","",COUNTIF(nINT_CaseKey,A5&amp;"|"&amp;B5))</f>
        <v/>
      </c>
      <c r="K5" s="22" t="str">
        <f>IF(A5="","",COUNTIFS(nINT_CaseKey,A5&amp;"|"&amp;B5,nINT_K_Err,"E_*"))</f>
        <v/>
      </c>
      <c r="L5" s="22" t="str">
        <f>IF(A5="","",COUNTIFS(nINT_CaseKey,A5&amp;"|"&amp;B5,nINT_QC_Flags,"*W_*"))</f>
        <v/>
      </c>
      <c r="M5" s="21" t="str">
        <f t="shared" ref="M5:M19" si="0">IF(C5="","",IF(OR(LEFT(C5,1)="=",LEFT(C5,1)="+",LEFT(C5,1)="-",LEFT(C5,1)="@",LEFT(C5,1)=CHAR(9),LEFT(C5,1)=CHAR(13)),"'"&amp;C5,C5))</f>
        <v/>
      </c>
    </row>
    <row r="6" spans="1:13" x14ac:dyDescent="0.2">
      <c r="A6" s="10"/>
      <c r="B6" s="17"/>
      <c r="C6" s="10"/>
      <c r="D6" s="10"/>
      <c r="E6" s="10"/>
      <c r="F6" s="10"/>
      <c r="G6" s="15"/>
      <c r="H6" s="10"/>
      <c r="I6" s="10"/>
      <c r="J6" s="22" t="str">
        <f>IF(A6="","",COUNTIF(nINT_CaseKey,A6&amp;"|"&amp;B6))</f>
        <v/>
      </c>
      <c r="K6" s="22" t="str">
        <f>IF(A6="","",COUNTIFS(nINT_CaseKey,A6&amp;"|"&amp;B6,nINT_K_Err,"E_*"))</f>
        <v/>
      </c>
      <c r="L6" s="22" t="str">
        <f>IF(A6="","",COUNTIFS(nINT_CaseKey,A6&amp;"|"&amp;B6,nINT_QC_Flags,"*W_*"))</f>
        <v/>
      </c>
      <c r="M6" s="21" t="str">
        <f t="shared" si="0"/>
        <v/>
      </c>
    </row>
    <row r="7" spans="1:13" x14ac:dyDescent="0.2">
      <c r="A7" s="10"/>
      <c r="B7" s="17"/>
      <c r="C7" s="10"/>
      <c r="D7" s="10"/>
      <c r="E7" s="10"/>
      <c r="F7" s="10"/>
      <c r="G7" s="15"/>
      <c r="H7" s="10"/>
      <c r="I7" s="10"/>
      <c r="J7" s="22" t="str">
        <f>IF(A7="","",COUNTIF(nINT_CaseKey,A7&amp;"|"&amp;B7))</f>
        <v/>
      </c>
      <c r="K7" s="22" t="str">
        <f>IF(A7="","",COUNTIFS(nINT_CaseKey,A7&amp;"|"&amp;B7,nINT_K_Err,"E_*"))</f>
        <v/>
      </c>
      <c r="L7" s="22" t="str">
        <f>IF(A7="","",COUNTIFS(nINT_CaseKey,A7&amp;"|"&amp;B7,nINT_QC_Flags,"*W_*"))</f>
        <v/>
      </c>
      <c r="M7" s="21" t="str">
        <f t="shared" si="0"/>
        <v/>
      </c>
    </row>
    <row r="8" spans="1:13" x14ac:dyDescent="0.2">
      <c r="A8" s="10"/>
      <c r="B8" s="17"/>
      <c r="C8" s="10"/>
      <c r="D8" s="10"/>
      <c r="E8" s="10"/>
      <c r="F8" s="10"/>
      <c r="G8" s="15"/>
      <c r="H8" s="10"/>
      <c r="I8" s="10"/>
      <c r="J8" s="22" t="str">
        <f>IF(A8="","",COUNTIF(nINT_CaseKey,A8&amp;"|"&amp;B8))</f>
        <v/>
      </c>
      <c r="K8" s="22" t="str">
        <f>IF(A8="","",COUNTIFS(nINT_CaseKey,A8&amp;"|"&amp;B8,nINT_K_Err,"E_*"))</f>
        <v/>
      </c>
      <c r="L8" s="22" t="str">
        <f>IF(A8="","",COUNTIFS(nINT_CaseKey,A8&amp;"|"&amp;B8,nINT_QC_Flags,"*W_*"))</f>
        <v/>
      </c>
      <c r="M8" s="21" t="str">
        <f t="shared" si="0"/>
        <v/>
      </c>
    </row>
    <row r="9" spans="1:13" x14ac:dyDescent="0.2">
      <c r="A9" s="10"/>
      <c r="B9" s="17"/>
      <c r="C9" s="10"/>
      <c r="D9" s="10"/>
      <c r="E9" s="10"/>
      <c r="F9" s="10"/>
      <c r="G9" s="15"/>
      <c r="H9" s="10"/>
      <c r="I9" s="10"/>
      <c r="J9" s="22" t="str">
        <f>IF(A9="","",COUNTIF(nINT_CaseKey,A9&amp;"|"&amp;B9))</f>
        <v/>
      </c>
      <c r="K9" s="22" t="str">
        <f>IF(A9="","",COUNTIFS(nINT_CaseKey,A9&amp;"|"&amp;B9,nINT_K_Err,"E_*"))</f>
        <v/>
      </c>
      <c r="L9" s="22" t="str">
        <f>IF(A9="","",COUNTIFS(nINT_CaseKey,A9&amp;"|"&amp;B9,nINT_QC_Flags,"*W_*"))</f>
        <v/>
      </c>
      <c r="M9" s="21" t="str">
        <f t="shared" si="0"/>
        <v/>
      </c>
    </row>
    <row r="10" spans="1:13" x14ac:dyDescent="0.2">
      <c r="A10" s="10"/>
      <c r="B10" s="17"/>
      <c r="C10" s="10"/>
      <c r="D10" s="10"/>
      <c r="E10" s="10"/>
      <c r="F10" s="10"/>
      <c r="G10" s="15"/>
      <c r="H10" s="10"/>
      <c r="I10" s="10"/>
      <c r="J10" s="22" t="str">
        <f>IF(A10="","",COUNTIF(nINT_CaseKey,A10&amp;"|"&amp;B10))</f>
        <v/>
      </c>
      <c r="K10" s="22" t="str">
        <f>IF(A10="","",COUNTIFS(nINT_CaseKey,A10&amp;"|"&amp;B10,nINT_K_Err,"E_*"))</f>
        <v/>
      </c>
      <c r="L10" s="22" t="str">
        <f>IF(A10="","",COUNTIFS(nINT_CaseKey,A10&amp;"|"&amp;B10,nINT_QC_Flags,"*W_*"))</f>
        <v/>
      </c>
      <c r="M10" s="21" t="str">
        <f t="shared" si="0"/>
        <v/>
      </c>
    </row>
    <row r="11" spans="1:13" x14ac:dyDescent="0.2">
      <c r="A11" s="10"/>
      <c r="B11" s="17"/>
      <c r="C11" s="10"/>
      <c r="D11" s="10"/>
      <c r="E11" s="10"/>
      <c r="F11" s="10"/>
      <c r="G11" s="15"/>
      <c r="H11" s="10"/>
      <c r="I11" s="10"/>
      <c r="J11" s="22" t="str">
        <f>IF(A11="","",COUNTIF(nINT_CaseKey,A11&amp;"|"&amp;B11))</f>
        <v/>
      </c>
      <c r="K11" s="22" t="str">
        <f>IF(A11="","",COUNTIFS(nINT_CaseKey,A11&amp;"|"&amp;B11,nINT_K_Err,"E_*"))</f>
        <v/>
      </c>
      <c r="L11" s="22" t="str">
        <f>IF(A11="","",COUNTIFS(nINT_CaseKey,A11&amp;"|"&amp;B11,nINT_QC_Flags,"*W_*"))</f>
        <v/>
      </c>
      <c r="M11" s="21" t="str">
        <f t="shared" si="0"/>
        <v/>
      </c>
    </row>
    <row r="12" spans="1:13" x14ac:dyDescent="0.2">
      <c r="A12" s="10"/>
      <c r="B12" s="17"/>
      <c r="C12" s="10"/>
      <c r="D12" s="10"/>
      <c r="E12" s="10"/>
      <c r="F12" s="10"/>
      <c r="G12" s="15"/>
      <c r="H12" s="10"/>
      <c r="I12" s="10"/>
      <c r="J12" s="22" t="str">
        <f>IF(A12="","",COUNTIF(nINT_CaseKey,A12&amp;"|"&amp;B12))</f>
        <v/>
      </c>
      <c r="K12" s="22" t="str">
        <f>IF(A12="","",COUNTIFS(nINT_CaseKey,A12&amp;"|"&amp;B12,nINT_K_Err,"E_*"))</f>
        <v/>
      </c>
      <c r="L12" s="22" t="str">
        <f>IF(A12="","",COUNTIFS(nINT_CaseKey,A12&amp;"|"&amp;B12,nINT_QC_Flags,"*W_*"))</f>
        <v/>
      </c>
      <c r="M12" s="21" t="str">
        <f t="shared" si="0"/>
        <v/>
      </c>
    </row>
    <row r="13" spans="1:13" x14ac:dyDescent="0.2">
      <c r="A13" s="10"/>
      <c r="B13" s="17"/>
      <c r="C13" s="10"/>
      <c r="D13" s="10"/>
      <c r="E13" s="10"/>
      <c r="F13" s="10"/>
      <c r="G13" s="15"/>
      <c r="H13" s="10"/>
      <c r="I13" s="10"/>
      <c r="J13" s="22" t="str">
        <f>IF(A13="","",COUNTIF(nINT_CaseKey,A13&amp;"|"&amp;B13))</f>
        <v/>
      </c>
      <c r="K13" s="22" t="str">
        <f>IF(A13="","",COUNTIFS(nINT_CaseKey,A13&amp;"|"&amp;B13,nINT_K_Err,"E_*"))</f>
        <v/>
      </c>
      <c r="L13" s="22" t="str">
        <f>IF(A13="","",COUNTIFS(nINT_CaseKey,A13&amp;"|"&amp;B13,nINT_QC_Flags,"*W_*"))</f>
        <v/>
      </c>
      <c r="M13" s="21" t="str">
        <f t="shared" si="0"/>
        <v/>
      </c>
    </row>
    <row r="14" spans="1:13" x14ac:dyDescent="0.2">
      <c r="A14" s="10"/>
      <c r="B14" s="17"/>
      <c r="C14" s="10"/>
      <c r="D14" s="10"/>
      <c r="E14" s="10"/>
      <c r="F14" s="10"/>
      <c r="G14" s="15"/>
      <c r="H14" s="10"/>
      <c r="I14" s="10"/>
      <c r="J14" s="22" t="str">
        <f>IF(A14="","",COUNTIF(nINT_CaseKey,A14&amp;"|"&amp;B14))</f>
        <v/>
      </c>
      <c r="K14" s="22" t="str">
        <f>IF(A14="","",COUNTIFS(nINT_CaseKey,A14&amp;"|"&amp;B14,nINT_K_Err,"E_*"))</f>
        <v/>
      </c>
      <c r="L14" s="22" t="str">
        <f>IF(A14="","",COUNTIFS(nINT_CaseKey,A14&amp;"|"&amp;B14,nINT_QC_Flags,"*W_*"))</f>
        <v/>
      </c>
      <c r="M14" s="21" t="str">
        <f t="shared" si="0"/>
        <v/>
      </c>
    </row>
    <row r="15" spans="1:13" x14ac:dyDescent="0.2">
      <c r="A15" s="10"/>
      <c r="B15" s="17"/>
      <c r="C15" s="10"/>
      <c r="D15" s="10"/>
      <c r="E15" s="10"/>
      <c r="F15" s="10"/>
      <c r="G15" s="15"/>
      <c r="H15" s="10"/>
      <c r="I15" s="10"/>
      <c r="J15" s="22" t="str">
        <f>IF(A15="","",COUNTIF(nINT_CaseKey,A15&amp;"|"&amp;B15))</f>
        <v/>
      </c>
      <c r="K15" s="22" t="str">
        <f>IF(A15="","",COUNTIFS(nINT_CaseKey,A15&amp;"|"&amp;B15,nINT_K_Err,"E_*"))</f>
        <v/>
      </c>
      <c r="L15" s="22" t="str">
        <f>IF(A15="","",COUNTIFS(nINT_CaseKey,A15&amp;"|"&amp;B15,nINT_QC_Flags,"*W_*"))</f>
        <v/>
      </c>
      <c r="M15" s="21" t="str">
        <f t="shared" si="0"/>
        <v/>
      </c>
    </row>
    <row r="16" spans="1:13" x14ac:dyDescent="0.2">
      <c r="A16" s="10"/>
      <c r="B16" s="17"/>
      <c r="C16" s="10"/>
      <c r="D16" s="10"/>
      <c r="E16" s="10"/>
      <c r="F16" s="10"/>
      <c r="G16" s="15"/>
      <c r="H16" s="10"/>
      <c r="I16" s="10"/>
      <c r="J16" s="22" t="str">
        <f>IF(A16="","",COUNTIF(nINT_CaseKey,A16&amp;"|"&amp;B16))</f>
        <v/>
      </c>
      <c r="K16" s="22" t="str">
        <f>IF(A16="","",COUNTIFS(nINT_CaseKey,A16&amp;"|"&amp;B16,nINT_K_Err,"E_*"))</f>
        <v/>
      </c>
      <c r="L16" s="22" t="str">
        <f>IF(A16="","",COUNTIFS(nINT_CaseKey,A16&amp;"|"&amp;B16,nINT_QC_Flags,"*W_*"))</f>
        <v/>
      </c>
      <c r="M16" s="21" t="str">
        <f t="shared" si="0"/>
        <v/>
      </c>
    </row>
    <row r="17" spans="1:13" x14ac:dyDescent="0.2">
      <c r="A17" s="10"/>
      <c r="B17" s="17"/>
      <c r="C17" s="10"/>
      <c r="D17" s="10"/>
      <c r="E17" s="10"/>
      <c r="F17" s="10"/>
      <c r="G17" s="15"/>
      <c r="H17" s="10"/>
      <c r="I17" s="10"/>
      <c r="J17" s="22" t="str">
        <f>IF(A17="","",COUNTIF(nINT_CaseKey,A17&amp;"|"&amp;B17))</f>
        <v/>
      </c>
      <c r="K17" s="22" t="str">
        <f>IF(A17="","",COUNTIFS(nINT_CaseKey,A17&amp;"|"&amp;B17,nINT_K_Err,"E_*"))</f>
        <v/>
      </c>
      <c r="L17" s="22" t="str">
        <f>IF(A17="","",COUNTIFS(nINT_CaseKey,A17&amp;"|"&amp;B17,nINT_QC_Flags,"*W_*"))</f>
        <v/>
      </c>
      <c r="M17" s="21" t="str">
        <f t="shared" si="0"/>
        <v/>
      </c>
    </row>
    <row r="18" spans="1:13" x14ac:dyDescent="0.2">
      <c r="A18" s="10"/>
      <c r="B18" s="17"/>
      <c r="C18" s="10"/>
      <c r="D18" s="10"/>
      <c r="E18" s="10"/>
      <c r="F18" s="10"/>
      <c r="G18" s="15"/>
      <c r="H18" s="10"/>
      <c r="I18" s="10"/>
      <c r="J18" s="22" t="str">
        <f>IF(A18="","",COUNTIF(nINT_CaseKey,A18&amp;"|"&amp;B18))</f>
        <v/>
      </c>
      <c r="K18" s="22" t="str">
        <f>IF(A18="","",COUNTIFS(nINT_CaseKey,A18&amp;"|"&amp;B18,nINT_K_Err,"E_*"))</f>
        <v/>
      </c>
      <c r="L18" s="22" t="str">
        <f>IF(A18="","",COUNTIFS(nINT_CaseKey,A18&amp;"|"&amp;B18,nINT_QC_Flags,"*W_*"))</f>
        <v/>
      </c>
      <c r="M18" s="21" t="str">
        <f t="shared" si="0"/>
        <v/>
      </c>
    </row>
    <row r="19" spans="1:13" x14ac:dyDescent="0.2">
      <c r="A19" s="10"/>
      <c r="B19" s="17"/>
      <c r="C19" s="10"/>
      <c r="D19" s="10"/>
      <c r="E19" s="10"/>
      <c r="F19" s="10"/>
      <c r="G19" s="15"/>
      <c r="H19" s="10"/>
      <c r="I19" s="10"/>
      <c r="J19" s="22" t="str">
        <f>IF(A19="","",COUNTIF(nINT_CaseKey,A19&amp;"|"&amp;B19))</f>
        <v/>
      </c>
      <c r="K19" s="22" t="str">
        <f>IF(A19="","",COUNTIFS(nINT_CaseKey,A19&amp;"|"&amp;B19,nINT_K_Err,"E_*"))</f>
        <v/>
      </c>
      <c r="L19" s="22" t="str">
        <f>IF(A19="","",COUNTIFS(nINT_CaseKey,A19&amp;"|"&amp;B19,nINT_QC_Flags,"*W_*"))</f>
        <v/>
      </c>
      <c r="M19" s="21" t="str">
        <f t="shared" si="0"/>
        <v/>
      </c>
    </row>
    <row r="20" spans="1:13" x14ac:dyDescent="0.2">
      <c r="A20" s="24" t="s">
        <v>294</v>
      </c>
      <c r="B20" s="23"/>
      <c r="C20" s="23"/>
      <c r="D20" s="23"/>
      <c r="E20" s="23"/>
      <c r="F20" s="23"/>
      <c r="G20" s="23"/>
      <c r="H20" s="23"/>
      <c r="I20" s="23"/>
      <c r="J20" s="23"/>
      <c r="K20" s="23"/>
      <c r="L20" s="23"/>
      <c r="M20" s="23"/>
    </row>
    <row r="21" spans="1:13" x14ac:dyDescent="0.2">
      <c r="A21" s="9" t="s">
        <v>297</v>
      </c>
      <c r="B21" s="16">
        <v>2</v>
      </c>
      <c r="C21" s="9" t="s">
        <v>1737</v>
      </c>
      <c r="D21" s="9" t="s">
        <v>1740</v>
      </c>
      <c r="E21" s="9"/>
      <c r="F21" s="9"/>
      <c r="G21" s="14"/>
      <c r="H21" s="9" t="s">
        <v>1739</v>
      </c>
      <c r="I21" s="9" t="s">
        <v>1738</v>
      </c>
      <c r="J21" s="22">
        <f>IF(A21="","",COUNTIF(nINT_CaseKey,A21&amp;"|"&amp;B21))</f>
        <v>14</v>
      </c>
      <c r="K21" s="22">
        <f>IF(A21="","",COUNTIFS(nINT_CaseKey,A21&amp;"|"&amp;B21,nINT_K_Err,"E_*"))</f>
        <v>0</v>
      </c>
      <c r="L21" s="22">
        <f>IF(A21="","",COUNTIFS(nINT_CaseKey,A21&amp;"|"&amp;B21,nINT_QC_Flags,"*W_*"))</f>
        <v>1</v>
      </c>
      <c r="M21" s="21" t="str">
        <f t="shared" ref="M21:M23" si="1">IF(C21="","",IF(OR(LEFT(C21,1)="=",LEFT(C21,1)="+",LEFT(C21,1)="-",LEFT(C21,1)="@",LEFT(C21,1)=CHAR(9),LEFT(C21,1)=CHAR(13)),"'"&amp;C21,C21))</f>
        <v>Urticaria, wheeze and hypotension began at 09:15, 15 minutes after the start of the first Drug A infusion and 25 minutes after the end of a Drug B infusion through the same cannula (C1; UTC-05:00). Improvement followed both cessation and emergency treatment.</v>
      </c>
    </row>
    <row r="22" spans="1:13" x14ac:dyDescent="0.2">
      <c r="A22" s="9" t="s">
        <v>301</v>
      </c>
      <c r="B22" s="16">
        <v>2</v>
      </c>
      <c r="C22" s="9" t="s">
        <v>1741</v>
      </c>
      <c r="D22" s="9" t="s">
        <v>1740</v>
      </c>
      <c r="E22" s="9"/>
      <c r="F22" s="9"/>
      <c r="G22" s="14"/>
      <c r="H22" s="9" t="s">
        <v>1742</v>
      </c>
      <c r="I22" s="9" t="s">
        <v>1738</v>
      </c>
      <c r="J22" s="22">
        <f>IF(A22="","",COUNTIF(nINT_CaseKey,A22&amp;"|"&amp;B22))</f>
        <v>6</v>
      </c>
      <c r="K22" s="22">
        <f>IF(A22="","",COUNTIFS(nINT_CaseKey,A22&amp;"|"&amp;B22,nINT_K_Err,"E_*"))</f>
        <v>0</v>
      </c>
      <c r="L22" s="22">
        <f>IF(A22="","",COUNTIFS(nINT_CaseKey,A22&amp;"|"&amp;B22,nINT_QC_Flags,"*W_*"))</f>
        <v>2</v>
      </c>
      <c r="M22" s="21" t="str">
        <f t="shared" si="1"/>
        <v>Nausea and symptomatic bradycardia began on 5 July 2026, 185 calendar days after digoxin was started at an unchanged dose, 4 calendar days after renal deterioration was first documented and 9 after ibuprofen was started.</v>
      </c>
    </row>
    <row r="23" spans="1:13" x14ac:dyDescent="0.2">
      <c r="A23" s="9" t="s">
        <v>305</v>
      </c>
      <c r="B23" s="16">
        <v>2</v>
      </c>
      <c r="C23" s="9" t="s">
        <v>1743</v>
      </c>
      <c r="D23" s="9" t="s">
        <v>1740</v>
      </c>
      <c r="E23" s="9"/>
      <c r="F23" s="9"/>
      <c r="G23" s="14"/>
      <c r="H23" s="9" t="s">
        <v>1744</v>
      </c>
      <c r="I23" s="9" t="s">
        <v>1738</v>
      </c>
      <c r="J23" s="22">
        <f>IF(A23="","",COUNTIF(nINT_CaseKey,A23&amp;"|"&amp;B23))</f>
        <v>11</v>
      </c>
      <c r="K23" s="22">
        <f>IF(A23="","",COUNTIFS(nINT_CaseKey,A23&amp;"|"&amp;B23,nINT_K_Err,"E_*"))</f>
        <v>0</v>
      </c>
      <c r="L23" s="22">
        <f>IF(A23="","",COUNTIFS(nINT_CaseKey,A23&amp;"|"&amp;B23,nINT_QC_Flags,"*W_*"))</f>
        <v>1</v>
      </c>
      <c r="M23" s="21" t="str">
        <f t="shared" si="1"/>
        <v>HBV DNA was first detected on 12 May 2026, 435 calendar days after the last rituximab infusion; virological reactivation began between 343 and 435 days after the last infusion (C4).</v>
      </c>
    </row>
  </sheetData>
  <sheetProtection sheet="1" objects="1" scenarios="1" formatColumns="0" formatRows="0" autoFilter="0"/>
  <autoFilter ref="A4:M23" xr:uid="{CF585715-13FA-4A6E-93C2-0DB79E62A5A2}"/>
  <dataValidations count="2">
    <dataValidation type="whole" operator="greaterThanOrEqual" allowBlank="1" showInputMessage="1" showErrorMessage="1" sqref="B5:B19" xr:uid="{BE8D913A-6BBA-4116-8C3D-CDCB7D955F01}">
      <formula1>1</formula1>
    </dataValidation>
    <dataValidation type="date" allowBlank="1" showInputMessage="1" showErrorMessage="1" sqref="G5:G19" xr:uid="{A3053CC1-D5D9-479B-A39A-6421D864BD3E}">
      <formula1>1</formula1>
      <formula2>2958465</formula2>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6982B-DBB3-4098-AB1A-D83172EF3E81}">
  <sheetPr>
    <pageSetUpPr fitToPage="1"/>
  </sheetPr>
  <dimension ref="A1:T86"/>
  <sheetViews>
    <sheetView zoomScale="90" zoomScaleNormal="90" workbookViewId="0"/>
  </sheetViews>
  <sheetFormatPr defaultRowHeight="12.75" x14ac:dyDescent="0.2"/>
  <cols>
    <col min="1" max="1" width="2.7109375" style="1" customWidth="1"/>
    <col min="2" max="2" width="13.7109375" style="1" customWidth="1"/>
    <col min="3" max="3" width="18.7109375" style="1" customWidth="1"/>
    <col min="4" max="4" width="30.7109375" style="1" customWidth="1"/>
    <col min="5" max="5" width="16.7109375" style="1" customWidth="1"/>
    <col min="6" max="7" width="26.7109375" style="1" customWidth="1"/>
    <col min="8" max="8" width="16.7109375" style="1" customWidth="1"/>
    <col min="9" max="26" width="0" style="1" hidden="1" customWidth="1"/>
    <col min="27" max="16384" width="9.140625" style="1"/>
  </cols>
  <sheetData>
    <row r="1" spans="1:20" ht="18.75" x14ac:dyDescent="0.3">
      <c r="A1" s="44"/>
      <c r="B1" s="45" t="s">
        <v>2452</v>
      </c>
      <c r="C1" s="44"/>
      <c r="D1" s="44"/>
      <c r="E1" s="44"/>
      <c r="F1" s="44"/>
      <c r="G1" s="44"/>
      <c r="H1" s="44"/>
    </row>
    <row r="2" spans="1:20" x14ac:dyDescent="0.2">
      <c r="A2" s="44"/>
      <c r="B2" s="46" t="s">
        <v>2453</v>
      </c>
      <c r="C2" s="44"/>
      <c r="D2" s="44"/>
      <c r="E2" s="44"/>
      <c r="F2" s="44"/>
      <c r="G2" s="44"/>
      <c r="H2" s="44"/>
    </row>
    <row r="3" spans="1:20" x14ac:dyDescent="0.2">
      <c r="A3" s="44"/>
      <c r="B3" s="44"/>
      <c r="C3" s="44"/>
      <c r="D3" s="44"/>
      <c r="E3" s="44"/>
      <c r="F3" s="44"/>
      <c r="G3" s="44"/>
      <c r="H3" s="44"/>
    </row>
    <row r="4" spans="1:20" x14ac:dyDescent="0.2">
      <c r="A4" s="44"/>
      <c r="B4" s="47" t="s">
        <v>280</v>
      </c>
      <c r="C4" s="40" t="s">
        <v>297</v>
      </c>
      <c r="D4" s="47" t="s">
        <v>2429</v>
      </c>
      <c r="E4" s="41"/>
      <c r="F4" s="47" t="s">
        <v>2454</v>
      </c>
      <c r="G4" s="47" t="str">
        <f>IF(TRIM($C$4&amp;"")="","(none)",$C$4&amp;"|"&amp;IF($E$4="",IFERROR(_xlfn.AGGREGATE(14,6,nCASE_Case_Version/(nCASE_Case_ID=$C$4),1),IFERROR(_xlfn.AGGREGATE(14,6,nINT_Case_Version/(nINT_Case_ID=$C$4),1),1)),$E$4))</f>
        <v>EX-C01|2</v>
      </c>
      <c r="H4" s="44" t="str">
        <f>IF($G$4="(none)","Enter a Case_ID",IF($J$4=0,"No Cases row for this version","Case version found"))</f>
        <v>Case version found</v>
      </c>
      <c r="J4" s="1">
        <f>IFERROR(MATCH($G$4,nCASE_Key,0),0)</f>
        <v>22</v>
      </c>
    </row>
    <row r="5" spans="1:20" x14ac:dyDescent="0.2">
      <c r="A5" s="44"/>
      <c r="B5" s="47" t="s">
        <v>2455</v>
      </c>
      <c r="C5" s="48">
        <f>IF($J$4=0,"",IF(INDEX(nCASE_Received_Date,$J$4)="","",INDEX(nCASE_Received_Date,$J$4)))</f>
        <v>46036</v>
      </c>
      <c r="D5" s="47" t="s">
        <v>283</v>
      </c>
      <c r="E5" s="49" t="str">
        <f>IF($J$4=0,"",INDEX(nCASE_Setting,$J$4)&amp;"")</f>
        <v>Hospital infusion (fictional)</v>
      </c>
      <c r="F5" s="49"/>
      <c r="G5" s="47" t="s">
        <v>284</v>
      </c>
      <c r="H5" s="44" t="str">
        <f>IF($J$4=0,"",INDEX(nCASE_Reviewer,$J$4)&amp;"")</f>
        <v/>
      </c>
    </row>
    <row r="6" spans="1:20" x14ac:dyDescent="0.2">
      <c r="A6" s="44"/>
      <c r="B6" s="47" t="s">
        <v>2456</v>
      </c>
      <c r="C6" s="44" t="str">
        <f>IF($J$4=0,"",INDEX(nCASE_Fictional,$J$4)&amp;"")</f>
        <v>Yes</v>
      </c>
      <c r="D6" s="47" t="s">
        <v>285</v>
      </c>
      <c r="E6" s="48" t="str">
        <f>IF($J$4=0,"",IF(INDEX(nCASE_Review_Date,$J$4)="","",INDEX(nCASE_Review_Date,$J$4)))</f>
        <v/>
      </c>
      <c r="F6" s="44"/>
      <c r="G6" s="47" t="s">
        <v>2457</v>
      </c>
      <c r="H6" s="50">
        <f>IF($G$4="(none)","",COUNTIF(nCASE_Case_ID,$C$4))</f>
        <v>1</v>
      </c>
    </row>
    <row r="7" spans="1:20" ht="26.1" customHeight="1" x14ac:dyDescent="0.2">
      <c r="A7" s="44"/>
      <c r="B7" s="51" t="s">
        <v>287</v>
      </c>
      <c r="C7" s="52" t="str">
        <f>IF($J$4=0,"",INDEX(nCASE_Summary,$J$4)&amp;"")</f>
        <v>Urticaria, wheeze and hypotension 15 minutes after the start of a first Drug A infusion (Chapter 3, Section 3.7).</v>
      </c>
      <c r="D7" s="52"/>
      <c r="E7" s="52"/>
      <c r="F7" s="52"/>
      <c r="G7" s="52"/>
      <c r="H7" s="52"/>
    </row>
    <row r="8" spans="1:20" ht="26.1" customHeight="1" x14ac:dyDescent="0.2">
      <c r="A8" s="44"/>
      <c r="B8" s="51" t="s">
        <v>2458</v>
      </c>
      <c r="C8" s="52" t="str">
        <f>IF($J$4=0,"",INDEX(nCASE_Version_Note,$J$4)&amp;"")</f>
        <v>Version 2 (follow-up 14 January 2026) adds Drug B, the antiseptic, pump rate, first exposure, diagnosis and tryptase sample; version 1 facts unchanged.</v>
      </c>
      <c r="D8" s="52"/>
      <c r="E8" s="52"/>
      <c r="F8" s="52"/>
      <c r="G8" s="52"/>
      <c r="H8" s="52"/>
    </row>
    <row r="9" spans="1:20" x14ac:dyDescent="0.2">
      <c r="A9" s="44"/>
      <c r="B9" s="44"/>
      <c r="C9" s="44"/>
      <c r="D9" s="44"/>
      <c r="E9" s="44"/>
      <c r="F9" s="44"/>
      <c r="G9" s="44"/>
      <c r="H9" s="44"/>
    </row>
    <row r="10" spans="1:20" ht="15" x14ac:dyDescent="0.25">
      <c r="A10" s="44"/>
      <c r="B10" s="53" t="s">
        <v>2459</v>
      </c>
      <c r="C10" s="54"/>
      <c r="D10" s="54"/>
      <c r="E10" s="54"/>
      <c r="F10" s="54"/>
      <c r="G10" s="54"/>
      <c r="H10" s="54"/>
      <c r="R10" s="1" t="s">
        <v>2110</v>
      </c>
      <c r="S10" s="1">
        <f>COUNTIF(nQ1_CaseKey,$G$4)</f>
        <v>0</v>
      </c>
      <c r="T10" s="1">
        <f>0</f>
        <v>0</v>
      </c>
    </row>
    <row r="11" spans="1:20" x14ac:dyDescent="0.2">
      <c r="A11" s="44"/>
      <c r="B11" s="55" t="s">
        <v>2460</v>
      </c>
      <c r="C11" s="55" t="s">
        <v>389</v>
      </c>
      <c r="D11" s="55" t="s">
        <v>2461</v>
      </c>
      <c r="E11" s="55" t="s">
        <v>393</v>
      </c>
      <c r="F11" s="55" t="s">
        <v>2462</v>
      </c>
      <c r="G11" s="55" t="s">
        <v>2463</v>
      </c>
      <c r="H11" s="55" t="s">
        <v>2464</v>
      </c>
      <c r="R11" s="1" t="s">
        <v>2114</v>
      </c>
      <c r="S11" s="1">
        <f>COUNTIF(nQ2_CaseKey,$G$4)</f>
        <v>0</v>
      </c>
      <c r="T11" s="1">
        <f>T10+S10</f>
        <v>0</v>
      </c>
    </row>
    <row r="12" spans="1:20" ht="12" customHeight="1" x14ac:dyDescent="0.2">
      <c r="A12" s="44"/>
      <c r="B12" s="56" t="str">
        <f>IF($J12=0,"",INDEX(nEXP_Exposure_Episode_ID,$J12)&amp;"")</f>
        <v>EX-A</v>
      </c>
      <c r="C12" s="56" t="str">
        <f>IF($J12=0,"",INDEX(nEXP_Product,$J12)&amp;"")</f>
        <v>Drug A (placeholder)</v>
      </c>
      <c r="D12" s="56" t="str">
        <f>IF($J12=0,"",INDEX(nEXP_Role,$J12)&amp;IF(INDEX(nEXP_Route,$J12)&amp;""="","",", "&amp;INDEX(nEXP_Route,$J12)))</f>
        <v>suspect, intravenous infusion</v>
      </c>
      <c r="E12" s="56" t="str">
        <f>IF($J12=0,"",INDEX(nEXP_Regimen_Text,$J12)&amp;"")</f>
        <v>First exposure to Drug A (version 2)</v>
      </c>
      <c r="F12" s="56" t="str">
        <f>IF($K12=0,"",INDEX(nLNK_Link_ID,$K12)&amp;"")</f>
        <v>L1</v>
      </c>
      <c r="G12" s="56" t="str">
        <f>IF($K12=0,"",INDEX(nLNK_Exposure_Episode_ID,$K12)&amp;" → "&amp;INDEX(nLNK_Event_Episode_ID,$K12))</f>
        <v>EX-A → EV-1</v>
      </c>
      <c r="H12" s="56" t="str">
        <f>IF($K12=0,"",INDEX(nLNK_Reason,$K12)&amp;"")</f>
        <v>Suspect drug named in the report</v>
      </c>
      <c r="J12" s="1">
        <f>IFERROR(_xlfn.AGGREGATE(15,6,(ROW(nEXP_Key)-ROW(INDEX(nEXP_Key,1,1))+1)/((nEXP_Case_ID&amp;"|"&amp;nEXP_Case_Version=$G$4)*(nEXP_Exposure_Episode_ID&lt;&gt;"")),1),0)</f>
        <v>32</v>
      </c>
      <c r="K12" s="1">
        <f>IFERROR(_xlfn.AGGREGATE(15,6,(ROW(nLNK_Key)-ROW(INDEX(nLNK_Key,1,1))+1)/((nLNK_Case_ID&amp;"|"&amp;nLNK_Case_Version=$G$4)*(nLNK_Link_ID&lt;&gt;"")),1),0)</f>
        <v>22</v>
      </c>
      <c r="R12" s="1" t="s">
        <v>2118</v>
      </c>
      <c r="S12" s="1">
        <f>COUNTIF(nQ3_CaseKey,$G$4)</f>
        <v>0</v>
      </c>
      <c r="T12" s="1">
        <f>T11+S11</f>
        <v>0</v>
      </c>
    </row>
    <row r="13" spans="1:20" ht="12" customHeight="1" x14ac:dyDescent="0.2">
      <c r="A13" s="44"/>
      <c r="B13" s="57" t="str">
        <f>IF($J13=0,"",INDEX(nEXP_Exposure_Episode_ID,$J13)&amp;"")</f>
        <v>EX-B</v>
      </c>
      <c r="C13" s="57" t="str">
        <f>IF($J13=0,"",INDEX(nEXP_Product,$J13)&amp;"")</f>
        <v>Drug B (placeholder)</v>
      </c>
      <c r="D13" s="57" t="str">
        <f>IF($J13=0,"",INDEX(nEXP_Role,$J13)&amp;IF(INDEX(nEXP_Route,$J13)&amp;""="","",", "&amp;INDEX(nEXP_Route,$J13)))</f>
        <v>concomitant, intravenous infusion, same cannula</v>
      </c>
      <c r="E13" s="57" t="str">
        <f>IF($J13=0,"",INDEX(nEXP_Regimen_Text,$J13)&amp;"")</f>
        <v>Previous courses, dates unknown (version 2)</v>
      </c>
      <c r="F13" s="57" t="str">
        <f>IF($K13=0,"",INDEX(nLNK_Link_ID,$K13)&amp;"")</f>
        <v>L2</v>
      </c>
      <c r="G13" s="57" t="str">
        <f>IF($K13=0,"",INDEX(nLNK_Exposure_Episode_ID,$K13)&amp;" → "&amp;INDEX(nLNK_Event_Episode_ID,$K13))</f>
        <v>EX-B → EV-1</v>
      </c>
      <c r="H13" s="57" t="str">
        <f>IF($K13=0,"",INDEX(nLNK_Reason,$K13)&amp;"")</f>
        <v>Competing exposure through the same cannula (version 2)</v>
      </c>
      <c r="J13" s="1">
        <f>IFERROR(_xlfn.AGGREGATE(15,6,(ROW(nEXP_Key)-ROW(INDEX(nEXP_Key,1,1))+1)/((nEXP_Case_ID&amp;"|"&amp;nEXP_Case_Version=$G$4)*(nEXP_Exposure_Episode_ID&lt;&gt;"")),2),0)</f>
        <v>33</v>
      </c>
      <c r="K13" s="1">
        <f>IFERROR(_xlfn.AGGREGATE(15,6,(ROW(nLNK_Key)-ROW(INDEX(nLNK_Key,1,1))+1)/((nLNK_Case_ID&amp;"|"&amp;nLNK_Case_Version=$G$4)*(nLNK_Link_ID&lt;&gt;"")),2),0)</f>
        <v>23</v>
      </c>
      <c r="R13" s="1" t="s">
        <v>2121</v>
      </c>
      <c r="S13" s="1">
        <f>COUNTIF(nQ4_CaseKey,$G$4)</f>
        <v>0</v>
      </c>
      <c r="T13" s="1">
        <f>T12+S12</f>
        <v>0</v>
      </c>
    </row>
    <row r="14" spans="1:20" ht="12" customHeight="1" x14ac:dyDescent="0.2">
      <c r="A14" s="44"/>
      <c r="B14" s="57" t="str">
        <f>IF($J14=0,"",INDEX(nEXP_Exposure_Episode_ID,$J14)&amp;"")</f>
        <v>EX-AS</v>
      </c>
      <c r="C14" s="57" t="str">
        <f>IF($J14=0,"",INDEX(nEXP_Product,$J14)&amp;"")</f>
        <v>Skin antiseptic (concomitant material)</v>
      </c>
      <c r="D14" s="57" t="str">
        <f>IF($J14=0,"",INDEX(nEXP_Role,$J14)&amp;IF(INDEX(nEXP_Route,$J14)&amp;""="","",", "&amp;INDEX(nEXP_Route,$J14)))</f>
        <v>concomitant, topical, at cannulation</v>
      </c>
      <c r="E14" s="57" t="str">
        <f>IF($J14=0,"",INDEX(nEXP_Regimen_Text,$J14)&amp;"")</f>
        <v/>
      </c>
      <c r="F14" s="57" t="str">
        <f>IF($K14=0,"",INDEX(nLNK_Link_ID,$K14)&amp;"")</f>
        <v>L3</v>
      </c>
      <c r="G14" s="57" t="str">
        <f>IF($K14=0,"",INDEX(nLNK_Exposure_Episode_ID,$K14)&amp;" → "&amp;INDEX(nLNK_Event_Episode_ID,$K14))</f>
        <v>EX-AS → EV-1</v>
      </c>
      <c r="H14" s="57" t="str">
        <f>IF($K14=0,"",INDEX(nLNK_Reason,$K14)&amp;"")</f>
        <v>Competing exposure: skin antiseptic (version 2)</v>
      </c>
      <c r="J14" s="1">
        <f>IFERROR(_xlfn.AGGREGATE(15,6,(ROW(nEXP_Key)-ROW(INDEX(nEXP_Key,1,1))+1)/((nEXP_Case_ID&amp;"|"&amp;nEXP_Case_Version=$G$4)*(nEXP_Exposure_Episode_ID&lt;&gt;"")),3),0)</f>
        <v>34</v>
      </c>
      <c r="K14" s="1">
        <f>IFERROR(_xlfn.AGGREGATE(15,6,(ROW(nLNK_Key)-ROW(INDEX(nLNK_Key,1,1))+1)/((nLNK_Case_ID&amp;"|"&amp;nLNK_Case_Version=$G$4)*(nLNK_Link_ID&lt;&gt;"")),3),0)</f>
        <v>24</v>
      </c>
      <c r="R14" s="1" t="s">
        <v>2125</v>
      </c>
      <c r="S14" s="1">
        <f>COUNTIF(nQ5_CaseKey,$G$4)</f>
        <v>0</v>
      </c>
      <c r="T14" s="1">
        <f>T13+S13</f>
        <v>0</v>
      </c>
    </row>
    <row r="15" spans="1:20" ht="12" customHeight="1" x14ac:dyDescent="0.2">
      <c r="A15" s="44"/>
      <c r="B15" s="57" t="str">
        <f>IF($J15=0,"",INDEX(nEXP_Exposure_Episode_ID,$J15)&amp;"")</f>
        <v/>
      </c>
      <c r="C15" s="57" t="str">
        <f>IF($J15=0,"",INDEX(nEXP_Product,$J15)&amp;"")</f>
        <v/>
      </c>
      <c r="D15" s="57" t="str">
        <f>IF($J15=0,"",INDEX(nEXP_Role,$J15)&amp;IF(INDEX(nEXP_Route,$J15)&amp;""="","",", "&amp;INDEX(nEXP_Route,$J15)))</f>
        <v/>
      </c>
      <c r="E15" s="57" t="str">
        <f>IF($J15=0,"",INDEX(nEXP_Regimen_Text,$J15)&amp;"")</f>
        <v/>
      </c>
      <c r="F15" s="57" t="str">
        <f>IF($K15=0,"",INDEX(nLNK_Link_ID,$K15)&amp;"")</f>
        <v/>
      </c>
      <c r="G15" s="57" t="str">
        <f>IF($K15=0,"",INDEX(nLNK_Exposure_Episode_ID,$K15)&amp;" → "&amp;INDEX(nLNK_Event_Episode_ID,$K15))</f>
        <v/>
      </c>
      <c r="H15" s="57" t="str">
        <f>IF($K15=0,"",INDEX(nLNK_Reason,$K15)&amp;"")</f>
        <v/>
      </c>
      <c r="J15" s="1">
        <f>IFERROR(_xlfn.AGGREGATE(15,6,(ROW(nEXP_Key)-ROW(INDEX(nEXP_Key,1,1))+1)/((nEXP_Case_ID&amp;"|"&amp;nEXP_Case_Version=$G$4)*(nEXP_Exposure_Episode_ID&lt;&gt;"")),4),0)</f>
        <v>0</v>
      </c>
      <c r="K15" s="1">
        <f>IFERROR(_xlfn.AGGREGATE(15,6,(ROW(nLNK_Key)-ROW(INDEX(nLNK_Key,1,1))+1)/((nLNK_Case_ID&amp;"|"&amp;nLNK_Case_Version=$G$4)*(nLNK_Link_ID&lt;&gt;"")),4),0)</f>
        <v>0</v>
      </c>
      <c r="R15" s="1" t="s">
        <v>2129</v>
      </c>
      <c r="S15" s="1">
        <f>COUNTIF(nQ6_CaseKey,$G$4)</f>
        <v>0</v>
      </c>
      <c r="T15" s="1">
        <f>T14+S14</f>
        <v>0</v>
      </c>
    </row>
    <row r="16" spans="1:20" ht="12" customHeight="1" x14ac:dyDescent="0.2">
      <c r="A16" s="44"/>
      <c r="B16" s="57" t="str">
        <f>IF($J16=0,"",INDEX(nEXP_Exposure_Episode_ID,$J16)&amp;"")</f>
        <v/>
      </c>
      <c r="C16" s="57" t="str">
        <f>IF($J16=0,"",INDEX(nEXP_Product,$J16)&amp;"")</f>
        <v/>
      </c>
      <c r="D16" s="57" t="str">
        <f>IF($J16=0,"",INDEX(nEXP_Role,$J16)&amp;IF(INDEX(nEXP_Route,$J16)&amp;""="","",", "&amp;INDEX(nEXP_Route,$J16)))</f>
        <v/>
      </c>
      <c r="E16" s="57" t="str">
        <f>IF($J16=0,"",INDEX(nEXP_Regimen_Text,$J16)&amp;"")</f>
        <v/>
      </c>
      <c r="F16" s="57" t="str">
        <f>IF($K16=0,"",INDEX(nLNK_Link_ID,$K16)&amp;"")</f>
        <v/>
      </c>
      <c r="G16" s="57" t="str">
        <f>IF($K16=0,"",INDEX(nLNK_Exposure_Episode_ID,$K16)&amp;" → "&amp;INDEX(nLNK_Event_Episode_ID,$K16))</f>
        <v/>
      </c>
      <c r="H16" s="57" t="str">
        <f>IF($K16=0,"",INDEX(nLNK_Reason,$K16)&amp;"")</f>
        <v/>
      </c>
      <c r="J16" s="1">
        <f>IFERROR(_xlfn.AGGREGATE(15,6,(ROW(nEXP_Key)-ROW(INDEX(nEXP_Key,1,1))+1)/((nEXP_Case_ID&amp;"|"&amp;nEXP_Case_Version=$G$4)*(nEXP_Exposure_Episode_ID&lt;&gt;"")),5),0)</f>
        <v>0</v>
      </c>
      <c r="K16" s="1">
        <f>IFERROR(_xlfn.AGGREGATE(15,6,(ROW(nLNK_Key)-ROW(INDEX(nLNK_Key,1,1))+1)/((nLNK_Case_ID&amp;"|"&amp;nLNK_Case_Version=$G$4)*(nLNK_Link_ID&lt;&gt;"")),5),0)</f>
        <v>0</v>
      </c>
      <c r="R16" s="1" t="s">
        <v>2133</v>
      </c>
      <c r="S16" s="1">
        <f>COUNTIF(nQ7_CaseKey,$G$4)</f>
        <v>0</v>
      </c>
      <c r="T16" s="1">
        <f>T15+S15</f>
        <v>0</v>
      </c>
    </row>
    <row r="17" spans="1:20" ht="12" customHeight="1" x14ac:dyDescent="0.2">
      <c r="A17" s="44"/>
      <c r="B17" s="58" t="str">
        <f>IF($J17=0,"",INDEX(nEXP_Exposure_Episode_ID,$J17)&amp;"")</f>
        <v/>
      </c>
      <c r="C17" s="58" t="str">
        <f>IF($J17=0,"",INDEX(nEXP_Product,$J17)&amp;"")</f>
        <v/>
      </c>
      <c r="D17" s="58" t="str">
        <f>IF($J17=0,"",INDEX(nEXP_Role,$J17)&amp;IF(INDEX(nEXP_Route,$J17)&amp;""="","",", "&amp;INDEX(nEXP_Route,$J17)))</f>
        <v/>
      </c>
      <c r="E17" s="58" t="str">
        <f>IF($J17=0,"",INDEX(nEXP_Regimen_Text,$J17)&amp;"")</f>
        <v/>
      </c>
      <c r="F17" s="58" t="str">
        <f>IF($K17=0,"",INDEX(nLNK_Link_ID,$K17)&amp;"")</f>
        <v/>
      </c>
      <c r="G17" s="58" t="str">
        <f>IF($K17=0,"",INDEX(nLNK_Exposure_Episode_ID,$K17)&amp;" → "&amp;INDEX(nLNK_Event_Episode_ID,$K17))</f>
        <v/>
      </c>
      <c r="H17" s="58" t="str">
        <f>IF($K17=0,"",INDEX(nLNK_Reason,$K17)&amp;"")</f>
        <v/>
      </c>
      <c r="J17" s="1">
        <f>IFERROR(_xlfn.AGGREGATE(15,6,(ROW(nEXP_Key)-ROW(INDEX(nEXP_Key,1,1))+1)/((nEXP_Case_ID&amp;"|"&amp;nEXP_Case_Version=$G$4)*(nEXP_Exposure_Episode_ID&lt;&gt;"")),6),0)</f>
        <v>0</v>
      </c>
      <c r="K17" s="1">
        <f>IFERROR(_xlfn.AGGREGATE(15,6,(ROW(nLNK_Key)-ROW(INDEX(nLNK_Key,1,1))+1)/((nLNK_Case_ID&amp;"|"&amp;nLNK_Case_Version=$G$4)*(nLNK_Link_ID&lt;&gt;"")),6),0)</f>
        <v>0</v>
      </c>
      <c r="R17" s="1" t="s">
        <v>2137</v>
      </c>
      <c r="S17" s="1">
        <f>COUNTIF(nQ8_CaseKey,$G$4)</f>
        <v>0</v>
      </c>
      <c r="T17" s="1">
        <f>T16+S16</f>
        <v>0</v>
      </c>
    </row>
    <row r="18" spans="1:20" x14ac:dyDescent="0.2">
      <c r="A18" s="44"/>
      <c r="B18" s="44" t="str">
        <f>IF(OR(COUNTIFS(nEXP_Case_ID,$C$4,nEXP_Exposure_Episode_ID,"&lt;&gt;")&gt;6,COUNTIFS(nLNK_Case_ID,$C$4,nLNK_Link_ID,"&lt;&gt;")&gt;6),"More exposures or links are recorded than shown here; see the Exposures and Drug_Event_Links sheets.","")</f>
        <v/>
      </c>
      <c r="C18" s="44"/>
      <c r="D18" s="44"/>
      <c r="E18" s="44"/>
      <c r="F18" s="44"/>
      <c r="G18" s="44"/>
      <c r="H18" s="44"/>
      <c r="R18" s="1" t="s">
        <v>2144</v>
      </c>
      <c r="S18" s="1">
        <f>COUNTIF(nQ9_CaseKey,$G$4)</f>
        <v>1</v>
      </c>
      <c r="T18" s="1">
        <f>T17+S17</f>
        <v>0</v>
      </c>
    </row>
    <row r="19" spans="1:20" ht="15" x14ac:dyDescent="0.25">
      <c r="A19" s="44"/>
      <c r="B19" s="53" t="s">
        <v>2465</v>
      </c>
      <c r="C19" s="54"/>
      <c r="D19" s="54"/>
      <c r="E19" s="54"/>
      <c r="F19" s="54"/>
      <c r="G19" s="54"/>
      <c r="H19" s="54"/>
      <c r="R19" s="1" t="s">
        <v>2148</v>
      </c>
      <c r="S19" s="1">
        <f>COUNTIF(nQ10_CaseKey,$G$4)</f>
        <v>0</v>
      </c>
      <c r="T19" s="1">
        <f>T18+S18</f>
        <v>1</v>
      </c>
    </row>
    <row r="20" spans="1:20" x14ac:dyDescent="0.2">
      <c r="A20" s="44"/>
      <c r="B20" s="55" t="s">
        <v>931</v>
      </c>
      <c r="C20" s="55" t="s">
        <v>2466</v>
      </c>
      <c r="D20" s="55" t="s">
        <v>2467</v>
      </c>
      <c r="E20" s="55" t="s">
        <v>2</v>
      </c>
      <c r="F20" s="55" t="s">
        <v>2468</v>
      </c>
      <c r="G20" s="59"/>
      <c r="H20" s="55" t="s">
        <v>945</v>
      </c>
      <c r="R20" s="1" t="s">
        <v>2152</v>
      </c>
      <c r="S20" s="1">
        <f>COUNTIF(nQ11_CaseKey,$G$4)</f>
        <v>0</v>
      </c>
      <c r="T20" s="1">
        <f>T19+S19</f>
        <v>1</v>
      </c>
    </row>
    <row r="21" spans="1:20" ht="12" customHeight="1" x14ac:dyDescent="0.2">
      <c r="A21" s="44"/>
      <c r="B21" s="56" t="str">
        <f>IF($J21=0,"",INDEX(nTP_Record_ID,$J21)&amp;"")</f>
        <v>EX-A/START</v>
      </c>
      <c r="C21" s="56" t="str">
        <f>IF($J21=0,"",INDEX(nTP_Record_Type,$J21)&amp;"")</f>
        <v>EXPOSURE_START</v>
      </c>
      <c r="D21" s="56" t="str">
        <f>IF($J21=0,"",INDEX(nTP_Display,$J21)&amp;"")</f>
        <v>10 January 2026 09:00 (UTC-05:00)</v>
      </c>
      <c r="E21" s="56" t="str">
        <f>IF($J21=0,"",INDEX(nTP_Precision,$J21)&amp;IF(INDEX(nTP_Err,$J21)&lt;&gt;""," ("&amp;INDEX(nTP_Err,$J21)&amp;")",""))</f>
        <v>TIMESTAMP</v>
      </c>
      <c r="F21" s="60" t="str">
        <f>IF($J21=0,"",INDEX(nTP_Original_Text,$J21)&amp;"")</f>
        <v>09:00 Drug A infusion commenced</v>
      </c>
      <c r="G21" s="60"/>
      <c r="H21" s="56" t="str">
        <f>IF($J21=0,"",INDEX(nTP_Source,$J21)&amp;"")</f>
        <v>Nursing chart; medication administration record</v>
      </c>
      <c r="J21" s="1">
        <f>IFERROR(_xlfn.AGGREGATE(15,6,nTP_RowN/(nTP_Case_Key=$G$4),1),0)</f>
        <v>32</v>
      </c>
    </row>
    <row r="22" spans="1:20" ht="12" customHeight="1" x14ac:dyDescent="0.2">
      <c r="A22" s="44"/>
      <c r="B22" s="57" t="str">
        <f>IF($J22=0,"",INDEX(nTP_Record_ID,$J22)&amp;"")</f>
        <v>EX-B/START</v>
      </c>
      <c r="C22" s="57" t="str">
        <f>IF($J22=0,"",INDEX(nTP_Record_Type,$J22)&amp;"")</f>
        <v>EXPOSURE_START</v>
      </c>
      <c r="D22" s="57" t="str">
        <f>IF($J22=0,"",INDEX(nTP_Display,$J22)&amp;"")</f>
        <v>10 January 2026 08:20 (UTC-05:00)</v>
      </c>
      <c r="E22" s="57" t="str">
        <f>IF($J22=0,"",INDEX(nTP_Precision,$J22)&amp;IF(INDEX(nTP_Err,$J22)&lt;&gt;""," ("&amp;INDEX(nTP_Err,$J22)&amp;")",""))</f>
        <v>TIMESTAMP</v>
      </c>
      <c r="F22" s="61" t="str">
        <f>IF($J22=0,"",INDEX(nTP_Original_Text,$J22)&amp;"")</f>
        <v>Drug B IV given earlier this morning via same cannula</v>
      </c>
      <c r="G22" s="61"/>
      <c r="H22" s="57" t="str">
        <f>IF($J22=0,"",INDEX(nTP_Source,$J22)&amp;"")</f>
        <v>Follow-up, version 2</v>
      </c>
      <c r="J22" s="1">
        <f>IFERROR(_xlfn.AGGREGATE(15,6,nTP_RowN/(nTP_Case_Key=$G$4),2),0)</f>
        <v>33</v>
      </c>
    </row>
    <row r="23" spans="1:20" ht="12" customHeight="1" x14ac:dyDescent="0.2">
      <c r="A23" s="44"/>
      <c r="B23" s="57" t="str">
        <f>IF($J23=0,"",INDEX(nTP_Record_ID,$J23)&amp;"")</f>
        <v>EX-AS/START</v>
      </c>
      <c r="C23" s="57" t="str">
        <f>IF($J23=0,"",INDEX(nTP_Record_Type,$J23)&amp;"")</f>
        <v>EXPOSURE_START</v>
      </c>
      <c r="D23" s="57" t="str">
        <f>IF($J23=0,"",INDEX(nTP_Display,$J23)&amp;"")</f>
        <v>10 January 2026 08:15 (UTC-05:00)</v>
      </c>
      <c r="E23" s="57" t="str">
        <f>IF($J23=0,"",INDEX(nTP_Precision,$J23)&amp;IF(INDEX(nTP_Err,$J23)&lt;&gt;""," ("&amp;INDEX(nTP_Err,$J23)&amp;")",""))</f>
        <v>TIMESTAMP</v>
      </c>
      <c r="F23" s="61" t="str">
        <f>IF($J23=0,"",INDEX(nTP_Original_Text,$J23)&amp;"")</f>
        <v>Antiseptic applied at cannulation</v>
      </c>
      <c r="G23" s="61"/>
      <c r="H23" s="57" t="str">
        <f>IF($J23=0,"",INDEX(nTP_Source,$J23)&amp;"")</f>
        <v>Follow-up, version 2</v>
      </c>
      <c r="J23" s="1">
        <f>IFERROR(_xlfn.AGGREGATE(15,6,nTP_RowN/(nTP_Case_Key=$G$4),3),0)</f>
        <v>34</v>
      </c>
    </row>
    <row r="24" spans="1:20" ht="12" customHeight="1" x14ac:dyDescent="0.2">
      <c r="A24" s="44"/>
      <c r="B24" s="57" t="str">
        <f>IF($J24=0,"",INDEX(nTP_Record_ID,$J24)&amp;"")</f>
        <v>EX-A/STOP</v>
      </c>
      <c r="C24" s="57" t="str">
        <f>IF($J24=0,"",INDEX(nTP_Record_Type,$J24)&amp;"")</f>
        <v>EXPOSURE_STOP</v>
      </c>
      <c r="D24" s="57" t="str">
        <f>IF($J24=0,"",INDEX(nTP_Display,$J24)&amp;"")</f>
        <v>10 January 2026 09:16 (UTC-05:00)</v>
      </c>
      <c r="E24" s="57" t="str">
        <f>IF($J24=0,"",INDEX(nTP_Precision,$J24)&amp;IF(INDEX(nTP_Err,$J24)&lt;&gt;""," ("&amp;INDEX(nTP_Err,$J24)&amp;")",""))</f>
        <v>TIMESTAMP</v>
      </c>
      <c r="F24" s="61" t="str">
        <f>IF($J24=0,"",INDEX(nTP_Original_Text,$J24)&amp;"")</f>
        <v>09:16 infusion stopped, doctor called</v>
      </c>
      <c r="G24" s="61"/>
      <c r="H24" s="57" t="str">
        <f>IF($J24=0,"",INDEX(nTP_Source,$J24)&amp;"")</f>
        <v>Nursing chart</v>
      </c>
      <c r="J24" s="1">
        <f>IFERROR(_xlfn.AGGREGATE(15,6,nTP_RowN/(nTP_Case_Key=$G$4),4),0)</f>
        <v>104</v>
      </c>
    </row>
    <row r="25" spans="1:20" ht="12" customHeight="1" x14ac:dyDescent="0.2">
      <c r="A25" s="44"/>
      <c r="B25" s="57" t="str">
        <f>IF($J25=0,"",INDEX(nTP_Record_ID,$J25)&amp;"")</f>
        <v>EX-B/STOP</v>
      </c>
      <c r="C25" s="57" t="str">
        <f>IF($J25=0,"",INDEX(nTP_Record_Type,$J25)&amp;"")</f>
        <v>EXPOSURE_STOP</v>
      </c>
      <c r="D25" s="57" t="str">
        <f>IF($J25=0,"",INDEX(nTP_Display,$J25)&amp;"")</f>
        <v>10 January 2026 08:50 (UTC-05:00)</v>
      </c>
      <c r="E25" s="57" t="str">
        <f>IF($J25=0,"",INDEX(nTP_Precision,$J25)&amp;IF(INDEX(nTP_Err,$J25)&lt;&gt;""," ("&amp;INDEX(nTP_Err,$J25)&amp;")",""))</f>
        <v>TIMESTAMP</v>
      </c>
      <c r="F25" s="61" t="str">
        <f>IF($J25=0,"",INDEX(nTP_Original_Text,$J25)&amp;"")</f>
        <v>Drug B infusion ended 08:50</v>
      </c>
      <c r="G25" s="61"/>
      <c r="H25" s="57" t="str">
        <f>IF($J25=0,"",INDEX(nTP_Source,$J25)&amp;"")</f>
        <v>Follow-up, version 2</v>
      </c>
      <c r="J25" s="1">
        <f>IFERROR(_xlfn.AGGREGATE(15,6,nTP_RowN/(nTP_Case_Key=$G$4),5),0)</f>
        <v>105</v>
      </c>
    </row>
    <row r="26" spans="1:20" ht="12" customHeight="1" x14ac:dyDescent="0.2">
      <c r="A26" s="44"/>
      <c r="B26" s="57" t="str">
        <f>IF($J26=0,"",INDEX(nTP_Record_ID,$J26)&amp;"")</f>
        <v>ADM-A1</v>
      </c>
      <c r="C26" s="57" t="str">
        <f>IF($J26=0,"",INDEX(nTP_Record_Type,$J26)&amp;"")</f>
        <v>ADMINISTRATION</v>
      </c>
      <c r="D26" s="57" t="str">
        <f>IF($J26=0,"",INDEX(nTP_Display,$J26)&amp;"")</f>
        <v>10 January 2026 09:00 (UTC-05:00)</v>
      </c>
      <c r="E26" s="57" t="str">
        <f>IF($J26=0,"",INDEX(nTP_Precision,$J26)&amp;IF(INDEX(nTP_Err,$J26)&lt;&gt;""," ("&amp;INDEX(nTP_Err,$J26)&amp;")",""))</f>
        <v>TIMESTAMP</v>
      </c>
      <c r="F26" s="61" t="str">
        <f>IF($J26=0,"",INDEX(nTP_Original_Text,$J26)&amp;"")</f>
        <v>Drug A IV, started 09:00</v>
      </c>
      <c r="G26" s="61"/>
      <c r="H26" s="57" t="str">
        <f>IF($J26=0,"",INDEX(nTP_Source,$J26)&amp;"")</f>
        <v>Medication administration record</v>
      </c>
      <c r="J26" s="1">
        <f>IFERROR(_xlfn.AGGREGATE(15,6,nTP_RowN/(nTP_Case_Key=$G$4),6),0)</f>
        <v>278</v>
      </c>
    </row>
    <row r="27" spans="1:20" ht="12" customHeight="1" x14ac:dyDescent="0.2">
      <c r="A27" s="44"/>
      <c r="B27" s="57" t="str">
        <f>IF($J27=0,"",INDEX(nTP_Record_ID,$J27)&amp;"")</f>
        <v>EV-1/ONSET</v>
      </c>
      <c r="C27" s="57" t="str">
        <f>IF($J27=0,"",INDEX(nTP_Record_Type,$J27)&amp;"")</f>
        <v>EVENT_ONSET</v>
      </c>
      <c r="D27" s="57" t="str">
        <f>IF($J27=0,"",INDEX(nTP_Display,$J27)&amp;"")</f>
        <v>10 January 2026 09:15 (UTC-05:00)</v>
      </c>
      <c r="E27" s="57" t="str">
        <f>IF($J27=0,"",INDEX(nTP_Precision,$J27)&amp;IF(INDEX(nTP_Err,$J27)&lt;&gt;""," ("&amp;INDEX(nTP_Err,$J27)&amp;")",""))</f>
        <v>TIMESTAMP</v>
      </c>
      <c r="F27" s="61" t="str">
        <f>IF($J27=0,"",INDEX(nTP_Original_Text,$J27)&amp;"")</f>
        <v>09:15 pt reports itching; urticaria chest and arms; audible wheeze; BP 84/52</v>
      </c>
      <c r="G27" s="61"/>
      <c r="H27" s="57" t="str">
        <f>IF($J27=0,"",INDEX(nTP_Source,$J27)&amp;"")</f>
        <v>Nursing observation chart</v>
      </c>
      <c r="J27" s="1">
        <f>IFERROR(_xlfn.AGGREGATE(15,6,nTP_RowN/(nTP_Case_Key=$G$4),7),0)</f>
        <v>312</v>
      </c>
    </row>
    <row r="28" spans="1:20" ht="12" customHeight="1" x14ac:dyDescent="0.2">
      <c r="A28" s="44"/>
      <c r="B28" s="57" t="str">
        <f>IF($J28=0,"",INDEX(nTP_Record_ID,$J28)&amp;"")</f>
        <v>M-BASE</v>
      </c>
      <c r="C28" s="57" t="str">
        <f>IF($J28=0,"",INDEX(nTP_Record_Type,$J28)&amp;"")</f>
        <v>MILESTONE:BASELINE</v>
      </c>
      <c r="D28" s="57" t="str">
        <f>IF($J28=0,"",INDEX(nTP_Display,$J28)&amp;"")</f>
        <v>10 January 2026 08:50 (UTC-05:00)</v>
      </c>
      <c r="E28" s="57" t="str">
        <f>IF($J28=0,"",INDEX(nTP_Precision,$J28)&amp;IF(INDEX(nTP_Err,$J28)&lt;&gt;""," ("&amp;INDEX(nTP_Err,$J28)&amp;")",""))</f>
        <v>TIMESTAMP</v>
      </c>
      <c r="F28" s="61" t="str">
        <f>IF($J28=0,"",INDEX(nTP_Original_Text,$J28)&amp;"")</f>
        <v>08:50 pre-infusion obs</v>
      </c>
      <c r="G28" s="61"/>
      <c r="H28" s="57" t="str">
        <f>IF($J28=0,"",INDEX(nTP_Source,$J28)&amp;"")</f>
        <v>Nursing chart</v>
      </c>
      <c r="J28" s="1">
        <f>IFERROR(_xlfn.AGGREGATE(15,6,nTP_RowN/(nTP_Case_Key=$G$4),8),0)</f>
        <v>425</v>
      </c>
    </row>
    <row r="29" spans="1:20" ht="12" customHeight="1" x14ac:dyDescent="0.2">
      <c r="A29" s="44"/>
      <c r="B29" s="57" t="str">
        <f>IF($J29=0,"",INDEX(nTP_Record_ID,$J29)&amp;"")</f>
        <v>M-EMERG</v>
      </c>
      <c r="C29" s="57" t="str">
        <f>IF($J29=0,"",INDEX(nTP_Record_Type,$J29)&amp;"")</f>
        <v>MILESTONE:INTERVENTION</v>
      </c>
      <c r="D29" s="57" t="str">
        <f>IF($J29=0,"",INDEX(nTP_Display,$J29)&amp;"")</f>
        <v>10 January 2026 09:18 (UTC-05:00)</v>
      </c>
      <c r="E29" s="57" t="str">
        <f>IF($J29=0,"",INDEX(nTP_Precision,$J29)&amp;IF(INDEX(nTP_Err,$J29)&lt;&gt;""," ("&amp;INDEX(nTP_Err,$J29)&amp;")",""))</f>
        <v>TIMESTAMP</v>
      </c>
      <c r="F29" s="61" t="str">
        <f>IF($J29=0,"",INDEX(nTP_Original_Text,$J29)&amp;"")</f>
        <v>Emergency medicines administered from 09:18</v>
      </c>
      <c r="G29" s="61"/>
      <c r="H29" s="57" t="str">
        <f>IF($J29=0,"",INDEX(nTP_Source,$J29)&amp;"")</f>
        <v>Medication administration record</v>
      </c>
      <c r="J29" s="1">
        <f>IFERROR(_xlfn.AGGREGATE(15,6,nTP_RowN/(nTP_Case_Key=$G$4),9),0)</f>
        <v>426</v>
      </c>
    </row>
    <row r="30" spans="1:20" ht="12" customHeight="1" x14ac:dyDescent="0.2">
      <c r="A30" s="44"/>
      <c r="B30" s="57" t="str">
        <f>IF($J30=0,"",INDEX(nTP_Record_ID,$J30)&amp;"")</f>
        <v>M-IMPROVE</v>
      </c>
      <c r="C30" s="57" t="str">
        <f>IF($J30=0,"",INDEX(nTP_Record_Type,$J30)&amp;"")</f>
        <v>MILESTONE:RECOVERY</v>
      </c>
      <c r="D30" s="57" t="str">
        <f>IF($J30=0,"",INDEX(nTP_Display,$J30)&amp;"")</f>
        <v>10 January 2026 09:35 (UTC-05:00)</v>
      </c>
      <c r="E30" s="57" t="str">
        <f>IF($J30=0,"",INDEX(nTP_Precision,$J30)&amp;IF(INDEX(nTP_Err,$J30)&lt;&gt;""," ("&amp;INDEX(nTP_Err,$J30)&amp;")",""))</f>
        <v>TIMESTAMP</v>
      </c>
      <c r="F30" s="61" t="str">
        <f>IF($J30=0,"",INDEX(nTP_Original_Text,$J30)&amp;"")</f>
        <v>09:35 wheeze settling, BP 108/70</v>
      </c>
      <c r="G30" s="61"/>
      <c r="H30" s="57" t="str">
        <f>IF($J30=0,"",INDEX(nTP_Source,$J30)&amp;"")</f>
        <v>Nursing chart</v>
      </c>
      <c r="J30" s="1">
        <f>IFERROR(_xlfn.AGGREGATE(15,6,nTP_RowN/(nTP_Case_Key=$G$4),10),0)</f>
        <v>427</v>
      </c>
    </row>
    <row r="31" spans="1:20" ht="12" customHeight="1" x14ac:dyDescent="0.2">
      <c r="A31" s="44"/>
      <c r="B31" s="57" t="str">
        <f>IF($J31=0,"",INDEX(nTP_Record_ID,$J31)&amp;"")</f>
        <v>M-DIAG</v>
      </c>
      <c r="C31" s="57" t="str">
        <f>IF($J31=0,"",INDEX(nTP_Record_Type,$J31)&amp;"")</f>
        <v>MILESTONE:DIAGNOSIS</v>
      </c>
      <c r="D31" s="57" t="str">
        <f>IF($J31=0,"",INDEX(nTP_Display,$J31)&amp;"")</f>
        <v>10 January 2026 09:50 (UTC-05:00)</v>
      </c>
      <c r="E31" s="57" t="str">
        <f>IF($J31=0,"",INDEX(nTP_Precision,$J31)&amp;IF(INDEX(nTP_Err,$J31)&lt;&gt;""," ("&amp;INDEX(nTP_Err,$J31)&amp;")",""))</f>
        <v>TIMESTAMP</v>
      </c>
      <c r="F31" s="61" t="str">
        <f>IF($J31=0,"",INDEX(nTP_Original_Text,$J31)&amp;"")</f>
        <v>Physician note written at 09:50</v>
      </c>
      <c r="G31" s="61"/>
      <c r="H31" s="57" t="str">
        <f>IF($J31=0,"",INDEX(nTP_Source,$J31)&amp;"")</f>
        <v>Physician note (version 2)</v>
      </c>
      <c r="J31" s="1">
        <f>IFERROR(_xlfn.AGGREGATE(15,6,nTP_RowN/(nTP_Case_Key=$G$4),11),0)</f>
        <v>428</v>
      </c>
    </row>
    <row r="32" spans="1:20" ht="12" customHeight="1" x14ac:dyDescent="0.2">
      <c r="A32" s="44"/>
      <c r="B32" s="57" t="str">
        <f>IF($J32=0,"",INDEX(nTP_Record_ID,$J32)&amp;"")</f>
        <v>M-TRYP</v>
      </c>
      <c r="C32" s="57" t="str">
        <f>IF($J32=0,"",INDEX(nTP_Record_Type,$J32)&amp;"")</f>
        <v>MILESTONE:TEST</v>
      </c>
      <c r="D32" s="57" t="str">
        <f>IF($J32=0,"",INDEX(nTP_Display,$J32)&amp;"")</f>
        <v>10 January 2026 10:05 (UTC-05:00)</v>
      </c>
      <c r="E32" s="57" t="str">
        <f>IF($J32=0,"",INDEX(nTP_Precision,$J32)&amp;IF(INDEX(nTP_Err,$J32)&lt;&gt;""," ("&amp;INDEX(nTP_Err,$J32)&amp;")",""))</f>
        <v>TIMESTAMP</v>
      </c>
      <c r="F32" s="61" t="str">
        <f>IF($J32=0,"",INDEX(nTP_Original_Text,$J32)&amp;"")</f>
        <v>tryptase sample 10:05</v>
      </c>
      <c r="G32" s="61"/>
      <c r="H32" s="57" t="str">
        <f>IF($J32=0,"",INDEX(nTP_Source,$J32)&amp;"")</f>
        <v>Follow-up, version 2</v>
      </c>
      <c r="J32" s="1">
        <f>IFERROR(_xlfn.AGGREGATE(15,6,nTP_RowN/(nTP_Case_Key=$G$4),12),0)</f>
        <v>429</v>
      </c>
    </row>
    <row r="33" spans="1:10" ht="12" customHeight="1" x14ac:dyDescent="0.2">
      <c r="A33" s="44"/>
      <c r="B33" s="57" t="str">
        <f>IF($J33=0,"",INDEX(nTP_Record_ID,$J33)&amp;"")</f>
        <v/>
      </c>
      <c r="C33" s="57" t="str">
        <f>IF($J33=0,"",INDEX(nTP_Record_Type,$J33)&amp;"")</f>
        <v/>
      </c>
      <c r="D33" s="57" t="str">
        <f>IF($J33=0,"",INDEX(nTP_Display,$J33)&amp;"")</f>
        <v/>
      </c>
      <c r="E33" s="57" t="str">
        <f>IF($J33=0,"",INDEX(nTP_Precision,$J33)&amp;IF(INDEX(nTP_Err,$J33)&lt;&gt;""," ("&amp;INDEX(nTP_Err,$J33)&amp;")",""))</f>
        <v/>
      </c>
      <c r="F33" s="61" t="str">
        <f>IF($J33=0,"",INDEX(nTP_Original_Text,$J33)&amp;"")</f>
        <v/>
      </c>
      <c r="G33" s="61"/>
      <c r="H33" s="57" t="str">
        <f>IF($J33=0,"",INDEX(nTP_Source,$J33)&amp;"")</f>
        <v/>
      </c>
      <c r="J33" s="1">
        <f>IFERROR(_xlfn.AGGREGATE(15,6,nTP_RowN/(nTP_Case_Key=$G$4),13),0)</f>
        <v>0</v>
      </c>
    </row>
    <row r="34" spans="1:10" ht="12" customHeight="1" x14ac:dyDescent="0.2">
      <c r="A34" s="44"/>
      <c r="B34" s="57" t="str">
        <f>IF($J34=0,"",INDEX(nTP_Record_ID,$J34)&amp;"")</f>
        <v/>
      </c>
      <c r="C34" s="57" t="str">
        <f>IF($J34=0,"",INDEX(nTP_Record_Type,$J34)&amp;"")</f>
        <v/>
      </c>
      <c r="D34" s="57" t="str">
        <f>IF($J34=0,"",INDEX(nTP_Display,$J34)&amp;"")</f>
        <v/>
      </c>
      <c r="E34" s="57" t="str">
        <f>IF($J34=0,"",INDEX(nTP_Precision,$J34)&amp;IF(INDEX(nTP_Err,$J34)&lt;&gt;""," ("&amp;INDEX(nTP_Err,$J34)&amp;")",""))</f>
        <v/>
      </c>
      <c r="F34" s="61" t="str">
        <f>IF($J34=0,"",INDEX(nTP_Original_Text,$J34)&amp;"")</f>
        <v/>
      </c>
      <c r="G34" s="61"/>
      <c r="H34" s="57" t="str">
        <f>IF($J34=0,"",INDEX(nTP_Source,$J34)&amp;"")</f>
        <v/>
      </c>
      <c r="J34" s="1">
        <f>IFERROR(_xlfn.AGGREGATE(15,6,nTP_RowN/(nTP_Case_Key=$G$4),14),0)</f>
        <v>0</v>
      </c>
    </row>
    <row r="35" spans="1:10" ht="12" customHeight="1" x14ac:dyDescent="0.2">
      <c r="A35" s="44"/>
      <c r="B35" s="57" t="str">
        <f>IF($J35=0,"",INDEX(nTP_Record_ID,$J35)&amp;"")</f>
        <v/>
      </c>
      <c r="C35" s="57" t="str">
        <f>IF($J35=0,"",INDEX(nTP_Record_Type,$J35)&amp;"")</f>
        <v/>
      </c>
      <c r="D35" s="57" t="str">
        <f>IF($J35=0,"",INDEX(nTP_Display,$J35)&amp;"")</f>
        <v/>
      </c>
      <c r="E35" s="57" t="str">
        <f>IF($J35=0,"",INDEX(nTP_Precision,$J35)&amp;IF(INDEX(nTP_Err,$J35)&lt;&gt;""," ("&amp;INDEX(nTP_Err,$J35)&amp;")",""))</f>
        <v/>
      </c>
      <c r="F35" s="61" t="str">
        <f>IF($J35=0,"",INDEX(nTP_Original_Text,$J35)&amp;"")</f>
        <v/>
      </c>
      <c r="G35" s="61"/>
      <c r="H35" s="57" t="str">
        <f>IF($J35=0,"",INDEX(nTP_Source,$J35)&amp;"")</f>
        <v/>
      </c>
      <c r="J35" s="1">
        <f>IFERROR(_xlfn.AGGREGATE(15,6,nTP_RowN/(nTP_Case_Key=$G$4),15),0)</f>
        <v>0</v>
      </c>
    </row>
    <row r="36" spans="1:10" ht="12" customHeight="1" x14ac:dyDescent="0.2">
      <c r="A36" s="44"/>
      <c r="B36" s="57" t="str">
        <f>IF($J36=0,"",INDEX(nTP_Record_ID,$J36)&amp;"")</f>
        <v/>
      </c>
      <c r="C36" s="57" t="str">
        <f>IF($J36=0,"",INDEX(nTP_Record_Type,$J36)&amp;"")</f>
        <v/>
      </c>
      <c r="D36" s="57" t="str">
        <f>IF($J36=0,"",INDEX(nTP_Display,$J36)&amp;"")</f>
        <v/>
      </c>
      <c r="E36" s="57" t="str">
        <f>IF($J36=0,"",INDEX(nTP_Precision,$J36)&amp;IF(INDEX(nTP_Err,$J36)&lt;&gt;""," ("&amp;INDEX(nTP_Err,$J36)&amp;")",""))</f>
        <v/>
      </c>
      <c r="F36" s="61" t="str">
        <f>IF($J36=0,"",INDEX(nTP_Original_Text,$J36)&amp;"")</f>
        <v/>
      </c>
      <c r="G36" s="61"/>
      <c r="H36" s="57" t="str">
        <f>IF($J36=0,"",INDEX(nTP_Source,$J36)&amp;"")</f>
        <v/>
      </c>
      <c r="J36" s="1">
        <f>IFERROR(_xlfn.AGGREGATE(15,6,nTP_RowN/(nTP_Case_Key=$G$4),16),0)</f>
        <v>0</v>
      </c>
    </row>
    <row r="37" spans="1:10" ht="12" customHeight="1" x14ac:dyDescent="0.2">
      <c r="A37" s="44"/>
      <c r="B37" s="57" t="str">
        <f>IF($J37=0,"",INDEX(nTP_Record_ID,$J37)&amp;"")</f>
        <v/>
      </c>
      <c r="C37" s="57" t="str">
        <f>IF($J37=0,"",INDEX(nTP_Record_Type,$J37)&amp;"")</f>
        <v/>
      </c>
      <c r="D37" s="57" t="str">
        <f>IF($J37=0,"",INDEX(nTP_Display,$J37)&amp;"")</f>
        <v/>
      </c>
      <c r="E37" s="57" t="str">
        <f>IF($J37=0,"",INDEX(nTP_Precision,$J37)&amp;IF(INDEX(nTP_Err,$J37)&lt;&gt;""," ("&amp;INDEX(nTP_Err,$J37)&amp;")",""))</f>
        <v/>
      </c>
      <c r="F37" s="61" t="str">
        <f>IF($J37=0,"",INDEX(nTP_Original_Text,$J37)&amp;"")</f>
        <v/>
      </c>
      <c r="G37" s="61"/>
      <c r="H37" s="57" t="str">
        <f>IF($J37=0,"",INDEX(nTP_Source,$J37)&amp;"")</f>
        <v/>
      </c>
      <c r="J37" s="1">
        <f>IFERROR(_xlfn.AGGREGATE(15,6,nTP_RowN/(nTP_Case_Key=$G$4),17),0)</f>
        <v>0</v>
      </c>
    </row>
    <row r="38" spans="1:10" ht="12" customHeight="1" x14ac:dyDescent="0.2">
      <c r="A38" s="44"/>
      <c r="B38" s="57" t="str">
        <f>IF($J38=0,"",INDEX(nTP_Record_ID,$J38)&amp;"")</f>
        <v/>
      </c>
      <c r="C38" s="57" t="str">
        <f>IF($J38=0,"",INDEX(nTP_Record_Type,$J38)&amp;"")</f>
        <v/>
      </c>
      <c r="D38" s="57" t="str">
        <f>IF($J38=0,"",INDEX(nTP_Display,$J38)&amp;"")</f>
        <v/>
      </c>
      <c r="E38" s="57" t="str">
        <f>IF($J38=0,"",INDEX(nTP_Precision,$J38)&amp;IF(INDEX(nTP_Err,$J38)&lt;&gt;""," ("&amp;INDEX(nTP_Err,$J38)&amp;")",""))</f>
        <v/>
      </c>
      <c r="F38" s="61" t="str">
        <f>IF($J38=0,"",INDEX(nTP_Original_Text,$J38)&amp;"")</f>
        <v/>
      </c>
      <c r="G38" s="61"/>
      <c r="H38" s="57" t="str">
        <f>IF($J38=0,"",INDEX(nTP_Source,$J38)&amp;"")</f>
        <v/>
      </c>
      <c r="J38" s="1">
        <f>IFERROR(_xlfn.AGGREGATE(15,6,nTP_RowN/(nTP_Case_Key=$G$4),18),0)</f>
        <v>0</v>
      </c>
    </row>
    <row r="39" spans="1:10" ht="12" customHeight="1" x14ac:dyDescent="0.2">
      <c r="A39" s="44"/>
      <c r="B39" s="57" t="str">
        <f>IF($J39=0,"",INDEX(nTP_Record_ID,$J39)&amp;"")</f>
        <v/>
      </c>
      <c r="C39" s="57" t="str">
        <f>IF($J39=0,"",INDEX(nTP_Record_Type,$J39)&amp;"")</f>
        <v/>
      </c>
      <c r="D39" s="57" t="str">
        <f>IF($J39=0,"",INDEX(nTP_Display,$J39)&amp;"")</f>
        <v/>
      </c>
      <c r="E39" s="57" t="str">
        <f>IF($J39=0,"",INDEX(nTP_Precision,$J39)&amp;IF(INDEX(nTP_Err,$J39)&lt;&gt;""," ("&amp;INDEX(nTP_Err,$J39)&amp;")",""))</f>
        <v/>
      </c>
      <c r="F39" s="61" t="str">
        <f>IF($J39=0,"",INDEX(nTP_Original_Text,$J39)&amp;"")</f>
        <v/>
      </c>
      <c r="G39" s="61"/>
      <c r="H39" s="57" t="str">
        <f>IF($J39=0,"",INDEX(nTP_Source,$J39)&amp;"")</f>
        <v/>
      </c>
      <c r="J39" s="1">
        <f>IFERROR(_xlfn.AGGREGATE(15,6,nTP_RowN/(nTP_Case_Key=$G$4),19),0)</f>
        <v>0</v>
      </c>
    </row>
    <row r="40" spans="1:10" ht="12" customHeight="1" x14ac:dyDescent="0.2">
      <c r="A40" s="44"/>
      <c r="B40" s="57" t="str">
        <f>IF($J40=0,"",INDEX(nTP_Record_ID,$J40)&amp;"")</f>
        <v/>
      </c>
      <c r="C40" s="57" t="str">
        <f>IF($J40=0,"",INDEX(nTP_Record_Type,$J40)&amp;"")</f>
        <v/>
      </c>
      <c r="D40" s="57" t="str">
        <f>IF($J40=0,"",INDEX(nTP_Display,$J40)&amp;"")</f>
        <v/>
      </c>
      <c r="E40" s="57" t="str">
        <f>IF($J40=0,"",INDEX(nTP_Precision,$J40)&amp;IF(INDEX(nTP_Err,$J40)&lt;&gt;""," ("&amp;INDEX(nTP_Err,$J40)&amp;")",""))</f>
        <v/>
      </c>
      <c r="F40" s="61" t="str">
        <f>IF($J40=0,"",INDEX(nTP_Original_Text,$J40)&amp;"")</f>
        <v/>
      </c>
      <c r="G40" s="61"/>
      <c r="H40" s="57" t="str">
        <f>IF($J40=0,"",INDEX(nTP_Source,$J40)&amp;"")</f>
        <v/>
      </c>
      <c r="J40" s="1">
        <f>IFERROR(_xlfn.AGGREGATE(15,6,nTP_RowN/(nTP_Case_Key=$G$4),20),0)</f>
        <v>0</v>
      </c>
    </row>
    <row r="41" spans="1:10" ht="12" customHeight="1" x14ac:dyDescent="0.2">
      <c r="A41" s="44"/>
      <c r="B41" s="57" t="str">
        <f>IF($J41=0,"",INDEX(nTP_Record_ID,$J41)&amp;"")</f>
        <v/>
      </c>
      <c r="C41" s="57" t="str">
        <f>IF($J41=0,"",INDEX(nTP_Record_Type,$J41)&amp;"")</f>
        <v/>
      </c>
      <c r="D41" s="57" t="str">
        <f>IF($J41=0,"",INDEX(nTP_Display,$J41)&amp;"")</f>
        <v/>
      </c>
      <c r="E41" s="57" t="str">
        <f>IF($J41=0,"",INDEX(nTP_Precision,$J41)&amp;IF(INDEX(nTP_Err,$J41)&lt;&gt;""," ("&amp;INDEX(nTP_Err,$J41)&amp;")",""))</f>
        <v/>
      </c>
      <c r="F41" s="61" t="str">
        <f>IF($J41=0,"",INDEX(nTP_Original_Text,$J41)&amp;"")</f>
        <v/>
      </c>
      <c r="G41" s="61"/>
      <c r="H41" s="57" t="str">
        <f>IF($J41=0,"",INDEX(nTP_Source,$J41)&amp;"")</f>
        <v/>
      </c>
      <c r="J41" s="1">
        <f>IFERROR(_xlfn.AGGREGATE(15,6,nTP_RowN/(nTP_Case_Key=$G$4),21),0)</f>
        <v>0</v>
      </c>
    </row>
    <row r="42" spans="1:10" ht="12" customHeight="1" x14ac:dyDescent="0.2">
      <c r="A42" s="44"/>
      <c r="B42" s="57" t="str">
        <f>IF($J42=0,"",INDEX(nTP_Record_ID,$J42)&amp;"")</f>
        <v/>
      </c>
      <c r="C42" s="57" t="str">
        <f>IF($J42=0,"",INDEX(nTP_Record_Type,$J42)&amp;"")</f>
        <v/>
      </c>
      <c r="D42" s="57" t="str">
        <f>IF($J42=0,"",INDEX(nTP_Display,$J42)&amp;"")</f>
        <v/>
      </c>
      <c r="E42" s="57" t="str">
        <f>IF($J42=0,"",INDEX(nTP_Precision,$J42)&amp;IF(INDEX(nTP_Err,$J42)&lt;&gt;""," ("&amp;INDEX(nTP_Err,$J42)&amp;")",""))</f>
        <v/>
      </c>
      <c r="F42" s="61" t="str">
        <f>IF($J42=0,"",INDEX(nTP_Original_Text,$J42)&amp;"")</f>
        <v/>
      </c>
      <c r="G42" s="61"/>
      <c r="H42" s="57" t="str">
        <f>IF($J42=0,"",INDEX(nTP_Source,$J42)&amp;"")</f>
        <v/>
      </c>
      <c r="J42" s="1">
        <f>IFERROR(_xlfn.AGGREGATE(15,6,nTP_RowN/(nTP_Case_Key=$G$4),22),0)</f>
        <v>0</v>
      </c>
    </row>
    <row r="43" spans="1:10" ht="12" customHeight="1" x14ac:dyDescent="0.2">
      <c r="A43" s="44"/>
      <c r="B43" s="57" t="str">
        <f>IF($J43=0,"",INDEX(nTP_Record_ID,$J43)&amp;"")</f>
        <v/>
      </c>
      <c r="C43" s="57" t="str">
        <f>IF($J43=0,"",INDEX(nTP_Record_Type,$J43)&amp;"")</f>
        <v/>
      </c>
      <c r="D43" s="57" t="str">
        <f>IF($J43=0,"",INDEX(nTP_Display,$J43)&amp;"")</f>
        <v/>
      </c>
      <c r="E43" s="57" t="str">
        <f>IF($J43=0,"",INDEX(nTP_Precision,$J43)&amp;IF(INDEX(nTP_Err,$J43)&lt;&gt;""," ("&amp;INDEX(nTP_Err,$J43)&amp;")",""))</f>
        <v/>
      </c>
      <c r="F43" s="61" t="str">
        <f>IF($J43=0,"",INDEX(nTP_Original_Text,$J43)&amp;"")</f>
        <v/>
      </c>
      <c r="G43" s="61"/>
      <c r="H43" s="57" t="str">
        <f>IF($J43=0,"",INDEX(nTP_Source,$J43)&amp;"")</f>
        <v/>
      </c>
      <c r="J43" s="1">
        <f>IFERROR(_xlfn.AGGREGATE(15,6,nTP_RowN/(nTP_Case_Key=$G$4),23),0)</f>
        <v>0</v>
      </c>
    </row>
    <row r="44" spans="1:10" ht="12" customHeight="1" x14ac:dyDescent="0.2">
      <c r="A44" s="44"/>
      <c r="B44" s="58" t="str">
        <f>IF($J44=0,"",INDEX(nTP_Record_ID,$J44)&amp;"")</f>
        <v/>
      </c>
      <c r="C44" s="58" t="str">
        <f>IF($J44=0,"",INDEX(nTP_Record_Type,$J44)&amp;"")</f>
        <v/>
      </c>
      <c r="D44" s="58" t="str">
        <f>IF($J44=0,"",INDEX(nTP_Display,$J44)&amp;"")</f>
        <v/>
      </c>
      <c r="E44" s="58" t="str">
        <f>IF($J44=0,"",INDEX(nTP_Precision,$J44)&amp;IF(INDEX(nTP_Err,$J44)&lt;&gt;""," ("&amp;INDEX(nTP_Err,$J44)&amp;")",""))</f>
        <v/>
      </c>
      <c r="F44" s="62" t="str">
        <f>IF($J44=0,"",INDEX(nTP_Original_Text,$J44)&amp;"")</f>
        <v/>
      </c>
      <c r="G44" s="62"/>
      <c r="H44" s="58" t="str">
        <f>IF($J44=0,"",INDEX(nTP_Source,$J44)&amp;"")</f>
        <v/>
      </c>
      <c r="J44" s="1">
        <f>IFERROR(_xlfn.AGGREGATE(15,6,nTP_RowN/(nTP_Case_Key=$G$4),24),0)</f>
        <v>0</v>
      </c>
    </row>
    <row r="45" spans="1:10" x14ac:dyDescent="0.2">
      <c r="A45" s="44"/>
      <c r="B45" s="44" t="str">
        <f>IF(COUNTIF(nTP_Case_Key,$G$4)&gt;24,COUNTIF(nTP_Case_Key,$G$4)-24&amp;" more dated records are not shown; see the Timepoints sheet.","")</f>
        <v/>
      </c>
      <c r="C45" s="44"/>
      <c r="D45" s="44"/>
      <c r="E45" s="44"/>
      <c r="F45" s="44"/>
      <c r="G45" s="44"/>
      <c r="H45" s="44"/>
    </row>
    <row r="46" spans="1:10" ht="15" x14ac:dyDescent="0.25">
      <c r="A46" s="44"/>
      <c r="B46" s="53" t="s">
        <v>2469</v>
      </c>
      <c r="C46" s="54"/>
      <c r="D46" s="54"/>
      <c r="E46" s="54"/>
      <c r="F46" s="54"/>
      <c r="G46" s="54"/>
      <c r="H46" s="54"/>
    </row>
    <row r="47" spans="1:10" x14ac:dyDescent="0.2">
      <c r="A47" s="44"/>
      <c r="B47" s="55" t="s">
        <v>2470</v>
      </c>
      <c r="C47" s="55" t="s">
        <v>2471</v>
      </c>
      <c r="D47" s="55" t="s">
        <v>2472</v>
      </c>
      <c r="E47" s="55" t="s">
        <v>2473</v>
      </c>
      <c r="F47" s="55" t="s">
        <v>2064</v>
      </c>
      <c r="G47" s="55" t="s">
        <v>2446</v>
      </c>
      <c r="H47" s="55" t="s">
        <v>2194</v>
      </c>
    </row>
    <row r="48" spans="1:10" ht="21" customHeight="1" x14ac:dyDescent="0.2">
      <c r="A48" s="44"/>
      <c r="B48" s="63" t="str">
        <f>IF($J48=0,"",INDEX(nINT_Interval_ID,$J48)&amp;"")</f>
        <v>I01</v>
      </c>
      <c r="C48" s="63" t="str">
        <f>IF($J48=0,"",INDEX(nINT_Link_ID,$J48)&amp;"; "&amp;INDEX(nINT_Anchor_Type,$J48))</f>
        <v>L1; FIRST_ADMIN</v>
      </c>
      <c r="D48" s="63" t="str">
        <f>IF($J48=0,"",IF(INDEX(nINT_K_Ok,$J48)=1,INDEX(nINT_Label,$J48),INDEX(nINT_Anchor_Record_ID_Used,$J48)&amp;" → "&amp;INDEX(nINT_End_Record_ID_Used,$J48)))</f>
        <v>EX-A/START → EV-1/ONSET</v>
      </c>
      <c r="E48" s="63" t="str">
        <f>IF($J48=0,"",INDEX(nINT_Calculation_Mode_Used,$J48)&amp;"")</f>
        <v>C1</v>
      </c>
      <c r="F48" s="63" t="str">
        <f>IF($J48=0,"",INDEX(nINT_Result_Display,$J48)&amp;"")</f>
        <v>15 minutes</v>
      </c>
      <c r="G48" s="63" t="str">
        <f>IF($J48=0,"",INDEX(nINT_QC_Flags,$J48)&amp;"")</f>
        <v/>
      </c>
      <c r="H48" s="63" t="str">
        <f>IF($J48=0,"",INDEX(nINT_Sequence_Status,$J48)&amp;"")</f>
        <v>AFTER</v>
      </c>
      <c r="J48" s="1">
        <f>IFERROR(_xlfn.AGGREGATE(15,6,(ROW(nINT_CaseKey)-ROW(INDEX(nINT_CaseKey,1,1))+1)/((nINT_CaseKey=$G$4)*(nINT_RowEmpty=0)),1),0)</f>
        <v>42</v>
      </c>
    </row>
    <row r="49" spans="1:10" ht="21" customHeight="1" x14ac:dyDescent="0.2">
      <c r="A49" s="44"/>
      <c r="B49" s="64" t="str">
        <f>IF($J49=0,"",INDEX(nINT_Interval_ID,$J49)&amp;"")</f>
        <v>I02</v>
      </c>
      <c r="C49" s="64" t="str">
        <f>IF($J49=0,"",INDEX(nINT_Link_ID,$J49)&amp;"; "&amp;INDEX(nINT_Anchor_Type,$J49))</f>
        <v>L1; FIRST_ADMIN</v>
      </c>
      <c r="D49" s="64" t="str">
        <f>IF($J49=0,"",IF(INDEX(nINT_K_Ok,$J49)=1,INDEX(nINT_Label,$J49),INDEX(nINT_Anchor_Record_ID_Used,$J49)&amp;" → "&amp;INDEX(nINT_End_Record_ID_Used,$J49)))</f>
        <v>EX-A/START → EV-1/ONSET</v>
      </c>
      <c r="E49" s="64" t="str">
        <f>IF($J49=0,"",INDEX(nINT_Calculation_Mode_Used,$J49)&amp;"")</f>
        <v>C2; C3</v>
      </c>
      <c r="F49" s="64" t="str">
        <f>IF($J49=0,"",INDEX(nINT_Result_Display,$J49)&amp;"")</f>
        <v>0 calendar days (order within the day from C1: AFTER); treatment Day 1</v>
      </c>
      <c r="G49" s="64" t="str">
        <f>IF($J49=0,"",INDEX(nINT_QC_Flags,$J49)&amp;"")</f>
        <v/>
      </c>
      <c r="H49" s="64" t="str">
        <f>IF($J49=0,"",INDEX(nINT_Sequence_Status,$J49)&amp;"")</f>
        <v>AFTER</v>
      </c>
      <c r="J49" s="1">
        <f>IFERROR(_xlfn.AGGREGATE(15,6,(ROW(nINT_CaseKey)-ROW(INDEX(nINT_CaseKey,1,1))+1)/((nINT_CaseKey=$G$4)*(nINT_RowEmpty=0)),2),0)</f>
        <v>43</v>
      </c>
    </row>
    <row r="50" spans="1:10" ht="21" customHeight="1" x14ac:dyDescent="0.2">
      <c r="A50" s="44"/>
      <c r="B50" s="64" t="str">
        <f>IF($J50=0,"",INDEX(nINT_Interval_ID,$J50)&amp;"")</f>
        <v>I03</v>
      </c>
      <c r="C50" s="64" t="str">
        <f>IF($J50=0,"",INDEX(nINT_Link_ID,$J50)&amp;"; "&amp;INDEX(nINT_Anchor_Type,$J50))</f>
        <v>L1; LAST_DOSE_BEFORE_ONSET</v>
      </c>
      <c r="D50" s="64" t="str">
        <f>IF($J50=0,"",IF(INDEX(nINT_K_Ok,$J50)=1,INDEX(nINT_Label,$J50),INDEX(nINT_Anchor_Record_ID_Used,$J50)&amp;" → "&amp;INDEX(nINT_End_Record_ID_Used,$J50)))</f>
        <v>EX-A/START → EV-1/ONSET</v>
      </c>
      <c r="E50" s="64" t="str">
        <f>IF($J50=0,"",INDEX(nINT_Calculation_Mode_Used,$J50)&amp;"")</f>
        <v>C1</v>
      </c>
      <c r="F50" s="64" t="str">
        <f>IF($J50=0,"",INDEX(nINT_Result_Display,$J50)&amp;"")</f>
        <v>15 minutes</v>
      </c>
      <c r="G50" s="64" t="str">
        <f>IF($J50=0,"",INDEX(nINT_QC_Flags,$J50)&amp;"")</f>
        <v/>
      </c>
      <c r="H50" s="64" t="str">
        <f>IF($J50=0,"",INDEX(nINT_Sequence_Status,$J50)&amp;"")</f>
        <v>AFTER</v>
      </c>
      <c r="J50" s="1">
        <f>IFERROR(_xlfn.AGGREGATE(15,6,(ROW(nINT_CaseKey)-ROW(INDEX(nINT_CaseKey,1,1))+1)/((nINT_CaseKey=$G$4)*(nINT_RowEmpty=0)),3),0)</f>
        <v>44</v>
      </c>
    </row>
    <row r="51" spans="1:10" ht="21" customHeight="1" x14ac:dyDescent="0.2">
      <c r="A51" s="44"/>
      <c r="B51" s="64" t="str">
        <f>IF($J51=0,"",INDEX(nINT_Interval_ID,$J51)&amp;"")</f>
        <v>I04</v>
      </c>
      <c r="C51" s="64" t="str">
        <f>IF($J51=0,"",INDEX(nINT_Link_ID,$J51)&amp;"; "&amp;INDEX(nINT_Anchor_Type,$J51))</f>
        <v>L2; CONCOMITANT_CHANGE</v>
      </c>
      <c r="D51" s="64" t="str">
        <f>IF($J51=0,"",IF(INDEX(nINT_K_Ok,$J51)=1,INDEX(nINT_Label,$J51),INDEX(nINT_Anchor_Record_ID_Used,$J51)&amp;" → "&amp;INDEX(nINT_End_Record_ID_Used,$J51)))</f>
        <v>EX-B/START → EV-1/ONSET</v>
      </c>
      <c r="E51" s="64" t="str">
        <f>IF($J51=0,"",INDEX(nINT_Calculation_Mode_Used,$J51)&amp;"")</f>
        <v>C1</v>
      </c>
      <c r="F51" s="64" t="str">
        <f>IF($J51=0,"",INDEX(nINT_Result_Display,$J51)&amp;"")</f>
        <v>55 minutes</v>
      </c>
      <c r="G51" s="64" t="str">
        <f>IF($J51=0,"",INDEX(nINT_QC_Flags,$J51)&amp;"")</f>
        <v/>
      </c>
      <c r="H51" s="64" t="str">
        <f>IF($J51=0,"",INDEX(nINT_Sequence_Status,$J51)&amp;"")</f>
        <v>AFTER</v>
      </c>
      <c r="J51" s="1">
        <f>IFERROR(_xlfn.AGGREGATE(15,6,(ROW(nINT_CaseKey)-ROW(INDEX(nINT_CaseKey,1,1))+1)/((nINT_CaseKey=$G$4)*(nINT_RowEmpty=0)),4),0)</f>
        <v>45</v>
      </c>
    </row>
    <row r="52" spans="1:10" ht="21" customHeight="1" x14ac:dyDescent="0.2">
      <c r="A52" s="44"/>
      <c r="B52" s="64" t="str">
        <f>IF($J52=0,"",INDEX(nINT_Interval_ID,$J52)&amp;"")</f>
        <v>I05</v>
      </c>
      <c r="C52" s="64" t="str">
        <f>IF($J52=0,"",INDEX(nINT_Link_ID,$J52)&amp;"; "&amp;INDEX(nINT_Anchor_Type,$J52))</f>
        <v>L2; OTHER</v>
      </c>
      <c r="D52" s="64" t="str">
        <f>IF($J52=0,"",IF(INDEX(nINT_K_Ok,$J52)=1,INDEX(nINT_Label,$J52),INDEX(nINT_Anchor_Record_ID_Used,$J52)&amp;" → "&amp;INDEX(nINT_End_Record_ID_Used,$J52)))</f>
        <v>EX-B/STOP → EV-1/ONSET</v>
      </c>
      <c r="E52" s="64" t="str">
        <f>IF($J52=0,"",INDEX(nINT_Calculation_Mode_Used,$J52)&amp;"")</f>
        <v>C1</v>
      </c>
      <c r="F52" s="64" t="str">
        <f>IF($J52=0,"",INDEX(nINT_Result_Display,$J52)&amp;"")</f>
        <v>25 minutes</v>
      </c>
      <c r="G52" s="64" t="str">
        <f>IF($J52=0,"",INDEX(nINT_QC_Flags,$J52)&amp;"")</f>
        <v/>
      </c>
      <c r="H52" s="64" t="str">
        <f>IF($J52=0,"",INDEX(nINT_Sequence_Status,$J52)&amp;"")</f>
        <v>AFTER</v>
      </c>
      <c r="J52" s="1">
        <f>IFERROR(_xlfn.AGGREGATE(15,6,(ROW(nINT_CaseKey)-ROW(INDEX(nINT_CaseKey,1,1))+1)/((nINT_CaseKey=$G$4)*(nINT_RowEmpty=0)),5),0)</f>
        <v>46</v>
      </c>
    </row>
    <row r="53" spans="1:10" ht="21" customHeight="1" x14ac:dyDescent="0.2">
      <c r="A53" s="44"/>
      <c r="B53" s="64" t="str">
        <f>IF($J53=0,"",INDEX(nINT_Interval_ID,$J53)&amp;"")</f>
        <v>I06</v>
      </c>
      <c r="C53" s="64" t="str">
        <f>IF($J53=0,"",INDEX(nINT_Link_ID,$J53)&amp;"; "&amp;INDEX(nINT_Anchor_Type,$J53))</f>
        <v>L3; OTHER</v>
      </c>
      <c r="D53" s="64" t="str">
        <f>IF($J53=0,"",IF(INDEX(nINT_K_Ok,$J53)=1,INDEX(nINT_Label,$J53),INDEX(nINT_Anchor_Record_ID_Used,$J53)&amp;" → "&amp;INDEX(nINT_End_Record_ID_Used,$J53)))</f>
        <v>EX-AS/START → EV-1/ONSET</v>
      </c>
      <c r="E53" s="64" t="str">
        <f>IF($J53=0,"",INDEX(nINT_Calculation_Mode_Used,$J53)&amp;"")</f>
        <v>C1</v>
      </c>
      <c r="F53" s="64" t="str">
        <f>IF($J53=0,"",INDEX(nINT_Result_Display,$J53)&amp;"")</f>
        <v>60 minutes (1.0 hours)</v>
      </c>
      <c r="G53" s="64" t="str">
        <f>IF($J53=0,"",INDEX(nINT_QC_Flags,$J53)&amp;"")</f>
        <v/>
      </c>
      <c r="H53" s="64" t="str">
        <f>IF($J53=0,"",INDEX(nINT_Sequence_Status,$J53)&amp;"")</f>
        <v>AFTER</v>
      </c>
      <c r="J53" s="1">
        <f>IFERROR(_xlfn.AGGREGATE(15,6,(ROW(nINT_CaseKey)-ROW(INDEX(nINT_CaseKey,1,1))+1)/((nINT_CaseKey=$G$4)*(nINT_RowEmpty=0)),6),0)</f>
        <v>47</v>
      </c>
    </row>
    <row r="54" spans="1:10" ht="21" customHeight="1" x14ac:dyDescent="0.2">
      <c r="A54" s="44"/>
      <c r="B54" s="64" t="str">
        <f>IF($J54=0,"",INDEX(nINT_Interval_ID,$J54)&amp;"")</f>
        <v>I07</v>
      </c>
      <c r="C54" s="64" t="str">
        <f>IF($J54=0,"",INDEX(nINT_Link_ID,$J54)&amp;"; "&amp;INDEX(nINT_Anchor_Type,$J54))</f>
        <v>L1; OTHER</v>
      </c>
      <c r="D54" s="64" t="str">
        <f>IF($J54=0,"",IF(INDEX(nINT_K_Ok,$J54)=1,INDEX(nINT_Label,$J54),INDEX(nINT_Anchor_Record_ID_Used,$J54)&amp;" → "&amp;INDEX(nINT_End_Record_ID_Used,$J54)))</f>
        <v>M-BASE → EV-1/ONSET</v>
      </c>
      <c r="E54" s="64" t="str">
        <f>IF($J54=0,"",INDEX(nINT_Calculation_Mode_Used,$J54)&amp;"")</f>
        <v>C1</v>
      </c>
      <c r="F54" s="64" t="str">
        <f>IF($J54=0,"",INDEX(nINT_Result_Display,$J54)&amp;"")</f>
        <v>25 minutes</v>
      </c>
      <c r="G54" s="64" t="str">
        <f>IF($J54=0,"",INDEX(nINT_QC_Flags,$J54)&amp;"")</f>
        <v/>
      </c>
      <c r="H54" s="64" t="str">
        <f>IF($J54=0,"",INDEX(nINT_Sequence_Status,$J54)&amp;"")</f>
        <v>AFTER</v>
      </c>
      <c r="J54" s="1">
        <f>IFERROR(_xlfn.AGGREGATE(15,6,(ROW(nINT_CaseKey)-ROW(INDEX(nINT_CaseKey,1,1))+1)/((nINT_CaseKey=$G$4)*(nINT_RowEmpty=0)),7),0)</f>
        <v>48</v>
      </c>
    </row>
    <row r="55" spans="1:10" ht="21" customHeight="1" x14ac:dyDescent="0.2">
      <c r="A55" s="44"/>
      <c r="B55" s="64" t="str">
        <f>IF($J55=0,"",INDEX(nINT_Interval_ID,$J55)&amp;"")</f>
        <v>I08</v>
      </c>
      <c r="C55" s="64" t="str">
        <f>IF($J55=0,"",INDEX(nINT_Link_ID,$J55)&amp;"; "&amp;INDEX(nINT_Anchor_Type,$J55))</f>
        <v>L1; CESSATION</v>
      </c>
      <c r="D55" s="64" t="str">
        <f>IF($J55=0,"",IF(INDEX(nINT_K_Ok,$J55)=1,INDEX(nINT_Label,$J55),INDEX(nINT_Anchor_Record_ID_Used,$J55)&amp;" → "&amp;INDEX(nINT_End_Record_ID_Used,$J55)))</f>
        <v>EX-A/STOP → EV-1/ONSET</v>
      </c>
      <c r="E55" s="64" t="str">
        <f>IF($J55=0,"",INDEX(nINT_Calculation_Mode_Used,$J55)&amp;"")</f>
        <v>C1</v>
      </c>
      <c r="F55" s="64" t="str">
        <f>IF($J55=0,"",INDEX(nINT_Result_Display,$J55)&amp;"")</f>
        <v>−1 minute</v>
      </c>
      <c r="G55" s="64" t="str">
        <f>IF($J55=0,"",INDEX(nINT_QC_Flags,$J55)&amp;"")</f>
        <v/>
      </c>
      <c r="H55" s="64" t="str">
        <f>IF($J55=0,"",INDEX(nINT_Sequence_Status,$J55)&amp;"")</f>
        <v>BEFORE</v>
      </c>
      <c r="J55" s="1">
        <f>IFERROR(_xlfn.AGGREGATE(15,6,(ROW(nINT_CaseKey)-ROW(INDEX(nINT_CaseKey,1,1))+1)/((nINT_CaseKey=$G$4)*(nINT_RowEmpty=0)),8),0)</f>
        <v>49</v>
      </c>
    </row>
    <row r="56" spans="1:10" ht="21" customHeight="1" x14ac:dyDescent="0.2">
      <c r="A56" s="44"/>
      <c r="B56" s="64" t="str">
        <f>IF($J56=0,"",INDEX(nINT_Interval_ID,$J56)&amp;"")</f>
        <v>I09</v>
      </c>
      <c r="C56" s="64" t="str">
        <f>IF($J56=0,"",INDEX(nINT_Link_ID,$J56)&amp;"; "&amp;INDEX(nINT_Anchor_Type,$J56))</f>
        <v>L1; OTHER</v>
      </c>
      <c r="D56" s="64" t="str">
        <f>IF($J56=0,"",IF(INDEX(nINT_K_Ok,$J56)=1,INDEX(nINT_Label,$J56),INDEX(nINT_Anchor_Record_ID_Used,$J56)&amp;" → "&amp;INDEX(nINT_End_Record_ID_Used,$J56)))</f>
        <v>M-EMERG → EV-1/ONSET</v>
      </c>
      <c r="E56" s="64" t="str">
        <f>IF($J56=0,"",INDEX(nINT_Calculation_Mode_Used,$J56)&amp;"")</f>
        <v>C1</v>
      </c>
      <c r="F56" s="64" t="str">
        <f>IF($J56=0,"",INDEX(nINT_Result_Display,$J56)&amp;"")</f>
        <v>−3 minutes</v>
      </c>
      <c r="G56" s="64" t="str">
        <f>IF($J56=0,"",INDEX(nINT_QC_Flags,$J56)&amp;"")</f>
        <v/>
      </c>
      <c r="H56" s="64" t="str">
        <f>IF($J56=0,"",INDEX(nINT_Sequence_Status,$J56)&amp;"")</f>
        <v>BEFORE</v>
      </c>
      <c r="J56" s="1">
        <f>IFERROR(_xlfn.AGGREGATE(15,6,(ROW(nINT_CaseKey)-ROW(INDEX(nINT_CaseKey,1,1))+1)/((nINT_CaseKey=$G$4)*(nINT_RowEmpty=0)),9),0)</f>
        <v>50</v>
      </c>
    </row>
    <row r="57" spans="1:10" ht="21" customHeight="1" x14ac:dyDescent="0.2">
      <c r="A57" s="44"/>
      <c r="B57" s="64" t="str">
        <f>IF($J57=0,"",INDEX(nINT_Interval_ID,$J57)&amp;"")</f>
        <v>I10</v>
      </c>
      <c r="C57" s="64" t="str">
        <f>IF($J57=0,"",INDEX(nINT_Link_ID,$J57)&amp;"; "&amp;INDEX(nINT_Anchor_Type,$J57))</f>
        <v>L1; CESSATION</v>
      </c>
      <c r="D57" s="64" t="str">
        <f>IF($J57=0,"",IF(INDEX(nINT_K_Ok,$J57)=1,INDEX(nINT_Label,$J57),INDEX(nINT_Anchor_Record_ID_Used,$J57)&amp;" → "&amp;INDEX(nINT_End_Record_ID_Used,$J57)))</f>
        <v>EX-A/STOP → M-IMPROVE (recovery)</v>
      </c>
      <c r="E57" s="64" t="str">
        <f>IF($J57=0,"",INDEX(nINT_Calculation_Mode_Used,$J57)&amp;"")</f>
        <v>C7 (C1)</v>
      </c>
      <c r="F57" s="64" t="str">
        <f>IF($J57=0,"",INDEX(nINT_Result_Display,$J57)&amp;"")</f>
        <v>19 minutes</v>
      </c>
      <c r="G57" s="64" t="str">
        <f>IF($J57=0,"",INDEX(nINT_QC_Flags,$J57)&amp;"")</f>
        <v>W_INTERVENTION_BEFORE_RECOVERY</v>
      </c>
      <c r="H57" s="64" t="str">
        <f>IF($J57=0,"",INDEX(nINT_Sequence_Status,$J57)&amp;"")</f>
        <v>AFTER</v>
      </c>
      <c r="J57" s="1">
        <f>IFERROR(_xlfn.AGGREGATE(15,6,(ROW(nINT_CaseKey)-ROW(INDEX(nINT_CaseKey,1,1))+1)/((nINT_CaseKey=$G$4)*(nINT_RowEmpty=0)),10),0)</f>
        <v>51</v>
      </c>
    </row>
    <row r="58" spans="1:10" ht="21" customHeight="1" x14ac:dyDescent="0.2">
      <c r="A58" s="44"/>
      <c r="B58" s="64" t="str">
        <f>IF($J58=0,"",INDEX(nINT_Interval_ID,$J58)&amp;"")</f>
        <v>I11</v>
      </c>
      <c r="C58" s="64" t="str">
        <f>IF($J58=0,"",INDEX(nINT_Link_ID,$J58)&amp;"; "&amp;INDEX(nINT_Anchor_Type,$J58))</f>
        <v>L1; OTHER</v>
      </c>
      <c r="D58" s="64" t="str">
        <f>IF($J58=0,"",IF(INDEX(nINT_K_Ok,$J58)=1,INDEX(nINT_Label,$J58),INDEX(nINT_Anchor_Record_ID_Used,$J58)&amp;" → "&amp;INDEX(nINT_End_Record_ID_Used,$J58)))</f>
        <v>M-EMERG → M-IMPROVE</v>
      </c>
      <c r="E58" s="64" t="str">
        <f>IF($J58=0,"",INDEX(nINT_Calculation_Mode_Used,$J58)&amp;"")</f>
        <v>C1</v>
      </c>
      <c r="F58" s="64" t="str">
        <f>IF($J58=0,"",INDEX(nINT_Result_Display,$J58)&amp;"")</f>
        <v>17 minutes</v>
      </c>
      <c r="G58" s="64" t="str">
        <f>IF($J58=0,"",INDEX(nINT_QC_Flags,$J58)&amp;"")</f>
        <v/>
      </c>
      <c r="H58" s="64" t="str">
        <f>IF($J58=0,"",INDEX(nINT_Sequence_Status,$J58)&amp;"")</f>
        <v>AFTER</v>
      </c>
      <c r="J58" s="1">
        <f>IFERROR(_xlfn.AGGREGATE(15,6,(ROW(nINT_CaseKey)-ROW(INDEX(nINT_CaseKey,1,1))+1)/((nINT_CaseKey=$G$4)*(nINT_RowEmpty=0)),11),0)</f>
        <v>52</v>
      </c>
    </row>
    <row r="59" spans="1:10" ht="21" customHeight="1" x14ac:dyDescent="0.2">
      <c r="A59" s="44"/>
      <c r="B59" s="64" t="str">
        <f>IF($J59=0,"",INDEX(nINT_Interval_ID,$J59)&amp;"")</f>
        <v>I12</v>
      </c>
      <c r="C59" s="64" t="str">
        <f>IF($J59=0,"",INDEX(nINT_Link_ID,$J59)&amp;"; "&amp;INDEX(nINT_Anchor_Type,$J59))</f>
        <v>L1; OTHER</v>
      </c>
      <c r="D59" s="64" t="str">
        <f>IF($J59=0,"",IF(INDEX(nINT_K_Ok,$J59)=1,INDEX(nINT_Label,$J59),INDEX(nINT_Anchor_Record_ID_Used,$J59)&amp;" → "&amp;INDEX(nINT_End_Record_ID_Used,$J59)))</f>
        <v>EV-1/ONSET → M-IMPROVE</v>
      </c>
      <c r="E59" s="64" t="str">
        <f>IF($J59=0,"",INDEX(nINT_Calculation_Mode_Used,$J59)&amp;"")</f>
        <v>C1</v>
      </c>
      <c r="F59" s="64" t="str">
        <f>IF($J59=0,"",INDEX(nINT_Result_Display,$J59)&amp;"")</f>
        <v>20 minutes</v>
      </c>
      <c r="G59" s="64" t="str">
        <f>IF($J59=0,"",INDEX(nINT_QC_Flags,$J59)&amp;"")</f>
        <v/>
      </c>
      <c r="H59" s="64" t="str">
        <f>IF($J59=0,"",INDEX(nINT_Sequence_Status,$J59)&amp;"")</f>
        <v>AFTER</v>
      </c>
      <c r="J59" s="1">
        <f>IFERROR(_xlfn.AGGREGATE(15,6,(ROW(nINT_CaseKey)-ROW(INDEX(nINT_CaseKey,1,1))+1)/((nINT_CaseKey=$G$4)*(nINT_RowEmpty=0)),12),0)</f>
        <v>53</v>
      </c>
    </row>
    <row r="60" spans="1:10" ht="21" customHeight="1" x14ac:dyDescent="0.2">
      <c r="A60" s="44"/>
      <c r="B60" s="64" t="str">
        <f>IF($J60=0,"",INDEX(nINT_Interval_ID,$J60)&amp;"")</f>
        <v>I13</v>
      </c>
      <c r="C60" s="64" t="str">
        <f>IF($J60=0,"",INDEX(nINT_Link_ID,$J60)&amp;"; "&amp;INDEX(nINT_Anchor_Type,$J60))</f>
        <v>L1; FIRST_ADMIN</v>
      </c>
      <c r="D60" s="64" t="str">
        <f>IF($J60=0,"",IF(INDEX(nINT_K_Ok,$J60)=1,INDEX(nINT_Label,$J60),INDEX(nINT_Anchor_Record_ID_Used,$J60)&amp;" → "&amp;INDEX(nINT_End_Record_ID_Used,$J60)))</f>
        <v>EX-A/START → EX-A/STOP</v>
      </c>
      <c r="E60" s="64" t="str">
        <f>IF($J60=0,"",INDEX(nINT_Calculation_Mode_Used,$J60)&amp;"")</f>
        <v>C1</v>
      </c>
      <c r="F60" s="64" t="str">
        <f>IF($J60=0,"",INDEX(nINT_Result_Display,$J60)&amp;"")</f>
        <v>16 minutes</v>
      </c>
      <c r="G60" s="64" t="str">
        <f>IF($J60=0,"",INDEX(nINT_QC_Flags,$J60)&amp;"")</f>
        <v/>
      </c>
      <c r="H60" s="64" t="str">
        <f>IF($J60=0,"",INDEX(nINT_Sequence_Status,$J60)&amp;"")</f>
        <v>AFTER</v>
      </c>
      <c r="J60" s="1">
        <f>IFERROR(_xlfn.AGGREGATE(15,6,(ROW(nINT_CaseKey)-ROW(INDEX(nINT_CaseKey,1,1))+1)/((nINT_CaseKey=$G$4)*(nINT_RowEmpty=0)),13),0)</f>
        <v>54</v>
      </c>
    </row>
    <row r="61" spans="1:10" ht="21" customHeight="1" x14ac:dyDescent="0.2">
      <c r="A61" s="44"/>
      <c r="B61" s="64" t="str">
        <f>IF($J61=0,"",INDEX(nINT_Interval_ID,$J61)&amp;"")</f>
        <v>I14</v>
      </c>
      <c r="C61" s="64" t="str">
        <f>IF($J61=0,"",INDEX(nINT_Link_ID,$J61)&amp;"; "&amp;INDEX(nINT_Anchor_Type,$J61))</f>
        <v>L1; OTHER</v>
      </c>
      <c r="D61" s="64" t="str">
        <f>IF($J61=0,"",IF(INDEX(nINT_K_Ok,$J61)=1,INDEX(nINT_Label,$J61),INDEX(nINT_Anchor_Record_ID_Used,$J61)&amp;" → "&amp;INDEX(nINT_End_Record_ID_Used,$J61)))</f>
        <v>EV-1/ONSET → M-TRYP</v>
      </c>
      <c r="E61" s="64" t="str">
        <f>IF($J61=0,"",INDEX(nINT_Calculation_Mode_Used,$J61)&amp;"")</f>
        <v>C1</v>
      </c>
      <c r="F61" s="64" t="str">
        <f>IF($J61=0,"",INDEX(nINT_Result_Display,$J61)&amp;"")</f>
        <v>50 minutes</v>
      </c>
      <c r="G61" s="64" t="str">
        <f>IF($J61=0,"",INDEX(nINT_QC_Flags,$J61)&amp;"")</f>
        <v/>
      </c>
      <c r="H61" s="64" t="str">
        <f>IF($J61=0,"",INDEX(nINT_Sequence_Status,$J61)&amp;"")</f>
        <v>AFTER</v>
      </c>
      <c r="J61" s="1">
        <f>IFERROR(_xlfn.AGGREGATE(15,6,(ROW(nINT_CaseKey)-ROW(INDEX(nINT_CaseKey,1,1))+1)/((nINT_CaseKey=$G$4)*(nINT_RowEmpty=0)),14),0)</f>
        <v>55</v>
      </c>
    </row>
    <row r="62" spans="1:10" ht="21" customHeight="1" x14ac:dyDescent="0.2">
      <c r="A62" s="44"/>
      <c r="B62" s="64" t="str">
        <f>IF($J62=0,"",INDEX(nINT_Interval_ID,$J62)&amp;"")</f>
        <v/>
      </c>
      <c r="C62" s="64" t="str">
        <f>IF($J62=0,"",INDEX(nINT_Link_ID,$J62)&amp;"; "&amp;INDEX(nINT_Anchor_Type,$J62))</f>
        <v/>
      </c>
      <c r="D62" s="64" t="str">
        <f>IF($J62=0,"",IF(INDEX(nINT_K_Ok,$J62)=1,INDEX(nINT_Label,$J62),INDEX(nINT_Anchor_Record_ID_Used,$J62)&amp;" → "&amp;INDEX(nINT_End_Record_ID_Used,$J62)))</f>
        <v/>
      </c>
      <c r="E62" s="64" t="str">
        <f>IF($J62=0,"",INDEX(nINT_Calculation_Mode_Used,$J62)&amp;"")</f>
        <v/>
      </c>
      <c r="F62" s="64" t="str">
        <f>IF($J62=0,"",INDEX(nINT_Result_Display,$J62)&amp;"")</f>
        <v/>
      </c>
      <c r="G62" s="64" t="str">
        <f>IF($J62=0,"",INDEX(nINT_QC_Flags,$J62)&amp;"")</f>
        <v/>
      </c>
      <c r="H62" s="64" t="str">
        <f>IF($J62=0,"",INDEX(nINT_Sequence_Status,$J62)&amp;"")</f>
        <v/>
      </c>
      <c r="J62" s="1">
        <f>IFERROR(_xlfn.AGGREGATE(15,6,(ROW(nINT_CaseKey)-ROW(INDEX(nINT_CaseKey,1,1))+1)/((nINT_CaseKey=$G$4)*(nINT_RowEmpty=0)),15),0)</f>
        <v>0</v>
      </c>
    </row>
    <row r="63" spans="1:10" ht="21" customHeight="1" x14ac:dyDescent="0.2">
      <c r="A63" s="44"/>
      <c r="B63" s="65" t="str">
        <f>IF($J63=0,"",INDEX(nINT_Interval_ID,$J63)&amp;"")</f>
        <v/>
      </c>
      <c r="C63" s="65" t="str">
        <f>IF($J63=0,"",INDEX(nINT_Link_ID,$J63)&amp;"; "&amp;INDEX(nINT_Anchor_Type,$J63))</f>
        <v/>
      </c>
      <c r="D63" s="65" t="str">
        <f>IF($J63=0,"",IF(INDEX(nINT_K_Ok,$J63)=1,INDEX(nINT_Label,$J63),INDEX(nINT_Anchor_Record_ID_Used,$J63)&amp;" → "&amp;INDEX(nINT_End_Record_ID_Used,$J63)))</f>
        <v/>
      </c>
      <c r="E63" s="65" t="str">
        <f>IF($J63=0,"",INDEX(nINT_Calculation_Mode_Used,$J63)&amp;"")</f>
        <v/>
      </c>
      <c r="F63" s="65" t="str">
        <f>IF($J63=0,"",INDEX(nINT_Result_Display,$J63)&amp;"")</f>
        <v/>
      </c>
      <c r="G63" s="65" t="str">
        <f>IF($J63=0,"",INDEX(nINT_QC_Flags,$J63)&amp;"")</f>
        <v/>
      </c>
      <c r="H63" s="65" t="str">
        <f>IF($J63=0,"",INDEX(nINT_Sequence_Status,$J63)&amp;"")</f>
        <v/>
      </c>
      <c r="J63" s="1">
        <f>IFERROR(_xlfn.AGGREGATE(15,6,(ROW(nINT_CaseKey)-ROW(INDEX(nINT_CaseKey,1,1))+1)/((nINT_CaseKey=$G$4)*(nINT_RowEmpty=0)),16),0)</f>
        <v>0</v>
      </c>
    </row>
    <row r="64" spans="1:10" x14ac:dyDescent="0.2">
      <c r="A64" s="44"/>
      <c r="B64" s="44" t="str">
        <f>IF(COUNTIFS(nINT_CaseKey,$G$4,nINT_RowEmpty,0)&gt;16,COUNTIFS(nINT_CaseKey,$G$4,nINT_RowEmpty,0)-16&amp;" more interval rows are not shown; see the Intervals sheet.","")</f>
        <v/>
      </c>
      <c r="C64" s="44"/>
      <c r="D64" s="44"/>
      <c r="E64" s="44"/>
      <c r="F64" s="44"/>
      <c r="G64" s="44"/>
      <c r="H64" s="44"/>
    </row>
    <row r="65" spans="1:14" ht="15" x14ac:dyDescent="0.25">
      <c r="A65" s="44"/>
      <c r="B65" s="53" t="s">
        <v>2474</v>
      </c>
      <c r="C65" s="54"/>
      <c r="D65" s="54"/>
      <c r="E65" s="54"/>
      <c r="F65" s="54"/>
      <c r="G65" s="54"/>
      <c r="H65" s="54"/>
    </row>
    <row r="66" spans="1:14" x14ac:dyDescent="0.2">
      <c r="A66" s="44"/>
      <c r="B66" s="55" t="s">
        <v>2475</v>
      </c>
      <c r="C66" s="55" t="s">
        <v>2059</v>
      </c>
      <c r="D66" s="55" t="s">
        <v>2476</v>
      </c>
      <c r="E66" s="55" t="s">
        <v>2064</v>
      </c>
      <c r="F66" s="59"/>
      <c r="G66" s="55" t="s">
        <v>2446</v>
      </c>
      <c r="H66" s="55" t="s">
        <v>776</v>
      </c>
    </row>
    <row r="67" spans="1:14" ht="21" customHeight="1" x14ac:dyDescent="0.2">
      <c r="A67" s="44"/>
      <c r="B67" s="63" t="str">
        <f>IF($L67=0,"",CHOOSE($L67,INDEX(nQ1_Calc_ID,$N67)&amp;"",INDEX(nQ2_Calc_ID,$N67)&amp;"",INDEX(nQ3_Calc_ID,$N67)&amp;"",INDEX(nQ4_Calc_ID,$N67)&amp;"",INDEX(nQ5_Calc_ID,$N67)&amp;"",INDEX(nQ6_Calc_ID,$N67)&amp;"",INDEX(nQ7_Calc_ID,$N67)&amp;"",INDEX(nQ8_Calc_ID,$N67)&amp;"",INDEX(nQ9_Calc_ID,$N67)&amp;"",INDEX(nQ10_Calc_ID,$N67)&amp;"",INDEX(nQ11_Calc_ID,$N67)&amp;""))</f>
        <v>Q9-C01</v>
      </c>
      <c r="C67" s="63" t="str">
        <f>IF($L67=0,"",INDEX($R$10:$R$20,$L67))</f>
        <v>Q9</v>
      </c>
      <c r="D67" s="63" t="str">
        <f>IF($L67=0,"",CHOOSE($L67,INDEX(nQ1_Label_Out,$N67)&amp;"",INDEX(nQ2_Label_Out,$N67)&amp;"",INDEX(nQ3_Label_Out,$N67)&amp;"",INDEX(nQ4_Label_Out,$N67)&amp;"",INDEX(nQ5_Label_Out,$N67)&amp;"",INDEX(nQ6_Label_Out,$N67)&amp;"",INDEX(nQ7_Label_Out,$N67)&amp;"",INDEX(nQ8_Label_Out,$N67)&amp;"",INDEX(nQ9_Label_Out,$N67)&amp;"",INDEX(nQ10_Label_Out,$N67)&amp;"",INDEX(nQ11_Label_Out,$N67)&amp;""))</f>
        <v>Amount of Drug A infused before onset (pump rate recorded in mL/hour only)</v>
      </c>
      <c r="E67" s="66" t="str">
        <f>IF($L67=0,"",CHOOSE($L67,INDEX(nQ1_Result_Display,$N67)&amp;"",INDEX(nQ2_Result_Display,$N67)&amp;"",INDEX(nQ3_Result_Display,$N67)&amp;"",INDEX(nQ4_Result_Display,$N67)&amp;"",INDEX(nQ5_Result_Display,$N67)&amp;"",INDEX(nQ6_Result_Display,$N67)&amp;"",INDEX(nQ7_Result_Display,$N67)&amp;"",INDEX(nQ8_Result_Display,$N67)&amp;"",INDEX(nQ9_Result_Display,$N67)&amp;"",INDEX(nQ10_Result_Display,$N67)&amp;"",INDEX(nQ11_Result_Display,$N67)&amp;""))</f>
        <v>E_INVALID_UNIT: no result is shown (infusion rates must be in mg/hour; mL/hour needs a concentration and is not supported in CALC-SPEC 1.1)</v>
      </c>
      <c r="F67" s="66"/>
      <c r="G67" s="63" t="str">
        <f>IF($L67=0,"",CHOOSE($L67,INDEX(nQ1_QC_Flags,$N67)&amp;"",INDEX(nQ2_QC_Flags,$N67)&amp;"",INDEX(nQ3_QC_Flags,$N67)&amp;"",INDEX(nQ4_QC_Flags,$N67)&amp;"",INDEX(nQ5_QC_Flags,$N67)&amp;"",INDEX(nQ6_QC_Flags,$N67)&amp;"",INDEX(nQ7_QC_Flags,$N67)&amp;"",INDEX(nQ8_QC_Flags,$N67)&amp;"",INDEX(nQ9_QC_Flags,$N67)&amp;"",INDEX(nQ10_QC_Flags,$N67)&amp;"",INDEX(nQ11_QC_Flags,$N67)&amp;""))</f>
        <v>E_INVALID_UNIT</v>
      </c>
      <c r="H67" s="63" t="str">
        <f>IF($L67=0,"",CHOOSE($L67,INDEX(nQ1_Unit_Out,$N67)&amp;"",INDEX(nQ2_Unit_Out,$N67)&amp;"",INDEX(nQ3_Unit_Out,$N67)&amp;"",INDEX(nQ4_Unit_Out,$N67)&amp;"",INDEX(nQ5_Unit_Out,$N67)&amp;"",INDEX(nQ6_Unit_Out,$N67)&amp;"",INDEX(nQ7_Unit_Out,$N67)&amp;"",INDEX(nQ8_Unit_Out,$N67)&amp;"",INDEX(nQ9_Unit_Out,$N67)&amp;"",INDEX(nQ10_Unit_Out,$N67)&amp;"",INDEX(nQ11_Unit_Out,$N67)&amp;""))</f>
        <v/>
      </c>
      <c r="L67" s="1">
        <f>IF(1&gt;SUM($S$10:$S$20),0,MATCH(1-1,$T$10:$T$20,1))</f>
        <v>9</v>
      </c>
      <c r="M67" s="1">
        <f>IF(L67=0,0,1-INDEX($T$10:$T$20,L67))</f>
        <v>1</v>
      </c>
      <c r="N67" s="1">
        <f>IF(L67=0,0,CHOOSE(L67,IFERROR(_xlfn.AGGREGATE(15,6,(ROW(nQ1_CaseKey)-ROW(INDEX(nQ1_CaseKey,1,1))+1)/((nQ1_CaseKey=$G$4)),M67),0),IFERROR(_xlfn.AGGREGATE(15,6,(ROW(nQ2_CaseKey)-ROW(INDEX(nQ2_CaseKey,1,1))+1)/((nQ2_CaseKey=$G$4)),M67),0),IFERROR(_xlfn.AGGREGATE(15,6,(ROW(nQ3_CaseKey)-ROW(INDEX(nQ3_CaseKey,1,1))+1)/((nQ3_CaseKey=$G$4)),M67),0),IFERROR(_xlfn.AGGREGATE(15,6,(ROW(nQ4_CaseKey)-ROW(INDEX(nQ4_CaseKey,1,1))+1)/((nQ4_CaseKey=$G$4)),M67),0),IFERROR(_xlfn.AGGREGATE(15,6,(ROW(nQ5_CaseKey)-ROW(INDEX(nQ5_CaseKey,1,1))+1)/((nQ5_CaseKey=$G$4)),M67),0),IFERROR(_xlfn.AGGREGATE(15,6,(ROW(nQ6_CaseKey)-ROW(INDEX(nQ6_CaseKey,1,1))+1)/((nQ6_CaseKey=$G$4)),M67),0),IFERROR(_xlfn.AGGREGATE(15,6,(ROW(nQ7_CaseKey)-ROW(INDEX(nQ7_CaseKey,1,1))+1)/((nQ7_CaseKey=$G$4)),M67),0),IFERROR(_xlfn.AGGREGATE(15,6,(ROW(nQ8_CaseKey)-ROW(INDEX(nQ8_CaseKey,1,1))+1)/((nQ8_CaseKey=$G$4)),M67),0),IFERROR(_xlfn.AGGREGATE(15,6,(ROW(nQ9_CaseKey)-ROW(INDEX(nQ9_CaseKey,1,1))+1)/((nQ9_CaseKey=$G$4)),M67),0),IFERROR(_xlfn.AGGREGATE(15,6,(ROW(nQ10_CaseKey)-ROW(INDEX(nQ10_CaseKey,1,1))+1)/((nQ10_CaseKey=$G$4)),M67),0),IFERROR(_xlfn.AGGREGATE(15,6,(ROW(nQ11_CaseKey)-ROW(INDEX(nQ11_CaseKey,1,1))+1)/((nQ11_CaseKey=$G$4)),M67),0)))</f>
        <v>10</v>
      </c>
    </row>
    <row r="68" spans="1:14" ht="21" customHeight="1" x14ac:dyDescent="0.2">
      <c r="A68" s="44"/>
      <c r="B68" s="64" t="str">
        <f>IF($L68=0,"",CHOOSE($L68,INDEX(nQ1_Calc_ID,$N68)&amp;"",INDEX(nQ2_Calc_ID,$N68)&amp;"",INDEX(nQ3_Calc_ID,$N68)&amp;"",INDEX(nQ4_Calc_ID,$N68)&amp;"",INDEX(nQ5_Calc_ID,$N68)&amp;"",INDEX(nQ6_Calc_ID,$N68)&amp;"",INDEX(nQ7_Calc_ID,$N68)&amp;"",INDEX(nQ8_Calc_ID,$N68)&amp;"",INDEX(nQ9_Calc_ID,$N68)&amp;"",INDEX(nQ10_Calc_ID,$N68)&amp;"",INDEX(nQ11_Calc_ID,$N68)&amp;""))</f>
        <v/>
      </c>
      <c r="C68" s="64" t="str">
        <f>IF($L68=0,"",INDEX($R$10:$R$20,$L68))</f>
        <v/>
      </c>
      <c r="D68" s="64" t="str">
        <f>IF($L68=0,"",CHOOSE($L68,INDEX(nQ1_Label_Out,$N68)&amp;"",INDEX(nQ2_Label_Out,$N68)&amp;"",INDEX(nQ3_Label_Out,$N68)&amp;"",INDEX(nQ4_Label_Out,$N68)&amp;"",INDEX(nQ5_Label_Out,$N68)&amp;"",INDEX(nQ6_Label_Out,$N68)&amp;"",INDEX(nQ7_Label_Out,$N68)&amp;"",INDEX(nQ8_Label_Out,$N68)&amp;"",INDEX(nQ9_Label_Out,$N68)&amp;"",INDEX(nQ10_Label_Out,$N68)&amp;"",INDEX(nQ11_Label_Out,$N68)&amp;""))</f>
        <v/>
      </c>
      <c r="E68" s="67" t="str">
        <f>IF($L68=0,"",CHOOSE($L68,INDEX(nQ1_Result_Display,$N68)&amp;"",INDEX(nQ2_Result_Display,$N68)&amp;"",INDEX(nQ3_Result_Display,$N68)&amp;"",INDEX(nQ4_Result_Display,$N68)&amp;"",INDEX(nQ5_Result_Display,$N68)&amp;"",INDEX(nQ6_Result_Display,$N68)&amp;"",INDEX(nQ7_Result_Display,$N68)&amp;"",INDEX(nQ8_Result_Display,$N68)&amp;"",INDEX(nQ9_Result_Display,$N68)&amp;"",INDEX(nQ10_Result_Display,$N68)&amp;"",INDEX(nQ11_Result_Display,$N68)&amp;""))</f>
        <v/>
      </c>
      <c r="F68" s="67"/>
      <c r="G68" s="64" t="str">
        <f>IF($L68=0,"",CHOOSE($L68,INDEX(nQ1_QC_Flags,$N68)&amp;"",INDEX(nQ2_QC_Flags,$N68)&amp;"",INDEX(nQ3_QC_Flags,$N68)&amp;"",INDEX(nQ4_QC_Flags,$N68)&amp;"",INDEX(nQ5_QC_Flags,$N68)&amp;"",INDEX(nQ6_QC_Flags,$N68)&amp;"",INDEX(nQ7_QC_Flags,$N68)&amp;"",INDEX(nQ8_QC_Flags,$N68)&amp;"",INDEX(nQ9_QC_Flags,$N68)&amp;"",INDEX(nQ10_QC_Flags,$N68)&amp;"",INDEX(nQ11_QC_Flags,$N68)&amp;""))</f>
        <v/>
      </c>
      <c r="H68" s="64" t="str">
        <f>IF($L68=0,"",CHOOSE($L68,INDEX(nQ1_Unit_Out,$N68)&amp;"",INDEX(nQ2_Unit_Out,$N68)&amp;"",INDEX(nQ3_Unit_Out,$N68)&amp;"",INDEX(nQ4_Unit_Out,$N68)&amp;"",INDEX(nQ5_Unit_Out,$N68)&amp;"",INDEX(nQ6_Unit_Out,$N68)&amp;"",INDEX(nQ7_Unit_Out,$N68)&amp;"",INDEX(nQ8_Unit_Out,$N68)&amp;"",INDEX(nQ9_Unit_Out,$N68)&amp;"",INDEX(nQ10_Unit_Out,$N68)&amp;"",INDEX(nQ11_Unit_Out,$N68)&amp;""))</f>
        <v/>
      </c>
      <c r="L68" s="1">
        <f>IF(2&gt;SUM($S$10:$S$20),0,MATCH(2-1,$T$10:$T$20,1))</f>
        <v>0</v>
      </c>
      <c r="M68" s="1">
        <f>IF(L68=0,0,2-INDEX($T$10:$T$20,L68))</f>
        <v>0</v>
      </c>
      <c r="N68" s="1">
        <f>IF(L68=0,0,CHOOSE(L68,IFERROR(_xlfn.AGGREGATE(15,6,(ROW(nQ1_CaseKey)-ROW(INDEX(nQ1_CaseKey,1,1))+1)/((nQ1_CaseKey=$G$4)),M68),0),IFERROR(_xlfn.AGGREGATE(15,6,(ROW(nQ2_CaseKey)-ROW(INDEX(nQ2_CaseKey,1,1))+1)/((nQ2_CaseKey=$G$4)),M68),0),IFERROR(_xlfn.AGGREGATE(15,6,(ROW(nQ3_CaseKey)-ROW(INDEX(nQ3_CaseKey,1,1))+1)/((nQ3_CaseKey=$G$4)),M68),0),IFERROR(_xlfn.AGGREGATE(15,6,(ROW(nQ4_CaseKey)-ROW(INDEX(nQ4_CaseKey,1,1))+1)/((nQ4_CaseKey=$G$4)),M68),0),IFERROR(_xlfn.AGGREGATE(15,6,(ROW(nQ5_CaseKey)-ROW(INDEX(nQ5_CaseKey,1,1))+1)/((nQ5_CaseKey=$G$4)),M68),0),IFERROR(_xlfn.AGGREGATE(15,6,(ROW(nQ6_CaseKey)-ROW(INDEX(nQ6_CaseKey,1,1))+1)/((nQ6_CaseKey=$G$4)),M68),0),IFERROR(_xlfn.AGGREGATE(15,6,(ROW(nQ7_CaseKey)-ROW(INDEX(nQ7_CaseKey,1,1))+1)/((nQ7_CaseKey=$G$4)),M68),0),IFERROR(_xlfn.AGGREGATE(15,6,(ROW(nQ8_CaseKey)-ROW(INDEX(nQ8_CaseKey,1,1))+1)/((nQ8_CaseKey=$G$4)),M68),0),IFERROR(_xlfn.AGGREGATE(15,6,(ROW(nQ9_CaseKey)-ROW(INDEX(nQ9_CaseKey,1,1))+1)/((nQ9_CaseKey=$G$4)),M68),0),IFERROR(_xlfn.AGGREGATE(15,6,(ROW(nQ10_CaseKey)-ROW(INDEX(nQ10_CaseKey,1,1))+1)/((nQ10_CaseKey=$G$4)),M68),0),IFERROR(_xlfn.AGGREGATE(15,6,(ROW(nQ11_CaseKey)-ROW(INDEX(nQ11_CaseKey,1,1))+1)/((nQ11_CaseKey=$G$4)),M68),0)))</f>
        <v>0</v>
      </c>
    </row>
    <row r="69" spans="1:14" ht="21" customHeight="1" x14ac:dyDescent="0.2">
      <c r="A69" s="44"/>
      <c r="B69" s="64" t="str">
        <f>IF($L69=0,"",CHOOSE($L69,INDEX(nQ1_Calc_ID,$N69)&amp;"",INDEX(nQ2_Calc_ID,$N69)&amp;"",INDEX(nQ3_Calc_ID,$N69)&amp;"",INDEX(nQ4_Calc_ID,$N69)&amp;"",INDEX(nQ5_Calc_ID,$N69)&amp;"",INDEX(nQ6_Calc_ID,$N69)&amp;"",INDEX(nQ7_Calc_ID,$N69)&amp;"",INDEX(nQ8_Calc_ID,$N69)&amp;"",INDEX(nQ9_Calc_ID,$N69)&amp;"",INDEX(nQ10_Calc_ID,$N69)&amp;"",INDEX(nQ11_Calc_ID,$N69)&amp;""))</f>
        <v/>
      </c>
      <c r="C69" s="64" t="str">
        <f>IF($L69=0,"",INDEX($R$10:$R$20,$L69))</f>
        <v/>
      </c>
      <c r="D69" s="64" t="str">
        <f>IF($L69=0,"",CHOOSE($L69,INDEX(nQ1_Label_Out,$N69)&amp;"",INDEX(nQ2_Label_Out,$N69)&amp;"",INDEX(nQ3_Label_Out,$N69)&amp;"",INDEX(nQ4_Label_Out,$N69)&amp;"",INDEX(nQ5_Label_Out,$N69)&amp;"",INDEX(nQ6_Label_Out,$N69)&amp;"",INDEX(nQ7_Label_Out,$N69)&amp;"",INDEX(nQ8_Label_Out,$N69)&amp;"",INDEX(nQ9_Label_Out,$N69)&amp;"",INDEX(nQ10_Label_Out,$N69)&amp;"",INDEX(nQ11_Label_Out,$N69)&amp;""))</f>
        <v/>
      </c>
      <c r="E69" s="67" t="str">
        <f>IF($L69=0,"",CHOOSE($L69,INDEX(nQ1_Result_Display,$N69)&amp;"",INDEX(nQ2_Result_Display,$N69)&amp;"",INDEX(nQ3_Result_Display,$N69)&amp;"",INDEX(nQ4_Result_Display,$N69)&amp;"",INDEX(nQ5_Result_Display,$N69)&amp;"",INDEX(nQ6_Result_Display,$N69)&amp;"",INDEX(nQ7_Result_Display,$N69)&amp;"",INDEX(nQ8_Result_Display,$N69)&amp;"",INDEX(nQ9_Result_Display,$N69)&amp;"",INDEX(nQ10_Result_Display,$N69)&amp;"",INDEX(nQ11_Result_Display,$N69)&amp;""))</f>
        <v/>
      </c>
      <c r="F69" s="67"/>
      <c r="G69" s="64" t="str">
        <f>IF($L69=0,"",CHOOSE($L69,INDEX(nQ1_QC_Flags,$N69)&amp;"",INDEX(nQ2_QC_Flags,$N69)&amp;"",INDEX(nQ3_QC_Flags,$N69)&amp;"",INDEX(nQ4_QC_Flags,$N69)&amp;"",INDEX(nQ5_QC_Flags,$N69)&amp;"",INDEX(nQ6_QC_Flags,$N69)&amp;"",INDEX(nQ7_QC_Flags,$N69)&amp;"",INDEX(nQ8_QC_Flags,$N69)&amp;"",INDEX(nQ9_QC_Flags,$N69)&amp;"",INDEX(nQ10_QC_Flags,$N69)&amp;"",INDEX(nQ11_QC_Flags,$N69)&amp;""))</f>
        <v/>
      </c>
      <c r="H69" s="64" t="str">
        <f>IF($L69=0,"",CHOOSE($L69,INDEX(nQ1_Unit_Out,$N69)&amp;"",INDEX(nQ2_Unit_Out,$N69)&amp;"",INDEX(nQ3_Unit_Out,$N69)&amp;"",INDEX(nQ4_Unit_Out,$N69)&amp;"",INDEX(nQ5_Unit_Out,$N69)&amp;"",INDEX(nQ6_Unit_Out,$N69)&amp;"",INDEX(nQ7_Unit_Out,$N69)&amp;"",INDEX(nQ8_Unit_Out,$N69)&amp;"",INDEX(nQ9_Unit_Out,$N69)&amp;"",INDEX(nQ10_Unit_Out,$N69)&amp;"",INDEX(nQ11_Unit_Out,$N69)&amp;""))</f>
        <v/>
      </c>
      <c r="L69" s="1">
        <f>IF(3&gt;SUM($S$10:$S$20),0,MATCH(3-1,$T$10:$T$20,1))</f>
        <v>0</v>
      </c>
      <c r="M69" s="1">
        <f>IF(L69=0,0,3-INDEX($T$10:$T$20,L69))</f>
        <v>0</v>
      </c>
      <c r="N69" s="1">
        <f>IF(L69=0,0,CHOOSE(L69,IFERROR(_xlfn.AGGREGATE(15,6,(ROW(nQ1_CaseKey)-ROW(INDEX(nQ1_CaseKey,1,1))+1)/((nQ1_CaseKey=$G$4)),M69),0),IFERROR(_xlfn.AGGREGATE(15,6,(ROW(nQ2_CaseKey)-ROW(INDEX(nQ2_CaseKey,1,1))+1)/((nQ2_CaseKey=$G$4)),M69),0),IFERROR(_xlfn.AGGREGATE(15,6,(ROW(nQ3_CaseKey)-ROW(INDEX(nQ3_CaseKey,1,1))+1)/((nQ3_CaseKey=$G$4)),M69),0),IFERROR(_xlfn.AGGREGATE(15,6,(ROW(nQ4_CaseKey)-ROW(INDEX(nQ4_CaseKey,1,1))+1)/((nQ4_CaseKey=$G$4)),M69),0),IFERROR(_xlfn.AGGREGATE(15,6,(ROW(nQ5_CaseKey)-ROW(INDEX(nQ5_CaseKey,1,1))+1)/((nQ5_CaseKey=$G$4)),M69),0),IFERROR(_xlfn.AGGREGATE(15,6,(ROW(nQ6_CaseKey)-ROW(INDEX(nQ6_CaseKey,1,1))+1)/((nQ6_CaseKey=$G$4)),M69),0),IFERROR(_xlfn.AGGREGATE(15,6,(ROW(nQ7_CaseKey)-ROW(INDEX(nQ7_CaseKey,1,1))+1)/((nQ7_CaseKey=$G$4)),M69),0),IFERROR(_xlfn.AGGREGATE(15,6,(ROW(nQ8_CaseKey)-ROW(INDEX(nQ8_CaseKey,1,1))+1)/((nQ8_CaseKey=$G$4)),M69),0),IFERROR(_xlfn.AGGREGATE(15,6,(ROW(nQ9_CaseKey)-ROW(INDEX(nQ9_CaseKey,1,1))+1)/((nQ9_CaseKey=$G$4)),M69),0),IFERROR(_xlfn.AGGREGATE(15,6,(ROW(nQ10_CaseKey)-ROW(INDEX(nQ10_CaseKey,1,1))+1)/((nQ10_CaseKey=$G$4)),M69),0),IFERROR(_xlfn.AGGREGATE(15,6,(ROW(nQ11_CaseKey)-ROW(INDEX(nQ11_CaseKey,1,1))+1)/((nQ11_CaseKey=$G$4)),M69),0)))</f>
        <v>0</v>
      </c>
    </row>
    <row r="70" spans="1:14" ht="21" customHeight="1" x14ac:dyDescent="0.2">
      <c r="A70" s="44"/>
      <c r="B70" s="64" t="str">
        <f>IF($L70=0,"",CHOOSE($L70,INDEX(nQ1_Calc_ID,$N70)&amp;"",INDEX(nQ2_Calc_ID,$N70)&amp;"",INDEX(nQ3_Calc_ID,$N70)&amp;"",INDEX(nQ4_Calc_ID,$N70)&amp;"",INDEX(nQ5_Calc_ID,$N70)&amp;"",INDEX(nQ6_Calc_ID,$N70)&amp;"",INDEX(nQ7_Calc_ID,$N70)&amp;"",INDEX(nQ8_Calc_ID,$N70)&amp;"",INDEX(nQ9_Calc_ID,$N70)&amp;"",INDEX(nQ10_Calc_ID,$N70)&amp;"",INDEX(nQ11_Calc_ID,$N70)&amp;""))</f>
        <v/>
      </c>
      <c r="C70" s="64" t="str">
        <f>IF($L70=0,"",INDEX($R$10:$R$20,$L70))</f>
        <v/>
      </c>
      <c r="D70" s="64" t="str">
        <f>IF($L70=0,"",CHOOSE($L70,INDEX(nQ1_Label_Out,$N70)&amp;"",INDEX(nQ2_Label_Out,$N70)&amp;"",INDEX(nQ3_Label_Out,$N70)&amp;"",INDEX(nQ4_Label_Out,$N70)&amp;"",INDEX(nQ5_Label_Out,$N70)&amp;"",INDEX(nQ6_Label_Out,$N70)&amp;"",INDEX(nQ7_Label_Out,$N70)&amp;"",INDEX(nQ8_Label_Out,$N70)&amp;"",INDEX(nQ9_Label_Out,$N70)&amp;"",INDEX(nQ10_Label_Out,$N70)&amp;"",INDEX(nQ11_Label_Out,$N70)&amp;""))</f>
        <v/>
      </c>
      <c r="E70" s="67" t="str">
        <f>IF($L70=0,"",CHOOSE($L70,INDEX(nQ1_Result_Display,$N70)&amp;"",INDEX(nQ2_Result_Display,$N70)&amp;"",INDEX(nQ3_Result_Display,$N70)&amp;"",INDEX(nQ4_Result_Display,$N70)&amp;"",INDEX(nQ5_Result_Display,$N70)&amp;"",INDEX(nQ6_Result_Display,$N70)&amp;"",INDEX(nQ7_Result_Display,$N70)&amp;"",INDEX(nQ8_Result_Display,$N70)&amp;"",INDEX(nQ9_Result_Display,$N70)&amp;"",INDEX(nQ10_Result_Display,$N70)&amp;"",INDEX(nQ11_Result_Display,$N70)&amp;""))</f>
        <v/>
      </c>
      <c r="F70" s="67"/>
      <c r="G70" s="64" t="str">
        <f>IF($L70=0,"",CHOOSE($L70,INDEX(nQ1_QC_Flags,$N70)&amp;"",INDEX(nQ2_QC_Flags,$N70)&amp;"",INDEX(nQ3_QC_Flags,$N70)&amp;"",INDEX(nQ4_QC_Flags,$N70)&amp;"",INDEX(nQ5_QC_Flags,$N70)&amp;"",INDEX(nQ6_QC_Flags,$N70)&amp;"",INDEX(nQ7_QC_Flags,$N70)&amp;"",INDEX(nQ8_QC_Flags,$N70)&amp;"",INDEX(nQ9_QC_Flags,$N70)&amp;"",INDEX(nQ10_QC_Flags,$N70)&amp;"",INDEX(nQ11_QC_Flags,$N70)&amp;""))</f>
        <v/>
      </c>
      <c r="H70" s="64" t="str">
        <f>IF($L70=0,"",CHOOSE($L70,INDEX(nQ1_Unit_Out,$N70)&amp;"",INDEX(nQ2_Unit_Out,$N70)&amp;"",INDEX(nQ3_Unit_Out,$N70)&amp;"",INDEX(nQ4_Unit_Out,$N70)&amp;"",INDEX(nQ5_Unit_Out,$N70)&amp;"",INDEX(nQ6_Unit_Out,$N70)&amp;"",INDEX(nQ7_Unit_Out,$N70)&amp;"",INDEX(nQ8_Unit_Out,$N70)&amp;"",INDEX(nQ9_Unit_Out,$N70)&amp;"",INDEX(nQ10_Unit_Out,$N70)&amp;"",INDEX(nQ11_Unit_Out,$N70)&amp;""))</f>
        <v/>
      </c>
      <c r="L70" s="1">
        <f>IF(4&gt;SUM($S$10:$S$20),0,MATCH(4-1,$T$10:$T$20,1))</f>
        <v>0</v>
      </c>
      <c r="M70" s="1">
        <f>IF(L70=0,0,4-INDEX($T$10:$T$20,L70))</f>
        <v>0</v>
      </c>
      <c r="N70" s="1">
        <f>IF(L70=0,0,CHOOSE(L70,IFERROR(_xlfn.AGGREGATE(15,6,(ROW(nQ1_CaseKey)-ROW(INDEX(nQ1_CaseKey,1,1))+1)/((nQ1_CaseKey=$G$4)),M70),0),IFERROR(_xlfn.AGGREGATE(15,6,(ROW(nQ2_CaseKey)-ROW(INDEX(nQ2_CaseKey,1,1))+1)/((nQ2_CaseKey=$G$4)),M70),0),IFERROR(_xlfn.AGGREGATE(15,6,(ROW(nQ3_CaseKey)-ROW(INDEX(nQ3_CaseKey,1,1))+1)/((nQ3_CaseKey=$G$4)),M70),0),IFERROR(_xlfn.AGGREGATE(15,6,(ROW(nQ4_CaseKey)-ROW(INDEX(nQ4_CaseKey,1,1))+1)/((nQ4_CaseKey=$G$4)),M70),0),IFERROR(_xlfn.AGGREGATE(15,6,(ROW(nQ5_CaseKey)-ROW(INDEX(nQ5_CaseKey,1,1))+1)/((nQ5_CaseKey=$G$4)),M70),0),IFERROR(_xlfn.AGGREGATE(15,6,(ROW(nQ6_CaseKey)-ROW(INDEX(nQ6_CaseKey,1,1))+1)/((nQ6_CaseKey=$G$4)),M70),0),IFERROR(_xlfn.AGGREGATE(15,6,(ROW(nQ7_CaseKey)-ROW(INDEX(nQ7_CaseKey,1,1))+1)/((nQ7_CaseKey=$G$4)),M70),0),IFERROR(_xlfn.AGGREGATE(15,6,(ROW(nQ8_CaseKey)-ROW(INDEX(nQ8_CaseKey,1,1))+1)/((nQ8_CaseKey=$G$4)),M70),0),IFERROR(_xlfn.AGGREGATE(15,6,(ROW(nQ9_CaseKey)-ROW(INDEX(nQ9_CaseKey,1,1))+1)/((nQ9_CaseKey=$G$4)),M70),0),IFERROR(_xlfn.AGGREGATE(15,6,(ROW(nQ10_CaseKey)-ROW(INDEX(nQ10_CaseKey,1,1))+1)/((nQ10_CaseKey=$G$4)),M70),0),IFERROR(_xlfn.AGGREGATE(15,6,(ROW(nQ11_CaseKey)-ROW(INDEX(nQ11_CaseKey,1,1))+1)/((nQ11_CaseKey=$G$4)),M70),0)))</f>
        <v>0</v>
      </c>
    </row>
    <row r="71" spans="1:14" ht="21" customHeight="1" x14ac:dyDescent="0.2">
      <c r="A71" s="44"/>
      <c r="B71" s="64" t="str">
        <f>IF($L71=0,"",CHOOSE($L71,INDEX(nQ1_Calc_ID,$N71)&amp;"",INDEX(nQ2_Calc_ID,$N71)&amp;"",INDEX(nQ3_Calc_ID,$N71)&amp;"",INDEX(nQ4_Calc_ID,$N71)&amp;"",INDEX(nQ5_Calc_ID,$N71)&amp;"",INDEX(nQ6_Calc_ID,$N71)&amp;"",INDEX(nQ7_Calc_ID,$N71)&amp;"",INDEX(nQ8_Calc_ID,$N71)&amp;"",INDEX(nQ9_Calc_ID,$N71)&amp;"",INDEX(nQ10_Calc_ID,$N71)&amp;"",INDEX(nQ11_Calc_ID,$N71)&amp;""))</f>
        <v/>
      </c>
      <c r="C71" s="64" t="str">
        <f>IF($L71=0,"",INDEX($R$10:$R$20,$L71))</f>
        <v/>
      </c>
      <c r="D71" s="64" t="str">
        <f>IF($L71=0,"",CHOOSE($L71,INDEX(nQ1_Label_Out,$N71)&amp;"",INDEX(nQ2_Label_Out,$N71)&amp;"",INDEX(nQ3_Label_Out,$N71)&amp;"",INDEX(nQ4_Label_Out,$N71)&amp;"",INDEX(nQ5_Label_Out,$N71)&amp;"",INDEX(nQ6_Label_Out,$N71)&amp;"",INDEX(nQ7_Label_Out,$N71)&amp;"",INDEX(nQ8_Label_Out,$N71)&amp;"",INDEX(nQ9_Label_Out,$N71)&amp;"",INDEX(nQ10_Label_Out,$N71)&amp;"",INDEX(nQ11_Label_Out,$N71)&amp;""))</f>
        <v/>
      </c>
      <c r="E71" s="67" t="str">
        <f>IF($L71=0,"",CHOOSE($L71,INDEX(nQ1_Result_Display,$N71)&amp;"",INDEX(nQ2_Result_Display,$N71)&amp;"",INDEX(nQ3_Result_Display,$N71)&amp;"",INDEX(nQ4_Result_Display,$N71)&amp;"",INDEX(nQ5_Result_Display,$N71)&amp;"",INDEX(nQ6_Result_Display,$N71)&amp;"",INDEX(nQ7_Result_Display,$N71)&amp;"",INDEX(nQ8_Result_Display,$N71)&amp;"",INDEX(nQ9_Result_Display,$N71)&amp;"",INDEX(nQ10_Result_Display,$N71)&amp;"",INDEX(nQ11_Result_Display,$N71)&amp;""))</f>
        <v/>
      </c>
      <c r="F71" s="67"/>
      <c r="G71" s="64" t="str">
        <f>IF($L71=0,"",CHOOSE($L71,INDEX(nQ1_QC_Flags,$N71)&amp;"",INDEX(nQ2_QC_Flags,$N71)&amp;"",INDEX(nQ3_QC_Flags,$N71)&amp;"",INDEX(nQ4_QC_Flags,$N71)&amp;"",INDEX(nQ5_QC_Flags,$N71)&amp;"",INDEX(nQ6_QC_Flags,$N71)&amp;"",INDEX(nQ7_QC_Flags,$N71)&amp;"",INDEX(nQ8_QC_Flags,$N71)&amp;"",INDEX(nQ9_QC_Flags,$N71)&amp;"",INDEX(nQ10_QC_Flags,$N71)&amp;"",INDEX(nQ11_QC_Flags,$N71)&amp;""))</f>
        <v/>
      </c>
      <c r="H71" s="64" t="str">
        <f>IF($L71=0,"",CHOOSE($L71,INDEX(nQ1_Unit_Out,$N71)&amp;"",INDEX(nQ2_Unit_Out,$N71)&amp;"",INDEX(nQ3_Unit_Out,$N71)&amp;"",INDEX(nQ4_Unit_Out,$N71)&amp;"",INDEX(nQ5_Unit_Out,$N71)&amp;"",INDEX(nQ6_Unit_Out,$N71)&amp;"",INDEX(nQ7_Unit_Out,$N71)&amp;"",INDEX(nQ8_Unit_Out,$N71)&amp;"",INDEX(nQ9_Unit_Out,$N71)&amp;"",INDEX(nQ10_Unit_Out,$N71)&amp;"",INDEX(nQ11_Unit_Out,$N71)&amp;""))</f>
        <v/>
      </c>
      <c r="L71" s="1">
        <f>IF(5&gt;SUM($S$10:$S$20),0,MATCH(5-1,$T$10:$T$20,1))</f>
        <v>0</v>
      </c>
      <c r="M71" s="1">
        <f>IF(L71=0,0,5-INDEX($T$10:$T$20,L71))</f>
        <v>0</v>
      </c>
      <c r="N71" s="1">
        <f>IF(L71=0,0,CHOOSE(L71,IFERROR(_xlfn.AGGREGATE(15,6,(ROW(nQ1_CaseKey)-ROW(INDEX(nQ1_CaseKey,1,1))+1)/((nQ1_CaseKey=$G$4)),M71),0),IFERROR(_xlfn.AGGREGATE(15,6,(ROW(nQ2_CaseKey)-ROW(INDEX(nQ2_CaseKey,1,1))+1)/((nQ2_CaseKey=$G$4)),M71),0),IFERROR(_xlfn.AGGREGATE(15,6,(ROW(nQ3_CaseKey)-ROW(INDEX(nQ3_CaseKey,1,1))+1)/((nQ3_CaseKey=$G$4)),M71),0),IFERROR(_xlfn.AGGREGATE(15,6,(ROW(nQ4_CaseKey)-ROW(INDEX(nQ4_CaseKey,1,1))+1)/((nQ4_CaseKey=$G$4)),M71),0),IFERROR(_xlfn.AGGREGATE(15,6,(ROW(nQ5_CaseKey)-ROW(INDEX(nQ5_CaseKey,1,1))+1)/((nQ5_CaseKey=$G$4)),M71),0),IFERROR(_xlfn.AGGREGATE(15,6,(ROW(nQ6_CaseKey)-ROW(INDEX(nQ6_CaseKey,1,1))+1)/((nQ6_CaseKey=$G$4)),M71),0),IFERROR(_xlfn.AGGREGATE(15,6,(ROW(nQ7_CaseKey)-ROW(INDEX(nQ7_CaseKey,1,1))+1)/((nQ7_CaseKey=$G$4)),M71),0),IFERROR(_xlfn.AGGREGATE(15,6,(ROW(nQ8_CaseKey)-ROW(INDEX(nQ8_CaseKey,1,1))+1)/((nQ8_CaseKey=$G$4)),M71),0),IFERROR(_xlfn.AGGREGATE(15,6,(ROW(nQ9_CaseKey)-ROW(INDEX(nQ9_CaseKey,1,1))+1)/((nQ9_CaseKey=$G$4)),M71),0),IFERROR(_xlfn.AGGREGATE(15,6,(ROW(nQ10_CaseKey)-ROW(INDEX(nQ10_CaseKey,1,1))+1)/((nQ10_CaseKey=$G$4)),M71),0),IFERROR(_xlfn.AGGREGATE(15,6,(ROW(nQ11_CaseKey)-ROW(INDEX(nQ11_CaseKey,1,1))+1)/((nQ11_CaseKey=$G$4)),M71),0)))</f>
        <v>0</v>
      </c>
    </row>
    <row r="72" spans="1:14" ht="21" customHeight="1" x14ac:dyDescent="0.2">
      <c r="A72" s="44"/>
      <c r="B72" s="64" t="str">
        <f>IF($L72=0,"",CHOOSE($L72,INDEX(nQ1_Calc_ID,$N72)&amp;"",INDEX(nQ2_Calc_ID,$N72)&amp;"",INDEX(nQ3_Calc_ID,$N72)&amp;"",INDEX(nQ4_Calc_ID,$N72)&amp;"",INDEX(nQ5_Calc_ID,$N72)&amp;"",INDEX(nQ6_Calc_ID,$N72)&amp;"",INDEX(nQ7_Calc_ID,$N72)&amp;"",INDEX(nQ8_Calc_ID,$N72)&amp;"",INDEX(nQ9_Calc_ID,$N72)&amp;"",INDEX(nQ10_Calc_ID,$N72)&amp;"",INDEX(nQ11_Calc_ID,$N72)&amp;""))</f>
        <v/>
      </c>
      <c r="C72" s="64" t="str">
        <f>IF($L72=0,"",INDEX($R$10:$R$20,$L72))</f>
        <v/>
      </c>
      <c r="D72" s="64" t="str">
        <f>IF($L72=0,"",CHOOSE($L72,INDEX(nQ1_Label_Out,$N72)&amp;"",INDEX(nQ2_Label_Out,$N72)&amp;"",INDEX(nQ3_Label_Out,$N72)&amp;"",INDEX(nQ4_Label_Out,$N72)&amp;"",INDEX(nQ5_Label_Out,$N72)&amp;"",INDEX(nQ6_Label_Out,$N72)&amp;"",INDEX(nQ7_Label_Out,$N72)&amp;"",INDEX(nQ8_Label_Out,$N72)&amp;"",INDEX(nQ9_Label_Out,$N72)&amp;"",INDEX(nQ10_Label_Out,$N72)&amp;"",INDEX(nQ11_Label_Out,$N72)&amp;""))</f>
        <v/>
      </c>
      <c r="E72" s="67" t="str">
        <f>IF($L72=0,"",CHOOSE($L72,INDEX(nQ1_Result_Display,$N72)&amp;"",INDEX(nQ2_Result_Display,$N72)&amp;"",INDEX(nQ3_Result_Display,$N72)&amp;"",INDEX(nQ4_Result_Display,$N72)&amp;"",INDEX(nQ5_Result_Display,$N72)&amp;"",INDEX(nQ6_Result_Display,$N72)&amp;"",INDEX(nQ7_Result_Display,$N72)&amp;"",INDEX(nQ8_Result_Display,$N72)&amp;"",INDEX(nQ9_Result_Display,$N72)&amp;"",INDEX(nQ10_Result_Display,$N72)&amp;"",INDEX(nQ11_Result_Display,$N72)&amp;""))</f>
        <v/>
      </c>
      <c r="F72" s="67"/>
      <c r="G72" s="64" t="str">
        <f>IF($L72=0,"",CHOOSE($L72,INDEX(nQ1_QC_Flags,$N72)&amp;"",INDEX(nQ2_QC_Flags,$N72)&amp;"",INDEX(nQ3_QC_Flags,$N72)&amp;"",INDEX(nQ4_QC_Flags,$N72)&amp;"",INDEX(nQ5_QC_Flags,$N72)&amp;"",INDEX(nQ6_QC_Flags,$N72)&amp;"",INDEX(nQ7_QC_Flags,$N72)&amp;"",INDEX(nQ8_QC_Flags,$N72)&amp;"",INDEX(nQ9_QC_Flags,$N72)&amp;"",INDEX(nQ10_QC_Flags,$N72)&amp;"",INDEX(nQ11_QC_Flags,$N72)&amp;""))</f>
        <v/>
      </c>
      <c r="H72" s="64" t="str">
        <f>IF($L72=0,"",CHOOSE($L72,INDEX(nQ1_Unit_Out,$N72)&amp;"",INDEX(nQ2_Unit_Out,$N72)&amp;"",INDEX(nQ3_Unit_Out,$N72)&amp;"",INDEX(nQ4_Unit_Out,$N72)&amp;"",INDEX(nQ5_Unit_Out,$N72)&amp;"",INDEX(nQ6_Unit_Out,$N72)&amp;"",INDEX(nQ7_Unit_Out,$N72)&amp;"",INDEX(nQ8_Unit_Out,$N72)&amp;"",INDEX(nQ9_Unit_Out,$N72)&amp;"",INDEX(nQ10_Unit_Out,$N72)&amp;"",INDEX(nQ11_Unit_Out,$N72)&amp;""))</f>
        <v/>
      </c>
      <c r="L72" s="1">
        <f>IF(6&gt;SUM($S$10:$S$20),0,MATCH(6-1,$T$10:$T$20,1))</f>
        <v>0</v>
      </c>
      <c r="M72" s="1">
        <f>IF(L72=0,0,6-INDEX($T$10:$T$20,L72))</f>
        <v>0</v>
      </c>
      <c r="N72" s="1">
        <f>IF(L72=0,0,CHOOSE(L72,IFERROR(_xlfn.AGGREGATE(15,6,(ROW(nQ1_CaseKey)-ROW(INDEX(nQ1_CaseKey,1,1))+1)/((nQ1_CaseKey=$G$4)),M72),0),IFERROR(_xlfn.AGGREGATE(15,6,(ROW(nQ2_CaseKey)-ROW(INDEX(nQ2_CaseKey,1,1))+1)/((nQ2_CaseKey=$G$4)),M72),0),IFERROR(_xlfn.AGGREGATE(15,6,(ROW(nQ3_CaseKey)-ROW(INDEX(nQ3_CaseKey,1,1))+1)/((nQ3_CaseKey=$G$4)),M72),0),IFERROR(_xlfn.AGGREGATE(15,6,(ROW(nQ4_CaseKey)-ROW(INDEX(nQ4_CaseKey,1,1))+1)/((nQ4_CaseKey=$G$4)),M72),0),IFERROR(_xlfn.AGGREGATE(15,6,(ROW(nQ5_CaseKey)-ROW(INDEX(nQ5_CaseKey,1,1))+1)/((nQ5_CaseKey=$G$4)),M72),0),IFERROR(_xlfn.AGGREGATE(15,6,(ROW(nQ6_CaseKey)-ROW(INDEX(nQ6_CaseKey,1,1))+1)/((nQ6_CaseKey=$G$4)),M72),0),IFERROR(_xlfn.AGGREGATE(15,6,(ROW(nQ7_CaseKey)-ROW(INDEX(nQ7_CaseKey,1,1))+1)/((nQ7_CaseKey=$G$4)),M72),0),IFERROR(_xlfn.AGGREGATE(15,6,(ROW(nQ8_CaseKey)-ROW(INDEX(nQ8_CaseKey,1,1))+1)/((nQ8_CaseKey=$G$4)),M72),0),IFERROR(_xlfn.AGGREGATE(15,6,(ROW(nQ9_CaseKey)-ROW(INDEX(nQ9_CaseKey,1,1))+1)/((nQ9_CaseKey=$G$4)),M72),0),IFERROR(_xlfn.AGGREGATE(15,6,(ROW(nQ10_CaseKey)-ROW(INDEX(nQ10_CaseKey,1,1))+1)/((nQ10_CaseKey=$G$4)),M72),0),IFERROR(_xlfn.AGGREGATE(15,6,(ROW(nQ11_CaseKey)-ROW(INDEX(nQ11_CaseKey,1,1))+1)/((nQ11_CaseKey=$G$4)),M72),0)))</f>
        <v>0</v>
      </c>
    </row>
    <row r="73" spans="1:14" ht="21" customHeight="1" x14ac:dyDescent="0.2">
      <c r="A73" s="44"/>
      <c r="B73" s="64" t="str">
        <f>IF($L73=0,"",CHOOSE($L73,INDEX(nQ1_Calc_ID,$N73)&amp;"",INDEX(nQ2_Calc_ID,$N73)&amp;"",INDEX(nQ3_Calc_ID,$N73)&amp;"",INDEX(nQ4_Calc_ID,$N73)&amp;"",INDEX(nQ5_Calc_ID,$N73)&amp;"",INDEX(nQ6_Calc_ID,$N73)&amp;"",INDEX(nQ7_Calc_ID,$N73)&amp;"",INDEX(nQ8_Calc_ID,$N73)&amp;"",INDEX(nQ9_Calc_ID,$N73)&amp;"",INDEX(nQ10_Calc_ID,$N73)&amp;"",INDEX(nQ11_Calc_ID,$N73)&amp;""))</f>
        <v/>
      </c>
      <c r="C73" s="64" t="str">
        <f>IF($L73=0,"",INDEX($R$10:$R$20,$L73))</f>
        <v/>
      </c>
      <c r="D73" s="64" t="str">
        <f>IF($L73=0,"",CHOOSE($L73,INDEX(nQ1_Label_Out,$N73)&amp;"",INDEX(nQ2_Label_Out,$N73)&amp;"",INDEX(nQ3_Label_Out,$N73)&amp;"",INDEX(nQ4_Label_Out,$N73)&amp;"",INDEX(nQ5_Label_Out,$N73)&amp;"",INDEX(nQ6_Label_Out,$N73)&amp;"",INDEX(nQ7_Label_Out,$N73)&amp;"",INDEX(nQ8_Label_Out,$N73)&amp;"",INDEX(nQ9_Label_Out,$N73)&amp;"",INDEX(nQ10_Label_Out,$N73)&amp;"",INDEX(nQ11_Label_Out,$N73)&amp;""))</f>
        <v/>
      </c>
      <c r="E73" s="67" t="str">
        <f>IF($L73=0,"",CHOOSE($L73,INDEX(nQ1_Result_Display,$N73)&amp;"",INDEX(nQ2_Result_Display,$N73)&amp;"",INDEX(nQ3_Result_Display,$N73)&amp;"",INDEX(nQ4_Result_Display,$N73)&amp;"",INDEX(nQ5_Result_Display,$N73)&amp;"",INDEX(nQ6_Result_Display,$N73)&amp;"",INDEX(nQ7_Result_Display,$N73)&amp;"",INDEX(nQ8_Result_Display,$N73)&amp;"",INDEX(nQ9_Result_Display,$N73)&amp;"",INDEX(nQ10_Result_Display,$N73)&amp;"",INDEX(nQ11_Result_Display,$N73)&amp;""))</f>
        <v/>
      </c>
      <c r="F73" s="67"/>
      <c r="G73" s="64" t="str">
        <f>IF($L73=0,"",CHOOSE($L73,INDEX(nQ1_QC_Flags,$N73)&amp;"",INDEX(nQ2_QC_Flags,$N73)&amp;"",INDEX(nQ3_QC_Flags,$N73)&amp;"",INDEX(nQ4_QC_Flags,$N73)&amp;"",INDEX(nQ5_QC_Flags,$N73)&amp;"",INDEX(nQ6_QC_Flags,$N73)&amp;"",INDEX(nQ7_QC_Flags,$N73)&amp;"",INDEX(nQ8_QC_Flags,$N73)&amp;"",INDEX(nQ9_QC_Flags,$N73)&amp;"",INDEX(nQ10_QC_Flags,$N73)&amp;"",INDEX(nQ11_QC_Flags,$N73)&amp;""))</f>
        <v/>
      </c>
      <c r="H73" s="64" t="str">
        <f>IF($L73=0,"",CHOOSE($L73,INDEX(nQ1_Unit_Out,$N73)&amp;"",INDEX(nQ2_Unit_Out,$N73)&amp;"",INDEX(nQ3_Unit_Out,$N73)&amp;"",INDEX(nQ4_Unit_Out,$N73)&amp;"",INDEX(nQ5_Unit_Out,$N73)&amp;"",INDEX(nQ6_Unit_Out,$N73)&amp;"",INDEX(nQ7_Unit_Out,$N73)&amp;"",INDEX(nQ8_Unit_Out,$N73)&amp;"",INDEX(nQ9_Unit_Out,$N73)&amp;"",INDEX(nQ10_Unit_Out,$N73)&amp;"",INDEX(nQ11_Unit_Out,$N73)&amp;""))</f>
        <v/>
      </c>
      <c r="L73" s="1">
        <f>IF(7&gt;SUM($S$10:$S$20),0,MATCH(7-1,$T$10:$T$20,1))</f>
        <v>0</v>
      </c>
      <c r="M73" s="1">
        <f>IF(L73=0,0,7-INDEX($T$10:$T$20,L73))</f>
        <v>0</v>
      </c>
      <c r="N73" s="1">
        <f>IF(L73=0,0,CHOOSE(L73,IFERROR(_xlfn.AGGREGATE(15,6,(ROW(nQ1_CaseKey)-ROW(INDEX(nQ1_CaseKey,1,1))+1)/((nQ1_CaseKey=$G$4)),M73),0),IFERROR(_xlfn.AGGREGATE(15,6,(ROW(nQ2_CaseKey)-ROW(INDEX(nQ2_CaseKey,1,1))+1)/((nQ2_CaseKey=$G$4)),M73),0),IFERROR(_xlfn.AGGREGATE(15,6,(ROW(nQ3_CaseKey)-ROW(INDEX(nQ3_CaseKey,1,1))+1)/((nQ3_CaseKey=$G$4)),M73),0),IFERROR(_xlfn.AGGREGATE(15,6,(ROW(nQ4_CaseKey)-ROW(INDEX(nQ4_CaseKey,1,1))+1)/((nQ4_CaseKey=$G$4)),M73),0),IFERROR(_xlfn.AGGREGATE(15,6,(ROW(nQ5_CaseKey)-ROW(INDEX(nQ5_CaseKey,1,1))+1)/((nQ5_CaseKey=$G$4)),M73),0),IFERROR(_xlfn.AGGREGATE(15,6,(ROW(nQ6_CaseKey)-ROW(INDEX(nQ6_CaseKey,1,1))+1)/((nQ6_CaseKey=$G$4)),M73),0),IFERROR(_xlfn.AGGREGATE(15,6,(ROW(nQ7_CaseKey)-ROW(INDEX(nQ7_CaseKey,1,1))+1)/((nQ7_CaseKey=$G$4)),M73),0),IFERROR(_xlfn.AGGREGATE(15,6,(ROW(nQ8_CaseKey)-ROW(INDEX(nQ8_CaseKey,1,1))+1)/((nQ8_CaseKey=$G$4)),M73),0),IFERROR(_xlfn.AGGREGATE(15,6,(ROW(nQ9_CaseKey)-ROW(INDEX(nQ9_CaseKey,1,1))+1)/((nQ9_CaseKey=$G$4)),M73),0),IFERROR(_xlfn.AGGREGATE(15,6,(ROW(nQ10_CaseKey)-ROW(INDEX(nQ10_CaseKey,1,1))+1)/((nQ10_CaseKey=$G$4)),M73),0),IFERROR(_xlfn.AGGREGATE(15,6,(ROW(nQ11_CaseKey)-ROW(INDEX(nQ11_CaseKey,1,1))+1)/((nQ11_CaseKey=$G$4)),M73),0)))</f>
        <v>0</v>
      </c>
    </row>
    <row r="74" spans="1:14" ht="21" customHeight="1" x14ac:dyDescent="0.2">
      <c r="A74" s="44"/>
      <c r="B74" s="64" t="str">
        <f>IF($L74=0,"",CHOOSE($L74,INDEX(nQ1_Calc_ID,$N74)&amp;"",INDEX(nQ2_Calc_ID,$N74)&amp;"",INDEX(nQ3_Calc_ID,$N74)&amp;"",INDEX(nQ4_Calc_ID,$N74)&amp;"",INDEX(nQ5_Calc_ID,$N74)&amp;"",INDEX(nQ6_Calc_ID,$N74)&amp;"",INDEX(nQ7_Calc_ID,$N74)&amp;"",INDEX(nQ8_Calc_ID,$N74)&amp;"",INDEX(nQ9_Calc_ID,$N74)&amp;"",INDEX(nQ10_Calc_ID,$N74)&amp;"",INDEX(nQ11_Calc_ID,$N74)&amp;""))</f>
        <v/>
      </c>
      <c r="C74" s="64" t="str">
        <f>IF($L74=0,"",INDEX($R$10:$R$20,$L74))</f>
        <v/>
      </c>
      <c r="D74" s="64" t="str">
        <f>IF($L74=0,"",CHOOSE($L74,INDEX(nQ1_Label_Out,$N74)&amp;"",INDEX(nQ2_Label_Out,$N74)&amp;"",INDEX(nQ3_Label_Out,$N74)&amp;"",INDEX(nQ4_Label_Out,$N74)&amp;"",INDEX(nQ5_Label_Out,$N74)&amp;"",INDEX(nQ6_Label_Out,$N74)&amp;"",INDEX(nQ7_Label_Out,$N74)&amp;"",INDEX(nQ8_Label_Out,$N74)&amp;"",INDEX(nQ9_Label_Out,$N74)&amp;"",INDEX(nQ10_Label_Out,$N74)&amp;"",INDEX(nQ11_Label_Out,$N74)&amp;""))</f>
        <v/>
      </c>
      <c r="E74" s="67" t="str">
        <f>IF($L74=0,"",CHOOSE($L74,INDEX(nQ1_Result_Display,$N74)&amp;"",INDEX(nQ2_Result_Display,$N74)&amp;"",INDEX(nQ3_Result_Display,$N74)&amp;"",INDEX(nQ4_Result_Display,$N74)&amp;"",INDEX(nQ5_Result_Display,$N74)&amp;"",INDEX(nQ6_Result_Display,$N74)&amp;"",INDEX(nQ7_Result_Display,$N74)&amp;"",INDEX(nQ8_Result_Display,$N74)&amp;"",INDEX(nQ9_Result_Display,$N74)&amp;"",INDEX(nQ10_Result_Display,$N74)&amp;"",INDEX(nQ11_Result_Display,$N74)&amp;""))</f>
        <v/>
      </c>
      <c r="F74" s="67"/>
      <c r="G74" s="64" t="str">
        <f>IF($L74=0,"",CHOOSE($L74,INDEX(nQ1_QC_Flags,$N74)&amp;"",INDEX(nQ2_QC_Flags,$N74)&amp;"",INDEX(nQ3_QC_Flags,$N74)&amp;"",INDEX(nQ4_QC_Flags,$N74)&amp;"",INDEX(nQ5_QC_Flags,$N74)&amp;"",INDEX(nQ6_QC_Flags,$N74)&amp;"",INDEX(nQ7_QC_Flags,$N74)&amp;"",INDEX(nQ8_QC_Flags,$N74)&amp;"",INDEX(nQ9_QC_Flags,$N74)&amp;"",INDEX(nQ10_QC_Flags,$N74)&amp;"",INDEX(nQ11_QC_Flags,$N74)&amp;""))</f>
        <v/>
      </c>
      <c r="H74" s="64" t="str">
        <f>IF($L74=0,"",CHOOSE($L74,INDEX(nQ1_Unit_Out,$N74)&amp;"",INDEX(nQ2_Unit_Out,$N74)&amp;"",INDEX(nQ3_Unit_Out,$N74)&amp;"",INDEX(nQ4_Unit_Out,$N74)&amp;"",INDEX(nQ5_Unit_Out,$N74)&amp;"",INDEX(nQ6_Unit_Out,$N74)&amp;"",INDEX(nQ7_Unit_Out,$N74)&amp;"",INDEX(nQ8_Unit_Out,$N74)&amp;"",INDEX(nQ9_Unit_Out,$N74)&amp;"",INDEX(nQ10_Unit_Out,$N74)&amp;"",INDEX(nQ11_Unit_Out,$N74)&amp;""))</f>
        <v/>
      </c>
      <c r="L74" s="1">
        <f>IF(8&gt;SUM($S$10:$S$20),0,MATCH(8-1,$T$10:$T$20,1))</f>
        <v>0</v>
      </c>
      <c r="M74" s="1">
        <f>IF(L74=0,0,8-INDEX($T$10:$T$20,L74))</f>
        <v>0</v>
      </c>
      <c r="N74" s="1">
        <f>IF(L74=0,0,CHOOSE(L74,IFERROR(_xlfn.AGGREGATE(15,6,(ROW(nQ1_CaseKey)-ROW(INDEX(nQ1_CaseKey,1,1))+1)/((nQ1_CaseKey=$G$4)),M74),0),IFERROR(_xlfn.AGGREGATE(15,6,(ROW(nQ2_CaseKey)-ROW(INDEX(nQ2_CaseKey,1,1))+1)/((nQ2_CaseKey=$G$4)),M74),0),IFERROR(_xlfn.AGGREGATE(15,6,(ROW(nQ3_CaseKey)-ROW(INDEX(nQ3_CaseKey,1,1))+1)/((nQ3_CaseKey=$G$4)),M74),0),IFERROR(_xlfn.AGGREGATE(15,6,(ROW(nQ4_CaseKey)-ROW(INDEX(nQ4_CaseKey,1,1))+1)/((nQ4_CaseKey=$G$4)),M74),0),IFERROR(_xlfn.AGGREGATE(15,6,(ROW(nQ5_CaseKey)-ROW(INDEX(nQ5_CaseKey,1,1))+1)/((nQ5_CaseKey=$G$4)),M74),0),IFERROR(_xlfn.AGGREGATE(15,6,(ROW(nQ6_CaseKey)-ROW(INDEX(nQ6_CaseKey,1,1))+1)/((nQ6_CaseKey=$G$4)),M74),0),IFERROR(_xlfn.AGGREGATE(15,6,(ROW(nQ7_CaseKey)-ROW(INDEX(nQ7_CaseKey,1,1))+1)/((nQ7_CaseKey=$G$4)),M74),0),IFERROR(_xlfn.AGGREGATE(15,6,(ROW(nQ8_CaseKey)-ROW(INDEX(nQ8_CaseKey,1,1))+1)/((nQ8_CaseKey=$G$4)),M74),0),IFERROR(_xlfn.AGGREGATE(15,6,(ROW(nQ9_CaseKey)-ROW(INDEX(nQ9_CaseKey,1,1))+1)/((nQ9_CaseKey=$G$4)),M74),0),IFERROR(_xlfn.AGGREGATE(15,6,(ROW(nQ10_CaseKey)-ROW(INDEX(nQ10_CaseKey,1,1))+1)/((nQ10_CaseKey=$G$4)),M74),0),IFERROR(_xlfn.AGGREGATE(15,6,(ROW(nQ11_CaseKey)-ROW(INDEX(nQ11_CaseKey,1,1))+1)/((nQ11_CaseKey=$G$4)),M74),0)))</f>
        <v>0</v>
      </c>
    </row>
    <row r="75" spans="1:14" ht="21" customHeight="1" x14ac:dyDescent="0.2">
      <c r="A75" s="44"/>
      <c r="B75" s="64" t="str">
        <f>IF($L75=0,"",CHOOSE($L75,INDEX(nQ1_Calc_ID,$N75)&amp;"",INDEX(nQ2_Calc_ID,$N75)&amp;"",INDEX(nQ3_Calc_ID,$N75)&amp;"",INDEX(nQ4_Calc_ID,$N75)&amp;"",INDEX(nQ5_Calc_ID,$N75)&amp;"",INDEX(nQ6_Calc_ID,$N75)&amp;"",INDEX(nQ7_Calc_ID,$N75)&amp;"",INDEX(nQ8_Calc_ID,$N75)&amp;"",INDEX(nQ9_Calc_ID,$N75)&amp;"",INDEX(nQ10_Calc_ID,$N75)&amp;"",INDEX(nQ11_Calc_ID,$N75)&amp;""))</f>
        <v/>
      </c>
      <c r="C75" s="64" t="str">
        <f>IF($L75=0,"",INDEX($R$10:$R$20,$L75))</f>
        <v/>
      </c>
      <c r="D75" s="64" t="str">
        <f>IF($L75=0,"",CHOOSE($L75,INDEX(nQ1_Label_Out,$N75)&amp;"",INDEX(nQ2_Label_Out,$N75)&amp;"",INDEX(nQ3_Label_Out,$N75)&amp;"",INDEX(nQ4_Label_Out,$N75)&amp;"",INDEX(nQ5_Label_Out,$N75)&amp;"",INDEX(nQ6_Label_Out,$N75)&amp;"",INDEX(nQ7_Label_Out,$N75)&amp;"",INDEX(nQ8_Label_Out,$N75)&amp;"",INDEX(nQ9_Label_Out,$N75)&amp;"",INDEX(nQ10_Label_Out,$N75)&amp;"",INDEX(nQ11_Label_Out,$N75)&amp;""))</f>
        <v/>
      </c>
      <c r="E75" s="67" t="str">
        <f>IF($L75=0,"",CHOOSE($L75,INDEX(nQ1_Result_Display,$N75)&amp;"",INDEX(nQ2_Result_Display,$N75)&amp;"",INDEX(nQ3_Result_Display,$N75)&amp;"",INDEX(nQ4_Result_Display,$N75)&amp;"",INDEX(nQ5_Result_Display,$N75)&amp;"",INDEX(nQ6_Result_Display,$N75)&amp;"",INDEX(nQ7_Result_Display,$N75)&amp;"",INDEX(nQ8_Result_Display,$N75)&amp;"",INDEX(nQ9_Result_Display,$N75)&amp;"",INDEX(nQ10_Result_Display,$N75)&amp;"",INDEX(nQ11_Result_Display,$N75)&amp;""))</f>
        <v/>
      </c>
      <c r="F75" s="67"/>
      <c r="G75" s="64" t="str">
        <f>IF($L75=0,"",CHOOSE($L75,INDEX(nQ1_QC_Flags,$N75)&amp;"",INDEX(nQ2_QC_Flags,$N75)&amp;"",INDEX(nQ3_QC_Flags,$N75)&amp;"",INDEX(nQ4_QC_Flags,$N75)&amp;"",INDEX(nQ5_QC_Flags,$N75)&amp;"",INDEX(nQ6_QC_Flags,$N75)&amp;"",INDEX(nQ7_QC_Flags,$N75)&amp;"",INDEX(nQ8_QC_Flags,$N75)&amp;"",INDEX(nQ9_QC_Flags,$N75)&amp;"",INDEX(nQ10_QC_Flags,$N75)&amp;"",INDEX(nQ11_QC_Flags,$N75)&amp;""))</f>
        <v/>
      </c>
      <c r="H75" s="64" t="str">
        <f>IF($L75=0,"",CHOOSE($L75,INDEX(nQ1_Unit_Out,$N75)&amp;"",INDEX(nQ2_Unit_Out,$N75)&amp;"",INDEX(nQ3_Unit_Out,$N75)&amp;"",INDEX(nQ4_Unit_Out,$N75)&amp;"",INDEX(nQ5_Unit_Out,$N75)&amp;"",INDEX(nQ6_Unit_Out,$N75)&amp;"",INDEX(nQ7_Unit_Out,$N75)&amp;"",INDEX(nQ8_Unit_Out,$N75)&amp;"",INDEX(nQ9_Unit_Out,$N75)&amp;"",INDEX(nQ10_Unit_Out,$N75)&amp;"",INDEX(nQ11_Unit_Out,$N75)&amp;""))</f>
        <v/>
      </c>
      <c r="L75" s="1">
        <f>IF(9&gt;SUM($S$10:$S$20),0,MATCH(9-1,$T$10:$T$20,1))</f>
        <v>0</v>
      </c>
      <c r="M75" s="1">
        <f>IF(L75=0,0,9-INDEX($T$10:$T$20,L75))</f>
        <v>0</v>
      </c>
      <c r="N75" s="1">
        <f>IF(L75=0,0,CHOOSE(L75,IFERROR(_xlfn.AGGREGATE(15,6,(ROW(nQ1_CaseKey)-ROW(INDEX(nQ1_CaseKey,1,1))+1)/((nQ1_CaseKey=$G$4)),M75),0),IFERROR(_xlfn.AGGREGATE(15,6,(ROW(nQ2_CaseKey)-ROW(INDEX(nQ2_CaseKey,1,1))+1)/((nQ2_CaseKey=$G$4)),M75),0),IFERROR(_xlfn.AGGREGATE(15,6,(ROW(nQ3_CaseKey)-ROW(INDEX(nQ3_CaseKey,1,1))+1)/((nQ3_CaseKey=$G$4)),M75),0),IFERROR(_xlfn.AGGREGATE(15,6,(ROW(nQ4_CaseKey)-ROW(INDEX(nQ4_CaseKey,1,1))+1)/((nQ4_CaseKey=$G$4)),M75),0),IFERROR(_xlfn.AGGREGATE(15,6,(ROW(nQ5_CaseKey)-ROW(INDEX(nQ5_CaseKey,1,1))+1)/((nQ5_CaseKey=$G$4)),M75),0),IFERROR(_xlfn.AGGREGATE(15,6,(ROW(nQ6_CaseKey)-ROW(INDEX(nQ6_CaseKey,1,1))+1)/((nQ6_CaseKey=$G$4)),M75),0),IFERROR(_xlfn.AGGREGATE(15,6,(ROW(nQ7_CaseKey)-ROW(INDEX(nQ7_CaseKey,1,1))+1)/((nQ7_CaseKey=$G$4)),M75),0),IFERROR(_xlfn.AGGREGATE(15,6,(ROW(nQ8_CaseKey)-ROW(INDEX(nQ8_CaseKey,1,1))+1)/((nQ8_CaseKey=$G$4)),M75),0),IFERROR(_xlfn.AGGREGATE(15,6,(ROW(nQ9_CaseKey)-ROW(INDEX(nQ9_CaseKey,1,1))+1)/((nQ9_CaseKey=$G$4)),M75),0),IFERROR(_xlfn.AGGREGATE(15,6,(ROW(nQ10_CaseKey)-ROW(INDEX(nQ10_CaseKey,1,1))+1)/((nQ10_CaseKey=$G$4)),M75),0),IFERROR(_xlfn.AGGREGATE(15,6,(ROW(nQ11_CaseKey)-ROW(INDEX(nQ11_CaseKey,1,1))+1)/((nQ11_CaseKey=$G$4)),M75),0)))</f>
        <v>0</v>
      </c>
    </row>
    <row r="76" spans="1:14" ht="21" customHeight="1" x14ac:dyDescent="0.2">
      <c r="A76" s="44"/>
      <c r="B76" s="65" t="str">
        <f>IF($L76=0,"",CHOOSE($L76,INDEX(nQ1_Calc_ID,$N76)&amp;"",INDEX(nQ2_Calc_ID,$N76)&amp;"",INDEX(nQ3_Calc_ID,$N76)&amp;"",INDEX(nQ4_Calc_ID,$N76)&amp;"",INDEX(nQ5_Calc_ID,$N76)&amp;"",INDEX(nQ6_Calc_ID,$N76)&amp;"",INDEX(nQ7_Calc_ID,$N76)&amp;"",INDEX(nQ8_Calc_ID,$N76)&amp;"",INDEX(nQ9_Calc_ID,$N76)&amp;"",INDEX(nQ10_Calc_ID,$N76)&amp;"",INDEX(nQ11_Calc_ID,$N76)&amp;""))</f>
        <v/>
      </c>
      <c r="C76" s="65" t="str">
        <f>IF($L76=0,"",INDEX($R$10:$R$20,$L76))</f>
        <v/>
      </c>
      <c r="D76" s="65" t="str">
        <f>IF($L76=0,"",CHOOSE($L76,INDEX(nQ1_Label_Out,$N76)&amp;"",INDEX(nQ2_Label_Out,$N76)&amp;"",INDEX(nQ3_Label_Out,$N76)&amp;"",INDEX(nQ4_Label_Out,$N76)&amp;"",INDEX(nQ5_Label_Out,$N76)&amp;"",INDEX(nQ6_Label_Out,$N76)&amp;"",INDEX(nQ7_Label_Out,$N76)&amp;"",INDEX(nQ8_Label_Out,$N76)&amp;"",INDEX(nQ9_Label_Out,$N76)&amp;"",INDEX(nQ10_Label_Out,$N76)&amp;"",INDEX(nQ11_Label_Out,$N76)&amp;""))</f>
        <v/>
      </c>
      <c r="E76" s="68" t="str">
        <f>IF($L76=0,"",CHOOSE($L76,INDEX(nQ1_Result_Display,$N76)&amp;"",INDEX(nQ2_Result_Display,$N76)&amp;"",INDEX(nQ3_Result_Display,$N76)&amp;"",INDEX(nQ4_Result_Display,$N76)&amp;"",INDEX(nQ5_Result_Display,$N76)&amp;"",INDEX(nQ6_Result_Display,$N76)&amp;"",INDEX(nQ7_Result_Display,$N76)&amp;"",INDEX(nQ8_Result_Display,$N76)&amp;"",INDEX(nQ9_Result_Display,$N76)&amp;"",INDEX(nQ10_Result_Display,$N76)&amp;"",INDEX(nQ11_Result_Display,$N76)&amp;""))</f>
        <v/>
      </c>
      <c r="F76" s="68"/>
      <c r="G76" s="65" t="str">
        <f>IF($L76=0,"",CHOOSE($L76,INDEX(nQ1_QC_Flags,$N76)&amp;"",INDEX(nQ2_QC_Flags,$N76)&amp;"",INDEX(nQ3_QC_Flags,$N76)&amp;"",INDEX(nQ4_QC_Flags,$N76)&amp;"",INDEX(nQ5_QC_Flags,$N76)&amp;"",INDEX(nQ6_QC_Flags,$N76)&amp;"",INDEX(nQ7_QC_Flags,$N76)&amp;"",INDEX(nQ8_QC_Flags,$N76)&amp;"",INDEX(nQ9_QC_Flags,$N76)&amp;"",INDEX(nQ10_QC_Flags,$N76)&amp;"",INDEX(nQ11_QC_Flags,$N76)&amp;""))</f>
        <v/>
      </c>
      <c r="H76" s="65" t="str">
        <f>IF($L76=0,"",CHOOSE($L76,INDEX(nQ1_Unit_Out,$N76)&amp;"",INDEX(nQ2_Unit_Out,$N76)&amp;"",INDEX(nQ3_Unit_Out,$N76)&amp;"",INDEX(nQ4_Unit_Out,$N76)&amp;"",INDEX(nQ5_Unit_Out,$N76)&amp;"",INDEX(nQ6_Unit_Out,$N76)&amp;"",INDEX(nQ7_Unit_Out,$N76)&amp;"",INDEX(nQ8_Unit_Out,$N76)&amp;"",INDEX(nQ9_Unit_Out,$N76)&amp;"",INDEX(nQ10_Unit_Out,$N76)&amp;"",INDEX(nQ11_Unit_Out,$N76)&amp;""))</f>
        <v/>
      </c>
      <c r="L76" s="1">
        <f>IF(10&gt;SUM($S$10:$S$20),0,MATCH(10-1,$T$10:$T$20,1))</f>
        <v>0</v>
      </c>
      <c r="M76" s="1">
        <f>IF(L76=0,0,10-INDEX($T$10:$T$20,L76))</f>
        <v>0</v>
      </c>
      <c r="N76" s="1">
        <f>IF(L76=0,0,CHOOSE(L76,IFERROR(_xlfn.AGGREGATE(15,6,(ROW(nQ1_CaseKey)-ROW(INDEX(nQ1_CaseKey,1,1))+1)/((nQ1_CaseKey=$G$4)),M76),0),IFERROR(_xlfn.AGGREGATE(15,6,(ROW(nQ2_CaseKey)-ROW(INDEX(nQ2_CaseKey,1,1))+1)/((nQ2_CaseKey=$G$4)),M76),0),IFERROR(_xlfn.AGGREGATE(15,6,(ROW(nQ3_CaseKey)-ROW(INDEX(nQ3_CaseKey,1,1))+1)/((nQ3_CaseKey=$G$4)),M76),0),IFERROR(_xlfn.AGGREGATE(15,6,(ROW(nQ4_CaseKey)-ROW(INDEX(nQ4_CaseKey,1,1))+1)/((nQ4_CaseKey=$G$4)),M76),0),IFERROR(_xlfn.AGGREGATE(15,6,(ROW(nQ5_CaseKey)-ROW(INDEX(nQ5_CaseKey,1,1))+1)/((nQ5_CaseKey=$G$4)),M76),0),IFERROR(_xlfn.AGGREGATE(15,6,(ROW(nQ6_CaseKey)-ROW(INDEX(nQ6_CaseKey,1,1))+1)/((nQ6_CaseKey=$G$4)),M76),0),IFERROR(_xlfn.AGGREGATE(15,6,(ROW(nQ7_CaseKey)-ROW(INDEX(nQ7_CaseKey,1,1))+1)/((nQ7_CaseKey=$G$4)),M76),0),IFERROR(_xlfn.AGGREGATE(15,6,(ROW(nQ8_CaseKey)-ROW(INDEX(nQ8_CaseKey,1,1))+1)/((nQ8_CaseKey=$G$4)),M76),0),IFERROR(_xlfn.AGGREGATE(15,6,(ROW(nQ9_CaseKey)-ROW(INDEX(nQ9_CaseKey,1,1))+1)/((nQ9_CaseKey=$G$4)),M76),0),IFERROR(_xlfn.AGGREGATE(15,6,(ROW(nQ10_CaseKey)-ROW(INDEX(nQ10_CaseKey,1,1))+1)/((nQ10_CaseKey=$G$4)),M76),0),IFERROR(_xlfn.AGGREGATE(15,6,(ROW(nQ11_CaseKey)-ROW(INDEX(nQ11_CaseKey,1,1))+1)/((nQ11_CaseKey=$G$4)),M76),0)))</f>
        <v>0</v>
      </c>
    </row>
    <row r="77" spans="1:14" x14ac:dyDescent="0.2">
      <c r="A77" s="44"/>
      <c r="B77" s="44" t="str">
        <f>IF(SUM($S$10:$S$20)&gt;10,SUM($S$10:$S$20)-10&amp;" more technical results are not shown; see PK_Exercises and PD_Profile.","")</f>
        <v/>
      </c>
      <c r="C77" s="44"/>
      <c r="D77" s="44"/>
      <c r="E77" s="44"/>
      <c r="F77" s="44"/>
      <c r="G77" s="44"/>
      <c r="H77" s="44"/>
    </row>
    <row r="78" spans="1:14" ht="15" x14ac:dyDescent="0.25">
      <c r="A78" s="44"/>
      <c r="B78" s="53" t="s">
        <v>2448</v>
      </c>
      <c r="C78" s="54"/>
      <c r="D78" s="54"/>
      <c r="E78" s="54"/>
      <c r="F78" s="54"/>
      <c r="G78" s="54"/>
      <c r="H78" s="54"/>
    </row>
    <row r="79" spans="1:14" ht="24" customHeight="1" x14ac:dyDescent="0.2">
      <c r="A79" s="44"/>
      <c r="B79" s="69" t="s">
        <v>2477</v>
      </c>
      <c r="C79" s="69"/>
      <c r="D79" s="69"/>
      <c r="E79" s="69"/>
      <c r="F79" s="69"/>
      <c r="G79" s="69"/>
      <c r="H79" s="69"/>
    </row>
    <row r="80" spans="1:14" ht="24" customHeight="1" x14ac:dyDescent="0.2">
      <c r="A80" s="44"/>
      <c r="B80" s="52" t="s">
        <v>2478</v>
      </c>
      <c r="C80" s="52"/>
      <c r="D80" s="52"/>
      <c r="E80" s="52"/>
      <c r="F80" s="52"/>
      <c r="G80" s="52"/>
      <c r="H80" s="52"/>
    </row>
    <row r="81" spans="1:8" ht="24" customHeight="1" x14ac:dyDescent="0.2">
      <c r="A81" s="44"/>
      <c r="B81" s="52" t="s">
        <v>2479</v>
      </c>
      <c r="C81" s="52"/>
      <c r="D81" s="52"/>
      <c r="E81" s="52"/>
      <c r="F81" s="52"/>
      <c r="G81" s="52"/>
      <c r="H81" s="52"/>
    </row>
    <row r="82" spans="1:8" x14ac:dyDescent="0.2">
      <c r="A82" s="44"/>
      <c r="B82" s="44"/>
      <c r="C82" s="44"/>
      <c r="D82" s="44"/>
      <c r="E82" s="44"/>
      <c r="F82" s="44"/>
      <c r="G82" s="44"/>
      <c r="H82" s="44"/>
    </row>
    <row r="83" spans="1:8" ht="15" x14ac:dyDescent="0.25">
      <c r="A83" s="44"/>
      <c r="B83" s="53" t="s">
        <v>2480</v>
      </c>
      <c r="C83" s="54"/>
      <c r="D83" s="54"/>
      <c r="E83" s="54"/>
      <c r="F83" s="54"/>
      <c r="G83" s="54"/>
      <c r="H83" s="54"/>
    </row>
    <row r="84" spans="1:8" x14ac:dyDescent="0.2">
      <c r="A84" s="44"/>
      <c r="B84" s="47" t="s">
        <v>2481</v>
      </c>
      <c r="C84" s="44" t="s">
        <v>2482</v>
      </c>
      <c r="D84" s="44"/>
      <c r="E84" s="47" t="s">
        <v>2483</v>
      </c>
      <c r="F84" s="44" t="s">
        <v>2484</v>
      </c>
      <c r="G84" s="44"/>
      <c r="H84" s="44"/>
    </row>
    <row r="85" spans="1:8" x14ac:dyDescent="0.2">
      <c r="A85" s="44"/>
      <c r="B85" s="47" t="s">
        <v>2485</v>
      </c>
      <c r="C85" s="50">
        <f>IF($J$4=0,"",INDEX(nCASE_Case_Version,$J$4))</f>
        <v>2</v>
      </c>
      <c r="D85" s="44"/>
      <c r="E85" s="47" t="s">
        <v>2486</v>
      </c>
      <c r="F85" s="44" t="str">
        <f>LEFT(nVER_Overall,FIND(":",nVER_Overall&amp;":")-1)&amp;"; examples "&amp;LEFT(nEX_Status,FIND(":",nEX_Status&amp;":")-1)</f>
        <v>PASS; examples MATCH</v>
      </c>
      <c r="G85" s="44"/>
      <c r="H85" s="44"/>
    </row>
    <row r="86" spans="1:8" x14ac:dyDescent="0.2">
      <c r="A86" s="44"/>
      <c r="B86" s="70" t="s">
        <v>2487</v>
      </c>
      <c r="C86" s="49"/>
      <c r="D86" s="49"/>
      <c r="E86" s="49"/>
      <c r="F86" s="49"/>
      <c r="G86" s="49"/>
      <c r="H86" s="49"/>
    </row>
  </sheetData>
  <sheetProtection sheet="1" objects="1" scenarios="1" formatColumns="0" formatRows="0" autoFilter="0"/>
  <mergeCells count="41">
    <mergeCell ref="E76:F76"/>
    <mergeCell ref="B79:H79"/>
    <mergeCell ref="B80:H80"/>
    <mergeCell ref="B81:H81"/>
    <mergeCell ref="B86:H86"/>
    <mergeCell ref="E70:F70"/>
    <mergeCell ref="E71:F71"/>
    <mergeCell ref="E72:F72"/>
    <mergeCell ref="E73:F73"/>
    <mergeCell ref="E74:F74"/>
    <mergeCell ref="E75:F75"/>
    <mergeCell ref="F42:G42"/>
    <mergeCell ref="F43:G43"/>
    <mergeCell ref="F44:G44"/>
    <mergeCell ref="E67:F67"/>
    <mergeCell ref="E68:F68"/>
    <mergeCell ref="E69:F69"/>
    <mergeCell ref="F36:G36"/>
    <mergeCell ref="F37:G37"/>
    <mergeCell ref="F38:G38"/>
    <mergeCell ref="F39:G39"/>
    <mergeCell ref="F40:G40"/>
    <mergeCell ref="F41:G41"/>
    <mergeCell ref="F30:G30"/>
    <mergeCell ref="F31:G31"/>
    <mergeCell ref="F32:G32"/>
    <mergeCell ref="F33:G33"/>
    <mergeCell ref="F34:G34"/>
    <mergeCell ref="F35:G35"/>
    <mergeCell ref="F24:G24"/>
    <mergeCell ref="F25:G25"/>
    <mergeCell ref="F26:G26"/>
    <mergeCell ref="F27:G27"/>
    <mergeCell ref="F28:G28"/>
    <mergeCell ref="F29:G29"/>
    <mergeCell ref="E5:F5"/>
    <mergeCell ref="C7:H7"/>
    <mergeCell ref="C8:H8"/>
    <mergeCell ref="F21:G21"/>
    <mergeCell ref="F22:G22"/>
    <mergeCell ref="F23:G23"/>
  </mergeCells>
  <dataValidations count="2">
    <dataValidation allowBlank="1" showInputMessage="1" showErrorMessage="1" prompt="Type a Case_ID from the Cases sheet (for example EX-C01, EX-C04 or EX-C28)." sqref="C4" xr:uid="{BA4FF112-74F7-4FED-94D3-C0B363B6615D}"/>
    <dataValidation type="whole" operator="greaterThanOrEqual" allowBlank="1" showInputMessage="1" showErrorMessage="1" prompt="Leave blank to show the latest version of the case." sqref="E4" xr:uid="{3E5EC96B-2413-4F85-94BA-360D1B58902D}">
      <formula1>1</formula1>
    </dataValidation>
  </dataValidations>
  <printOptions horizontalCentered="1"/>
  <pageMargins left="0.4" right="0.4" top="0.5" bottom="0.6" header="0.25" footer="0.3"/>
  <pageSetup paperSize="1" scale="31" fitToHeight="2" orientation="landscape" horizontalDpi="0" verticalDpi="0"/>
  <headerFooter>
    <oddFooter>&amp;LTTO Companion Tools v1.1 (CALC-SPEC 1.1) - educational tool; not validated for regulated use; not a dosing tool; never assigns causality&amp;RPrinted &amp;D - page &amp;P of &amp;N</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5C769-5827-4D28-993C-3F75AA42EB4D}">
  <dimension ref="A1:CC157"/>
  <sheetViews>
    <sheetView zoomScale="90" zoomScaleNormal="90" workbookViewId="0">
      <pane xSplit="3" ySplit="7" topLeftCell="D8" activePane="bottomRight" state="frozenSplit"/>
      <selection pane="topRight" activeCell="D1" sqref="D1"/>
      <selection pane="bottomLeft" activeCell="A8" sqref="A8"/>
      <selection pane="bottomRight"/>
    </sheetView>
  </sheetViews>
  <sheetFormatPr defaultRowHeight="12.75" x14ac:dyDescent="0.2"/>
  <cols>
    <col min="1" max="1" width="10.7109375" style="1" customWidth="1"/>
    <col min="2" max="2" width="7.7109375" style="1" customWidth="1"/>
    <col min="3" max="3" width="12.7109375" style="1" customWidth="1"/>
    <col min="4" max="4" width="26.7109375" style="1" customWidth="1"/>
    <col min="5" max="12" width="12.7109375" style="1" customWidth="1"/>
    <col min="13" max="13" width="22.7109375" style="1" customWidth="1"/>
    <col min="14" max="14" width="10.7109375" style="1" customWidth="1"/>
    <col min="15" max="19" width="12.7109375" style="1" customWidth="1"/>
    <col min="20" max="20" width="24.7109375" style="1" customWidth="1"/>
    <col min="21" max="21" width="12.7109375" style="1" customWidth="1"/>
    <col min="22" max="22" width="30.7109375" style="1" customWidth="1"/>
    <col min="23" max="24" width="40.7109375" style="1" customWidth="1"/>
    <col min="25" max="25" width="12.7109375" style="1" customWidth="1"/>
    <col min="26" max="26" width="24.7109375" style="1" customWidth="1"/>
    <col min="27" max="27" width="40.7109375" style="1" customWidth="1"/>
    <col min="28" max="28" width="30.7109375" style="1" customWidth="1"/>
    <col min="29" max="29" width="18.7109375" style="1" customWidth="1"/>
    <col min="30" max="30" width="22.7109375" style="1" customWidth="1"/>
    <col min="31" max="65" width="0" style="1" hidden="1" customWidth="1"/>
    <col min="66" max="78" width="9.140625" style="1"/>
    <col min="79" max="81" width="0" style="1" hidden="1" customWidth="1"/>
    <col min="82" max="16384" width="9.140625" style="1"/>
  </cols>
  <sheetData>
    <row r="1" spans="1:81" ht="18.75" x14ac:dyDescent="0.3">
      <c r="A1" s="30" t="s">
        <v>2427</v>
      </c>
    </row>
    <row r="2" spans="1:81" ht="66" customHeight="1" x14ac:dyDescent="0.2">
      <c r="A2" s="38" t="s">
        <v>2428</v>
      </c>
      <c r="B2" s="38"/>
      <c r="C2" s="38"/>
      <c r="D2" s="38"/>
      <c r="E2" s="38"/>
      <c r="F2" s="38"/>
      <c r="G2" s="38"/>
      <c r="H2" s="38"/>
      <c r="I2" s="38"/>
      <c r="J2" s="38"/>
      <c r="K2" s="38"/>
      <c r="L2" s="38"/>
    </row>
    <row r="4" spans="1:81" x14ac:dyDescent="0.2">
      <c r="A4" s="39" t="s">
        <v>280</v>
      </c>
      <c r="B4" s="40" t="s">
        <v>297</v>
      </c>
      <c r="C4" s="39" t="s">
        <v>2429</v>
      </c>
      <c r="D4" s="41"/>
      <c r="E4" s="39" t="s">
        <v>2430</v>
      </c>
      <c r="F4" s="42"/>
      <c r="G4" s="39" t="s">
        <v>2431</v>
      </c>
      <c r="H4" s="2" t="str">
        <f>IF(TRIM($B$4&amp;"")="","(none)",$B$4&amp;"|"&amp;IF($D$4="",IFERROR(_xlfn.AGGREGATE(14,6,nCASE_Case_Version/(nCASE_Case_ID=$B$4),1),IFERROR(_xlfn.AGGREGATE(14,6,nINT_Case_Version/(nINT_Case_ID=$B$4),1),1)),$D$4))</f>
        <v>EX-C01|2</v>
      </c>
      <c r="I4" s="1" t="str">
        <f>IF(H4="(none)","Enter a Case_ID",ROWS(A8:A157)-COUNTBLANK(A8:A157)&amp;" result rows"&amp;IF(ISNA(MATCH(H4,nCASE_Key,0)),"; no Cases row for this case version",""))</f>
        <v>15 result rows</v>
      </c>
    </row>
    <row r="6" spans="1:81" x14ac:dyDescent="0.2">
      <c r="A6" s="7" t="s">
        <v>2432</v>
      </c>
    </row>
    <row r="7" spans="1:81" x14ac:dyDescent="0.2">
      <c r="A7" s="5" t="s">
        <v>280</v>
      </c>
      <c r="B7" s="5" t="s">
        <v>281</v>
      </c>
      <c r="C7" s="5" t="s">
        <v>2433</v>
      </c>
      <c r="D7" s="5" t="s">
        <v>954</v>
      </c>
      <c r="E7" s="5" t="s">
        <v>2434</v>
      </c>
      <c r="F7" s="5" t="s">
        <v>580</v>
      </c>
      <c r="G7" s="5" t="s">
        <v>680</v>
      </c>
      <c r="H7" s="5" t="s">
        <v>2435</v>
      </c>
      <c r="I7" s="5" t="s">
        <v>2191</v>
      </c>
      <c r="J7" s="5" t="s">
        <v>2215</v>
      </c>
      <c r="K7" s="5" t="s">
        <v>2217</v>
      </c>
      <c r="L7" s="5" t="s">
        <v>776</v>
      </c>
      <c r="M7" s="5" t="s">
        <v>2436</v>
      </c>
      <c r="N7" s="5" t="s">
        <v>2355</v>
      </c>
      <c r="O7" s="5" t="s">
        <v>2437</v>
      </c>
      <c r="P7" s="5" t="s">
        <v>2438</v>
      </c>
      <c r="Q7" s="5" t="s">
        <v>2439</v>
      </c>
      <c r="R7" s="5" t="s">
        <v>986</v>
      </c>
      <c r="S7" s="5" t="s">
        <v>2440</v>
      </c>
      <c r="T7" s="5" t="s">
        <v>2441</v>
      </c>
      <c r="U7" s="5" t="s">
        <v>2442</v>
      </c>
      <c r="V7" s="5" t="s">
        <v>2443</v>
      </c>
      <c r="W7" s="5" t="s">
        <v>2444</v>
      </c>
      <c r="X7" s="5" t="s">
        <v>2445</v>
      </c>
      <c r="Y7" s="5" t="s">
        <v>1006</v>
      </c>
      <c r="Z7" s="5" t="s">
        <v>2446</v>
      </c>
      <c r="AA7" s="5" t="s">
        <v>2447</v>
      </c>
      <c r="AB7" s="5" t="s">
        <v>2448</v>
      </c>
      <c r="AC7" s="5" t="s">
        <v>2449</v>
      </c>
      <c r="AD7" s="5" t="s">
        <v>2450</v>
      </c>
    </row>
    <row r="8" spans="1:81" x14ac:dyDescent="0.2">
      <c r="A8" s="21" t="str">
        <f>IF(ISNUMBER($AJ8),$AJ8,IF($AJ8="","",IF(OR(LEFT($AJ8,1)="=",LEFT($AJ8,1)="+",LEFT($AJ8,1)="-",LEFT($AJ8,1)="@",LEFT($AJ8,1)=CHAR(9),LEFT($AJ8,1)=CHAR(13)),"'"&amp;$AJ8,$AJ8)))</f>
        <v>EX-C01</v>
      </c>
      <c r="B8" s="21">
        <f>IF(ISNUMBER($AK8),$AK8,IF($AK8="","",IF(OR(LEFT($AK8,1)="=",LEFT($AK8,1)="+",LEFT($AK8,1)="-",LEFT($AK8,1)="@",LEFT($AK8,1)=CHAR(9),LEFT($AK8,1)=CHAR(13)),"'"&amp;$AK8,$AK8)))</f>
        <v>2</v>
      </c>
      <c r="C8" s="21" t="str">
        <f>IF(ISNUMBER($AL8),$AL8,IF($AL8="","",IF(OR(LEFT($AL8,1)="=",LEFT($AL8,1)="+",LEFT($AL8,1)="-",LEFT($AL8,1)="@",LEFT($AL8,1)=CHAR(9),LEFT($AL8,1)=CHAR(13)),"'"&amp;$AL8,$AL8)))</f>
        <v>I01</v>
      </c>
      <c r="D8" s="21" t="str">
        <f>IF(ISNUMBER($AM8),$AM8,IF($AM8="","",IF(OR(LEFT($AM8,1)="=",LEFT($AM8,1)="+",LEFT($AM8,1)="-",LEFT($AM8,1)="@",LEFT($AM8,1)=CHAR(9),LEFT($AM8,1)=CHAR(13)),"'"&amp;$AM8,$AM8)))</f>
        <v>EX-A/START → EV-1/ONSET</v>
      </c>
      <c r="E8" s="21" t="str">
        <f>IF(ISNUMBER($AN8),$AN8,IF($AN8="","",IF(OR(LEFT($AN8,1)="=",LEFT($AN8,1)="+",LEFT($AN8,1)="-",LEFT($AN8,1)="@",LEFT($AN8,1)=CHAR(9),LEFT($AN8,1)=CHAR(13)),"'"&amp;$AN8,$AN8)))</f>
        <v>L1</v>
      </c>
      <c r="F8" s="21" t="str">
        <f>IF(ISNUMBER($AO8),$AO8,IF($AO8="","",IF(OR(LEFT($AO8,1)="=",LEFT($AO8,1)="+",LEFT($AO8,1)="-",LEFT($AO8,1)="@",LEFT($AO8,1)=CHAR(9),LEFT($AO8,1)=CHAR(13)),"'"&amp;$AO8,$AO8)))</f>
        <v>EX-A</v>
      </c>
      <c r="G8" s="21" t="str">
        <f>IF(ISNUMBER($AP8),$AP8,IF($AP8="","",IF(OR(LEFT($AP8,1)="=",LEFT($AP8,1)="+",LEFT($AP8,1)="-",LEFT($AP8,1)="@",LEFT($AP8,1)=CHAR(9),LEFT($AP8,1)=CHAR(13)),"'"&amp;$AP8,$AP8)))</f>
        <v>EV-1</v>
      </c>
      <c r="H8" s="21" t="str">
        <f>IF(ISNUMBER($AQ8),$AQ8,IF($AQ8="","",IF(OR(LEFT($AQ8,1)="=",LEFT($AQ8,1)="+",LEFT($AQ8,1)="-",LEFT($AQ8,1)="@",LEFT($AQ8,1)=CHAR(9),LEFT($AQ8,1)=CHAR(13)),"'"&amp;$AQ8,$AQ8)))</f>
        <v>EV-1/ONSET</v>
      </c>
      <c r="I8" s="21">
        <f>IF(ISNUMBER($AR8),$AR8,IF($AR8="","",IF(OR(LEFT($AR8,1)="=",LEFT($AR8,1)="+",LEFT($AR8,1)="-",LEFT($AR8,1)="@",LEFT($AR8,1)=CHAR(9),LEFT($AR8,1)=CHAR(13)),"'"&amp;$AR8,$AR8)))</f>
        <v>15</v>
      </c>
      <c r="J8" s="21" t="str">
        <f>IF(ISNUMBER($AS8),$AS8,IF($AS8="","",IF(OR(LEFT($AS8,1)="=",LEFT($AS8,1)="+",LEFT($AS8,1)="-",LEFT($AS8,1)="@",LEFT($AS8,1)=CHAR(9),LEFT($AS8,1)=CHAR(13)),"'"&amp;$AS8,$AS8)))</f>
        <v/>
      </c>
      <c r="K8" s="21" t="str">
        <f>IF(ISNUMBER($AT8),$AT8,IF($AT8="","",IF(OR(LEFT($AT8,1)="=",LEFT($AT8,1)="+",LEFT($AT8,1)="-",LEFT($AT8,1)="@",LEFT($AT8,1)=CHAR(9),LEFT($AT8,1)=CHAR(13)),"'"&amp;$AT8,$AT8)))</f>
        <v/>
      </c>
      <c r="L8" s="21" t="str">
        <f>IF(ISNUMBER($AU8),$AU8,IF($AU8="","",IF(OR(LEFT($AU8,1)="=",LEFT($AU8,1)="+",LEFT($AU8,1)="-",LEFT($AU8,1)="@",LEFT($AU8,1)=CHAR(9),LEFT($AU8,1)=CHAR(13)),"'"&amp;$AU8,$AU8)))</f>
        <v>minutes</v>
      </c>
      <c r="M8" s="21" t="str">
        <f>IF(ISNUMBER($AV8),$AV8,IF($AV8="","",IF(OR(LEFT($AV8,1)="=",LEFT($AV8,1)="+",LEFT($AV8,1)="-",LEFT($AV8,1)="@",LEFT($AV8,1)=CHAR(9),LEFT($AV8,1)=CHAR(13)),"'"&amp;$AV8,$AV8)))</f>
        <v>15 minutes</v>
      </c>
      <c r="N8" s="21" t="str">
        <f>IF(ISNUMBER($AW8),$AW8,IF($AW8="","",IF(OR(LEFT($AW8,1)="=",LEFT($AW8,1)="+",LEFT($AW8,1)="-",LEFT($AW8,1)="@",LEFT($AW8,1)=CHAR(9),LEFT($AW8,1)=CHAR(13)),"'"&amp;$AW8,$AW8)))</f>
        <v>C1</v>
      </c>
      <c r="O8" s="21" t="str">
        <f>IF(ISNUMBER($AX8),$AX8,IF($AX8="","",IF(OR(LEFT($AX8,1)="=",LEFT($AX8,1)="+",LEFT($AX8,1)="-",LEFT($AX8,1)="@",LEFT($AX8,1)=CHAR(9),LEFT($AX8,1)=CHAR(13)),"'"&amp;$AX8,$AX8)))</f>
        <v>FIRST_ADMIN</v>
      </c>
      <c r="P8" s="21" t="str">
        <f>IF(ISNUMBER($AY8),$AY8,IF($AY8="","",IF(OR(LEFT($AY8,1)="=",LEFT($AY8,1)="+",LEFT($AY8,1)="-",LEFT($AY8,1)="@",LEFT($AY8,1)=CHAR(9),LEFT($AY8,1)=CHAR(13)),"'"&amp;$AY8,$AY8)))</f>
        <v>EX-A/START</v>
      </c>
      <c r="Q8" s="21" t="str">
        <f>IF(ISNUMBER($AZ8),$AZ8,IF($AZ8="","",IF(OR(LEFT($AZ8,1)="=",LEFT($AZ8,1)="+",LEFT($AZ8,1)="-",LEFT($AZ8,1)="@",LEFT($AZ8,1)=CHAR(9),LEFT($AZ8,1)=CHAR(13)),"'"&amp;$AZ8,$AZ8)))</f>
        <v/>
      </c>
      <c r="R8" s="21" t="str">
        <f>IF(ISNUMBER($BA8),$BA8,IF($BA8="","",IF(OR(LEFT($BA8,1)="=",LEFT($BA8,1)="+",LEFT($BA8,1)="-",LEFT($BA8,1)="@",LEFT($BA8,1)=CHAR(9),LEFT($BA8,1)=CHAR(13)),"'"&amp;$BA8,$BA8)))</f>
        <v>AFTER</v>
      </c>
      <c r="S8" s="21" t="str">
        <f>IF(ISNUMBER($BB8),$BB8,IF($BB8="","",IF(OR(LEFT($BB8,1)="=",LEFT($BB8,1)="+",LEFT($BB8,1)="-",LEFT($BB8,1)="@",LEFT($BB8,1)=CHAR(9),LEFT($BB8,1)=CHAR(13)),"'"&amp;$BB8,$BB8)))</f>
        <v/>
      </c>
      <c r="T8" s="21" t="str">
        <f>IF(ISNUMBER($BC8),$BC8,IF($BC8="","",IF(OR(LEFT($BC8,1)="=",LEFT($BC8,1)="+",LEFT($BC8,1)="-",LEFT($BC8,1)="@",LEFT($BC8,1)=CHAR(9),LEFT($BC8,1)=CHAR(13)),"'"&amp;$BC8,$BC8)))</f>
        <v/>
      </c>
      <c r="U8" s="21" t="str">
        <f>IF(ISNUMBER($BD8),$BD8,IF($BD8="","",IF(OR(LEFT($BD8,1)="=",LEFT($BD8,1)="+",LEFT($BD8,1)="-",LEFT($BD8,1)="@",LEFT($BD8,1)=CHAR(9),LEFT($BD8,1)=CHAR(13)),"'"&amp;$BD8,$BD8)))</f>
        <v/>
      </c>
      <c r="V8" s="21" t="str">
        <f>IF(ISNUMBER($BE8),$BE8,IF($BE8="","",IF(OR(LEFT($BE8,1)="=",LEFT($BE8,1)="+",LEFT($BE8,1)="-",LEFT($BE8,1)="@",LEFT($BE8,1)=CHAR(9),LEFT($BE8,1)=CHAR(13)),"'"&amp;$BE8,$BE8)))</f>
        <v/>
      </c>
      <c r="W8" s="21" t="str">
        <f>IF(ISNUMBER($BF8),$BF8,IF($BF8="","",IF(OR(LEFT($BF8,1)="=",LEFT($BF8,1)="+",LEFT($BF8,1)="-",LEFT($BF8,1)="@",LEFT($BF8,1)=CHAR(9),LEFT($BF8,1)=CHAR(13)),"'"&amp;$BF8,$BF8)))</f>
        <v>Anchor (FIRST_ADMIN)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X8" s="21" t="str">
        <f>IF(ISNUMBER($BG8),$BG8,IF($BG8="","",IF(OR(LEFT($BG8,1)="=",LEFT($BG8,1)="+",LEFT($BG8,1)="-",LEFT($BG8,1)="@",LEFT($BG8,1)=CHAR(9),LEFT($BG8,1)=CHAR(13)),"'"&amp;$BG8,$BG8)))</f>
        <v/>
      </c>
      <c r="Y8" s="21" t="str">
        <f>IF(ISNUMBER($BH8),$BH8,IF($BH8="","",IF(OR(LEFT($BH8,1)="=",LEFT($BH8,1)="+",LEFT($BH8,1)="-",LEFT($BH8,1)="@",LEFT($BH8,1)=CHAR(9),LEFT($BH8,1)=CHAR(13)),"'"&amp;$BH8,$BH8)))</f>
        <v>CALC-SPEC 1.1</v>
      </c>
      <c r="Z8" s="21" t="str">
        <f>IF(ISNUMBER($BI8),$BI8,IF($BI8="","",IF(OR(LEFT($BI8,1)="=",LEFT($BI8,1)="+",LEFT($BI8,1)="-",LEFT($BI8,1)="@",LEFT($BI8,1)=CHAR(9),LEFT($BI8,1)=CHAR(13)),"'"&amp;$BI8,$BI8)))</f>
        <v/>
      </c>
      <c r="AA8" s="21" t="str">
        <f>IF(ISNUMBER($BJ8),$BJ8,IF($BJ8="","",IF(OR(LEFT($BJ8,1)="=",LEFT($BJ8,1)="+",LEFT($BJ8,1)="-",LEFT($BJ8,1)="@",LEFT($BJ8,1)=CHAR(9),LEFT($BJ8,1)=CHAR(13)),"'"&amp;$BJ8,$BJ8)))</f>
        <v/>
      </c>
      <c r="AB8" s="21" t="str">
        <f>IF(ISNUMBER($BK8),$BK8,IF($BK8="","",IF(OR(LEFT($BK8,1)="=",LEFT($BK8,1)="+",LEFT($BK8,1)="-",LEFT($BK8,1)="@",LEFT($BK8,1)=CHAR(9),LEFT($BK8,1)=CHAR(13)),"'"&amp;$BK8,$BK8)))</f>
        <v>The interval describes the sequence and spacing of recorded times; it is not evidence of causation.</v>
      </c>
      <c r="AC8" s="21" t="str">
        <f>IF(ISNUMBER($BL8),$BL8,IF($BL8="","",IF(OR(LEFT($BL8,1)="=",LEFT($BL8,1)="+",LEFT($BL8,1)="-",LEFT($BL8,1)="@",LEFT($BL8,1)=CHAR(9),LEFT($BL8,1)=CHAR(13)),"'"&amp;$BL8,$BL8)))</f>
        <v>not stamped</v>
      </c>
      <c r="AD8" s="21" t="str">
        <f>IF(ISNUMBER($BM8),$BM8,IF($BM8="","",IF(OR(LEFT($BM8,1)="=",LEFT($BM8,1)="+",LEFT($BM8,1)="-",LEFT($BM8,1)="@",LEFT($BM8,1)=CHAR(9),LEFT($BM8,1)=CHAR(13)),"'"&amp;$BM8,$BM8)))</f>
        <v>TTO Companion Tools v1.1</v>
      </c>
      <c r="AE8" s="1">
        <f>ROW()-7</f>
        <v>1</v>
      </c>
      <c r="AF8" s="1">
        <f>IF(AE8&gt;SUM($CB$8:$CB$19),0,MATCH(AE8-1,$CC$8:$CC$19,1))</f>
        <v>1</v>
      </c>
      <c r="AG8" s="1">
        <f>IF(AF8=0,0,AE8-INDEX($CC$8:$CC$19,AF8))</f>
        <v>1</v>
      </c>
      <c r="AH8" s="1">
        <f>IF(AF8=0,0,CHOOSE(AF8,IFERROR(_xlfn.AGGREGATE(15,6,(ROW(nINT_CaseKey)-ROW(INDEX(nINT_CaseKey,1,1))+1)/((nINT_CaseKey=$H$4)*(nINT_RowEmpty=0)),AG8),0),IFERROR(_xlfn.AGGREGATE(15,6,(ROW(nQ1_CaseKey)-ROW(INDEX(nQ1_CaseKey,1,1))+1)/((nQ1_CaseKey=$H$4)),AG8),0),IFERROR(_xlfn.AGGREGATE(15,6,(ROW(nQ2_CaseKey)-ROW(INDEX(nQ2_CaseKey,1,1))+1)/((nQ2_CaseKey=$H$4)),AG8),0),IFERROR(_xlfn.AGGREGATE(15,6,(ROW(nQ3_CaseKey)-ROW(INDEX(nQ3_CaseKey,1,1))+1)/((nQ3_CaseKey=$H$4)),AG8),0),IFERROR(_xlfn.AGGREGATE(15,6,(ROW(nQ4_CaseKey)-ROW(INDEX(nQ4_CaseKey,1,1))+1)/((nQ4_CaseKey=$H$4)),AG8),0),IFERROR(_xlfn.AGGREGATE(15,6,(ROW(nQ5_CaseKey)-ROW(INDEX(nQ5_CaseKey,1,1))+1)/((nQ5_CaseKey=$H$4)),AG8),0),IFERROR(_xlfn.AGGREGATE(15,6,(ROW(nQ6_CaseKey)-ROW(INDEX(nQ6_CaseKey,1,1))+1)/((nQ6_CaseKey=$H$4)),AG8),0),IFERROR(_xlfn.AGGREGATE(15,6,(ROW(nQ7_CaseKey)-ROW(INDEX(nQ7_CaseKey,1,1))+1)/((nQ7_CaseKey=$H$4)),AG8),0),IFERROR(_xlfn.AGGREGATE(15,6,(ROW(nQ8_CaseKey)-ROW(INDEX(nQ8_CaseKey,1,1))+1)/((nQ8_CaseKey=$H$4)),AG8),0),IFERROR(_xlfn.AGGREGATE(15,6,(ROW(nQ9_CaseKey)-ROW(INDEX(nQ9_CaseKey,1,1))+1)/((nQ9_CaseKey=$H$4)),AG8),0),IFERROR(_xlfn.AGGREGATE(15,6,(ROW(nQ10_CaseKey)-ROW(INDEX(nQ10_CaseKey,1,1))+1)/((nQ10_CaseKey=$H$4)),AG8),0),IFERROR(_xlfn.AGGREGATE(15,6,(ROW(nQ11_CaseKey)-ROW(INDEX(nQ11_CaseKey,1,1))+1)/((nQ11_CaseKey=$H$4)),AG8),0)))</f>
        <v>42</v>
      </c>
      <c r="AJ8" s="1" t="str">
        <f>IF($AF8=0,"",CHOOSE($AF8,INDEX(nINT_Case_ID,$AH8)&amp;"",INDEX(nQ1_Case_ID,$AH8)&amp;"",INDEX(nQ2_Case_ID,$AH8)&amp;"",INDEX(nQ3_Case_ID,$AH8)&amp;"",INDEX(nQ4_Case_ID,$AH8)&amp;"",INDEX(nQ5_Case_ID,$AH8)&amp;"",INDEX(nQ6_Case_ID,$AH8)&amp;"",INDEX(nQ7_Case_ID,$AH8)&amp;"",INDEX(nQ8_Case_ID,$AH8)&amp;"",INDEX(nQ9_Case_ID,$AH8)&amp;"",INDEX(nQ10_Case_ID,$AH8)&amp;"",INDEX(nQ11_Case_ID,$AH8)&amp;""))</f>
        <v>EX-C01</v>
      </c>
      <c r="AK8" s="1">
        <f>IF($AF8=0,"",CHOOSE($AF8,INDEX(nINT_Case_Version,$AH8),INDEX(nQ1_Case_Version,$AH8),INDEX(nQ2_Case_Version,$AH8),INDEX(nQ3_Case_Version,$AH8),INDEX(nQ4_Case_Version,$AH8),INDEX(nQ5_Case_Version,$AH8),INDEX(nQ6_Case_Version,$AH8),INDEX(nQ7_Case_Version,$AH8),INDEX(nQ8_Case_Version,$AH8),INDEX(nQ9_Case_Version,$AH8),INDEX(nQ10_Case_Version,$AH8),INDEX(nQ11_Case_Version,$AH8)))</f>
        <v>2</v>
      </c>
      <c r="AL8" s="1" t="str">
        <f>IF($AF8=0,"",CHOOSE($AF8,INDEX(nINT_Interval_ID,$AH8)&amp;"",INDEX(nQ1_Calc_ID,$AH8)&amp;"",INDEX(nQ2_Calc_ID,$AH8)&amp;"",INDEX(nQ3_Calc_ID,$AH8)&amp;"",INDEX(nQ4_Calc_ID,$AH8)&amp;"",INDEX(nQ5_Calc_ID,$AH8)&amp;"",INDEX(nQ6_Calc_ID,$AH8)&amp;"",INDEX(nQ7_Calc_ID,$AH8)&amp;"",INDEX(nQ8_Calc_ID,$AH8)&amp;"",INDEX(nQ9_Calc_ID,$AH8)&amp;"",INDEX(nQ10_Calc_ID,$AH8)&amp;"",INDEX(nQ11_Calc_ID,$AH8)&amp;""))</f>
        <v>I01</v>
      </c>
      <c r="AM8" s="1" t="str">
        <f>IF($AF8=0,"",CHOOSE($AF8,INDEX(nINT_Label,$AH8)&amp;"",INDEX(nQ1_Label_Out,$AH8)&amp;"",INDEX(nQ2_Label_Out,$AH8)&amp;"",INDEX(nQ3_Label_Out,$AH8)&amp;"",INDEX(nQ4_Label_Out,$AH8)&amp;"",INDEX(nQ5_Label_Out,$AH8)&amp;"",INDEX(nQ6_Label_Out,$AH8)&amp;"",INDEX(nQ7_Label_Out,$AH8)&amp;"",INDEX(nQ8_Label_Out,$AH8)&amp;"",INDEX(nQ9_Label_Out,$AH8)&amp;"",INDEX(nQ10_Label_Out,$AH8)&amp;"",INDEX(nQ11_Label_Out,$AH8)&amp;""))</f>
        <v>EX-A/START → EV-1/ONSET</v>
      </c>
      <c r="AN8" s="1" t="str">
        <f>IF($AF8=0,"",CHOOSE($AF8,IF(INDEX(nINT_LinkRow,$AH8)=0,"",INDEX(nINT_Link_ID,$AH8)&amp;""),"","","","","","","","","","",""))</f>
        <v>L1</v>
      </c>
      <c r="AO8" s="1" t="str">
        <f>IF($AF8=0,"",CHOOSE($AF8,INDEX(nINT_Exposure_Episode_ID,$AH8)&amp;"","","","","","","","","","","",""))</f>
        <v>EX-A</v>
      </c>
      <c r="AP8" s="1" t="str">
        <f>IF($AF8=0,"",CHOOSE($AF8,INDEX(nINT_Event_Episode_ID,$AH8)&amp;"","","","","","","","","","","",""))</f>
        <v>EV-1</v>
      </c>
      <c r="AQ8" s="1" t="str">
        <f>IF($AF8=0,"",CHOOSE($AF8,INDEX(nINT_End_Record_ID_Used,$AH8)&amp;"","","","","","","","","","","",""))</f>
        <v>EV-1/ONSET</v>
      </c>
      <c r="AR8" s="1">
        <f>IF($AF8=0,"",CHOOSE($AF8,INDEX(nINT_Interval_Value,$AH8),"","","","","","","","","","",""))</f>
        <v>15</v>
      </c>
      <c r="AS8" s="1" t="str">
        <f>IF($AF8=0,"",CHOOSE($AF8,INDEX(nINT_Interval_Minimum,$AH8),"","","","","","","","","","",""))</f>
        <v/>
      </c>
      <c r="AT8" s="1" t="str">
        <f>IF($AF8=0,"",CHOOSE($AF8,INDEX(nINT_Interval_Maximum,$AH8),"","","","","","","","","","",""))</f>
        <v/>
      </c>
      <c r="AU8" s="1" t="str">
        <f>IF($AF8=0,"",CHOOSE($AF8,INDEX(nINT_Unit,$AH8)&amp;"",INDEX(nQ1_Unit_Out,$AH8)&amp;"",INDEX(nQ2_Unit_Out,$AH8)&amp;"",INDEX(nQ3_Unit_Out,$AH8)&amp;"",INDEX(nQ4_Unit_Out,$AH8)&amp;"",INDEX(nQ5_Unit_Out,$AH8)&amp;"",INDEX(nQ6_Unit_Out,$AH8)&amp;"",INDEX(nQ7_Unit_Out,$AH8)&amp;"",INDEX(nQ8_Unit_Out,$AH8)&amp;"",INDEX(nQ9_Unit_Out,$AH8)&amp;"",INDEX(nQ10_Unit_Out,$AH8)&amp;"",INDEX(nQ11_Unit_Out,$AH8)&amp;""))</f>
        <v>minutes</v>
      </c>
      <c r="AV8" s="1" t="str">
        <f>IF($AF8=0,"",CHOOSE($AF8,INDEX(nINT_Displayed_Value,$AH8)&amp;"",INDEX(nQ1_Displayed_Value,$AH8)&amp;"",INDEX(nQ2_Displayed_Value,$AH8)&amp;"",INDEX(nQ3_Displayed_Value,$AH8)&amp;"",INDEX(nQ4_Displayed_Value,$AH8)&amp;"",INDEX(nQ5_Displayed_Value,$AH8)&amp;"",INDEX(nQ6_Displayed_Value,$AH8)&amp;"",INDEX(nQ7_Displayed_Value,$AH8)&amp;"",INDEX(nQ8_Displayed_Value,$AH8)&amp;"",INDEX(nQ9_Displayed_Value,$AH8)&amp;"",INDEX(nQ10_Displayed_Value,$AH8)&amp;"",INDEX(nQ11_Displayed_Value,$AH8)&amp;""))</f>
        <v>15 minutes</v>
      </c>
      <c r="AW8" s="1" t="str">
        <f>IF($AF8=0,"",CHOOSE($AF8,INDEX(nINT_Calculation_Mode_Used,$AH8)&amp;"","Q1","Q2","Q3","Q4","Q5","Q6","Q7","Q8","Q9","Q10","Q11"))</f>
        <v>C1</v>
      </c>
      <c r="AX8" s="1" t="str">
        <f>IF($AF8=0,"",CHOOSE($AF8,INDEX(nINT_Anchor_Type,$AH8)&amp;"","","","","","","","","","","",""))</f>
        <v>FIRST_ADMIN</v>
      </c>
      <c r="AY8" s="1" t="str">
        <f>IF($AF8=0,"",CHOOSE($AF8,IF(INDEX(nINT_K_Ok,$AH8)=1,INDEX(nINT_Anchor_Record_ID_Used,$AH8)&amp;"",""),"","","","","","","","","","",""))</f>
        <v>EX-A/START</v>
      </c>
      <c r="AZ8" s="1" t="str">
        <f>IF($AF8=0,"",CHOOSE($AF8,INDEX(nINT_Anchor_Description,$AH8)&amp;"","","","","","","","","","","",""))</f>
        <v/>
      </c>
      <c r="BA8" s="1" t="str">
        <f>IF($AF8=0,"",CHOOSE($AF8,INDEX(nINT_Sequence_Status,$AH8)&amp;"","","","","","","","","","","",""))</f>
        <v>AFTER</v>
      </c>
      <c r="BB8" s="1" t="str">
        <f>IF($AF8=0,"",CHOOSE($AF8,INDEX(nINT_Treatment_Day,$AH8),"","","","","","","","","","",""))</f>
        <v/>
      </c>
      <c r="BC8" s="1" t="str">
        <f>IF($AF8=0,"",CHOOSE($AF8,INDEX(nINT_Reported_Timing_Result,$AH8)&amp;"","","","","","","","","","","",""))</f>
        <v/>
      </c>
      <c r="BD8" s="1" t="str">
        <f>IF($AF8=0,"",CHOOSE($AF8,IF(INDEX(nINT_K_HasC,$AH8)=1,INDEX(nINT_Constraint_Source,$AH8)&amp;"",""),"","","","","","","","","","",""))</f>
        <v/>
      </c>
      <c r="BE8" s="1" t="str">
        <f>IF($AF8=0,"",CHOOSE($AF8,"",INDEX(nQ1_Results_Text,$AH8)&amp;"",INDEX(nQ2_Results_Text,$AH8)&amp;"",INDEX(nQ3_Results_Text,$AH8)&amp;"",INDEX(nQ4_Results_Text,$AH8)&amp;"",INDEX(nQ5_Results_Text,$AH8)&amp;"",INDEX(nQ6_Results_Text,$AH8)&amp;"",INDEX(nQ7_Results_Text,$AH8)&amp;"",INDEX(nQ8_Results_Text,$AH8)&amp;"",INDEX(nQ9_Results_Text,$AH8)&amp;"",INDEX(nQ10_Results_Text,$AH8)&amp;"",INDEX(nQ11_Results_Text,$AH8)&amp;""))</f>
        <v/>
      </c>
      <c r="BF8" s="1" t="str">
        <f>IF($AF8=0,"",CHOOSE($AF8,INDEX(nINT_Parameter_Set,$AH8)&amp;"",INDEX(nQ1_Parameter_Set,$AH8)&amp;"",INDEX(nQ2_Parameter_Set,$AH8)&amp;"",INDEX(nQ3_Parameter_Set,$AH8)&amp;"",INDEX(nQ4_Parameter_Set,$AH8)&amp;"",INDEX(nQ5_Parameter_Set,$AH8)&amp;"",INDEX(nQ6_Parameter_Set,$AH8)&amp;"",INDEX(nQ7_Parameter_Set,$AH8)&amp;"",INDEX(nQ8_Parameter_Set,$AH8)&amp;"",INDEX(nQ9_Parameter_Set,$AH8)&amp;"",INDEX(nQ10_Parameter_Set,$AH8)&amp;"",INDEX(nQ11_Parameter_Set,$AH8)&amp;""))</f>
        <v>Anchor (FIRST_ADMIN)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BG8" s="1" t="str">
        <f>IF($AF8=0,"",CHOOSE($AF8,INDEX(nINT_Assumptions,$AH8)&amp;"",INDEX(nQ1_Assumptions,$AH8)&amp;"",INDEX(nQ2_Assumptions,$AH8)&amp;"",INDEX(nQ3_Assumptions,$AH8)&amp;"",INDEX(nQ4_Assumptions,$AH8)&amp;"",INDEX(nQ5_Assumptions,$AH8)&amp;"",INDEX(nQ6_Assumptions,$AH8)&amp;"",INDEX(nQ7_Assumptions,$AH8)&amp;"",INDEX(nQ8_Assumptions,$AH8)&amp;"",INDEX(nQ9_Assumptions,$AH8)&amp;"",INDEX(nQ10_Assumptions,$AH8)&amp;"",INDEX(nQ11_Assumptions,$AH8)&amp;""))</f>
        <v/>
      </c>
      <c r="BH8" s="1" t="str">
        <f>IF($AF8=0,"",CHOOSE($AF8,INDEX(nINT_Calculation_Version,$AH8)&amp;"",INDEX(nQ1_Calculation_Version,$AH8)&amp;"",INDEX(nQ2_Calculation_Version,$AH8)&amp;"",INDEX(nQ3_Calculation_Version,$AH8)&amp;"",INDEX(nQ4_Calculation_Version,$AH8)&amp;"",INDEX(nQ5_Calculation_Version,$AH8)&amp;"",INDEX(nQ6_Calculation_Version,$AH8)&amp;"",INDEX(nQ7_Calculation_Version,$AH8)&amp;"",INDEX(nQ8_Calculation_Version,$AH8)&amp;"",INDEX(nQ9_Calculation_Version,$AH8)&amp;"",INDEX(nQ10_Calculation_Version,$AH8)&amp;"",INDEX(nQ11_Calculation_Version,$AH8)&amp;""))</f>
        <v>CALC-SPEC 1.1</v>
      </c>
      <c r="BI8" s="1" t="str">
        <f>IF($AF8=0,"",CHOOSE($AF8,INDEX(nINT_QC_Flags,$AH8)&amp;"",INDEX(nQ1_QC_Flags,$AH8)&amp;"",INDEX(nQ2_QC_Flags,$AH8)&amp;"",INDEX(nQ3_QC_Flags,$AH8)&amp;"",INDEX(nQ4_QC_Flags,$AH8)&amp;"",INDEX(nQ5_QC_Flags,$AH8)&amp;"",INDEX(nQ6_QC_Flags,$AH8)&amp;"",INDEX(nQ7_QC_Flags,$AH8)&amp;"",INDEX(nQ8_QC_Flags,$AH8)&amp;"",INDEX(nQ9_QC_Flags,$AH8)&amp;"",INDEX(nQ10_QC_Flags,$AH8)&amp;"",INDEX(nQ11_QC_Flags,$AH8)&amp;""))</f>
        <v/>
      </c>
      <c r="BJ8" s="1" t="str">
        <f>IF($AF8=0,"",CHOOSE($AF8,INDEX(nINT_Messages,$AH8)&amp;"",INDEX(nQ1_Messages,$AH8)&amp;"",INDEX(nQ2_Messages,$AH8)&amp;"",INDEX(nQ3_Messages,$AH8)&amp;"",INDEX(nQ4_Messages,$AH8)&amp;"",INDEX(nQ5_Messages,$AH8)&amp;"",INDEX(nQ6_Messages,$AH8)&amp;"",INDEX(nQ7_Messages,$AH8)&amp;"",INDEX(nQ8_Messages,$AH8)&amp;"",INDEX(nQ9_Messages,$AH8)&amp;"",INDEX(nQ10_Messages,$AH8)&amp;"",INDEX(nQ11_Messages,$AH8)&amp;""))</f>
        <v/>
      </c>
      <c r="BK8" s="1" t="str">
        <f>IF($AF8=0,"",CHOOSE($AF8,INDEX(nINT_Limitations,$AH8)&amp;"",INDEX(nQ1_Mandatory_Text,$AH8)&amp;"",INDEX(nQ2_Mandatory_Text,$AH8)&amp;"",INDEX(nQ3_Mandatory_Text,$AH8)&amp;"",INDEX(nQ4_Mandatory_Text,$AH8)&amp;"",INDEX(nQ5_Mandatory_Text,$AH8)&amp;"",INDEX(nQ6_Mandatory_Text,$AH8)&amp;"",INDEX(nQ7_Mandatory_Text,$AH8)&amp;"",INDEX(nQ8_Mandatory_Text,$AH8)&amp;"",INDEX(nQ9_Mandatory_Text,$AH8)&amp;"",INDEX(nQ10_Mandatory_Text,$AH8)&amp;"",INDEX(nQ11_Mandatory_Text,$AH8)&amp;""))</f>
        <v>The interval describes the sequence and spacing of recorded times; it is not evidence of causation.</v>
      </c>
      <c r="BL8" s="1" t="str">
        <f>IF($AF8=0,"",IF(ISNUMBER($F$4),TEXT($F$4,"yyyy-mm-dd")&amp;"T"&amp;TEXT($F$4,"hh:mm")&amp;":00","not stamped"))</f>
        <v>not stamped</v>
      </c>
      <c r="BM8" s="1" t="str">
        <f>IF($AF8=0,"","TTO Companion Tools v1.1")</f>
        <v>TTO Companion Tools v1.1</v>
      </c>
      <c r="CA8" s="1" t="s">
        <v>2451</v>
      </c>
      <c r="CB8" s="1">
        <f>COUNTIFS(nINT_CaseKey,$H$4,nINT_RowEmpty,0)</f>
        <v>14</v>
      </c>
      <c r="CC8" s="1">
        <f>0</f>
        <v>0</v>
      </c>
    </row>
    <row r="9" spans="1:81" x14ac:dyDescent="0.2">
      <c r="A9" s="21" t="str">
        <f t="shared" ref="A9:A72" si="0">IF(ISNUMBER($AJ9),$AJ9,IF($AJ9="","",IF(OR(LEFT($AJ9,1)="=",LEFT($AJ9,1)="+",LEFT($AJ9,1)="-",LEFT($AJ9,1)="@",LEFT($AJ9,1)=CHAR(9),LEFT($AJ9,1)=CHAR(13)),"'"&amp;$AJ9,$AJ9)))</f>
        <v>EX-C01</v>
      </c>
      <c r="B9" s="21">
        <f t="shared" ref="B9:B72" si="1">IF(ISNUMBER($AK9),$AK9,IF($AK9="","",IF(OR(LEFT($AK9,1)="=",LEFT($AK9,1)="+",LEFT($AK9,1)="-",LEFT($AK9,1)="@",LEFT($AK9,1)=CHAR(9),LEFT($AK9,1)=CHAR(13)),"'"&amp;$AK9,$AK9)))</f>
        <v>2</v>
      </c>
      <c r="C9" s="21" t="str">
        <f t="shared" ref="C9:C72" si="2">IF(ISNUMBER($AL9),$AL9,IF($AL9="","",IF(OR(LEFT($AL9,1)="=",LEFT($AL9,1)="+",LEFT($AL9,1)="-",LEFT($AL9,1)="@",LEFT($AL9,1)=CHAR(9),LEFT($AL9,1)=CHAR(13)),"'"&amp;$AL9,$AL9)))</f>
        <v>I02</v>
      </c>
      <c r="D9" s="21" t="str">
        <f t="shared" ref="D9:D72" si="3">IF(ISNUMBER($AM9),$AM9,IF($AM9="","",IF(OR(LEFT($AM9,1)="=",LEFT($AM9,1)="+",LEFT($AM9,1)="-",LEFT($AM9,1)="@",LEFT($AM9,1)=CHAR(9),LEFT($AM9,1)=CHAR(13)),"'"&amp;$AM9,$AM9)))</f>
        <v>EX-A/START → EV-1/ONSET</v>
      </c>
      <c r="E9" s="21" t="str">
        <f t="shared" ref="E9:E72" si="4">IF(ISNUMBER($AN9),$AN9,IF($AN9="","",IF(OR(LEFT($AN9,1)="=",LEFT($AN9,1)="+",LEFT($AN9,1)="-",LEFT($AN9,1)="@",LEFT($AN9,1)=CHAR(9),LEFT($AN9,1)=CHAR(13)),"'"&amp;$AN9,$AN9)))</f>
        <v>L1</v>
      </c>
      <c r="F9" s="21" t="str">
        <f t="shared" ref="F9:F72" si="5">IF(ISNUMBER($AO9),$AO9,IF($AO9="","",IF(OR(LEFT($AO9,1)="=",LEFT($AO9,1)="+",LEFT($AO9,1)="-",LEFT($AO9,1)="@",LEFT($AO9,1)=CHAR(9),LEFT($AO9,1)=CHAR(13)),"'"&amp;$AO9,$AO9)))</f>
        <v>EX-A</v>
      </c>
      <c r="G9" s="21" t="str">
        <f t="shared" ref="G9:G72" si="6">IF(ISNUMBER($AP9),$AP9,IF($AP9="","",IF(OR(LEFT($AP9,1)="=",LEFT($AP9,1)="+",LEFT($AP9,1)="-",LEFT($AP9,1)="@",LEFT($AP9,1)=CHAR(9),LEFT($AP9,1)=CHAR(13)),"'"&amp;$AP9,$AP9)))</f>
        <v>EV-1</v>
      </c>
      <c r="H9" s="21" t="str">
        <f t="shared" ref="H9:H72" si="7">IF(ISNUMBER($AQ9),$AQ9,IF($AQ9="","",IF(OR(LEFT($AQ9,1)="=",LEFT($AQ9,1)="+",LEFT($AQ9,1)="-",LEFT($AQ9,1)="@",LEFT($AQ9,1)=CHAR(9),LEFT($AQ9,1)=CHAR(13)),"'"&amp;$AQ9,$AQ9)))</f>
        <v>EV-1/ONSET</v>
      </c>
      <c r="I9" s="21">
        <f t="shared" ref="I9:I72" si="8">IF(ISNUMBER($AR9),$AR9,IF($AR9="","",IF(OR(LEFT($AR9,1)="=",LEFT($AR9,1)="+",LEFT($AR9,1)="-",LEFT($AR9,1)="@",LEFT($AR9,1)=CHAR(9),LEFT($AR9,1)=CHAR(13)),"'"&amp;$AR9,$AR9)))</f>
        <v>0</v>
      </c>
      <c r="J9" s="21" t="str">
        <f t="shared" ref="J9:J72" si="9">IF(ISNUMBER($AS9),$AS9,IF($AS9="","",IF(OR(LEFT($AS9,1)="=",LEFT($AS9,1)="+",LEFT($AS9,1)="-",LEFT($AS9,1)="@",LEFT($AS9,1)=CHAR(9),LEFT($AS9,1)=CHAR(13)),"'"&amp;$AS9,$AS9)))</f>
        <v/>
      </c>
      <c r="K9" s="21" t="str">
        <f t="shared" ref="K9:K72" si="10">IF(ISNUMBER($AT9),$AT9,IF($AT9="","",IF(OR(LEFT($AT9,1)="=",LEFT($AT9,1)="+",LEFT($AT9,1)="-",LEFT($AT9,1)="@",LEFT($AT9,1)=CHAR(9),LEFT($AT9,1)=CHAR(13)),"'"&amp;$AT9,$AT9)))</f>
        <v/>
      </c>
      <c r="L9" s="21" t="str">
        <f t="shared" ref="L9:L72" si="11">IF(ISNUMBER($AU9),$AU9,IF($AU9="","",IF(OR(LEFT($AU9,1)="=",LEFT($AU9,1)="+",LEFT($AU9,1)="-",LEFT($AU9,1)="@",LEFT($AU9,1)=CHAR(9),LEFT($AU9,1)=CHAR(13)),"'"&amp;$AU9,$AU9)))</f>
        <v>calendar days</v>
      </c>
      <c r="M9" s="21" t="str">
        <f t="shared" ref="M9:M72" si="12">IF(ISNUMBER($AV9),$AV9,IF($AV9="","",IF(OR(LEFT($AV9,1)="=",LEFT($AV9,1)="+",LEFT($AV9,1)="-",LEFT($AV9,1)="@",LEFT($AV9,1)=CHAR(9),LEFT($AV9,1)=CHAR(13)),"'"&amp;$AV9,$AV9)))</f>
        <v>0 calendar days</v>
      </c>
      <c r="N9" s="21" t="str">
        <f t="shared" ref="N9:N72" si="13">IF(ISNUMBER($AW9),$AW9,IF($AW9="","",IF(OR(LEFT($AW9,1)="=",LEFT($AW9,1)="+",LEFT($AW9,1)="-",LEFT($AW9,1)="@",LEFT($AW9,1)=CHAR(9),LEFT($AW9,1)=CHAR(13)),"'"&amp;$AW9,$AW9)))</f>
        <v>C2; C3</v>
      </c>
      <c r="O9" s="21" t="str">
        <f t="shared" ref="O9:O72" si="14">IF(ISNUMBER($AX9),$AX9,IF($AX9="","",IF(OR(LEFT($AX9,1)="=",LEFT($AX9,1)="+",LEFT($AX9,1)="-",LEFT($AX9,1)="@",LEFT($AX9,1)=CHAR(9),LEFT($AX9,1)=CHAR(13)),"'"&amp;$AX9,$AX9)))</f>
        <v>FIRST_ADMIN</v>
      </c>
      <c r="P9" s="21" t="str">
        <f t="shared" ref="P9:P72" si="15">IF(ISNUMBER($AY9),$AY9,IF($AY9="","",IF(OR(LEFT($AY9,1)="=",LEFT($AY9,1)="+",LEFT($AY9,1)="-",LEFT($AY9,1)="@",LEFT($AY9,1)=CHAR(9),LEFT($AY9,1)=CHAR(13)),"'"&amp;$AY9,$AY9)))</f>
        <v>EX-A/START</v>
      </c>
      <c r="Q9" s="21" t="str">
        <f t="shared" ref="Q9:Q72" si="16">IF(ISNUMBER($AZ9),$AZ9,IF($AZ9="","",IF(OR(LEFT($AZ9,1)="=",LEFT($AZ9,1)="+",LEFT($AZ9,1)="-",LEFT($AZ9,1)="@",LEFT($AZ9,1)=CHAR(9),LEFT($AZ9,1)=CHAR(13)),"'"&amp;$AZ9,$AZ9)))</f>
        <v/>
      </c>
      <c r="R9" s="21" t="str">
        <f t="shared" ref="R9:R72" si="17">IF(ISNUMBER($BA9),$BA9,IF($BA9="","",IF(OR(LEFT($BA9,1)="=",LEFT($BA9,1)="+",LEFT($BA9,1)="-",LEFT($BA9,1)="@",LEFT($BA9,1)=CHAR(9),LEFT($BA9,1)=CHAR(13)),"'"&amp;$BA9,$BA9)))</f>
        <v>AFTER</v>
      </c>
      <c r="S9" s="21">
        <f t="shared" ref="S9:S72" si="18">IF(ISNUMBER($BB9),$BB9,IF($BB9="","",IF(OR(LEFT($BB9,1)="=",LEFT($BB9,1)="+",LEFT($BB9,1)="-",LEFT($BB9,1)="@",LEFT($BB9,1)=CHAR(9),LEFT($BB9,1)=CHAR(13)),"'"&amp;$BB9,$BB9)))</f>
        <v>1</v>
      </c>
      <c r="T9" s="21" t="str">
        <f t="shared" ref="T9:T72" si="19">IF(ISNUMBER($BC9),$BC9,IF($BC9="","",IF(OR(LEFT($BC9,1)="=",LEFT($BC9,1)="+",LEFT($BC9,1)="-",LEFT($BC9,1)="@",LEFT($BC9,1)=CHAR(9),LEFT($BC9,1)=CHAR(13)),"'"&amp;$BC9,$BC9)))</f>
        <v/>
      </c>
      <c r="U9" s="21" t="str">
        <f t="shared" ref="U9:U72" si="20">IF(ISNUMBER($BD9),$BD9,IF($BD9="","",IF(OR(LEFT($BD9,1)="=",LEFT($BD9,1)="+",LEFT($BD9,1)="-",LEFT($BD9,1)="@",LEFT($BD9,1)=CHAR(9),LEFT($BD9,1)=CHAR(13)),"'"&amp;$BD9,$BD9)))</f>
        <v/>
      </c>
      <c r="V9" s="21" t="str">
        <f t="shared" ref="V9:V72" si="21">IF(ISNUMBER($BE9),$BE9,IF($BE9="","",IF(OR(LEFT($BE9,1)="=",LEFT($BE9,1)="+",LEFT($BE9,1)="-",LEFT($BE9,1)="@",LEFT($BE9,1)=CHAR(9),LEFT($BE9,1)=CHAR(13)),"'"&amp;$BE9,$BE9)))</f>
        <v/>
      </c>
      <c r="W9" s="21" t="str">
        <f t="shared" ref="W9:W72" si="22">IF(ISNUMBER($BF9),$BF9,IF($BF9="","",IF(OR(LEFT($BF9,1)="=",LEFT($BF9,1)="+",LEFT($BF9,1)="-",LEFT($BF9,1)="@",LEFT($BF9,1)=CHAR(9),LEFT($BF9,1)=CHAR(13)),"'"&amp;$BF9,$BF9)))</f>
        <v>Anchor (FIRST_ADMIN)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X9" s="21" t="str">
        <f t="shared" ref="X9:X72" si="23">IF(ISNUMBER($BG9),$BG9,IF($BG9="","",IF(OR(LEFT($BG9,1)="=",LEFT($BG9,1)="+",LEFT($BG9,1)="-",LEFT($BG9,1)="@",LEFT($BG9,1)=CHAR(9),LEFT($BG9,1)=CHAR(13)),"'"&amp;$BG9,$BG9)))</f>
        <v>Same calendar date; both times are known, so C1 decides the order (AFTER). | Calendar-date difference from the recorded local dates; it is never described as elapsed days. | Treatment day under the inclusive convention (C3); never written to E2B fields automatically.</v>
      </c>
      <c r="Y9" s="21" t="str">
        <f t="shared" ref="Y9:Y72" si="24">IF(ISNUMBER($BH9),$BH9,IF($BH9="","",IF(OR(LEFT($BH9,1)="=",LEFT($BH9,1)="+",LEFT($BH9,1)="-",LEFT($BH9,1)="@",LEFT($BH9,1)=CHAR(9),LEFT($BH9,1)=CHAR(13)),"'"&amp;$BH9,$BH9)))</f>
        <v>CALC-SPEC 1.1</v>
      </c>
      <c r="Z9" s="21" t="str">
        <f t="shared" ref="Z9:Z72" si="25">IF(ISNUMBER($BI9),$BI9,IF($BI9="","",IF(OR(LEFT($BI9,1)="=",LEFT($BI9,1)="+",LEFT($BI9,1)="-",LEFT($BI9,1)="@",LEFT($BI9,1)=CHAR(9),LEFT($BI9,1)=CHAR(13)),"'"&amp;$BI9,$BI9)))</f>
        <v/>
      </c>
      <c r="AA9" s="21" t="str">
        <f t="shared" ref="AA9:AA72" si="26">IF(ISNUMBER($BJ9),$BJ9,IF($BJ9="","",IF(OR(LEFT($BJ9,1)="=",LEFT($BJ9,1)="+",LEFT($BJ9,1)="-",LEFT($BJ9,1)="@",LEFT($BJ9,1)=CHAR(9),LEFT($BJ9,1)=CHAR(13)),"'"&amp;$BJ9,$BJ9)))</f>
        <v/>
      </c>
      <c r="AB9" s="21" t="str">
        <f t="shared" ref="AB9:AB72" si="27">IF(ISNUMBER($BK9),$BK9,IF($BK9="","",IF(OR(LEFT($BK9,1)="=",LEFT($BK9,1)="+",LEFT($BK9,1)="-",LEFT($BK9,1)="@",LEFT($BK9,1)=CHAR(9),LEFT($BK9,1)=CHAR(13)),"'"&amp;$BK9,$BK9)))</f>
        <v>The interval describes the sequence and spacing of recorded times; it is not evidence of causation.</v>
      </c>
      <c r="AC9" s="21" t="str">
        <f t="shared" ref="AC9:AC72" si="28">IF(ISNUMBER($BL9),$BL9,IF($BL9="","",IF(OR(LEFT($BL9,1)="=",LEFT($BL9,1)="+",LEFT($BL9,1)="-",LEFT($BL9,1)="@",LEFT($BL9,1)=CHAR(9),LEFT($BL9,1)=CHAR(13)),"'"&amp;$BL9,$BL9)))</f>
        <v>not stamped</v>
      </c>
      <c r="AD9" s="21" t="str">
        <f t="shared" ref="AD9:AD72" si="29">IF(ISNUMBER($BM9),$BM9,IF($BM9="","",IF(OR(LEFT($BM9,1)="=",LEFT($BM9,1)="+",LEFT($BM9,1)="-",LEFT($BM9,1)="@",LEFT($BM9,1)=CHAR(9),LEFT($BM9,1)=CHAR(13)),"'"&amp;$BM9,$BM9)))</f>
        <v>TTO Companion Tools v1.1</v>
      </c>
      <c r="AE9" s="1">
        <f t="shared" ref="AE9:AE72" si="30">ROW()-7</f>
        <v>2</v>
      </c>
      <c r="AF9" s="1">
        <f t="shared" ref="AF9:AF72" si="31">IF(AE9&gt;SUM($CB$8:$CB$19),0,MATCH(AE9-1,$CC$8:$CC$19,1))</f>
        <v>1</v>
      </c>
      <c r="AG9" s="1">
        <f t="shared" ref="AG9:AG72" si="32">IF(AF9=0,0,AE9-INDEX($CC$8:$CC$19,AF9))</f>
        <v>2</v>
      </c>
      <c r="AH9" s="1">
        <f>IF(AF9=0,0,CHOOSE(AF9,IFERROR(_xlfn.AGGREGATE(15,6,(ROW(nINT_CaseKey)-ROW(INDEX(nINT_CaseKey,1,1))+1)/((nINT_CaseKey=$H$4)*(nINT_RowEmpty=0)),AG9),0),IFERROR(_xlfn.AGGREGATE(15,6,(ROW(nQ1_CaseKey)-ROW(INDEX(nQ1_CaseKey,1,1))+1)/((nQ1_CaseKey=$H$4)),AG9),0),IFERROR(_xlfn.AGGREGATE(15,6,(ROW(nQ2_CaseKey)-ROW(INDEX(nQ2_CaseKey,1,1))+1)/((nQ2_CaseKey=$H$4)),AG9),0),IFERROR(_xlfn.AGGREGATE(15,6,(ROW(nQ3_CaseKey)-ROW(INDEX(nQ3_CaseKey,1,1))+1)/((nQ3_CaseKey=$H$4)),AG9),0),IFERROR(_xlfn.AGGREGATE(15,6,(ROW(nQ4_CaseKey)-ROW(INDEX(nQ4_CaseKey,1,1))+1)/((nQ4_CaseKey=$H$4)),AG9),0),IFERROR(_xlfn.AGGREGATE(15,6,(ROW(nQ5_CaseKey)-ROW(INDEX(nQ5_CaseKey,1,1))+1)/((nQ5_CaseKey=$H$4)),AG9),0),IFERROR(_xlfn.AGGREGATE(15,6,(ROW(nQ6_CaseKey)-ROW(INDEX(nQ6_CaseKey,1,1))+1)/((nQ6_CaseKey=$H$4)),AG9),0),IFERROR(_xlfn.AGGREGATE(15,6,(ROW(nQ7_CaseKey)-ROW(INDEX(nQ7_CaseKey,1,1))+1)/((nQ7_CaseKey=$H$4)),AG9),0),IFERROR(_xlfn.AGGREGATE(15,6,(ROW(nQ8_CaseKey)-ROW(INDEX(nQ8_CaseKey,1,1))+1)/((nQ8_CaseKey=$H$4)),AG9),0),IFERROR(_xlfn.AGGREGATE(15,6,(ROW(nQ9_CaseKey)-ROW(INDEX(nQ9_CaseKey,1,1))+1)/((nQ9_CaseKey=$H$4)),AG9),0),IFERROR(_xlfn.AGGREGATE(15,6,(ROW(nQ10_CaseKey)-ROW(INDEX(nQ10_CaseKey,1,1))+1)/((nQ10_CaseKey=$H$4)),AG9),0),IFERROR(_xlfn.AGGREGATE(15,6,(ROW(nQ11_CaseKey)-ROW(INDEX(nQ11_CaseKey,1,1))+1)/((nQ11_CaseKey=$H$4)),AG9),0)))</f>
        <v>43</v>
      </c>
      <c r="AJ9" s="1" t="str">
        <f>IF($AF9=0,"",CHOOSE($AF9,INDEX(nINT_Case_ID,$AH9)&amp;"",INDEX(nQ1_Case_ID,$AH9)&amp;"",INDEX(nQ2_Case_ID,$AH9)&amp;"",INDEX(nQ3_Case_ID,$AH9)&amp;"",INDEX(nQ4_Case_ID,$AH9)&amp;"",INDEX(nQ5_Case_ID,$AH9)&amp;"",INDEX(nQ6_Case_ID,$AH9)&amp;"",INDEX(nQ7_Case_ID,$AH9)&amp;"",INDEX(nQ8_Case_ID,$AH9)&amp;"",INDEX(nQ9_Case_ID,$AH9)&amp;"",INDEX(nQ10_Case_ID,$AH9)&amp;"",INDEX(nQ11_Case_ID,$AH9)&amp;""))</f>
        <v>EX-C01</v>
      </c>
      <c r="AK9" s="1">
        <f>IF($AF9=0,"",CHOOSE($AF9,INDEX(nINT_Case_Version,$AH9),INDEX(nQ1_Case_Version,$AH9),INDEX(nQ2_Case_Version,$AH9),INDEX(nQ3_Case_Version,$AH9),INDEX(nQ4_Case_Version,$AH9),INDEX(nQ5_Case_Version,$AH9),INDEX(nQ6_Case_Version,$AH9),INDEX(nQ7_Case_Version,$AH9),INDEX(nQ8_Case_Version,$AH9),INDEX(nQ9_Case_Version,$AH9),INDEX(nQ10_Case_Version,$AH9),INDEX(nQ11_Case_Version,$AH9)))</f>
        <v>2</v>
      </c>
      <c r="AL9" s="1" t="str">
        <f>IF($AF9=0,"",CHOOSE($AF9,INDEX(nINT_Interval_ID,$AH9)&amp;"",INDEX(nQ1_Calc_ID,$AH9)&amp;"",INDEX(nQ2_Calc_ID,$AH9)&amp;"",INDEX(nQ3_Calc_ID,$AH9)&amp;"",INDEX(nQ4_Calc_ID,$AH9)&amp;"",INDEX(nQ5_Calc_ID,$AH9)&amp;"",INDEX(nQ6_Calc_ID,$AH9)&amp;"",INDEX(nQ7_Calc_ID,$AH9)&amp;"",INDEX(nQ8_Calc_ID,$AH9)&amp;"",INDEX(nQ9_Calc_ID,$AH9)&amp;"",INDEX(nQ10_Calc_ID,$AH9)&amp;"",INDEX(nQ11_Calc_ID,$AH9)&amp;""))</f>
        <v>I02</v>
      </c>
      <c r="AM9" s="1" t="str">
        <f>IF($AF9=0,"",CHOOSE($AF9,INDEX(nINT_Label,$AH9)&amp;"",INDEX(nQ1_Label_Out,$AH9)&amp;"",INDEX(nQ2_Label_Out,$AH9)&amp;"",INDEX(nQ3_Label_Out,$AH9)&amp;"",INDEX(nQ4_Label_Out,$AH9)&amp;"",INDEX(nQ5_Label_Out,$AH9)&amp;"",INDEX(nQ6_Label_Out,$AH9)&amp;"",INDEX(nQ7_Label_Out,$AH9)&amp;"",INDEX(nQ8_Label_Out,$AH9)&amp;"",INDEX(nQ9_Label_Out,$AH9)&amp;"",INDEX(nQ10_Label_Out,$AH9)&amp;"",INDEX(nQ11_Label_Out,$AH9)&amp;""))</f>
        <v>EX-A/START → EV-1/ONSET</v>
      </c>
      <c r="AN9" s="1" t="str">
        <f>IF($AF9=0,"",CHOOSE($AF9,IF(INDEX(nINT_LinkRow,$AH9)=0,"",INDEX(nINT_Link_ID,$AH9)&amp;""),"","","","","","","","","","",""))</f>
        <v>L1</v>
      </c>
      <c r="AO9" s="1" t="str">
        <f>IF($AF9=0,"",CHOOSE($AF9,INDEX(nINT_Exposure_Episode_ID,$AH9)&amp;"","","","","","","","","","","",""))</f>
        <v>EX-A</v>
      </c>
      <c r="AP9" s="1" t="str">
        <f>IF($AF9=0,"",CHOOSE($AF9,INDEX(nINT_Event_Episode_ID,$AH9)&amp;"","","","","","","","","","","",""))</f>
        <v>EV-1</v>
      </c>
      <c r="AQ9" s="1" t="str">
        <f>IF($AF9=0,"",CHOOSE($AF9,INDEX(nINT_End_Record_ID_Used,$AH9)&amp;"","","","","","","","","","","",""))</f>
        <v>EV-1/ONSET</v>
      </c>
      <c r="AR9" s="1">
        <f>IF($AF9=0,"",CHOOSE($AF9,INDEX(nINT_Interval_Value,$AH9),"","","","","","","","","","",""))</f>
        <v>0</v>
      </c>
      <c r="AS9" s="1" t="str">
        <f>IF($AF9=0,"",CHOOSE($AF9,INDEX(nINT_Interval_Minimum,$AH9),"","","","","","","","","","",""))</f>
        <v/>
      </c>
      <c r="AT9" s="1" t="str">
        <f>IF($AF9=0,"",CHOOSE($AF9,INDEX(nINT_Interval_Maximum,$AH9),"","","","","","","","","","",""))</f>
        <v/>
      </c>
      <c r="AU9" s="1" t="str">
        <f>IF($AF9=0,"",CHOOSE($AF9,INDEX(nINT_Unit,$AH9)&amp;"",INDEX(nQ1_Unit_Out,$AH9)&amp;"",INDEX(nQ2_Unit_Out,$AH9)&amp;"",INDEX(nQ3_Unit_Out,$AH9)&amp;"",INDEX(nQ4_Unit_Out,$AH9)&amp;"",INDEX(nQ5_Unit_Out,$AH9)&amp;"",INDEX(nQ6_Unit_Out,$AH9)&amp;"",INDEX(nQ7_Unit_Out,$AH9)&amp;"",INDEX(nQ8_Unit_Out,$AH9)&amp;"",INDEX(nQ9_Unit_Out,$AH9)&amp;"",INDEX(nQ10_Unit_Out,$AH9)&amp;"",INDEX(nQ11_Unit_Out,$AH9)&amp;""))</f>
        <v>calendar days</v>
      </c>
      <c r="AV9" s="1" t="str">
        <f>IF($AF9=0,"",CHOOSE($AF9,INDEX(nINT_Displayed_Value,$AH9)&amp;"",INDEX(nQ1_Displayed_Value,$AH9)&amp;"",INDEX(nQ2_Displayed_Value,$AH9)&amp;"",INDEX(nQ3_Displayed_Value,$AH9)&amp;"",INDEX(nQ4_Displayed_Value,$AH9)&amp;"",INDEX(nQ5_Displayed_Value,$AH9)&amp;"",INDEX(nQ6_Displayed_Value,$AH9)&amp;"",INDEX(nQ7_Displayed_Value,$AH9)&amp;"",INDEX(nQ8_Displayed_Value,$AH9)&amp;"",INDEX(nQ9_Displayed_Value,$AH9)&amp;"",INDEX(nQ10_Displayed_Value,$AH9)&amp;"",INDEX(nQ11_Displayed_Value,$AH9)&amp;""))</f>
        <v>0 calendar days</v>
      </c>
      <c r="AW9" s="1" t="str">
        <f>IF($AF9=0,"",CHOOSE($AF9,INDEX(nINT_Calculation_Mode_Used,$AH9)&amp;"","Q1","Q2","Q3","Q4","Q5","Q6","Q7","Q8","Q9","Q10","Q11"))</f>
        <v>C2; C3</v>
      </c>
      <c r="AX9" s="1" t="str">
        <f>IF($AF9=0,"",CHOOSE($AF9,INDEX(nINT_Anchor_Type,$AH9)&amp;"","","","","","","","","","","",""))</f>
        <v>FIRST_ADMIN</v>
      </c>
      <c r="AY9" s="1" t="str">
        <f>IF($AF9=0,"",CHOOSE($AF9,IF(INDEX(nINT_K_Ok,$AH9)=1,INDEX(nINT_Anchor_Record_ID_Used,$AH9)&amp;"",""),"","","","","","","","","","",""))</f>
        <v>EX-A/START</v>
      </c>
      <c r="AZ9" s="1" t="str">
        <f>IF($AF9=0,"",CHOOSE($AF9,INDEX(nINT_Anchor_Description,$AH9)&amp;"","","","","","","","","","","",""))</f>
        <v/>
      </c>
      <c r="BA9" s="1" t="str">
        <f>IF($AF9=0,"",CHOOSE($AF9,INDEX(nINT_Sequence_Status,$AH9)&amp;"","","","","","","","","","","",""))</f>
        <v>AFTER</v>
      </c>
      <c r="BB9" s="1">
        <f>IF($AF9=0,"",CHOOSE($AF9,INDEX(nINT_Treatment_Day,$AH9),"","","","","","","","","","",""))</f>
        <v>1</v>
      </c>
      <c r="BC9" s="1" t="str">
        <f>IF($AF9=0,"",CHOOSE($AF9,INDEX(nINT_Reported_Timing_Result,$AH9)&amp;"","","","","","","","","","","",""))</f>
        <v/>
      </c>
      <c r="BD9" s="1" t="str">
        <f>IF($AF9=0,"",CHOOSE($AF9,IF(INDEX(nINT_K_HasC,$AH9)=1,INDEX(nINT_Constraint_Source,$AH9)&amp;"",""),"","","","","","","","","","",""))</f>
        <v/>
      </c>
      <c r="BE9" s="1" t="str">
        <f>IF($AF9=0,"",CHOOSE($AF9,"",INDEX(nQ1_Results_Text,$AH9)&amp;"",INDEX(nQ2_Results_Text,$AH9)&amp;"",INDEX(nQ3_Results_Text,$AH9)&amp;"",INDEX(nQ4_Results_Text,$AH9)&amp;"",INDEX(nQ5_Results_Text,$AH9)&amp;"",INDEX(nQ6_Results_Text,$AH9)&amp;"",INDEX(nQ7_Results_Text,$AH9)&amp;"",INDEX(nQ8_Results_Text,$AH9)&amp;"",INDEX(nQ9_Results_Text,$AH9)&amp;"",INDEX(nQ10_Results_Text,$AH9)&amp;"",INDEX(nQ11_Results_Text,$AH9)&amp;""))</f>
        <v/>
      </c>
      <c r="BF9" s="1" t="str">
        <f>IF($AF9=0,"",CHOOSE($AF9,INDEX(nINT_Parameter_Set,$AH9)&amp;"",INDEX(nQ1_Parameter_Set,$AH9)&amp;"",INDEX(nQ2_Parameter_Set,$AH9)&amp;"",INDEX(nQ3_Parameter_Set,$AH9)&amp;"",INDEX(nQ4_Parameter_Set,$AH9)&amp;"",INDEX(nQ5_Parameter_Set,$AH9)&amp;"",INDEX(nQ6_Parameter_Set,$AH9)&amp;"",INDEX(nQ7_Parameter_Set,$AH9)&amp;"",INDEX(nQ8_Parameter_Set,$AH9)&amp;"",INDEX(nQ9_Parameter_Set,$AH9)&amp;"",INDEX(nQ10_Parameter_Set,$AH9)&amp;"",INDEX(nQ11_Parameter_Set,$AH9)&amp;""))</f>
        <v>Anchor (FIRST_ADMIN)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BG9" s="1" t="str">
        <f>IF($AF9=0,"",CHOOSE($AF9,INDEX(nINT_Assumptions,$AH9)&amp;"",INDEX(nQ1_Assumptions,$AH9)&amp;"",INDEX(nQ2_Assumptions,$AH9)&amp;"",INDEX(nQ3_Assumptions,$AH9)&amp;"",INDEX(nQ4_Assumptions,$AH9)&amp;"",INDEX(nQ5_Assumptions,$AH9)&amp;"",INDEX(nQ6_Assumptions,$AH9)&amp;"",INDEX(nQ7_Assumptions,$AH9)&amp;"",INDEX(nQ8_Assumptions,$AH9)&amp;"",INDEX(nQ9_Assumptions,$AH9)&amp;"",INDEX(nQ10_Assumptions,$AH9)&amp;"",INDEX(nQ11_Assumptions,$AH9)&amp;""))</f>
        <v>Same calendar date; both times are known, so C1 decides the order (AFTER). | Calendar-date difference from the recorded local dates; it is never described as elapsed days. | Treatment day under the inclusive convention (C3); never written to E2B fields automatically.</v>
      </c>
      <c r="BH9" s="1" t="str">
        <f>IF($AF9=0,"",CHOOSE($AF9,INDEX(nINT_Calculation_Version,$AH9)&amp;"",INDEX(nQ1_Calculation_Version,$AH9)&amp;"",INDEX(nQ2_Calculation_Version,$AH9)&amp;"",INDEX(nQ3_Calculation_Version,$AH9)&amp;"",INDEX(nQ4_Calculation_Version,$AH9)&amp;"",INDEX(nQ5_Calculation_Version,$AH9)&amp;"",INDEX(nQ6_Calculation_Version,$AH9)&amp;"",INDEX(nQ7_Calculation_Version,$AH9)&amp;"",INDEX(nQ8_Calculation_Version,$AH9)&amp;"",INDEX(nQ9_Calculation_Version,$AH9)&amp;"",INDEX(nQ10_Calculation_Version,$AH9)&amp;"",INDEX(nQ11_Calculation_Version,$AH9)&amp;""))</f>
        <v>CALC-SPEC 1.1</v>
      </c>
      <c r="BI9" s="1" t="str">
        <f>IF($AF9=0,"",CHOOSE($AF9,INDEX(nINT_QC_Flags,$AH9)&amp;"",INDEX(nQ1_QC_Flags,$AH9)&amp;"",INDEX(nQ2_QC_Flags,$AH9)&amp;"",INDEX(nQ3_QC_Flags,$AH9)&amp;"",INDEX(nQ4_QC_Flags,$AH9)&amp;"",INDEX(nQ5_QC_Flags,$AH9)&amp;"",INDEX(nQ6_QC_Flags,$AH9)&amp;"",INDEX(nQ7_QC_Flags,$AH9)&amp;"",INDEX(nQ8_QC_Flags,$AH9)&amp;"",INDEX(nQ9_QC_Flags,$AH9)&amp;"",INDEX(nQ10_QC_Flags,$AH9)&amp;"",INDEX(nQ11_QC_Flags,$AH9)&amp;""))</f>
        <v/>
      </c>
      <c r="BJ9" s="1" t="str">
        <f>IF($AF9=0,"",CHOOSE($AF9,INDEX(nINT_Messages,$AH9)&amp;"",INDEX(nQ1_Messages,$AH9)&amp;"",INDEX(nQ2_Messages,$AH9)&amp;"",INDEX(nQ3_Messages,$AH9)&amp;"",INDEX(nQ4_Messages,$AH9)&amp;"",INDEX(nQ5_Messages,$AH9)&amp;"",INDEX(nQ6_Messages,$AH9)&amp;"",INDEX(nQ7_Messages,$AH9)&amp;"",INDEX(nQ8_Messages,$AH9)&amp;"",INDEX(nQ9_Messages,$AH9)&amp;"",INDEX(nQ10_Messages,$AH9)&amp;"",INDEX(nQ11_Messages,$AH9)&amp;""))</f>
        <v/>
      </c>
      <c r="BK9" s="1" t="str">
        <f>IF($AF9=0,"",CHOOSE($AF9,INDEX(nINT_Limitations,$AH9)&amp;"",INDEX(nQ1_Mandatory_Text,$AH9)&amp;"",INDEX(nQ2_Mandatory_Text,$AH9)&amp;"",INDEX(nQ3_Mandatory_Text,$AH9)&amp;"",INDEX(nQ4_Mandatory_Text,$AH9)&amp;"",INDEX(nQ5_Mandatory_Text,$AH9)&amp;"",INDEX(nQ6_Mandatory_Text,$AH9)&amp;"",INDEX(nQ7_Mandatory_Text,$AH9)&amp;"",INDEX(nQ8_Mandatory_Text,$AH9)&amp;"",INDEX(nQ9_Mandatory_Text,$AH9)&amp;"",INDEX(nQ10_Mandatory_Text,$AH9)&amp;"",INDEX(nQ11_Mandatory_Text,$AH9)&amp;""))</f>
        <v>The interval describes the sequence and spacing of recorded times; it is not evidence of causation.</v>
      </c>
      <c r="BL9" s="1" t="str">
        <f t="shared" ref="BL9:BL72" si="33">IF($AF9=0,"",IF(ISNUMBER($F$4),TEXT($F$4,"yyyy-mm-dd")&amp;"T"&amp;TEXT($F$4,"hh:mm")&amp;":00","not stamped"))</f>
        <v>not stamped</v>
      </c>
      <c r="BM9" s="1" t="str">
        <f t="shared" ref="BM9:BM72" si="34">IF($AF9=0,"","TTO Companion Tools v1.1")</f>
        <v>TTO Companion Tools v1.1</v>
      </c>
      <c r="CA9" s="1" t="s">
        <v>2110</v>
      </c>
      <c r="CB9" s="1">
        <f>COUNTIF(nQ1_CaseKey,$H$4)</f>
        <v>0</v>
      </c>
      <c r="CC9" s="1">
        <f>CC8+CB8</f>
        <v>14</v>
      </c>
    </row>
    <row r="10" spans="1:81" x14ac:dyDescent="0.2">
      <c r="A10" s="21" t="str">
        <f t="shared" si="0"/>
        <v>EX-C01</v>
      </c>
      <c r="B10" s="21">
        <f t="shared" si="1"/>
        <v>2</v>
      </c>
      <c r="C10" s="21" t="str">
        <f t="shared" si="2"/>
        <v>I03</v>
      </c>
      <c r="D10" s="21" t="str">
        <f t="shared" si="3"/>
        <v>EX-A/START → EV-1/ONSET</v>
      </c>
      <c r="E10" s="21" t="str">
        <f t="shared" si="4"/>
        <v>L1</v>
      </c>
      <c r="F10" s="21" t="str">
        <f t="shared" si="5"/>
        <v>EX-A</v>
      </c>
      <c r="G10" s="21" t="str">
        <f t="shared" si="6"/>
        <v>EV-1</v>
      </c>
      <c r="H10" s="21" t="str">
        <f t="shared" si="7"/>
        <v>EV-1/ONSET</v>
      </c>
      <c r="I10" s="21">
        <f t="shared" si="8"/>
        <v>15</v>
      </c>
      <c r="J10" s="21" t="str">
        <f t="shared" si="9"/>
        <v/>
      </c>
      <c r="K10" s="21" t="str">
        <f t="shared" si="10"/>
        <v/>
      </c>
      <c r="L10" s="21" t="str">
        <f t="shared" si="11"/>
        <v>minutes</v>
      </c>
      <c r="M10" s="21" t="str">
        <f t="shared" si="12"/>
        <v>15 minutes</v>
      </c>
      <c r="N10" s="21" t="str">
        <f t="shared" si="13"/>
        <v>C1</v>
      </c>
      <c r="O10" s="21" t="str">
        <f t="shared" si="14"/>
        <v>LAST_DOSE_BEFORE_ONSET</v>
      </c>
      <c r="P10" s="21" t="str">
        <f t="shared" si="15"/>
        <v>EX-A/START</v>
      </c>
      <c r="Q10" s="21" t="str">
        <f t="shared" si="16"/>
        <v/>
      </c>
      <c r="R10" s="21" t="str">
        <f t="shared" si="17"/>
        <v>AFTER</v>
      </c>
      <c r="S10" s="21" t="str">
        <f t="shared" si="18"/>
        <v/>
      </c>
      <c r="T10" s="21" t="str">
        <f t="shared" si="19"/>
        <v/>
      </c>
      <c r="U10" s="21" t="str">
        <f t="shared" si="20"/>
        <v/>
      </c>
      <c r="V10" s="21" t="str">
        <f t="shared" si="21"/>
        <v/>
      </c>
      <c r="W10" s="21" t="str">
        <f t="shared" si="22"/>
        <v>Anchor (LAST_DOSE_BEFORE_ONSET)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X10" s="21" t="str">
        <f t="shared" si="23"/>
        <v>Anchor selected under C5 (CALC-SPEC 1.1): latest administration with an exact date or time at or before onset (EX-A/START), ordered in UTC when offsets are known; later administrations are never selected.</v>
      </c>
      <c r="Y10" s="21" t="str">
        <f t="shared" si="24"/>
        <v>CALC-SPEC 1.1</v>
      </c>
      <c r="Z10" s="21" t="str">
        <f t="shared" si="25"/>
        <v/>
      </c>
      <c r="AA10" s="21" t="str">
        <f t="shared" si="26"/>
        <v/>
      </c>
      <c r="AB10" s="21" t="str">
        <f t="shared" si="27"/>
        <v>The interval describes the sequence and spacing of recorded times; it is not evidence of causation.</v>
      </c>
      <c r="AC10" s="21" t="str">
        <f t="shared" si="28"/>
        <v>not stamped</v>
      </c>
      <c r="AD10" s="21" t="str">
        <f t="shared" si="29"/>
        <v>TTO Companion Tools v1.1</v>
      </c>
      <c r="AE10" s="1">
        <f t="shared" si="30"/>
        <v>3</v>
      </c>
      <c r="AF10" s="1">
        <f t="shared" si="31"/>
        <v>1</v>
      </c>
      <c r="AG10" s="1">
        <f t="shared" si="32"/>
        <v>3</v>
      </c>
      <c r="AH10" s="1">
        <f>IF(AF10=0,0,CHOOSE(AF10,IFERROR(_xlfn.AGGREGATE(15,6,(ROW(nINT_CaseKey)-ROW(INDEX(nINT_CaseKey,1,1))+1)/((nINT_CaseKey=$H$4)*(nINT_RowEmpty=0)),AG10),0),IFERROR(_xlfn.AGGREGATE(15,6,(ROW(nQ1_CaseKey)-ROW(INDEX(nQ1_CaseKey,1,1))+1)/((nQ1_CaseKey=$H$4)),AG10),0),IFERROR(_xlfn.AGGREGATE(15,6,(ROW(nQ2_CaseKey)-ROW(INDEX(nQ2_CaseKey,1,1))+1)/((nQ2_CaseKey=$H$4)),AG10),0),IFERROR(_xlfn.AGGREGATE(15,6,(ROW(nQ3_CaseKey)-ROW(INDEX(nQ3_CaseKey,1,1))+1)/((nQ3_CaseKey=$H$4)),AG10),0),IFERROR(_xlfn.AGGREGATE(15,6,(ROW(nQ4_CaseKey)-ROW(INDEX(nQ4_CaseKey,1,1))+1)/((nQ4_CaseKey=$H$4)),AG10),0),IFERROR(_xlfn.AGGREGATE(15,6,(ROW(nQ5_CaseKey)-ROW(INDEX(nQ5_CaseKey,1,1))+1)/((nQ5_CaseKey=$H$4)),AG10),0),IFERROR(_xlfn.AGGREGATE(15,6,(ROW(nQ6_CaseKey)-ROW(INDEX(nQ6_CaseKey,1,1))+1)/((nQ6_CaseKey=$H$4)),AG10),0),IFERROR(_xlfn.AGGREGATE(15,6,(ROW(nQ7_CaseKey)-ROW(INDEX(nQ7_CaseKey,1,1))+1)/((nQ7_CaseKey=$H$4)),AG10),0),IFERROR(_xlfn.AGGREGATE(15,6,(ROW(nQ8_CaseKey)-ROW(INDEX(nQ8_CaseKey,1,1))+1)/((nQ8_CaseKey=$H$4)),AG10),0),IFERROR(_xlfn.AGGREGATE(15,6,(ROW(nQ9_CaseKey)-ROW(INDEX(nQ9_CaseKey,1,1))+1)/((nQ9_CaseKey=$H$4)),AG10),0),IFERROR(_xlfn.AGGREGATE(15,6,(ROW(nQ10_CaseKey)-ROW(INDEX(nQ10_CaseKey,1,1))+1)/((nQ10_CaseKey=$H$4)),AG10),0),IFERROR(_xlfn.AGGREGATE(15,6,(ROW(nQ11_CaseKey)-ROW(INDEX(nQ11_CaseKey,1,1))+1)/((nQ11_CaseKey=$H$4)),AG10),0)))</f>
        <v>44</v>
      </c>
      <c r="AJ10" s="1" t="str">
        <f>IF($AF10=0,"",CHOOSE($AF10,INDEX(nINT_Case_ID,$AH10)&amp;"",INDEX(nQ1_Case_ID,$AH10)&amp;"",INDEX(nQ2_Case_ID,$AH10)&amp;"",INDEX(nQ3_Case_ID,$AH10)&amp;"",INDEX(nQ4_Case_ID,$AH10)&amp;"",INDEX(nQ5_Case_ID,$AH10)&amp;"",INDEX(nQ6_Case_ID,$AH10)&amp;"",INDEX(nQ7_Case_ID,$AH10)&amp;"",INDEX(nQ8_Case_ID,$AH10)&amp;"",INDEX(nQ9_Case_ID,$AH10)&amp;"",INDEX(nQ10_Case_ID,$AH10)&amp;"",INDEX(nQ11_Case_ID,$AH10)&amp;""))</f>
        <v>EX-C01</v>
      </c>
      <c r="AK10" s="1">
        <f>IF($AF10=0,"",CHOOSE($AF10,INDEX(nINT_Case_Version,$AH10),INDEX(nQ1_Case_Version,$AH10),INDEX(nQ2_Case_Version,$AH10),INDEX(nQ3_Case_Version,$AH10),INDEX(nQ4_Case_Version,$AH10),INDEX(nQ5_Case_Version,$AH10),INDEX(nQ6_Case_Version,$AH10),INDEX(nQ7_Case_Version,$AH10),INDEX(nQ8_Case_Version,$AH10),INDEX(nQ9_Case_Version,$AH10),INDEX(nQ10_Case_Version,$AH10),INDEX(nQ11_Case_Version,$AH10)))</f>
        <v>2</v>
      </c>
      <c r="AL10" s="1" t="str">
        <f>IF($AF10=0,"",CHOOSE($AF10,INDEX(nINT_Interval_ID,$AH10)&amp;"",INDEX(nQ1_Calc_ID,$AH10)&amp;"",INDEX(nQ2_Calc_ID,$AH10)&amp;"",INDEX(nQ3_Calc_ID,$AH10)&amp;"",INDEX(nQ4_Calc_ID,$AH10)&amp;"",INDEX(nQ5_Calc_ID,$AH10)&amp;"",INDEX(nQ6_Calc_ID,$AH10)&amp;"",INDEX(nQ7_Calc_ID,$AH10)&amp;"",INDEX(nQ8_Calc_ID,$AH10)&amp;"",INDEX(nQ9_Calc_ID,$AH10)&amp;"",INDEX(nQ10_Calc_ID,$AH10)&amp;"",INDEX(nQ11_Calc_ID,$AH10)&amp;""))</f>
        <v>I03</v>
      </c>
      <c r="AM10" s="1" t="str">
        <f>IF($AF10=0,"",CHOOSE($AF10,INDEX(nINT_Label,$AH10)&amp;"",INDEX(nQ1_Label_Out,$AH10)&amp;"",INDEX(nQ2_Label_Out,$AH10)&amp;"",INDEX(nQ3_Label_Out,$AH10)&amp;"",INDEX(nQ4_Label_Out,$AH10)&amp;"",INDEX(nQ5_Label_Out,$AH10)&amp;"",INDEX(nQ6_Label_Out,$AH10)&amp;"",INDEX(nQ7_Label_Out,$AH10)&amp;"",INDEX(nQ8_Label_Out,$AH10)&amp;"",INDEX(nQ9_Label_Out,$AH10)&amp;"",INDEX(nQ10_Label_Out,$AH10)&amp;"",INDEX(nQ11_Label_Out,$AH10)&amp;""))</f>
        <v>EX-A/START → EV-1/ONSET</v>
      </c>
      <c r="AN10" s="1" t="str">
        <f>IF($AF10=0,"",CHOOSE($AF10,IF(INDEX(nINT_LinkRow,$AH10)=0,"",INDEX(nINT_Link_ID,$AH10)&amp;""),"","","","","","","","","","",""))</f>
        <v>L1</v>
      </c>
      <c r="AO10" s="1" t="str">
        <f>IF($AF10=0,"",CHOOSE($AF10,INDEX(nINT_Exposure_Episode_ID,$AH10)&amp;"","","","","","","","","","","",""))</f>
        <v>EX-A</v>
      </c>
      <c r="AP10" s="1" t="str">
        <f>IF($AF10=0,"",CHOOSE($AF10,INDEX(nINT_Event_Episode_ID,$AH10)&amp;"","","","","","","","","","","",""))</f>
        <v>EV-1</v>
      </c>
      <c r="AQ10" s="1" t="str">
        <f>IF($AF10=0,"",CHOOSE($AF10,INDEX(nINT_End_Record_ID_Used,$AH10)&amp;"","","","","","","","","","","",""))</f>
        <v>EV-1/ONSET</v>
      </c>
      <c r="AR10" s="1">
        <f>IF($AF10=0,"",CHOOSE($AF10,INDEX(nINT_Interval_Value,$AH10),"","","","","","","","","","",""))</f>
        <v>15</v>
      </c>
      <c r="AS10" s="1" t="str">
        <f>IF($AF10=0,"",CHOOSE($AF10,INDEX(nINT_Interval_Minimum,$AH10),"","","","","","","","","","",""))</f>
        <v/>
      </c>
      <c r="AT10" s="1" t="str">
        <f>IF($AF10=0,"",CHOOSE($AF10,INDEX(nINT_Interval_Maximum,$AH10),"","","","","","","","","","",""))</f>
        <v/>
      </c>
      <c r="AU10" s="1" t="str">
        <f>IF($AF10=0,"",CHOOSE($AF10,INDEX(nINT_Unit,$AH10)&amp;"",INDEX(nQ1_Unit_Out,$AH10)&amp;"",INDEX(nQ2_Unit_Out,$AH10)&amp;"",INDEX(nQ3_Unit_Out,$AH10)&amp;"",INDEX(nQ4_Unit_Out,$AH10)&amp;"",INDEX(nQ5_Unit_Out,$AH10)&amp;"",INDEX(nQ6_Unit_Out,$AH10)&amp;"",INDEX(nQ7_Unit_Out,$AH10)&amp;"",INDEX(nQ8_Unit_Out,$AH10)&amp;"",INDEX(nQ9_Unit_Out,$AH10)&amp;"",INDEX(nQ10_Unit_Out,$AH10)&amp;"",INDEX(nQ11_Unit_Out,$AH10)&amp;""))</f>
        <v>minutes</v>
      </c>
      <c r="AV10" s="1" t="str">
        <f>IF($AF10=0,"",CHOOSE($AF10,INDEX(nINT_Displayed_Value,$AH10)&amp;"",INDEX(nQ1_Displayed_Value,$AH10)&amp;"",INDEX(nQ2_Displayed_Value,$AH10)&amp;"",INDEX(nQ3_Displayed_Value,$AH10)&amp;"",INDEX(nQ4_Displayed_Value,$AH10)&amp;"",INDEX(nQ5_Displayed_Value,$AH10)&amp;"",INDEX(nQ6_Displayed_Value,$AH10)&amp;"",INDEX(nQ7_Displayed_Value,$AH10)&amp;"",INDEX(nQ8_Displayed_Value,$AH10)&amp;"",INDEX(nQ9_Displayed_Value,$AH10)&amp;"",INDEX(nQ10_Displayed_Value,$AH10)&amp;"",INDEX(nQ11_Displayed_Value,$AH10)&amp;""))</f>
        <v>15 minutes</v>
      </c>
      <c r="AW10" s="1" t="str">
        <f>IF($AF10=0,"",CHOOSE($AF10,INDEX(nINT_Calculation_Mode_Used,$AH10)&amp;"","Q1","Q2","Q3","Q4","Q5","Q6","Q7","Q8","Q9","Q10","Q11"))</f>
        <v>C1</v>
      </c>
      <c r="AX10" s="1" t="str">
        <f>IF($AF10=0,"",CHOOSE($AF10,INDEX(nINT_Anchor_Type,$AH10)&amp;"","","","","","","","","","","",""))</f>
        <v>LAST_DOSE_BEFORE_ONSET</v>
      </c>
      <c r="AY10" s="1" t="str">
        <f>IF($AF10=0,"",CHOOSE($AF10,IF(INDEX(nINT_K_Ok,$AH10)=1,INDEX(nINT_Anchor_Record_ID_Used,$AH10)&amp;"",""),"","","","","","","","","","",""))</f>
        <v>EX-A/START</v>
      </c>
      <c r="AZ10" s="1" t="str">
        <f>IF($AF10=0,"",CHOOSE($AF10,INDEX(nINT_Anchor_Description,$AH10)&amp;"","","","","","","","","","","",""))</f>
        <v/>
      </c>
      <c r="BA10" s="1" t="str">
        <f>IF($AF10=0,"",CHOOSE($AF10,INDEX(nINT_Sequence_Status,$AH10)&amp;"","","","","","","","","","","",""))</f>
        <v>AFTER</v>
      </c>
      <c r="BB10" s="1" t="str">
        <f>IF($AF10=0,"",CHOOSE($AF10,INDEX(nINT_Treatment_Day,$AH10),"","","","","","","","","","",""))</f>
        <v/>
      </c>
      <c r="BC10" s="1" t="str">
        <f>IF($AF10=0,"",CHOOSE($AF10,INDEX(nINT_Reported_Timing_Result,$AH10)&amp;"","","","","","","","","","","",""))</f>
        <v/>
      </c>
      <c r="BD10" s="1" t="str">
        <f>IF($AF10=0,"",CHOOSE($AF10,IF(INDEX(nINT_K_HasC,$AH10)=1,INDEX(nINT_Constraint_Source,$AH10)&amp;"",""),"","","","","","","","","","",""))</f>
        <v/>
      </c>
      <c r="BE10" s="1" t="str">
        <f>IF($AF10=0,"",CHOOSE($AF10,"",INDEX(nQ1_Results_Text,$AH10)&amp;"",INDEX(nQ2_Results_Text,$AH10)&amp;"",INDEX(nQ3_Results_Text,$AH10)&amp;"",INDEX(nQ4_Results_Text,$AH10)&amp;"",INDEX(nQ5_Results_Text,$AH10)&amp;"",INDEX(nQ6_Results_Text,$AH10)&amp;"",INDEX(nQ7_Results_Text,$AH10)&amp;"",INDEX(nQ8_Results_Text,$AH10)&amp;"",INDEX(nQ9_Results_Text,$AH10)&amp;"",INDEX(nQ10_Results_Text,$AH10)&amp;"",INDEX(nQ11_Results_Text,$AH10)&amp;""))</f>
        <v/>
      </c>
      <c r="BF10" s="1" t="str">
        <f>IF($AF10=0,"",CHOOSE($AF10,INDEX(nINT_Parameter_Set,$AH10)&amp;"",INDEX(nQ1_Parameter_Set,$AH10)&amp;"",INDEX(nQ2_Parameter_Set,$AH10)&amp;"",INDEX(nQ3_Parameter_Set,$AH10)&amp;"",INDEX(nQ4_Parameter_Set,$AH10)&amp;"",INDEX(nQ5_Parameter_Set,$AH10)&amp;"",INDEX(nQ6_Parameter_Set,$AH10)&amp;"",INDEX(nQ7_Parameter_Set,$AH10)&amp;"",INDEX(nQ8_Parameter_Set,$AH10)&amp;"",INDEX(nQ9_Parameter_Set,$AH10)&amp;"",INDEX(nQ10_Parameter_Set,$AH10)&amp;"",INDEX(nQ11_Parameter_Set,$AH10)&amp;""))</f>
        <v>Anchor (LAST_DOSE_BEFORE_ONSET) EX-A/START: 2026-01-10T09:00-05:00 [timestamp with UTC offset; case measurement; original: "09:00 Drug A infusion commenced"; source: Nursing chart; medication administration record] | End point EV-1/ONSET: 2026-01-10T09:15-05:00 [timestamp with UTC offset; case measurement; original: "09:15 pt reports itching; urticaria chest and arms; audible wheeze; BP 84/52"; source: Nursing observation chart]</v>
      </c>
      <c r="BG10" s="1" t="str">
        <f>IF($AF10=0,"",CHOOSE($AF10,INDEX(nINT_Assumptions,$AH10)&amp;"",INDEX(nQ1_Assumptions,$AH10)&amp;"",INDEX(nQ2_Assumptions,$AH10)&amp;"",INDEX(nQ3_Assumptions,$AH10)&amp;"",INDEX(nQ4_Assumptions,$AH10)&amp;"",INDEX(nQ5_Assumptions,$AH10)&amp;"",INDEX(nQ6_Assumptions,$AH10)&amp;"",INDEX(nQ7_Assumptions,$AH10)&amp;"",INDEX(nQ8_Assumptions,$AH10)&amp;"",INDEX(nQ9_Assumptions,$AH10)&amp;"",INDEX(nQ10_Assumptions,$AH10)&amp;"",INDEX(nQ11_Assumptions,$AH10)&amp;""))</f>
        <v>Anchor selected under C5 (CALC-SPEC 1.1): latest administration with an exact date or time at or before onset (EX-A/START), ordered in UTC when offsets are known; later administrations are never selected.</v>
      </c>
      <c r="BH10" s="1" t="str">
        <f>IF($AF10=0,"",CHOOSE($AF10,INDEX(nINT_Calculation_Version,$AH10)&amp;"",INDEX(nQ1_Calculation_Version,$AH10)&amp;"",INDEX(nQ2_Calculation_Version,$AH10)&amp;"",INDEX(nQ3_Calculation_Version,$AH10)&amp;"",INDEX(nQ4_Calculation_Version,$AH10)&amp;"",INDEX(nQ5_Calculation_Version,$AH10)&amp;"",INDEX(nQ6_Calculation_Version,$AH10)&amp;"",INDEX(nQ7_Calculation_Version,$AH10)&amp;"",INDEX(nQ8_Calculation_Version,$AH10)&amp;"",INDEX(nQ9_Calculation_Version,$AH10)&amp;"",INDEX(nQ10_Calculation_Version,$AH10)&amp;"",INDEX(nQ11_Calculation_Version,$AH10)&amp;""))</f>
        <v>CALC-SPEC 1.1</v>
      </c>
      <c r="BI10" s="1" t="str">
        <f>IF($AF10=0,"",CHOOSE($AF10,INDEX(nINT_QC_Flags,$AH10)&amp;"",INDEX(nQ1_QC_Flags,$AH10)&amp;"",INDEX(nQ2_QC_Flags,$AH10)&amp;"",INDEX(nQ3_QC_Flags,$AH10)&amp;"",INDEX(nQ4_QC_Flags,$AH10)&amp;"",INDEX(nQ5_QC_Flags,$AH10)&amp;"",INDEX(nQ6_QC_Flags,$AH10)&amp;"",INDEX(nQ7_QC_Flags,$AH10)&amp;"",INDEX(nQ8_QC_Flags,$AH10)&amp;"",INDEX(nQ9_QC_Flags,$AH10)&amp;"",INDEX(nQ10_QC_Flags,$AH10)&amp;"",INDEX(nQ11_QC_Flags,$AH10)&amp;""))</f>
        <v/>
      </c>
      <c r="BJ10" s="1" t="str">
        <f>IF($AF10=0,"",CHOOSE($AF10,INDEX(nINT_Messages,$AH10)&amp;"",INDEX(nQ1_Messages,$AH10)&amp;"",INDEX(nQ2_Messages,$AH10)&amp;"",INDEX(nQ3_Messages,$AH10)&amp;"",INDEX(nQ4_Messages,$AH10)&amp;"",INDEX(nQ5_Messages,$AH10)&amp;"",INDEX(nQ6_Messages,$AH10)&amp;"",INDEX(nQ7_Messages,$AH10)&amp;"",INDEX(nQ8_Messages,$AH10)&amp;"",INDEX(nQ9_Messages,$AH10)&amp;"",INDEX(nQ10_Messages,$AH10)&amp;"",INDEX(nQ11_Messages,$AH10)&amp;""))</f>
        <v/>
      </c>
      <c r="BK10" s="1" t="str">
        <f>IF($AF10=0,"",CHOOSE($AF10,INDEX(nINT_Limitations,$AH10)&amp;"",INDEX(nQ1_Mandatory_Text,$AH10)&amp;"",INDEX(nQ2_Mandatory_Text,$AH10)&amp;"",INDEX(nQ3_Mandatory_Text,$AH10)&amp;"",INDEX(nQ4_Mandatory_Text,$AH10)&amp;"",INDEX(nQ5_Mandatory_Text,$AH10)&amp;"",INDEX(nQ6_Mandatory_Text,$AH10)&amp;"",INDEX(nQ7_Mandatory_Text,$AH10)&amp;"",INDEX(nQ8_Mandatory_Text,$AH10)&amp;"",INDEX(nQ9_Mandatory_Text,$AH10)&amp;"",INDEX(nQ10_Mandatory_Text,$AH10)&amp;"",INDEX(nQ11_Mandatory_Text,$AH10)&amp;""))</f>
        <v>The interval describes the sequence and spacing of recorded times; it is not evidence of causation.</v>
      </c>
      <c r="BL10" s="1" t="str">
        <f t="shared" si="33"/>
        <v>not stamped</v>
      </c>
      <c r="BM10" s="1" t="str">
        <f t="shared" si="34"/>
        <v>TTO Companion Tools v1.1</v>
      </c>
      <c r="CA10" s="1" t="s">
        <v>2114</v>
      </c>
      <c r="CB10" s="1">
        <f>COUNTIF(nQ2_CaseKey,$H$4)</f>
        <v>0</v>
      </c>
      <c r="CC10" s="1">
        <f>CC9+CB9</f>
        <v>14</v>
      </c>
    </row>
    <row r="11" spans="1:81" x14ac:dyDescent="0.2">
      <c r="A11" s="21" t="str">
        <f t="shared" si="0"/>
        <v>EX-C01</v>
      </c>
      <c r="B11" s="21">
        <f t="shared" si="1"/>
        <v>2</v>
      </c>
      <c r="C11" s="21" t="str">
        <f t="shared" si="2"/>
        <v>I04</v>
      </c>
      <c r="D11" s="21" t="str">
        <f t="shared" si="3"/>
        <v>EX-B/START → EV-1/ONSET</v>
      </c>
      <c r="E11" s="21" t="str">
        <f t="shared" si="4"/>
        <v>L2</v>
      </c>
      <c r="F11" s="21" t="str">
        <f t="shared" si="5"/>
        <v>EX-B</v>
      </c>
      <c r="G11" s="21" t="str">
        <f t="shared" si="6"/>
        <v>EV-1</v>
      </c>
      <c r="H11" s="21" t="str">
        <f t="shared" si="7"/>
        <v>EV-1/ONSET</v>
      </c>
      <c r="I11" s="21">
        <f t="shared" si="8"/>
        <v>55</v>
      </c>
      <c r="J11" s="21" t="str">
        <f t="shared" si="9"/>
        <v/>
      </c>
      <c r="K11" s="21" t="str">
        <f t="shared" si="10"/>
        <v/>
      </c>
      <c r="L11" s="21" t="str">
        <f t="shared" si="11"/>
        <v>minutes</v>
      </c>
      <c r="M11" s="21" t="str">
        <f t="shared" si="12"/>
        <v>55 minutes</v>
      </c>
      <c r="N11" s="21" t="str">
        <f t="shared" si="13"/>
        <v>C1</v>
      </c>
      <c r="O11" s="21" t="str">
        <f t="shared" si="14"/>
        <v>CONCOMITANT_CHANGE</v>
      </c>
      <c r="P11" s="21" t="str">
        <f t="shared" si="15"/>
        <v>EX-B/START</v>
      </c>
      <c r="Q11" s="21" t="str">
        <f t="shared" si="16"/>
        <v>Drug B infusion start</v>
      </c>
      <c r="R11" s="21" t="str">
        <f t="shared" si="17"/>
        <v>AFTER</v>
      </c>
      <c r="S11" s="21" t="str">
        <f t="shared" si="18"/>
        <v/>
      </c>
      <c r="T11" s="21" t="str">
        <f t="shared" si="19"/>
        <v/>
      </c>
      <c r="U11" s="21" t="str">
        <f t="shared" si="20"/>
        <v/>
      </c>
      <c r="V11" s="21" t="str">
        <f t="shared" si="21"/>
        <v/>
      </c>
      <c r="W11" s="21" t="str">
        <f t="shared" si="22"/>
        <v>Anchor (CONCOMITANT_CHANGE) EX-B/START: 2026-01-10T08:20-05:00 [timestamp with UTC offset; case measurement; original: "Drug B IV given earlier this morning via same cannula"; source: Follow-up, version 2] | End point EV-1/ONSET: 2026-01-10T09:15-05:00 [timestamp with UTC offset; case measurement; original: "09:15 pt reports itching; urticaria chest and arms; audible wheeze; BP 84/52"; source: Nursing observation chart]</v>
      </c>
      <c r="X11" s="21" t="str">
        <f t="shared" si="23"/>
        <v/>
      </c>
      <c r="Y11" s="21" t="str">
        <f t="shared" si="24"/>
        <v>CALC-SPEC 1.1</v>
      </c>
      <c r="Z11" s="21" t="str">
        <f t="shared" si="25"/>
        <v/>
      </c>
      <c r="AA11" s="21" t="str">
        <f t="shared" si="26"/>
        <v/>
      </c>
      <c r="AB11" s="21" t="str">
        <f t="shared" si="27"/>
        <v>The interval describes the sequence and spacing of recorded times; it is not evidence of causation.</v>
      </c>
      <c r="AC11" s="21" t="str">
        <f t="shared" si="28"/>
        <v>not stamped</v>
      </c>
      <c r="AD11" s="21" t="str">
        <f t="shared" si="29"/>
        <v>TTO Companion Tools v1.1</v>
      </c>
      <c r="AE11" s="1">
        <f t="shared" si="30"/>
        <v>4</v>
      </c>
      <c r="AF11" s="1">
        <f t="shared" si="31"/>
        <v>1</v>
      </c>
      <c r="AG11" s="1">
        <f t="shared" si="32"/>
        <v>4</v>
      </c>
      <c r="AH11" s="1">
        <f>IF(AF11=0,0,CHOOSE(AF11,IFERROR(_xlfn.AGGREGATE(15,6,(ROW(nINT_CaseKey)-ROW(INDEX(nINT_CaseKey,1,1))+1)/((nINT_CaseKey=$H$4)*(nINT_RowEmpty=0)),AG11),0),IFERROR(_xlfn.AGGREGATE(15,6,(ROW(nQ1_CaseKey)-ROW(INDEX(nQ1_CaseKey,1,1))+1)/((nQ1_CaseKey=$H$4)),AG11),0),IFERROR(_xlfn.AGGREGATE(15,6,(ROW(nQ2_CaseKey)-ROW(INDEX(nQ2_CaseKey,1,1))+1)/((nQ2_CaseKey=$H$4)),AG11),0),IFERROR(_xlfn.AGGREGATE(15,6,(ROW(nQ3_CaseKey)-ROW(INDEX(nQ3_CaseKey,1,1))+1)/((nQ3_CaseKey=$H$4)),AG11),0),IFERROR(_xlfn.AGGREGATE(15,6,(ROW(nQ4_CaseKey)-ROW(INDEX(nQ4_CaseKey,1,1))+1)/((nQ4_CaseKey=$H$4)),AG11),0),IFERROR(_xlfn.AGGREGATE(15,6,(ROW(nQ5_CaseKey)-ROW(INDEX(nQ5_CaseKey,1,1))+1)/((nQ5_CaseKey=$H$4)),AG11),0),IFERROR(_xlfn.AGGREGATE(15,6,(ROW(nQ6_CaseKey)-ROW(INDEX(nQ6_CaseKey,1,1))+1)/((nQ6_CaseKey=$H$4)),AG11),0),IFERROR(_xlfn.AGGREGATE(15,6,(ROW(nQ7_CaseKey)-ROW(INDEX(nQ7_CaseKey,1,1))+1)/((nQ7_CaseKey=$H$4)),AG11),0),IFERROR(_xlfn.AGGREGATE(15,6,(ROW(nQ8_CaseKey)-ROW(INDEX(nQ8_CaseKey,1,1))+1)/((nQ8_CaseKey=$H$4)),AG11),0),IFERROR(_xlfn.AGGREGATE(15,6,(ROW(nQ9_CaseKey)-ROW(INDEX(nQ9_CaseKey,1,1))+1)/((nQ9_CaseKey=$H$4)),AG11),0),IFERROR(_xlfn.AGGREGATE(15,6,(ROW(nQ10_CaseKey)-ROW(INDEX(nQ10_CaseKey,1,1))+1)/((nQ10_CaseKey=$H$4)),AG11),0),IFERROR(_xlfn.AGGREGATE(15,6,(ROW(nQ11_CaseKey)-ROW(INDEX(nQ11_CaseKey,1,1))+1)/((nQ11_CaseKey=$H$4)),AG11),0)))</f>
        <v>45</v>
      </c>
      <c r="AJ11" s="1" t="str">
        <f>IF($AF11=0,"",CHOOSE($AF11,INDEX(nINT_Case_ID,$AH11)&amp;"",INDEX(nQ1_Case_ID,$AH11)&amp;"",INDEX(nQ2_Case_ID,$AH11)&amp;"",INDEX(nQ3_Case_ID,$AH11)&amp;"",INDEX(nQ4_Case_ID,$AH11)&amp;"",INDEX(nQ5_Case_ID,$AH11)&amp;"",INDEX(nQ6_Case_ID,$AH11)&amp;"",INDEX(nQ7_Case_ID,$AH11)&amp;"",INDEX(nQ8_Case_ID,$AH11)&amp;"",INDEX(nQ9_Case_ID,$AH11)&amp;"",INDEX(nQ10_Case_ID,$AH11)&amp;"",INDEX(nQ11_Case_ID,$AH11)&amp;""))</f>
        <v>EX-C01</v>
      </c>
      <c r="AK11" s="1">
        <f>IF($AF11=0,"",CHOOSE($AF11,INDEX(nINT_Case_Version,$AH11),INDEX(nQ1_Case_Version,$AH11),INDEX(nQ2_Case_Version,$AH11),INDEX(nQ3_Case_Version,$AH11),INDEX(nQ4_Case_Version,$AH11),INDEX(nQ5_Case_Version,$AH11),INDEX(nQ6_Case_Version,$AH11),INDEX(nQ7_Case_Version,$AH11),INDEX(nQ8_Case_Version,$AH11),INDEX(nQ9_Case_Version,$AH11),INDEX(nQ10_Case_Version,$AH11),INDEX(nQ11_Case_Version,$AH11)))</f>
        <v>2</v>
      </c>
      <c r="AL11" s="1" t="str">
        <f>IF($AF11=0,"",CHOOSE($AF11,INDEX(nINT_Interval_ID,$AH11)&amp;"",INDEX(nQ1_Calc_ID,$AH11)&amp;"",INDEX(nQ2_Calc_ID,$AH11)&amp;"",INDEX(nQ3_Calc_ID,$AH11)&amp;"",INDEX(nQ4_Calc_ID,$AH11)&amp;"",INDEX(nQ5_Calc_ID,$AH11)&amp;"",INDEX(nQ6_Calc_ID,$AH11)&amp;"",INDEX(nQ7_Calc_ID,$AH11)&amp;"",INDEX(nQ8_Calc_ID,$AH11)&amp;"",INDEX(nQ9_Calc_ID,$AH11)&amp;"",INDEX(nQ10_Calc_ID,$AH11)&amp;"",INDEX(nQ11_Calc_ID,$AH11)&amp;""))</f>
        <v>I04</v>
      </c>
      <c r="AM11" s="1" t="str">
        <f>IF($AF11=0,"",CHOOSE($AF11,INDEX(nINT_Label,$AH11)&amp;"",INDEX(nQ1_Label_Out,$AH11)&amp;"",INDEX(nQ2_Label_Out,$AH11)&amp;"",INDEX(nQ3_Label_Out,$AH11)&amp;"",INDEX(nQ4_Label_Out,$AH11)&amp;"",INDEX(nQ5_Label_Out,$AH11)&amp;"",INDEX(nQ6_Label_Out,$AH11)&amp;"",INDEX(nQ7_Label_Out,$AH11)&amp;"",INDEX(nQ8_Label_Out,$AH11)&amp;"",INDEX(nQ9_Label_Out,$AH11)&amp;"",INDEX(nQ10_Label_Out,$AH11)&amp;"",INDEX(nQ11_Label_Out,$AH11)&amp;""))</f>
        <v>EX-B/START → EV-1/ONSET</v>
      </c>
      <c r="AN11" s="1" t="str">
        <f>IF($AF11=0,"",CHOOSE($AF11,IF(INDEX(nINT_LinkRow,$AH11)=0,"",INDEX(nINT_Link_ID,$AH11)&amp;""),"","","","","","","","","","",""))</f>
        <v>L2</v>
      </c>
      <c r="AO11" s="1" t="str">
        <f>IF($AF11=0,"",CHOOSE($AF11,INDEX(nINT_Exposure_Episode_ID,$AH11)&amp;"","","","","","","","","","","",""))</f>
        <v>EX-B</v>
      </c>
      <c r="AP11" s="1" t="str">
        <f>IF($AF11=0,"",CHOOSE($AF11,INDEX(nINT_Event_Episode_ID,$AH11)&amp;"","","","","","","","","","","",""))</f>
        <v>EV-1</v>
      </c>
      <c r="AQ11" s="1" t="str">
        <f>IF($AF11=0,"",CHOOSE($AF11,INDEX(nINT_End_Record_ID_Used,$AH11)&amp;"","","","","","","","","","","",""))</f>
        <v>EV-1/ONSET</v>
      </c>
      <c r="AR11" s="1">
        <f>IF($AF11=0,"",CHOOSE($AF11,INDEX(nINT_Interval_Value,$AH11),"","","","","","","","","","",""))</f>
        <v>55</v>
      </c>
      <c r="AS11" s="1" t="str">
        <f>IF($AF11=0,"",CHOOSE($AF11,INDEX(nINT_Interval_Minimum,$AH11),"","","","","","","","","","",""))</f>
        <v/>
      </c>
      <c r="AT11" s="1" t="str">
        <f>IF($AF11=0,"",CHOOSE($AF11,INDEX(nINT_Interval_Maximum,$AH11),"","","","","","","","","","",""))</f>
        <v/>
      </c>
      <c r="AU11" s="1" t="str">
        <f>IF($AF11=0,"",CHOOSE($AF11,INDEX(nINT_Unit,$AH11)&amp;"",INDEX(nQ1_Unit_Out,$AH11)&amp;"",INDEX(nQ2_Unit_Out,$AH11)&amp;"",INDEX(nQ3_Unit_Out,$AH11)&amp;"",INDEX(nQ4_Unit_Out,$AH11)&amp;"",INDEX(nQ5_Unit_Out,$AH11)&amp;"",INDEX(nQ6_Unit_Out,$AH11)&amp;"",INDEX(nQ7_Unit_Out,$AH11)&amp;"",INDEX(nQ8_Unit_Out,$AH11)&amp;"",INDEX(nQ9_Unit_Out,$AH11)&amp;"",INDEX(nQ10_Unit_Out,$AH11)&amp;"",INDEX(nQ11_Unit_Out,$AH11)&amp;""))</f>
        <v>minutes</v>
      </c>
      <c r="AV11" s="1" t="str">
        <f>IF($AF11=0,"",CHOOSE($AF11,INDEX(nINT_Displayed_Value,$AH11)&amp;"",INDEX(nQ1_Displayed_Value,$AH11)&amp;"",INDEX(nQ2_Displayed_Value,$AH11)&amp;"",INDEX(nQ3_Displayed_Value,$AH11)&amp;"",INDEX(nQ4_Displayed_Value,$AH11)&amp;"",INDEX(nQ5_Displayed_Value,$AH11)&amp;"",INDEX(nQ6_Displayed_Value,$AH11)&amp;"",INDEX(nQ7_Displayed_Value,$AH11)&amp;"",INDEX(nQ8_Displayed_Value,$AH11)&amp;"",INDEX(nQ9_Displayed_Value,$AH11)&amp;"",INDEX(nQ10_Displayed_Value,$AH11)&amp;"",INDEX(nQ11_Displayed_Value,$AH11)&amp;""))</f>
        <v>55 minutes</v>
      </c>
      <c r="AW11" s="1" t="str">
        <f>IF($AF11=0,"",CHOOSE($AF11,INDEX(nINT_Calculation_Mode_Used,$AH11)&amp;"","Q1","Q2","Q3","Q4","Q5","Q6","Q7","Q8","Q9","Q10","Q11"))</f>
        <v>C1</v>
      </c>
      <c r="AX11" s="1" t="str">
        <f>IF($AF11=0,"",CHOOSE($AF11,INDEX(nINT_Anchor_Type,$AH11)&amp;"","","","","","","","","","","",""))</f>
        <v>CONCOMITANT_CHANGE</v>
      </c>
      <c r="AY11" s="1" t="str">
        <f>IF($AF11=0,"",CHOOSE($AF11,IF(INDEX(nINT_K_Ok,$AH11)=1,INDEX(nINT_Anchor_Record_ID_Used,$AH11)&amp;"",""),"","","","","","","","","","",""))</f>
        <v>EX-B/START</v>
      </c>
      <c r="AZ11" s="1" t="str">
        <f>IF($AF11=0,"",CHOOSE($AF11,INDEX(nINT_Anchor_Description,$AH11)&amp;"","","","","","","","","","","",""))</f>
        <v>Drug B infusion start</v>
      </c>
      <c r="BA11" s="1" t="str">
        <f>IF($AF11=0,"",CHOOSE($AF11,INDEX(nINT_Sequence_Status,$AH11)&amp;"","","","","","","","","","","",""))</f>
        <v>AFTER</v>
      </c>
      <c r="BB11" s="1" t="str">
        <f>IF($AF11=0,"",CHOOSE($AF11,INDEX(nINT_Treatment_Day,$AH11),"","","","","","","","","","",""))</f>
        <v/>
      </c>
      <c r="BC11" s="1" t="str">
        <f>IF($AF11=0,"",CHOOSE($AF11,INDEX(nINT_Reported_Timing_Result,$AH11)&amp;"","","","","","","","","","","",""))</f>
        <v/>
      </c>
      <c r="BD11" s="1" t="str">
        <f>IF($AF11=0,"",CHOOSE($AF11,IF(INDEX(nINT_K_HasC,$AH11)=1,INDEX(nINT_Constraint_Source,$AH11)&amp;"",""),"","","","","","","","","","",""))</f>
        <v/>
      </c>
      <c r="BE11" s="1" t="str">
        <f>IF($AF11=0,"",CHOOSE($AF11,"",INDEX(nQ1_Results_Text,$AH11)&amp;"",INDEX(nQ2_Results_Text,$AH11)&amp;"",INDEX(nQ3_Results_Text,$AH11)&amp;"",INDEX(nQ4_Results_Text,$AH11)&amp;"",INDEX(nQ5_Results_Text,$AH11)&amp;"",INDEX(nQ6_Results_Text,$AH11)&amp;"",INDEX(nQ7_Results_Text,$AH11)&amp;"",INDEX(nQ8_Results_Text,$AH11)&amp;"",INDEX(nQ9_Results_Text,$AH11)&amp;"",INDEX(nQ10_Results_Text,$AH11)&amp;"",INDEX(nQ11_Results_Text,$AH11)&amp;""))</f>
        <v/>
      </c>
      <c r="BF11" s="1" t="str">
        <f>IF($AF11=0,"",CHOOSE($AF11,INDEX(nINT_Parameter_Set,$AH11)&amp;"",INDEX(nQ1_Parameter_Set,$AH11)&amp;"",INDEX(nQ2_Parameter_Set,$AH11)&amp;"",INDEX(nQ3_Parameter_Set,$AH11)&amp;"",INDEX(nQ4_Parameter_Set,$AH11)&amp;"",INDEX(nQ5_Parameter_Set,$AH11)&amp;"",INDEX(nQ6_Parameter_Set,$AH11)&amp;"",INDEX(nQ7_Parameter_Set,$AH11)&amp;"",INDEX(nQ8_Parameter_Set,$AH11)&amp;"",INDEX(nQ9_Parameter_Set,$AH11)&amp;"",INDEX(nQ10_Parameter_Set,$AH11)&amp;"",INDEX(nQ11_Parameter_Set,$AH11)&amp;""))</f>
        <v>Anchor (CONCOMITANT_CHANGE) EX-B/START: 2026-01-10T08:20-05:00 [timestamp with UTC offset; case measurement; original: "Drug B IV given earlier this morning via same cannula"; source: Follow-up, version 2] | End point EV-1/ONSET: 2026-01-10T09:15-05:00 [timestamp with UTC offset; case measurement; original: "09:15 pt reports itching; urticaria chest and arms; audible wheeze; BP 84/52"; source: Nursing observation chart]</v>
      </c>
      <c r="BG11" s="1" t="str">
        <f>IF($AF11=0,"",CHOOSE($AF11,INDEX(nINT_Assumptions,$AH11)&amp;"",INDEX(nQ1_Assumptions,$AH11)&amp;"",INDEX(nQ2_Assumptions,$AH11)&amp;"",INDEX(nQ3_Assumptions,$AH11)&amp;"",INDEX(nQ4_Assumptions,$AH11)&amp;"",INDEX(nQ5_Assumptions,$AH11)&amp;"",INDEX(nQ6_Assumptions,$AH11)&amp;"",INDEX(nQ7_Assumptions,$AH11)&amp;"",INDEX(nQ8_Assumptions,$AH11)&amp;"",INDEX(nQ9_Assumptions,$AH11)&amp;"",INDEX(nQ10_Assumptions,$AH11)&amp;"",INDEX(nQ11_Assumptions,$AH11)&amp;""))</f>
        <v/>
      </c>
      <c r="BH11" s="1" t="str">
        <f>IF($AF11=0,"",CHOOSE($AF11,INDEX(nINT_Calculation_Version,$AH11)&amp;"",INDEX(nQ1_Calculation_Version,$AH11)&amp;"",INDEX(nQ2_Calculation_Version,$AH11)&amp;"",INDEX(nQ3_Calculation_Version,$AH11)&amp;"",INDEX(nQ4_Calculation_Version,$AH11)&amp;"",INDEX(nQ5_Calculation_Version,$AH11)&amp;"",INDEX(nQ6_Calculation_Version,$AH11)&amp;"",INDEX(nQ7_Calculation_Version,$AH11)&amp;"",INDEX(nQ8_Calculation_Version,$AH11)&amp;"",INDEX(nQ9_Calculation_Version,$AH11)&amp;"",INDEX(nQ10_Calculation_Version,$AH11)&amp;"",INDEX(nQ11_Calculation_Version,$AH11)&amp;""))</f>
        <v>CALC-SPEC 1.1</v>
      </c>
      <c r="BI11" s="1" t="str">
        <f>IF($AF11=0,"",CHOOSE($AF11,INDEX(nINT_QC_Flags,$AH11)&amp;"",INDEX(nQ1_QC_Flags,$AH11)&amp;"",INDEX(nQ2_QC_Flags,$AH11)&amp;"",INDEX(nQ3_QC_Flags,$AH11)&amp;"",INDEX(nQ4_QC_Flags,$AH11)&amp;"",INDEX(nQ5_QC_Flags,$AH11)&amp;"",INDEX(nQ6_QC_Flags,$AH11)&amp;"",INDEX(nQ7_QC_Flags,$AH11)&amp;"",INDEX(nQ8_QC_Flags,$AH11)&amp;"",INDEX(nQ9_QC_Flags,$AH11)&amp;"",INDEX(nQ10_QC_Flags,$AH11)&amp;"",INDEX(nQ11_QC_Flags,$AH11)&amp;""))</f>
        <v/>
      </c>
      <c r="BJ11" s="1" t="str">
        <f>IF($AF11=0,"",CHOOSE($AF11,INDEX(nINT_Messages,$AH11)&amp;"",INDEX(nQ1_Messages,$AH11)&amp;"",INDEX(nQ2_Messages,$AH11)&amp;"",INDEX(nQ3_Messages,$AH11)&amp;"",INDEX(nQ4_Messages,$AH11)&amp;"",INDEX(nQ5_Messages,$AH11)&amp;"",INDEX(nQ6_Messages,$AH11)&amp;"",INDEX(nQ7_Messages,$AH11)&amp;"",INDEX(nQ8_Messages,$AH11)&amp;"",INDEX(nQ9_Messages,$AH11)&amp;"",INDEX(nQ10_Messages,$AH11)&amp;"",INDEX(nQ11_Messages,$AH11)&amp;""))</f>
        <v/>
      </c>
      <c r="BK11" s="1" t="str">
        <f>IF($AF11=0,"",CHOOSE($AF11,INDEX(nINT_Limitations,$AH11)&amp;"",INDEX(nQ1_Mandatory_Text,$AH11)&amp;"",INDEX(nQ2_Mandatory_Text,$AH11)&amp;"",INDEX(nQ3_Mandatory_Text,$AH11)&amp;"",INDEX(nQ4_Mandatory_Text,$AH11)&amp;"",INDEX(nQ5_Mandatory_Text,$AH11)&amp;"",INDEX(nQ6_Mandatory_Text,$AH11)&amp;"",INDEX(nQ7_Mandatory_Text,$AH11)&amp;"",INDEX(nQ8_Mandatory_Text,$AH11)&amp;"",INDEX(nQ9_Mandatory_Text,$AH11)&amp;"",INDEX(nQ10_Mandatory_Text,$AH11)&amp;"",INDEX(nQ11_Mandatory_Text,$AH11)&amp;""))</f>
        <v>The interval describes the sequence and spacing of recorded times; it is not evidence of causation.</v>
      </c>
      <c r="BL11" s="1" t="str">
        <f t="shared" si="33"/>
        <v>not stamped</v>
      </c>
      <c r="BM11" s="1" t="str">
        <f t="shared" si="34"/>
        <v>TTO Companion Tools v1.1</v>
      </c>
      <c r="CA11" s="1" t="s">
        <v>2118</v>
      </c>
      <c r="CB11" s="1">
        <f>COUNTIF(nQ3_CaseKey,$H$4)</f>
        <v>0</v>
      </c>
      <c r="CC11" s="1">
        <f>CC10+CB10</f>
        <v>14</v>
      </c>
    </row>
    <row r="12" spans="1:81" x14ac:dyDescent="0.2">
      <c r="A12" s="21" t="str">
        <f t="shared" si="0"/>
        <v>EX-C01</v>
      </c>
      <c r="B12" s="21">
        <f t="shared" si="1"/>
        <v>2</v>
      </c>
      <c r="C12" s="21" t="str">
        <f t="shared" si="2"/>
        <v>I05</v>
      </c>
      <c r="D12" s="21" t="str">
        <f t="shared" si="3"/>
        <v>EX-B/STOP → EV-1/ONSET</v>
      </c>
      <c r="E12" s="21" t="str">
        <f t="shared" si="4"/>
        <v>L2</v>
      </c>
      <c r="F12" s="21" t="str">
        <f t="shared" si="5"/>
        <v>EX-B</v>
      </c>
      <c r="G12" s="21" t="str">
        <f t="shared" si="6"/>
        <v>EV-1</v>
      </c>
      <c r="H12" s="21" t="str">
        <f t="shared" si="7"/>
        <v>EV-1/ONSET</v>
      </c>
      <c r="I12" s="21">
        <f t="shared" si="8"/>
        <v>25</v>
      </c>
      <c r="J12" s="21" t="str">
        <f t="shared" si="9"/>
        <v/>
      </c>
      <c r="K12" s="21" t="str">
        <f t="shared" si="10"/>
        <v/>
      </c>
      <c r="L12" s="21" t="str">
        <f t="shared" si="11"/>
        <v>minutes</v>
      </c>
      <c r="M12" s="21" t="str">
        <f t="shared" si="12"/>
        <v>25 minutes</v>
      </c>
      <c r="N12" s="21" t="str">
        <f t="shared" si="13"/>
        <v>C1</v>
      </c>
      <c r="O12" s="21" t="str">
        <f t="shared" si="14"/>
        <v>OTHER</v>
      </c>
      <c r="P12" s="21" t="str">
        <f t="shared" si="15"/>
        <v>EX-B/STOP</v>
      </c>
      <c r="Q12" s="21" t="str">
        <f t="shared" si="16"/>
        <v>End of Drug B infusion</v>
      </c>
      <c r="R12" s="21" t="str">
        <f t="shared" si="17"/>
        <v>AFTER</v>
      </c>
      <c r="S12" s="21" t="str">
        <f t="shared" si="18"/>
        <v/>
      </c>
      <c r="T12" s="21" t="str">
        <f t="shared" si="19"/>
        <v/>
      </c>
      <c r="U12" s="21" t="str">
        <f t="shared" si="20"/>
        <v/>
      </c>
      <c r="V12" s="21" t="str">
        <f t="shared" si="21"/>
        <v/>
      </c>
      <c r="W12" s="21" t="str">
        <f t="shared" si="22"/>
        <v>Anchor (OTHER) EX-B/STOP: 2026-01-10T08:50-05:00 [timestamp with UTC offset; case measurement; original: "Drug B infusion ended 08:50"; source: Follow-up, version 2] | End point EV-1/ONSET: 2026-01-10T09:15-05:00 [timestamp with UTC offset; case measurement; original: "09:15 pt reports itching; urticaria chest and arms; audible wheeze; BP 84/52"; source: Nursing observation chart]</v>
      </c>
      <c r="X12" s="21" t="str">
        <f t="shared" si="23"/>
        <v/>
      </c>
      <c r="Y12" s="21" t="str">
        <f t="shared" si="24"/>
        <v>CALC-SPEC 1.1</v>
      </c>
      <c r="Z12" s="21" t="str">
        <f t="shared" si="25"/>
        <v/>
      </c>
      <c r="AA12" s="21" t="str">
        <f t="shared" si="26"/>
        <v/>
      </c>
      <c r="AB12" s="21" t="str">
        <f t="shared" si="27"/>
        <v>The interval describes the sequence and spacing of recorded times; it is not evidence of causation.</v>
      </c>
      <c r="AC12" s="21" t="str">
        <f t="shared" si="28"/>
        <v>not stamped</v>
      </c>
      <c r="AD12" s="21" t="str">
        <f t="shared" si="29"/>
        <v>TTO Companion Tools v1.1</v>
      </c>
      <c r="AE12" s="1">
        <f t="shared" si="30"/>
        <v>5</v>
      </c>
      <c r="AF12" s="1">
        <f t="shared" si="31"/>
        <v>1</v>
      </c>
      <c r="AG12" s="1">
        <f t="shared" si="32"/>
        <v>5</v>
      </c>
      <c r="AH12" s="1">
        <f>IF(AF12=0,0,CHOOSE(AF12,IFERROR(_xlfn.AGGREGATE(15,6,(ROW(nINT_CaseKey)-ROW(INDEX(nINT_CaseKey,1,1))+1)/((nINT_CaseKey=$H$4)*(nINT_RowEmpty=0)),AG12),0),IFERROR(_xlfn.AGGREGATE(15,6,(ROW(nQ1_CaseKey)-ROW(INDEX(nQ1_CaseKey,1,1))+1)/((nQ1_CaseKey=$H$4)),AG12),0),IFERROR(_xlfn.AGGREGATE(15,6,(ROW(nQ2_CaseKey)-ROW(INDEX(nQ2_CaseKey,1,1))+1)/((nQ2_CaseKey=$H$4)),AG12),0),IFERROR(_xlfn.AGGREGATE(15,6,(ROW(nQ3_CaseKey)-ROW(INDEX(nQ3_CaseKey,1,1))+1)/((nQ3_CaseKey=$H$4)),AG12),0),IFERROR(_xlfn.AGGREGATE(15,6,(ROW(nQ4_CaseKey)-ROW(INDEX(nQ4_CaseKey,1,1))+1)/((nQ4_CaseKey=$H$4)),AG12),0),IFERROR(_xlfn.AGGREGATE(15,6,(ROW(nQ5_CaseKey)-ROW(INDEX(nQ5_CaseKey,1,1))+1)/((nQ5_CaseKey=$H$4)),AG12),0),IFERROR(_xlfn.AGGREGATE(15,6,(ROW(nQ6_CaseKey)-ROW(INDEX(nQ6_CaseKey,1,1))+1)/((nQ6_CaseKey=$H$4)),AG12),0),IFERROR(_xlfn.AGGREGATE(15,6,(ROW(nQ7_CaseKey)-ROW(INDEX(nQ7_CaseKey,1,1))+1)/((nQ7_CaseKey=$H$4)),AG12),0),IFERROR(_xlfn.AGGREGATE(15,6,(ROW(nQ8_CaseKey)-ROW(INDEX(nQ8_CaseKey,1,1))+1)/((nQ8_CaseKey=$H$4)),AG12),0),IFERROR(_xlfn.AGGREGATE(15,6,(ROW(nQ9_CaseKey)-ROW(INDEX(nQ9_CaseKey,1,1))+1)/((nQ9_CaseKey=$H$4)),AG12),0),IFERROR(_xlfn.AGGREGATE(15,6,(ROW(nQ10_CaseKey)-ROW(INDEX(nQ10_CaseKey,1,1))+1)/((nQ10_CaseKey=$H$4)),AG12),0),IFERROR(_xlfn.AGGREGATE(15,6,(ROW(nQ11_CaseKey)-ROW(INDEX(nQ11_CaseKey,1,1))+1)/((nQ11_CaseKey=$H$4)),AG12),0)))</f>
        <v>46</v>
      </c>
      <c r="AJ12" s="1" t="str">
        <f>IF($AF12=0,"",CHOOSE($AF12,INDEX(nINT_Case_ID,$AH12)&amp;"",INDEX(nQ1_Case_ID,$AH12)&amp;"",INDEX(nQ2_Case_ID,$AH12)&amp;"",INDEX(nQ3_Case_ID,$AH12)&amp;"",INDEX(nQ4_Case_ID,$AH12)&amp;"",INDEX(nQ5_Case_ID,$AH12)&amp;"",INDEX(nQ6_Case_ID,$AH12)&amp;"",INDEX(nQ7_Case_ID,$AH12)&amp;"",INDEX(nQ8_Case_ID,$AH12)&amp;"",INDEX(nQ9_Case_ID,$AH12)&amp;"",INDEX(nQ10_Case_ID,$AH12)&amp;"",INDEX(nQ11_Case_ID,$AH12)&amp;""))</f>
        <v>EX-C01</v>
      </c>
      <c r="AK12" s="1">
        <f>IF($AF12=0,"",CHOOSE($AF12,INDEX(nINT_Case_Version,$AH12),INDEX(nQ1_Case_Version,$AH12),INDEX(nQ2_Case_Version,$AH12),INDEX(nQ3_Case_Version,$AH12),INDEX(nQ4_Case_Version,$AH12),INDEX(nQ5_Case_Version,$AH12),INDEX(nQ6_Case_Version,$AH12),INDEX(nQ7_Case_Version,$AH12),INDEX(nQ8_Case_Version,$AH12),INDEX(nQ9_Case_Version,$AH12),INDEX(nQ10_Case_Version,$AH12),INDEX(nQ11_Case_Version,$AH12)))</f>
        <v>2</v>
      </c>
      <c r="AL12" s="1" t="str">
        <f>IF($AF12=0,"",CHOOSE($AF12,INDEX(nINT_Interval_ID,$AH12)&amp;"",INDEX(nQ1_Calc_ID,$AH12)&amp;"",INDEX(nQ2_Calc_ID,$AH12)&amp;"",INDEX(nQ3_Calc_ID,$AH12)&amp;"",INDEX(nQ4_Calc_ID,$AH12)&amp;"",INDEX(nQ5_Calc_ID,$AH12)&amp;"",INDEX(nQ6_Calc_ID,$AH12)&amp;"",INDEX(nQ7_Calc_ID,$AH12)&amp;"",INDEX(nQ8_Calc_ID,$AH12)&amp;"",INDEX(nQ9_Calc_ID,$AH12)&amp;"",INDEX(nQ10_Calc_ID,$AH12)&amp;"",INDEX(nQ11_Calc_ID,$AH12)&amp;""))</f>
        <v>I05</v>
      </c>
      <c r="AM12" s="1" t="str">
        <f>IF($AF12=0,"",CHOOSE($AF12,INDEX(nINT_Label,$AH12)&amp;"",INDEX(nQ1_Label_Out,$AH12)&amp;"",INDEX(nQ2_Label_Out,$AH12)&amp;"",INDEX(nQ3_Label_Out,$AH12)&amp;"",INDEX(nQ4_Label_Out,$AH12)&amp;"",INDEX(nQ5_Label_Out,$AH12)&amp;"",INDEX(nQ6_Label_Out,$AH12)&amp;"",INDEX(nQ7_Label_Out,$AH12)&amp;"",INDEX(nQ8_Label_Out,$AH12)&amp;"",INDEX(nQ9_Label_Out,$AH12)&amp;"",INDEX(nQ10_Label_Out,$AH12)&amp;"",INDEX(nQ11_Label_Out,$AH12)&amp;""))</f>
        <v>EX-B/STOP → EV-1/ONSET</v>
      </c>
      <c r="AN12" s="1" t="str">
        <f>IF($AF12=0,"",CHOOSE($AF12,IF(INDEX(nINT_LinkRow,$AH12)=0,"",INDEX(nINT_Link_ID,$AH12)&amp;""),"","","","","","","","","","",""))</f>
        <v>L2</v>
      </c>
      <c r="AO12" s="1" t="str">
        <f>IF($AF12=0,"",CHOOSE($AF12,INDEX(nINT_Exposure_Episode_ID,$AH12)&amp;"","","","","","","","","","","",""))</f>
        <v>EX-B</v>
      </c>
      <c r="AP12" s="1" t="str">
        <f>IF($AF12=0,"",CHOOSE($AF12,INDEX(nINT_Event_Episode_ID,$AH12)&amp;"","","","","","","","","","","",""))</f>
        <v>EV-1</v>
      </c>
      <c r="AQ12" s="1" t="str">
        <f>IF($AF12=0,"",CHOOSE($AF12,INDEX(nINT_End_Record_ID_Used,$AH12)&amp;"","","","","","","","","","","",""))</f>
        <v>EV-1/ONSET</v>
      </c>
      <c r="AR12" s="1">
        <f>IF($AF12=0,"",CHOOSE($AF12,INDEX(nINT_Interval_Value,$AH12),"","","","","","","","","","",""))</f>
        <v>25</v>
      </c>
      <c r="AS12" s="1" t="str">
        <f>IF($AF12=0,"",CHOOSE($AF12,INDEX(nINT_Interval_Minimum,$AH12),"","","","","","","","","","",""))</f>
        <v/>
      </c>
      <c r="AT12" s="1" t="str">
        <f>IF($AF12=0,"",CHOOSE($AF12,INDEX(nINT_Interval_Maximum,$AH12),"","","","","","","","","","",""))</f>
        <v/>
      </c>
      <c r="AU12" s="1" t="str">
        <f>IF($AF12=0,"",CHOOSE($AF12,INDEX(nINT_Unit,$AH12)&amp;"",INDEX(nQ1_Unit_Out,$AH12)&amp;"",INDEX(nQ2_Unit_Out,$AH12)&amp;"",INDEX(nQ3_Unit_Out,$AH12)&amp;"",INDEX(nQ4_Unit_Out,$AH12)&amp;"",INDEX(nQ5_Unit_Out,$AH12)&amp;"",INDEX(nQ6_Unit_Out,$AH12)&amp;"",INDEX(nQ7_Unit_Out,$AH12)&amp;"",INDEX(nQ8_Unit_Out,$AH12)&amp;"",INDEX(nQ9_Unit_Out,$AH12)&amp;"",INDEX(nQ10_Unit_Out,$AH12)&amp;"",INDEX(nQ11_Unit_Out,$AH12)&amp;""))</f>
        <v>minutes</v>
      </c>
      <c r="AV12" s="1" t="str">
        <f>IF($AF12=0,"",CHOOSE($AF12,INDEX(nINT_Displayed_Value,$AH12)&amp;"",INDEX(nQ1_Displayed_Value,$AH12)&amp;"",INDEX(nQ2_Displayed_Value,$AH12)&amp;"",INDEX(nQ3_Displayed_Value,$AH12)&amp;"",INDEX(nQ4_Displayed_Value,$AH12)&amp;"",INDEX(nQ5_Displayed_Value,$AH12)&amp;"",INDEX(nQ6_Displayed_Value,$AH12)&amp;"",INDEX(nQ7_Displayed_Value,$AH12)&amp;"",INDEX(nQ8_Displayed_Value,$AH12)&amp;"",INDEX(nQ9_Displayed_Value,$AH12)&amp;"",INDEX(nQ10_Displayed_Value,$AH12)&amp;"",INDEX(nQ11_Displayed_Value,$AH12)&amp;""))</f>
        <v>25 minutes</v>
      </c>
      <c r="AW12" s="1" t="str">
        <f>IF($AF12=0,"",CHOOSE($AF12,INDEX(nINT_Calculation_Mode_Used,$AH12)&amp;"","Q1","Q2","Q3","Q4","Q5","Q6","Q7","Q8","Q9","Q10","Q11"))</f>
        <v>C1</v>
      </c>
      <c r="AX12" s="1" t="str">
        <f>IF($AF12=0,"",CHOOSE($AF12,INDEX(nINT_Anchor_Type,$AH12)&amp;"","","","","","","","","","","",""))</f>
        <v>OTHER</v>
      </c>
      <c r="AY12" s="1" t="str">
        <f>IF($AF12=0,"",CHOOSE($AF12,IF(INDEX(nINT_K_Ok,$AH12)=1,INDEX(nINT_Anchor_Record_ID_Used,$AH12)&amp;"",""),"","","","","","","","","","",""))</f>
        <v>EX-B/STOP</v>
      </c>
      <c r="AZ12" s="1" t="str">
        <f>IF($AF12=0,"",CHOOSE($AF12,INDEX(nINT_Anchor_Description,$AH12)&amp;"","","","","","","","","","","",""))</f>
        <v>End of Drug B infusion</v>
      </c>
      <c r="BA12" s="1" t="str">
        <f>IF($AF12=0,"",CHOOSE($AF12,INDEX(nINT_Sequence_Status,$AH12)&amp;"","","","","","","","","","","",""))</f>
        <v>AFTER</v>
      </c>
      <c r="BB12" s="1" t="str">
        <f>IF($AF12=0,"",CHOOSE($AF12,INDEX(nINT_Treatment_Day,$AH12),"","","","","","","","","","",""))</f>
        <v/>
      </c>
      <c r="BC12" s="1" t="str">
        <f>IF($AF12=0,"",CHOOSE($AF12,INDEX(nINT_Reported_Timing_Result,$AH12)&amp;"","","","","","","","","","","",""))</f>
        <v/>
      </c>
      <c r="BD12" s="1" t="str">
        <f>IF($AF12=0,"",CHOOSE($AF12,IF(INDEX(nINT_K_HasC,$AH12)=1,INDEX(nINT_Constraint_Source,$AH12)&amp;"",""),"","","","","","","","","","",""))</f>
        <v/>
      </c>
      <c r="BE12" s="1" t="str">
        <f>IF($AF12=0,"",CHOOSE($AF12,"",INDEX(nQ1_Results_Text,$AH12)&amp;"",INDEX(nQ2_Results_Text,$AH12)&amp;"",INDEX(nQ3_Results_Text,$AH12)&amp;"",INDEX(nQ4_Results_Text,$AH12)&amp;"",INDEX(nQ5_Results_Text,$AH12)&amp;"",INDEX(nQ6_Results_Text,$AH12)&amp;"",INDEX(nQ7_Results_Text,$AH12)&amp;"",INDEX(nQ8_Results_Text,$AH12)&amp;"",INDEX(nQ9_Results_Text,$AH12)&amp;"",INDEX(nQ10_Results_Text,$AH12)&amp;"",INDEX(nQ11_Results_Text,$AH12)&amp;""))</f>
        <v/>
      </c>
      <c r="BF12" s="1" t="str">
        <f>IF($AF12=0,"",CHOOSE($AF12,INDEX(nINT_Parameter_Set,$AH12)&amp;"",INDEX(nQ1_Parameter_Set,$AH12)&amp;"",INDEX(nQ2_Parameter_Set,$AH12)&amp;"",INDEX(nQ3_Parameter_Set,$AH12)&amp;"",INDEX(nQ4_Parameter_Set,$AH12)&amp;"",INDEX(nQ5_Parameter_Set,$AH12)&amp;"",INDEX(nQ6_Parameter_Set,$AH12)&amp;"",INDEX(nQ7_Parameter_Set,$AH12)&amp;"",INDEX(nQ8_Parameter_Set,$AH12)&amp;"",INDEX(nQ9_Parameter_Set,$AH12)&amp;"",INDEX(nQ10_Parameter_Set,$AH12)&amp;"",INDEX(nQ11_Parameter_Set,$AH12)&amp;""))</f>
        <v>Anchor (OTHER) EX-B/STOP: 2026-01-10T08:50-05:00 [timestamp with UTC offset; case measurement; original: "Drug B infusion ended 08:50"; source: Follow-up, version 2] | End point EV-1/ONSET: 2026-01-10T09:15-05:00 [timestamp with UTC offset; case measurement; original: "09:15 pt reports itching; urticaria chest and arms; audible wheeze; BP 84/52"; source: Nursing observation chart]</v>
      </c>
      <c r="BG12" s="1" t="str">
        <f>IF($AF12=0,"",CHOOSE($AF12,INDEX(nINT_Assumptions,$AH12)&amp;"",INDEX(nQ1_Assumptions,$AH12)&amp;"",INDEX(nQ2_Assumptions,$AH12)&amp;"",INDEX(nQ3_Assumptions,$AH12)&amp;"",INDEX(nQ4_Assumptions,$AH12)&amp;"",INDEX(nQ5_Assumptions,$AH12)&amp;"",INDEX(nQ6_Assumptions,$AH12)&amp;"",INDEX(nQ7_Assumptions,$AH12)&amp;"",INDEX(nQ8_Assumptions,$AH12)&amp;"",INDEX(nQ9_Assumptions,$AH12)&amp;"",INDEX(nQ10_Assumptions,$AH12)&amp;"",INDEX(nQ11_Assumptions,$AH12)&amp;""))</f>
        <v/>
      </c>
      <c r="BH12" s="1" t="str">
        <f>IF($AF12=0,"",CHOOSE($AF12,INDEX(nINT_Calculation_Version,$AH12)&amp;"",INDEX(nQ1_Calculation_Version,$AH12)&amp;"",INDEX(nQ2_Calculation_Version,$AH12)&amp;"",INDEX(nQ3_Calculation_Version,$AH12)&amp;"",INDEX(nQ4_Calculation_Version,$AH12)&amp;"",INDEX(nQ5_Calculation_Version,$AH12)&amp;"",INDEX(nQ6_Calculation_Version,$AH12)&amp;"",INDEX(nQ7_Calculation_Version,$AH12)&amp;"",INDEX(nQ8_Calculation_Version,$AH12)&amp;"",INDEX(nQ9_Calculation_Version,$AH12)&amp;"",INDEX(nQ10_Calculation_Version,$AH12)&amp;"",INDEX(nQ11_Calculation_Version,$AH12)&amp;""))</f>
        <v>CALC-SPEC 1.1</v>
      </c>
      <c r="BI12" s="1" t="str">
        <f>IF($AF12=0,"",CHOOSE($AF12,INDEX(nINT_QC_Flags,$AH12)&amp;"",INDEX(nQ1_QC_Flags,$AH12)&amp;"",INDEX(nQ2_QC_Flags,$AH12)&amp;"",INDEX(nQ3_QC_Flags,$AH12)&amp;"",INDEX(nQ4_QC_Flags,$AH12)&amp;"",INDEX(nQ5_QC_Flags,$AH12)&amp;"",INDEX(nQ6_QC_Flags,$AH12)&amp;"",INDEX(nQ7_QC_Flags,$AH12)&amp;"",INDEX(nQ8_QC_Flags,$AH12)&amp;"",INDEX(nQ9_QC_Flags,$AH12)&amp;"",INDEX(nQ10_QC_Flags,$AH12)&amp;"",INDEX(nQ11_QC_Flags,$AH12)&amp;""))</f>
        <v/>
      </c>
      <c r="BJ12" s="1" t="str">
        <f>IF($AF12=0,"",CHOOSE($AF12,INDEX(nINT_Messages,$AH12)&amp;"",INDEX(nQ1_Messages,$AH12)&amp;"",INDEX(nQ2_Messages,$AH12)&amp;"",INDEX(nQ3_Messages,$AH12)&amp;"",INDEX(nQ4_Messages,$AH12)&amp;"",INDEX(nQ5_Messages,$AH12)&amp;"",INDEX(nQ6_Messages,$AH12)&amp;"",INDEX(nQ7_Messages,$AH12)&amp;"",INDEX(nQ8_Messages,$AH12)&amp;"",INDEX(nQ9_Messages,$AH12)&amp;"",INDEX(nQ10_Messages,$AH12)&amp;"",INDEX(nQ11_Messages,$AH12)&amp;""))</f>
        <v/>
      </c>
      <c r="BK12" s="1" t="str">
        <f>IF($AF12=0,"",CHOOSE($AF12,INDEX(nINT_Limitations,$AH12)&amp;"",INDEX(nQ1_Mandatory_Text,$AH12)&amp;"",INDEX(nQ2_Mandatory_Text,$AH12)&amp;"",INDEX(nQ3_Mandatory_Text,$AH12)&amp;"",INDEX(nQ4_Mandatory_Text,$AH12)&amp;"",INDEX(nQ5_Mandatory_Text,$AH12)&amp;"",INDEX(nQ6_Mandatory_Text,$AH12)&amp;"",INDEX(nQ7_Mandatory_Text,$AH12)&amp;"",INDEX(nQ8_Mandatory_Text,$AH12)&amp;"",INDEX(nQ9_Mandatory_Text,$AH12)&amp;"",INDEX(nQ10_Mandatory_Text,$AH12)&amp;"",INDEX(nQ11_Mandatory_Text,$AH12)&amp;""))</f>
        <v>The interval describes the sequence and spacing of recorded times; it is not evidence of causation.</v>
      </c>
      <c r="BL12" s="1" t="str">
        <f t="shared" si="33"/>
        <v>not stamped</v>
      </c>
      <c r="BM12" s="1" t="str">
        <f t="shared" si="34"/>
        <v>TTO Companion Tools v1.1</v>
      </c>
      <c r="CA12" s="1" t="s">
        <v>2121</v>
      </c>
      <c r="CB12" s="1">
        <f>COUNTIF(nQ4_CaseKey,$H$4)</f>
        <v>0</v>
      </c>
      <c r="CC12" s="1">
        <f>CC11+CB11</f>
        <v>14</v>
      </c>
    </row>
    <row r="13" spans="1:81" x14ac:dyDescent="0.2">
      <c r="A13" s="21" t="str">
        <f t="shared" si="0"/>
        <v>EX-C01</v>
      </c>
      <c r="B13" s="21">
        <f t="shared" si="1"/>
        <v>2</v>
      </c>
      <c r="C13" s="21" t="str">
        <f t="shared" si="2"/>
        <v>I06</v>
      </c>
      <c r="D13" s="21" t="str">
        <f t="shared" si="3"/>
        <v>EX-AS/START → EV-1/ONSET</v>
      </c>
      <c r="E13" s="21" t="str">
        <f t="shared" si="4"/>
        <v>L3</v>
      </c>
      <c r="F13" s="21" t="str">
        <f t="shared" si="5"/>
        <v>EX-AS</v>
      </c>
      <c r="G13" s="21" t="str">
        <f t="shared" si="6"/>
        <v>EV-1</v>
      </c>
      <c r="H13" s="21" t="str">
        <f t="shared" si="7"/>
        <v>EV-1/ONSET</v>
      </c>
      <c r="I13" s="21">
        <f t="shared" si="8"/>
        <v>60</v>
      </c>
      <c r="J13" s="21" t="str">
        <f t="shared" si="9"/>
        <v/>
      </c>
      <c r="K13" s="21" t="str">
        <f t="shared" si="10"/>
        <v/>
      </c>
      <c r="L13" s="21" t="str">
        <f t="shared" si="11"/>
        <v>minutes</v>
      </c>
      <c r="M13" s="21" t="str">
        <f t="shared" si="12"/>
        <v>60 minutes</v>
      </c>
      <c r="N13" s="21" t="str">
        <f t="shared" si="13"/>
        <v>C1</v>
      </c>
      <c r="O13" s="21" t="str">
        <f t="shared" si="14"/>
        <v>OTHER</v>
      </c>
      <c r="P13" s="21" t="str">
        <f t="shared" si="15"/>
        <v>EX-AS/START</v>
      </c>
      <c r="Q13" s="21" t="str">
        <f t="shared" si="16"/>
        <v>Skin antiseptic at cannulation (topical exposure)</v>
      </c>
      <c r="R13" s="21" t="str">
        <f t="shared" si="17"/>
        <v>AFTER</v>
      </c>
      <c r="S13" s="21" t="str">
        <f t="shared" si="18"/>
        <v/>
      </c>
      <c r="T13" s="21" t="str">
        <f t="shared" si="19"/>
        <v/>
      </c>
      <c r="U13" s="21" t="str">
        <f t="shared" si="20"/>
        <v/>
      </c>
      <c r="V13" s="21" t="str">
        <f t="shared" si="21"/>
        <v/>
      </c>
      <c r="W13" s="21" t="str">
        <f t="shared" si="22"/>
        <v>Anchor (OTHER) EX-AS/START: 2026-01-10T08:15-05:00 [timestamp with UTC offset; case measurement; original: "Antiseptic applied at cannulation"; source: Follow-up, version 2] | End point EV-1/ONSET: 2026-01-10T09:15-05:00 [timestamp with UTC offset; case measurement; original: "09:15 pt reports itching; urticaria chest and arms; audible wheeze; BP 84/52"; source: Nursing observation chart]</v>
      </c>
      <c r="X13" s="21" t="str">
        <f t="shared" si="23"/>
        <v/>
      </c>
      <c r="Y13" s="21" t="str">
        <f t="shared" si="24"/>
        <v>CALC-SPEC 1.1</v>
      </c>
      <c r="Z13" s="21" t="str">
        <f t="shared" si="25"/>
        <v/>
      </c>
      <c r="AA13" s="21" t="str">
        <f t="shared" si="26"/>
        <v/>
      </c>
      <c r="AB13" s="21" t="str">
        <f t="shared" si="27"/>
        <v>The interval describes the sequence and spacing of recorded times; it is not evidence of causation.</v>
      </c>
      <c r="AC13" s="21" t="str">
        <f t="shared" si="28"/>
        <v>not stamped</v>
      </c>
      <c r="AD13" s="21" t="str">
        <f t="shared" si="29"/>
        <v>TTO Companion Tools v1.1</v>
      </c>
      <c r="AE13" s="1">
        <f t="shared" si="30"/>
        <v>6</v>
      </c>
      <c r="AF13" s="1">
        <f t="shared" si="31"/>
        <v>1</v>
      </c>
      <c r="AG13" s="1">
        <f t="shared" si="32"/>
        <v>6</v>
      </c>
      <c r="AH13" s="1">
        <f>IF(AF13=0,0,CHOOSE(AF13,IFERROR(_xlfn.AGGREGATE(15,6,(ROW(nINT_CaseKey)-ROW(INDEX(nINT_CaseKey,1,1))+1)/((nINT_CaseKey=$H$4)*(nINT_RowEmpty=0)),AG13),0),IFERROR(_xlfn.AGGREGATE(15,6,(ROW(nQ1_CaseKey)-ROW(INDEX(nQ1_CaseKey,1,1))+1)/((nQ1_CaseKey=$H$4)),AG13),0),IFERROR(_xlfn.AGGREGATE(15,6,(ROW(nQ2_CaseKey)-ROW(INDEX(nQ2_CaseKey,1,1))+1)/((nQ2_CaseKey=$H$4)),AG13),0),IFERROR(_xlfn.AGGREGATE(15,6,(ROW(nQ3_CaseKey)-ROW(INDEX(nQ3_CaseKey,1,1))+1)/((nQ3_CaseKey=$H$4)),AG13),0),IFERROR(_xlfn.AGGREGATE(15,6,(ROW(nQ4_CaseKey)-ROW(INDEX(nQ4_CaseKey,1,1))+1)/((nQ4_CaseKey=$H$4)),AG13),0),IFERROR(_xlfn.AGGREGATE(15,6,(ROW(nQ5_CaseKey)-ROW(INDEX(nQ5_CaseKey,1,1))+1)/((nQ5_CaseKey=$H$4)),AG13),0),IFERROR(_xlfn.AGGREGATE(15,6,(ROW(nQ6_CaseKey)-ROW(INDEX(nQ6_CaseKey,1,1))+1)/((nQ6_CaseKey=$H$4)),AG13),0),IFERROR(_xlfn.AGGREGATE(15,6,(ROW(nQ7_CaseKey)-ROW(INDEX(nQ7_CaseKey,1,1))+1)/((nQ7_CaseKey=$H$4)),AG13),0),IFERROR(_xlfn.AGGREGATE(15,6,(ROW(nQ8_CaseKey)-ROW(INDEX(nQ8_CaseKey,1,1))+1)/((nQ8_CaseKey=$H$4)),AG13),0),IFERROR(_xlfn.AGGREGATE(15,6,(ROW(nQ9_CaseKey)-ROW(INDEX(nQ9_CaseKey,1,1))+1)/((nQ9_CaseKey=$H$4)),AG13),0),IFERROR(_xlfn.AGGREGATE(15,6,(ROW(nQ10_CaseKey)-ROW(INDEX(nQ10_CaseKey,1,1))+1)/((nQ10_CaseKey=$H$4)),AG13),0),IFERROR(_xlfn.AGGREGATE(15,6,(ROW(nQ11_CaseKey)-ROW(INDEX(nQ11_CaseKey,1,1))+1)/((nQ11_CaseKey=$H$4)),AG13),0)))</f>
        <v>47</v>
      </c>
      <c r="AJ13" s="1" t="str">
        <f>IF($AF13=0,"",CHOOSE($AF13,INDEX(nINT_Case_ID,$AH13)&amp;"",INDEX(nQ1_Case_ID,$AH13)&amp;"",INDEX(nQ2_Case_ID,$AH13)&amp;"",INDEX(nQ3_Case_ID,$AH13)&amp;"",INDEX(nQ4_Case_ID,$AH13)&amp;"",INDEX(nQ5_Case_ID,$AH13)&amp;"",INDEX(nQ6_Case_ID,$AH13)&amp;"",INDEX(nQ7_Case_ID,$AH13)&amp;"",INDEX(nQ8_Case_ID,$AH13)&amp;"",INDEX(nQ9_Case_ID,$AH13)&amp;"",INDEX(nQ10_Case_ID,$AH13)&amp;"",INDEX(nQ11_Case_ID,$AH13)&amp;""))</f>
        <v>EX-C01</v>
      </c>
      <c r="AK13" s="1">
        <f>IF($AF13=0,"",CHOOSE($AF13,INDEX(nINT_Case_Version,$AH13),INDEX(nQ1_Case_Version,$AH13),INDEX(nQ2_Case_Version,$AH13),INDEX(nQ3_Case_Version,$AH13),INDEX(nQ4_Case_Version,$AH13),INDEX(nQ5_Case_Version,$AH13),INDEX(nQ6_Case_Version,$AH13),INDEX(nQ7_Case_Version,$AH13),INDEX(nQ8_Case_Version,$AH13),INDEX(nQ9_Case_Version,$AH13),INDEX(nQ10_Case_Version,$AH13),INDEX(nQ11_Case_Version,$AH13)))</f>
        <v>2</v>
      </c>
      <c r="AL13" s="1" t="str">
        <f>IF($AF13=0,"",CHOOSE($AF13,INDEX(nINT_Interval_ID,$AH13)&amp;"",INDEX(nQ1_Calc_ID,$AH13)&amp;"",INDEX(nQ2_Calc_ID,$AH13)&amp;"",INDEX(nQ3_Calc_ID,$AH13)&amp;"",INDEX(nQ4_Calc_ID,$AH13)&amp;"",INDEX(nQ5_Calc_ID,$AH13)&amp;"",INDEX(nQ6_Calc_ID,$AH13)&amp;"",INDEX(nQ7_Calc_ID,$AH13)&amp;"",INDEX(nQ8_Calc_ID,$AH13)&amp;"",INDEX(nQ9_Calc_ID,$AH13)&amp;"",INDEX(nQ10_Calc_ID,$AH13)&amp;"",INDEX(nQ11_Calc_ID,$AH13)&amp;""))</f>
        <v>I06</v>
      </c>
      <c r="AM13" s="1" t="str">
        <f>IF($AF13=0,"",CHOOSE($AF13,INDEX(nINT_Label,$AH13)&amp;"",INDEX(nQ1_Label_Out,$AH13)&amp;"",INDEX(nQ2_Label_Out,$AH13)&amp;"",INDEX(nQ3_Label_Out,$AH13)&amp;"",INDEX(nQ4_Label_Out,$AH13)&amp;"",INDEX(nQ5_Label_Out,$AH13)&amp;"",INDEX(nQ6_Label_Out,$AH13)&amp;"",INDEX(nQ7_Label_Out,$AH13)&amp;"",INDEX(nQ8_Label_Out,$AH13)&amp;"",INDEX(nQ9_Label_Out,$AH13)&amp;"",INDEX(nQ10_Label_Out,$AH13)&amp;"",INDEX(nQ11_Label_Out,$AH13)&amp;""))</f>
        <v>EX-AS/START → EV-1/ONSET</v>
      </c>
      <c r="AN13" s="1" t="str">
        <f>IF($AF13=0,"",CHOOSE($AF13,IF(INDEX(nINT_LinkRow,$AH13)=0,"",INDEX(nINT_Link_ID,$AH13)&amp;""),"","","","","","","","","","",""))</f>
        <v>L3</v>
      </c>
      <c r="AO13" s="1" t="str">
        <f>IF($AF13=0,"",CHOOSE($AF13,INDEX(nINT_Exposure_Episode_ID,$AH13)&amp;"","","","","","","","","","","",""))</f>
        <v>EX-AS</v>
      </c>
      <c r="AP13" s="1" t="str">
        <f>IF($AF13=0,"",CHOOSE($AF13,INDEX(nINT_Event_Episode_ID,$AH13)&amp;"","","","","","","","","","","",""))</f>
        <v>EV-1</v>
      </c>
      <c r="AQ13" s="1" t="str">
        <f>IF($AF13=0,"",CHOOSE($AF13,INDEX(nINT_End_Record_ID_Used,$AH13)&amp;"","","","","","","","","","","",""))</f>
        <v>EV-1/ONSET</v>
      </c>
      <c r="AR13" s="1">
        <f>IF($AF13=0,"",CHOOSE($AF13,INDEX(nINT_Interval_Value,$AH13),"","","","","","","","","","",""))</f>
        <v>60</v>
      </c>
      <c r="AS13" s="1" t="str">
        <f>IF($AF13=0,"",CHOOSE($AF13,INDEX(nINT_Interval_Minimum,$AH13),"","","","","","","","","","",""))</f>
        <v/>
      </c>
      <c r="AT13" s="1" t="str">
        <f>IF($AF13=0,"",CHOOSE($AF13,INDEX(nINT_Interval_Maximum,$AH13),"","","","","","","","","","",""))</f>
        <v/>
      </c>
      <c r="AU13" s="1" t="str">
        <f>IF($AF13=0,"",CHOOSE($AF13,INDEX(nINT_Unit,$AH13)&amp;"",INDEX(nQ1_Unit_Out,$AH13)&amp;"",INDEX(nQ2_Unit_Out,$AH13)&amp;"",INDEX(nQ3_Unit_Out,$AH13)&amp;"",INDEX(nQ4_Unit_Out,$AH13)&amp;"",INDEX(nQ5_Unit_Out,$AH13)&amp;"",INDEX(nQ6_Unit_Out,$AH13)&amp;"",INDEX(nQ7_Unit_Out,$AH13)&amp;"",INDEX(nQ8_Unit_Out,$AH13)&amp;"",INDEX(nQ9_Unit_Out,$AH13)&amp;"",INDEX(nQ10_Unit_Out,$AH13)&amp;"",INDEX(nQ11_Unit_Out,$AH13)&amp;""))</f>
        <v>minutes</v>
      </c>
      <c r="AV13" s="1" t="str">
        <f>IF($AF13=0,"",CHOOSE($AF13,INDEX(nINT_Displayed_Value,$AH13)&amp;"",INDEX(nQ1_Displayed_Value,$AH13)&amp;"",INDEX(nQ2_Displayed_Value,$AH13)&amp;"",INDEX(nQ3_Displayed_Value,$AH13)&amp;"",INDEX(nQ4_Displayed_Value,$AH13)&amp;"",INDEX(nQ5_Displayed_Value,$AH13)&amp;"",INDEX(nQ6_Displayed_Value,$AH13)&amp;"",INDEX(nQ7_Displayed_Value,$AH13)&amp;"",INDEX(nQ8_Displayed_Value,$AH13)&amp;"",INDEX(nQ9_Displayed_Value,$AH13)&amp;"",INDEX(nQ10_Displayed_Value,$AH13)&amp;"",INDEX(nQ11_Displayed_Value,$AH13)&amp;""))</f>
        <v>60 minutes</v>
      </c>
      <c r="AW13" s="1" t="str">
        <f>IF($AF13=0,"",CHOOSE($AF13,INDEX(nINT_Calculation_Mode_Used,$AH13)&amp;"","Q1","Q2","Q3","Q4","Q5","Q6","Q7","Q8","Q9","Q10","Q11"))</f>
        <v>C1</v>
      </c>
      <c r="AX13" s="1" t="str">
        <f>IF($AF13=0,"",CHOOSE($AF13,INDEX(nINT_Anchor_Type,$AH13)&amp;"","","","","","","","","","","",""))</f>
        <v>OTHER</v>
      </c>
      <c r="AY13" s="1" t="str">
        <f>IF($AF13=0,"",CHOOSE($AF13,IF(INDEX(nINT_K_Ok,$AH13)=1,INDEX(nINT_Anchor_Record_ID_Used,$AH13)&amp;"",""),"","","","","","","","","","",""))</f>
        <v>EX-AS/START</v>
      </c>
      <c r="AZ13" s="1" t="str">
        <f>IF($AF13=0,"",CHOOSE($AF13,INDEX(nINT_Anchor_Description,$AH13)&amp;"","","","","","","","","","","",""))</f>
        <v>Skin antiseptic at cannulation (topical exposure)</v>
      </c>
      <c r="BA13" s="1" t="str">
        <f>IF($AF13=0,"",CHOOSE($AF13,INDEX(nINT_Sequence_Status,$AH13)&amp;"","","","","","","","","","","",""))</f>
        <v>AFTER</v>
      </c>
      <c r="BB13" s="1" t="str">
        <f>IF($AF13=0,"",CHOOSE($AF13,INDEX(nINT_Treatment_Day,$AH13),"","","","","","","","","","",""))</f>
        <v/>
      </c>
      <c r="BC13" s="1" t="str">
        <f>IF($AF13=0,"",CHOOSE($AF13,INDEX(nINT_Reported_Timing_Result,$AH13)&amp;"","","","","","","","","","","",""))</f>
        <v/>
      </c>
      <c r="BD13" s="1" t="str">
        <f>IF($AF13=0,"",CHOOSE($AF13,IF(INDEX(nINT_K_HasC,$AH13)=1,INDEX(nINT_Constraint_Source,$AH13)&amp;"",""),"","","","","","","","","","",""))</f>
        <v/>
      </c>
      <c r="BE13" s="1" t="str">
        <f>IF($AF13=0,"",CHOOSE($AF13,"",INDEX(nQ1_Results_Text,$AH13)&amp;"",INDEX(nQ2_Results_Text,$AH13)&amp;"",INDEX(nQ3_Results_Text,$AH13)&amp;"",INDEX(nQ4_Results_Text,$AH13)&amp;"",INDEX(nQ5_Results_Text,$AH13)&amp;"",INDEX(nQ6_Results_Text,$AH13)&amp;"",INDEX(nQ7_Results_Text,$AH13)&amp;"",INDEX(nQ8_Results_Text,$AH13)&amp;"",INDEX(nQ9_Results_Text,$AH13)&amp;"",INDEX(nQ10_Results_Text,$AH13)&amp;"",INDEX(nQ11_Results_Text,$AH13)&amp;""))</f>
        <v/>
      </c>
      <c r="BF13" s="1" t="str">
        <f>IF($AF13=0,"",CHOOSE($AF13,INDEX(nINT_Parameter_Set,$AH13)&amp;"",INDEX(nQ1_Parameter_Set,$AH13)&amp;"",INDEX(nQ2_Parameter_Set,$AH13)&amp;"",INDEX(nQ3_Parameter_Set,$AH13)&amp;"",INDEX(nQ4_Parameter_Set,$AH13)&amp;"",INDEX(nQ5_Parameter_Set,$AH13)&amp;"",INDEX(nQ6_Parameter_Set,$AH13)&amp;"",INDEX(nQ7_Parameter_Set,$AH13)&amp;"",INDEX(nQ8_Parameter_Set,$AH13)&amp;"",INDEX(nQ9_Parameter_Set,$AH13)&amp;"",INDEX(nQ10_Parameter_Set,$AH13)&amp;"",INDEX(nQ11_Parameter_Set,$AH13)&amp;""))</f>
        <v>Anchor (OTHER) EX-AS/START: 2026-01-10T08:15-05:00 [timestamp with UTC offset; case measurement; original: "Antiseptic applied at cannulation"; source: Follow-up, version 2] | End point EV-1/ONSET: 2026-01-10T09:15-05:00 [timestamp with UTC offset; case measurement; original: "09:15 pt reports itching; urticaria chest and arms; audible wheeze; BP 84/52"; source: Nursing observation chart]</v>
      </c>
      <c r="BG13" s="1" t="str">
        <f>IF($AF13=0,"",CHOOSE($AF13,INDEX(nINT_Assumptions,$AH13)&amp;"",INDEX(nQ1_Assumptions,$AH13)&amp;"",INDEX(nQ2_Assumptions,$AH13)&amp;"",INDEX(nQ3_Assumptions,$AH13)&amp;"",INDEX(nQ4_Assumptions,$AH13)&amp;"",INDEX(nQ5_Assumptions,$AH13)&amp;"",INDEX(nQ6_Assumptions,$AH13)&amp;"",INDEX(nQ7_Assumptions,$AH13)&amp;"",INDEX(nQ8_Assumptions,$AH13)&amp;"",INDEX(nQ9_Assumptions,$AH13)&amp;"",INDEX(nQ10_Assumptions,$AH13)&amp;"",INDEX(nQ11_Assumptions,$AH13)&amp;""))</f>
        <v/>
      </c>
      <c r="BH13" s="1" t="str">
        <f>IF($AF13=0,"",CHOOSE($AF13,INDEX(nINT_Calculation_Version,$AH13)&amp;"",INDEX(nQ1_Calculation_Version,$AH13)&amp;"",INDEX(nQ2_Calculation_Version,$AH13)&amp;"",INDEX(nQ3_Calculation_Version,$AH13)&amp;"",INDEX(nQ4_Calculation_Version,$AH13)&amp;"",INDEX(nQ5_Calculation_Version,$AH13)&amp;"",INDEX(nQ6_Calculation_Version,$AH13)&amp;"",INDEX(nQ7_Calculation_Version,$AH13)&amp;"",INDEX(nQ8_Calculation_Version,$AH13)&amp;"",INDEX(nQ9_Calculation_Version,$AH13)&amp;"",INDEX(nQ10_Calculation_Version,$AH13)&amp;"",INDEX(nQ11_Calculation_Version,$AH13)&amp;""))</f>
        <v>CALC-SPEC 1.1</v>
      </c>
      <c r="BI13" s="1" t="str">
        <f>IF($AF13=0,"",CHOOSE($AF13,INDEX(nINT_QC_Flags,$AH13)&amp;"",INDEX(nQ1_QC_Flags,$AH13)&amp;"",INDEX(nQ2_QC_Flags,$AH13)&amp;"",INDEX(nQ3_QC_Flags,$AH13)&amp;"",INDEX(nQ4_QC_Flags,$AH13)&amp;"",INDEX(nQ5_QC_Flags,$AH13)&amp;"",INDEX(nQ6_QC_Flags,$AH13)&amp;"",INDEX(nQ7_QC_Flags,$AH13)&amp;"",INDEX(nQ8_QC_Flags,$AH13)&amp;"",INDEX(nQ9_QC_Flags,$AH13)&amp;"",INDEX(nQ10_QC_Flags,$AH13)&amp;"",INDEX(nQ11_QC_Flags,$AH13)&amp;""))</f>
        <v/>
      </c>
      <c r="BJ13" s="1" t="str">
        <f>IF($AF13=0,"",CHOOSE($AF13,INDEX(nINT_Messages,$AH13)&amp;"",INDEX(nQ1_Messages,$AH13)&amp;"",INDEX(nQ2_Messages,$AH13)&amp;"",INDEX(nQ3_Messages,$AH13)&amp;"",INDEX(nQ4_Messages,$AH13)&amp;"",INDEX(nQ5_Messages,$AH13)&amp;"",INDEX(nQ6_Messages,$AH13)&amp;"",INDEX(nQ7_Messages,$AH13)&amp;"",INDEX(nQ8_Messages,$AH13)&amp;"",INDEX(nQ9_Messages,$AH13)&amp;"",INDEX(nQ10_Messages,$AH13)&amp;"",INDEX(nQ11_Messages,$AH13)&amp;""))</f>
        <v/>
      </c>
      <c r="BK13" s="1" t="str">
        <f>IF($AF13=0,"",CHOOSE($AF13,INDEX(nINT_Limitations,$AH13)&amp;"",INDEX(nQ1_Mandatory_Text,$AH13)&amp;"",INDEX(nQ2_Mandatory_Text,$AH13)&amp;"",INDEX(nQ3_Mandatory_Text,$AH13)&amp;"",INDEX(nQ4_Mandatory_Text,$AH13)&amp;"",INDEX(nQ5_Mandatory_Text,$AH13)&amp;"",INDEX(nQ6_Mandatory_Text,$AH13)&amp;"",INDEX(nQ7_Mandatory_Text,$AH13)&amp;"",INDEX(nQ8_Mandatory_Text,$AH13)&amp;"",INDEX(nQ9_Mandatory_Text,$AH13)&amp;"",INDEX(nQ10_Mandatory_Text,$AH13)&amp;"",INDEX(nQ11_Mandatory_Text,$AH13)&amp;""))</f>
        <v>The interval describes the sequence and spacing of recorded times; it is not evidence of causation.</v>
      </c>
      <c r="BL13" s="1" t="str">
        <f t="shared" si="33"/>
        <v>not stamped</v>
      </c>
      <c r="BM13" s="1" t="str">
        <f t="shared" si="34"/>
        <v>TTO Companion Tools v1.1</v>
      </c>
      <c r="CA13" s="1" t="s">
        <v>2125</v>
      </c>
      <c r="CB13" s="1">
        <f>COUNTIF(nQ5_CaseKey,$H$4)</f>
        <v>0</v>
      </c>
      <c r="CC13" s="1">
        <f>CC12+CB12</f>
        <v>14</v>
      </c>
    </row>
    <row r="14" spans="1:81" x14ac:dyDescent="0.2">
      <c r="A14" s="21" t="str">
        <f t="shared" si="0"/>
        <v>EX-C01</v>
      </c>
      <c r="B14" s="21">
        <f t="shared" si="1"/>
        <v>2</v>
      </c>
      <c r="C14" s="21" t="str">
        <f t="shared" si="2"/>
        <v>I07</v>
      </c>
      <c r="D14" s="21" t="str">
        <f t="shared" si="3"/>
        <v>M-BASE → EV-1/ONSET</v>
      </c>
      <c r="E14" s="21" t="str">
        <f t="shared" si="4"/>
        <v>L1</v>
      </c>
      <c r="F14" s="21" t="str">
        <f t="shared" si="5"/>
        <v>EX-A</v>
      </c>
      <c r="G14" s="21" t="str">
        <f t="shared" si="6"/>
        <v>EV-1</v>
      </c>
      <c r="H14" s="21" t="str">
        <f t="shared" si="7"/>
        <v>EV-1/ONSET</v>
      </c>
      <c r="I14" s="21">
        <f t="shared" si="8"/>
        <v>25</v>
      </c>
      <c r="J14" s="21" t="str">
        <f t="shared" si="9"/>
        <v/>
      </c>
      <c r="K14" s="21" t="str">
        <f t="shared" si="10"/>
        <v/>
      </c>
      <c r="L14" s="21" t="str">
        <f t="shared" si="11"/>
        <v>minutes</v>
      </c>
      <c r="M14" s="21" t="str">
        <f t="shared" si="12"/>
        <v>25 minutes</v>
      </c>
      <c r="N14" s="21" t="str">
        <f t="shared" si="13"/>
        <v>C1</v>
      </c>
      <c r="O14" s="21" t="str">
        <f t="shared" si="14"/>
        <v>OTHER</v>
      </c>
      <c r="P14" s="21" t="str">
        <f t="shared" si="15"/>
        <v>M-BASE</v>
      </c>
      <c r="Q14" s="21" t="str">
        <f t="shared" si="16"/>
        <v>Baseline observations (last documented normal status)</v>
      </c>
      <c r="R14" s="21" t="str">
        <f t="shared" si="17"/>
        <v>AFTER</v>
      </c>
      <c r="S14" s="21" t="str">
        <f t="shared" si="18"/>
        <v/>
      </c>
      <c r="T14" s="21" t="str">
        <f t="shared" si="19"/>
        <v/>
      </c>
      <c r="U14" s="21" t="str">
        <f t="shared" si="20"/>
        <v/>
      </c>
      <c r="V14" s="21" t="str">
        <f t="shared" si="21"/>
        <v/>
      </c>
      <c r="W14" s="21" t="str">
        <f t="shared" si="22"/>
        <v>Anchor (OTHER) M-BASE: 2026-01-10T08:50-05:00 [timestamp with UTC offset; case measurement; original: "08:50 pre-infusion obs"; source: Nursing chart] | End point EV-1/ONSET: 2026-01-10T09:15-05:00 [timestamp with UTC offset; case measurement; original: "09:15 pt reports itching; urticaria chest and arms; audible wheeze; BP 84/52"; source: Nursing observation chart]</v>
      </c>
      <c r="X14" s="21" t="str">
        <f t="shared" si="23"/>
        <v/>
      </c>
      <c r="Y14" s="21" t="str">
        <f t="shared" si="24"/>
        <v>CALC-SPEC 1.1</v>
      </c>
      <c r="Z14" s="21" t="str">
        <f t="shared" si="25"/>
        <v/>
      </c>
      <c r="AA14" s="21" t="str">
        <f t="shared" si="26"/>
        <v/>
      </c>
      <c r="AB14" s="21" t="str">
        <f t="shared" si="27"/>
        <v>The interval describes the sequence and spacing of recorded times; it is not evidence of causation.</v>
      </c>
      <c r="AC14" s="21" t="str">
        <f t="shared" si="28"/>
        <v>not stamped</v>
      </c>
      <c r="AD14" s="21" t="str">
        <f t="shared" si="29"/>
        <v>TTO Companion Tools v1.1</v>
      </c>
      <c r="AE14" s="1">
        <f t="shared" si="30"/>
        <v>7</v>
      </c>
      <c r="AF14" s="1">
        <f t="shared" si="31"/>
        <v>1</v>
      </c>
      <c r="AG14" s="1">
        <f t="shared" si="32"/>
        <v>7</v>
      </c>
      <c r="AH14" s="1">
        <f>IF(AF14=0,0,CHOOSE(AF14,IFERROR(_xlfn.AGGREGATE(15,6,(ROW(nINT_CaseKey)-ROW(INDEX(nINT_CaseKey,1,1))+1)/((nINT_CaseKey=$H$4)*(nINT_RowEmpty=0)),AG14),0),IFERROR(_xlfn.AGGREGATE(15,6,(ROW(nQ1_CaseKey)-ROW(INDEX(nQ1_CaseKey,1,1))+1)/((nQ1_CaseKey=$H$4)),AG14),0),IFERROR(_xlfn.AGGREGATE(15,6,(ROW(nQ2_CaseKey)-ROW(INDEX(nQ2_CaseKey,1,1))+1)/((nQ2_CaseKey=$H$4)),AG14),0),IFERROR(_xlfn.AGGREGATE(15,6,(ROW(nQ3_CaseKey)-ROW(INDEX(nQ3_CaseKey,1,1))+1)/((nQ3_CaseKey=$H$4)),AG14),0),IFERROR(_xlfn.AGGREGATE(15,6,(ROW(nQ4_CaseKey)-ROW(INDEX(nQ4_CaseKey,1,1))+1)/((nQ4_CaseKey=$H$4)),AG14),0),IFERROR(_xlfn.AGGREGATE(15,6,(ROW(nQ5_CaseKey)-ROW(INDEX(nQ5_CaseKey,1,1))+1)/((nQ5_CaseKey=$H$4)),AG14),0),IFERROR(_xlfn.AGGREGATE(15,6,(ROW(nQ6_CaseKey)-ROW(INDEX(nQ6_CaseKey,1,1))+1)/((nQ6_CaseKey=$H$4)),AG14),0),IFERROR(_xlfn.AGGREGATE(15,6,(ROW(nQ7_CaseKey)-ROW(INDEX(nQ7_CaseKey,1,1))+1)/((nQ7_CaseKey=$H$4)),AG14),0),IFERROR(_xlfn.AGGREGATE(15,6,(ROW(nQ8_CaseKey)-ROW(INDEX(nQ8_CaseKey,1,1))+1)/((nQ8_CaseKey=$H$4)),AG14),0),IFERROR(_xlfn.AGGREGATE(15,6,(ROW(nQ9_CaseKey)-ROW(INDEX(nQ9_CaseKey,1,1))+1)/((nQ9_CaseKey=$H$4)),AG14),0),IFERROR(_xlfn.AGGREGATE(15,6,(ROW(nQ10_CaseKey)-ROW(INDEX(nQ10_CaseKey,1,1))+1)/((nQ10_CaseKey=$H$4)),AG14),0),IFERROR(_xlfn.AGGREGATE(15,6,(ROW(nQ11_CaseKey)-ROW(INDEX(nQ11_CaseKey,1,1))+1)/((nQ11_CaseKey=$H$4)),AG14),0)))</f>
        <v>48</v>
      </c>
      <c r="AJ14" s="1" t="str">
        <f>IF($AF14=0,"",CHOOSE($AF14,INDEX(nINT_Case_ID,$AH14)&amp;"",INDEX(nQ1_Case_ID,$AH14)&amp;"",INDEX(nQ2_Case_ID,$AH14)&amp;"",INDEX(nQ3_Case_ID,$AH14)&amp;"",INDEX(nQ4_Case_ID,$AH14)&amp;"",INDEX(nQ5_Case_ID,$AH14)&amp;"",INDEX(nQ6_Case_ID,$AH14)&amp;"",INDEX(nQ7_Case_ID,$AH14)&amp;"",INDEX(nQ8_Case_ID,$AH14)&amp;"",INDEX(nQ9_Case_ID,$AH14)&amp;"",INDEX(nQ10_Case_ID,$AH14)&amp;"",INDEX(nQ11_Case_ID,$AH14)&amp;""))</f>
        <v>EX-C01</v>
      </c>
      <c r="AK14" s="1">
        <f>IF($AF14=0,"",CHOOSE($AF14,INDEX(nINT_Case_Version,$AH14),INDEX(nQ1_Case_Version,$AH14),INDEX(nQ2_Case_Version,$AH14),INDEX(nQ3_Case_Version,$AH14),INDEX(nQ4_Case_Version,$AH14),INDEX(nQ5_Case_Version,$AH14),INDEX(nQ6_Case_Version,$AH14),INDEX(nQ7_Case_Version,$AH14),INDEX(nQ8_Case_Version,$AH14),INDEX(nQ9_Case_Version,$AH14),INDEX(nQ10_Case_Version,$AH14),INDEX(nQ11_Case_Version,$AH14)))</f>
        <v>2</v>
      </c>
      <c r="AL14" s="1" t="str">
        <f>IF($AF14=0,"",CHOOSE($AF14,INDEX(nINT_Interval_ID,$AH14)&amp;"",INDEX(nQ1_Calc_ID,$AH14)&amp;"",INDEX(nQ2_Calc_ID,$AH14)&amp;"",INDEX(nQ3_Calc_ID,$AH14)&amp;"",INDEX(nQ4_Calc_ID,$AH14)&amp;"",INDEX(nQ5_Calc_ID,$AH14)&amp;"",INDEX(nQ6_Calc_ID,$AH14)&amp;"",INDEX(nQ7_Calc_ID,$AH14)&amp;"",INDEX(nQ8_Calc_ID,$AH14)&amp;"",INDEX(nQ9_Calc_ID,$AH14)&amp;"",INDEX(nQ10_Calc_ID,$AH14)&amp;"",INDEX(nQ11_Calc_ID,$AH14)&amp;""))</f>
        <v>I07</v>
      </c>
      <c r="AM14" s="1" t="str">
        <f>IF($AF14=0,"",CHOOSE($AF14,INDEX(nINT_Label,$AH14)&amp;"",INDEX(nQ1_Label_Out,$AH14)&amp;"",INDEX(nQ2_Label_Out,$AH14)&amp;"",INDEX(nQ3_Label_Out,$AH14)&amp;"",INDEX(nQ4_Label_Out,$AH14)&amp;"",INDEX(nQ5_Label_Out,$AH14)&amp;"",INDEX(nQ6_Label_Out,$AH14)&amp;"",INDEX(nQ7_Label_Out,$AH14)&amp;"",INDEX(nQ8_Label_Out,$AH14)&amp;"",INDEX(nQ9_Label_Out,$AH14)&amp;"",INDEX(nQ10_Label_Out,$AH14)&amp;"",INDEX(nQ11_Label_Out,$AH14)&amp;""))</f>
        <v>M-BASE → EV-1/ONSET</v>
      </c>
      <c r="AN14" s="1" t="str">
        <f>IF($AF14=0,"",CHOOSE($AF14,IF(INDEX(nINT_LinkRow,$AH14)=0,"",INDEX(nINT_Link_ID,$AH14)&amp;""),"","","","","","","","","","",""))</f>
        <v>L1</v>
      </c>
      <c r="AO14" s="1" t="str">
        <f>IF($AF14=0,"",CHOOSE($AF14,INDEX(nINT_Exposure_Episode_ID,$AH14)&amp;"","","","","","","","","","","",""))</f>
        <v>EX-A</v>
      </c>
      <c r="AP14" s="1" t="str">
        <f>IF($AF14=0,"",CHOOSE($AF14,INDEX(nINT_Event_Episode_ID,$AH14)&amp;"","","","","","","","","","","",""))</f>
        <v>EV-1</v>
      </c>
      <c r="AQ14" s="1" t="str">
        <f>IF($AF14=0,"",CHOOSE($AF14,INDEX(nINT_End_Record_ID_Used,$AH14)&amp;"","","","","","","","","","","",""))</f>
        <v>EV-1/ONSET</v>
      </c>
      <c r="AR14" s="1">
        <f>IF($AF14=0,"",CHOOSE($AF14,INDEX(nINT_Interval_Value,$AH14),"","","","","","","","","","",""))</f>
        <v>25</v>
      </c>
      <c r="AS14" s="1" t="str">
        <f>IF($AF14=0,"",CHOOSE($AF14,INDEX(nINT_Interval_Minimum,$AH14),"","","","","","","","","","",""))</f>
        <v/>
      </c>
      <c r="AT14" s="1" t="str">
        <f>IF($AF14=0,"",CHOOSE($AF14,INDEX(nINT_Interval_Maximum,$AH14),"","","","","","","","","","",""))</f>
        <v/>
      </c>
      <c r="AU14" s="1" t="str">
        <f>IF($AF14=0,"",CHOOSE($AF14,INDEX(nINT_Unit,$AH14)&amp;"",INDEX(nQ1_Unit_Out,$AH14)&amp;"",INDEX(nQ2_Unit_Out,$AH14)&amp;"",INDEX(nQ3_Unit_Out,$AH14)&amp;"",INDEX(nQ4_Unit_Out,$AH14)&amp;"",INDEX(nQ5_Unit_Out,$AH14)&amp;"",INDEX(nQ6_Unit_Out,$AH14)&amp;"",INDEX(nQ7_Unit_Out,$AH14)&amp;"",INDEX(nQ8_Unit_Out,$AH14)&amp;"",INDEX(nQ9_Unit_Out,$AH14)&amp;"",INDEX(nQ10_Unit_Out,$AH14)&amp;"",INDEX(nQ11_Unit_Out,$AH14)&amp;""))</f>
        <v>minutes</v>
      </c>
      <c r="AV14" s="1" t="str">
        <f>IF($AF14=0,"",CHOOSE($AF14,INDEX(nINT_Displayed_Value,$AH14)&amp;"",INDEX(nQ1_Displayed_Value,$AH14)&amp;"",INDEX(nQ2_Displayed_Value,$AH14)&amp;"",INDEX(nQ3_Displayed_Value,$AH14)&amp;"",INDEX(nQ4_Displayed_Value,$AH14)&amp;"",INDEX(nQ5_Displayed_Value,$AH14)&amp;"",INDEX(nQ6_Displayed_Value,$AH14)&amp;"",INDEX(nQ7_Displayed_Value,$AH14)&amp;"",INDEX(nQ8_Displayed_Value,$AH14)&amp;"",INDEX(nQ9_Displayed_Value,$AH14)&amp;"",INDEX(nQ10_Displayed_Value,$AH14)&amp;"",INDEX(nQ11_Displayed_Value,$AH14)&amp;""))</f>
        <v>25 minutes</v>
      </c>
      <c r="AW14" s="1" t="str">
        <f>IF($AF14=0,"",CHOOSE($AF14,INDEX(nINT_Calculation_Mode_Used,$AH14)&amp;"","Q1","Q2","Q3","Q4","Q5","Q6","Q7","Q8","Q9","Q10","Q11"))</f>
        <v>C1</v>
      </c>
      <c r="AX14" s="1" t="str">
        <f>IF($AF14=0,"",CHOOSE($AF14,INDEX(nINT_Anchor_Type,$AH14)&amp;"","","","","","","","","","","",""))</f>
        <v>OTHER</v>
      </c>
      <c r="AY14" s="1" t="str">
        <f>IF($AF14=0,"",CHOOSE($AF14,IF(INDEX(nINT_K_Ok,$AH14)=1,INDEX(nINT_Anchor_Record_ID_Used,$AH14)&amp;"",""),"","","","","","","","","","",""))</f>
        <v>M-BASE</v>
      </c>
      <c r="AZ14" s="1" t="str">
        <f>IF($AF14=0,"",CHOOSE($AF14,INDEX(nINT_Anchor_Description,$AH14)&amp;"","","","","","","","","","","",""))</f>
        <v>Baseline observations (last documented normal status)</v>
      </c>
      <c r="BA14" s="1" t="str">
        <f>IF($AF14=0,"",CHOOSE($AF14,INDEX(nINT_Sequence_Status,$AH14)&amp;"","","","","","","","","","","",""))</f>
        <v>AFTER</v>
      </c>
      <c r="BB14" s="1" t="str">
        <f>IF($AF14=0,"",CHOOSE($AF14,INDEX(nINT_Treatment_Day,$AH14),"","","","","","","","","","",""))</f>
        <v/>
      </c>
      <c r="BC14" s="1" t="str">
        <f>IF($AF14=0,"",CHOOSE($AF14,INDEX(nINT_Reported_Timing_Result,$AH14)&amp;"","","","","","","","","","","",""))</f>
        <v/>
      </c>
      <c r="BD14" s="1" t="str">
        <f>IF($AF14=0,"",CHOOSE($AF14,IF(INDEX(nINT_K_HasC,$AH14)=1,INDEX(nINT_Constraint_Source,$AH14)&amp;"",""),"","","","","","","","","","",""))</f>
        <v/>
      </c>
      <c r="BE14" s="1" t="str">
        <f>IF($AF14=0,"",CHOOSE($AF14,"",INDEX(nQ1_Results_Text,$AH14)&amp;"",INDEX(nQ2_Results_Text,$AH14)&amp;"",INDEX(nQ3_Results_Text,$AH14)&amp;"",INDEX(nQ4_Results_Text,$AH14)&amp;"",INDEX(nQ5_Results_Text,$AH14)&amp;"",INDEX(nQ6_Results_Text,$AH14)&amp;"",INDEX(nQ7_Results_Text,$AH14)&amp;"",INDEX(nQ8_Results_Text,$AH14)&amp;"",INDEX(nQ9_Results_Text,$AH14)&amp;"",INDEX(nQ10_Results_Text,$AH14)&amp;"",INDEX(nQ11_Results_Text,$AH14)&amp;""))</f>
        <v/>
      </c>
      <c r="BF14" s="1" t="str">
        <f>IF($AF14=0,"",CHOOSE($AF14,INDEX(nINT_Parameter_Set,$AH14)&amp;"",INDEX(nQ1_Parameter_Set,$AH14)&amp;"",INDEX(nQ2_Parameter_Set,$AH14)&amp;"",INDEX(nQ3_Parameter_Set,$AH14)&amp;"",INDEX(nQ4_Parameter_Set,$AH14)&amp;"",INDEX(nQ5_Parameter_Set,$AH14)&amp;"",INDEX(nQ6_Parameter_Set,$AH14)&amp;"",INDEX(nQ7_Parameter_Set,$AH14)&amp;"",INDEX(nQ8_Parameter_Set,$AH14)&amp;"",INDEX(nQ9_Parameter_Set,$AH14)&amp;"",INDEX(nQ10_Parameter_Set,$AH14)&amp;"",INDEX(nQ11_Parameter_Set,$AH14)&amp;""))</f>
        <v>Anchor (OTHER) M-BASE: 2026-01-10T08:50-05:00 [timestamp with UTC offset; case measurement; original: "08:50 pre-infusion obs"; source: Nursing chart] | End point EV-1/ONSET: 2026-01-10T09:15-05:00 [timestamp with UTC offset; case measurement; original: "09:15 pt reports itching; urticaria chest and arms; audible wheeze; BP 84/52"; source: Nursing observation chart]</v>
      </c>
      <c r="BG14" s="1" t="str">
        <f>IF($AF14=0,"",CHOOSE($AF14,INDEX(nINT_Assumptions,$AH14)&amp;"",INDEX(nQ1_Assumptions,$AH14)&amp;"",INDEX(nQ2_Assumptions,$AH14)&amp;"",INDEX(nQ3_Assumptions,$AH14)&amp;"",INDEX(nQ4_Assumptions,$AH14)&amp;"",INDEX(nQ5_Assumptions,$AH14)&amp;"",INDEX(nQ6_Assumptions,$AH14)&amp;"",INDEX(nQ7_Assumptions,$AH14)&amp;"",INDEX(nQ8_Assumptions,$AH14)&amp;"",INDEX(nQ9_Assumptions,$AH14)&amp;"",INDEX(nQ10_Assumptions,$AH14)&amp;"",INDEX(nQ11_Assumptions,$AH14)&amp;""))</f>
        <v/>
      </c>
      <c r="BH14" s="1" t="str">
        <f>IF($AF14=0,"",CHOOSE($AF14,INDEX(nINT_Calculation_Version,$AH14)&amp;"",INDEX(nQ1_Calculation_Version,$AH14)&amp;"",INDEX(nQ2_Calculation_Version,$AH14)&amp;"",INDEX(nQ3_Calculation_Version,$AH14)&amp;"",INDEX(nQ4_Calculation_Version,$AH14)&amp;"",INDEX(nQ5_Calculation_Version,$AH14)&amp;"",INDEX(nQ6_Calculation_Version,$AH14)&amp;"",INDEX(nQ7_Calculation_Version,$AH14)&amp;"",INDEX(nQ8_Calculation_Version,$AH14)&amp;"",INDEX(nQ9_Calculation_Version,$AH14)&amp;"",INDEX(nQ10_Calculation_Version,$AH14)&amp;"",INDEX(nQ11_Calculation_Version,$AH14)&amp;""))</f>
        <v>CALC-SPEC 1.1</v>
      </c>
      <c r="BI14" s="1" t="str">
        <f>IF($AF14=0,"",CHOOSE($AF14,INDEX(nINT_QC_Flags,$AH14)&amp;"",INDEX(nQ1_QC_Flags,$AH14)&amp;"",INDEX(nQ2_QC_Flags,$AH14)&amp;"",INDEX(nQ3_QC_Flags,$AH14)&amp;"",INDEX(nQ4_QC_Flags,$AH14)&amp;"",INDEX(nQ5_QC_Flags,$AH14)&amp;"",INDEX(nQ6_QC_Flags,$AH14)&amp;"",INDEX(nQ7_QC_Flags,$AH14)&amp;"",INDEX(nQ8_QC_Flags,$AH14)&amp;"",INDEX(nQ9_QC_Flags,$AH14)&amp;"",INDEX(nQ10_QC_Flags,$AH14)&amp;"",INDEX(nQ11_QC_Flags,$AH14)&amp;""))</f>
        <v/>
      </c>
      <c r="BJ14" s="1" t="str">
        <f>IF($AF14=0,"",CHOOSE($AF14,INDEX(nINT_Messages,$AH14)&amp;"",INDEX(nQ1_Messages,$AH14)&amp;"",INDEX(nQ2_Messages,$AH14)&amp;"",INDEX(nQ3_Messages,$AH14)&amp;"",INDEX(nQ4_Messages,$AH14)&amp;"",INDEX(nQ5_Messages,$AH14)&amp;"",INDEX(nQ6_Messages,$AH14)&amp;"",INDEX(nQ7_Messages,$AH14)&amp;"",INDEX(nQ8_Messages,$AH14)&amp;"",INDEX(nQ9_Messages,$AH14)&amp;"",INDEX(nQ10_Messages,$AH14)&amp;"",INDEX(nQ11_Messages,$AH14)&amp;""))</f>
        <v/>
      </c>
      <c r="BK14" s="1" t="str">
        <f>IF($AF14=0,"",CHOOSE($AF14,INDEX(nINT_Limitations,$AH14)&amp;"",INDEX(nQ1_Mandatory_Text,$AH14)&amp;"",INDEX(nQ2_Mandatory_Text,$AH14)&amp;"",INDEX(nQ3_Mandatory_Text,$AH14)&amp;"",INDEX(nQ4_Mandatory_Text,$AH14)&amp;"",INDEX(nQ5_Mandatory_Text,$AH14)&amp;"",INDEX(nQ6_Mandatory_Text,$AH14)&amp;"",INDEX(nQ7_Mandatory_Text,$AH14)&amp;"",INDEX(nQ8_Mandatory_Text,$AH14)&amp;"",INDEX(nQ9_Mandatory_Text,$AH14)&amp;"",INDEX(nQ10_Mandatory_Text,$AH14)&amp;"",INDEX(nQ11_Mandatory_Text,$AH14)&amp;""))</f>
        <v>The interval describes the sequence and spacing of recorded times; it is not evidence of causation.</v>
      </c>
      <c r="BL14" s="1" t="str">
        <f t="shared" si="33"/>
        <v>not stamped</v>
      </c>
      <c r="BM14" s="1" t="str">
        <f t="shared" si="34"/>
        <v>TTO Companion Tools v1.1</v>
      </c>
      <c r="CA14" s="1" t="s">
        <v>2129</v>
      </c>
      <c r="CB14" s="1">
        <f>COUNTIF(nQ6_CaseKey,$H$4)</f>
        <v>0</v>
      </c>
      <c r="CC14" s="1">
        <f>CC13+CB13</f>
        <v>14</v>
      </c>
    </row>
    <row r="15" spans="1:81" x14ac:dyDescent="0.2">
      <c r="A15" s="21" t="str">
        <f t="shared" si="0"/>
        <v>EX-C01</v>
      </c>
      <c r="B15" s="21">
        <f t="shared" si="1"/>
        <v>2</v>
      </c>
      <c r="C15" s="21" t="str">
        <f t="shared" si="2"/>
        <v>I08</v>
      </c>
      <c r="D15" s="21" t="str">
        <f t="shared" si="3"/>
        <v>EX-A/STOP → EV-1/ONSET</v>
      </c>
      <c r="E15" s="21" t="str">
        <f t="shared" si="4"/>
        <v>L1</v>
      </c>
      <c r="F15" s="21" t="str">
        <f t="shared" si="5"/>
        <v>EX-A</v>
      </c>
      <c r="G15" s="21" t="str">
        <f t="shared" si="6"/>
        <v>EV-1</v>
      </c>
      <c r="H15" s="21" t="str">
        <f t="shared" si="7"/>
        <v>EV-1/ONSET</v>
      </c>
      <c r="I15" s="21">
        <f t="shared" si="8"/>
        <v>-1</v>
      </c>
      <c r="J15" s="21" t="str">
        <f t="shared" si="9"/>
        <v/>
      </c>
      <c r="K15" s="21" t="str">
        <f t="shared" si="10"/>
        <v/>
      </c>
      <c r="L15" s="21" t="str">
        <f t="shared" si="11"/>
        <v>minutes</v>
      </c>
      <c r="M15" s="21" t="str">
        <f t="shared" si="12"/>
        <v>−1 minute</v>
      </c>
      <c r="N15" s="21" t="str">
        <f t="shared" si="13"/>
        <v>C1</v>
      </c>
      <c r="O15" s="21" t="str">
        <f t="shared" si="14"/>
        <v>CESSATION</v>
      </c>
      <c r="P15" s="21" t="str">
        <f t="shared" si="15"/>
        <v>EX-A/STOP</v>
      </c>
      <c r="Q15" s="21" t="str">
        <f t="shared" si="16"/>
        <v/>
      </c>
      <c r="R15" s="21" t="str">
        <f t="shared" si="17"/>
        <v>BEFORE</v>
      </c>
      <c r="S15" s="21" t="str">
        <f t="shared" si="18"/>
        <v/>
      </c>
      <c r="T15" s="21" t="str">
        <f t="shared" si="19"/>
        <v/>
      </c>
      <c r="U15" s="21" t="str">
        <f t="shared" si="20"/>
        <v/>
      </c>
      <c r="V15" s="21" t="str">
        <f t="shared" si="21"/>
        <v/>
      </c>
      <c r="W15" s="21" t="str">
        <f t="shared" si="22"/>
        <v>Anchor (CESSATION) EX-A/STOP: 2026-01-10T09:16-05:00 [timestamp with UTC offset; case measurement; original: "09:16 infusion stopped, doctor called"; source: Nursing chart] | End point EV-1/ONSET: 2026-01-10T09:15-05:00 [timestamp with UTC offset; case measurement; original: "09:15 pt reports itching; urticaria chest and arms; audible wheeze; BP 84/52"; source: Nursing observation chart]</v>
      </c>
      <c r="X15" s="21" t="str">
        <f t="shared" si="23"/>
        <v/>
      </c>
      <c r="Y15" s="21" t="str">
        <f t="shared" si="24"/>
        <v>CALC-SPEC 1.1</v>
      </c>
      <c r="Z15" s="21" t="str">
        <f t="shared" si="25"/>
        <v/>
      </c>
      <c r="AA15" s="21" t="str">
        <f t="shared" si="26"/>
        <v/>
      </c>
      <c r="AB15" s="21" t="str">
        <f t="shared" si="27"/>
        <v>The interval describes the sequence and spacing of recorded times; it is not evidence of causation.</v>
      </c>
      <c r="AC15" s="21" t="str">
        <f t="shared" si="28"/>
        <v>not stamped</v>
      </c>
      <c r="AD15" s="21" t="str">
        <f t="shared" si="29"/>
        <v>TTO Companion Tools v1.1</v>
      </c>
      <c r="AE15" s="1">
        <f t="shared" si="30"/>
        <v>8</v>
      </c>
      <c r="AF15" s="1">
        <f t="shared" si="31"/>
        <v>1</v>
      </c>
      <c r="AG15" s="1">
        <f t="shared" si="32"/>
        <v>8</v>
      </c>
      <c r="AH15" s="1">
        <f>IF(AF15=0,0,CHOOSE(AF15,IFERROR(_xlfn.AGGREGATE(15,6,(ROW(nINT_CaseKey)-ROW(INDEX(nINT_CaseKey,1,1))+1)/((nINT_CaseKey=$H$4)*(nINT_RowEmpty=0)),AG15),0),IFERROR(_xlfn.AGGREGATE(15,6,(ROW(nQ1_CaseKey)-ROW(INDEX(nQ1_CaseKey,1,1))+1)/((nQ1_CaseKey=$H$4)),AG15),0),IFERROR(_xlfn.AGGREGATE(15,6,(ROW(nQ2_CaseKey)-ROW(INDEX(nQ2_CaseKey,1,1))+1)/((nQ2_CaseKey=$H$4)),AG15),0),IFERROR(_xlfn.AGGREGATE(15,6,(ROW(nQ3_CaseKey)-ROW(INDEX(nQ3_CaseKey,1,1))+1)/((nQ3_CaseKey=$H$4)),AG15),0),IFERROR(_xlfn.AGGREGATE(15,6,(ROW(nQ4_CaseKey)-ROW(INDEX(nQ4_CaseKey,1,1))+1)/((nQ4_CaseKey=$H$4)),AG15),0),IFERROR(_xlfn.AGGREGATE(15,6,(ROW(nQ5_CaseKey)-ROW(INDEX(nQ5_CaseKey,1,1))+1)/((nQ5_CaseKey=$H$4)),AG15),0),IFERROR(_xlfn.AGGREGATE(15,6,(ROW(nQ6_CaseKey)-ROW(INDEX(nQ6_CaseKey,1,1))+1)/((nQ6_CaseKey=$H$4)),AG15),0),IFERROR(_xlfn.AGGREGATE(15,6,(ROW(nQ7_CaseKey)-ROW(INDEX(nQ7_CaseKey,1,1))+1)/((nQ7_CaseKey=$H$4)),AG15),0),IFERROR(_xlfn.AGGREGATE(15,6,(ROW(nQ8_CaseKey)-ROW(INDEX(nQ8_CaseKey,1,1))+1)/((nQ8_CaseKey=$H$4)),AG15),0),IFERROR(_xlfn.AGGREGATE(15,6,(ROW(nQ9_CaseKey)-ROW(INDEX(nQ9_CaseKey,1,1))+1)/((nQ9_CaseKey=$H$4)),AG15),0),IFERROR(_xlfn.AGGREGATE(15,6,(ROW(nQ10_CaseKey)-ROW(INDEX(nQ10_CaseKey,1,1))+1)/((nQ10_CaseKey=$H$4)),AG15),0),IFERROR(_xlfn.AGGREGATE(15,6,(ROW(nQ11_CaseKey)-ROW(INDEX(nQ11_CaseKey,1,1))+1)/((nQ11_CaseKey=$H$4)),AG15),0)))</f>
        <v>49</v>
      </c>
      <c r="AJ15" s="1" t="str">
        <f>IF($AF15=0,"",CHOOSE($AF15,INDEX(nINT_Case_ID,$AH15)&amp;"",INDEX(nQ1_Case_ID,$AH15)&amp;"",INDEX(nQ2_Case_ID,$AH15)&amp;"",INDEX(nQ3_Case_ID,$AH15)&amp;"",INDEX(nQ4_Case_ID,$AH15)&amp;"",INDEX(nQ5_Case_ID,$AH15)&amp;"",INDEX(nQ6_Case_ID,$AH15)&amp;"",INDEX(nQ7_Case_ID,$AH15)&amp;"",INDEX(nQ8_Case_ID,$AH15)&amp;"",INDEX(nQ9_Case_ID,$AH15)&amp;"",INDEX(nQ10_Case_ID,$AH15)&amp;"",INDEX(nQ11_Case_ID,$AH15)&amp;""))</f>
        <v>EX-C01</v>
      </c>
      <c r="AK15" s="1">
        <f>IF($AF15=0,"",CHOOSE($AF15,INDEX(nINT_Case_Version,$AH15),INDEX(nQ1_Case_Version,$AH15),INDEX(nQ2_Case_Version,$AH15),INDEX(nQ3_Case_Version,$AH15),INDEX(nQ4_Case_Version,$AH15),INDEX(nQ5_Case_Version,$AH15),INDEX(nQ6_Case_Version,$AH15),INDEX(nQ7_Case_Version,$AH15),INDEX(nQ8_Case_Version,$AH15),INDEX(nQ9_Case_Version,$AH15),INDEX(nQ10_Case_Version,$AH15),INDEX(nQ11_Case_Version,$AH15)))</f>
        <v>2</v>
      </c>
      <c r="AL15" s="1" t="str">
        <f>IF($AF15=0,"",CHOOSE($AF15,INDEX(nINT_Interval_ID,$AH15)&amp;"",INDEX(nQ1_Calc_ID,$AH15)&amp;"",INDEX(nQ2_Calc_ID,$AH15)&amp;"",INDEX(nQ3_Calc_ID,$AH15)&amp;"",INDEX(nQ4_Calc_ID,$AH15)&amp;"",INDEX(nQ5_Calc_ID,$AH15)&amp;"",INDEX(nQ6_Calc_ID,$AH15)&amp;"",INDEX(nQ7_Calc_ID,$AH15)&amp;"",INDEX(nQ8_Calc_ID,$AH15)&amp;"",INDEX(nQ9_Calc_ID,$AH15)&amp;"",INDEX(nQ10_Calc_ID,$AH15)&amp;"",INDEX(nQ11_Calc_ID,$AH15)&amp;""))</f>
        <v>I08</v>
      </c>
      <c r="AM15" s="1" t="str">
        <f>IF($AF15=0,"",CHOOSE($AF15,INDEX(nINT_Label,$AH15)&amp;"",INDEX(nQ1_Label_Out,$AH15)&amp;"",INDEX(nQ2_Label_Out,$AH15)&amp;"",INDEX(nQ3_Label_Out,$AH15)&amp;"",INDEX(nQ4_Label_Out,$AH15)&amp;"",INDEX(nQ5_Label_Out,$AH15)&amp;"",INDEX(nQ6_Label_Out,$AH15)&amp;"",INDEX(nQ7_Label_Out,$AH15)&amp;"",INDEX(nQ8_Label_Out,$AH15)&amp;"",INDEX(nQ9_Label_Out,$AH15)&amp;"",INDEX(nQ10_Label_Out,$AH15)&amp;"",INDEX(nQ11_Label_Out,$AH15)&amp;""))</f>
        <v>EX-A/STOP → EV-1/ONSET</v>
      </c>
      <c r="AN15" s="1" t="str">
        <f>IF($AF15=0,"",CHOOSE($AF15,IF(INDEX(nINT_LinkRow,$AH15)=0,"",INDEX(nINT_Link_ID,$AH15)&amp;""),"","","","","","","","","","",""))</f>
        <v>L1</v>
      </c>
      <c r="AO15" s="1" t="str">
        <f>IF($AF15=0,"",CHOOSE($AF15,INDEX(nINT_Exposure_Episode_ID,$AH15)&amp;"","","","","","","","","","","",""))</f>
        <v>EX-A</v>
      </c>
      <c r="AP15" s="1" t="str">
        <f>IF($AF15=0,"",CHOOSE($AF15,INDEX(nINT_Event_Episode_ID,$AH15)&amp;"","","","","","","","","","","",""))</f>
        <v>EV-1</v>
      </c>
      <c r="AQ15" s="1" t="str">
        <f>IF($AF15=0,"",CHOOSE($AF15,INDEX(nINT_End_Record_ID_Used,$AH15)&amp;"","","","","","","","","","","",""))</f>
        <v>EV-1/ONSET</v>
      </c>
      <c r="AR15" s="1">
        <f>IF($AF15=0,"",CHOOSE($AF15,INDEX(nINT_Interval_Value,$AH15),"","","","","","","","","","",""))</f>
        <v>-1</v>
      </c>
      <c r="AS15" s="1" t="str">
        <f>IF($AF15=0,"",CHOOSE($AF15,INDEX(nINT_Interval_Minimum,$AH15),"","","","","","","","","","",""))</f>
        <v/>
      </c>
      <c r="AT15" s="1" t="str">
        <f>IF($AF15=0,"",CHOOSE($AF15,INDEX(nINT_Interval_Maximum,$AH15),"","","","","","","","","","",""))</f>
        <v/>
      </c>
      <c r="AU15" s="1" t="str">
        <f>IF($AF15=0,"",CHOOSE($AF15,INDEX(nINT_Unit,$AH15)&amp;"",INDEX(nQ1_Unit_Out,$AH15)&amp;"",INDEX(nQ2_Unit_Out,$AH15)&amp;"",INDEX(nQ3_Unit_Out,$AH15)&amp;"",INDEX(nQ4_Unit_Out,$AH15)&amp;"",INDEX(nQ5_Unit_Out,$AH15)&amp;"",INDEX(nQ6_Unit_Out,$AH15)&amp;"",INDEX(nQ7_Unit_Out,$AH15)&amp;"",INDEX(nQ8_Unit_Out,$AH15)&amp;"",INDEX(nQ9_Unit_Out,$AH15)&amp;"",INDEX(nQ10_Unit_Out,$AH15)&amp;"",INDEX(nQ11_Unit_Out,$AH15)&amp;""))</f>
        <v>minutes</v>
      </c>
      <c r="AV15" s="1" t="str">
        <f>IF($AF15=0,"",CHOOSE($AF15,INDEX(nINT_Displayed_Value,$AH15)&amp;"",INDEX(nQ1_Displayed_Value,$AH15)&amp;"",INDEX(nQ2_Displayed_Value,$AH15)&amp;"",INDEX(nQ3_Displayed_Value,$AH15)&amp;"",INDEX(nQ4_Displayed_Value,$AH15)&amp;"",INDEX(nQ5_Displayed_Value,$AH15)&amp;"",INDEX(nQ6_Displayed_Value,$AH15)&amp;"",INDEX(nQ7_Displayed_Value,$AH15)&amp;"",INDEX(nQ8_Displayed_Value,$AH15)&amp;"",INDEX(nQ9_Displayed_Value,$AH15)&amp;"",INDEX(nQ10_Displayed_Value,$AH15)&amp;"",INDEX(nQ11_Displayed_Value,$AH15)&amp;""))</f>
        <v>−1 minute</v>
      </c>
      <c r="AW15" s="1" t="str">
        <f>IF($AF15=0,"",CHOOSE($AF15,INDEX(nINT_Calculation_Mode_Used,$AH15)&amp;"","Q1","Q2","Q3","Q4","Q5","Q6","Q7","Q8","Q9","Q10","Q11"))</f>
        <v>C1</v>
      </c>
      <c r="AX15" s="1" t="str">
        <f>IF($AF15=0,"",CHOOSE($AF15,INDEX(nINT_Anchor_Type,$AH15)&amp;"","","","","","","","","","","",""))</f>
        <v>CESSATION</v>
      </c>
      <c r="AY15" s="1" t="str">
        <f>IF($AF15=0,"",CHOOSE($AF15,IF(INDEX(nINT_K_Ok,$AH15)=1,INDEX(nINT_Anchor_Record_ID_Used,$AH15)&amp;"",""),"","","","","","","","","","",""))</f>
        <v>EX-A/STOP</v>
      </c>
      <c r="AZ15" s="1" t="str">
        <f>IF($AF15=0,"",CHOOSE($AF15,INDEX(nINT_Anchor_Description,$AH15)&amp;"","","","","","","","","","","",""))</f>
        <v/>
      </c>
      <c r="BA15" s="1" t="str">
        <f>IF($AF15=0,"",CHOOSE($AF15,INDEX(nINT_Sequence_Status,$AH15)&amp;"","","","","","","","","","","",""))</f>
        <v>BEFORE</v>
      </c>
      <c r="BB15" s="1" t="str">
        <f>IF($AF15=0,"",CHOOSE($AF15,INDEX(nINT_Treatment_Day,$AH15),"","","","","","","","","","",""))</f>
        <v/>
      </c>
      <c r="BC15" s="1" t="str">
        <f>IF($AF15=0,"",CHOOSE($AF15,INDEX(nINT_Reported_Timing_Result,$AH15)&amp;"","","","","","","","","","","",""))</f>
        <v/>
      </c>
      <c r="BD15" s="1" t="str">
        <f>IF($AF15=0,"",CHOOSE($AF15,IF(INDEX(nINT_K_HasC,$AH15)=1,INDEX(nINT_Constraint_Source,$AH15)&amp;"",""),"","","","","","","","","","",""))</f>
        <v/>
      </c>
      <c r="BE15" s="1" t="str">
        <f>IF($AF15=0,"",CHOOSE($AF15,"",INDEX(nQ1_Results_Text,$AH15)&amp;"",INDEX(nQ2_Results_Text,$AH15)&amp;"",INDEX(nQ3_Results_Text,$AH15)&amp;"",INDEX(nQ4_Results_Text,$AH15)&amp;"",INDEX(nQ5_Results_Text,$AH15)&amp;"",INDEX(nQ6_Results_Text,$AH15)&amp;"",INDEX(nQ7_Results_Text,$AH15)&amp;"",INDEX(nQ8_Results_Text,$AH15)&amp;"",INDEX(nQ9_Results_Text,$AH15)&amp;"",INDEX(nQ10_Results_Text,$AH15)&amp;"",INDEX(nQ11_Results_Text,$AH15)&amp;""))</f>
        <v/>
      </c>
      <c r="BF15" s="1" t="str">
        <f>IF($AF15=0,"",CHOOSE($AF15,INDEX(nINT_Parameter_Set,$AH15)&amp;"",INDEX(nQ1_Parameter_Set,$AH15)&amp;"",INDEX(nQ2_Parameter_Set,$AH15)&amp;"",INDEX(nQ3_Parameter_Set,$AH15)&amp;"",INDEX(nQ4_Parameter_Set,$AH15)&amp;"",INDEX(nQ5_Parameter_Set,$AH15)&amp;"",INDEX(nQ6_Parameter_Set,$AH15)&amp;"",INDEX(nQ7_Parameter_Set,$AH15)&amp;"",INDEX(nQ8_Parameter_Set,$AH15)&amp;"",INDEX(nQ9_Parameter_Set,$AH15)&amp;"",INDEX(nQ10_Parameter_Set,$AH15)&amp;"",INDEX(nQ11_Parameter_Set,$AH15)&amp;""))</f>
        <v>Anchor (CESSATION) EX-A/STOP: 2026-01-10T09:16-05:00 [timestamp with UTC offset; case measurement; original: "09:16 infusion stopped, doctor called"; source: Nursing chart] | End point EV-1/ONSET: 2026-01-10T09:15-05:00 [timestamp with UTC offset; case measurement; original: "09:15 pt reports itching; urticaria chest and arms; audible wheeze; BP 84/52"; source: Nursing observation chart]</v>
      </c>
      <c r="BG15" s="1" t="str">
        <f>IF($AF15=0,"",CHOOSE($AF15,INDEX(nINT_Assumptions,$AH15)&amp;"",INDEX(nQ1_Assumptions,$AH15)&amp;"",INDEX(nQ2_Assumptions,$AH15)&amp;"",INDEX(nQ3_Assumptions,$AH15)&amp;"",INDEX(nQ4_Assumptions,$AH15)&amp;"",INDEX(nQ5_Assumptions,$AH15)&amp;"",INDEX(nQ6_Assumptions,$AH15)&amp;"",INDEX(nQ7_Assumptions,$AH15)&amp;"",INDEX(nQ8_Assumptions,$AH15)&amp;"",INDEX(nQ9_Assumptions,$AH15)&amp;"",INDEX(nQ10_Assumptions,$AH15)&amp;"",INDEX(nQ11_Assumptions,$AH15)&amp;""))</f>
        <v/>
      </c>
      <c r="BH15" s="1" t="str">
        <f>IF($AF15=0,"",CHOOSE($AF15,INDEX(nINT_Calculation_Version,$AH15)&amp;"",INDEX(nQ1_Calculation_Version,$AH15)&amp;"",INDEX(nQ2_Calculation_Version,$AH15)&amp;"",INDEX(nQ3_Calculation_Version,$AH15)&amp;"",INDEX(nQ4_Calculation_Version,$AH15)&amp;"",INDEX(nQ5_Calculation_Version,$AH15)&amp;"",INDEX(nQ6_Calculation_Version,$AH15)&amp;"",INDEX(nQ7_Calculation_Version,$AH15)&amp;"",INDEX(nQ8_Calculation_Version,$AH15)&amp;"",INDEX(nQ9_Calculation_Version,$AH15)&amp;"",INDEX(nQ10_Calculation_Version,$AH15)&amp;"",INDEX(nQ11_Calculation_Version,$AH15)&amp;""))</f>
        <v>CALC-SPEC 1.1</v>
      </c>
      <c r="BI15" s="1" t="str">
        <f>IF($AF15=0,"",CHOOSE($AF15,INDEX(nINT_QC_Flags,$AH15)&amp;"",INDEX(nQ1_QC_Flags,$AH15)&amp;"",INDEX(nQ2_QC_Flags,$AH15)&amp;"",INDEX(nQ3_QC_Flags,$AH15)&amp;"",INDEX(nQ4_QC_Flags,$AH15)&amp;"",INDEX(nQ5_QC_Flags,$AH15)&amp;"",INDEX(nQ6_QC_Flags,$AH15)&amp;"",INDEX(nQ7_QC_Flags,$AH15)&amp;"",INDEX(nQ8_QC_Flags,$AH15)&amp;"",INDEX(nQ9_QC_Flags,$AH15)&amp;"",INDEX(nQ10_QC_Flags,$AH15)&amp;"",INDEX(nQ11_QC_Flags,$AH15)&amp;""))</f>
        <v/>
      </c>
      <c r="BJ15" s="1" t="str">
        <f>IF($AF15=0,"",CHOOSE($AF15,INDEX(nINT_Messages,$AH15)&amp;"",INDEX(nQ1_Messages,$AH15)&amp;"",INDEX(nQ2_Messages,$AH15)&amp;"",INDEX(nQ3_Messages,$AH15)&amp;"",INDEX(nQ4_Messages,$AH15)&amp;"",INDEX(nQ5_Messages,$AH15)&amp;"",INDEX(nQ6_Messages,$AH15)&amp;"",INDEX(nQ7_Messages,$AH15)&amp;"",INDEX(nQ8_Messages,$AH15)&amp;"",INDEX(nQ9_Messages,$AH15)&amp;"",INDEX(nQ10_Messages,$AH15)&amp;"",INDEX(nQ11_Messages,$AH15)&amp;""))</f>
        <v/>
      </c>
      <c r="BK15" s="1" t="str">
        <f>IF($AF15=0,"",CHOOSE($AF15,INDEX(nINT_Limitations,$AH15)&amp;"",INDEX(nQ1_Mandatory_Text,$AH15)&amp;"",INDEX(nQ2_Mandatory_Text,$AH15)&amp;"",INDEX(nQ3_Mandatory_Text,$AH15)&amp;"",INDEX(nQ4_Mandatory_Text,$AH15)&amp;"",INDEX(nQ5_Mandatory_Text,$AH15)&amp;"",INDEX(nQ6_Mandatory_Text,$AH15)&amp;"",INDEX(nQ7_Mandatory_Text,$AH15)&amp;"",INDEX(nQ8_Mandatory_Text,$AH15)&amp;"",INDEX(nQ9_Mandatory_Text,$AH15)&amp;"",INDEX(nQ10_Mandatory_Text,$AH15)&amp;"",INDEX(nQ11_Mandatory_Text,$AH15)&amp;""))</f>
        <v>The interval describes the sequence and spacing of recorded times; it is not evidence of causation.</v>
      </c>
      <c r="BL15" s="1" t="str">
        <f t="shared" si="33"/>
        <v>not stamped</v>
      </c>
      <c r="BM15" s="1" t="str">
        <f t="shared" si="34"/>
        <v>TTO Companion Tools v1.1</v>
      </c>
      <c r="CA15" s="1" t="s">
        <v>2133</v>
      </c>
      <c r="CB15" s="1">
        <f>COUNTIF(nQ7_CaseKey,$H$4)</f>
        <v>0</v>
      </c>
      <c r="CC15" s="1">
        <f>CC14+CB14</f>
        <v>14</v>
      </c>
    </row>
    <row r="16" spans="1:81" x14ac:dyDescent="0.2">
      <c r="A16" s="21" t="str">
        <f t="shared" si="0"/>
        <v>EX-C01</v>
      </c>
      <c r="B16" s="21">
        <f t="shared" si="1"/>
        <v>2</v>
      </c>
      <c r="C16" s="21" t="str">
        <f t="shared" si="2"/>
        <v>I09</v>
      </c>
      <c r="D16" s="21" t="str">
        <f t="shared" si="3"/>
        <v>M-EMERG → EV-1/ONSET</v>
      </c>
      <c r="E16" s="21" t="str">
        <f t="shared" si="4"/>
        <v>L1</v>
      </c>
      <c r="F16" s="21" t="str">
        <f t="shared" si="5"/>
        <v>EX-A</v>
      </c>
      <c r="G16" s="21" t="str">
        <f t="shared" si="6"/>
        <v>EV-1</v>
      </c>
      <c r="H16" s="21" t="str">
        <f t="shared" si="7"/>
        <v>EV-1/ONSET</v>
      </c>
      <c r="I16" s="21">
        <f t="shared" si="8"/>
        <v>-3</v>
      </c>
      <c r="J16" s="21" t="str">
        <f t="shared" si="9"/>
        <v/>
      </c>
      <c r="K16" s="21" t="str">
        <f t="shared" si="10"/>
        <v/>
      </c>
      <c r="L16" s="21" t="str">
        <f t="shared" si="11"/>
        <v>minutes</v>
      </c>
      <c r="M16" s="21" t="str">
        <f t="shared" si="12"/>
        <v>−3 minutes</v>
      </c>
      <c r="N16" s="21" t="str">
        <f t="shared" si="13"/>
        <v>C1</v>
      </c>
      <c r="O16" s="21" t="str">
        <f t="shared" si="14"/>
        <v>OTHER</v>
      </c>
      <c r="P16" s="21" t="str">
        <f t="shared" si="15"/>
        <v>M-EMERG</v>
      </c>
      <c r="Q16" s="21" t="str">
        <f t="shared" si="16"/>
        <v>Start of emergency treatment</v>
      </c>
      <c r="R16" s="21" t="str">
        <f t="shared" si="17"/>
        <v>BEFORE</v>
      </c>
      <c r="S16" s="21" t="str">
        <f t="shared" si="18"/>
        <v/>
      </c>
      <c r="T16" s="21" t="str">
        <f t="shared" si="19"/>
        <v/>
      </c>
      <c r="U16" s="21" t="str">
        <f t="shared" si="20"/>
        <v/>
      </c>
      <c r="V16" s="21" t="str">
        <f t="shared" si="21"/>
        <v/>
      </c>
      <c r="W16" s="21" t="str">
        <f t="shared" si="22"/>
        <v>Anchor (OTHER) M-EMERG: 2026-01-10T09:18-05:00 [timestamp with UTC offset; case measurement; original: "Emergency medicines administered from 09:18"; source: Medication administration record] | End point EV-1/ONSET: 2026-01-10T09:15-05:00 [timestamp with UTC offset; case measurement; original: "09:15 pt reports itching; urticaria chest and arms; audible wheeze; BP 84/52"; source: Nursing observation chart]</v>
      </c>
      <c r="X16" s="21" t="str">
        <f t="shared" si="23"/>
        <v/>
      </c>
      <c r="Y16" s="21" t="str">
        <f t="shared" si="24"/>
        <v>CALC-SPEC 1.1</v>
      </c>
      <c r="Z16" s="21" t="str">
        <f t="shared" si="25"/>
        <v/>
      </c>
      <c r="AA16" s="21" t="str">
        <f t="shared" si="26"/>
        <v/>
      </c>
      <c r="AB16" s="21" t="str">
        <f t="shared" si="27"/>
        <v>The interval describes the sequence and spacing of recorded times; it is not evidence of causation.</v>
      </c>
      <c r="AC16" s="21" t="str">
        <f t="shared" si="28"/>
        <v>not stamped</v>
      </c>
      <c r="AD16" s="21" t="str">
        <f t="shared" si="29"/>
        <v>TTO Companion Tools v1.1</v>
      </c>
      <c r="AE16" s="1">
        <f t="shared" si="30"/>
        <v>9</v>
      </c>
      <c r="AF16" s="1">
        <f t="shared" si="31"/>
        <v>1</v>
      </c>
      <c r="AG16" s="1">
        <f t="shared" si="32"/>
        <v>9</v>
      </c>
      <c r="AH16" s="1">
        <f>IF(AF16=0,0,CHOOSE(AF16,IFERROR(_xlfn.AGGREGATE(15,6,(ROW(nINT_CaseKey)-ROW(INDEX(nINT_CaseKey,1,1))+1)/((nINT_CaseKey=$H$4)*(nINT_RowEmpty=0)),AG16),0),IFERROR(_xlfn.AGGREGATE(15,6,(ROW(nQ1_CaseKey)-ROW(INDEX(nQ1_CaseKey,1,1))+1)/((nQ1_CaseKey=$H$4)),AG16),0),IFERROR(_xlfn.AGGREGATE(15,6,(ROW(nQ2_CaseKey)-ROW(INDEX(nQ2_CaseKey,1,1))+1)/((nQ2_CaseKey=$H$4)),AG16),0),IFERROR(_xlfn.AGGREGATE(15,6,(ROW(nQ3_CaseKey)-ROW(INDEX(nQ3_CaseKey,1,1))+1)/((nQ3_CaseKey=$H$4)),AG16),0),IFERROR(_xlfn.AGGREGATE(15,6,(ROW(nQ4_CaseKey)-ROW(INDEX(nQ4_CaseKey,1,1))+1)/((nQ4_CaseKey=$H$4)),AG16),0),IFERROR(_xlfn.AGGREGATE(15,6,(ROW(nQ5_CaseKey)-ROW(INDEX(nQ5_CaseKey,1,1))+1)/((nQ5_CaseKey=$H$4)),AG16),0),IFERROR(_xlfn.AGGREGATE(15,6,(ROW(nQ6_CaseKey)-ROW(INDEX(nQ6_CaseKey,1,1))+1)/((nQ6_CaseKey=$H$4)),AG16),0),IFERROR(_xlfn.AGGREGATE(15,6,(ROW(nQ7_CaseKey)-ROW(INDEX(nQ7_CaseKey,1,1))+1)/((nQ7_CaseKey=$H$4)),AG16),0),IFERROR(_xlfn.AGGREGATE(15,6,(ROW(nQ8_CaseKey)-ROW(INDEX(nQ8_CaseKey,1,1))+1)/((nQ8_CaseKey=$H$4)),AG16),0),IFERROR(_xlfn.AGGREGATE(15,6,(ROW(nQ9_CaseKey)-ROW(INDEX(nQ9_CaseKey,1,1))+1)/((nQ9_CaseKey=$H$4)),AG16),0),IFERROR(_xlfn.AGGREGATE(15,6,(ROW(nQ10_CaseKey)-ROW(INDEX(nQ10_CaseKey,1,1))+1)/((nQ10_CaseKey=$H$4)),AG16),0),IFERROR(_xlfn.AGGREGATE(15,6,(ROW(nQ11_CaseKey)-ROW(INDEX(nQ11_CaseKey,1,1))+1)/((nQ11_CaseKey=$H$4)),AG16),0)))</f>
        <v>50</v>
      </c>
      <c r="AJ16" s="1" t="str">
        <f>IF($AF16=0,"",CHOOSE($AF16,INDEX(nINT_Case_ID,$AH16)&amp;"",INDEX(nQ1_Case_ID,$AH16)&amp;"",INDEX(nQ2_Case_ID,$AH16)&amp;"",INDEX(nQ3_Case_ID,$AH16)&amp;"",INDEX(nQ4_Case_ID,$AH16)&amp;"",INDEX(nQ5_Case_ID,$AH16)&amp;"",INDEX(nQ6_Case_ID,$AH16)&amp;"",INDEX(nQ7_Case_ID,$AH16)&amp;"",INDEX(nQ8_Case_ID,$AH16)&amp;"",INDEX(nQ9_Case_ID,$AH16)&amp;"",INDEX(nQ10_Case_ID,$AH16)&amp;"",INDEX(nQ11_Case_ID,$AH16)&amp;""))</f>
        <v>EX-C01</v>
      </c>
      <c r="AK16" s="1">
        <f>IF($AF16=0,"",CHOOSE($AF16,INDEX(nINT_Case_Version,$AH16),INDEX(nQ1_Case_Version,$AH16),INDEX(nQ2_Case_Version,$AH16),INDEX(nQ3_Case_Version,$AH16),INDEX(nQ4_Case_Version,$AH16),INDEX(nQ5_Case_Version,$AH16),INDEX(nQ6_Case_Version,$AH16),INDEX(nQ7_Case_Version,$AH16),INDEX(nQ8_Case_Version,$AH16),INDEX(nQ9_Case_Version,$AH16),INDEX(nQ10_Case_Version,$AH16),INDEX(nQ11_Case_Version,$AH16)))</f>
        <v>2</v>
      </c>
      <c r="AL16" s="1" t="str">
        <f>IF($AF16=0,"",CHOOSE($AF16,INDEX(nINT_Interval_ID,$AH16)&amp;"",INDEX(nQ1_Calc_ID,$AH16)&amp;"",INDEX(nQ2_Calc_ID,$AH16)&amp;"",INDEX(nQ3_Calc_ID,$AH16)&amp;"",INDEX(nQ4_Calc_ID,$AH16)&amp;"",INDEX(nQ5_Calc_ID,$AH16)&amp;"",INDEX(nQ6_Calc_ID,$AH16)&amp;"",INDEX(nQ7_Calc_ID,$AH16)&amp;"",INDEX(nQ8_Calc_ID,$AH16)&amp;"",INDEX(nQ9_Calc_ID,$AH16)&amp;"",INDEX(nQ10_Calc_ID,$AH16)&amp;"",INDEX(nQ11_Calc_ID,$AH16)&amp;""))</f>
        <v>I09</v>
      </c>
      <c r="AM16" s="1" t="str">
        <f>IF($AF16=0,"",CHOOSE($AF16,INDEX(nINT_Label,$AH16)&amp;"",INDEX(nQ1_Label_Out,$AH16)&amp;"",INDEX(nQ2_Label_Out,$AH16)&amp;"",INDEX(nQ3_Label_Out,$AH16)&amp;"",INDEX(nQ4_Label_Out,$AH16)&amp;"",INDEX(nQ5_Label_Out,$AH16)&amp;"",INDEX(nQ6_Label_Out,$AH16)&amp;"",INDEX(nQ7_Label_Out,$AH16)&amp;"",INDEX(nQ8_Label_Out,$AH16)&amp;"",INDEX(nQ9_Label_Out,$AH16)&amp;"",INDEX(nQ10_Label_Out,$AH16)&amp;"",INDEX(nQ11_Label_Out,$AH16)&amp;""))</f>
        <v>M-EMERG → EV-1/ONSET</v>
      </c>
      <c r="AN16" s="1" t="str">
        <f>IF($AF16=0,"",CHOOSE($AF16,IF(INDEX(nINT_LinkRow,$AH16)=0,"",INDEX(nINT_Link_ID,$AH16)&amp;""),"","","","","","","","","","",""))</f>
        <v>L1</v>
      </c>
      <c r="AO16" s="1" t="str">
        <f>IF($AF16=0,"",CHOOSE($AF16,INDEX(nINT_Exposure_Episode_ID,$AH16)&amp;"","","","","","","","","","","",""))</f>
        <v>EX-A</v>
      </c>
      <c r="AP16" s="1" t="str">
        <f>IF($AF16=0,"",CHOOSE($AF16,INDEX(nINT_Event_Episode_ID,$AH16)&amp;"","","","","","","","","","","",""))</f>
        <v>EV-1</v>
      </c>
      <c r="AQ16" s="1" t="str">
        <f>IF($AF16=0,"",CHOOSE($AF16,INDEX(nINT_End_Record_ID_Used,$AH16)&amp;"","","","","","","","","","","",""))</f>
        <v>EV-1/ONSET</v>
      </c>
      <c r="AR16" s="1">
        <f>IF($AF16=0,"",CHOOSE($AF16,INDEX(nINT_Interval_Value,$AH16),"","","","","","","","","","",""))</f>
        <v>-3</v>
      </c>
      <c r="AS16" s="1" t="str">
        <f>IF($AF16=0,"",CHOOSE($AF16,INDEX(nINT_Interval_Minimum,$AH16),"","","","","","","","","","",""))</f>
        <v/>
      </c>
      <c r="AT16" s="1" t="str">
        <f>IF($AF16=0,"",CHOOSE($AF16,INDEX(nINT_Interval_Maximum,$AH16),"","","","","","","","","","",""))</f>
        <v/>
      </c>
      <c r="AU16" s="1" t="str">
        <f>IF($AF16=0,"",CHOOSE($AF16,INDEX(nINT_Unit,$AH16)&amp;"",INDEX(nQ1_Unit_Out,$AH16)&amp;"",INDEX(nQ2_Unit_Out,$AH16)&amp;"",INDEX(nQ3_Unit_Out,$AH16)&amp;"",INDEX(nQ4_Unit_Out,$AH16)&amp;"",INDEX(nQ5_Unit_Out,$AH16)&amp;"",INDEX(nQ6_Unit_Out,$AH16)&amp;"",INDEX(nQ7_Unit_Out,$AH16)&amp;"",INDEX(nQ8_Unit_Out,$AH16)&amp;"",INDEX(nQ9_Unit_Out,$AH16)&amp;"",INDEX(nQ10_Unit_Out,$AH16)&amp;"",INDEX(nQ11_Unit_Out,$AH16)&amp;""))</f>
        <v>minutes</v>
      </c>
      <c r="AV16" s="1" t="str">
        <f>IF($AF16=0,"",CHOOSE($AF16,INDEX(nINT_Displayed_Value,$AH16)&amp;"",INDEX(nQ1_Displayed_Value,$AH16)&amp;"",INDEX(nQ2_Displayed_Value,$AH16)&amp;"",INDEX(nQ3_Displayed_Value,$AH16)&amp;"",INDEX(nQ4_Displayed_Value,$AH16)&amp;"",INDEX(nQ5_Displayed_Value,$AH16)&amp;"",INDEX(nQ6_Displayed_Value,$AH16)&amp;"",INDEX(nQ7_Displayed_Value,$AH16)&amp;"",INDEX(nQ8_Displayed_Value,$AH16)&amp;"",INDEX(nQ9_Displayed_Value,$AH16)&amp;"",INDEX(nQ10_Displayed_Value,$AH16)&amp;"",INDEX(nQ11_Displayed_Value,$AH16)&amp;""))</f>
        <v>−3 minutes</v>
      </c>
      <c r="AW16" s="1" t="str">
        <f>IF($AF16=0,"",CHOOSE($AF16,INDEX(nINT_Calculation_Mode_Used,$AH16)&amp;"","Q1","Q2","Q3","Q4","Q5","Q6","Q7","Q8","Q9","Q10","Q11"))</f>
        <v>C1</v>
      </c>
      <c r="AX16" s="1" t="str">
        <f>IF($AF16=0,"",CHOOSE($AF16,INDEX(nINT_Anchor_Type,$AH16)&amp;"","","","","","","","","","","",""))</f>
        <v>OTHER</v>
      </c>
      <c r="AY16" s="1" t="str">
        <f>IF($AF16=0,"",CHOOSE($AF16,IF(INDEX(nINT_K_Ok,$AH16)=1,INDEX(nINT_Anchor_Record_ID_Used,$AH16)&amp;"",""),"","","","","","","","","","",""))</f>
        <v>M-EMERG</v>
      </c>
      <c r="AZ16" s="1" t="str">
        <f>IF($AF16=0,"",CHOOSE($AF16,INDEX(nINT_Anchor_Description,$AH16)&amp;"","","","","","","","","","","",""))</f>
        <v>Start of emergency treatment</v>
      </c>
      <c r="BA16" s="1" t="str">
        <f>IF($AF16=0,"",CHOOSE($AF16,INDEX(nINT_Sequence_Status,$AH16)&amp;"","","","","","","","","","","",""))</f>
        <v>BEFORE</v>
      </c>
      <c r="BB16" s="1" t="str">
        <f>IF($AF16=0,"",CHOOSE($AF16,INDEX(nINT_Treatment_Day,$AH16),"","","","","","","","","","",""))</f>
        <v/>
      </c>
      <c r="BC16" s="1" t="str">
        <f>IF($AF16=0,"",CHOOSE($AF16,INDEX(nINT_Reported_Timing_Result,$AH16)&amp;"","","","","","","","","","","",""))</f>
        <v/>
      </c>
      <c r="BD16" s="1" t="str">
        <f>IF($AF16=0,"",CHOOSE($AF16,IF(INDEX(nINT_K_HasC,$AH16)=1,INDEX(nINT_Constraint_Source,$AH16)&amp;"",""),"","","","","","","","","","",""))</f>
        <v/>
      </c>
      <c r="BE16" s="1" t="str">
        <f>IF($AF16=0,"",CHOOSE($AF16,"",INDEX(nQ1_Results_Text,$AH16)&amp;"",INDEX(nQ2_Results_Text,$AH16)&amp;"",INDEX(nQ3_Results_Text,$AH16)&amp;"",INDEX(nQ4_Results_Text,$AH16)&amp;"",INDEX(nQ5_Results_Text,$AH16)&amp;"",INDEX(nQ6_Results_Text,$AH16)&amp;"",INDEX(nQ7_Results_Text,$AH16)&amp;"",INDEX(nQ8_Results_Text,$AH16)&amp;"",INDEX(nQ9_Results_Text,$AH16)&amp;"",INDEX(nQ10_Results_Text,$AH16)&amp;"",INDEX(nQ11_Results_Text,$AH16)&amp;""))</f>
        <v/>
      </c>
      <c r="BF16" s="1" t="str">
        <f>IF($AF16=0,"",CHOOSE($AF16,INDEX(nINT_Parameter_Set,$AH16)&amp;"",INDEX(nQ1_Parameter_Set,$AH16)&amp;"",INDEX(nQ2_Parameter_Set,$AH16)&amp;"",INDEX(nQ3_Parameter_Set,$AH16)&amp;"",INDEX(nQ4_Parameter_Set,$AH16)&amp;"",INDEX(nQ5_Parameter_Set,$AH16)&amp;"",INDEX(nQ6_Parameter_Set,$AH16)&amp;"",INDEX(nQ7_Parameter_Set,$AH16)&amp;"",INDEX(nQ8_Parameter_Set,$AH16)&amp;"",INDEX(nQ9_Parameter_Set,$AH16)&amp;"",INDEX(nQ10_Parameter_Set,$AH16)&amp;"",INDEX(nQ11_Parameter_Set,$AH16)&amp;""))</f>
        <v>Anchor (OTHER) M-EMERG: 2026-01-10T09:18-05:00 [timestamp with UTC offset; case measurement; original: "Emergency medicines administered from 09:18"; source: Medication administration record] | End point EV-1/ONSET: 2026-01-10T09:15-05:00 [timestamp with UTC offset; case measurement; original: "09:15 pt reports itching; urticaria chest and arms; audible wheeze; BP 84/52"; source: Nursing observation chart]</v>
      </c>
      <c r="BG16" s="1" t="str">
        <f>IF($AF16=0,"",CHOOSE($AF16,INDEX(nINT_Assumptions,$AH16)&amp;"",INDEX(nQ1_Assumptions,$AH16)&amp;"",INDEX(nQ2_Assumptions,$AH16)&amp;"",INDEX(nQ3_Assumptions,$AH16)&amp;"",INDEX(nQ4_Assumptions,$AH16)&amp;"",INDEX(nQ5_Assumptions,$AH16)&amp;"",INDEX(nQ6_Assumptions,$AH16)&amp;"",INDEX(nQ7_Assumptions,$AH16)&amp;"",INDEX(nQ8_Assumptions,$AH16)&amp;"",INDEX(nQ9_Assumptions,$AH16)&amp;"",INDEX(nQ10_Assumptions,$AH16)&amp;"",INDEX(nQ11_Assumptions,$AH16)&amp;""))</f>
        <v/>
      </c>
      <c r="BH16" s="1" t="str">
        <f>IF($AF16=0,"",CHOOSE($AF16,INDEX(nINT_Calculation_Version,$AH16)&amp;"",INDEX(nQ1_Calculation_Version,$AH16)&amp;"",INDEX(nQ2_Calculation_Version,$AH16)&amp;"",INDEX(nQ3_Calculation_Version,$AH16)&amp;"",INDEX(nQ4_Calculation_Version,$AH16)&amp;"",INDEX(nQ5_Calculation_Version,$AH16)&amp;"",INDEX(nQ6_Calculation_Version,$AH16)&amp;"",INDEX(nQ7_Calculation_Version,$AH16)&amp;"",INDEX(nQ8_Calculation_Version,$AH16)&amp;"",INDEX(nQ9_Calculation_Version,$AH16)&amp;"",INDEX(nQ10_Calculation_Version,$AH16)&amp;"",INDEX(nQ11_Calculation_Version,$AH16)&amp;""))</f>
        <v>CALC-SPEC 1.1</v>
      </c>
      <c r="BI16" s="1" t="str">
        <f>IF($AF16=0,"",CHOOSE($AF16,INDEX(nINT_QC_Flags,$AH16)&amp;"",INDEX(nQ1_QC_Flags,$AH16)&amp;"",INDEX(nQ2_QC_Flags,$AH16)&amp;"",INDEX(nQ3_QC_Flags,$AH16)&amp;"",INDEX(nQ4_QC_Flags,$AH16)&amp;"",INDEX(nQ5_QC_Flags,$AH16)&amp;"",INDEX(nQ6_QC_Flags,$AH16)&amp;"",INDEX(nQ7_QC_Flags,$AH16)&amp;"",INDEX(nQ8_QC_Flags,$AH16)&amp;"",INDEX(nQ9_QC_Flags,$AH16)&amp;"",INDEX(nQ10_QC_Flags,$AH16)&amp;"",INDEX(nQ11_QC_Flags,$AH16)&amp;""))</f>
        <v/>
      </c>
      <c r="BJ16" s="1" t="str">
        <f>IF($AF16=0,"",CHOOSE($AF16,INDEX(nINT_Messages,$AH16)&amp;"",INDEX(nQ1_Messages,$AH16)&amp;"",INDEX(nQ2_Messages,$AH16)&amp;"",INDEX(nQ3_Messages,$AH16)&amp;"",INDEX(nQ4_Messages,$AH16)&amp;"",INDEX(nQ5_Messages,$AH16)&amp;"",INDEX(nQ6_Messages,$AH16)&amp;"",INDEX(nQ7_Messages,$AH16)&amp;"",INDEX(nQ8_Messages,$AH16)&amp;"",INDEX(nQ9_Messages,$AH16)&amp;"",INDEX(nQ10_Messages,$AH16)&amp;"",INDEX(nQ11_Messages,$AH16)&amp;""))</f>
        <v/>
      </c>
      <c r="BK16" s="1" t="str">
        <f>IF($AF16=0,"",CHOOSE($AF16,INDEX(nINT_Limitations,$AH16)&amp;"",INDEX(nQ1_Mandatory_Text,$AH16)&amp;"",INDEX(nQ2_Mandatory_Text,$AH16)&amp;"",INDEX(nQ3_Mandatory_Text,$AH16)&amp;"",INDEX(nQ4_Mandatory_Text,$AH16)&amp;"",INDEX(nQ5_Mandatory_Text,$AH16)&amp;"",INDEX(nQ6_Mandatory_Text,$AH16)&amp;"",INDEX(nQ7_Mandatory_Text,$AH16)&amp;"",INDEX(nQ8_Mandatory_Text,$AH16)&amp;"",INDEX(nQ9_Mandatory_Text,$AH16)&amp;"",INDEX(nQ10_Mandatory_Text,$AH16)&amp;"",INDEX(nQ11_Mandatory_Text,$AH16)&amp;""))</f>
        <v>The interval describes the sequence and spacing of recorded times; it is not evidence of causation.</v>
      </c>
      <c r="BL16" s="1" t="str">
        <f t="shared" si="33"/>
        <v>not stamped</v>
      </c>
      <c r="BM16" s="1" t="str">
        <f t="shared" si="34"/>
        <v>TTO Companion Tools v1.1</v>
      </c>
      <c r="CA16" s="1" t="s">
        <v>2137</v>
      </c>
      <c r="CB16" s="1">
        <f>COUNTIF(nQ8_CaseKey,$H$4)</f>
        <v>0</v>
      </c>
      <c r="CC16" s="1">
        <f>CC15+CB15</f>
        <v>14</v>
      </c>
    </row>
    <row r="17" spans="1:81" x14ac:dyDescent="0.2">
      <c r="A17" s="21" t="str">
        <f t="shared" si="0"/>
        <v>EX-C01</v>
      </c>
      <c r="B17" s="21">
        <f t="shared" si="1"/>
        <v>2</v>
      </c>
      <c r="C17" s="21" t="str">
        <f t="shared" si="2"/>
        <v>I10</v>
      </c>
      <c r="D17" s="21" t="str">
        <f t="shared" si="3"/>
        <v>EX-A/STOP → M-IMPROVE (recovery)</v>
      </c>
      <c r="E17" s="21" t="str">
        <f t="shared" si="4"/>
        <v>L1</v>
      </c>
      <c r="F17" s="21" t="str">
        <f t="shared" si="5"/>
        <v>EX-A</v>
      </c>
      <c r="G17" s="21" t="str">
        <f t="shared" si="6"/>
        <v>EV-1</v>
      </c>
      <c r="H17" s="21" t="str">
        <f t="shared" si="7"/>
        <v>M-IMPROVE</v>
      </c>
      <c r="I17" s="21">
        <f t="shared" si="8"/>
        <v>19</v>
      </c>
      <c r="J17" s="21" t="str">
        <f t="shared" si="9"/>
        <v/>
      </c>
      <c r="K17" s="21" t="str">
        <f t="shared" si="10"/>
        <v/>
      </c>
      <c r="L17" s="21" t="str">
        <f t="shared" si="11"/>
        <v>minutes</v>
      </c>
      <c r="M17" s="21" t="str">
        <f t="shared" si="12"/>
        <v>19 minutes</v>
      </c>
      <c r="N17" s="21" t="str">
        <f t="shared" si="13"/>
        <v>C7 (C1)</v>
      </c>
      <c r="O17" s="21" t="str">
        <f t="shared" si="14"/>
        <v>CESSATION</v>
      </c>
      <c r="P17" s="21" t="str">
        <f t="shared" si="15"/>
        <v>EX-A/STOP</v>
      </c>
      <c r="Q17" s="21" t="str">
        <f t="shared" si="16"/>
        <v/>
      </c>
      <c r="R17" s="21" t="str">
        <f t="shared" si="17"/>
        <v>AFTER</v>
      </c>
      <c r="S17" s="21" t="str">
        <f t="shared" si="18"/>
        <v/>
      </c>
      <c r="T17" s="21" t="str">
        <f t="shared" si="19"/>
        <v/>
      </c>
      <c r="U17" s="21" t="str">
        <f t="shared" si="20"/>
        <v/>
      </c>
      <c r="V17" s="21" t="str">
        <f t="shared" si="21"/>
        <v/>
      </c>
      <c r="W17" s="21" t="str">
        <f t="shared" si="22"/>
        <v>Anchor (CESSATION) EX-A/STOP: 2026-01-10T09:16-05:00 [timestamp with UTC offset; case measurement; original: "09:16 infusion stopped, doctor called"; source: Nursing chart] | End point M-IMPROVE: 2026-01-10T09:35-05:00 [timestamp with UTC offset; case measurement; original: "09:35 wheeze settling, BP 108/70"; source: Nursing chart]</v>
      </c>
      <c r="X17" s="21" t="str">
        <f t="shared" si="23"/>
        <v>Recovery interval (C7) computed with C1. | Intervention recorded between cessation and recovery (ends included): M-EMERG (Emergency medicines administered (agents not given here)).</v>
      </c>
      <c r="Y17" s="21" t="str">
        <f t="shared" si="24"/>
        <v>CALC-SPEC 1.1</v>
      </c>
      <c r="Z17" s="21" t="str">
        <f t="shared" si="25"/>
        <v>W_INTERVENTION_BEFORE_RECOVERY</v>
      </c>
      <c r="AA17" s="21" t="str">
        <f t="shared" si="26"/>
        <v>W_INTERVENTION_BEFORE_RECOVERY: Treatment was given before recovery, so recovery cannot be attributed to withdrawal alone.</v>
      </c>
      <c r="AB17" s="21" t="str">
        <f t="shared" si="27"/>
        <v>The interval describes the sequence and spacing of recorded times; it is not evidence of causation. A recovery interval is not, by itself, evidence of positive dechallenge.</v>
      </c>
      <c r="AC17" s="21" t="str">
        <f t="shared" si="28"/>
        <v>not stamped</v>
      </c>
      <c r="AD17" s="21" t="str">
        <f t="shared" si="29"/>
        <v>TTO Companion Tools v1.1</v>
      </c>
      <c r="AE17" s="1">
        <f t="shared" si="30"/>
        <v>10</v>
      </c>
      <c r="AF17" s="1">
        <f t="shared" si="31"/>
        <v>1</v>
      </c>
      <c r="AG17" s="1">
        <f t="shared" si="32"/>
        <v>10</v>
      </c>
      <c r="AH17" s="1">
        <f>IF(AF17=0,0,CHOOSE(AF17,IFERROR(_xlfn.AGGREGATE(15,6,(ROW(nINT_CaseKey)-ROW(INDEX(nINT_CaseKey,1,1))+1)/((nINT_CaseKey=$H$4)*(nINT_RowEmpty=0)),AG17),0),IFERROR(_xlfn.AGGREGATE(15,6,(ROW(nQ1_CaseKey)-ROW(INDEX(nQ1_CaseKey,1,1))+1)/((nQ1_CaseKey=$H$4)),AG17),0),IFERROR(_xlfn.AGGREGATE(15,6,(ROW(nQ2_CaseKey)-ROW(INDEX(nQ2_CaseKey,1,1))+1)/((nQ2_CaseKey=$H$4)),AG17),0),IFERROR(_xlfn.AGGREGATE(15,6,(ROW(nQ3_CaseKey)-ROW(INDEX(nQ3_CaseKey,1,1))+1)/((nQ3_CaseKey=$H$4)),AG17),0),IFERROR(_xlfn.AGGREGATE(15,6,(ROW(nQ4_CaseKey)-ROW(INDEX(nQ4_CaseKey,1,1))+1)/((nQ4_CaseKey=$H$4)),AG17),0),IFERROR(_xlfn.AGGREGATE(15,6,(ROW(nQ5_CaseKey)-ROW(INDEX(nQ5_CaseKey,1,1))+1)/((nQ5_CaseKey=$H$4)),AG17),0),IFERROR(_xlfn.AGGREGATE(15,6,(ROW(nQ6_CaseKey)-ROW(INDEX(nQ6_CaseKey,1,1))+1)/((nQ6_CaseKey=$H$4)),AG17),0),IFERROR(_xlfn.AGGREGATE(15,6,(ROW(nQ7_CaseKey)-ROW(INDEX(nQ7_CaseKey,1,1))+1)/((nQ7_CaseKey=$H$4)),AG17),0),IFERROR(_xlfn.AGGREGATE(15,6,(ROW(nQ8_CaseKey)-ROW(INDEX(nQ8_CaseKey,1,1))+1)/((nQ8_CaseKey=$H$4)),AG17),0),IFERROR(_xlfn.AGGREGATE(15,6,(ROW(nQ9_CaseKey)-ROW(INDEX(nQ9_CaseKey,1,1))+1)/((nQ9_CaseKey=$H$4)),AG17),0),IFERROR(_xlfn.AGGREGATE(15,6,(ROW(nQ10_CaseKey)-ROW(INDEX(nQ10_CaseKey,1,1))+1)/((nQ10_CaseKey=$H$4)),AG17),0),IFERROR(_xlfn.AGGREGATE(15,6,(ROW(nQ11_CaseKey)-ROW(INDEX(nQ11_CaseKey,1,1))+1)/((nQ11_CaseKey=$H$4)),AG17),0)))</f>
        <v>51</v>
      </c>
      <c r="AJ17" s="1" t="str">
        <f>IF($AF17=0,"",CHOOSE($AF17,INDEX(nINT_Case_ID,$AH17)&amp;"",INDEX(nQ1_Case_ID,$AH17)&amp;"",INDEX(nQ2_Case_ID,$AH17)&amp;"",INDEX(nQ3_Case_ID,$AH17)&amp;"",INDEX(nQ4_Case_ID,$AH17)&amp;"",INDEX(nQ5_Case_ID,$AH17)&amp;"",INDEX(nQ6_Case_ID,$AH17)&amp;"",INDEX(nQ7_Case_ID,$AH17)&amp;"",INDEX(nQ8_Case_ID,$AH17)&amp;"",INDEX(nQ9_Case_ID,$AH17)&amp;"",INDEX(nQ10_Case_ID,$AH17)&amp;"",INDEX(nQ11_Case_ID,$AH17)&amp;""))</f>
        <v>EX-C01</v>
      </c>
      <c r="AK17" s="1">
        <f>IF($AF17=0,"",CHOOSE($AF17,INDEX(nINT_Case_Version,$AH17),INDEX(nQ1_Case_Version,$AH17),INDEX(nQ2_Case_Version,$AH17),INDEX(nQ3_Case_Version,$AH17),INDEX(nQ4_Case_Version,$AH17),INDEX(nQ5_Case_Version,$AH17),INDEX(nQ6_Case_Version,$AH17),INDEX(nQ7_Case_Version,$AH17),INDEX(nQ8_Case_Version,$AH17),INDEX(nQ9_Case_Version,$AH17),INDEX(nQ10_Case_Version,$AH17),INDEX(nQ11_Case_Version,$AH17)))</f>
        <v>2</v>
      </c>
      <c r="AL17" s="1" t="str">
        <f>IF($AF17=0,"",CHOOSE($AF17,INDEX(nINT_Interval_ID,$AH17)&amp;"",INDEX(nQ1_Calc_ID,$AH17)&amp;"",INDEX(nQ2_Calc_ID,$AH17)&amp;"",INDEX(nQ3_Calc_ID,$AH17)&amp;"",INDEX(nQ4_Calc_ID,$AH17)&amp;"",INDEX(nQ5_Calc_ID,$AH17)&amp;"",INDEX(nQ6_Calc_ID,$AH17)&amp;"",INDEX(nQ7_Calc_ID,$AH17)&amp;"",INDEX(nQ8_Calc_ID,$AH17)&amp;"",INDEX(nQ9_Calc_ID,$AH17)&amp;"",INDEX(nQ10_Calc_ID,$AH17)&amp;"",INDEX(nQ11_Calc_ID,$AH17)&amp;""))</f>
        <v>I10</v>
      </c>
      <c r="AM17" s="1" t="str">
        <f>IF($AF17=0,"",CHOOSE($AF17,INDEX(nINT_Label,$AH17)&amp;"",INDEX(nQ1_Label_Out,$AH17)&amp;"",INDEX(nQ2_Label_Out,$AH17)&amp;"",INDEX(nQ3_Label_Out,$AH17)&amp;"",INDEX(nQ4_Label_Out,$AH17)&amp;"",INDEX(nQ5_Label_Out,$AH17)&amp;"",INDEX(nQ6_Label_Out,$AH17)&amp;"",INDEX(nQ7_Label_Out,$AH17)&amp;"",INDEX(nQ8_Label_Out,$AH17)&amp;"",INDEX(nQ9_Label_Out,$AH17)&amp;"",INDEX(nQ10_Label_Out,$AH17)&amp;"",INDEX(nQ11_Label_Out,$AH17)&amp;""))</f>
        <v>EX-A/STOP → M-IMPROVE (recovery)</v>
      </c>
      <c r="AN17" s="1" t="str">
        <f>IF($AF17=0,"",CHOOSE($AF17,IF(INDEX(nINT_LinkRow,$AH17)=0,"",INDEX(nINT_Link_ID,$AH17)&amp;""),"","","","","","","","","","",""))</f>
        <v>L1</v>
      </c>
      <c r="AO17" s="1" t="str">
        <f>IF($AF17=0,"",CHOOSE($AF17,INDEX(nINT_Exposure_Episode_ID,$AH17)&amp;"","","","","","","","","","","",""))</f>
        <v>EX-A</v>
      </c>
      <c r="AP17" s="1" t="str">
        <f>IF($AF17=0,"",CHOOSE($AF17,INDEX(nINT_Event_Episode_ID,$AH17)&amp;"","","","","","","","","","","",""))</f>
        <v>EV-1</v>
      </c>
      <c r="AQ17" s="1" t="str">
        <f>IF($AF17=0,"",CHOOSE($AF17,INDEX(nINT_End_Record_ID_Used,$AH17)&amp;"","","","","","","","","","","",""))</f>
        <v>M-IMPROVE</v>
      </c>
      <c r="AR17" s="1">
        <f>IF($AF17=0,"",CHOOSE($AF17,INDEX(nINT_Interval_Value,$AH17),"","","","","","","","","","",""))</f>
        <v>19</v>
      </c>
      <c r="AS17" s="1" t="str">
        <f>IF($AF17=0,"",CHOOSE($AF17,INDEX(nINT_Interval_Minimum,$AH17),"","","","","","","","","","",""))</f>
        <v/>
      </c>
      <c r="AT17" s="1" t="str">
        <f>IF($AF17=0,"",CHOOSE($AF17,INDEX(nINT_Interval_Maximum,$AH17),"","","","","","","","","","",""))</f>
        <v/>
      </c>
      <c r="AU17" s="1" t="str">
        <f>IF($AF17=0,"",CHOOSE($AF17,INDEX(nINT_Unit,$AH17)&amp;"",INDEX(nQ1_Unit_Out,$AH17)&amp;"",INDEX(nQ2_Unit_Out,$AH17)&amp;"",INDEX(nQ3_Unit_Out,$AH17)&amp;"",INDEX(nQ4_Unit_Out,$AH17)&amp;"",INDEX(nQ5_Unit_Out,$AH17)&amp;"",INDEX(nQ6_Unit_Out,$AH17)&amp;"",INDEX(nQ7_Unit_Out,$AH17)&amp;"",INDEX(nQ8_Unit_Out,$AH17)&amp;"",INDEX(nQ9_Unit_Out,$AH17)&amp;"",INDEX(nQ10_Unit_Out,$AH17)&amp;"",INDEX(nQ11_Unit_Out,$AH17)&amp;""))</f>
        <v>minutes</v>
      </c>
      <c r="AV17" s="1" t="str">
        <f>IF($AF17=0,"",CHOOSE($AF17,INDEX(nINT_Displayed_Value,$AH17)&amp;"",INDEX(nQ1_Displayed_Value,$AH17)&amp;"",INDEX(nQ2_Displayed_Value,$AH17)&amp;"",INDEX(nQ3_Displayed_Value,$AH17)&amp;"",INDEX(nQ4_Displayed_Value,$AH17)&amp;"",INDEX(nQ5_Displayed_Value,$AH17)&amp;"",INDEX(nQ6_Displayed_Value,$AH17)&amp;"",INDEX(nQ7_Displayed_Value,$AH17)&amp;"",INDEX(nQ8_Displayed_Value,$AH17)&amp;"",INDEX(nQ9_Displayed_Value,$AH17)&amp;"",INDEX(nQ10_Displayed_Value,$AH17)&amp;"",INDEX(nQ11_Displayed_Value,$AH17)&amp;""))</f>
        <v>19 minutes</v>
      </c>
      <c r="AW17" s="1" t="str">
        <f>IF($AF17=0,"",CHOOSE($AF17,INDEX(nINT_Calculation_Mode_Used,$AH17)&amp;"","Q1","Q2","Q3","Q4","Q5","Q6","Q7","Q8","Q9","Q10","Q11"))</f>
        <v>C7 (C1)</v>
      </c>
      <c r="AX17" s="1" t="str">
        <f>IF($AF17=0,"",CHOOSE($AF17,INDEX(nINT_Anchor_Type,$AH17)&amp;"","","","","","","","","","","",""))</f>
        <v>CESSATION</v>
      </c>
      <c r="AY17" s="1" t="str">
        <f>IF($AF17=0,"",CHOOSE($AF17,IF(INDEX(nINT_K_Ok,$AH17)=1,INDEX(nINT_Anchor_Record_ID_Used,$AH17)&amp;"",""),"","","","","","","","","","",""))</f>
        <v>EX-A/STOP</v>
      </c>
      <c r="AZ17" s="1" t="str">
        <f>IF($AF17=0,"",CHOOSE($AF17,INDEX(nINT_Anchor_Description,$AH17)&amp;"","","","","","","","","","","",""))</f>
        <v/>
      </c>
      <c r="BA17" s="1" t="str">
        <f>IF($AF17=0,"",CHOOSE($AF17,INDEX(nINT_Sequence_Status,$AH17)&amp;"","","","","","","","","","","",""))</f>
        <v>AFTER</v>
      </c>
      <c r="BB17" s="1" t="str">
        <f>IF($AF17=0,"",CHOOSE($AF17,INDEX(nINT_Treatment_Day,$AH17),"","","","","","","","","","",""))</f>
        <v/>
      </c>
      <c r="BC17" s="1" t="str">
        <f>IF($AF17=0,"",CHOOSE($AF17,INDEX(nINT_Reported_Timing_Result,$AH17)&amp;"","","","","","","","","","","",""))</f>
        <v/>
      </c>
      <c r="BD17" s="1" t="str">
        <f>IF($AF17=0,"",CHOOSE($AF17,IF(INDEX(nINT_K_HasC,$AH17)=1,INDEX(nINT_Constraint_Source,$AH17)&amp;"",""),"","","","","","","","","","",""))</f>
        <v/>
      </c>
      <c r="BE17" s="1" t="str">
        <f>IF($AF17=0,"",CHOOSE($AF17,"",INDEX(nQ1_Results_Text,$AH17)&amp;"",INDEX(nQ2_Results_Text,$AH17)&amp;"",INDEX(nQ3_Results_Text,$AH17)&amp;"",INDEX(nQ4_Results_Text,$AH17)&amp;"",INDEX(nQ5_Results_Text,$AH17)&amp;"",INDEX(nQ6_Results_Text,$AH17)&amp;"",INDEX(nQ7_Results_Text,$AH17)&amp;"",INDEX(nQ8_Results_Text,$AH17)&amp;"",INDEX(nQ9_Results_Text,$AH17)&amp;"",INDEX(nQ10_Results_Text,$AH17)&amp;"",INDEX(nQ11_Results_Text,$AH17)&amp;""))</f>
        <v/>
      </c>
      <c r="BF17" s="1" t="str">
        <f>IF($AF17=0,"",CHOOSE($AF17,INDEX(nINT_Parameter_Set,$AH17)&amp;"",INDEX(nQ1_Parameter_Set,$AH17)&amp;"",INDEX(nQ2_Parameter_Set,$AH17)&amp;"",INDEX(nQ3_Parameter_Set,$AH17)&amp;"",INDEX(nQ4_Parameter_Set,$AH17)&amp;"",INDEX(nQ5_Parameter_Set,$AH17)&amp;"",INDEX(nQ6_Parameter_Set,$AH17)&amp;"",INDEX(nQ7_Parameter_Set,$AH17)&amp;"",INDEX(nQ8_Parameter_Set,$AH17)&amp;"",INDEX(nQ9_Parameter_Set,$AH17)&amp;"",INDEX(nQ10_Parameter_Set,$AH17)&amp;"",INDEX(nQ11_Parameter_Set,$AH17)&amp;""))</f>
        <v>Anchor (CESSATION) EX-A/STOP: 2026-01-10T09:16-05:00 [timestamp with UTC offset; case measurement; original: "09:16 infusion stopped, doctor called"; source: Nursing chart] | End point M-IMPROVE: 2026-01-10T09:35-05:00 [timestamp with UTC offset; case measurement; original: "09:35 wheeze settling, BP 108/70"; source: Nursing chart]</v>
      </c>
      <c r="BG17" s="1" t="str">
        <f>IF($AF17=0,"",CHOOSE($AF17,INDEX(nINT_Assumptions,$AH17)&amp;"",INDEX(nQ1_Assumptions,$AH17)&amp;"",INDEX(nQ2_Assumptions,$AH17)&amp;"",INDEX(nQ3_Assumptions,$AH17)&amp;"",INDEX(nQ4_Assumptions,$AH17)&amp;"",INDEX(nQ5_Assumptions,$AH17)&amp;"",INDEX(nQ6_Assumptions,$AH17)&amp;"",INDEX(nQ7_Assumptions,$AH17)&amp;"",INDEX(nQ8_Assumptions,$AH17)&amp;"",INDEX(nQ9_Assumptions,$AH17)&amp;"",INDEX(nQ10_Assumptions,$AH17)&amp;"",INDEX(nQ11_Assumptions,$AH17)&amp;""))</f>
        <v>Recovery interval (C7) computed with C1. | Intervention recorded between cessation and recovery (ends included): M-EMERG (Emergency medicines administered (agents not given here)).</v>
      </c>
      <c r="BH17" s="1" t="str">
        <f>IF($AF17=0,"",CHOOSE($AF17,INDEX(nINT_Calculation_Version,$AH17)&amp;"",INDEX(nQ1_Calculation_Version,$AH17)&amp;"",INDEX(nQ2_Calculation_Version,$AH17)&amp;"",INDEX(nQ3_Calculation_Version,$AH17)&amp;"",INDEX(nQ4_Calculation_Version,$AH17)&amp;"",INDEX(nQ5_Calculation_Version,$AH17)&amp;"",INDEX(nQ6_Calculation_Version,$AH17)&amp;"",INDEX(nQ7_Calculation_Version,$AH17)&amp;"",INDEX(nQ8_Calculation_Version,$AH17)&amp;"",INDEX(nQ9_Calculation_Version,$AH17)&amp;"",INDEX(nQ10_Calculation_Version,$AH17)&amp;"",INDEX(nQ11_Calculation_Version,$AH17)&amp;""))</f>
        <v>CALC-SPEC 1.1</v>
      </c>
      <c r="BI17" s="1" t="str">
        <f>IF($AF17=0,"",CHOOSE($AF17,INDEX(nINT_QC_Flags,$AH17)&amp;"",INDEX(nQ1_QC_Flags,$AH17)&amp;"",INDEX(nQ2_QC_Flags,$AH17)&amp;"",INDEX(nQ3_QC_Flags,$AH17)&amp;"",INDEX(nQ4_QC_Flags,$AH17)&amp;"",INDEX(nQ5_QC_Flags,$AH17)&amp;"",INDEX(nQ6_QC_Flags,$AH17)&amp;"",INDEX(nQ7_QC_Flags,$AH17)&amp;"",INDEX(nQ8_QC_Flags,$AH17)&amp;"",INDEX(nQ9_QC_Flags,$AH17)&amp;"",INDEX(nQ10_QC_Flags,$AH17)&amp;"",INDEX(nQ11_QC_Flags,$AH17)&amp;""))</f>
        <v>W_INTERVENTION_BEFORE_RECOVERY</v>
      </c>
      <c r="BJ17" s="1" t="str">
        <f>IF($AF17=0,"",CHOOSE($AF17,INDEX(nINT_Messages,$AH17)&amp;"",INDEX(nQ1_Messages,$AH17)&amp;"",INDEX(nQ2_Messages,$AH17)&amp;"",INDEX(nQ3_Messages,$AH17)&amp;"",INDEX(nQ4_Messages,$AH17)&amp;"",INDEX(nQ5_Messages,$AH17)&amp;"",INDEX(nQ6_Messages,$AH17)&amp;"",INDEX(nQ7_Messages,$AH17)&amp;"",INDEX(nQ8_Messages,$AH17)&amp;"",INDEX(nQ9_Messages,$AH17)&amp;"",INDEX(nQ10_Messages,$AH17)&amp;"",INDEX(nQ11_Messages,$AH17)&amp;""))</f>
        <v>W_INTERVENTION_BEFORE_RECOVERY: Treatment was given before recovery, so recovery cannot be attributed to withdrawal alone.</v>
      </c>
      <c r="BK17" s="1" t="str">
        <f>IF($AF17=0,"",CHOOSE($AF17,INDEX(nINT_Limitations,$AH17)&amp;"",INDEX(nQ1_Mandatory_Text,$AH17)&amp;"",INDEX(nQ2_Mandatory_Text,$AH17)&amp;"",INDEX(nQ3_Mandatory_Text,$AH17)&amp;"",INDEX(nQ4_Mandatory_Text,$AH17)&amp;"",INDEX(nQ5_Mandatory_Text,$AH17)&amp;"",INDEX(nQ6_Mandatory_Text,$AH17)&amp;"",INDEX(nQ7_Mandatory_Text,$AH17)&amp;"",INDEX(nQ8_Mandatory_Text,$AH17)&amp;"",INDEX(nQ9_Mandatory_Text,$AH17)&amp;"",INDEX(nQ10_Mandatory_Text,$AH17)&amp;"",INDEX(nQ11_Mandatory_Text,$AH17)&amp;""))</f>
        <v>The interval describes the sequence and spacing of recorded times; it is not evidence of causation. A recovery interval is not, by itself, evidence of positive dechallenge.</v>
      </c>
      <c r="BL17" s="1" t="str">
        <f t="shared" si="33"/>
        <v>not stamped</v>
      </c>
      <c r="BM17" s="1" t="str">
        <f t="shared" si="34"/>
        <v>TTO Companion Tools v1.1</v>
      </c>
      <c r="CA17" s="1" t="s">
        <v>2144</v>
      </c>
      <c r="CB17" s="1">
        <f>COUNTIF(nQ9_CaseKey,$H$4)</f>
        <v>1</v>
      </c>
      <c r="CC17" s="1">
        <f>CC16+CB16</f>
        <v>14</v>
      </c>
    </row>
    <row r="18" spans="1:81" x14ac:dyDescent="0.2">
      <c r="A18" s="21" t="str">
        <f t="shared" si="0"/>
        <v>EX-C01</v>
      </c>
      <c r="B18" s="21">
        <f t="shared" si="1"/>
        <v>2</v>
      </c>
      <c r="C18" s="21" t="str">
        <f t="shared" si="2"/>
        <v>I11</v>
      </c>
      <c r="D18" s="21" t="str">
        <f t="shared" si="3"/>
        <v>M-EMERG → M-IMPROVE</v>
      </c>
      <c r="E18" s="21" t="str">
        <f t="shared" si="4"/>
        <v>L1</v>
      </c>
      <c r="F18" s="21" t="str">
        <f t="shared" si="5"/>
        <v>EX-A</v>
      </c>
      <c r="G18" s="21" t="str">
        <f t="shared" si="6"/>
        <v>EV-1</v>
      </c>
      <c r="H18" s="21" t="str">
        <f t="shared" si="7"/>
        <v>M-IMPROVE</v>
      </c>
      <c r="I18" s="21">
        <f t="shared" si="8"/>
        <v>17</v>
      </c>
      <c r="J18" s="21" t="str">
        <f t="shared" si="9"/>
        <v/>
      </c>
      <c r="K18" s="21" t="str">
        <f t="shared" si="10"/>
        <v/>
      </c>
      <c r="L18" s="21" t="str">
        <f t="shared" si="11"/>
        <v>minutes</v>
      </c>
      <c r="M18" s="21" t="str">
        <f t="shared" si="12"/>
        <v>17 minutes</v>
      </c>
      <c r="N18" s="21" t="str">
        <f t="shared" si="13"/>
        <v>C1</v>
      </c>
      <c r="O18" s="21" t="str">
        <f t="shared" si="14"/>
        <v>OTHER</v>
      </c>
      <c r="P18" s="21" t="str">
        <f t="shared" si="15"/>
        <v>M-EMERG</v>
      </c>
      <c r="Q18" s="21" t="str">
        <f t="shared" si="16"/>
        <v>Start of emergency treatment</v>
      </c>
      <c r="R18" s="21" t="str">
        <f t="shared" si="17"/>
        <v>AFTER</v>
      </c>
      <c r="S18" s="21" t="str">
        <f t="shared" si="18"/>
        <v/>
      </c>
      <c r="T18" s="21" t="str">
        <f t="shared" si="19"/>
        <v/>
      </c>
      <c r="U18" s="21" t="str">
        <f t="shared" si="20"/>
        <v/>
      </c>
      <c r="V18" s="21" t="str">
        <f t="shared" si="21"/>
        <v/>
      </c>
      <c r="W18" s="21" t="str">
        <f t="shared" si="22"/>
        <v>Anchor (OTHER) M-EMERG: 2026-01-10T09:18-05:00 [timestamp with UTC offset; case measurement; original: "Emergency medicines administered from 09:18"; source: Medication administration record] | End point M-IMPROVE: 2026-01-10T09:35-05:00 [timestamp with UTC offset; case measurement; original: "09:35 wheeze settling, BP 108/70"; source: Nursing chart]</v>
      </c>
      <c r="X18" s="21" t="str">
        <f t="shared" si="23"/>
        <v/>
      </c>
      <c r="Y18" s="21" t="str">
        <f t="shared" si="24"/>
        <v>CALC-SPEC 1.1</v>
      </c>
      <c r="Z18" s="21" t="str">
        <f t="shared" si="25"/>
        <v/>
      </c>
      <c r="AA18" s="21" t="str">
        <f t="shared" si="26"/>
        <v/>
      </c>
      <c r="AB18" s="21" t="str">
        <f t="shared" si="27"/>
        <v>The interval describes the sequence and spacing of recorded times; it is not evidence of causation.</v>
      </c>
      <c r="AC18" s="21" t="str">
        <f t="shared" si="28"/>
        <v>not stamped</v>
      </c>
      <c r="AD18" s="21" t="str">
        <f t="shared" si="29"/>
        <v>TTO Companion Tools v1.1</v>
      </c>
      <c r="AE18" s="1">
        <f t="shared" si="30"/>
        <v>11</v>
      </c>
      <c r="AF18" s="1">
        <f t="shared" si="31"/>
        <v>1</v>
      </c>
      <c r="AG18" s="1">
        <f t="shared" si="32"/>
        <v>11</v>
      </c>
      <c r="AH18" s="1">
        <f>IF(AF18=0,0,CHOOSE(AF18,IFERROR(_xlfn.AGGREGATE(15,6,(ROW(nINT_CaseKey)-ROW(INDEX(nINT_CaseKey,1,1))+1)/((nINT_CaseKey=$H$4)*(nINT_RowEmpty=0)),AG18),0),IFERROR(_xlfn.AGGREGATE(15,6,(ROW(nQ1_CaseKey)-ROW(INDEX(nQ1_CaseKey,1,1))+1)/((nQ1_CaseKey=$H$4)),AG18),0),IFERROR(_xlfn.AGGREGATE(15,6,(ROW(nQ2_CaseKey)-ROW(INDEX(nQ2_CaseKey,1,1))+1)/((nQ2_CaseKey=$H$4)),AG18),0),IFERROR(_xlfn.AGGREGATE(15,6,(ROW(nQ3_CaseKey)-ROW(INDEX(nQ3_CaseKey,1,1))+1)/((nQ3_CaseKey=$H$4)),AG18),0),IFERROR(_xlfn.AGGREGATE(15,6,(ROW(nQ4_CaseKey)-ROW(INDEX(nQ4_CaseKey,1,1))+1)/((nQ4_CaseKey=$H$4)),AG18),0),IFERROR(_xlfn.AGGREGATE(15,6,(ROW(nQ5_CaseKey)-ROW(INDEX(nQ5_CaseKey,1,1))+1)/((nQ5_CaseKey=$H$4)),AG18),0),IFERROR(_xlfn.AGGREGATE(15,6,(ROW(nQ6_CaseKey)-ROW(INDEX(nQ6_CaseKey,1,1))+1)/((nQ6_CaseKey=$H$4)),AG18),0),IFERROR(_xlfn.AGGREGATE(15,6,(ROW(nQ7_CaseKey)-ROW(INDEX(nQ7_CaseKey,1,1))+1)/((nQ7_CaseKey=$H$4)),AG18),0),IFERROR(_xlfn.AGGREGATE(15,6,(ROW(nQ8_CaseKey)-ROW(INDEX(nQ8_CaseKey,1,1))+1)/((nQ8_CaseKey=$H$4)),AG18),0),IFERROR(_xlfn.AGGREGATE(15,6,(ROW(nQ9_CaseKey)-ROW(INDEX(nQ9_CaseKey,1,1))+1)/((nQ9_CaseKey=$H$4)),AG18),0),IFERROR(_xlfn.AGGREGATE(15,6,(ROW(nQ10_CaseKey)-ROW(INDEX(nQ10_CaseKey,1,1))+1)/((nQ10_CaseKey=$H$4)),AG18),0),IFERROR(_xlfn.AGGREGATE(15,6,(ROW(nQ11_CaseKey)-ROW(INDEX(nQ11_CaseKey,1,1))+1)/((nQ11_CaseKey=$H$4)),AG18),0)))</f>
        <v>52</v>
      </c>
      <c r="AJ18" s="1" t="str">
        <f>IF($AF18=0,"",CHOOSE($AF18,INDEX(nINT_Case_ID,$AH18)&amp;"",INDEX(nQ1_Case_ID,$AH18)&amp;"",INDEX(nQ2_Case_ID,$AH18)&amp;"",INDEX(nQ3_Case_ID,$AH18)&amp;"",INDEX(nQ4_Case_ID,$AH18)&amp;"",INDEX(nQ5_Case_ID,$AH18)&amp;"",INDEX(nQ6_Case_ID,$AH18)&amp;"",INDEX(nQ7_Case_ID,$AH18)&amp;"",INDEX(nQ8_Case_ID,$AH18)&amp;"",INDEX(nQ9_Case_ID,$AH18)&amp;"",INDEX(nQ10_Case_ID,$AH18)&amp;"",INDEX(nQ11_Case_ID,$AH18)&amp;""))</f>
        <v>EX-C01</v>
      </c>
      <c r="AK18" s="1">
        <f>IF($AF18=0,"",CHOOSE($AF18,INDEX(nINT_Case_Version,$AH18),INDEX(nQ1_Case_Version,$AH18),INDEX(nQ2_Case_Version,$AH18),INDEX(nQ3_Case_Version,$AH18),INDEX(nQ4_Case_Version,$AH18),INDEX(nQ5_Case_Version,$AH18),INDEX(nQ6_Case_Version,$AH18),INDEX(nQ7_Case_Version,$AH18),INDEX(nQ8_Case_Version,$AH18),INDEX(nQ9_Case_Version,$AH18),INDEX(nQ10_Case_Version,$AH18),INDEX(nQ11_Case_Version,$AH18)))</f>
        <v>2</v>
      </c>
      <c r="AL18" s="1" t="str">
        <f>IF($AF18=0,"",CHOOSE($AF18,INDEX(nINT_Interval_ID,$AH18)&amp;"",INDEX(nQ1_Calc_ID,$AH18)&amp;"",INDEX(nQ2_Calc_ID,$AH18)&amp;"",INDEX(nQ3_Calc_ID,$AH18)&amp;"",INDEX(nQ4_Calc_ID,$AH18)&amp;"",INDEX(nQ5_Calc_ID,$AH18)&amp;"",INDEX(nQ6_Calc_ID,$AH18)&amp;"",INDEX(nQ7_Calc_ID,$AH18)&amp;"",INDEX(nQ8_Calc_ID,$AH18)&amp;"",INDEX(nQ9_Calc_ID,$AH18)&amp;"",INDEX(nQ10_Calc_ID,$AH18)&amp;"",INDEX(nQ11_Calc_ID,$AH18)&amp;""))</f>
        <v>I11</v>
      </c>
      <c r="AM18" s="1" t="str">
        <f>IF($AF18=0,"",CHOOSE($AF18,INDEX(nINT_Label,$AH18)&amp;"",INDEX(nQ1_Label_Out,$AH18)&amp;"",INDEX(nQ2_Label_Out,$AH18)&amp;"",INDEX(nQ3_Label_Out,$AH18)&amp;"",INDEX(nQ4_Label_Out,$AH18)&amp;"",INDEX(nQ5_Label_Out,$AH18)&amp;"",INDEX(nQ6_Label_Out,$AH18)&amp;"",INDEX(nQ7_Label_Out,$AH18)&amp;"",INDEX(nQ8_Label_Out,$AH18)&amp;"",INDEX(nQ9_Label_Out,$AH18)&amp;"",INDEX(nQ10_Label_Out,$AH18)&amp;"",INDEX(nQ11_Label_Out,$AH18)&amp;""))</f>
        <v>M-EMERG → M-IMPROVE</v>
      </c>
      <c r="AN18" s="1" t="str">
        <f>IF($AF18=0,"",CHOOSE($AF18,IF(INDEX(nINT_LinkRow,$AH18)=0,"",INDEX(nINT_Link_ID,$AH18)&amp;""),"","","","","","","","","","",""))</f>
        <v>L1</v>
      </c>
      <c r="AO18" s="1" t="str">
        <f>IF($AF18=0,"",CHOOSE($AF18,INDEX(nINT_Exposure_Episode_ID,$AH18)&amp;"","","","","","","","","","","",""))</f>
        <v>EX-A</v>
      </c>
      <c r="AP18" s="1" t="str">
        <f>IF($AF18=0,"",CHOOSE($AF18,INDEX(nINT_Event_Episode_ID,$AH18)&amp;"","","","","","","","","","","",""))</f>
        <v>EV-1</v>
      </c>
      <c r="AQ18" s="1" t="str">
        <f>IF($AF18=0,"",CHOOSE($AF18,INDEX(nINT_End_Record_ID_Used,$AH18)&amp;"","","","","","","","","","","",""))</f>
        <v>M-IMPROVE</v>
      </c>
      <c r="AR18" s="1">
        <f>IF($AF18=0,"",CHOOSE($AF18,INDEX(nINT_Interval_Value,$AH18),"","","","","","","","","","",""))</f>
        <v>17</v>
      </c>
      <c r="AS18" s="1" t="str">
        <f>IF($AF18=0,"",CHOOSE($AF18,INDEX(nINT_Interval_Minimum,$AH18),"","","","","","","","","","",""))</f>
        <v/>
      </c>
      <c r="AT18" s="1" t="str">
        <f>IF($AF18=0,"",CHOOSE($AF18,INDEX(nINT_Interval_Maximum,$AH18),"","","","","","","","","","",""))</f>
        <v/>
      </c>
      <c r="AU18" s="1" t="str">
        <f>IF($AF18=0,"",CHOOSE($AF18,INDEX(nINT_Unit,$AH18)&amp;"",INDEX(nQ1_Unit_Out,$AH18)&amp;"",INDEX(nQ2_Unit_Out,$AH18)&amp;"",INDEX(nQ3_Unit_Out,$AH18)&amp;"",INDEX(nQ4_Unit_Out,$AH18)&amp;"",INDEX(nQ5_Unit_Out,$AH18)&amp;"",INDEX(nQ6_Unit_Out,$AH18)&amp;"",INDEX(nQ7_Unit_Out,$AH18)&amp;"",INDEX(nQ8_Unit_Out,$AH18)&amp;"",INDEX(nQ9_Unit_Out,$AH18)&amp;"",INDEX(nQ10_Unit_Out,$AH18)&amp;"",INDEX(nQ11_Unit_Out,$AH18)&amp;""))</f>
        <v>minutes</v>
      </c>
      <c r="AV18" s="1" t="str">
        <f>IF($AF18=0,"",CHOOSE($AF18,INDEX(nINT_Displayed_Value,$AH18)&amp;"",INDEX(nQ1_Displayed_Value,$AH18)&amp;"",INDEX(nQ2_Displayed_Value,$AH18)&amp;"",INDEX(nQ3_Displayed_Value,$AH18)&amp;"",INDEX(nQ4_Displayed_Value,$AH18)&amp;"",INDEX(nQ5_Displayed_Value,$AH18)&amp;"",INDEX(nQ6_Displayed_Value,$AH18)&amp;"",INDEX(nQ7_Displayed_Value,$AH18)&amp;"",INDEX(nQ8_Displayed_Value,$AH18)&amp;"",INDEX(nQ9_Displayed_Value,$AH18)&amp;"",INDEX(nQ10_Displayed_Value,$AH18)&amp;"",INDEX(nQ11_Displayed_Value,$AH18)&amp;""))</f>
        <v>17 minutes</v>
      </c>
      <c r="AW18" s="1" t="str">
        <f>IF($AF18=0,"",CHOOSE($AF18,INDEX(nINT_Calculation_Mode_Used,$AH18)&amp;"","Q1","Q2","Q3","Q4","Q5","Q6","Q7","Q8","Q9","Q10","Q11"))</f>
        <v>C1</v>
      </c>
      <c r="AX18" s="1" t="str">
        <f>IF($AF18=0,"",CHOOSE($AF18,INDEX(nINT_Anchor_Type,$AH18)&amp;"","","","","","","","","","","",""))</f>
        <v>OTHER</v>
      </c>
      <c r="AY18" s="1" t="str">
        <f>IF($AF18=0,"",CHOOSE($AF18,IF(INDEX(nINT_K_Ok,$AH18)=1,INDEX(nINT_Anchor_Record_ID_Used,$AH18)&amp;"",""),"","","","","","","","","","",""))</f>
        <v>M-EMERG</v>
      </c>
      <c r="AZ18" s="1" t="str">
        <f>IF($AF18=0,"",CHOOSE($AF18,INDEX(nINT_Anchor_Description,$AH18)&amp;"","","","","","","","","","","",""))</f>
        <v>Start of emergency treatment</v>
      </c>
      <c r="BA18" s="1" t="str">
        <f>IF($AF18=0,"",CHOOSE($AF18,INDEX(nINT_Sequence_Status,$AH18)&amp;"","","","","","","","","","","",""))</f>
        <v>AFTER</v>
      </c>
      <c r="BB18" s="1" t="str">
        <f>IF($AF18=0,"",CHOOSE($AF18,INDEX(nINT_Treatment_Day,$AH18),"","","","","","","","","","",""))</f>
        <v/>
      </c>
      <c r="BC18" s="1" t="str">
        <f>IF($AF18=0,"",CHOOSE($AF18,INDEX(nINT_Reported_Timing_Result,$AH18)&amp;"","","","","","","","","","","",""))</f>
        <v/>
      </c>
      <c r="BD18" s="1" t="str">
        <f>IF($AF18=0,"",CHOOSE($AF18,IF(INDEX(nINT_K_HasC,$AH18)=1,INDEX(nINT_Constraint_Source,$AH18)&amp;"",""),"","","","","","","","","","",""))</f>
        <v/>
      </c>
      <c r="BE18" s="1" t="str">
        <f>IF($AF18=0,"",CHOOSE($AF18,"",INDEX(nQ1_Results_Text,$AH18)&amp;"",INDEX(nQ2_Results_Text,$AH18)&amp;"",INDEX(nQ3_Results_Text,$AH18)&amp;"",INDEX(nQ4_Results_Text,$AH18)&amp;"",INDEX(nQ5_Results_Text,$AH18)&amp;"",INDEX(nQ6_Results_Text,$AH18)&amp;"",INDEX(nQ7_Results_Text,$AH18)&amp;"",INDEX(nQ8_Results_Text,$AH18)&amp;"",INDEX(nQ9_Results_Text,$AH18)&amp;"",INDEX(nQ10_Results_Text,$AH18)&amp;"",INDEX(nQ11_Results_Text,$AH18)&amp;""))</f>
        <v/>
      </c>
      <c r="BF18" s="1" t="str">
        <f>IF($AF18=0,"",CHOOSE($AF18,INDEX(nINT_Parameter_Set,$AH18)&amp;"",INDEX(nQ1_Parameter_Set,$AH18)&amp;"",INDEX(nQ2_Parameter_Set,$AH18)&amp;"",INDEX(nQ3_Parameter_Set,$AH18)&amp;"",INDEX(nQ4_Parameter_Set,$AH18)&amp;"",INDEX(nQ5_Parameter_Set,$AH18)&amp;"",INDEX(nQ6_Parameter_Set,$AH18)&amp;"",INDEX(nQ7_Parameter_Set,$AH18)&amp;"",INDEX(nQ8_Parameter_Set,$AH18)&amp;"",INDEX(nQ9_Parameter_Set,$AH18)&amp;"",INDEX(nQ10_Parameter_Set,$AH18)&amp;"",INDEX(nQ11_Parameter_Set,$AH18)&amp;""))</f>
        <v>Anchor (OTHER) M-EMERG: 2026-01-10T09:18-05:00 [timestamp with UTC offset; case measurement; original: "Emergency medicines administered from 09:18"; source: Medication administration record] | End point M-IMPROVE: 2026-01-10T09:35-05:00 [timestamp with UTC offset; case measurement; original: "09:35 wheeze settling, BP 108/70"; source: Nursing chart]</v>
      </c>
      <c r="BG18" s="1" t="str">
        <f>IF($AF18=0,"",CHOOSE($AF18,INDEX(nINT_Assumptions,$AH18)&amp;"",INDEX(nQ1_Assumptions,$AH18)&amp;"",INDEX(nQ2_Assumptions,$AH18)&amp;"",INDEX(nQ3_Assumptions,$AH18)&amp;"",INDEX(nQ4_Assumptions,$AH18)&amp;"",INDEX(nQ5_Assumptions,$AH18)&amp;"",INDEX(nQ6_Assumptions,$AH18)&amp;"",INDEX(nQ7_Assumptions,$AH18)&amp;"",INDEX(nQ8_Assumptions,$AH18)&amp;"",INDEX(nQ9_Assumptions,$AH18)&amp;"",INDEX(nQ10_Assumptions,$AH18)&amp;"",INDEX(nQ11_Assumptions,$AH18)&amp;""))</f>
        <v/>
      </c>
      <c r="BH18" s="1" t="str">
        <f>IF($AF18=0,"",CHOOSE($AF18,INDEX(nINT_Calculation_Version,$AH18)&amp;"",INDEX(nQ1_Calculation_Version,$AH18)&amp;"",INDEX(nQ2_Calculation_Version,$AH18)&amp;"",INDEX(nQ3_Calculation_Version,$AH18)&amp;"",INDEX(nQ4_Calculation_Version,$AH18)&amp;"",INDEX(nQ5_Calculation_Version,$AH18)&amp;"",INDEX(nQ6_Calculation_Version,$AH18)&amp;"",INDEX(nQ7_Calculation_Version,$AH18)&amp;"",INDEX(nQ8_Calculation_Version,$AH18)&amp;"",INDEX(nQ9_Calculation_Version,$AH18)&amp;"",INDEX(nQ10_Calculation_Version,$AH18)&amp;"",INDEX(nQ11_Calculation_Version,$AH18)&amp;""))</f>
        <v>CALC-SPEC 1.1</v>
      </c>
      <c r="BI18" s="1" t="str">
        <f>IF($AF18=0,"",CHOOSE($AF18,INDEX(nINT_QC_Flags,$AH18)&amp;"",INDEX(nQ1_QC_Flags,$AH18)&amp;"",INDEX(nQ2_QC_Flags,$AH18)&amp;"",INDEX(nQ3_QC_Flags,$AH18)&amp;"",INDEX(nQ4_QC_Flags,$AH18)&amp;"",INDEX(nQ5_QC_Flags,$AH18)&amp;"",INDEX(nQ6_QC_Flags,$AH18)&amp;"",INDEX(nQ7_QC_Flags,$AH18)&amp;"",INDEX(nQ8_QC_Flags,$AH18)&amp;"",INDEX(nQ9_QC_Flags,$AH18)&amp;"",INDEX(nQ10_QC_Flags,$AH18)&amp;"",INDEX(nQ11_QC_Flags,$AH18)&amp;""))</f>
        <v/>
      </c>
      <c r="BJ18" s="1" t="str">
        <f>IF($AF18=0,"",CHOOSE($AF18,INDEX(nINT_Messages,$AH18)&amp;"",INDEX(nQ1_Messages,$AH18)&amp;"",INDEX(nQ2_Messages,$AH18)&amp;"",INDEX(nQ3_Messages,$AH18)&amp;"",INDEX(nQ4_Messages,$AH18)&amp;"",INDEX(nQ5_Messages,$AH18)&amp;"",INDEX(nQ6_Messages,$AH18)&amp;"",INDEX(nQ7_Messages,$AH18)&amp;"",INDEX(nQ8_Messages,$AH18)&amp;"",INDEX(nQ9_Messages,$AH18)&amp;"",INDEX(nQ10_Messages,$AH18)&amp;"",INDEX(nQ11_Messages,$AH18)&amp;""))</f>
        <v/>
      </c>
      <c r="BK18" s="1" t="str">
        <f>IF($AF18=0,"",CHOOSE($AF18,INDEX(nINT_Limitations,$AH18)&amp;"",INDEX(nQ1_Mandatory_Text,$AH18)&amp;"",INDEX(nQ2_Mandatory_Text,$AH18)&amp;"",INDEX(nQ3_Mandatory_Text,$AH18)&amp;"",INDEX(nQ4_Mandatory_Text,$AH18)&amp;"",INDEX(nQ5_Mandatory_Text,$AH18)&amp;"",INDEX(nQ6_Mandatory_Text,$AH18)&amp;"",INDEX(nQ7_Mandatory_Text,$AH18)&amp;"",INDEX(nQ8_Mandatory_Text,$AH18)&amp;"",INDEX(nQ9_Mandatory_Text,$AH18)&amp;"",INDEX(nQ10_Mandatory_Text,$AH18)&amp;"",INDEX(nQ11_Mandatory_Text,$AH18)&amp;""))</f>
        <v>The interval describes the sequence and spacing of recorded times; it is not evidence of causation.</v>
      </c>
      <c r="BL18" s="1" t="str">
        <f t="shared" si="33"/>
        <v>not stamped</v>
      </c>
      <c r="BM18" s="1" t="str">
        <f t="shared" si="34"/>
        <v>TTO Companion Tools v1.1</v>
      </c>
      <c r="CA18" s="1" t="s">
        <v>2148</v>
      </c>
      <c r="CB18" s="1">
        <f>COUNTIF(nQ10_CaseKey,$H$4)</f>
        <v>0</v>
      </c>
      <c r="CC18" s="1">
        <f>CC17+CB17</f>
        <v>15</v>
      </c>
    </row>
    <row r="19" spans="1:81" x14ac:dyDescent="0.2">
      <c r="A19" s="21" t="str">
        <f t="shared" si="0"/>
        <v>EX-C01</v>
      </c>
      <c r="B19" s="21">
        <f t="shared" si="1"/>
        <v>2</v>
      </c>
      <c r="C19" s="21" t="str">
        <f t="shared" si="2"/>
        <v>I12</v>
      </c>
      <c r="D19" s="21" t="str">
        <f t="shared" si="3"/>
        <v>EV-1/ONSET → M-IMPROVE</v>
      </c>
      <c r="E19" s="21" t="str">
        <f t="shared" si="4"/>
        <v>L1</v>
      </c>
      <c r="F19" s="21" t="str">
        <f t="shared" si="5"/>
        <v>EX-A</v>
      </c>
      <c r="G19" s="21" t="str">
        <f t="shared" si="6"/>
        <v>EV-1</v>
      </c>
      <c r="H19" s="21" t="str">
        <f t="shared" si="7"/>
        <v>M-IMPROVE</v>
      </c>
      <c r="I19" s="21">
        <f t="shared" si="8"/>
        <v>20</v>
      </c>
      <c r="J19" s="21" t="str">
        <f t="shared" si="9"/>
        <v/>
      </c>
      <c r="K19" s="21" t="str">
        <f t="shared" si="10"/>
        <v/>
      </c>
      <c r="L19" s="21" t="str">
        <f t="shared" si="11"/>
        <v>minutes</v>
      </c>
      <c r="M19" s="21" t="str">
        <f t="shared" si="12"/>
        <v>20 minutes</v>
      </c>
      <c r="N19" s="21" t="str">
        <f t="shared" si="13"/>
        <v>C1</v>
      </c>
      <c r="O19" s="21" t="str">
        <f t="shared" si="14"/>
        <v>OTHER</v>
      </c>
      <c r="P19" s="21" t="str">
        <f t="shared" si="15"/>
        <v>EV-1/ONSET</v>
      </c>
      <c r="Q19" s="21" t="str">
        <f t="shared" si="16"/>
        <v>Onset of the reaction</v>
      </c>
      <c r="R19" s="21" t="str">
        <f t="shared" si="17"/>
        <v>AFTER</v>
      </c>
      <c r="S19" s="21" t="str">
        <f t="shared" si="18"/>
        <v/>
      </c>
      <c r="T19" s="21" t="str">
        <f t="shared" si="19"/>
        <v/>
      </c>
      <c r="U19" s="21" t="str">
        <f t="shared" si="20"/>
        <v/>
      </c>
      <c r="V19" s="21" t="str">
        <f t="shared" si="21"/>
        <v/>
      </c>
      <c r="W19" s="21" t="str">
        <f t="shared" si="22"/>
        <v>Anchor (OTHER) EV-1/ONSET: 2026-01-10T09:15-05:00 [timestamp with UTC offset; case measurement; original: "09:15 pt reports itching; urticaria chest and arms; audible wheeze; BP 84/52"; source: Nursing observation chart] | End point M-IMPROVE: 2026-01-10T09:35-05:00 [timestamp with UTC offset; case measurement; original: "09:35 wheeze settling, BP 108/70"; source: Nursing chart]</v>
      </c>
      <c r="X19" s="21" t="str">
        <f t="shared" si="23"/>
        <v/>
      </c>
      <c r="Y19" s="21" t="str">
        <f t="shared" si="24"/>
        <v>CALC-SPEC 1.1</v>
      </c>
      <c r="Z19" s="21" t="str">
        <f t="shared" si="25"/>
        <v/>
      </c>
      <c r="AA19" s="21" t="str">
        <f t="shared" si="26"/>
        <v/>
      </c>
      <c r="AB19" s="21" t="str">
        <f t="shared" si="27"/>
        <v>The interval describes the sequence and spacing of recorded times; it is not evidence of causation.</v>
      </c>
      <c r="AC19" s="21" t="str">
        <f t="shared" si="28"/>
        <v>not stamped</v>
      </c>
      <c r="AD19" s="21" t="str">
        <f t="shared" si="29"/>
        <v>TTO Companion Tools v1.1</v>
      </c>
      <c r="AE19" s="1">
        <f t="shared" si="30"/>
        <v>12</v>
      </c>
      <c r="AF19" s="1">
        <f t="shared" si="31"/>
        <v>1</v>
      </c>
      <c r="AG19" s="1">
        <f t="shared" si="32"/>
        <v>12</v>
      </c>
      <c r="AH19" s="1">
        <f>IF(AF19=0,0,CHOOSE(AF19,IFERROR(_xlfn.AGGREGATE(15,6,(ROW(nINT_CaseKey)-ROW(INDEX(nINT_CaseKey,1,1))+1)/((nINT_CaseKey=$H$4)*(nINT_RowEmpty=0)),AG19),0),IFERROR(_xlfn.AGGREGATE(15,6,(ROW(nQ1_CaseKey)-ROW(INDEX(nQ1_CaseKey,1,1))+1)/((nQ1_CaseKey=$H$4)),AG19),0),IFERROR(_xlfn.AGGREGATE(15,6,(ROW(nQ2_CaseKey)-ROW(INDEX(nQ2_CaseKey,1,1))+1)/((nQ2_CaseKey=$H$4)),AG19),0),IFERROR(_xlfn.AGGREGATE(15,6,(ROW(nQ3_CaseKey)-ROW(INDEX(nQ3_CaseKey,1,1))+1)/((nQ3_CaseKey=$H$4)),AG19),0),IFERROR(_xlfn.AGGREGATE(15,6,(ROW(nQ4_CaseKey)-ROW(INDEX(nQ4_CaseKey,1,1))+1)/((nQ4_CaseKey=$H$4)),AG19),0),IFERROR(_xlfn.AGGREGATE(15,6,(ROW(nQ5_CaseKey)-ROW(INDEX(nQ5_CaseKey,1,1))+1)/((nQ5_CaseKey=$H$4)),AG19),0),IFERROR(_xlfn.AGGREGATE(15,6,(ROW(nQ6_CaseKey)-ROW(INDEX(nQ6_CaseKey,1,1))+1)/((nQ6_CaseKey=$H$4)),AG19),0),IFERROR(_xlfn.AGGREGATE(15,6,(ROW(nQ7_CaseKey)-ROW(INDEX(nQ7_CaseKey,1,1))+1)/((nQ7_CaseKey=$H$4)),AG19),0),IFERROR(_xlfn.AGGREGATE(15,6,(ROW(nQ8_CaseKey)-ROW(INDEX(nQ8_CaseKey,1,1))+1)/((nQ8_CaseKey=$H$4)),AG19),0),IFERROR(_xlfn.AGGREGATE(15,6,(ROW(nQ9_CaseKey)-ROW(INDEX(nQ9_CaseKey,1,1))+1)/((nQ9_CaseKey=$H$4)),AG19),0),IFERROR(_xlfn.AGGREGATE(15,6,(ROW(nQ10_CaseKey)-ROW(INDEX(nQ10_CaseKey,1,1))+1)/((nQ10_CaseKey=$H$4)),AG19),0),IFERROR(_xlfn.AGGREGATE(15,6,(ROW(nQ11_CaseKey)-ROW(INDEX(nQ11_CaseKey,1,1))+1)/((nQ11_CaseKey=$H$4)),AG19),0)))</f>
        <v>53</v>
      </c>
      <c r="AJ19" s="1" t="str">
        <f>IF($AF19=0,"",CHOOSE($AF19,INDEX(nINT_Case_ID,$AH19)&amp;"",INDEX(nQ1_Case_ID,$AH19)&amp;"",INDEX(nQ2_Case_ID,$AH19)&amp;"",INDEX(nQ3_Case_ID,$AH19)&amp;"",INDEX(nQ4_Case_ID,$AH19)&amp;"",INDEX(nQ5_Case_ID,$AH19)&amp;"",INDEX(nQ6_Case_ID,$AH19)&amp;"",INDEX(nQ7_Case_ID,$AH19)&amp;"",INDEX(nQ8_Case_ID,$AH19)&amp;"",INDEX(nQ9_Case_ID,$AH19)&amp;"",INDEX(nQ10_Case_ID,$AH19)&amp;"",INDEX(nQ11_Case_ID,$AH19)&amp;""))</f>
        <v>EX-C01</v>
      </c>
      <c r="AK19" s="1">
        <f>IF($AF19=0,"",CHOOSE($AF19,INDEX(nINT_Case_Version,$AH19),INDEX(nQ1_Case_Version,$AH19),INDEX(nQ2_Case_Version,$AH19),INDEX(nQ3_Case_Version,$AH19),INDEX(nQ4_Case_Version,$AH19),INDEX(nQ5_Case_Version,$AH19),INDEX(nQ6_Case_Version,$AH19),INDEX(nQ7_Case_Version,$AH19),INDEX(nQ8_Case_Version,$AH19),INDEX(nQ9_Case_Version,$AH19),INDEX(nQ10_Case_Version,$AH19),INDEX(nQ11_Case_Version,$AH19)))</f>
        <v>2</v>
      </c>
      <c r="AL19" s="1" t="str">
        <f>IF($AF19=0,"",CHOOSE($AF19,INDEX(nINT_Interval_ID,$AH19)&amp;"",INDEX(nQ1_Calc_ID,$AH19)&amp;"",INDEX(nQ2_Calc_ID,$AH19)&amp;"",INDEX(nQ3_Calc_ID,$AH19)&amp;"",INDEX(nQ4_Calc_ID,$AH19)&amp;"",INDEX(nQ5_Calc_ID,$AH19)&amp;"",INDEX(nQ6_Calc_ID,$AH19)&amp;"",INDEX(nQ7_Calc_ID,$AH19)&amp;"",INDEX(nQ8_Calc_ID,$AH19)&amp;"",INDEX(nQ9_Calc_ID,$AH19)&amp;"",INDEX(nQ10_Calc_ID,$AH19)&amp;"",INDEX(nQ11_Calc_ID,$AH19)&amp;""))</f>
        <v>I12</v>
      </c>
      <c r="AM19" s="1" t="str">
        <f>IF($AF19=0,"",CHOOSE($AF19,INDEX(nINT_Label,$AH19)&amp;"",INDEX(nQ1_Label_Out,$AH19)&amp;"",INDEX(nQ2_Label_Out,$AH19)&amp;"",INDEX(nQ3_Label_Out,$AH19)&amp;"",INDEX(nQ4_Label_Out,$AH19)&amp;"",INDEX(nQ5_Label_Out,$AH19)&amp;"",INDEX(nQ6_Label_Out,$AH19)&amp;"",INDEX(nQ7_Label_Out,$AH19)&amp;"",INDEX(nQ8_Label_Out,$AH19)&amp;"",INDEX(nQ9_Label_Out,$AH19)&amp;"",INDEX(nQ10_Label_Out,$AH19)&amp;"",INDEX(nQ11_Label_Out,$AH19)&amp;""))</f>
        <v>EV-1/ONSET → M-IMPROVE</v>
      </c>
      <c r="AN19" s="1" t="str">
        <f>IF($AF19=0,"",CHOOSE($AF19,IF(INDEX(nINT_LinkRow,$AH19)=0,"",INDEX(nINT_Link_ID,$AH19)&amp;""),"","","","","","","","","","",""))</f>
        <v>L1</v>
      </c>
      <c r="AO19" s="1" t="str">
        <f>IF($AF19=0,"",CHOOSE($AF19,INDEX(nINT_Exposure_Episode_ID,$AH19)&amp;"","","","","","","","","","","",""))</f>
        <v>EX-A</v>
      </c>
      <c r="AP19" s="1" t="str">
        <f>IF($AF19=0,"",CHOOSE($AF19,INDEX(nINT_Event_Episode_ID,$AH19)&amp;"","","","","","","","","","","",""))</f>
        <v>EV-1</v>
      </c>
      <c r="AQ19" s="1" t="str">
        <f>IF($AF19=0,"",CHOOSE($AF19,INDEX(nINT_End_Record_ID_Used,$AH19)&amp;"","","","","","","","","","","",""))</f>
        <v>M-IMPROVE</v>
      </c>
      <c r="AR19" s="1">
        <f>IF($AF19=0,"",CHOOSE($AF19,INDEX(nINT_Interval_Value,$AH19),"","","","","","","","","","",""))</f>
        <v>20</v>
      </c>
      <c r="AS19" s="1" t="str">
        <f>IF($AF19=0,"",CHOOSE($AF19,INDEX(nINT_Interval_Minimum,$AH19),"","","","","","","","","","",""))</f>
        <v/>
      </c>
      <c r="AT19" s="1" t="str">
        <f>IF($AF19=0,"",CHOOSE($AF19,INDEX(nINT_Interval_Maximum,$AH19),"","","","","","","","","","",""))</f>
        <v/>
      </c>
      <c r="AU19" s="1" t="str">
        <f>IF($AF19=0,"",CHOOSE($AF19,INDEX(nINT_Unit,$AH19)&amp;"",INDEX(nQ1_Unit_Out,$AH19)&amp;"",INDEX(nQ2_Unit_Out,$AH19)&amp;"",INDEX(nQ3_Unit_Out,$AH19)&amp;"",INDEX(nQ4_Unit_Out,$AH19)&amp;"",INDEX(nQ5_Unit_Out,$AH19)&amp;"",INDEX(nQ6_Unit_Out,$AH19)&amp;"",INDEX(nQ7_Unit_Out,$AH19)&amp;"",INDEX(nQ8_Unit_Out,$AH19)&amp;"",INDEX(nQ9_Unit_Out,$AH19)&amp;"",INDEX(nQ10_Unit_Out,$AH19)&amp;"",INDEX(nQ11_Unit_Out,$AH19)&amp;""))</f>
        <v>minutes</v>
      </c>
      <c r="AV19" s="1" t="str">
        <f>IF($AF19=0,"",CHOOSE($AF19,INDEX(nINT_Displayed_Value,$AH19)&amp;"",INDEX(nQ1_Displayed_Value,$AH19)&amp;"",INDEX(nQ2_Displayed_Value,$AH19)&amp;"",INDEX(nQ3_Displayed_Value,$AH19)&amp;"",INDEX(nQ4_Displayed_Value,$AH19)&amp;"",INDEX(nQ5_Displayed_Value,$AH19)&amp;"",INDEX(nQ6_Displayed_Value,$AH19)&amp;"",INDEX(nQ7_Displayed_Value,$AH19)&amp;"",INDEX(nQ8_Displayed_Value,$AH19)&amp;"",INDEX(nQ9_Displayed_Value,$AH19)&amp;"",INDEX(nQ10_Displayed_Value,$AH19)&amp;"",INDEX(nQ11_Displayed_Value,$AH19)&amp;""))</f>
        <v>20 minutes</v>
      </c>
      <c r="AW19" s="1" t="str">
        <f>IF($AF19=0,"",CHOOSE($AF19,INDEX(nINT_Calculation_Mode_Used,$AH19)&amp;"","Q1","Q2","Q3","Q4","Q5","Q6","Q7","Q8","Q9","Q10","Q11"))</f>
        <v>C1</v>
      </c>
      <c r="AX19" s="1" t="str">
        <f>IF($AF19=0,"",CHOOSE($AF19,INDEX(nINT_Anchor_Type,$AH19)&amp;"","","","","","","","","","","",""))</f>
        <v>OTHER</v>
      </c>
      <c r="AY19" s="1" t="str">
        <f>IF($AF19=0,"",CHOOSE($AF19,IF(INDEX(nINT_K_Ok,$AH19)=1,INDEX(nINT_Anchor_Record_ID_Used,$AH19)&amp;"",""),"","","","","","","","","","",""))</f>
        <v>EV-1/ONSET</v>
      </c>
      <c r="AZ19" s="1" t="str">
        <f>IF($AF19=0,"",CHOOSE($AF19,INDEX(nINT_Anchor_Description,$AH19)&amp;"","","","","","","","","","","",""))</f>
        <v>Onset of the reaction</v>
      </c>
      <c r="BA19" s="1" t="str">
        <f>IF($AF19=0,"",CHOOSE($AF19,INDEX(nINT_Sequence_Status,$AH19)&amp;"","","","","","","","","","","",""))</f>
        <v>AFTER</v>
      </c>
      <c r="BB19" s="1" t="str">
        <f>IF($AF19=0,"",CHOOSE($AF19,INDEX(nINT_Treatment_Day,$AH19),"","","","","","","","","","",""))</f>
        <v/>
      </c>
      <c r="BC19" s="1" t="str">
        <f>IF($AF19=0,"",CHOOSE($AF19,INDEX(nINT_Reported_Timing_Result,$AH19)&amp;"","","","","","","","","","","",""))</f>
        <v/>
      </c>
      <c r="BD19" s="1" t="str">
        <f>IF($AF19=0,"",CHOOSE($AF19,IF(INDEX(nINT_K_HasC,$AH19)=1,INDEX(nINT_Constraint_Source,$AH19)&amp;"",""),"","","","","","","","","","",""))</f>
        <v/>
      </c>
      <c r="BE19" s="1" t="str">
        <f>IF($AF19=0,"",CHOOSE($AF19,"",INDEX(nQ1_Results_Text,$AH19)&amp;"",INDEX(nQ2_Results_Text,$AH19)&amp;"",INDEX(nQ3_Results_Text,$AH19)&amp;"",INDEX(nQ4_Results_Text,$AH19)&amp;"",INDEX(nQ5_Results_Text,$AH19)&amp;"",INDEX(nQ6_Results_Text,$AH19)&amp;"",INDEX(nQ7_Results_Text,$AH19)&amp;"",INDEX(nQ8_Results_Text,$AH19)&amp;"",INDEX(nQ9_Results_Text,$AH19)&amp;"",INDEX(nQ10_Results_Text,$AH19)&amp;"",INDEX(nQ11_Results_Text,$AH19)&amp;""))</f>
        <v/>
      </c>
      <c r="BF19" s="1" t="str">
        <f>IF($AF19=0,"",CHOOSE($AF19,INDEX(nINT_Parameter_Set,$AH19)&amp;"",INDEX(nQ1_Parameter_Set,$AH19)&amp;"",INDEX(nQ2_Parameter_Set,$AH19)&amp;"",INDEX(nQ3_Parameter_Set,$AH19)&amp;"",INDEX(nQ4_Parameter_Set,$AH19)&amp;"",INDEX(nQ5_Parameter_Set,$AH19)&amp;"",INDEX(nQ6_Parameter_Set,$AH19)&amp;"",INDEX(nQ7_Parameter_Set,$AH19)&amp;"",INDEX(nQ8_Parameter_Set,$AH19)&amp;"",INDEX(nQ9_Parameter_Set,$AH19)&amp;"",INDEX(nQ10_Parameter_Set,$AH19)&amp;"",INDEX(nQ11_Parameter_Set,$AH19)&amp;""))</f>
        <v>Anchor (OTHER) EV-1/ONSET: 2026-01-10T09:15-05:00 [timestamp with UTC offset; case measurement; original: "09:15 pt reports itching; urticaria chest and arms; audible wheeze; BP 84/52"; source: Nursing observation chart] | End point M-IMPROVE: 2026-01-10T09:35-05:00 [timestamp with UTC offset; case measurement; original: "09:35 wheeze settling, BP 108/70"; source: Nursing chart]</v>
      </c>
      <c r="BG19" s="1" t="str">
        <f>IF($AF19=0,"",CHOOSE($AF19,INDEX(nINT_Assumptions,$AH19)&amp;"",INDEX(nQ1_Assumptions,$AH19)&amp;"",INDEX(nQ2_Assumptions,$AH19)&amp;"",INDEX(nQ3_Assumptions,$AH19)&amp;"",INDEX(nQ4_Assumptions,$AH19)&amp;"",INDEX(nQ5_Assumptions,$AH19)&amp;"",INDEX(nQ6_Assumptions,$AH19)&amp;"",INDEX(nQ7_Assumptions,$AH19)&amp;"",INDEX(nQ8_Assumptions,$AH19)&amp;"",INDEX(nQ9_Assumptions,$AH19)&amp;"",INDEX(nQ10_Assumptions,$AH19)&amp;"",INDEX(nQ11_Assumptions,$AH19)&amp;""))</f>
        <v/>
      </c>
      <c r="BH19" s="1" t="str">
        <f>IF($AF19=0,"",CHOOSE($AF19,INDEX(nINT_Calculation_Version,$AH19)&amp;"",INDEX(nQ1_Calculation_Version,$AH19)&amp;"",INDEX(nQ2_Calculation_Version,$AH19)&amp;"",INDEX(nQ3_Calculation_Version,$AH19)&amp;"",INDEX(nQ4_Calculation_Version,$AH19)&amp;"",INDEX(nQ5_Calculation_Version,$AH19)&amp;"",INDEX(nQ6_Calculation_Version,$AH19)&amp;"",INDEX(nQ7_Calculation_Version,$AH19)&amp;"",INDEX(nQ8_Calculation_Version,$AH19)&amp;"",INDEX(nQ9_Calculation_Version,$AH19)&amp;"",INDEX(nQ10_Calculation_Version,$AH19)&amp;"",INDEX(nQ11_Calculation_Version,$AH19)&amp;""))</f>
        <v>CALC-SPEC 1.1</v>
      </c>
      <c r="BI19" s="1" t="str">
        <f>IF($AF19=0,"",CHOOSE($AF19,INDEX(nINT_QC_Flags,$AH19)&amp;"",INDEX(nQ1_QC_Flags,$AH19)&amp;"",INDEX(nQ2_QC_Flags,$AH19)&amp;"",INDEX(nQ3_QC_Flags,$AH19)&amp;"",INDEX(nQ4_QC_Flags,$AH19)&amp;"",INDEX(nQ5_QC_Flags,$AH19)&amp;"",INDEX(nQ6_QC_Flags,$AH19)&amp;"",INDEX(nQ7_QC_Flags,$AH19)&amp;"",INDEX(nQ8_QC_Flags,$AH19)&amp;"",INDEX(nQ9_QC_Flags,$AH19)&amp;"",INDEX(nQ10_QC_Flags,$AH19)&amp;"",INDEX(nQ11_QC_Flags,$AH19)&amp;""))</f>
        <v/>
      </c>
      <c r="BJ19" s="1" t="str">
        <f>IF($AF19=0,"",CHOOSE($AF19,INDEX(nINT_Messages,$AH19)&amp;"",INDEX(nQ1_Messages,$AH19)&amp;"",INDEX(nQ2_Messages,$AH19)&amp;"",INDEX(nQ3_Messages,$AH19)&amp;"",INDEX(nQ4_Messages,$AH19)&amp;"",INDEX(nQ5_Messages,$AH19)&amp;"",INDEX(nQ6_Messages,$AH19)&amp;"",INDEX(nQ7_Messages,$AH19)&amp;"",INDEX(nQ8_Messages,$AH19)&amp;"",INDEX(nQ9_Messages,$AH19)&amp;"",INDEX(nQ10_Messages,$AH19)&amp;"",INDEX(nQ11_Messages,$AH19)&amp;""))</f>
        <v/>
      </c>
      <c r="BK19" s="1" t="str">
        <f>IF($AF19=0,"",CHOOSE($AF19,INDEX(nINT_Limitations,$AH19)&amp;"",INDEX(nQ1_Mandatory_Text,$AH19)&amp;"",INDEX(nQ2_Mandatory_Text,$AH19)&amp;"",INDEX(nQ3_Mandatory_Text,$AH19)&amp;"",INDEX(nQ4_Mandatory_Text,$AH19)&amp;"",INDEX(nQ5_Mandatory_Text,$AH19)&amp;"",INDEX(nQ6_Mandatory_Text,$AH19)&amp;"",INDEX(nQ7_Mandatory_Text,$AH19)&amp;"",INDEX(nQ8_Mandatory_Text,$AH19)&amp;"",INDEX(nQ9_Mandatory_Text,$AH19)&amp;"",INDEX(nQ10_Mandatory_Text,$AH19)&amp;"",INDEX(nQ11_Mandatory_Text,$AH19)&amp;""))</f>
        <v>The interval describes the sequence and spacing of recorded times; it is not evidence of causation.</v>
      </c>
      <c r="BL19" s="1" t="str">
        <f t="shared" si="33"/>
        <v>not stamped</v>
      </c>
      <c r="BM19" s="1" t="str">
        <f t="shared" si="34"/>
        <v>TTO Companion Tools v1.1</v>
      </c>
      <c r="CA19" s="1" t="s">
        <v>2152</v>
      </c>
      <c r="CB19" s="1">
        <f>COUNTIF(nQ11_CaseKey,$H$4)</f>
        <v>0</v>
      </c>
      <c r="CC19" s="1">
        <f>CC18+CB18</f>
        <v>15</v>
      </c>
    </row>
    <row r="20" spans="1:81" x14ac:dyDescent="0.2">
      <c r="A20" s="21" t="str">
        <f t="shared" si="0"/>
        <v>EX-C01</v>
      </c>
      <c r="B20" s="21">
        <f t="shared" si="1"/>
        <v>2</v>
      </c>
      <c r="C20" s="21" t="str">
        <f t="shared" si="2"/>
        <v>I13</v>
      </c>
      <c r="D20" s="21" t="str">
        <f t="shared" si="3"/>
        <v>EX-A/START → EX-A/STOP</v>
      </c>
      <c r="E20" s="21" t="str">
        <f t="shared" si="4"/>
        <v>L1</v>
      </c>
      <c r="F20" s="21" t="str">
        <f t="shared" si="5"/>
        <v>EX-A</v>
      </c>
      <c r="G20" s="21" t="str">
        <f t="shared" si="6"/>
        <v>EV-1</v>
      </c>
      <c r="H20" s="21" t="str">
        <f t="shared" si="7"/>
        <v>EX-A/STOP</v>
      </c>
      <c r="I20" s="21">
        <f t="shared" si="8"/>
        <v>16</v>
      </c>
      <c r="J20" s="21" t="str">
        <f t="shared" si="9"/>
        <v/>
      </c>
      <c r="K20" s="21" t="str">
        <f t="shared" si="10"/>
        <v/>
      </c>
      <c r="L20" s="21" t="str">
        <f t="shared" si="11"/>
        <v>minutes</v>
      </c>
      <c r="M20" s="21" t="str">
        <f t="shared" si="12"/>
        <v>16 minutes</v>
      </c>
      <c r="N20" s="21" t="str">
        <f t="shared" si="13"/>
        <v>C1</v>
      </c>
      <c r="O20" s="21" t="str">
        <f t="shared" si="14"/>
        <v>FIRST_ADMIN</v>
      </c>
      <c r="P20" s="21" t="str">
        <f t="shared" si="15"/>
        <v>EX-A/START</v>
      </c>
      <c r="Q20" s="21" t="str">
        <f t="shared" si="16"/>
        <v/>
      </c>
      <c r="R20" s="21" t="str">
        <f t="shared" si="17"/>
        <v>AFTER</v>
      </c>
      <c r="S20" s="21" t="str">
        <f t="shared" si="18"/>
        <v/>
      </c>
      <c r="T20" s="21" t="str">
        <f t="shared" si="19"/>
        <v/>
      </c>
      <c r="U20" s="21" t="str">
        <f t="shared" si="20"/>
        <v/>
      </c>
      <c r="V20" s="21" t="str">
        <f t="shared" si="21"/>
        <v/>
      </c>
      <c r="W20" s="21" t="str">
        <f t="shared" si="22"/>
        <v>Anchor (FIRST_ADMIN) EX-A/START: 2026-01-10T09:00-05:00 [timestamp with UTC offset; case measurement; original: "09:00 Drug A infusion commenced"; source: Nursing chart; medication administration record] | End point EX-A/STOP: 2026-01-10T09:16-05:00 [timestamp with UTC offset; case measurement; original: "09:16 infusion stopped, doctor called"; source: Nursing chart]</v>
      </c>
      <c r="X20" s="21" t="str">
        <f t="shared" si="23"/>
        <v/>
      </c>
      <c r="Y20" s="21" t="str">
        <f t="shared" si="24"/>
        <v>CALC-SPEC 1.1</v>
      </c>
      <c r="Z20" s="21" t="str">
        <f t="shared" si="25"/>
        <v/>
      </c>
      <c r="AA20" s="21" t="str">
        <f t="shared" si="26"/>
        <v/>
      </c>
      <c r="AB20" s="21" t="str">
        <f t="shared" si="27"/>
        <v>The interval describes the sequence and spacing of recorded times; it is not evidence of causation.</v>
      </c>
      <c r="AC20" s="21" t="str">
        <f t="shared" si="28"/>
        <v>not stamped</v>
      </c>
      <c r="AD20" s="21" t="str">
        <f t="shared" si="29"/>
        <v>TTO Companion Tools v1.1</v>
      </c>
      <c r="AE20" s="1">
        <f t="shared" si="30"/>
        <v>13</v>
      </c>
      <c r="AF20" s="1">
        <f t="shared" si="31"/>
        <v>1</v>
      </c>
      <c r="AG20" s="1">
        <f t="shared" si="32"/>
        <v>13</v>
      </c>
      <c r="AH20" s="1">
        <f>IF(AF20=0,0,CHOOSE(AF20,IFERROR(_xlfn.AGGREGATE(15,6,(ROW(nINT_CaseKey)-ROW(INDEX(nINT_CaseKey,1,1))+1)/((nINT_CaseKey=$H$4)*(nINT_RowEmpty=0)),AG20),0),IFERROR(_xlfn.AGGREGATE(15,6,(ROW(nQ1_CaseKey)-ROW(INDEX(nQ1_CaseKey,1,1))+1)/((nQ1_CaseKey=$H$4)),AG20),0),IFERROR(_xlfn.AGGREGATE(15,6,(ROW(nQ2_CaseKey)-ROW(INDEX(nQ2_CaseKey,1,1))+1)/((nQ2_CaseKey=$H$4)),AG20),0),IFERROR(_xlfn.AGGREGATE(15,6,(ROW(nQ3_CaseKey)-ROW(INDEX(nQ3_CaseKey,1,1))+1)/((nQ3_CaseKey=$H$4)),AG20),0),IFERROR(_xlfn.AGGREGATE(15,6,(ROW(nQ4_CaseKey)-ROW(INDEX(nQ4_CaseKey,1,1))+1)/((nQ4_CaseKey=$H$4)),AG20),0),IFERROR(_xlfn.AGGREGATE(15,6,(ROW(nQ5_CaseKey)-ROW(INDEX(nQ5_CaseKey,1,1))+1)/((nQ5_CaseKey=$H$4)),AG20),0),IFERROR(_xlfn.AGGREGATE(15,6,(ROW(nQ6_CaseKey)-ROW(INDEX(nQ6_CaseKey,1,1))+1)/((nQ6_CaseKey=$H$4)),AG20),0),IFERROR(_xlfn.AGGREGATE(15,6,(ROW(nQ7_CaseKey)-ROW(INDEX(nQ7_CaseKey,1,1))+1)/((nQ7_CaseKey=$H$4)),AG20),0),IFERROR(_xlfn.AGGREGATE(15,6,(ROW(nQ8_CaseKey)-ROW(INDEX(nQ8_CaseKey,1,1))+1)/((nQ8_CaseKey=$H$4)),AG20),0),IFERROR(_xlfn.AGGREGATE(15,6,(ROW(nQ9_CaseKey)-ROW(INDEX(nQ9_CaseKey,1,1))+1)/((nQ9_CaseKey=$H$4)),AG20),0),IFERROR(_xlfn.AGGREGATE(15,6,(ROW(nQ10_CaseKey)-ROW(INDEX(nQ10_CaseKey,1,1))+1)/((nQ10_CaseKey=$H$4)),AG20),0),IFERROR(_xlfn.AGGREGATE(15,6,(ROW(nQ11_CaseKey)-ROW(INDEX(nQ11_CaseKey,1,1))+1)/((nQ11_CaseKey=$H$4)),AG20),0)))</f>
        <v>54</v>
      </c>
      <c r="AJ20" s="1" t="str">
        <f>IF($AF20=0,"",CHOOSE($AF20,INDEX(nINT_Case_ID,$AH20)&amp;"",INDEX(nQ1_Case_ID,$AH20)&amp;"",INDEX(nQ2_Case_ID,$AH20)&amp;"",INDEX(nQ3_Case_ID,$AH20)&amp;"",INDEX(nQ4_Case_ID,$AH20)&amp;"",INDEX(nQ5_Case_ID,$AH20)&amp;"",INDEX(nQ6_Case_ID,$AH20)&amp;"",INDEX(nQ7_Case_ID,$AH20)&amp;"",INDEX(nQ8_Case_ID,$AH20)&amp;"",INDEX(nQ9_Case_ID,$AH20)&amp;"",INDEX(nQ10_Case_ID,$AH20)&amp;"",INDEX(nQ11_Case_ID,$AH20)&amp;""))</f>
        <v>EX-C01</v>
      </c>
      <c r="AK20" s="1">
        <f>IF($AF20=0,"",CHOOSE($AF20,INDEX(nINT_Case_Version,$AH20),INDEX(nQ1_Case_Version,$AH20),INDEX(nQ2_Case_Version,$AH20),INDEX(nQ3_Case_Version,$AH20),INDEX(nQ4_Case_Version,$AH20),INDEX(nQ5_Case_Version,$AH20),INDEX(nQ6_Case_Version,$AH20),INDEX(nQ7_Case_Version,$AH20),INDEX(nQ8_Case_Version,$AH20),INDEX(nQ9_Case_Version,$AH20),INDEX(nQ10_Case_Version,$AH20),INDEX(nQ11_Case_Version,$AH20)))</f>
        <v>2</v>
      </c>
      <c r="AL20" s="1" t="str">
        <f>IF($AF20=0,"",CHOOSE($AF20,INDEX(nINT_Interval_ID,$AH20)&amp;"",INDEX(nQ1_Calc_ID,$AH20)&amp;"",INDEX(nQ2_Calc_ID,$AH20)&amp;"",INDEX(nQ3_Calc_ID,$AH20)&amp;"",INDEX(nQ4_Calc_ID,$AH20)&amp;"",INDEX(nQ5_Calc_ID,$AH20)&amp;"",INDEX(nQ6_Calc_ID,$AH20)&amp;"",INDEX(nQ7_Calc_ID,$AH20)&amp;"",INDEX(nQ8_Calc_ID,$AH20)&amp;"",INDEX(nQ9_Calc_ID,$AH20)&amp;"",INDEX(nQ10_Calc_ID,$AH20)&amp;"",INDEX(nQ11_Calc_ID,$AH20)&amp;""))</f>
        <v>I13</v>
      </c>
      <c r="AM20" s="1" t="str">
        <f>IF($AF20=0,"",CHOOSE($AF20,INDEX(nINT_Label,$AH20)&amp;"",INDEX(nQ1_Label_Out,$AH20)&amp;"",INDEX(nQ2_Label_Out,$AH20)&amp;"",INDEX(nQ3_Label_Out,$AH20)&amp;"",INDEX(nQ4_Label_Out,$AH20)&amp;"",INDEX(nQ5_Label_Out,$AH20)&amp;"",INDEX(nQ6_Label_Out,$AH20)&amp;"",INDEX(nQ7_Label_Out,$AH20)&amp;"",INDEX(nQ8_Label_Out,$AH20)&amp;"",INDEX(nQ9_Label_Out,$AH20)&amp;"",INDEX(nQ10_Label_Out,$AH20)&amp;"",INDEX(nQ11_Label_Out,$AH20)&amp;""))</f>
        <v>EX-A/START → EX-A/STOP</v>
      </c>
      <c r="AN20" s="1" t="str">
        <f>IF($AF20=0,"",CHOOSE($AF20,IF(INDEX(nINT_LinkRow,$AH20)=0,"",INDEX(nINT_Link_ID,$AH20)&amp;""),"","","","","","","","","","",""))</f>
        <v>L1</v>
      </c>
      <c r="AO20" s="1" t="str">
        <f>IF($AF20=0,"",CHOOSE($AF20,INDEX(nINT_Exposure_Episode_ID,$AH20)&amp;"","","","","","","","","","","",""))</f>
        <v>EX-A</v>
      </c>
      <c r="AP20" s="1" t="str">
        <f>IF($AF20=0,"",CHOOSE($AF20,INDEX(nINT_Event_Episode_ID,$AH20)&amp;"","","","","","","","","","","",""))</f>
        <v>EV-1</v>
      </c>
      <c r="AQ20" s="1" t="str">
        <f>IF($AF20=0,"",CHOOSE($AF20,INDEX(nINT_End_Record_ID_Used,$AH20)&amp;"","","","","","","","","","","",""))</f>
        <v>EX-A/STOP</v>
      </c>
      <c r="AR20" s="1">
        <f>IF($AF20=0,"",CHOOSE($AF20,INDEX(nINT_Interval_Value,$AH20),"","","","","","","","","","",""))</f>
        <v>16</v>
      </c>
      <c r="AS20" s="1" t="str">
        <f>IF($AF20=0,"",CHOOSE($AF20,INDEX(nINT_Interval_Minimum,$AH20),"","","","","","","","","","",""))</f>
        <v/>
      </c>
      <c r="AT20" s="1" t="str">
        <f>IF($AF20=0,"",CHOOSE($AF20,INDEX(nINT_Interval_Maximum,$AH20),"","","","","","","","","","",""))</f>
        <v/>
      </c>
      <c r="AU20" s="1" t="str">
        <f>IF($AF20=0,"",CHOOSE($AF20,INDEX(nINT_Unit,$AH20)&amp;"",INDEX(nQ1_Unit_Out,$AH20)&amp;"",INDEX(nQ2_Unit_Out,$AH20)&amp;"",INDEX(nQ3_Unit_Out,$AH20)&amp;"",INDEX(nQ4_Unit_Out,$AH20)&amp;"",INDEX(nQ5_Unit_Out,$AH20)&amp;"",INDEX(nQ6_Unit_Out,$AH20)&amp;"",INDEX(nQ7_Unit_Out,$AH20)&amp;"",INDEX(nQ8_Unit_Out,$AH20)&amp;"",INDEX(nQ9_Unit_Out,$AH20)&amp;"",INDEX(nQ10_Unit_Out,$AH20)&amp;"",INDEX(nQ11_Unit_Out,$AH20)&amp;""))</f>
        <v>minutes</v>
      </c>
      <c r="AV20" s="1" t="str">
        <f>IF($AF20=0,"",CHOOSE($AF20,INDEX(nINT_Displayed_Value,$AH20)&amp;"",INDEX(nQ1_Displayed_Value,$AH20)&amp;"",INDEX(nQ2_Displayed_Value,$AH20)&amp;"",INDEX(nQ3_Displayed_Value,$AH20)&amp;"",INDEX(nQ4_Displayed_Value,$AH20)&amp;"",INDEX(nQ5_Displayed_Value,$AH20)&amp;"",INDEX(nQ6_Displayed_Value,$AH20)&amp;"",INDEX(nQ7_Displayed_Value,$AH20)&amp;"",INDEX(nQ8_Displayed_Value,$AH20)&amp;"",INDEX(nQ9_Displayed_Value,$AH20)&amp;"",INDEX(nQ10_Displayed_Value,$AH20)&amp;"",INDEX(nQ11_Displayed_Value,$AH20)&amp;""))</f>
        <v>16 minutes</v>
      </c>
      <c r="AW20" s="1" t="str">
        <f>IF($AF20=0,"",CHOOSE($AF20,INDEX(nINT_Calculation_Mode_Used,$AH20)&amp;"","Q1","Q2","Q3","Q4","Q5","Q6","Q7","Q8","Q9","Q10","Q11"))</f>
        <v>C1</v>
      </c>
      <c r="AX20" s="1" t="str">
        <f>IF($AF20=0,"",CHOOSE($AF20,INDEX(nINT_Anchor_Type,$AH20)&amp;"","","","","","","","","","","",""))</f>
        <v>FIRST_ADMIN</v>
      </c>
      <c r="AY20" s="1" t="str">
        <f>IF($AF20=0,"",CHOOSE($AF20,IF(INDEX(nINT_K_Ok,$AH20)=1,INDEX(nINT_Anchor_Record_ID_Used,$AH20)&amp;"",""),"","","","","","","","","","",""))</f>
        <v>EX-A/START</v>
      </c>
      <c r="AZ20" s="1" t="str">
        <f>IF($AF20=0,"",CHOOSE($AF20,INDEX(nINT_Anchor_Description,$AH20)&amp;"","","","","","","","","","","",""))</f>
        <v/>
      </c>
      <c r="BA20" s="1" t="str">
        <f>IF($AF20=0,"",CHOOSE($AF20,INDEX(nINT_Sequence_Status,$AH20)&amp;"","","","","","","","","","","",""))</f>
        <v>AFTER</v>
      </c>
      <c r="BB20" s="1" t="str">
        <f>IF($AF20=0,"",CHOOSE($AF20,INDEX(nINT_Treatment_Day,$AH20),"","","","","","","","","","",""))</f>
        <v/>
      </c>
      <c r="BC20" s="1" t="str">
        <f>IF($AF20=0,"",CHOOSE($AF20,INDEX(nINT_Reported_Timing_Result,$AH20)&amp;"","","","","","","","","","","",""))</f>
        <v/>
      </c>
      <c r="BD20" s="1" t="str">
        <f>IF($AF20=0,"",CHOOSE($AF20,IF(INDEX(nINT_K_HasC,$AH20)=1,INDEX(nINT_Constraint_Source,$AH20)&amp;"",""),"","","","","","","","","","",""))</f>
        <v/>
      </c>
      <c r="BE20" s="1" t="str">
        <f>IF($AF20=0,"",CHOOSE($AF20,"",INDEX(nQ1_Results_Text,$AH20)&amp;"",INDEX(nQ2_Results_Text,$AH20)&amp;"",INDEX(nQ3_Results_Text,$AH20)&amp;"",INDEX(nQ4_Results_Text,$AH20)&amp;"",INDEX(nQ5_Results_Text,$AH20)&amp;"",INDEX(nQ6_Results_Text,$AH20)&amp;"",INDEX(nQ7_Results_Text,$AH20)&amp;"",INDEX(nQ8_Results_Text,$AH20)&amp;"",INDEX(nQ9_Results_Text,$AH20)&amp;"",INDEX(nQ10_Results_Text,$AH20)&amp;"",INDEX(nQ11_Results_Text,$AH20)&amp;""))</f>
        <v/>
      </c>
      <c r="BF20" s="1" t="str">
        <f>IF($AF20=0,"",CHOOSE($AF20,INDEX(nINT_Parameter_Set,$AH20)&amp;"",INDEX(nQ1_Parameter_Set,$AH20)&amp;"",INDEX(nQ2_Parameter_Set,$AH20)&amp;"",INDEX(nQ3_Parameter_Set,$AH20)&amp;"",INDEX(nQ4_Parameter_Set,$AH20)&amp;"",INDEX(nQ5_Parameter_Set,$AH20)&amp;"",INDEX(nQ6_Parameter_Set,$AH20)&amp;"",INDEX(nQ7_Parameter_Set,$AH20)&amp;"",INDEX(nQ8_Parameter_Set,$AH20)&amp;"",INDEX(nQ9_Parameter_Set,$AH20)&amp;"",INDEX(nQ10_Parameter_Set,$AH20)&amp;"",INDEX(nQ11_Parameter_Set,$AH20)&amp;""))</f>
        <v>Anchor (FIRST_ADMIN) EX-A/START: 2026-01-10T09:00-05:00 [timestamp with UTC offset; case measurement; original: "09:00 Drug A infusion commenced"; source: Nursing chart; medication administration record] | End point EX-A/STOP: 2026-01-10T09:16-05:00 [timestamp with UTC offset; case measurement; original: "09:16 infusion stopped, doctor called"; source: Nursing chart]</v>
      </c>
      <c r="BG20" s="1" t="str">
        <f>IF($AF20=0,"",CHOOSE($AF20,INDEX(nINT_Assumptions,$AH20)&amp;"",INDEX(nQ1_Assumptions,$AH20)&amp;"",INDEX(nQ2_Assumptions,$AH20)&amp;"",INDEX(nQ3_Assumptions,$AH20)&amp;"",INDEX(nQ4_Assumptions,$AH20)&amp;"",INDEX(nQ5_Assumptions,$AH20)&amp;"",INDEX(nQ6_Assumptions,$AH20)&amp;"",INDEX(nQ7_Assumptions,$AH20)&amp;"",INDEX(nQ8_Assumptions,$AH20)&amp;"",INDEX(nQ9_Assumptions,$AH20)&amp;"",INDEX(nQ10_Assumptions,$AH20)&amp;"",INDEX(nQ11_Assumptions,$AH20)&amp;""))</f>
        <v/>
      </c>
      <c r="BH20" s="1" t="str">
        <f>IF($AF20=0,"",CHOOSE($AF20,INDEX(nINT_Calculation_Version,$AH20)&amp;"",INDEX(nQ1_Calculation_Version,$AH20)&amp;"",INDEX(nQ2_Calculation_Version,$AH20)&amp;"",INDEX(nQ3_Calculation_Version,$AH20)&amp;"",INDEX(nQ4_Calculation_Version,$AH20)&amp;"",INDEX(nQ5_Calculation_Version,$AH20)&amp;"",INDEX(nQ6_Calculation_Version,$AH20)&amp;"",INDEX(nQ7_Calculation_Version,$AH20)&amp;"",INDEX(nQ8_Calculation_Version,$AH20)&amp;"",INDEX(nQ9_Calculation_Version,$AH20)&amp;"",INDEX(nQ10_Calculation_Version,$AH20)&amp;"",INDEX(nQ11_Calculation_Version,$AH20)&amp;""))</f>
        <v>CALC-SPEC 1.1</v>
      </c>
      <c r="BI20" s="1" t="str">
        <f>IF($AF20=0,"",CHOOSE($AF20,INDEX(nINT_QC_Flags,$AH20)&amp;"",INDEX(nQ1_QC_Flags,$AH20)&amp;"",INDEX(nQ2_QC_Flags,$AH20)&amp;"",INDEX(nQ3_QC_Flags,$AH20)&amp;"",INDEX(nQ4_QC_Flags,$AH20)&amp;"",INDEX(nQ5_QC_Flags,$AH20)&amp;"",INDEX(nQ6_QC_Flags,$AH20)&amp;"",INDEX(nQ7_QC_Flags,$AH20)&amp;"",INDEX(nQ8_QC_Flags,$AH20)&amp;"",INDEX(nQ9_QC_Flags,$AH20)&amp;"",INDEX(nQ10_QC_Flags,$AH20)&amp;"",INDEX(nQ11_QC_Flags,$AH20)&amp;""))</f>
        <v/>
      </c>
      <c r="BJ20" s="1" t="str">
        <f>IF($AF20=0,"",CHOOSE($AF20,INDEX(nINT_Messages,$AH20)&amp;"",INDEX(nQ1_Messages,$AH20)&amp;"",INDEX(nQ2_Messages,$AH20)&amp;"",INDEX(nQ3_Messages,$AH20)&amp;"",INDEX(nQ4_Messages,$AH20)&amp;"",INDEX(nQ5_Messages,$AH20)&amp;"",INDEX(nQ6_Messages,$AH20)&amp;"",INDEX(nQ7_Messages,$AH20)&amp;"",INDEX(nQ8_Messages,$AH20)&amp;"",INDEX(nQ9_Messages,$AH20)&amp;"",INDEX(nQ10_Messages,$AH20)&amp;"",INDEX(nQ11_Messages,$AH20)&amp;""))</f>
        <v/>
      </c>
      <c r="BK20" s="1" t="str">
        <f>IF($AF20=0,"",CHOOSE($AF20,INDEX(nINT_Limitations,$AH20)&amp;"",INDEX(nQ1_Mandatory_Text,$AH20)&amp;"",INDEX(nQ2_Mandatory_Text,$AH20)&amp;"",INDEX(nQ3_Mandatory_Text,$AH20)&amp;"",INDEX(nQ4_Mandatory_Text,$AH20)&amp;"",INDEX(nQ5_Mandatory_Text,$AH20)&amp;"",INDEX(nQ6_Mandatory_Text,$AH20)&amp;"",INDEX(nQ7_Mandatory_Text,$AH20)&amp;"",INDEX(nQ8_Mandatory_Text,$AH20)&amp;"",INDEX(nQ9_Mandatory_Text,$AH20)&amp;"",INDEX(nQ10_Mandatory_Text,$AH20)&amp;"",INDEX(nQ11_Mandatory_Text,$AH20)&amp;""))</f>
        <v>The interval describes the sequence and spacing of recorded times; it is not evidence of causation.</v>
      </c>
      <c r="BL20" s="1" t="str">
        <f t="shared" si="33"/>
        <v>not stamped</v>
      </c>
      <c r="BM20" s="1" t="str">
        <f t="shared" si="34"/>
        <v>TTO Companion Tools v1.1</v>
      </c>
    </row>
    <row r="21" spans="1:81" x14ac:dyDescent="0.2">
      <c r="A21" s="21" t="str">
        <f t="shared" si="0"/>
        <v>EX-C01</v>
      </c>
      <c r="B21" s="21">
        <f t="shared" si="1"/>
        <v>2</v>
      </c>
      <c r="C21" s="21" t="str">
        <f t="shared" si="2"/>
        <v>I14</v>
      </c>
      <c r="D21" s="21" t="str">
        <f t="shared" si="3"/>
        <v>EV-1/ONSET → M-TRYP</v>
      </c>
      <c r="E21" s="21" t="str">
        <f t="shared" si="4"/>
        <v>L1</v>
      </c>
      <c r="F21" s="21" t="str">
        <f t="shared" si="5"/>
        <v>EX-A</v>
      </c>
      <c r="G21" s="21" t="str">
        <f t="shared" si="6"/>
        <v>EV-1</v>
      </c>
      <c r="H21" s="21" t="str">
        <f t="shared" si="7"/>
        <v>M-TRYP</v>
      </c>
      <c r="I21" s="21">
        <f t="shared" si="8"/>
        <v>50</v>
      </c>
      <c r="J21" s="21" t="str">
        <f t="shared" si="9"/>
        <v/>
      </c>
      <c r="K21" s="21" t="str">
        <f t="shared" si="10"/>
        <v/>
      </c>
      <c r="L21" s="21" t="str">
        <f t="shared" si="11"/>
        <v>minutes</v>
      </c>
      <c r="M21" s="21" t="str">
        <f t="shared" si="12"/>
        <v>50 minutes</v>
      </c>
      <c r="N21" s="21" t="str">
        <f t="shared" si="13"/>
        <v>C1</v>
      </c>
      <c r="O21" s="21" t="str">
        <f t="shared" si="14"/>
        <v>OTHER</v>
      </c>
      <c r="P21" s="21" t="str">
        <f t="shared" si="15"/>
        <v>EV-1/ONSET</v>
      </c>
      <c r="Q21" s="21" t="str">
        <f t="shared" si="16"/>
        <v>Onset of the reaction</v>
      </c>
      <c r="R21" s="21" t="str">
        <f t="shared" si="17"/>
        <v>AFTER</v>
      </c>
      <c r="S21" s="21" t="str">
        <f t="shared" si="18"/>
        <v/>
      </c>
      <c r="T21" s="21" t="str">
        <f t="shared" si="19"/>
        <v/>
      </c>
      <c r="U21" s="21" t="str">
        <f t="shared" si="20"/>
        <v/>
      </c>
      <c r="V21" s="21" t="str">
        <f t="shared" si="21"/>
        <v/>
      </c>
      <c r="W21" s="21" t="str">
        <f t="shared" si="22"/>
        <v>Anchor (OTHER) EV-1/ONSET: 2026-01-10T09:15-05:00 [timestamp with UTC offset; case measurement; original: "09:15 pt reports itching; urticaria chest and arms; audible wheeze; BP 84/52"; source: Nursing observation chart] | End point M-TRYP: 2026-01-10T10:05-05:00 [timestamp with UTC offset; case measurement; original: "tryptase sample 10:05"; source: Follow-up, version 2]</v>
      </c>
      <c r="X21" s="21" t="str">
        <f t="shared" si="23"/>
        <v/>
      </c>
      <c r="Y21" s="21" t="str">
        <f t="shared" si="24"/>
        <v>CALC-SPEC 1.1</v>
      </c>
      <c r="Z21" s="21" t="str">
        <f t="shared" si="25"/>
        <v/>
      </c>
      <c r="AA21" s="21" t="str">
        <f t="shared" si="26"/>
        <v/>
      </c>
      <c r="AB21" s="21" t="str">
        <f t="shared" si="27"/>
        <v>The interval describes the sequence and spacing of recorded times; it is not evidence of causation.</v>
      </c>
      <c r="AC21" s="21" t="str">
        <f t="shared" si="28"/>
        <v>not stamped</v>
      </c>
      <c r="AD21" s="21" t="str">
        <f t="shared" si="29"/>
        <v>TTO Companion Tools v1.1</v>
      </c>
      <c r="AE21" s="1">
        <f t="shared" si="30"/>
        <v>14</v>
      </c>
      <c r="AF21" s="1">
        <f t="shared" si="31"/>
        <v>1</v>
      </c>
      <c r="AG21" s="1">
        <f t="shared" si="32"/>
        <v>14</v>
      </c>
      <c r="AH21" s="1">
        <f>IF(AF21=0,0,CHOOSE(AF21,IFERROR(_xlfn.AGGREGATE(15,6,(ROW(nINT_CaseKey)-ROW(INDEX(nINT_CaseKey,1,1))+1)/((nINT_CaseKey=$H$4)*(nINT_RowEmpty=0)),AG21),0),IFERROR(_xlfn.AGGREGATE(15,6,(ROW(nQ1_CaseKey)-ROW(INDEX(nQ1_CaseKey,1,1))+1)/((nQ1_CaseKey=$H$4)),AG21),0),IFERROR(_xlfn.AGGREGATE(15,6,(ROW(nQ2_CaseKey)-ROW(INDEX(nQ2_CaseKey,1,1))+1)/((nQ2_CaseKey=$H$4)),AG21),0),IFERROR(_xlfn.AGGREGATE(15,6,(ROW(nQ3_CaseKey)-ROW(INDEX(nQ3_CaseKey,1,1))+1)/((nQ3_CaseKey=$H$4)),AG21),0),IFERROR(_xlfn.AGGREGATE(15,6,(ROW(nQ4_CaseKey)-ROW(INDEX(nQ4_CaseKey,1,1))+1)/((nQ4_CaseKey=$H$4)),AG21),0),IFERROR(_xlfn.AGGREGATE(15,6,(ROW(nQ5_CaseKey)-ROW(INDEX(nQ5_CaseKey,1,1))+1)/((nQ5_CaseKey=$H$4)),AG21),0),IFERROR(_xlfn.AGGREGATE(15,6,(ROW(nQ6_CaseKey)-ROW(INDEX(nQ6_CaseKey,1,1))+1)/((nQ6_CaseKey=$H$4)),AG21),0),IFERROR(_xlfn.AGGREGATE(15,6,(ROW(nQ7_CaseKey)-ROW(INDEX(nQ7_CaseKey,1,1))+1)/((nQ7_CaseKey=$H$4)),AG21),0),IFERROR(_xlfn.AGGREGATE(15,6,(ROW(nQ8_CaseKey)-ROW(INDEX(nQ8_CaseKey,1,1))+1)/((nQ8_CaseKey=$H$4)),AG21),0),IFERROR(_xlfn.AGGREGATE(15,6,(ROW(nQ9_CaseKey)-ROW(INDEX(nQ9_CaseKey,1,1))+1)/((nQ9_CaseKey=$H$4)),AG21),0),IFERROR(_xlfn.AGGREGATE(15,6,(ROW(nQ10_CaseKey)-ROW(INDEX(nQ10_CaseKey,1,1))+1)/((nQ10_CaseKey=$H$4)),AG21),0),IFERROR(_xlfn.AGGREGATE(15,6,(ROW(nQ11_CaseKey)-ROW(INDEX(nQ11_CaseKey,1,1))+1)/((nQ11_CaseKey=$H$4)),AG21),0)))</f>
        <v>55</v>
      </c>
      <c r="AJ21" s="1" t="str">
        <f>IF($AF21=0,"",CHOOSE($AF21,INDEX(nINT_Case_ID,$AH21)&amp;"",INDEX(nQ1_Case_ID,$AH21)&amp;"",INDEX(nQ2_Case_ID,$AH21)&amp;"",INDEX(nQ3_Case_ID,$AH21)&amp;"",INDEX(nQ4_Case_ID,$AH21)&amp;"",INDEX(nQ5_Case_ID,$AH21)&amp;"",INDEX(nQ6_Case_ID,$AH21)&amp;"",INDEX(nQ7_Case_ID,$AH21)&amp;"",INDEX(nQ8_Case_ID,$AH21)&amp;"",INDEX(nQ9_Case_ID,$AH21)&amp;"",INDEX(nQ10_Case_ID,$AH21)&amp;"",INDEX(nQ11_Case_ID,$AH21)&amp;""))</f>
        <v>EX-C01</v>
      </c>
      <c r="AK21" s="1">
        <f>IF($AF21=0,"",CHOOSE($AF21,INDEX(nINT_Case_Version,$AH21),INDEX(nQ1_Case_Version,$AH21),INDEX(nQ2_Case_Version,$AH21),INDEX(nQ3_Case_Version,$AH21),INDEX(nQ4_Case_Version,$AH21),INDEX(nQ5_Case_Version,$AH21),INDEX(nQ6_Case_Version,$AH21),INDEX(nQ7_Case_Version,$AH21),INDEX(nQ8_Case_Version,$AH21),INDEX(nQ9_Case_Version,$AH21),INDEX(nQ10_Case_Version,$AH21),INDEX(nQ11_Case_Version,$AH21)))</f>
        <v>2</v>
      </c>
      <c r="AL21" s="1" t="str">
        <f>IF($AF21=0,"",CHOOSE($AF21,INDEX(nINT_Interval_ID,$AH21)&amp;"",INDEX(nQ1_Calc_ID,$AH21)&amp;"",INDEX(nQ2_Calc_ID,$AH21)&amp;"",INDEX(nQ3_Calc_ID,$AH21)&amp;"",INDEX(nQ4_Calc_ID,$AH21)&amp;"",INDEX(nQ5_Calc_ID,$AH21)&amp;"",INDEX(nQ6_Calc_ID,$AH21)&amp;"",INDEX(nQ7_Calc_ID,$AH21)&amp;"",INDEX(nQ8_Calc_ID,$AH21)&amp;"",INDEX(nQ9_Calc_ID,$AH21)&amp;"",INDEX(nQ10_Calc_ID,$AH21)&amp;"",INDEX(nQ11_Calc_ID,$AH21)&amp;""))</f>
        <v>I14</v>
      </c>
      <c r="AM21" s="1" t="str">
        <f>IF($AF21=0,"",CHOOSE($AF21,INDEX(nINT_Label,$AH21)&amp;"",INDEX(nQ1_Label_Out,$AH21)&amp;"",INDEX(nQ2_Label_Out,$AH21)&amp;"",INDEX(nQ3_Label_Out,$AH21)&amp;"",INDEX(nQ4_Label_Out,$AH21)&amp;"",INDEX(nQ5_Label_Out,$AH21)&amp;"",INDEX(nQ6_Label_Out,$AH21)&amp;"",INDEX(nQ7_Label_Out,$AH21)&amp;"",INDEX(nQ8_Label_Out,$AH21)&amp;"",INDEX(nQ9_Label_Out,$AH21)&amp;"",INDEX(nQ10_Label_Out,$AH21)&amp;"",INDEX(nQ11_Label_Out,$AH21)&amp;""))</f>
        <v>EV-1/ONSET → M-TRYP</v>
      </c>
      <c r="AN21" s="1" t="str">
        <f>IF($AF21=0,"",CHOOSE($AF21,IF(INDEX(nINT_LinkRow,$AH21)=0,"",INDEX(nINT_Link_ID,$AH21)&amp;""),"","","","","","","","","","",""))</f>
        <v>L1</v>
      </c>
      <c r="AO21" s="1" t="str">
        <f>IF($AF21=0,"",CHOOSE($AF21,INDEX(nINT_Exposure_Episode_ID,$AH21)&amp;"","","","","","","","","","","",""))</f>
        <v>EX-A</v>
      </c>
      <c r="AP21" s="1" t="str">
        <f>IF($AF21=0,"",CHOOSE($AF21,INDEX(nINT_Event_Episode_ID,$AH21)&amp;"","","","","","","","","","","",""))</f>
        <v>EV-1</v>
      </c>
      <c r="AQ21" s="1" t="str">
        <f>IF($AF21=0,"",CHOOSE($AF21,INDEX(nINT_End_Record_ID_Used,$AH21)&amp;"","","","","","","","","","","",""))</f>
        <v>M-TRYP</v>
      </c>
      <c r="AR21" s="1">
        <f>IF($AF21=0,"",CHOOSE($AF21,INDEX(nINT_Interval_Value,$AH21),"","","","","","","","","","",""))</f>
        <v>50</v>
      </c>
      <c r="AS21" s="1" t="str">
        <f>IF($AF21=0,"",CHOOSE($AF21,INDEX(nINT_Interval_Minimum,$AH21),"","","","","","","","","","",""))</f>
        <v/>
      </c>
      <c r="AT21" s="1" t="str">
        <f>IF($AF21=0,"",CHOOSE($AF21,INDEX(nINT_Interval_Maximum,$AH21),"","","","","","","","","","",""))</f>
        <v/>
      </c>
      <c r="AU21" s="1" t="str">
        <f>IF($AF21=0,"",CHOOSE($AF21,INDEX(nINT_Unit,$AH21)&amp;"",INDEX(nQ1_Unit_Out,$AH21)&amp;"",INDEX(nQ2_Unit_Out,$AH21)&amp;"",INDEX(nQ3_Unit_Out,$AH21)&amp;"",INDEX(nQ4_Unit_Out,$AH21)&amp;"",INDEX(nQ5_Unit_Out,$AH21)&amp;"",INDEX(nQ6_Unit_Out,$AH21)&amp;"",INDEX(nQ7_Unit_Out,$AH21)&amp;"",INDEX(nQ8_Unit_Out,$AH21)&amp;"",INDEX(nQ9_Unit_Out,$AH21)&amp;"",INDEX(nQ10_Unit_Out,$AH21)&amp;"",INDEX(nQ11_Unit_Out,$AH21)&amp;""))</f>
        <v>minutes</v>
      </c>
      <c r="AV21" s="1" t="str">
        <f>IF($AF21=0,"",CHOOSE($AF21,INDEX(nINT_Displayed_Value,$AH21)&amp;"",INDEX(nQ1_Displayed_Value,$AH21)&amp;"",INDEX(nQ2_Displayed_Value,$AH21)&amp;"",INDEX(nQ3_Displayed_Value,$AH21)&amp;"",INDEX(nQ4_Displayed_Value,$AH21)&amp;"",INDEX(nQ5_Displayed_Value,$AH21)&amp;"",INDEX(nQ6_Displayed_Value,$AH21)&amp;"",INDEX(nQ7_Displayed_Value,$AH21)&amp;"",INDEX(nQ8_Displayed_Value,$AH21)&amp;"",INDEX(nQ9_Displayed_Value,$AH21)&amp;"",INDEX(nQ10_Displayed_Value,$AH21)&amp;"",INDEX(nQ11_Displayed_Value,$AH21)&amp;""))</f>
        <v>50 minutes</v>
      </c>
      <c r="AW21" s="1" t="str">
        <f>IF($AF21=0,"",CHOOSE($AF21,INDEX(nINT_Calculation_Mode_Used,$AH21)&amp;"","Q1","Q2","Q3","Q4","Q5","Q6","Q7","Q8","Q9","Q10","Q11"))</f>
        <v>C1</v>
      </c>
      <c r="AX21" s="1" t="str">
        <f>IF($AF21=0,"",CHOOSE($AF21,INDEX(nINT_Anchor_Type,$AH21)&amp;"","","","","","","","","","","",""))</f>
        <v>OTHER</v>
      </c>
      <c r="AY21" s="1" t="str">
        <f>IF($AF21=0,"",CHOOSE($AF21,IF(INDEX(nINT_K_Ok,$AH21)=1,INDEX(nINT_Anchor_Record_ID_Used,$AH21)&amp;"",""),"","","","","","","","","","",""))</f>
        <v>EV-1/ONSET</v>
      </c>
      <c r="AZ21" s="1" t="str">
        <f>IF($AF21=0,"",CHOOSE($AF21,INDEX(nINT_Anchor_Description,$AH21)&amp;"","","","","","","","","","","",""))</f>
        <v>Onset of the reaction</v>
      </c>
      <c r="BA21" s="1" t="str">
        <f>IF($AF21=0,"",CHOOSE($AF21,INDEX(nINT_Sequence_Status,$AH21)&amp;"","","","","","","","","","","",""))</f>
        <v>AFTER</v>
      </c>
      <c r="BB21" s="1" t="str">
        <f>IF($AF21=0,"",CHOOSE($AF21,INDEX(nINT_Treatment_Day,$AH21),"","","","","","","","","","",""))</f>
        <v/>
      </c>
      <c r="BC21" s="1" t="str">
        <f>IF($AF21=0,"",CHOOSE($AF21,INDEX(nINT_Reported_Timing_Result,$AH21)&amp;"","","","","","","","","","","",""))</f>
        <v/>
      </c>
      <c r="BD21" s="1" t="str">
        <f>IF($AF21=0,"",CHOOSE($AF21,IF(INDEX(nINT_K_HasC,$AH21)=1,INDEX(nINT_Constraint_Source,$AH21)&amp;"",""),"","","","","","","","","","",""))</f>
        <v/>
      </c>
      <c r="BE21" s="1" t="str">
        <f>IF($AF21=0,"",CHOOSE($AF21,"",INDEX(nQ1_Results_Text,$AH21)&amp;"",INDEX(nQ2_Results_Text,$AH21)&amp;"",INDEX(nQ3_Results_Text,$AH21)&amp;"",INDEX(nQ4_Results_Text,$AH21)&amp;"",INDEX(nQ5_Results_Text,$AH21)&amp;"",INDEX(nQ6_Results_Text,$AH21)&amp;"",INDEX(nQ7_Results_Text,$AH21)&amp;"",INDEX(nQ8_Results_Text,$AH21)&amp;"",INDEX(nQ9_Results_Text,$AH21)&amp;"",INDEX(nQ10_Results_Text,$AH21)&amp;"",INDEX(nQ11_Results_Text,$AH21)&amp;""))</f>
        <v/>
      </c>
      <c r="BF21" s="1" t="str">
        <f>IF($AF21=0,"",CHOOSE($AF21,INDEX(nINT_Parameter_Set,$AH21)&amp;"",INDEX(nQ1_Parameter_Set,$AH21)&amp;"",INDEX(nQ2_Parameter_Set,$AH21)&amp;"",INDEX(nQ3_Parameter_Set,$AH21)&amp;"",INDEX(nQ4_Parameter_Set,$AH21)&amp;"",INDEX(nQ5_Parameter_Set,$AH21)&amp;"",INDEX(nQ6_Parameter_Set,$AH21)&amp;"",INDEX(nQ7_Parameter_Set,$AH21)&amp;"",INDEX(nQ8_Parameter_Set,$AH21)&amp;"",INDEX(nQ9_Parameter_Set,$AH21)&amp;"",INDEX(nQ10_Parameter_Set,$AH21)&amp;"",INDEX(nQ11_Parameter_Set,$AH21)&amp;""))</f>
        <v>Anchor (OTHER) EV-1/ONSET: 2026-01-10T09:15-05:00 [timestamp with UTC offset; case measurement; original: "09:15 pt reports itching; urticaria chest and arms; audible wheeze; BP 84/52"; source: Nursing observation chart] | End point M-TRYP: 2026-01-10T10:05-05:00 [timestamp with UTC offset; case measurement; original: "tryptase sample 10:05"; source: Follow-up, version 2]</v>
      </c>
      <c r="BG21" s="1" t="str">
        <f>IF($AF21=0,"",CHOOSE($AF21,INDEX(nINT_Assumptions,$AH21)&amp;"",INDEX(nQ1_Assumptions,$AH21)&amp;"",INDEX(nQ2_Assumptions,$AH21)&amp;"",INDEX(nQ3_Assumptions,$AH21)&amp;"",INDEX(nQ4_Assumptions,$AH21)&amp;"",INDEX(nQ5_Assumptions,$AH21)&amp;"",INDEX(nQ6_Assumptions,$AH21)&amp;"",INDEX(nQ7_Assumptions,$AH21)&amp;"",INDEX(nQ8_Assumptions,$AH21)&amp;"",INDEX(nQ9_Assumptions,$AH21)&amp;"",INDEX(nQ10_Assumptions,$AH21)&amp;"",INDEX(nQ11_Assumptions,$AH21)&amp;""))</f>
        <v/>
      </c>
      <c r="BH21" s="1" t="str">
        <f>IF($AF21=0,"",CHOOSE($AF21,INDEX(nINT_Calculation_Version,$AH21)&amp;"",INDEX(nQ1_Calculation_Version,$AH21)&amp;"",INDEX(nQ2_Calculation_Version,$AH21)&amp;"",INDEX(nQ3_Calculation_Version,$AH21)&amp;"",INDEX(nQ4_Calculation_Version,$AH21)&amp;"",INDEX(nQ5_Calculation_Version,$AH21)&amp;"",INDEX(nQ6_Calculation_Version,$AH21)&amp;"",INDEX(nQ7_Calculation_Version,$AH21)&amp;"",INDEX(nQ8_Calculation_Version,$AH21)&amp;"",INDEX(nQ9_Calculation_Version,$AH21)&amp;"",INDEX(nQ10_Calculation_Version,$AH21)&amp;"",INDEX(nQ11_Calculation_Version,$AH21)&amp;""))</f>
        <v>CALC-SPEC 1.1</v>
      </c>
      <c r="BI21" s="1" t="str">
        <f>IF($AF21=0,"",CHOOSE($AF21,INDEX(nINT_QC_Flags,$AH21)&amp;"",INDEX(nQ1_QC_Flags,$AH21)&amp;"",INDEX(nQ2_QC_Flags,$AH21)&amp;"",INDEX(nQ3_QC_Flags,$AH21)&amp;"",INDEX(nQ4_QC_Flags,$AH21)&amp;"",INDEX(nQ5_QC_Flags,$AH21)&amp;"",INDEX(nQ6_QC_Flags,$AH21)&amp;"",INDEX(nQ7_QC_Flags,$AH21)&amp;"",INDEX(nQ8_QC_Flags,$AH21)&amp;"",INDEX(nQ9_QC_Flags,$AH21)&amp;"",INDEX(nQ10_QC_Flags,$AH21)&amp;"",INDEX(nQ11_QC_Flags,$AH21)&amp;""))</f>
        <v/>
      </c>
      <c r="BJ21" s="1" t="str">
        <f>IF($AF21=0,"",CHOOSE($AF21,INDEX(nINT_Messages,$AH21)&amp;"",INDEX(nQ1_Messages,$AH21)&amp;"",INDEX(nQ2_Messages,$AH21)&amp;"",INDEX(nQ3_Messages,$AH21)&amp;"",INDEX(nQ4_Messages,$AH21)&amp;"",INDEX(nQ5_Messages,$AH21)&amp;"",INDEX(nQ6_Messages,$AH21)&amp;"",INDEX(nQ7_Messages,$AH21)&amp;"",INDEX(nQ8_Messages,$AH21)&amp;"",INDEX(nQ9_Messages,$AH21)&amp;"",INDEX(nQ10_Messages,$AH21)&amp;"",INDEX(nQ11_Messages,$AH21)&amp;""))</f>
        <v/>
      </c>
      <c r="BK21" s="1" t="str">
        <f>IF($AF21=0,"",CHOOSE($AF21,INDEX(nINT_Limitations,$AH21)&amp;"",INDEX(nQ1_Mandatory_Text,$AH21)&amp;"",INDEX(nQ2_Mandatory_Text,$AH21)&amp;"",INDEX(nQ3_Mandatory_Text,$AH21)&amp;"",INDEX(nQ4_Mandatory_Text,$AH21)&amp;"",INDEX(nQ5_Mandatory_Text,$AH21)&amp;"",INDEX(nQ6_Mandatory_Text,$AH21)&amp;"",INDEX(nQ7_Mandatory_Text,$AH21)&amp;"",INDEX(nQ8_Mandatory_Text,$AH21)&amp;"",INDEX(nQ9_Mandatory_Text,$AH21)&amp;"",INDEX(nQ10_Mandatory_Text,$AH21)&amp;"",INDEX(nQ11_Mandatory_Text,$AH21)&amp;""))</f>
        <v>The interval describes the sequence and spacing of recorded times; it is not evidence of causation.</v>
      </c>
      <c r="BL21" s="1" t="str">
        <f t="shared" si="33"/>
        <v>not stamped</v>
      </c>
      <c r="BM21" s="1" t="str">
        <f t="shared" si="34"/>
        <v>TTO Companion Tools v1.1</v>
      </c>
    </row>
    <row r="22" spans="1:81" x14ac:dyDescent="0.2">
      <c r="A22" s="21" t="str">
        <f t="shared" si="0"/>
        <v>EX-C01</v>
      </c>
      <c r="B22" s="21">
        <f t="shared" si="1"/>
        <v>2</v>
      </c>
      <c r="C22" s="21" t="str">
        <f t="shared" si="2"/>
        <v>Q9-C01</v>
      </c>
      <c r="D22" s="21" t="str">
        <f t="shared" si="3"/>
        <v>Amount of Drug A infused before onset (pump rate recorded in mL/hour only)</v>
      </c>
      <c r="E22" s="21" t="str">
        <f t="shared" si="4"/>
        <v/>
      </c>
      <c r="F22" s="21" t="str">
        <f t="shared" si="5"/>
        <v/>
      </c>
      <c r="G22" s="21" t="str">
        <f t="shared" si="6"/>
        <v/>
      </c>
      <c r="H22" s="21" t="str">
        <f t="shared" si="7"/>
        <v/>
      </c>
      <c r="I22" s="21" t="str">
        <f t="shared" si="8"/>
        <v/>
      </c>
      <c r="J22" s="21" t="str">
        <f t="shared" si="9"/>
        <v/>
      </c>
      <c r="K22" s="21" t="str">
        <f t="shared" si="10"/>
        <v/>
      </c>
      <c r="L22" s="21" t="str">
        <f t="shared" si="11"/>
        <v/>
      </c>
      <c r="M22" s="21" t="str">
        <f t="shared" si="12"/>
        <v>Not calculable</v>
      </c>
      <c r="N22" s="21" t="str">
        <f t="shared" si="13"/>
        <v>Q9</v>
      </c>
      <c r="O22" s="21" t="str">
        <f t="shared" si="14"/>
        <v/>
      </c>
      <c r="P22" s="21" t="str">
        <f t="shared" si="15"/>
        <v/>
      </c>
      <c r="Q22" s="21" t="str">
        <f t="shared" si="16"/>
        <v/>
      </c>
      <c r="R22" s="21" t="str">
        <f t="shared" si="17"/>
        <v/>
      </c>
      <c r="S22" s="21" t="str">
        <f t="shared" si="18"/>
        <v/>
      </c>
      <c r="T22" s="21" t="str">
        <f t="shared" si="19"/>
        <v/>
      </c>
      <c r="U22" s="21" t="str">
        <f t="shared" si="20"/>
        <v/>
      </c>
      <c r="V22" s="21" t="str">
        <f t="shared" si="21"/>
        <v/>
      </c>
      <c r="W22" s="21" t="str">
        <f t="shared" si="22"/>
        <v>Rate segments of exposure episode EX-A (Administrations, 1 segments) [case measurement]; onset EV-1/ONSET [case measurement]</v>
      </c>
      <c r="X22" s="21" t="str">
        <f t="shared" si="23"/>
        <v/>
      </c>
      <c r="Y22" s="21" t="str">
        <f t="shared" si="24"/>
        <v>CALC-SPEC 1.1</v>
      </c>
      <c r="Z22" s="21" t="str">
        <f t="shared" si="25"/>
        <v>E_INVALID_UNIT</v>
      </c>
      <c r="AA22" s="21" t="str">
        <f t="shared" si="26"/>
        <v>E_INVALID_UNIT: This unit is not supported here. Use one of the listed units.</v>
      </c>
      <c r="AB22" s="21" t="str">
        <f t="shared" si="27"/>
        <v>Amount infused, not systemic or effect-site exposure. Assumes the recorded times without interruption and ignores line dead volume.</v>
      </c>
      <c r="AC22" s="21" t="str">
        <f t="shared" si="28"/>
        <v>not stamped</v>
      </c>
      <c r="AD22" s="21" t="str">
        <f t="shared" si="29"/>
        <v>TTO Companion Tools v1.1</v>
      </c>
      <c r="AE22" s="1">
        <f t="shared" si="30"/>
        <v>15</v>
      </c>
      <c r="AF22" s="1">
        <f t="shared" si="31"/>
        <v>10</v>
      </c>
      <c r="AG22" s="1">
        <f t="shared" si="32"/>
        <v>1</v>
      </c>
      <c r="AH22" s="1">
        <f>IF(AF22=0,0,CHOOSE(AF22,IFERROR(_xlfn.AGGREGATE(15,6,(ROW(nINT_CaseKey)-ROW(INDEX(nINT_CaseKey,1,1))+1)/((nINT_CaseKey=$H$4)*(nINT_RowEmpty=0)),AG22),0),IFERROR(_xlfn.AGGREGATE(15,6,(ROW(nQ1_CaseKey)-ROW(INDEX(nQ1_CaseKey,1,1))+1)/((nQ1_CaseKey=$H$4)),AG22),0),IFERROR(_xlfn.AGGREGATE(15,6,(ROW(nQ2_CaseKey)-ROW(INDEX(nQ2_CaseKey,1,1))+1)/((nQ2_CaseKey=$H$4)),AG22),0),IFERROR(_xlfn.AGGREGATE(15,6,(ROW(nQ3_CaseKey)-ROW(INDEX(nQ3_CaseKey,1,1))+1)/((nQ3_CaseKey=$H$4)),AG22),0),IFERROR(_xlfn.AGGREGATE(15,6,(ROW(nQ4_CaseKey)-ROW(INDEX(nQ4_CaseKey,1,1))+1)/((nQ4_CaseKey=$H$4)),AG22),0),IFERROR(_xlfn.AGGREGATE(15,6,(ROW(nQ5_CaseKey)-ROW(INDEX(nQ5_CaseKey,1,1))+1)/((nQ5_CaseKey=$H$4)),AG22),0),IFERROR(_xlfn.AGGREGATE(15,6,(ROW(nQ6_CaseKey)-ROW(INDEX(nQ6_CaseKey,1,1))+1)/((nQ6_CaseKey=$H$4)),AG22),0),IFERROR(_xlfn.AGGREGATE(15,6,(ROW(nQ7_CaseKey)-ROW(INDEX(nQ7_CaseKey,1,1))+1)/((nQ7_CaseKey=$H$4)),AG22),0),IFERROR(_xlfn.AGGREGATE(15,6,(ROW(nQ8_CaseKey)-ROW(INDEX(nQ8_CaseKey,1,1))+1)/((nQ8_CaseKey=$H$4)),AG22),0),IFERROR(_xlfn.AGGREGATE(15,6,(ROW(nQ9_CaseKey)-ROW(INDEX(nQ9_CaseKey,1,1))+1)/((nQ9_CaseKey=$H$4)),AG22),0),IFERROR(_xlfn.AGGREGATE(15,6,(ROW(nQ10_CaseKey)-ROW(INDEX(nQ10_CaseKey,1,1))+1)/((nQ10_CaseKey=$H$4)),AG22),0),IFERROR(_xlfn.AGGREGATE(15,6,(ROW(nQ11_CaseKey)-ROW(INDEX(nQ11_CaseKey,1,1))+1)/((nQ11_CaseKey=$H$4)),AG22),0)))</f>
        <v>10</v>
      </c>
      <c r="AJ22" s="1" t="str">
        <f>IF($AF22=0,"",CHOOSE($AF22,INDEX(nINT_Case_ID,$AH22)&amp;"",INDEX(nQ1_Case_ID,$AH22)&amp;"",INDEX(nQ2_Case_ID,$AH22)&amp;"",INDEX(nQ3_Case_ID,$AH22)&amp;"",INDEX(nQ4_Case_ID,$AH22)&amp;"",INDEX(nQ5_Case_ID,$AH22)&amp;"",INDEX(nQ6_Case_ID,$AH22)&amp;"",INDEX(nQ7_Case_ID,$AH22)&amp;"",INDEX(nQ8_Case_ID,$AH22)&amp;"",INDEX(nQ9_Case_ID,$AH22)&amp;"",INDEX(nQ10_Case_ID,$AH22)&amp;"",INDEX(nQ11_Case_ID,$AH22)&amp;""))</f>
        <v>EX-C01</v>
      </c>
      <c r="AK22" s="1">
        <f>IF($AF22=0,"",CHOOSE($AF22,INDEX(nINT_Case_Version,$AH22),INDEX(nQ1_Case_Version,$AH22),INDEX(nQ2_Case_Version,$AH22),INDEX(nQ3_Case_Version,$AH22),INDEX(nQ4_Case_Version,$AH22),INDEX(nQ5_Case_Version,$AH22),INDEX(nQ6_Case_Version,$AH22),INDEX(nQ7_Case_Version,$AH22),INDEX(nQ8_Case_Version,$AH22),INDEX(nQ9_Case_Version,$AH22),INDEX(nQ10_Case_Version,$AH22),INDEX(nQ11_Case_Version,$AH22)))</f>
        <v>2</v>
      </c>
      <c r="AL22" s="1" t="str">
        <f>IF($AF22=0,"",CHOOSE($AF22,INDEX(nINT_Interval_ID,$AH22)&amp;"",INDEX(nQ1_Calc_ID,$AH22)&amp;"",INDEX(nQ2_Calc_ID,$AH22)&amp;"",INDEX(nQ3_Calc_ID,$AH22)&amp;"",INDEX(nQ4_Calc_ID,$AH22)&amp;"",INDEX(nQ5_Calc_ID,$AH22)&amp;"",INDEX(nQ6_Calc_ID,$AH22)&amp;"",INDEX(nQ7_Calc_ID,$AH22)&amp;"",INDEX(nQ8_Calc_ID,$AH22)&amp;"",INDEX(nQ9_Calc_ID,$AH22)&amp;"",INDEX(nQ10_Calc_ID,$AH22)&amp;"",INDEX(nQ11_Calc_ID,$AH22)&amp;""))</f>
        <v>Q9-C01</v>
      </c>
      <c r="AM22" s="1" t="str">
        <f>IF($AF22=0,"",CHOOSE($AF22,INDEX(nINT_Label,$AH22)&amp;"",INDEX(nQ1_Label_Out,$AH22)&amp;"",INDEX(nQ2_Label_Out,$AH22)&amp;"",INDEX(nQ3_Label_Out,$AH22)&amp;"",INDEX(nQ4_Label_Out,$AH22)&amp;"",INDEX(nQ5_Label_Out,$AH22)&amp;"",INDEX(nQ6_Label_Out,$AH22)&amp;"",INDEX(nQ7_Label_Out,$AH22)&amp;"",INDEX(nQ8_Label_Out,$AH22)&amp;"",INDEX(nQ9_Label_Out,$AH22)&amp;"",INDEX(nQ10_Label_Out,$AH22)&amp;"",INDEX(nQ11_Label_Out,$AH22)&amp;""))</f>
        <v>Amount of Drug A infused before onset (pump rate recorded in mL/hour only)</v>
      </c>
      <c r="AN22" s="1" t="str">
        <f>IF($AF22=0,"",CHOOSE($AF22,IF(INDEX(nINT_LinkRow,$AH22)=0,"",INDEX(nINT_Link_ID,$AH22)&amp;""),"","","","","","","","","","",""))</f>
        <v/>
      </c>
      <c r="AO22" s="1" t="str">
        <f>IF($AF22=0,"",CHOOSE($AF22,INDEX(nINT_Exposure_Episode_ID,$AH22)&amp;"","","","","","","","","","","",""))</f>
        <v/>
      </c>
      <c r="AP22" s="1" t="str">
        <f>IF($AF22=0,"",CHOOSE($AF22,INDEX(nINT_Event_Episode_ID,$AH22)&amp;"","","","","","","","","","","",""))</f>
        <v/>
      </c>
      <c r="AQ22" s="1" t="str">
        <f>IF($AF22=0,"",CHOOSE($AF22,INDEX(nINT_End_Record_ID_Used,$AH22)&amp;"","","","","","","","","","","",""))</f>
        <v/>
      </c>
      <c r="AR22" s="1" t="str">
        <f>IF($AF22=0,"",CHOOSE($AF22,INDEX(nINT_Interval_Value,$AH22),"","","","","","","","","","",""))</f>
        <v/>
      </c>
      <c r="AS22" s="1" t="str">
        <f>IF($AF22=0,"",CHOOSE($AF22,INDEX(nINT_Interval_Minimum,$AH22),"","","","","","","","","","",""))</f>
        <v/>
      </c>
      <c r="AT22" s="1" t="str">
        <f>IF($AF22=0,"",CHOOSE($AF22,INDEX(nINT_Interval_Maximum,$AH22),"","","","","","","","","","",""))</f>
        <v/>
      </c>
      <c r="AU22" s="1" t="str">
        <f>IF($AF22=0,"",CHOOSE($AF22,INDEX(nINT_Unit,$AH22)&amp;"",INDEX(nQ1_Unit_Out,$AH22)&amp;"",INDEX(nQ2_Unit_Out,$AH22)&amp;"",INDEX(nQ3_Unit_Out,$AH22)&amp;"",INDEX(nQ4_Unit_Out,$AH22)&amp;"",INDEX(nQ5_Unit_Out,$AH22)&amp;"",INDEX(nQ6_Unit_Out,$AH22)&amp;"",INDEX(nQ7_Unit_Out,$AH22)&amp;"",INDEX(nQ8_Unit_Out,$AH22)&amp;"",INDEX(nQ9_Unit_Out,$AH22)&amp;"",INDEX(nQ10_Unit_Out,$AH22)&amp;"",INDEX(nQ11_Unit_Out,$AH22)&amp;""))</f>
        <v/>
      </c>
      <c r="AV22" s="1" t="str">
        <f>IF($AF22=0,"",CHOOSE($AF22,INDEX(nINT_Displayed_Value,$AH22)&amp;"",INDEX(nQ1_Displayed_Value,$AH22)&amp;"",INDEX(nQ2_Displayed_Value,$AH22)&amp;"",INDEX(nQ3_Displayed_Value,$AH22)&amp;"",INDEX(nQ4_Displayed_Value,$AH22)&amp;"",INDEX(nQ5_Displayed_Value,$AH22)&amp;"",INDEX(nQ6_Displayed_Value,$AH22)&amp;"",INDEX(nQ7_Displayed_Value,$AH22)&amp;"",INDEX(nQ8_Displayed_Value,$AH22)&amp;"",INDEX(nQ9_Displayed_Value,$AH22)&amp;"",INDEX(nQ10_Displayed_Value,$AH22)&amp;"",INDEX(nQ11_Displayed_Value,$AH22)&amp;""))</f>
        <v>Not calculable</v>
      </c>
      <c r="AW22" s="1" t="str">
        <f>IF($AF22=0,"",CHOOSE($AF22,INDEX(nINT_Calculation_Mode_Used,$AH22)&amp;"","Q1","Q2","Q3","Q4","Q5","Q6","Q7","Q8","Q9","Q10","Q11"))</f>
        <v>Q9</v>
      </c>
      <c r="AX22" s="1" t="str">
        <f>IF($AF22=0,"",CHOOSE($AF22,INDEX(nINT_Anchor_Type,$AH22)&amp;"","","","","","","","","","","",""))</f>
        <v/>
      </c>
      <c r="AY22" s="1" t="str">
        <f>IF($AF22=0,"",CHOOSE($AF22,IF(INDEX(nINT_K_Ok,$AH22)=1,INDEX(nINT_Anchor_Record_ID_Used,$AH22)&amp;"",""),"","","","","","","","","","",""))</f>
        <v/>
      </c>
      <c r="AZ22" s="1" t="str">
        <f>IF($AF22=0,"",CHOOSE($AF22,INDEX(nINT_Anchor_Description,$AH22)&amp;"","","","","","","","","","","",""))</f>
        <v/>
      </c>
      <c r="BA22" s="1" t="str">
        <f>IF($AF22=0,"",CHOOSE($AF22,INDEX(nINT_Sequence_Status,$AH22)&amp;"","","","","","","","","","","",""))</f>
        <v/>
      </c>
      <c r="BB22" s="1" t="str">
        <f>IF($AF22=0,"",CHOOSE($AF22,INDEX(nINT_Treatment_Day,$AH22),"","","","","","","","","","",""))</f>
        <v/>
      </c>
      <c r="BC22" s="1" t="str">
        <f>IF($AF22=0,"",CHOOSE($AF22,INDEX(nINT_Reported_Timing_Result,$AH22)&amp;"","","","","","","","","","","",""))</f>
        <v/>
      </c>
      <c r="BD22" s="1" t="str">
        <f>IF($AF22=0,"",CHOOSE($AF22,IF(INDEX(nINT_K_HasC,$AH22)=1,INDEX(nINT_Constraint_Source,$AH22)&amp;"",""),"","","","","","","","","","",""))</f>
        <v/>
      </c>
      <c r="BE22" s="1" t="str">
        <f>IF($AF22=0,"",CHOOSE($AF22,"",INDEX(nQ1_Results_Text,$AH22)&amp;"",INDEX(nQ2_Results_Text,$AH22)&amp;"",INDEX(nQ3_Results_Text,$AH22)&amp;"",INDEX(nQ4_Results_Text,$AH22)&amp;"",INDEX(nQ5_Results_Text,$AH22)&amp;"",INDEX(nQ6_Results_Text,$AH22)&amp;"",INDEX(nQ7_Results_Text,$AH22)&amp;"",INDEX(nQ8_Results_Text,$AH22)&amp;"",INDEX(nQ9_Results_Text,$AH22)&amp;"",INDEX(nQ10_Results_Text,$AH22)&amp;"",INDEX(nQ11_Results_Text,$AH22)&amp;""))</f>
        <v/>
      </c>
      <c r="BF22" s="1" t="str">
        <f>IF($AF22=0,"",CHOOSE($AF22,INDEX(nINT_Parameter_Set,$AH22)&amp;"",INDEX(nQ1_Parameter_Set,$AH22)&amp;"",INDEX(nQ2_Parameter_Set,$AH22)&amp;"",INDEX(nQ3_Parameter_Set,$AH22)&amp;"",INDEX(nQ4_Parameter_Set,$AH22)&amp;"",INDEX(nQ5_Parameter_Set,$AH22)&amp;"",INDEX(nQ6_Parameter_Set,$AH22)&amp;"",INDEX(nQ7_Parameter_Set,$AH22)&amp;"",INDEX(nQ8_Parameter_Set,$AH22)&amp;"",INDEX(nQ9_Parameter_Set,$AH22)&amp;"",INDEX(nQ10_Parameter_Set,$AH22)&amp;"",INDEX(nQ11_Parameter_Set,$AH22)&amp;""))</f>
        <v>Rate segments of exposure episode EX-A (Administrations, 1 segments) [case measurement]; onset EV-1/ONSET [case measurement]</v>
      </c>
      <c r="BG22" s="1" t="str">
        <f>IF($AF22=0,"",CHOOSE($AF22,INDEX(nINT_Assumptions,$AH22)&amp;"",INDEX(nQ1_Assumptions,$AH22)&amp;"",INDEX(nQ2_Assumptions,$AH22)&amp;"",INDEX(nQ3_Assumptions,$AH22)&amp;"",INDEX(nQ4_Assumptions,$AH22)&amp;"",INDEX(nQ5_Assumptions,$AH22)&amp;"",INDEX(nQ6_Assumptions,$AH22)&amp;"",INDEX(nQ7_Assumptions,$AH22)&amp;"",INDEX(nQ8_Assumptions,$AH22)&amp;"",INDEX(nQ9_Assumptions,$AH22)&amp;"",INDEX(nQ10_Assumptions,$AH22)&amp;"",INDEX(nQ11_Assumptions,$AH22)&amp;""))</f>
        <v/>
      </c>
      <c r="BH22" s="1" t="str">
        <f>IF($AF22=0,"",CHOOSE($AF22,INDEX(nINT_Calculation_Version,$AH22)&amp;"",INDEX(nQ1_Calculation_Version,$AH22)&amp;"",INDEX(nQ2_Calculation_Version,$AH22)&amp;"",INDEX(nQ3_Calculation_Version,$AH22)&amp;"",INDEX(nQ4_Calculation_Version,$AH22)&amp;"",INDEX(nQ5_Calculation_Version,$AH22)&amp;"",INDEX(nQ6_Calculation_Version,$AH22)&amp;"",INDEX(nQ7_Calculation_Version,$AH22)&amp;"",INDEX(nQ8_Calculation_Version,$AH22)&amp;"",INDEX(nQ9_Calculation_Version,$AH22)&amp;"",INDEX(nQ10_Calculation_Version,$AH22)&amp;"",INDEX(nQ11_Calculation_Version,$AH22)&amp;""))</f>
        <v>CALC-SPEC 1.1</v>
      </c>
      <c r="BI22" s="1" t="str">
        <f>IF($AF22=0,"",CHOOSE($AF22,INDEX(nINT_QC_Flags,$AH22)&amp;"",INDEX(nQ1_QC_Flags,$AH22)&amp;"",INDEX(nQ2_QC_Flags,$AH22)&amp;"",INDEX(nQ3_QC_Flags,$AH22)&amp;"",INDEX(nQ4_QC_Flags,$AH22)&amp;"",INDEX(nQ5_QC_Flags,$AH22)&amp;"",INDEX(nQ6_QC_Flags,$AH22)&amp;"",INDEX(nQ7_QC_Flags,$AH22)&amp;"",INDEX(nQ8_QC_Flags,$AH22)&amp;"",INDEX(nQ9_QC_Flags,$AH22)&amp;"",INDEX(nQ10_QC_Flags,$AH22)&amp;"",INDEX(nQ11_QC_Flags,$AH22)&amp;""))</f>
        <v>E_INVALID_UNIT</v>
      </c>
      <c r="BJ22" s="1" t="str">
        <f>IF($AF22=0,"",CHOOSE($AF22,INDEX(nINT_Messages,$AH22)&amp;"",INDEX(nQ1_Messages,$AH22)&amp;"",INDEX(nQ2_Messages,$AH22)&amp;"",INDEX(nQ3_Messages,$AH22)&amp;"",INDEX(nQ4_Messages,$AH22)&amp;"",INDEX(nQ5_Messages,$AH22)&amp;"",INDEX(nQ6_Messages,$AH22)&amp;"",INDEX(nQ7_Messages,$AH22)&amp;"",INDEX(nQ8_Messages,$AH22)&amp;"",INDEX(nQ9_Messages,$AH22)&amp;"",INDEX(nQ10_Messages,$AH22)&amp;"",INDEX(nQ11_Messages,$AH22)&amp;""))</f>
        <v>E_INVALID_UNIT: This unit is not supported here. Use one of the listed units.</v>
      </c>
      <c r="BK22" s="1" t="str">
        <f>IF($AF22=0,"",CHOOSE($AF22,INDEX(nINT_Limitations,$AH22)&amp;"",INDEX(nQ1_Mandatory_Text,$AH22)&amp;"",INDEX(nQ2_Mandatory_Text,$AH22)&amp;"",INDEX(nQ3_Mandatory_Text,$AH22)&amp;"",INDEX(nQ4_Mandatory_Text,$AH22)&amp;"",INDEX(nQ5_Mandatory_Text,$AH22)&amp;"",INDEX(nQ6_Mandatory_Text,$AH22)&amp;"",INDEX(nQ7_Mandatory_Text,$AH22)&amp;"",INDEX(nQ8_Mandatory_Text,$AH22)&amp;"",INDEX(nQ9_Mandatory_Text,$AH22)&amp;"",INDEX(nQ10_Mandatory_Text,$AH22)&amp;"",INDEX(nQ11_Mandatory_Text,$AH22)&amp;""))</f>
        <v>Amount infused, not systemic or effect-site exposure. Assumes the recorded times without interruption and ignores line dead volume.</v>
      </c>
      <c r="BL22" s="1" t="str">
        <f t="shared" si="33"/>
        <v>not stamped</v>
      </c>
      <c r="BM22" s="1" t="str">
        <f t="shared" si="34"/>
        <v>TTO Companion Tools v1.1</v>
      </c>
    </row>
    <row r="23" spans="1:81" x14ac:dyDescent="0.2">
      <c r="A23" s="21" t="str">
        <f t="shared" si="0"/>
        <v/>
      </c>
      <c r="B23" s="21" t="str">
        <f t="shared" si="1"/>
        <v/>
      </c>
      <c r="C23" s="21" t="str">
        <f t="shared" si="2"/>
        <v/>
      </c>
      <c r="D23" s="21" t="str">
        <f t="shared" si="3"/>
        <v/>
      </c>
      <c r="E23" s="21" t="str">
        <f t="shared" si="4"/>
        <v/>
      </c>
      <c r="F23" s="21" t="str">
        <f t="shared" si="5"/>
        <v/>
      </c>
      <c r="G23" s="21" t="str">
        <f t="shared" si="6"/>
        <v/>
      </c>
      <c r="H23" s="21" t="str">
        <f t="shared" si="7"/>
        <v/>
      </c>
      <c r="I23" s="21" t="str">
        <f t="shared" si="8"/>
        <v/>
      </c>
      <c r="J23" s="21" t="str">
        <f t="shared" si="9"/>
        <v/>
      </c>
      <c r="K23" s="21" t="str">
        <f t="shared" si="10"/>
        <v/>
      </c>
      <c r="L23" s="21" t="str">
        <f t="shared" si="11"/>
        <v/>
      </c>
      <c r="M23" s="21" t="str">
        <f t="shared" si="12"/>
        <v/>
      </c>
      <c r="N23" s="21" t="str">
        <f t="shared" si="13"/>
        <v/>
      </c>
      <c r="O23" s="21" t="str">
        <f t="shared" si="14"/>
        <v/>
      </c>
      <c r="P23" s="21" t="str">
        <f t="shared" si="15"/>
        <v/>
      </c>
      <c r="Q23" s="21" t="str">
        <f t="shared" si="16"/>
        <v/>
      </c>
      <c r="R23" s="21" t="str">
        <f t="shared" si="17"/>
        <v/>
      </c>
      <c r="S23" s="21" t="str">
        <f t="shared" si="18"/>
        <v/>
      </c>
      <c r="T23" s="21" t="str">
        <f t="shared" si="19"/>
        <v/>
      </c>
      <c r="U23" s="21" t="str">
        <f t="shared" si="20"/>
        <v/>
      </c>
      <c r="V23" s="21" t="str">
        <f t="shared" si="21"/>
        <v/>
      </c>
      <c r="W23" s="21" t="str">
        <f t="shared" si="22"/>
        <v/>
      </c>
      <c r="X23" s="21" t="str">
        <f t="shared" si="23"/>
        <v/>
      </c>
      <c r="Y23" s="21" t="str">
        <f t="shared" si="24"/>
        <v/>
      </c>
      <c r="Z23" s="21" t="str">
        <f t="shared" si="25"/>
        <v/>
      </c>
      <c r="AA23" s="21" t="str">
        <f t="shared" si="26"/>
        <v/>
      </c>
      <c r="AB23" s="21" t="str">
        <f t="shared" si="27"/>
        <v/>
      </c>
      <c r="AC23" s="21" t="str">
        <f t="shared" si="28"/>
        <v/>
      </c>
      <c r="AD23" s="21" t="str">
        <f t="shared" si="29"/>
        <v/>
      </c>
      <c r="AE23" s="1">
        <f t="shared" si="30"/>
        <v>16</v>
      </c>
      <c r="AF23" s="1">
        <f t="shared" si="31"/>
        <v>0</v>
      </c>
      <c r="AG23" s="1">
        <f t="shared" si="32"/>
        <v>0</v>
      </c>
      <c r="AH23" s="1">
        <f>IF(AF23=0,0,CHOOSE(AF23,IFERROR(_xlfn.AGGREGATE(15,6,(ROW(nINT_CaseKey)-ROW(INDEX(nINT_CaseKey,1,1))+1)/((nINT_CaseKey=$H$4)*(nINT_RowEmpty=0)),AG23),0),IFERROR(_xlfn.AGGREGATE(15,6,(ROW(nQ1_CaseKey)-ROW(INDEX(nQ1_CaseKey,1,1))+1)/((nQ1_CaseKey=$H$4)),AG23),0),IFERROR(_xlfn.AGGREGATE(15,6,(ROW(nQ2_CaseKey)-ROW(INDEX(nQ2_CaseKey,1,1))+1)/((nQ2_CaseKey=$H$4)),AG23),0),IFERROR(_xlfn.AGGREGATE(15,6,(ROW(nQ3_CaseKey)-ROW(INDEX(nQ3_CaseKey,1,1))+1)/((nQ3_CaseKey=$H$4)),AG23),0),IFERROR(_xlfn.AGGREGATE(15,6,(ROW(nQ4_CaseKey)-ROW(INDEX(nQ4_CaseKey,1,1))+1)/((nQ4_CaseKey=$H$4)),AG23),0),IFERROR(_xlfn.AGGREGATE(15,6,(ROW(nQ5_CaseKey)-ROW(INDEX(nQ5_CaseKey,1,1))+1)/((nQ5_CaseKey=$H$4)),AG23),0),IFERROR(_xlfn.AGGREGATE(15,6,(ROW(nQ6_CaseKey)-ROW(INDEX(nQ6_CaseKey,1,1))+1)/((nQ6_CaseKey=$H$4)),AG23),0),IFERROR(_xlfn.AGGREGATE(15,6,(ROW(nQ7_CaseKey)-ROW(INDEX(nQ7_CaseKey,1,1))+1)/((nQ7_CaseKey=$H$4)),AG23),0),IFERROR(_xlfn.AGGREGATE(15,6,(ROW(nQ8_CaseKey)-ROW(INDEX(nQ8_CaseKey,1,1))+1)/((nQ8_CaseKey=$H$4)),AG23),0),IFERROR(_xlfn.AGGREGATE(15,6,(ROW(nQ9_CaseKey)-ROW(INDEX(nQ9_CaseKey,1,1))+1)/((nQ9_CaseKey=$H$4)),AG23),0),IFERROR(_xlfn.AGGREGATE(15,6,(ROW(nQ10_CaseKey)-ROW(INDEX(nQ10_CaseKey,1,1))+1)/((nQ10_CaseKey=$H$4)),AG23),0),IFERROR(_xlfn.AGGREGATE(15,6,(ROW(nQ11_CaseKey)-ROW(INDEX(nQ11_CaseKey,1,1))+1)/((nQ11_CaseKey=$H$4)),AG23),0)))</f>
        <v>0</v>
      </c>
      <c r="AJ23" s="1" t="str">
        <f>IF($AF23=0,"",CHOOSE($AF23,INDEX(nINT_Case_ID,$AH23)&amp;"",INDEX(nQ1_Case_ID,$AH23)&amp;"",INDEX(nQ2_Case_ID,$AH23)&amp;"",INDEX(nQ3_Case_ID,$AH23)&amp;"",INDEX(nQ4_Case_ID,$AH23)&amp;"",INDEX(nQ5_Case_ID,$AH23)&amp;"",INDEX(nQ6_Case_ID,$AH23)&amp;"",INDEX(nQ7_Case_ID,$AH23)&amp;"",INDEX(nQ8_Case_ID,$AH23)&amp;"",INDEX(nQ9_Case_ID,$AH23)&amp;"",INDEX(nQ10_Case_ID,$AH23)&amp;"",INDEX(nQ11_Case_ID,$AH23)&amp;""))</f>
        <v/>
      </c>
      <c r="AK23" s="1" t="str">
        <f>IF($AF23=0,"",CHOOSE($AF23,INDEX(nINT_Case_Version,$AH23),INDEX(nQ1_Case_Version,$AH23),INDEX(nQ2_Case_Version,$AH23),INDEX(nQ3_Case_Version,$AH23),INDEX(nQ4_Case_Version,$AH23),INDEX(nQ5_Case_Version,$AH23),INDEX(nQ6_Case_Version,$AH23),INDEX(nQ7_Case_Version,$AH23),INDEX(nQ8_Case_Version,$AH23),INDEX(nQ9_Case_Version,$AH23),INDEX(nQ10_Case_Version,$AH23),INDEX(nQ11_Case_Version,$AH23)))</f>
        <v/>
      </c>
      <c r="AL23" s="1" t="str">
        <f>IF($AF23=0,"",CHOOSE($AF23,INDEX(nINT_Interval_ID,$AH23)&amp;"",INDEX(nQ1_Calc_ID,$AH23)&amp;"",INDEX(nQ2_Calc_ID,$AH23)&amp;"",INDEX(nQ3_Calc_ID,$AH23)&amp;"",INDEX(nQ4_Calc_ID,$AH23)&amp;"",INDEX(nQ5_Calc_ID,$AH23)&amp;"",INDEX(nQ6_Calc_ID,$AH23)&amp;"",INDEX(nQ7_Calc_ID,$AH23)&amp;"",INDEX(nQ8_Calc_ID,$AH23)&amp;"",INDEX(nQ9_Calc_ID,$AH23)&amp;"",INDEX(nQ10_Calc_ID,$AH23)&amp;"",INDEX(nQ11_Calc_ID,$AH23)&amp;""))</f>
        <v/>
      </c>
      <c r="AM23" s="1" t="str">
        <f>IF($AF23=0,"",CHOOSE($AF23,INDEX(nINT_Label,$AH23)&amp;"",INDEX(nQ1_Label_Out,$AH23)&amp;"",INDEX(nQ2_Label_Out,$AH23)&amp;"",INDEX(nQ3_Label_Out,$AH23)&amp;"",INDEX(nQ4_Label_Out,$AH23)&amp;"",INDEX(nQ5_Label_Out,$AH23)&amp;"",INDEX(nQ6_Label_Out,$AH23)&amp;"",INDEX(nQ7_Label_Out,$AH23)&amp;"",INDEX(nQ8_Label_Out,$AH23)&amp;"",INDEX(nQ9_Label_Out,$AH23)&amp;"",INDEX(nQ10_Label_Out,$AH23)&amp;"",INDEX(nQ11_Label_Out,$AH23)&amp;""))</f>
        <v/>
      </c>
      <c r="AN23" s="1" t="str">
        <f>IF($AF23=0,"",CHOOSE($AF23,IF(INDEX(nINT_LinkRow,$AH23)=0,"",INDEX(nINT_Link_ID,$AH23)&amp;""),"","","","","","","","","","",""))</f>
        <v/>
      </c>
      <c r="AO23" s="1" t="str">
        <f>IF($AF23=0,"",CHOOSE($AF23,INDEX(nINT_Exposure_Episode_ID,$AH23)&amp;"","","","","","","","","","","",""))</f>
        <v/>
      </c>
      <c r="AP23" s="1" t="str">
        <f>IF($AF23=0,"",CHOOSE($AF23,INDEX(nINT_Event_Episode_ID,$AH23)&amp;"","","","","","","","","","","",""))</f>
        <v/>
      </c>
      <c r="AQ23" s="1" t="str">
        <f>IF($AF23=0,"",CHOOSE($AF23,INDEX(nINT_End_Record_ID_Used,$AH23)&amp;"","","","","","","","","","","",""))</f>
        <v/>
      </c>
      <c r="AR23" s="1" t="str">
        <f>IF($AF23=0,"",CHOOSE($AF23,INDEX(nINT_Interval_Value,$AH23),"","","","","","","","","","",""))</f>
        <v/>
      </c>
      <c r="AS23" s="1" t="str">
        <f>IF($AF23=0,"",CHOOSE($AF23,INDEX(nINT_Interval_Minimum,$AH23),"","","","","","","","","","",""))</f>
        <v/>
      </c>
      <c r="AT23" s="1" t="str">
        <f>IF($AF23=0,"",CHOOSE($AF23,INDEX(nINT_Interval_Maximum,$AH23),"","","","","","","","","","",""))</f>
        <v/>
      </c>
      <c r="AU23" s="1" t="str">
        <f>IF($AF23=0,"",CHOOSE($AF23,INDEX(nINT_Unit,$AH23)&amp;"",INDEX(nQ1_Unit_Out,$AH23)&amp;"",INDEX(nQ2_Unit_Out,$AH23)&amp;"",INDEX(nQ3_Unit_Out,$AH23)&amp;"",INDEX(nQ4_Unit_Out,$AH23)&amp;"",INDEX(nQ5_Unit_Out,$AH23)&amp;"",INDEX(nQ6_Unit_Out,$AH23)&amp;"",INDEX(nQ7_Unit_Out,$AH23)&amp;"",INDEX(nQ8_Unit_Out,$AH23)&amp;"",INDEX(nQ9_Unit_Out,$AH23)&amp;"",INDEX(nQ10_Unit_Out,$AH23)&amp;"",INDEX(nQ11_Unit_Out,$AH23)&amp;""))</f>
        <v/>
      </c>
      <c r="AV23" s="1" t="str">
        <f>IF($AF23=0,"",CHOOSE($AF23,INDEX(nINT_Displayed_Value,$AH23)&amp;"",INDEX(nQ1_Displayed_Value,$AH23)&amp;"",INDEX(nQ2_Displayed_Value,$AH23)&amp;"",INDEX(nQ3_Displayed_Value,$AH23)&amp;"",INDEX(nQ4_Displayed_Value,$AH23)&amp;"",INDEX(nQ5_Displayed_Value,$AH23)&amp;"",INDEX(nQ6_Displayed_Value,$AH23)&amp;"",INDEX(nQ7_Displayed_Value,$AH23)&amp;"",INDEX(nQ8_Displayed_Value,$AH23)&amp;"",INDEX(nQ9_Displayed_Value,$AH23)&amp;"",INDEX(nQ10_Displayed_Value,$AH23)&amp;"",INDEX(nQ11_Displayed_Value,$AH23)&amp;""))</f>
        <v/>
      </c>
      <c r="AW23" s="1" t="str">
        <f>IF($AF23=0,"",CHOOSE($AF23,INDEX(nINT_Calculation_Mode_Used,$AH23)&amp;"","Q1","Q2","Q3","Q4","Q5","Q6","Q7","Q8","Q9","Q10","Q11"))</f>
        <v/>
      </c>
      <c r="AX23" s="1" t="str">
        <f>IF($AF23=0,"",CHOOSE($AF23,INDEX(nINT_Anchor_Type,$AH23)&amp;"","","","","","","","","","","",""))</f>
        <v/>
      </c>
      <c r="AY23" s="1" t="str">
        <f>IF($AF23=0,"",CHOOSE($AF23,IF(INDEX(nINT_K_Ok,$AH23)=1,INDEX(nINT_Anchor_Record_ID_Used,$AH23)&amp;"",""),"","","","","","","","","","",""))</f>
        <v/>
      </c>
      <c r="AZ23" s="1" t="str">
        <f>IF($AF23=0,"",CHOOSE($AF23,INDEX(nINT_Anchor_Description,$AH23)&amp;"","","","","","","","","","","",""))</f>
        <v/>
      </c>
      <c r="BA23" s="1" t="str">
        <f>IF($AF23=0,"",CHOOSE($AF23,INDEX(nINT_Sequence_Status,$AH23)&amp;"","","","","","","","","","","",""))</f>
        <v/>
      </c>
      <c r="BB23" s="1" t="str">
        <f>IF($AF23=0,"",CHOOSE($AF23,INDEX(nINT_Treatment_Day,$AH23),"","","","","","","","","","",""))</f>
        <v/>
      </c>
      <c r="BC23" s="1" t="str">
        <f>IF($AF23=0,"",CHOOSE($AF23,INDEX(nINT_Reported_Timing_Result,$AH23)&amp;"","","","","","","","","","","",""))</f>
        <v/>
      </c>
      <c r="BD23" s="1" t="str">
        <f>IF($AF23=0,"",CHOOSE($AF23,IF(INDEX(nINT_K_HasC,$AH23)=1,INDEX(nINT_Constraint_Source,$AH23)&amp;"",""),"","","","","","","","","","",""))</f>
        <v/>
      </c>
      <c r="BE23" s="1" t="str">
        <f>IF($AF23=0,"",CHOOSE($AF23,"",INDEX(nQ1_Results_Text,$AH23)&amp;"",INDEX(nQ2_Results_Text,$AH23)&amp;"",INDEX(nQ3_Results_Text,$AH23)&amp;"",INDEX(nQ4_Results_Text,$AH23)&amp;"",INDEX(nQ5_Results_Text,$AH23)&amp;"",INDEX(nQ6_Results_Text,$AH23)&amp;"",INDEX(nQ7_Results_Text,$AH23)&amp;"",INDEX(nQ8_Results_Text,$AH23)&amp;"",INDEX(nQ9_Results_Text,$AH23)&amp;"",INDEX(nQ10_Results_Text,$AH23)&amp;"",INDEX(nQ11_Results_Text,$AH23)&amp;""))</f>
        <v/>
      </c>
      <c r="BF23" s="1" t="str">
        <f>IF($AF23=0,"",CHOOSE($AF23,INDEX(nINT_Parameter_Set,$AH23)&amp;"",INDEX(nQ1_Parameter_Set,$AH23)&amp;"",INDEX(nQ2_Parameter_Set,$AH23)&amp;"",INDEX(nQ3_Parameter_Set,$AH23)&amp;"",INDEX(nQ4_Parameter_Set,$AH23)&amp;"",INDEX(nQ5_Parameter_Set,$AH23)&amp;"",INDEX(nQ6_Parameter_Set,$AH23)&amp;"",INDEX(nQ7_Parameter_Set,$AH23)&amp;"",INDEX(nQ8_Parameter_Set,$AH23)&amp;"",INDEX(nQ9_Parameter_Set,$AH23)&amp;"",INDEX(nQ10_Parameter_Set,$AH23)&amp;"",INDEX(nQ11_Parameter_Set,$AH23)&amp;""))</f>
        <v/>
      </c>
      <c r="BG23" s="1" t="str">
        <f>IF($AF23=0,"",CHOOSE($AF23,INDEX(nINT_Assumptions,$AH23)&amp;"",INDEX(nQ1_Assumptions,$AH23)&amp;"",INDEX(nQ2_Assumptions,$AH23)&amp;"",INDEX(nQ3_Assumptions,$AH23)&amp;"",INDEX(nQ4_Assumptions,$AH23)&amp;"",INDEX(nQ5_Assumptions,$AH23)&amp;"",INDEX(nQ6_Assumptions,$AH23)&amp;"",INDEX(nQ7_Assumptions,$AH23)&amp;"",INDEX(nQ8_Assumptions,$AH23)&amp;"",INDEX(nQ9_Assumptions,$AH23)&amp;"",INDEX(nQ10_Assumptions,$AH23)&amp;"",INDEX(nQ11_Assumptions,$AH23)&amp;""))</f>
        <v/>
      </c>
      <c r="BH23" s="1" t="str">
        <f>IF($AF23=0,"",CHOOSE($AF23,INDEX(nINT_Calculation_Version,$AH23)&amp;"",INDEX(nQ1_Calculation_Version,$AH23)&amp;"",INDEX(nQ2_Calculation_Version,$AH23)&amp;"",INDEX(nQ3_Calculation_Version,$AH23)&amp;"",INDEX(nQ4_Calculation_Version,$AH23)&amp;"",INDEX(nQ5_Calculation_Version,$AH23)&amp;"",INDEX(nQ6_Calculation_Version,$AH23)&amp;"",INDEX(nQ7_Calculation_Version,$AH23)&amp;"",INDEX(nQ8_Calculation_Version,$AH23)&amp;"",INDEX(nQ9_Calculation_Version,$AH23)&amp;"",INDEX(nQ10_Calculation_Version,$AH23)&amp;"",INDEX(nQ11_Calculation_Version,$AH23)&amp;""))</f>
        <v/>
      </c>
      <c r="BI23" s="1" t="str">
        <f>IF($AF23=0,"",CHOOSE($AF23,INDEX(nINT_QC_Flags,$AH23)&amp;"",INDEX(nQ1_QC_Flags,$AH23)&amp;"",INDEX(nQ2_QC_Flags,$AH23)&amp;"",INDEX(nQ3_QC_Flags,$AH23)&amp;"",INDEX(nQ4_QC_Flags,$AH23)&amp;"",INDEX(nQ5_QC_Flags,$AH23)&amp;"",INDEX(nQ6_QC_Flags,$AH23)&amp;"",INDEX(nQ7_QC_Flags,$AH23)&amp;"",INDEX(nQ8_QC_Flags,$AH23)&amp;"",INDEX(nQ9_QC_Flags,$AH23)&amp;"",INDEX(nQ10_QC_Flags,$AH23)&amp;"",INDEX(nQ11_QC_Flags,$AH23)&amp;""))</f>
        <v/>
      </c>
      <c r="BJ23" s="1" t="str">
        <f>IF($AF23=0,"",CHOOSE($AF23,INDEX(nINT_Messages,$AH23)&amp;"",INDEX(nQ1_Messages,$AH23)&amp;"",INDEX(nQ2_Messages,$AH23)&amp;"",INDEX(nQ3_Messages,$AH23)&amp;"",INDEX(nQ4_Messages,$AH23)&amp;"",INDEX(nQ5_Messages,$AH23)&amp;"",INDEX(nQ6_Messages,$AH23)&amp;"",INDEX(nQ7_Messages,$AH23)&amp;"",INDEX(nQ8_Messages,$AH23)&amp;"",INDEX(nQ9_Messages,$AH23)&amp;"",INDEX(nQ10_Messages,$AH23)&amp;"",INDEX(nQ11_Messages,$AH23)&amp;""))</f>
        <v/>
      </c>
      <c r="BK23" s="1" t="str">
        <f>IF($AF23=0,"",CHOOSE($AF23,INDEX(nINT_Limitations,$AH23)&amp;"",INDEX(nQ1_Mandatory_Text,$AH23)&amp;"",INDEX(nQ2_Mandatory_Text,$AH23)&amp;"",INDEX(nQ3_Mandatory_Text,$AH23)&amp;"",INDEX(nQ4_Mandatory_Text,$AH23)&amp;"",INDEX(nQ5_Mandatory_Text,$AH23)&amp;"",INDEX(nQ6_Mandatory_Text,$AH23)&amp;"",INDEX(nQ7_Mandatory_Text,$AH23)&amp;"",INDEX(nQ8_Mandatory_Text,$AH23)&amp;"",INDEX(nQ9_Mandatory_Text,$AH23)&amp;"",INDEX(nQ10_Mandatory_Text,$AH23)&amp;"",INDEX(nQ11_Mandatory_Text,$AH23)&amp;""))</f>
        <v/>
      </c>
      <c r="BL23" s="1" t="str">
        <f t="shared" si="33"/>
        <v/>
      </c>
      <c r="BM23" s="1" t="str">
        <f t="shared" si="34"/>
        <v/>
      </c>
    </row>
    <row r="24" spans="1:81" x14ac:dyDescent="0.2">
      <c r="A24" s="21" t="str">
        <f t="shared" si="0"/>
        <v/>
      </c>
      <c r="B24" s="21" t="str">
        <f t="shared" si="1"/>
        <v/>
      </c>
      <c r="C24" s="21" t="str">
        <f t="shared" si="2"/>
        <v/>
      </c>
      <c r="D24" s="21" t="str">
        <f t="shared" si="3"/>
        <v/>
      </c>
      <c r="E24" s="21" t="str">
        <f t="shared" si="4"/>
        <v/>
      </c>
      <c r="F24" s="21" t="str">
        <f t="shared" si="5"/>
        <v/>
      </c>
      <c r="G24" s="21" t="str">
        <f t="shared" si="6"/>
        <v/>
      </c>
      <c r="H24" s="21" t="str">
        <f t="shared" si="7"/>
        <v/>
      </c>
      <c r="I24" s="21" t="str">
        <f t="shared" si="8"/>
        <v/>
      </c>
      <c r="J24" s="21" t="str">
        <f t="shared" si="9"/>
        <v/>
      </c>
      <c r="K24" s="21" t="str">
        <f t="shared" si="10"/>
        <v/>
      </c>
      <c r="L24" s="21" t="str">
        <f t="shared" si="11"/>
        <v/>
      </c>
      <c r="M24" s="21" t="str">
        <f t="shared" si="12"/>
        <v/>
      </c>
      <c r="N24" s="21" t="str">
        <f t="shared" si="13"/>
        <v/>
      </c>
      <c r="O24" s="21" t="str">
        <f t="shared" si="14"/>
        <v/>
      </c>
      <c r="P24" s="21" t="str">
        <f t="shared" si="15"/>
        <v/>
      </c>
      <c r="Q24" s="21" t="str">
        <f t="shared" si="16"/>
        <v/>
      </c>
      <c r="R24" s="21" t="str">
        <f t="shared" si="17"/>
        <v/>
      </c>
      <c r="S24" s="21" t="str">
        <f t="shared" si="18"/>
        <v/>
      </c>
      <c r="T24" s="21" t="str">
        <f t="shared" si="19"/>
        <v/>
      </c>
      <c r="U24" s="21" t="str">
        <f t="shared" si="20"/>
        <v/>
      </c>
      <c r="V24" s="21" t="str">
        <f t="shared" si="21"/>
        <v/>
      </c>
      <c r="W24" s="21" t="str">
        <f t="shared" si="22"/>
        <v/>
      </c>
      <c r="X24" s="21" t="str">
        <f t="shared" si="23"/>
        <v/>
      </c>
      <c r="Y24" s="21" t="str">
        <f t="shared" si="24"/>
        <v/>
      </c>
      <c r="Z24" s="21" t="str">
        <f t="shared" si="25"/>
        <v/>
      </c>
      <c r="AA24" s="21" t="str">
        <f t="shared" si="26"/>
        <v/>
      </c>
      <c r="AB24" s="21" t="str">
        <f t="shared" si="27"/>
        <v/>
      </c>
      <c r="AC24" s="21" t="str">
        <f t="shared" si="28"/>
        <v/>
      </c>
      <c r="AD24" s="21" t="str">
        <f t="shared" si="29"/>
        <v/>
      </c>
      <c r="AE24" s="1">
        <f t="shared" si="30"/>
        <v>17</v>
      </c>
      <c r="AF24" s="1">
        <f t="shared" si="31"/>
        <v>0</v>
      </c>
      <c r="AG24" s="1">
        <f t="shared" si="32"/>
        <v>0</v>
      </c>
      <c r="AH24" s="1">
        <f>IF(AF24=0,0,CHOOSE(AF24,IFERROR(_xlfn.AGGREGATE(15,6,(ROW(nINT_CaseKey)-ROW(INDEX(nINT_CaseKey,1,1))+1)/((nINT_CaseKey=$H$4)*(nINT_RowEmpty=0)),AG24),0),IFERROR(_xlfn.AGGREGATE(15,6,(ROW(nQ1_CaseKey)-ROW(INDEX(nQ1_CaseKey,1,1))+1)/((nQ1_CaseKey=$H$4)),AG24),0),IFERROR(_xlfn.AGGREGATE(15,6,(ROW(nQ2_CaseKey)-ROW(INDEX(nQ2_CaseKey,1,1))+1)/((nQ2_CaseKey=$H$4)),AG24),0),IFERROR(_xlfn.AGGREGATE(15,6,(ROW(nQ3_CaseKey)-ROW(INDEX(nQ3_CaseKey,1,1))+1)/((nQ3_CaseKey=$H$4)),AG24),0),IFERROR(_xlfn.AGGREGATE(15,6,(ROW(nQ4_CaseKey)-ROW(INDEX(nQ4_CaseKey,1,1))+1)/((nQ4_CaseKey=$H$4)),AG24),0),IFERROR(_xlfn.AGGREGATE(15,6,(ROW(nQ5_CaseKey)-ROW(INDEX(nQ5_CaseKey,1,1))+1)/((nQ5_CaseKey=$H$4)),AG24),0),IFERROR(_xlfn.AGGREGATE(15,6,(ROW(nQ6_CaseKey)-ROW(INDEX(nQ6_CaseKey,1,1))+1)/((nQ6_CaseKey=$H$4)),AG24),0),IFERROR(_xlfn.AGGREGATE(15,6,(ROW(nQ7_CaseKey)-ROW(INDEX(nQ7_CaseKey,1,1))+1)/((nQ7_CaseKey=$H$4)),AG24),0),IFERROR(_xlfn.AGGREGATE(15,6,(ROW(nQ8_CaseKey)-ROW(INDEX(nQ8_CaseKey,1,1))+1)/((nQ8_CaseKey=$H$4)),AG24),0),IFERROR(_xlfn.AGGREGATE(15,6,(ROW(nQ9_CaseKey)-ROW(INDEX(nQ9_CaseKey,1,1))+1)/((nQ9_CaseKey=$H$4)),AG24),0),IFERROR(_xlfn.AGGREGATE(15,6,(ROW(nQ10_CaseKey)-ROW(INDEX(nQ10_CaseKey,1,1))+1)/((nQ10_CaseKey=$H$4)),AG24),0),IFERROR(_xlfn.AGGREGATE(15,6,(ROW(nQ11_CaseKey)-ROW(INDEX(nQ11_CaseKey,1,1))+1)/((nQ11_CaseKey=$H$4)),AG24),0)))</f>
        <v>0</v>
      </c>
      <c r="AJ24" s="1" t="str">
        <f>IF($AF24=0,"",CHOOSE($AF24,INDEX(nINT_Case_ID,$AH24)&amp;"",INDEX(nQ1_Case_ID,$AH24)&amp;"",INDEX(nQ2_Case_ID,$AH24)&amp;"",INDEX(nQ3_Case_ID,$AH24)&amp;"",INDEX(nQ4_Case_ID,$AH24)&amp;"",INDEX(nQ5_Case_ID,$AH24)&amp;"",INDEX(nQ6_Case_ID,$AH24)&amp;"",INDEX(nQ7_Case_ID,$AH24)&amp;"",INDEX(nQ8_Case_ID,$AH24)&amp;"",INDEX(nQ9_Case_ID,$AH24)&amp;"",INDEX(nQ10_Case_ID,$AH24)&amp;"",INDEX(nQ11_Case_ID,$AH24)&amp;""))</f>
        <v/>
      </c>
      <c r="AK24" s="1" t="str">
        <f>IF($AF24=0,"",CHOOSE($AF24,INDEX(nINT_Case_Version,$AH24),INDEX(nQ1_Case_Version,$AH24),INDEX(nQ2_Case_Version,$AH24),INDEX(nQ3_Case_Version,$AH24),INDEX(nQ4_Case_Version,$AH24),INDEX(nQ5_Case_Version,$AH24),INDEX(nQ6_Case_Version,$AH24),INDEX(nQ7_Case_Version,$AH24),INDEX(nQ8_Case_Version,$AH24),INDEX(nQ9_Case_Version,$AH24),INDEX(nQ10_Case_Version,$AH24),INDEX(nQ11_Case_Version,$AH24)))</f>
        <v/>
      </c>
      <c r="AL24" s="1" t="str">
        <f>IF($AF24=0,"",CHOOSE($AF24,INDEX(nINT_Interval_ID,$AH24)&amp;"",INDEX(nQ1_Calc_ID,$AH24)&amp;"",INDEX(nQ2_Calc_ID,$AH24)&amp;"",INDEX(nQ3_Calc_ID,$AH24)&amp;"",INDEX(nQ4_Calc_ID,$AH24)&amp;"",INDEX(nQ5_Calc_ID,$AH24)&amp;"",INDEX(nQ6_Calc_ID,$AH24)&amp;"",INDEX(nQ7_Calc_ID,$AH24)&amp;"",INDEX(nQ8_Calc_ID,$AH24)&amp;"",INDEX(nQ9_Calc_ID,$AH24)&amp;"",INDEX(nQ10_Calc_ID,$AH24)&amp;"",INDEX(nQ11_Calc_ID,$AH24)&amp;""))</f>
        <v/>
      </c>
      <c r="AM24" s="1" t="str">
        <f>IF($AF24=0,"",CHOOSE($AF24,INDEX(nINT_Label,$AH24)&amp;"",INDEX(nQ1_Label_Out,$AH24)&amp;"",INDEX(nQ2_Label_Out,$AH24)&amp;"",INDEX(nQ3_Label_Out,$AH24)&amp;"",INDEX(nQ4_Label_Out,$AH24)&amp;"",INDEX(nQ5_Label_Out,$AH24)&amp;"",INDEX(nQ6_Label_Out,$AH24)&amp;"",INDEX(nQ7_Label_Out,$AH24)&amp;"",INDEX(nQ8_Label_Out,$AH24)&amp;"",INDEX(nQ9_Label_Out,$AH24)&amp;"",INDEX(nQ10_Label_Out,$AH24)&amp;"",INDEX(nQ11_Label_Out,$AH24)&amp;""))</f>
        <v/>
      </c>
      <c r="AN24" s="1" t="str">
        <f>IF($AF24=0,"",CHOOSE($AF24,IF(INDEX(nINT_LinkRow,$AH24)=0,"",INDEX(nINT_Link_ID,$AH24)&amp;""),"","","","","","","","","","",""))</f>
        <v/>
      </c>
      <c r="AO24" s="1" t="str">
        <f>IF($AF24=0,"",CHOOSE($AF24,INDEX(nINT_Exposure_Episode_ID,$AH24)&amp;"","","","","","","","","","","",""))</f>
        <v/>
      </c>
      <c r="AP24" s="1" t="str">
        <f>IF($AF24=0,"",CHOOSE($AF24,INDEX(nINT_Event_Episode_ID,$AH24)&amp;"","","","","","","","","","","",""))</f>
        <v/>
      </c>
      <c r="AQ24" s="1" t="str">
        <f>IF($AF24=0,"",CHOOSE($AF24,INDEX(nINT_End_Record_ID_Used,$AH24)&amp;"","","","","","","","","","","",""))</f>
        <v/>
      </c>
      <c r="AR24" s="1" t="str">
        <f>IF($AF24=0,"",CHOOSE($AF24,INDEX(nINT_Interval_Value,$AH24),"","","","","","","","","","",""))</f>
        <v/>
      </c>
      <c r="AS24" s="1" t="str">
        <f>IF($AF24=0,"",CHOOSE($AF24,INDEX(nINT_Interval_Minimum,$AH24),"","","","","","","","","","",""))</f>
        <v/>
      </c>
      <c r="AT24" s="1" t="str">
        <f>IF($AF24=0,"",CHOOSE($AF24,INDEX(nINT_Interval_Maximum,$AH24),"","","","","","","","","","",""))</f>
        <v/>
      </c>
      <c r="AU24" s="1" t="str">
        <f>IF($AF24=0,"",CHOOSE($AF24,INDEX(nINT_Unit,$AH24)&amp;"",INDEX(nQ1_Unit_Out,$AH24)&amp;"",INDEX(nQ2_Unit_Out,$AH24)&amp;"",INDEX(nQ3_Unit_Out,$AH24)&amp;"",INDEX(nQ4_Unit_Out,$AH24)&amp;"",INDEX(nQ5_Unit_Out,$AH24)&amp;"",INDEX(nQ6_Unit_Out,$AH24)&amp;"",INDEX(nQ7_Unit_Out,$AH24)&amp;"",INDEX(nQ8_Unit_Out,$AH24)&amp;"",INDEX(nQ9_Unit_Out,$AH24)&amp;"",INDEX(nQ10_Unit_Out,$AH24)&amp;"",INDEX(nQ11_Unit_Out,$AH24)&amp;""))</f>
        <v/>
      </c>
      <c r="AV24" s="1" t="str">
        <f>IF($AF24=0,"",CHOOSE($AF24,INDEX(nINT_Displayed_Value,$AH24)&amp;"",INDEX(nQ1_Displayed_Value,$AH24)&amp;"",INDEX(nQ2_Displayed_Value,$AH24)&amp;"",INDEX(nQ3_Displayed_Value,$AH24)&amp;"",INDEX(nQ4_Displayed_Value,$AH24)&amp;"",INDEX(nQ5_Displayed_Value,$AH24)&amp;"",INDEX(nQ6_Displayed_Value,$AH24)&amp;"",INDEX(nQ7_Displayed_Value,$AH24)&amp;"",INDEX(nQ8_Displayed_Value,$AH24)&amp;"",INDEX(nQ9_Displayed_Value,$AH24)&amp;"",INDEX(nQ10_Displayed_Value,$AH24)&amp;"",INDEX(nQ11_Displayed_Value,$AH24)&amp;""))</f>
        <v/>
      </c>
      <c r="AW24" s="1" t="str">
        <f>IF($AF24=0,"",CHOOSE($AF24,INDEX(nINT_Calculation_Mode_Used,$AH24)&amp;"","Q1","Q2","Q3","Q4","Q5","Q6","Q7","Q8","Q9","Q10","Q11"))</f>
        <v/>
      </c>
      <c r="AX24" s="1" t="str">
        <f>IF($AF24=0,"",CHOOSE($AF24,INDEX(nINT_Anchor_Type,$AH24)&amp;"","","","","","","","","","","",""))</f>
        <v/>
      </c>
      <c r="AY24" s="1" t="str">
        <f>IF($AF24=0,"",CHOOSE($AF24,IF(INDEX(nINT_K_Ok,$AH24)=1,INDEX(nINT_Anchor_Record_ID_Used,$AH24)&amp;"",""),"","","","","","","","","","",""))</f>
        <v/>
      </c>
      <c r="AZ24" s="1" t="str">
        <f>IF($AF24=0,"",CHOOSE($AF24,INDEX(nINT_Anchor_Description,$AH24)&amp;"","","","","","","","","","","",""))</f>
        <v/>
      </c>
      <c r="BA24" s="1" t="str">
        <f>IF($AF24=0,"",CHOOSE($AF24,INDEX(nINT_Sequence_Status,$AH24)&amp;"","","","","","","","","","","",""))</f>
        <v/>
      </c>
      <c r="BB24" s="1" t="str">
        <f>IF($AF24=0,"",CHOOSE($AF24,INDEX(nINT_Treatment_Day,$AH24),"","","","","","","","","","",""))</f>
        <v/>
      </c>
      <c r="BC24" s="1" t="str">
        <f>IF($AF24=0,"",CHOOSE($AF24,INDEX(nINT_Reported_Timing_Result,$AH24)&amp;"","","","","","","","","","","",""))</f>
        <v/>
      </c>
      <c r="BD24" s="1" t="str">
        <f>IF($AF24=0,"",CHOOSE($AF24,IF(INDEX(nINT_K_HasC,$AH24)=1,INDEX(nINT_Constraint_Source,$AH24)&amp;"",""),"","","","","","","","","","",""))</f>
        <v/>
      </c>
      <c r="BE24" s="1" t="str">
        <f>IF($AF24=0,"",CHOOSE($AF24,"",INDEX(nQ1_Results_Text,$AH24)&amp;"",INDEX(nQ2_Results_Text,$AH24)&amp;"",INDEX(nQ3_Results_Text,$AH24)&amp;"",INDEX(nQ4_Results_Text,$AH24)&amp;"",INDEX(nQ5_Results_Text,$AH24)&amp;"",INDEX(nQ6_Results_Text,$AH24)&amp;"",INDEX(nQ7_Results_Text,$AH24)&amp;"",INDEX(nQ8_Results_Text,$AH24)&amp;"",INDEX(nQ9_Results_Text,$AH24)&amp;"",INDEX(nQ10_Results_Text,$AH24)&amp;"",INDEX(nQ11_Results_Text,$AH24)&amp;""))</f>
        <v/>
      </c>
      <c r="BF24" s="1" t="str">
        <f>IF($AF24=0,"",CHOOSE($AF24,INDEX(nINT_Parameter_Set,$AH24)&amp;"",INDEX(nQ1_Parameter_Set,$AH24)&amp;"",INDEX(nQ2_Parameter_Set,$AH24)&amp;"",INDEX(nQ3_Parameter_Set,$AH24)&amp;"",INDEX(nQ4_Parameter_Set,$AH24)&amp;"",INDEX(nQ5_Parameter_Set,$AH24)&amp;"",INDEX(nQ6_Parameter_Set,$AH24)&amp;"",INDEX(nQ7_Parameter_Set,$AH24)&amp;"",INDEX(nQ8_Parameter_Set,$AH24)&amp;"",INDEX(nQ9_Parameter_Set,$AH24)&amp;"",INDEX(nQ10_Parameter_Set,$AH24)&amp;"",INDEX(nQ11_Parameter_Set,$AH24)&amp;""))</f>
        <v/>
      </c>
      <c r="BG24" s="1" t="str">
        <f>IF($AF24=0,"",CHOOSE($AF24,INDEX(nINT_Assumptions,$AH24)&amp;"",INDEX(nQ1_Assumptions,$AH24)&amp;"",INDEX(nQ2_Assumptions,$AH24)&amp;"",INDEX(nQ3_Assumptions,$AH24)&amp;"",INDEX(nQ4_Assumptions,$AH24)&amp;"",INDEX(nQ5_Assumptions,$AH24)&amp;"",INDEX(nQ6_Assumptions,$AH24)&amp;"",INDEX(nQ7_Assumptions,$AH24)&amp;"",INDEX(nQ8_Assumptions,$AH24)&amp;"",INDEX(nQ9_Assumptions,$AH24)&amp;"",INDEX(nQ10_Assumptions,$AH24)&amp;"",INDEX(nQ11_Assumptions,$AH24)&amp;""))</f>
        <v/>
      </c>
      <c r="BH24" s="1" t="str">
        <f>IF($AF24=0,"",CHOOSE($AF24,INDEX(nINT_Calculation_Version,$AH24)&amp;"",INDEX(nQ1_Calculation_Version,$AH24)&amp;"",INDEX(nQ2_Calculation_Version,$AH24)&amp;"",INDEX(nQ3_Calculation_Version,$AH24)&amp;"",INDEX(nQ4_Calculation_Version,$AH24)&amp;"",INDEX(nQ5_Calculation_Version,$AH24)&amp;"",INDEX(nQ6_Calculation_Version,$AH24)&amp;"",INDEX(nQ7_Calculation_Version,$AH24)&amp;"",INDEX(nQ8_Calculation_Version,$AH24)&amp;"",INDEX(nQ9_Calculation_Version,$AH24)&amp;"",INDEX(nQ10_Calculation_Version,$AH24)&amp;"",INDEX(nQ11_Calculation_Version,$AH24)&amp;""))</f>
        <v/>
      </c>
      <c r="BI24" s="1" t="str">
        <f>IF($AF24=0,"",CHOOSE($AF24,INDEX(nINT_QC_Flags,$AH24)&amp;"",INDEX(nQ1_QC_Flags,$AH24)&amp;"",INDEX(nQ2_QC_Flags,$AH24)&amp;"",INDEX(nQ3_QC_Flags,$AH24)&amp;"",INDEX(nQ4_QC_Flags,$AH24)&amp;"",INDEX(nQ5_QC_Flags,$AH24)&amp;"",INDEX(nQ6_QC_Flags,$AH24)&amp;"",INDEX(nQ7_QC_Flags,$AH24)&amp;"",INDEX(nQ8_QC_Flags,$AH24)&amp;"",INDEX(nQ9_QC_Flags,$AH24)&amp;"",INDEX(nQ10_QC_Flags,$AH24)&amp;"",INDEX(nQ11_QC_Flags,$AH24)&amp;""))</f>
        <v/>
      </c>
      <c r="BJ24" s="1" t="str">
        <f>IF($AF24=0,"",CHOOSE($AF24,INDEX(nINT_Messages,$AH24)&amp;"",INDEX(nQ1_Messages,$AH24)&amp;"",INDEX(nQ2_Messages,$AH24)&amp;"",INDEX(nQ3_Messages,$AH24)&amp;"",INDEX(nQ4_Messages,$AH24)&amp;"",INDEX(nQ5_Messages,$AH24)&amp;"",INDEX(nQ6_Messages,$AH24)&amp;"",INDEX(nQ7_Messages,$AH24)&amp;"",INDEX(nQ8_Messages,$AH24)&amp;"",INDEX(nQ9_Messages,$AH24)&amp;"",INDEX(nQ10_Messages,$AH24)&amp;"",INDEX(nQ11_Messages,$AH24)&amp;""))</f>
        <v/>
      </c>
      <c r="BK24" s="1" t="str">
        <f>IF($AF24=0,"",CHOOSE($AF24,INDEX(nINT_Limitations,$AH24)&amp;"",INDEX(nQ1_Mandatory_Text,$AH24)&amp;"",INDEX(nQ2_Mandatory_Text,$AH24)&amp;"",INDEX(nQ3_Mandatory_Text,$AH24)&amp;"",INDEX(nQ4_Mandatory_Text,$AH24)&amp;"",INDEX(nQ5_Mandatory_Text,$AH24)&amp;"",INDEX(nQ6_Mandatory_Text,$AH24)&amp;"",INDEX(nQ7_Mandatory_Text,$AH24)&amp;"",INDEX(nQ8_Mandatory_Text,$AH24)&amp;"",INDEX(nQ9_Mandatory_Text,$AH24)&amp;"",INDEX(nQ10_Mandatory_Text,$AH24)&amp;"",INDEX(nQ11_Mandatory_Text,$AH24)&amp;""))</f>
        <v/>
      </c>
      <c r="BL24" s="1" t="str">
        <f t="shared" si="33"/>
        <v/>
      </c>
      <c r="BM24" s="1" t="str">
        <f t="shared" si="34"/>
        <v/>
      </c>
    </row>
    <row r="25" spans="1:81" x14ac:dyDescent="0.2">
      <c r="A25" s="21" t="str">
        <f t="shared" si="0"/>
        <v/>
      </c>
      <c r="B25" s="21" t="str">
        <f t="shared" si="1"/>
        <v/>
      </c>
      <c r="C25" s="21" t="str">
        <f t="shared" si="2"/>
        <v/>
      </c>
      <c r="D25" s="21" t="str">
        <f t="shared" si="3"/>
        <v/>
      </c>
      <c r="E25" s="21" t="str">
        <f t="shared" si="4"/>
        <v/>
      </c>
      <c r="F25" s="21" t="str">
        <f t="shared" si="5"/>
        <v/>
      </c>
      <c r="G25" s="21" t="str">
        <f t="shared" si="6"/>
        <v/>
      </c>
      <c r="H25" s="21" t="str">
        <f t="shared" si="7"/>
        <v/>
      </c>
      <c r="I25" s="21" t="str">
        <f t="shared" si="8"/>
        <v/>
      </c>
      <c r="J25" s="21" t="str">
        <f t="shared" si="9"/>
        <v/>
      </c>
      <c r="K25" s="21" t="str">
        <f t="shared" si="10"/>
        <v/>
      </c>
      <c r="L25" s="21" t="str">
        <f t="shared" si="11"/>
        <v/>
      </c>
      <c r="M25" s="21" t="str">
        <f t="shared" si="12"/>
        <v/>
      </c>
      <c r="N25" s="21" t="str">
        <f t="shared" si="13"/>
        <v/>
      </c>
      <c r="O25" s="21" t="str">
        <f t="shared" si="14"/>
        <v/>
      </c>
      <c r="P25" s="21" t="str">
        <f t="shared" si="15"/>
        <v/>
      </c>
      <c r="Q25" s="21" t="str">
        <f t="shared" si="16"/>
        <v/>
      </c>
      <c r="R25" s="21" t="str">
        <f t="shared" si="17"/>
        <v/>
      </c>
      <c r="S25" s="21" t="str">
        <f t="shared" si="18"/>
        <v/>
      </c>
      <c r="T25" s="21" t="str">
        <f t="shared" si="19"/>
        <v/>
      </c>
      <c r="U25" s="21" t="str">
        <f t="shared" si="20"/>
        <v/>
      </c>
      <c r="V25" s="21" t="str">
        <f t="shared" si="21"/>
        <v/>
      </c>
      <c r="W25" s="21" t="str">
        <f t="shared" si="22"/>
        <v/>
      </c>
      <c r="X25" s="21" t="str">
        <f t="shared" si="23"/>
        <v/>
      </c>
      <c r="Y25" s="21" t="str">
        <f t="shared" si="24"/>
        <v/>
      </c>
      <c r="Z25" s="21" t="str">
        <f t="shared" si="25"/>
        <v/>
      </c>
      <c r="AA25" s="21" t="str">
        <f t="shared" si="26"/>
        <v/>
      </c>
      <c r="AB25" s="21" t="str">
        <f t="shared" si="27"/>
        <v/>
      </c>
      <c r="AC25" s="21" t="str">
        <f t="shared" si="28"/>
        <v/>
      </c>
      <c r="AD25" s="21" t="str">
        <f t="shared" si="29"/>
        <v/>
      </c>
      <c r="AE25" s="1">
        <f t="shared" si="30"/>
        <v>18</v>
      </c>
      <c r="AF25" s="1">
        <f t="shared" si="31"/>
        <v>0</v>
      </c>
      <c r="AG25" s="1">
        <f t="shared" si="32"/>
        <v>0</v>
      </c>
      <c r="AH25" s="1">
        <f>IF(AF25=0,0,CHOOSE(AF25,IFERROR(_xlfn.AGGREGATE(15,6,(ROW(nINT_CaseKey)-ROW(INDEX(nINT_CaseKey,1,1))+1)/((nINT_CaseKey=$H$4)*(nINT_RowEmpty=0)),AG25),0),IFERROR(_xlfn.AGGREGATE(15,6,(ROW(nQ1_CaseKey)-ROW(INDEX(nQ1_CaseKey,1,1))+1)/((nQ1_CaseKey=$H$4)),AG25),0),IFERROR(_xlfn.AGGREGATE(15,6,(ROW(nQ2_CaseKey)-ROW(INDEX(nQ2_CaseKey,1,1))+1)/((nQ2_CaseKey=$H$4)),AG25),0),IFERROR(_xlfn.AGGREGATE(15,6,(ROW(nQ3_CaseKey)-ROW(INDEX(nQ3_CaseKey,1,1))+1)/((nQ3_CaseKey=$H$4)),AG25),0),IFERROR(_xlfn.AGGREGATE(15,6,(ROW(nQ4_CaseKey)-ROW(INDEX(nQ4_CaseKey,1,1))+1)/((nQ4_CaseKey=$H$4)),AG25),0),IFERROR(_xlfn.AGGREGATE(15,6,(ROW(nQ5_CaseKey)-ROW(INDEX(nQ5_CaseKey,1,1))+1)/((nQ5_CaseKey=$H$4)),AG25),0),IFERROR(_xlfn.AGGREGATE(15,6,(ROW(nQ6_CaseKey)-ROW(INDEX(nQ6_CaseKey,1,1))+1)/((nQ6_CaseKey=$H$4)),AG25),0),IFERROR(_xlfn.AGGREGATE(15,6,(ROW(nQ7_CaseKey)-ROW(INDEX(nQ7_CaseKey,1,1))+1)/((nQ7_CaseKey=$H$4)),AG25),0),IFERROR(_xlfn.AGGREGATE(15,6,(ROW(nQ8_CaseKey)-ROW(INDEX(nQ8_CaseKey,1,1))+1)/((nQ8_CaseKey=$H$4)),AG25),0),IFERROR(_xlfn.AGGREGATE(15,6,(ROW(nQ9_CaseKey)-ROW(INDEX(nQ9_CaseKey,1,1))+1)/((nQ9_CaseKey=$H$4)),AG25),0),IFERROR(_xlfn.AGGREGATE(15,6,(ROW(nQ10_CaseKey)-ROW(INDEX(nQ10_CaseKey,1,1))+1)/((nQ10_CaseKey=$H$4)),AG25),0),IFERROR(_xlfn.AGGREGATE(15,6,(ROW(nQ11_CaseKey)-ROW(INDEX(nQ11_CaseKey,1,1))+1)/((nQ11_CaseKey=$H$4)),AG25),0)))</f>
        <v>0</v>
      </c>
      <c r="AJ25" s="1" t="str">
        <f>IF($AF25=0,"",CHOOSE($AF25,INDEX(nINT_Case_ID,$AH25)&amp;"",INDEX(nQ1_Case_ID,$AH25)&amp;"",INDEX(nQ2_Case_ID,$AH25)&amp;"",INDEX(nQ3_Case_ID,$AH25)&amp;"",INDEX(nQ4_Case_ID,$AH25)&amp;"",INDEX(nQ5_Case_ID,$AH25)&amp;"",INDEX(nQ6_Case_ID,$AH25)&amp;"",INDEX(nQ7_Case_ID,$AH25)&amp;"",INDEX(nQ8_Case_ID,$AH25)&amp;"",INDEX(nQ9_Case_ID,$AH25)&amp;"",INDEX(nQ10_Case_ID,$AH25)&amp;"",INDEX(nQ11_Case_ID,$AH25)&amp;""))</f>
        <v/>
      </c>
      <c r="AK25" s="1" t="str">
        <f>IF($AF25=0,"",CHOOSE($AF25,INDEX(nINT_Case_Version,$AH25),INDEX(nQ1_Case_Version,$AH25),INDEX(nQ2_Case_Version,$AH25),INDEX(nQ3_Case_Version,$AH25),INDEX(nQ4_Case_Version,$AH25),INDEX(nQ5_Case_Version,$AH25),INDEX(nQ6_Case_Version,$AH25),INDEX(nQ7_Case_Version,$AH25),INDEX(nQ8_Case_Version,$AH25),INDEX(nQ9_Case_Version,$AH25),INDEX(nQ10_Case_Version,$AH25),INDEX(nQ11_Case_Version,$AH25)))</f>
        <v/>
      </c>
      <c r="AL25" s="1" t="str">
        <f>IF($AF25=0,"",CHOOSE($AF25,INDEX(nINT_Interval_ID,$AH25)&amp;"",INDEX(nQ1_Calc_ID,$AH25)&amp;"",INDEX(nQ2_Calc_ID,$AH25)&amp;"",INDEX(nQ3_Calc_ID,$AH25)&amp;"",INDEX(nQ4_Calc_ID,$AH25)&amp;"",INDEX(nQ5_Calc_ID,$AH25)&amp;"",INDEX(nQ6_Calc_ID,$AH25)&amp;"",INDEX(nQ7_Calc_ID,$AH25)&amp;"",INDEX(nQ8_Calc_ID,$AH25)&amp;"",INDEX(nQ9_Calc_ID,$AH25)&amp;"",INDEX(nQ10_Calc_ID,$AH25)&amp;"",INDEX(nQ11_Calc_ID,$AH25)&amp;""))</f>
        <v/>
      </c>
      <c r="AM25" s="1" t="str">
        <f>IF($AF25=0,"",CHOOSE($AF25,INDEX(nINT_Label,$AH25)&amp;"",INDEX(nQ1_Label_Out,$AH25)&amp;"",INDEX(nQ2_Label_Out,$AH25)&amp;"",INDEX(nQ3_Label_Out,$AH25)&amp;"",INDEX(nQ4_Label_Out,$AH25)&amp;"",INDEX(nQ5_Label_Out,$AH25)&amp;"",INDEX(nQ6_Label_Out,$AH25)&amp;"",INDEX(nQ7_Label_Out,$AH25)&amp;"",INDEX(nQ8_Label_Out,$AH25)&amp;"",INDEX(nQ9_Label_Out,$AH25)&amp;"",INDEX(nQ10_Label_Out,$AH25)&amp;"",INDEX(nQ11_Label_Out,$AH25)&amp;""))</f>
        <v/>
      </c>
      <c r="AN25" s="1" t="str">
        <f>IF($AF25=0,"",CHOOSE($AF25,IF(INDEX(nINT_LinkRow,$AH25)=0,"",INDEX(nINT_Link_ID,$AH25)&amp;""),"","","","","","","","","","",""))</f>
        <v/>
      </c>
      <c r="AO25" s="1" t="str">
        <f>IF($AF25=0,"",CHOOSE($AF25,INDEX(nINT_Exposure_Episode_ID,$AH25)&amp;"","","","","","","","","","","",""))</f>
        <v/>
      </c>
      <c r="AP25" s="1" t="str">
        <f>IF($AF25=0,"",CHOOSE($AF25,INDEX(nINT_Event_Episode_ID,$AH25)&amp;"","","","","","","","","","","",""))</f>
        <v/>
      </c>
      <c r="AQ25" s="1" t="str">
        <f>IF($AF25=0,"",CHOOSE($AF25,INDEX(nINT_End_Record_ID_Used,$AH25)&amp;"","","","","","","","","","","",""))</f>
        <v/>
      </c>
      <c r="AR25" s="1" t="str">
        <f>IF($AF25=0,"",CHOOSE($AF25,INDEX(nINT_Interval_Value,$AH25),"","","","","","","","","","",""))</f>
        <v/>
      </c>
      <c r="AS25" s="1" t="str">
        <f>IF($AF25=0,"",CHOOSE($AF25,INDEX(nINT_Interval_Minimum,$AH25),"","","","","","","","","","",""))</f>
        <v/>
      </c>
      <c r="AT25" s="1" t="str">
        <f>IF($AF25=0,"",CHOOSE($AF25,INDEX(nINT_Interval_Maximum,$AH25),"","","","","","","","","","",""))</f>
        <v/>
      </c>
      <c r="AU25" s="1" t="str">
        <f>IF($AF25=0,"",CHOOSE($AF25,INDEX(nINT_Unit,$AH25)&amp;"",INDEX(nQ1_Unit_Out,$AH25)&amp;"",INDEX(nQ2_Unit_Out,$AH25)&amp;"",INDEX(nQ3_Unit_Out,$AH25)&amp;"",INDEX(nQ4_Unit_Out,$AH25)&amp;"",INDEX(nQ5_Unit_Out,$AH25)&amp;"",INDEX(nQ6_Unit_Out,$AH25)&amp;"",INDEX(nQ7_Unit_Out,$AH25)&amp;"",INDEX(nQ8_Unit_Out,$AH25)&amp;"",INDEX(nQ9_Unit_Out,$AH25)&amp;"",INDEX(nQ10_Unit_Out,$AH25)&amp;"",INDEX(nQ11_Unit_Out,$AH25)&amp;""))</f>
        <v/>
      </c>
      <c r="AV25" s="1" t="str">
        <f>IF($AF25=0,"",CHOOSE($AF25,INDEX(nINT_Displayed_Value,$AH25)&amp;"",INDEX(nQ1_Displayed_Value,$AH25)&amp;"",INDEX(nQ2_Displayed_Value,$AH25)&amp;"",INDEX(nQ3_Displayed_Value,$AH25)&amp;"",INDEX(nQ4_Displayed_Value,$AH25)&amp;"",INDEX(nQ5_Displayed_Value,$AH25)&amp;"",INDEX(nQ6_Displayed_Value,$AH25)&amp;"",INDEX(nQ7_Displayed_Value,$AH25)&amp;"",INDEX(nQ8_Displayed_Value,$AH25)&amp;"",INDEX(nQ9_Displayed_Value,$AH25)&amp;"",INDEX(nQ10_Displayed_Value,$AH25)&amp;"",INDEX(nQ11_Displayed_Value,$AH25)&amp;""))</f>
        <v/>
      </c>
      <c r="AW25" s="1" t="str">
        <f>IF($AF25=0,"",CHOOSE($AF25,INDEX(nINT_Calculation_Mode_Used,$AH25)&amp;"","Q1","Q2","Q3","Q4","Q5","Q6","Q7","Q8","Q9","Q10","Q11"))</f>
        <v/>
      </c>
      <c r="AX25" s="1" t="str">
        <f>IF($AF25=0,"",CHOOSE($AF25,INDEX(nINT_Anchor_Type,$AH25)&amp;"","","","","","","","","","","",""))</f>
        <v/>
      </c>
      <c r="AY25" s="1" t="str">
        <f>IF($AF25=0,"",CHOOSE($AF25,IF(INDEX(nINT_K_Ok,$AH25)=1,INDEX(nINT_Anchor_Record_ID_Used,$AH25)&amp;"",""),"","","","","","","","","","",""))</f>
        <v/>
      </c>
      <c r="AZ25" s="1" t="str">
        <f>IF($AF25=0,"",CHOOSE($AF25,INDEX(nINT_Anchor_Description,$AH25)&amp;"","","","","","","","","","","",""))</f>
        <v/>
      </c>
      <c r="BA25" s="1" t="str">
        <f>IF($AF25=0,"",CHOOSE($AF25,INDEX(nINT_Sequence_Status,$AH25)&amp;"","","","","","","","","","","",""))</f>
        <v/>
      </c>
      <c r="BB25" s="1" t="str">
        <f>IF($AF25=0,"",CHOOSE($AF25,INDEX(nINT_Treatment_Day,$AH25),"","","","","","","","","","",""))</f>
        <v/>
      </c>
      <c r="BC25" s="1" t="str">
        <f>IF($AF25=0,"",CHOOSE($AF25,INDEX(nINT_Reported_Timing_Result,$AH25)&amp;"","","","","","","","","","","",""))</f>
        <v/>
      </c>
      <c r="BD25" s="1" t="str">
        <f>IF($AF25=0,"",CHOOSE($AF25,IF(INDEX(nINT_K_HasC,$AH25)=1,INDEX(nINT_Constraint_Source,$AH25)&amp;"",""),"","","","","","","","","","",""))</f>
        <v/>
      </c>
      <c r="BE25" s="1" t="str">
        <f>IF($AF25=0,"",CHOOSE($AF25,"",INDEX(nQ1_Results_Text,$AH25)&amp;"",INDEX(nQ2_Results_Text,$AH25)&amp;"",INDEX(nQ3_Results_Text,$AH25)&amp;"",INDEX(nQ4_Results_Text,$AH25)&amp;"",INDEX(nQ5_Results_Text,$AH25)&amp;"",INDEX(nQ6_Results_Text,$AH25)&amp;"",INDEX(nQ7_Results_Text,$AH25)&amp;"",INDEX(nQ8_Results_Text,$AH25)&amp;"",INDEX(nQ9_Results_Text,$AH25)&amp;"",INDEX(nQ10_Results_Text,$AH25)&amp;"",INDEX(nQ11_Results_Text,$AH25)&amp;""))</f>
        <v/>
      </c>
      <c r="BF25" s="1" t="str">
        <f>IF($AF25=0,"",CHOOSE($AF25,INDEX(nINT_Parameter_Set,$AH25)&amp;"",INDEX(nQ1_Parameter_Set,$AH25)&amp;"",INDEX(nQ2_Parameter_Set,$AH25)&amp;"",INDEX(nQ3_Parameter_Set,$AH25)&amp;"",INDEX(nQ4_Parameter_Set,$AH25)&amp;"",INDEX(nQ5_Parameter_Set,$AH25)&amp;"",INDEX(nQ6_Parameter_Set,$AH25)&amp;"",INDEX(nQ7_Parameter_Set,$AH25)&amp;"",INDEX(nQ8_Parameter_Set,$AH25)&amp;"",INDEX(nQ9_Parameter_Set,$AH25)&amp;"",INDEX(nQ10_Parameter_Set,$AH25)&amp;"",INDEX(nQ11_Parameter_Set,$AH25)&amp;""))</f>
        <v/>
      </c>
      <c r="BG25" s="1" t="str">
        <f>IF($AF25=0,"",CHOOSE($AF25,INDEX(nINT_Assumptions,$AH25)&amp;"",INDEX(nQ1_Assumptions,$AH25)&amp;"",INDEX(nQ2_Assumptions,$AH25)&amp;"",INDEX(nQ3_Assumptions,$AH25)&amp;"",INDEX(nQ4_Assumptions,$AH25)&amp;"",INDEX(nQ5_Assumptions,$AH25)&amp;"",INDEX(nQ6_Assumptions,$AH25)&amp;"",INDEX(nQ7_Assumptions,$AH25)&amp;"",INDEX(nQ8_Assumptions,$AH25)&amp;"",INDEX(nQ9_Assumptions,$AH25)&amp;"",INDEX(nQ10_Assumptions,$AH25)&amp;"",INDEX(nQ11_Assumptions,$AH25)&amp;""))</f>
        <v/>
      </c>
      <c r="BH25" s="1" t="str">
        <f>IF($AF25=0,"",CHOOSE($AF25,INDEX(nINT_Calculation_Version,$AH25)&amp;"",INDEX(nQ1_Calculation_Version,$AH25)&amp;"",INDEX(nQ2_Calculation_Version,$AH25)&amp;"",INDEX(nQ3_Calculation_Version,$AH25)&amp;"",INDEX(nQ4_Calculation_Version,$AH25)&amp;"",INDEX(nQ5_Calculation_Version,$AH25)&amp;"",INDEX(nQ6_Calculation_Version,$AH25)&amp;"",INDEX(nQ7_Calculation_Version,$AH25)&amp;"",INDEX(nQ8_Calculation_Version,$AH25)&amp;"",INDEX(nQ9_Calculation_Version,$AH25)&amp;"",INDEX(nQ10_Calculation_Version,$AH25)&amp;"",INDEX(nQ11_Calculation_Version,$AH25)&amp;""))</f>
        <v/>
      </c>
      <c r="BI25" s="1" t="str">
        <f>IF($AF25=0,"",CHOOSE($AF25,INDEX(nINT_QC_Flags,$AH25)&amp;"",INDEX(nQ1_QC_Flags,$AH25)&amp;"",INDEX(nQ2_QC_Flags,$AH25)&amp;"",INDEX(nQ3_QC_Flags,$AH25)&amp;"",INDEX(nQ4_QC_Flags,$AH25)&amp;"",INDEX(nQ5_QC_Flags,$AH25)&amp;"",INDEX(nQ6_QC_Flags,$AH25)&amp;"",INDEX(nQ7_QC_Flags,$AH25)&amp;"",INDEX(nQ8_QC_Flags,$AH25)&amp;"",INDEX(nQ9_QC_Flags,$AH25)&amp;"",INDEX(nQ10_QC_Flags,$AH25)&amp;"",INDEX(nQ11_QC_Flags,$AH25)&amp;""))</f>
        <v/>
      </c>
      <c r="BJ25" s="1" t="str">
        <f>IF($AF25=0,"",CHOOSE($AF25,INDEX(nINT_Messages,$AH25)&amp;"",INDEX(nQ1_Messages,$AH25)&amp;"",INDEX(nQ2_Messages,$AH25)&amp;"",INDEX(nQ3_Messages,$AH25)&amp;"",INDEX(nQ4_Messages,$AH25)&amp;"",INDEX(nQ5_Messages,$AH25)&amp;"",INDEX(nQ6_Messages,$AH25)&amp;"",INDEX(nQ7_Messages,$AH25)&amp;"",INDEX(nQ8_Messages,$AH25)&amp;"",INDEX(nQ9_Messages,$AH25)&amp;"",INDEX(nQ10_Messages,$AH25)&amp;"",INDEX(nQ11_Messages,$AH25)&amp;""))</f>
        <v/>
      </c>
      <c r="BK25" s="1" t="str">
        <f>IF($AF25=0,"",CHOOSE($AF25,INDEX(nINT_Limitations,$AH25)&amp;"",INDEX(nQ1_Mandatory_Text,$AH25)&amp;"",INDEX(nQ2_Mandatory_Text,$AH25)&amp;"",INDEX(nQ3_Mandatory_Text,$AH25)&amp;"",INDEX(nQ4_Mandatory_Text,$AH25)&amp;"",INDEX(nQ5_Mandatory_Text,$AH25)&amp;"",INDEX(nQ6_Mandatory_Text,$AH25)&amp;"",INDEX(nQ7_Mandatory_Text,$AH25)&amp;"",INDEX(nQ8_Mandatory_Text,$AH25)&amp;"",INDEX(nQ9_Mandatory_Text,$AH25)&amp;"",INDEX(nQ10_Mandatory_Text,$AH25)&amp;"",INDEX(nQ11_Mandatory_Text,$AH25)&amp;""))</f>
        <v/>
      </c>
      <c r="BL25" s="1" t="str">
        <f t="shared" si="33"/>
        <v/>
      </c>
      <c r="BM25" s="1" t="str">
        <f t="shared" si="34"/>
        <v/>
      </c>
    </row>
    <row r="26" spans="1:81" x14ac:dyDescent="0.2">
      <c r="A26" s="21" t="str">
        <f t="shared" si="0"/>
        <v/>
      </c>
      <c r="B26" s="21" t="str">
        <f t="shared" si="1"/>
        <v/>
      </c>
      <c r="C26" s="21" t="str">
        <f t="shared" si="2"/>
        <v/>
      </c>
      <c r="D26" s="21" t="str">
        <f t="shared" si="3"/>
        <v/>
      </c>
      <c r="E26" s="21" t="str">
        <f t="shared" si="4"/>
        <v/>
      </c>
      <c r="F26" s="21" t="str">
        <f t="shared" si="5"/>
        <v/>
      </c>
      <c r="G26" s="21" t="str">
        <f t="shared" si="6"/>
        <v/>
      </c>
      <c r="H26" s="21" t="str">
        <f t="shared" si="7"/>
        <v/>
      </c>
      <c r="I26" s="21" t="str">
        <f t="shared" si="8"/>
        <v/>
      </c>
      <c r="J26" s="21" t="str">
        <f t="shared" si="9"/>
        <v/>
      </c>
      <c r="K26" s="21" t="str">
        <f t="shared" si="10"/>
        <v/>
      </c>
      <c r="L26" s="21" t="str">
        <f t="shared" si="11"/>
        <v/>
      </c>
      <c r="M26" s="21" t="str">
        <f t="shared" si="12"/>
        <v/>
      </c>
      <c r="N26" s="21" t="str">
        <f t="shared" si="13"/>
        <v/>
      </c>
      <c r="O26" s="21" t="str">
        <f t="shared" si="14"/>
        <v/>
      </c>
      <c r="P26" s="21" t="str">
        <f t="shared" si="15"/>
        <v/>
      </c>
      <c r="Q26" s="21" t="str">
        <f t="shared" si="16"/>
        <v/>
      </c>
      <c r="R26" s="21" t="str">
        <f t="shared" si="17"/>
        <v/>
      </c>
      <c r="S26" s="21" t="str">
        <f t="shared" si="18"/>
        <v/>
      </c>
      <c r="T26" s="21" t="str">
        <f t="shared" si="19"/>
        <v/>
      </c>
      <c r="U26" s="21" t="str">
        <f t="shared" si="20"/>
        <v/>
      </c>
      <c r="V26" s="21" t="str">
        <f t="shared" si="21"/>
        <v/>
      </c>
      <c r="W26" s="21" t="str">
        <f t="shared" si="22"/>
        <v/>
      </c>
      <c r="X26" s="21" t="str">
        <f t="shared" si="23"/>
        <v/>
      </c>
      <c r="Y26" s="21" t="str">
        <f t="shared" si="24"/>
        <v/>
      </c>
      <c r="Z26" s="21" t="str">
        <f t="shared" si="25"/>
        <v/>
      </c>
      <c r="AA26" s="21" t="str">
        <f t="shared" si="26"/>
        <v/>
      </c>
      <c r="AB26" s="21" t="str">
        <f t="shared" si="27"/>
        <v/>
      </c>
      <c r="AC26" s="21" t="str">
        <f t="shared" si="28"/>
        <v/>
      </c>
      <c r="AD26" s="21" t="str">
        <f t="shared" si="29"/>
        <v/>
      </c>
      <c r="AE26" s="1">
        <f t="shared" si="30"/>
        <v>19</v>
      </c>
      <c r="AF26" s="1">
        <f t="shared" si="31"/>
        <v>0</v>
      </c>
      <c r="AG26" s="1">
        <f t="shared" si="32"/>
        <v>0</v>
      </c>
      <c r="AH26" s="1">
        <f>IF(AF26=0,0,CHOOSE(AF26,IFERROR(_xlfn.AGGREGATE(15,6,(ROW(nINT_CaseKey)-ROW(INDEX(nINT_CaseKey,1,1))+1)/((nINT_CaseKey=$H$4)*(nINT_RowEmpty=0)),AG26),0),IFERROR(_xlfn.AGGREGATE(15,6,(ROW(nQ1_CaseKey)-ROW(INDEX(nQ1_CaseKey,1,1))+1)/((nQ1_CaseKey=$H$4)),AG26),0),IFERROR(_xlfn.AGGREGATE(15,6,(ROW(nQ2_CaseKey)-ROW(INDEX(nQ2_CaseKey,1,1))+1)/((nQ2_CaseKey=$H$4)),AG26),0),IFERROR(_xlfn.AGGREGATE(15,6,(ROW(nQ3_CaseKey)-ROW(INDEX(nQ3_CaseKey,1,1))+1)/((nQ3_CaseKey=$H$4)),AG26),0),IFERROR(_xlfn.AGGREGATE(15,6,(ROW(nQ4_CaseKey)-ROW(INDEX(nQ4_CaseKey,1,1))+1)/((nQ4_CaseKey=$H$4)),AG26),0),IFERROR(_xlfn.AGGREGATE(15,6,(ROW(nQ5_CaseKey)-ROW(INDEX(nQ5_CaseKey,1,1))+1)/((nQ5_CaseKey=$H$4)),AG26),0),IFERROR(_xlfn.AGGREGATE(15,6,(ROW(nQ6_CaseKey)-ROW(INDEX(nQ6_CaseKey,1,1))+1)/((nQ6_CaseKey=$H$4)),AG26),0),IFERROR(_xlfn.AGGREGATE(15,6,(ROW(nQ7_CaseKey)-ROW(INDEX(nQ7_CaseKey,1,1))+1)/((nQ7_CaseKey=$H$4)),AG26),0),IFERROR(_xlfn.AGGREGATE(15,6,(ROW(nQ8_CaseKey)-ROW(INDEX(nQ8_CaseKey,1,1))+1)/((nQ8_CaseKey=$H$4)),AG26),0),IFERROR(_xlfn.AGGREGATE(15,6,(ROW(nQ9_CaseKey)-ROW(INDEX(nQ9_CaseKey,1,1))+1)/((nQ9_CaseKey=$H$4)),AG26),0),IFERROR(_xlfn.AGGREGATE(15,6,(ROW(nQ10_CaseKey)-ROW(INDEX(nQ10_CaseKey,1,1))+1)/((nQ10_CaseKey=$H$4)),AG26),0),IFERROR(_xlfn.AGGREGATE(15,6,(ROW(nQ11_CaseKey)-ROW(INDEX(nQ11_CaseKey,1,1))+1)/((nQ11_CaseKey=$H$4)),AG26),0)))</f>
        <v>0</v>
      </c>
      <c r="AJ26" s="1" t="str">
        <f>IF($AF26=0,"",CHOOSE($AF26,INDEX(nINT_Case_ID,$AH26)&amp;"",INDEX(nQ1_Case_ID,$AH26)&amp;"",INDEX(nQ2_Case_ID,$AH26)&amp;"",INDEX(nQ3_Case_ID,$AH26)&amp;"",INDEX(nQ4_Case_ID,$AH26)&amp;"",INDEX(nQ5_Case_ID,$AH26)&amp;"",INDEX(nQ6_Case_ID,$AH26)&amp;"",INDEX(nQ7_Case_ID,$AH26)&amp;"",INDEX(nQ8_Case_ID,$AH26)&amp;"",INDEX(nQ9_Case_ID,$AH26)&amp;"",INDEX(nQ10_Case_ID,$AH26)&amp;"",INDEX(nQ11_Case_ID,$AH26)&amp;""))</f>
        <v/>
      </c>
      <c r="AK26" s="1" t="str">
        <f>IF($AF26=0,"",CHOOSE($AF26,INDEX(nINT_Case_Version,$AH26),INDEX(nQ1_Case_Version,$AH26),INDEX(nQ2_Case_Version,$AH26),INDEX(nQ3_Case_Version,$AH26),INDEX(nQ4_Case_Version,$AH26),INDEX(nQ5_Case_Version,$AH26),INDEX(nQ6_Case_Version,$AH26),INDEX(nQ7_Case_Version,$AH26),INDEX(nQ8_Case_Version,$AH26),INDEX(nQ9_Case_Version,$AH26),INDEX(nQ10_Case_Version,$AH26),INDEX(nQ11_Case_Version,$AH26)))</f>
        <v/>
      </c>
      <c r="AL26" s="1" t="str">
        <f>IF($AF26=0,"",CHOOSE($AF26,INDEX(nINT_Interval_ID,$AH26)&amp;"",INDEX(nQ1_Calc_ID,$AH26)&amp;"",INDEX(nQ2_Calc_ID,$AH26)&amp;"",INDEX(nQ3_Calc_ID,$AH26)&amp;"",INDEX(nQ4_Calc_ID,$AH26)&amp;"",INDEX(nQ5_Calc_ID,$AH26)&amp;"",INDEX(nQ6_Calc_ID,$AH26)&amp;"",INDEX(nQ7_Calc_ID,$AH26)&amp;"",INDEX(nQ8_Calc_ID,$AH26)&amp;"",INDEX(nQ9_Calc_ID,$AH26)&amp;"",INDEX(nQ10_Calc_ID,$AH26)&amp;"",INDEX(nQ11_Calc_ID,$AH26)&amp;""))</f>
        <v/>
      </c>
      <c r="AM26" s="1" t="str">
        <f>IF($AF26=0,"",CHOOSE($AF26,INDEX(nINT_Label,$AH26)&amp;"",INDEX(nQ1_Label_Out,$AH26)&amp;"",INDEX(nQ2_Label_Out,$AH26)&amp;"",INDEX(nQ3_Label_Out,$AH26)&amp;"",INDEX(nQ4_Label_Out,$AH26)&amp;"",INDEX(nQ5_Label_Out,$AH26)&amp;"",INDEX(nQ6_Label_Out,$AH26)&amp;"",INDEX(nQ7_Label_Out,$AH26)&amp;"",INDEX(nQ8_Label_Out,$AH26)&amp;"",INDEX(nQ9_Label_Out,$AH26)&amp;"",INDEX(nQ10_Label_Out,$AH26)&amp;"",INDEX(nQ11_Label_Out,$AH26)&amp;""))</f>
        <v/>
      </c>
      <c r="AN26" s="1" t="str">
        <f>IF($AF26=0,"",CHOOSE($AF26,IF(INDEX(nINT_LinkRow,$AH26)=0,"",INDEX(nINT_Link_ID,$AH26)&amp;""),"","","","","","","","","","",""))</f>
        <v/>
      </c>
      <c r="AO26" s="1" t="str">
        <f>IF($AF26=0,"",CHOOSE($AF26,INDEX(nINT_Exposure_Episode_ID,$AH26)&amp;"","","","","","","","","","","",""))</f>
        <v/>
      </c>
      <c r="AP26" s="1" t="str">
        <f>IF($AF26=0,"",CHOOSE($AF26,INDEX(nINT_Event_Episode_ID,$AH26)&amp;"","","","","","","","","","","",""))</f>
        <v/>
      </c>
      <c r="AQ26" s="1" t="str">
        <f>IF($AF26=0,"",CHOOSE($AF26,INDEX(nINT_End_Record_ID_Used,$AH26)&amp;"","","","","","","","","","","",""))</f>
        <v/>
      </c>
      <c r="AR26" s="1" t="str">
        <f>IF($AF26=0,"",CHOOSE($AF26,INDEX(nINT_Interval_Value,$AH26),"","","","","","","","","","",""))</f>
        <v/>
      </c>
      <c r="AS26" s="1" t="str">
        <f>IF($AF26=0,"",CHOOSE($AF26,INDEX(nINT_Interval_Minimum,$AH26),"","","","","","","","","","",""))</f>
        <v/>
      </c>
      <c r="AT26" s="1" t="str">
        <f>IF($AF26=0,"",CHOOSE($AF26,INDEX(nINT_Interval_Maximum,$AH26),"","","","","","","","","","",""))</f>
        <v/>
      </c>
      <c r="AU26" s="1" t="str">
        <f>IF($AF26=0,"",CHOOSE($AF26,INDEX(nINT_Unit,$AH26)&amp;"",INDEX(nQ1_Unit_Out,$AH26)&amp;"",INDEX(nQ2_Unit_Out,$AH26)&amp;"",INDEX(nQ3_Unit_Out,$AH26)&amp;"",INDEX(nQ4_Unit_Out,$AH26)&amp;"",INDEX(nQ5_Unit_Out,$AH26)&amp;"",INDEX(nQ6_Unit_Out,$AH26)&amp;"",INDEX(nQ7_Unit_Out,$AH26)&amp;"",INDEX(nQ8_Unit_Out,$AH26)&amp;"",INDEX(nQ9_Unit_Out,$AH26)&amp;"",INDEX(nQ10_Unit_Out,$AH26)&amp;"",INDEX(nQ11_Unit_Out,$AH26)&amp;""))</f>
        <v/>
      </c>
      <c r="AV26" s="1" t="str">
        <f>IF($AF26=0,"",CHOOSE($AF26,INDEX(nINT_Displayed_Value,$AH26)&amp;"",INDEX(nQ1_Displayed_Value,$AH26)&amp;"",INDEX(nQ2_Displayed_Value,$AH26)&amp;"",INDEX(nQ3_Displayed_Value,$AH26)&amp;"",INDEX(nQ4_Displayed_Value,$AH26)&amp;"",INDEX(nQ5_Displayed_Value,$AH26)&amp;"",INDEX(nQ6_Displayed_Value,$AH26)&amp;"",INDEX(nQ7_Displayed_Value,$AH26)&amp;"",INDEX(nQ8_Displayed_Value,$AH26)&amp;"",INDEX(nQ9_Displayed_Value,$AH26)&amp;"",INDEX(nQ10_Displayed_Value,$AH26)&amp;"",INDEX(nQ11_Displayed_Value,$AH26)&amp;""))</f>
        <v/>
      </c>
      <c r="AW26" s="1" t="str">
        <f>IF($AF26=0,"",CHOOSE($AF26,INDEX(nINT_Calculation_Mode_Used,$AH26)&amp;"","Q1","Q2","Q3","Q4","Q5","Q6","Q7","Q8","Q9","Q10","Q11"))</f>
        <v/>
      </c>
      <c r="AX26" s="1" t="str">
        <f>IF($AF26=0,"",CHOOSE($AF26,INDEX(nINT_Anchor_Type,$AH26)&amp;"","","","","","","","","","","",""))</f>
        <v/>
      </c>
      <c r="AY26" s="1" t="str">
        <f>IF($AF26=0,"",CHOOSE($AF26,IF(INDEX(nINT_K_Ok,$AH26)=1,INDEX(nINT_Anchor_Record_ID_Used,$AH26)&amp;"",""),"","","","","","","","","","",""))</f>
        <v/>
      </c>
      <c r="AZ26" s="1" t="str">
        <f>IF($AF26=0,"",CHOOSE($AF26,INDEX(nINT_Anchor_Description,$AH26)&amp;"","","","","","","","","","","",""))</f>
        <v/>
      </c>
      <c r="BA26" s="1" t="str">
        <f>IF($AF26=0,"",CHOOSE($AF26,INDEX(nINT_Sequence_Status,$AH26)&amp;"","","","","","","","","","","",""))</f>
        <v/>
      </c>
      <c r="BB26" s="1" t="str">
        <f>IF($AF26=0,"",CHOOSE($AF26,INDEX(nINT_Treatment_Day,$AH26),"","","","","","","","","","",""))</f>
        <v/>
      </c>
      <c r="BC26" s="1" t="str">
        <f>IF($AF26=0,"",CHOOSE($AF26,INDEX(nINT_Reported_Timing_Result,$AH26)&amp;"","","","","","","","","","","",""))</f>
        <v/>
      </c>
      <c r="BD26" s="1" t="str">
        <f>IF($AF26=0,"",CHOOSE($AF26,IF(INDEX(nINT_K_HasC,$AH26)=1,INDEX(nINT_Constraint_Source,$AH26)&amp;"",""),"","","","","","","","","","",""))</f>
        <v/>
      </c>
      <c r="BE26" s="1" t="str">
        <f>IF($AF26=0,"",CHOOSE($AF26,"",INDEX(nQ1_Results_Text,$AH26)&amp;"",INDEX(nQ2_Results_Text,$AH26)&amp;"",INDEX(nQ3_Results_Text,$AH26)&amp;"",INDEX(nQ4_Results_Text,$AH26)&amp;"",INDEX(nQ5_Results_Text,$AH26)&amp;"",INDEX(nQ6_Results_Text,$AH26)&amp;"",INDEX(nQ7_Results_Text,$AH26)&amp;"",INDEX(nQ8_Results_Text,$AH26)&amp;"",INDEX(nQ9_Results_Text,$AH26)&amp;"",INDEX(nQ10_Results_Text,$AH26)&amp;"",INDEX(nQ11_Results_Text,$AH26)&amp;""))</f>
        <v/>
      </c>
      <c r="BF26" s="1" t="str">
        <f>IF($AF26=0,"",CHOOSE($AF26,INDEX(nINT_Parameter_Set,$AH26)&amp;"",INDEX(nQ1_Parameter_Set,$AH26)&amp;"",INDEX(nQ2_Parameter_Set,$AH26)&amp;"",INDEX(nQ3_Parameter_Set,$AH26)&amp;"",INDEX(nQ4_Parameter_Set,$AH26)&amp;"",INDEX(nQ5_Parameter_Set,$AH26)&amp;"",INDEX(nQ6_Parameter_Set,$AH26)&amp;"",INDEX(nQ7_Parameter_Set,$AH26)&amp;"",INDEX(nQ8_Parameter_Set,$AH26)&amp;"",INDEX(nQ9_Parameter_Set,$AH26)&amp;"",INDEX(nQ10_Parameter_Set,$AH26)&amp;"",INDEX(nQ11_Parameter_Set,$AH26)&amp;""))</f>
        <v/>
      </c>
      <c r="BG26" s="1" t="str">
        <f>IF($AF26=0,"",CHOOSE($AF26,INDEX(nINT_Assumptions,$AH26)&amp;"",INDEX(nQ1_Assumptions,$AH26)&amp;"",INDEX(nQ2_Assumptions,$AH26)&amp;"",INDEX(nQ3_Assumptions,$AH26)&amp;"",INDEX(nQ4_Assumptions,$AH26)&amp;"",INDEX(nQ5_Assumptions,$AH26)&amp;"",INDEX(nQ6_Assumptions,$AH26)&amp;"",INDEX(nQ7_Assumptions,$AH26)&amp;"",INDEX(nQ8_Assumptions,$AH26)&amp;"",INDEX(nQ9_Assumptions,$AH26)&amp;"",INDEX(nQ10_Assumptions,$AH26)&amp;"",INDEX(nQ11_Assumptions,$AH26)&amp;""))</f>
        <v/>
      </c>
      <c r="BH26" s="1" t="str">
        <f>IF($AF26=0,"",CHOOSE($AF26,INDEX(nINT_Calculation_Version,$AH26)&amp;"",INDEX(nQ1_Calculation_Version,$AH26)&amp;"",INDEX(nQ2_Calculation_Version,$AH26)&amp;"",INDEX(nQ3_Calculation_Version,$AH26)&amp;"",INDEX(nQ4_Calculation_Version,$AH26)&amp;"",INDEX(nQ5_Calculation_Version,$AH26)&amp;"",INDEX(nQ6_Calculation_Version,$AH26)&amp;"",INDEX(nQ7_Calculation_Version,$AH26)&amp;"",INDEX(nQ8_Calculation_Version,$AH26)&amp;"",INDEX(nQ9_Calculation_Version,$AH26)&amp;"",INDEX(nQ10_Calculation_Version,$AH26)&amp;"",INDEX(nQ11_Calculation_Version,$AH26)&amp;""))</f>
        <v/>
      </c>
      <c r="BI26" s="1" t="str">
        <f>IF($AF26=0,"",CHOOSE($AF26,INDEX(nINT_QC_Flags,$AH26)&amp;"",INDEX(nQ1_QC_Flags,$AH26)&amp;"",INDEX(nQ2_QC_Flags,$AH26)&amp;"",INDEX(nQ3_QC_Flags,$AH26)&amp;"",INDEX(nQ4_QC_Flags,$AH26)&amp;"",INDEX(nQ5_QC_Flags,$AH26)&amp;"",INDEX(nQ6_QC_Flags,$AH26)&amp;"",INDEX(nQ7_QC_Flags,$AH26)&amp;"",INDEX(nQ8_QC_Flags,$AH26)&amp;"",INDEX(nQ9_QC_Flags,$AH26)&amp;"",INDEX(nQ10_QC_Flags,$AH26)&amp;"",INDEX(nQ11_QC_Flags,$AH26)&amp;""))</f>
        <v/>
      </c>
      <c r="BJ26" s="1" t="str">
        <f>IF($AF26=0,"",CHOOSE($AF26,INDEX(nINT_Messages,$AH26)&amp;"",INDEX(nQ1_Messages,$AH26)&amp;"",INDEX(nQ2_Messages,$AH26)&amp;"",INDEX(nQ3_Messages,$AH26)&amp;"",INDEX(nQ4_Messages,$AH26)&amp;"",INDEX(nQ5_Messages,$AH26)&amp;"",INDEX(nQ6_Messages,$AH26)&amp;"",INDEX(nQ7_Messages,$AH26)&amp;"",INDEX(nQ8_Messages,$AH26)&amp;"",INDEX(nQ9_Messages,$AH26)&amp;"",INDEX(nQ10_Messages,$AH26)&amp;"",INDEX(nQ11_Messages,$AH26)&amp;""))</f>
        <v/>
      </c>
      <c r="BK26" s="1" t="str">
        <f>IF($AF26=0,"",CHOOSE($AF26,INDEX(nINT_Limitations,$AH26)&amp;"",INDEX(nQ1_Mandatory_Text,$AH26)&amp;"",INDEX(nQ2_Mandatory_Text,$AH26)&amp;"",INDEX(nQ3_Mandatory_Text,$AH26)&amp;"",INDEX(nQ4_Mandatory_Text,$AH26)&amp;"",INDEX(nQ5_Mandatory_Text,$AH26)&amp;"",INDEX(nQ6_Mandatory_Text,$AH26)&amp;"",INDEX(nQ7_Mandatory_Text,$AH26)&amp;"",INDEX(nQ8_Mandatory_Text,$AH26)&amp;"",INDEX(nQ9_Mandatory_Text,$AH26)&amp;"",INDEX(nQ10_Mandatory_Text,$AH26)&amp;"",INDEX(nQ11_Mandatory_Text,$AH26)&amp;""))</f>
        <v/>
      </c>
      <c r="BL26" s="1" t="str">
        <f t="shared" si="33"/>
        <v/>
      </c>
      <c r="BM26" s="1" t="str">
        <f t="shared" si="34"/>
        <v/>
      </c>
    </row>
    <row r="27" spans="1:81" x14ac:dyDescent="0.2">
      <c r="A27" s="21" t="str">
        <f t="shared" si="0"/>
        <v/>
      </c>
      <c r="B27" s="21" t="str">
        <f t="shared" si="1"/>
        <v/>
      </c>
      <c r="C27" s="21" t="str">
        <f t="shared" si="2"/>
        <v/>
      </c>
      <c r="D27" s="21" t="str">
        <f t="shared" si="3"/>
        <v/>
      </c>
      <c r="E27" s="21" t="str">
        <f t="shared" si="4"/>
        <v/>
      </c>
      <c r="F27" s="21" t="str">
        <f t="shared" si="5"/>
        <v/>
      </c>
      <c r="G27" s="21" t="str">
        <f t="shared" si="6"/>
        <v/>
      </c>
      <c r="H27" s="21" t="str">
        <f t="shared" si="7"/>
        <v/>
      </c>
      <c r="I27" s="21" t="str">
        <f t="shared" si="8"/>
        <v/>
      </c>
      <c r="J27" s="21" t="str">
        <f t="shared" si="9"/>
        <v/>
      </c>
      <c r="K27" s="21" t="str">
        <f t="shared" si="10"/>
        <v/>
      </c>
      <c r="L27" s="21" t="str">
        <f t="shared" si="11"/>
        <v/>
      </c>
      <c r="M27" s="21" t="str">
        <f t="shared" si="12"/>
        <v/>
      </c>
      <c r="N27" s="21" t="str">
        <f t="shared" si="13"/>
        <v/>
      </c>
      <c r="O27" s="21" t="str">
        <f t="shared" si="14"/>
        <v/>
      </c>
      <c r="P27" s="21" t="str">
        <f t="shared" si="15"/>
        <v/>
      </c>
      <c r="Q27" s="21" t="str">
        <f t="shared" si="16"/>
        <v/>
      </c>
      <c r="R27" s="21" t="str">
        <f t="shared" si="17"/>
        <v/>
      </c>
      <c r="S27" s="21" t="str">
        <f t="shared" si="18"/>
        <v/>
      </c>
      <c r="T27" s="21" t="str">
        <f t="shared" si="19"/>
        <v/>
      </c>
      <c r="U27" s="21" t="str">
        <f t="shared" si="20"/>
        <v/>
      </c>
      <c r="V27" s="21" t="str">
        <f t="shared" si="21"/>
        <v/>
      </c>
      <c r="W27" s="21" t="str">
        <f t="shared" si="22"/>
        <v/>
      </c>
      <c r="X27" s="21" t="str">
        <f t="shared" si="23"/>
        <v/>
      </c>
      <c r="Y27" s="21" t="str">
        <f t="shared" si="24"/>
        <v/>
      </c>
      <c r="Z27" s="21" t="str">
        <f t="shared" si="25"/>
        <v/>
      </c>
      <c r="AA27" s="21" t="str">
        <f t="shared" si="26"/>
        <v/>
      </c>
      <c r="AB27" s="21" t="str">
        <f t="shared" si="27"/>
        <v/>
      </c>
      <c r="AC27" s="21" t="str">
        <f t="shared" si="28"/>
        <v/>
      </c>
      <c r="AD27" s="21" t="str">
        <f t="shared" si="29"/>
        <v/>
      </c>
      <c r="AE27" s="1">
        <f t="shared" si="30"/>
        <v>20</v>
      </c>
      <c r="AF27" s="1">
        <f t="shared" si="31"/>
        <v>0</v>
      </c>
      <c r="AG27" s="1">
        <f t="shared" si="32"/>
        <v>0</v>
      </c>
      <c r="AH27" s="1">
        <f>IF(AF27=0,0,CHOOSE(AF27,IFERROR(_xlfn.AGGREGATE(15,6,(ROW(nINT_CaseKey)-ROW(INDEX(nINT_CaseKey,1,1))+1)/((nINT_CaseKey=$H$4)*(nINT_RowEmpty=0)),AG27),0),IFERROR(_xlfn.AGGREGATE(15,6,(ROW(nQ1_CaseKey)-ROW(INDEX(nQ1_CaseKey,1,1))+1)/((nQ1_CaseKey=$H$4)),AG27),0),IFERROR(_xlfn.AGGREGATE(15,6,(ROW(nQ2_CaseKey)-ROW(INDEX(nQ2_CaseKey,1,1))+1)/((nQ2_CaseKey=$H$4)),AG27),0),IFERROR(_xlfn.AGGREGATE(15,6,(ROW(nQ3_CaseKey)-ROW(INDEX(nQ3_CaseKey,1,1))+1)/((nQ3_CaseKey=$H$4)),AG27),0),IFERROR(_xlfn.AGGREGATE(15,6,(ROW(nQ4_CaseKey)-ROW(INDEX(nQ4_CaseKey,1,1))+1)/((nQ4_CaseKey=$H$4)),AG27),0),IFERROR(_xlfn.AGGREGATE(15,6,(ROW(nQ5_CaseKey)-ROW(INDEX(nQ5_CaseKey,1,1))+1)/((nQ5_CaseKey=$H$4)),AG27),0),IFERROR(_xlfn.AGGREGATE(15,6,(ROW(nQ6_CaseKey)-ROW(INDEX(nQ6_CaseKey,1,1))+1)/((nQ6_CaseKey=$H$4)),AG27),0),IFERROR(_xlfn.AGGREGATE(15,6,(ROW(nQ7_CaseKey)-ROW(INDEX(nQ7_CaseKey,1,1))+1)/((nQ7_CaseKey=$H$4)),AG27),0),IFERROR(_xlfn.AGGREGATE(15,6,(ROW(nQ8_CaseKey)-ROW(INDEX(nQ8_CaseKey,1,1))+1)/((nQ8_CaseKey=$H$4)),AG27),0),IFERROR(_xlfn.AGGREGATE(15,6,(ROW(nQ9_CaseKey)-ROW(INDEX(nQ9_CaseKey,1,1))+1)/((nQ9_CaseKey=$H$4)),AG27),0),IFERROR(_xlfn.AGGREGATE(15,6,(ROW(nQ10_CaseKey)-ROW(INDEX(nQ10_CaseKey,1,1))+1)/((nQ10_CaseKey=$H$4)),AG27),0),IFERROR(_xlfn.AGGREGATE(15,6,(ROW(nQ11_CaseKey)-ROW(INDEX(nQ11_CaseKey,1,1))+1)/((nQ11_CaseKey=$H$4)),AG27),0)))</f>
        <v>0</v>
      </c>
      <c r="AJ27" s="1" t="str">
        <f>IF($AF27=0,"",CHOOSE($AF27,INDEX(nINT_Case_ID,$AH27)&amp;"",INDEX(nQ1_Case_ID,$AH27)&amp;"",INDEX(nQ2_Case_ID,$AH27)&amp;"",INDEX(nQ3_Case_ID,$AH27)&amp;"",INDEX(nQ4_Case_ID,$AH27)&amp;"",INDEX(nQ5_Case_ID,$AH27)&amp;"",INDEX(nQ6_Case_ID,$AH27)&amp;"",INDEX(nQ7_Case_ID,$AH27)&amp;"",INDEX(nQ8_Case_ID,$AH27)&amp;"",INDEX(nQ9_Case_ID,$AH27)&amp;"",INDEX(nQ10_Case_ID,$AH27)&amp;"",INDEX(nQ11_Case_ID,$AH27)&amp;""))</f>
        <v/>
      </c>
      <c r="AK27" s="1" t="str">
        <f>IF($AF27=0,"",CHOOSE($AF27,INDEX(nINT_Case_Version,$AH27),INDEX(nQ1_Case_Version,$AH27),INDEX(nQ2_Case_Version,$AH27),INDEX(nQ3_Case_Version,$AH27),INDEX(nQ4_Case_Version,$AH27),INDEX(nQ5_Case_Version,$AH27),INDEX(nQ6_Case_Version,$AH27),INDEX(nQ7_Case_Version,$AH27),INDEX(nQ8_Case_Version,$AH27),INDEX(nQ9_Case_Version,$AH27),INDEX(nQ10_Case_Version,$AH27),INDEX(nQ11_Case_Version,$AH27)))</f>
        <v/>
      </c>
      <c r="AL27" s="1" t="str">
        <f>IF($AF27=0,"",CHOOSE($AF27,INDEX(nINT_Interval_ID,$AH27)&amp;"",INDEX(nQ1_Calc_ID,$AH27)&amp;"",INDEX(nQ2_Calc_ID,$AH27)&amp;"",INDEX(nQ3_Calc_ID,$AH27)&amp;"",INDEX(nQ4_Calc_ID,$AH27)&amp;"",INDEX(nQ5_Calc_ID,$AH27)&amp;"",INDEX(nQ6_Calc_ID,$AH27)&amp;"",INDEX(nQ7_Calc_ID,$AH27)&amp;"",INDEX(nQ8_Calc_ID,$AH27)&amp;"",INDEX(nQ9_Calc_ID,$AH27)&amp;"",INDEX(nQ10_Calc_ID,$AH27)&amp;"",INDEX(nQ11_Calc_ID,$AH27)&amp;""))</f>
        <v/>
      </c>
      <c r="AM27" s="1" t="str">
        <f>IF($AF27=0,"",CHOOSE($AF27,INDEX(nINT_Label,$AH27)&amp;"",INDEX(nQ1_Label_Out,$AH27)&amp;"",INDEX(nQ2_Label_Out,$AH27)&amp;"",INDEX(nQ3_Label_Out,$AH27)&amp;"",INDEX(nQ4_Label_Out,$AH27)&amp;"",INDEX(nQ5_Label_Out,$AH27)&amp;"",INDEX(nQ6_Label_Out,$AH27)&amp;"",INDEX(nQ7_Label_Out,$AH27)&amp;"",INDEX(nQ8_Label_Out,$AH27)&amp;"",INDEX(nQ9_Label_Out,$AH27)&amp;"",INDEX(nQ10_Label_Out,$AH27)&amp;"",INDEX(nQ11_Label_Out,$AH27)&amp;""))</f>
        <v/>
      </c>
      <c r="AN27" s="1" t="str">
        <f>IF($AF27=0,"",CHOOSE($AF27,IF(INDEX(nINT_LinkRow,$AH27)=0,"",INDEX(nINT_Link_ID,$AH27)&amp;""),"","","","","","","","","","",""))</f>
        <v/>
      </c>
      <c r="AO27" s="1" t="str">
        <f>IF($AF27=0,"",CHOOSE($AF27,INDEX(nINT_Exposure_Episode_ID,$AH27)&amp;"","","","","","","","","","","",""))</f>
        <v/>
      </c>
      <c r="AP27" s="1" t="str">
        <f>IF($AF27=0,"",CHOOSE($AF27,INDEX(nINT_Event_Episode_ID,$AH27)&amp;"","","","","","","","","","","",""))</f>
        <v/>
      </c>
      <c r="AQ27" s="1" t="str">
        <f>IF($AF27=0,"",CHOOSE($AF27,INDEX(nINT_End_Record_ID_Used,$AH27)&amp;"","","","","","","","","","","",""))</f>
        <v/>
      </c>
      <c r="AR27" s="1" t="str">
        <f>IF($AF27=0,"",CHOOSE($AF27,INDEX(nINT_Interval_Value,$AH27),"","","","","","","","","","",""))</f>
        <v/>
      </c>
      <c r="AS27" s="1" t="str">
        <f>IF($AF27=0,"",CHOOSE($AF27,INDEX(nINT_Interval_Minimum,$AH27),"","","","","","","","","","",""))</f>
        <v/>
      </c>
      <c r="AT27" s="1" t="str">
        <f>IF($AF27=0,"",CHOOSE($AF27,INDEX(nINT_Interval_Maximum,$AH27),"","","","","","","","","","",""))</f>
        <v/>
      </c>
      <c r="AU27" s="1" t="str">
        <f>IF($AF27=0,"",CHOOSE($AF27,INDEX(nINT_Unit,$AH27)&amp;"",INDEX(nQ1_Unit_Out,$AH27)&amp;"",INDEX(nQ2_Unit_Out,$AH27)&amp;"",INDEX(nQ3_Unit_Out,$AH27)&amp;"",INDEX(nQ4_Unit_Out,$AH27)&amp;"",INDEX(nQ5_Unit_Out,$AH27)&amp;"",INDEX(nQ6_Unit_Out,$AH27)&amp;"",INDEX(nQ7_Unit_Out,$AH27)&amp;"",INDEX(nQ8_Unit_Out,$AH27)&amp;"",INDEX(nQ9_Unit_Out,$AH27)&amp;"",INDEX(nQ10_Unit_Out,$AH27)&amp;"",INDEX(nQ11_Unit_Out,$AH27)&amp;""))</f>
        <v/>
      </c>
      <c r="AV27" s="1" t="str">
        <f>IF($AF27=0,"",CHOOSE($AF27,INDEX(nINT_Displayed_Value,$AH27)&amp;"",INDEX(nQ1_Displayed_Value,$AH27)&amp;"",INDEX(nQ2_Displayed_Value,$AH27)&amp;"",INDEX(nQ3_Displayed_Value,$AH27)&amp;"",INDEX(nQ4_Displayed_Value,$AH27)&amp;"",INDEX(nQ5_Displayed_Value,$AH27)&amp;"",INDEX(nQ6_Displayed_Value,$AH27)&amp;"",INDEX(nQ7_Displayed_Value,$AH27)&amp;"",INDEX(nQ8_Displayed_Value,$AH27)&amp;"",INDEX(nQ9_Displayed_Value,$AH27)&amp;"",INDEX(nQ10_Displayed_Value,$AH27)&amp;"",INDEX(nQ11_Displayed_Value,$AH27)&amp;""))</f>
        <v/>
      </c>
      <c r="AW27" s="1" t="str">
        <f>IF($AF27=0,"",CHOOSE($AF27,INDEX(nINT_Calculation_Mode_Used,$AH27)&amp;"","Q1","Q2","Q3","Q4","Q5","Q6","Q7","Q8","Q9","Q10","Q11"))</f>
        <v/>
      </c>
      <c r="AX27" s="1" t="str">
        <f>IF($AF27=0,"",CHOOSE($AF27,INDEX(nINT_Anchor_Type,$AH27)&amp;"","","","","","","","","","","",""))</f>
        <v/>
      </c>
      <c r="AY27" s="1" t="str">
        <f>IF($AF27=0,"",CHOOSE($AF27,IF(INDEX(nINT_K_Ok,$AH27)=1,INDEX(nINT_Anchor_Record_ID_Used,$AH27)&amp;"",""),"","","","","","","","","","",""))</f>
        <v/>
      </c>
      <c r="AZ27" s="1" t="str">
        <f>IF($AF27=0,"",CHOOSE($AF27,INDEX(nINT_Anchor_Description,$AH27)&amp;"","","","","","","","","","","",""))</f>
        <v/>
      </c>
      <c r="BA27" s="1" t="str">
        <f>IF($AF27=0,"",CHOOSE($AF27,INDEX(nINT_Sequence_Status,$AH27)&amp;"","","","","","","","","","","",""))</f>
        <v/>
      </c>
      <c r="BB27" s="1" t="str">
        <f>IF($AF27=0,"",CHOOSE($AF27,INDEX(nINT_Treatment_Day,$AH27),"","","","","","","","","","",""))</f>
        <v/>
      </c>
      <c r="BC27" s="1" t="str">
        <f>IF($AF27=0,"",CHOOSE($AF27,INDEX(nINT_Reported_Timing_Result,$AH27)&amp;"","","","","","","","","","","",""))</f>
        <v/>
      </c>
      <c r="BD27" s="1" t="str">
        <f>IF($AF27=0,"",CHOOSE($AF27,IF(INDEX(nINT_K_HasC,$AH27)=1,INDEX(nINT_Constraint_Source,$AH27)&amp;"",""),"","","","","","","","","","",""))</f>
        <v/>
      </c>
      <c r="BE27" s="1" t="str">
        <f>IF($AF27=0,"",CHOOSE($AF27,"",INDEX(nQ1_Results_Text,$AH27)&amp;"",INDEX(nQ2_Results_Text,$AH27)&amp;"",INDEX(nQ3_Results_Text,$AH27)&amp;"",INDEX(nQ4_Results_Text,$AH27)&amp;"",INDEX(nQ5_Results_Text,$AH27)&amp;"",INDEX(nQ6_Results_Text,$AH27)&amp;"",INDEX(nQ7_Results_Text,$AH27)&amp;"",INDEX(nQ8_Results_Text,$AH27)&amp;"",INDEX(nQ9_Results_Text,$AH27)&amp;"",INDEX(nQ10_Results_Text,$AH27)&amp;"",INDEX(nQ11_Results_Text,$AH27)&amp;""))</f>
        <v/>
      </c>
      <c r="BF27" s="1" t="str">
        <f>IF($AF27=0,"",CHOOSE($AF27,INDEX(nINT_Parameter_Set,$AH27)&amp;"",INDEX(nQ1_Parameter_Set,$AH27)&amp;"",INDEX(nQ2_Parameter_Set,$AH27)&amp;"",INDEX(nQ3_Parameter_Set,$AH27)&amp;"",INDEX(nQ4_Parameter_Set,$AH27)&amp;"",INDEX(nQ5_Parameter_Set,$AH27)&amp;"",INDEX(nQ6_Parameter_Set,$AH27)&amp;"",INDEX(nQ7_Parameter_Set,$AH27)&amp;"",INDEX(nQ8_Parameter_Set,$AH27)&amp;"",INDEX(nQ9_Parameter_Set,$AH27)&amp;"",INDEX(nQ10_Parameter_Set,$AH27)&amp;"",INDEX(nQ11_Parameter_Set,$AH27)&amp;""))</f>
        <v/>
      </c>
      <c r="BG27" s="1" t="str">
        <f>IF($AF27=0,"",CHOOSE($AF27,INDEX(nINT_Assumptions,$AH27)&amp;"",INDEX(nQ1_Assumptions,$AH27)&amp;"",INDEX(nQ2_Assumptions,$AH27)&amp;"",INDEX(nQ3_Assumptions,$AH27)&amp;"",INDEX(nQ4_Assumptions,$AH27)&amp;"",INDEX(nQ5_Assumptions,$AH27)&amp;"",INDEX(nQ6_Assumptions,$AH27)&amp;"",INDEX(nQ7_Assumptions,$AH27)&amp;"",INDEX(nQ8_Assumptions,$AH27)&amp;"",INDEX(nQ9_Assumptions,$AH27)&amp;"",INDEX(nQ10_Assumptions,$AH27)&amp;"",INDEX(nQ11_Assumptions,$AH27)&amp;""))</f>
        <v/>
      </c>
      <c r="BH27" s="1" t="str">
        <f>IF($AF27=0,"",CHOOSE($AF27,INDEX(nINT_Calculation_Version,$AH27)&amp;"",INDEX(nQ1_Calculation_Version,$AH27)&amp;"",INDEX(nQ2_Calculation_Version,$AH27)&amp;"",INDEX(nQ3_Calculation_Version,$AH27)&amp;"",INDEX(nQ4_Calculation_Version,$AH27)&amp;"",INDEX(nQ5_Calculation_Version,$AH27)&amp;"",INDEX(nQ6_Calculation_Version,$AH27)&amp;"",INDEX(nQ7_Calculation_Version,$AH27)&amp;"",INDEX(nQ8_Calculation_Version,$AH27)&amp;"",INDEX(nQ9_Calculation_Version,$AH27)&amp;"",INDEX(nQ10_Calculation_Version,$AH27)&amp;"",INDEX(nQ11_Calculation_Version,$AH27)&amp;""))</f>
        <v/>
      </c>
      <c r="BI27" s="1" t="str">
        <f>IF($AF27=0,"",CHOOSE($AF27,INDEX(nINT_QC_Flags,$AH27)&amp;"",INDEX(nQ1_QC_Flags,$AH27)&amp;"",INDEX(nQ2_QC_Flags,$AH27)&amp;"",INDEX(nQ3_QC_Flags,$AH27)&amp;"",INDEX(nQ4_QC_Flags,$AH27)&amp;"",INDEX(nQ5_QC_Flags,$AH27)&amp;"",INDEX(nQ6_QC_Flags,$AH27)&amp;"",INDEX(nQ7_QC_Flags,$AH27)&amp;"",INDEX(nQ8_QC_Flags,$AH27)&amp;"",INDEX(nQ9_QC_Flags,$AH27)&amp;"",INDEX(nQ10_QC_Flags,$AH27)&amp;"",INDEX(nQ11_QC_Flags,$AH27)&amp;""))</f>
        <v/>
      </c>
      <c r="BJ27" s="1" t="str">
        <f>IF($AF27=0,"",CHOOSE($AF27,INDEX(nINT_Messages,$AH27)&amp;"",INDEX(nQ1_Messages,$AH27)&amp;"",INDEX(nQ2_Messages,$AH27)&amp;"",INDEX(nQ3_Messages,$AH27)&amp;"",INDEX(nQ4_Messages,$AH27)&amp;"",INDEX(nQ5_Messages,$AH27)&amp;"",INDEX(nQ6_Messages,$AH27)&amp;"",INDEX(nQ7_Messages,$AH27)&amp;"",INDEX(nQ8_Messages,$AH27)&amp;"",INDEX(nQ9_Messages,$AH27)&amp;"",INDEX(nQ10_Messages,$AH27)&amp;"",INDEX(nQ11_Messages,$AH27)&amp;""))</f>
        <v/>
      </c>
      <c r="BK27" s="1" t="str">
        <f>IF($AF27=0,"",CHOOSE($AF27,INDEX(nINT_Limitations,$AH27)&amp;"",INDEX(nQ1_Mandatory_Text,$AH27)&amp;"",INDEX(nQ2_Mandatory_Text,$AH27)&amp;"",INDEX(nQ3_Mandatory_Text,$AH27)&amp;"",INDEX(nQ4_Mandatory_Text,$AH27)&amp;"",INDEX(nQ5_Mandatory_Text,$AH27)&amp;"",INDEX(nQ6_Mandatory_Text,$AH27)&amp;"",INDEX(nQ7_Mandatory_Text,$AH27)&amp;"",INDEX(nQ8_Mandatory_Text,$AH27)&amp;"",INDEX(nQ9_Mandatory_Text,$AH27)&amp;"",INDEX(nQ10_Mandatory_Text,$AH27)&amp;"",INDEX(nQ11_Mandatory_Text,$AH27)&amp;""))</f>
        <v/>
      </c>
      <c r="BL27" s="1" t="str">
        <f t="shared" si="33"/>
        <v/>
      </c>
      <c r="BM27" s="1" t="str">
        <f t="shared" si="34"/>
        <v/>
      </c>
    </row>
    <row r="28" spans="1:81" x14ac:dyDescent="0.2">
      <c r="A28" s="21" t="str">
        <f t="shared" si="0"/>
        <v/>
      </c>
      <c r="B28" s="21" t="str">
        <f t="shared" si="1"/>
        <v/>
      </c>
      <c r="C28" s="21" t="str">
        <f t="shared" si="2"/>
        <v/>
      </c>
      <c r="D28" s="21" t="str">
        <f t="shared" si="3"/>
        <v/>
      </c>
      <c r="E28" s="21" t="str">
        <f t="shared" si="4"/>
        <v/>
      </c>
      <c r="F28" s="21" t="str">
        <f t="shared" si="5"/>
        <v/>
      </c>
      <c r="G28" s="21" t="str">
        <f t="shared" si="6"/>
        <v/>
      </c>
      <c r="H28" s="21" t="str">
        <f t="shared" si="7"/>
        <v/>
      </c>
      <c r="I28" s="21" t="str">
        <f t="shared" si="8"/>
        <v/>
      </c>
      <c r="J28" s="21" t="str">
        <f t="shared" si="9"/>
        <v/>
      </c>
      <c r="K28" s="21" t="str">
        <f t="shared" si="10"/>
        <v/>
      </c>
      <c r="L28" s="21" t="str">
        <f t="shared" si="11"/>
        <v/>
      </c>
      <c r="M28" s="21" t="str">
        <f t="shared" si="12"/>
        <v/>
      </c>
      <c r="N28" s="21" t="str">
        <f t="shared" si="13"/>
        <v/>
      </c>
      <c r="O28" s="21" t="str">
        <f t="shared" si="14"/>
        <v/>
      </c>
      <c r="P28" s="21" t="str">
        <f t="shared" si="15"/>
        <v/>
      </c>
      <c r="Q28" s="21" t="str">
        <f t="shared" si="16"/>
        <v/>
      </c>
      <c r="R28" s="21" t="str">
        <f t="shared" si="17"/>
        <v/>
      </c>
      <c r="S28" s="21" t="str">
        <f t="shared" si="18"/>
        <v/>
      </c>
      <c r="T28" s="21" t="str">
        <f t="shared" si="19"/>
        <v/>
      </c>
      <c r="U28" s="21" t="str">
        <f t="shared" si="20"/>
        <v/>
      </c>
      <c r="V28" s="21" t="str">
        <f t="shared" si="21"/>
        <v/>
      </c>
      <c r="W28" s="21" t="str">
        <f t="shared" si="22"/>
        <v/>
      </c>
      <c r="X28" s="21" t="str">
        <f t="shared" si="23"/>
        <v/>
      </c>
      <c r="Y28" s="21" t="str">
        <f t="shared" si="24"/>
        <v/>
      </c>
      <c r="Z28" s="21" t="str">
        <f t="shared" si="25"/>
        <v/>
      </c>
      <c r="AA28" s="21" t="str">
        <f t="shared" si="26"/>
        <v/>
      </c>
      <c r="AB28" s="21" t="str">
        <f t="shared" si="27"/>
        <v/>
      </c>
      <c r="AC28" s="21" t="str">
        <f t="shared" si="28"/>
        <v/>
      </c>
      <c r="AD28" s="21" t="str">
        <f t="shared" si="29"/>
        <v/>
      </c>
      <c r="AE28" s="1">
        <f t="shared" si="30"/>
        <v>21</v>
      </c>
      <c r="AF28" s="1">
        <f t="shared" si="31"/>
        <v>0</v>
      </c>
      <c r="AG28" s="1">
        <f t="shared" si="32"/>
        <v>0</v>
      </c>
      <c r="AH28" s="1">
        <f>IF(AF28=0,0,CHOOSE(AF28,IFERROR(_xlfn.AGGREGATE(15,6,(ROW(nINT_CaseKey)-ROW(INDEX(nINT_CaseKey,1,1))+1)/((nINT_CaseKey=$H$4)*(nINT_RowEmpty=0)),AG28),0),IFERROR(_xlfn.AGGREGATE(15,6,(ROW(nQ1_CaseKey)-ROW(INDEX(nQ1_CaseKey,1,1))+1)/((nQ1_CaseKey=$H$4)),AG28),0),IFERROR(_xlfn.AGGREGATE(15,6,(ROW(nQ2_CaseKey)-ROW(INDEX(nQ2_CaseKey,1,1))+1)/((nQ2_CaseKey=$H$4)),AG28),0),IFERROR(_xlfn.AGGREGATE(15,6,(ROW(nQ3_CaseKey)-ROW(INDEX(nQ3_CaseKey,1,1))+1)/((nQ3_CaseKey=$H$4)),AG28),0),IFERROR(_xlfn.AGGREGATE(15,6,(ROW(nQ4_CaseKey)-ROW(INDEX(nQ4_CaseKey,1,1))+1)/((nQ4_CaseKey=$H$4)),AG28),0),IFERROR(_xlfn.AGGREGATE(15,6,(ROW(nQ5_CaseKey)-ROW(INDEX(nQ5_CaseKey,1,1))+1)/((nQ5_CaseKey=$H$4)),AG28),0),IFERROR(_xlfn.AGGREGATE(15,6,(ROW(nQ6_CaseKey)-ROW(INDEX(nQ6_CaseKey,1,1))+1)/((nQ6_CaseKey=$H$4)),AG28),0),IFERROR(_xlfn.AGGREGATE(15,6,(ROW(nQ7_CaseKey)-ROW(INDEX(nQ7_CaseKey,1,1))+1)/((nQ7_CaseKey=$H$4)),AG28),0),IFERROR(_xlfn.AGGREGATE(15,6,(ROW(nQ8_CaseKey)-ROW(INDEX(nQ8_CaseKey,1,1))+1)/((nQ8_CaseKey=$H$4)),AG28),0),IFERROR(_xlfn.AGGREGATE(15,6,(ROW(nQ9_CaseKey)-ROW(INDEX(nQ9_CaseKey,1,1))+1)/((nQ9_CaseKey=$H$4)),AG28),0),IFERROR(_xlfn.AGGREGATE(15,6,(ROW(nQ10_CaseKey)-ROW(INDEX(nQ10_CaseKey,1,1))+1)/((nQ10_CaseKey=$H$4)),AG28),0),IFERROR(_xlfn.AGGREGATE(15,6,(ROW(nQ11_CaseKey)-ROW(INDEX(nQ11_CaseKey,1,1))+1)/((nQ11_CaseKey=$H$4)),AG28),0)))</f>
        <v>0</v>
      </c>
      <c r="AJ28" s="1" t="str">
        <f>IF($AF28=0,"",CHOOSE($AF28,INDEX(nINT_Case_ID,$AH28)&amp;"",INDEX(nQ1_Case_ID,$AH28)&amp;"",INDEX(nQ2_Case_ID,$AH28)&amp;"",INDEX(nQ3_Case_ID,$AH28)&amp;"",INDEX(nQ4_Case_ID,$AH28)&amp;"",INDEX(nQ5_Case_ID,$AH28)&amp;"",INDEX(nQ6_Case_ID,$AH28)&amp;"",INDEX(nQ7_Case_ID,$AH28)&amp;"",INDEX(nQ8_Case_ID,$AH28)&amp;"",INDEX(nQ9_Case_ID,$AH28)&amp;"",INDEX(nQ10_Case_ID,$AH28)&amp;"",INDEX(nQ11_Case_ID,$AH28)&amp;""))</f>
        <v/>
      </c>
      <c r="AK28" s="1" t="str">
        <f>IF($AF28=0,"",CHOOSE($AF28,INDEX(nINT_Case_Version,$AH28),INDEX(nQ1_Case_Version,$AH28),INDEX(nQ2_Case_Version,$AH28),INDEX(nQ3_Case_Version,$AH28),INDEX(nQ4_Case_Version,$AH28),INDEX(nQ5_Case_Version,$AH28),INDEX(nQ6_Case_Version,$AH28),INDEX(nQ7_Case_Version,$AH28),INDEX(nQ8_Case_Version,$AH28),INDEX(nQ9_Case_Version,$AH28),INDEX(nQ10_Case_Version,$AH28),INDEX(nQ11_Case_Version,$AH28)))</f>
        <v/>
      </c>
      <c r="AL28" s="1" t="str">
        <f>IF($AF28=0,"",CHOOSE($AF28,INDEX(nINT_Interval_ID,$AH28)&amp;"",INDEX(nQ1_Calc_ID,$AH28)&amp;"",INDEX(nQ2_Calc_ID,$AH28)&amp;"",INDEX(nQ3_Calc_ID,$AH28)&amp;"",INDEX(nQ4_Calc_ID,$AH28)&amp;"",INDEX(nQ5_Calc_ID,$AH28)&amp;"",INDEX(nQ6_Calc_ID,$AH28)&amp;"",INDEX(nQ7_Calc_ID,$AH28)&amp;"",INDEX(nQ8_Calc_ID,$AH28)&amp;"",INDEX(nQ9_Calc_ID,$AH28)&amp;"",INDEX(nQ10_Calc_ID,$AH28)&amp;"",INDEX(nQ11_Calc_ID,$AH28)&amp;""))</f>
        <v/>
      </c>
      <c r="AM28" s="1" t="str">
        <f>IF($AF28=0,"",CHOOSE($AF28,INDEX(nINT_Label,$AH28)&amp;"",INDEX(nQ1_Label_Out,$AH28)&amp;"",INDEX(nQ2_Label_Out,$AH28)&amp;"",INDEX(nQ3_Label_Out,$AH28)&amp;"",INDEX(nQ4_Label_Out,$AH28)&amp;"",INDEX(nQ5_Label_Out,$AH28)&amp;"",INDEX(nQ6_Label_Out,$AH28)&amp;"",INDEX(nQ7_Label_Out,$AH28)&amp;"",INDEX(nQ8_Label_Out,$AH28)&amp;"",INDEX(nQ9_Label_Out,$AH28)&amp;"",INDEX(nQ10_Label_Out,$AH28)&amp;"",INDEX(nQ11_Label_Out,$AH28)&amp;""))</f>
        <v/>
      </c>
      <c r="AN28" s="1" t="str">
        <f>IF($AF28=0,"",CHOOSE($AF28,IF(INDEX(nINT_LinkRow,$AH28)=0,"",INDEX(nINT_Link_ID,$AH28)&amp;""),"","","","","","","","","","",""))</f>
        <v/>
      </c>
      <c r="AO28" s="1" t="str">
        <f>IF($AF28=0,"",CHOOSE($AF28,INDEX(nINT_Exposure_Episode_ID,$AH28)&amp;"","","","","","","","","","","",""))</f>
        <v/>
      </c>
      <c r="AP28" s="1" t="str">
        <f>IF($AF28=0,"",CHOOSE($AF28,INDEX(nINT_Event_Episode_ID,$AH28)&amp;"","","","","","","","","","","",""))</f>
        <v/>
      </c>
      <c r="AQ28" s="1" t="str">
        <f>IF($AF28=0,"",CHOOSE($AF28,INDEX(nINT_End_Record_ID_Used,$AH28)&amp;"","","","","","","","","","","",""))</f>
        <v/>
      </c>
      <c r="AR28" s="1" t="str">
        <f>IF($AF28=0,"",CHOOSE($AF28,INDEX(nINT_Interval_Value,$AH28),"","","","","","","","","","",""))</f>
        <v/>
      </c>
      <c r="AS28" s="1" t="str">
        <f>IF($AF28=0,"",CHOOSE($AF28,INDEX(nINT_Interval_Minimum,$AH28),"","","","","","","","","","",""))</f>
        <v/>
      </c>
      <c r="AT28" s="1" t="str">
        <f>IF($AF28=0,"",CHOOSE($AF28,INDEX(nINT_Interval_Maximum,$AH28),"","","","","","","","","","",""))</f>
        <v/>
      </c>
      <c r="AU28" s="1" t="str">
        <f>IF($AF28=0,"",CHOOSE($AF28,INDEX(nINT_Unit,$AH28)&amp;"",INDEX(nQ1_Unit_Out,$AH28)&amp;"",INDEX(nQ2_Unit_Out,$AH28)&amp;"",INDEX(nQ3_Unit_Out,$AH28)&amp;"",INDEX(nQ4_Unit_Out,$AH28)&amp;"",INDEX(nQ5_Unit_Out,$AH28)&amp;"",INDEX(nQ6_Unit_Out,$AH28)&amp;"",INDEX(nQ7_Unit_Out,$AH28)&amp;"",INDEX(nQ8_Unit_Out,$AH28)&amp;"",INDEX(nQ9_Unit_Out,$AH28)&amp;"",INDEX(nQ10_Unit_Out,$AH28)&amp;"",INDEX(nQ11_Unit_Out,$AH28)&amp;""))</f>
        <v/>
      </c>
      <c r="AV28" s="1" t="str">
        <f>IF($AF28=0,"",CHOOSE($AF28,INDEX(nINT_Displayed_Value,$AH28)&amp;"",INDEX(nQ1_Displayed_Value,$AH28)&amp;"",INDEX(nQ2_Displayed_Value,$AH28)&amp;"",INDEX(nQ3_Displayed_Value,$AH28)&amp;"",INDEX(nQ4_Displayed_Value,$AH28)&amp;"",INDEX(nQ5_Displayed_Value,$AH28)&amp;"",INDEX(nQ6_Displayed_Value,$AH28)&amp;"",INDEX(nQ7_Displayed_Value,$AH28)&amp;"",INDEX(nQ8_Displayed_Value,$AH28)&amp;"",INDEX(nQ9_Displayed_Value,$AH28)&amp;"",INDEX(nQ10_Displayed_Value,$AH28)&amp;"",INDEX(nQ11_Displayed_Value,$AH28)&amp;""))</f>
        <v/>
      </c>
      <c r="AW28" s="1" t="str">
        <f>IF($AF28=0,"",CHOOSE($AF28,INDEX(nINT_Calculation_Mode_Used,$AH28)&amp;"","Q1","Q2","Q3","Q4","Q5","Q6","Q7","Q8","Q9","Q10","Q11"))</f>
        <v/>
      </c>
      <c r="AX28" s="1" t="str">
        <f>IF($AF28=0,"",CHOOSE($AF28,INDEX(nINT_Anchor_Type,$AH28)&amp;"","","","","","","","","","","",""))</f>
        <v/>
      </c>
      <c r="AY28" s="1" t="str">
        <f>IF($AF28=0,"",CHOOSE($AF28,IF(INDEX(nINT_K_Ok,$AH28)=1,INDEX(nINT_Anchor_Record_ID_Used,$AH28)&amp;"",""),"","","","","","","","","","",""))</f>
        <v/>
      </c>
      <c r="AZ28" s="1" t="str">
        <f>IF($AF28=0,"",CHOOSE($AF28,INDEX(nINT_Anchor_Description,$AH28)&amp;"","","","","","","","","","","",""))</f>
        <v/>
      </c>
      <c r="BA28" s="1" t="str">
        <f>IF($AF28=0,"",CHOOSE($AF28,INDEX(nINT_Sequence_Status,$AH28)&amp;"","","","","","","","","","","",""))</f>
        <v/>
      </c>
      <c r="BB28" s="1" t="str">
        <f>IF($AF28=0,"",CHOOSE($AF28,INDEX(nINT_Treatment_Day,$AH28),"","","","","","","","","","",""))</f>
        <v/>
      </c>
      <c r="BC28" s="1" t="str">
        <f>IF($AF28=0,"",CHOOSE($AF28,INDEX(nINT_Reported_Timing_Result,$AH28)&amp;"","","","","","","","","","","",""))</f>
        <v/>
      </c>
      <c r="BD28" s="1" t="str">
        <f>IF($AF28=0,"",CHOOSE($AF28,IF(INDEX(nINT_K_HasC,$AH28)=1,INDEX(nINT_Constraint_Source,$AH28)&amp;"",""),"","","","","","","","","","",""))</f>
        <v/>
      </c>
      <c r="BE28" s="1" t="str">
        <f>IF($AF28=0,"",CHOOSE($AF28,"",INDEX(nQ1_Results_Text,$AH28)&amp;"",INDEX(nQ2_Results_Text,$AH28)&amp;"",INDEX(nQ3_Results_Text,$AH28)&amp;"",INDEX(nQ4_Results_Text,$AH28)&amp;"",INDEX(nQ5_Results_Text,$AH28)&amp;"",INDEX(nQ6_Results_Text,$AH28)&amp;"",INDEX(nQ7_Results_Text,$AH28)&amp;"",INDEX(nQ8_Results_Text,$AH28)&amp;"",INDEX(nQ9_Results_Text,$AH28)&amp;"",INDEX(nQ10_Results_Text,$AH28)&amp;"",INDEX(nQ11_Results_Text,$AH28)&amp;""))</f>
        <v/>
      </c>
      <c r="BF28" s="1" t="str">
        <f>IF($AF28=0,"",CHOOSE($AF28,INDEX(nINT_Parameter_Set,$AH28)&amp;"",INDEX(nQ1_Parameter_Set,$AH28)&amp;"",INDEX(nQ2_Parameter_Set,$AH28)&amp;"",INDEX(nQ3_Parameter_Set,$AH28)&amp;"",INDEX(nQ4_Parameter_Set,$AH28)&amp;"",INDEX(nQ5_Parameter_Set,$AH28)&amp;"",INDEX(nQ6_Parameter_Set,$AH28)&amp;"",INDEX(nQ7_Parameter_Set,$AH28)&amp;"",INDEX(nQ8_Parameter_Set,$AH28)&amp;"",INDEX(nQ9_Parameter_Set,$AH28)&amp;"",INDEX(nQ10_Parameter_Set,$AH28)&amp;"",INDEX(nQ11_Parameter_Set,$AH28)&amp;""))</f>
        <v/>
      </c>
      <c r="BG28" s="1" t="str">
        <f>IF($AF28=0,"",CHOOSE($AF28,INDEX(nINT_Assumptions,$AH28)&amp;"",INDEX(nQ1_Assumptions,$AH28)&amp;"",INDEX(nQ2_Assumptions,$AH28)&amp;"",INDEX(nQ3_Assumptions,$AH28)&amp;"",INDEX(nQ4_Assumptions,$AH28)&amp;"",INDEX(nQ5_Assumptions,$AH28)&amp;"",INDEX(nQ6_Assumptions,$AH28)&amp;"",INDEX(nQ7_Assumptions,$AH28)&amp;"",INDEX(nQ8_Assumptions,$AH28)&amp;"",INDEX(nQ9_Assumptions,$AH28)&amp;"",INDEX(nQ10_Assumptions,$AH28)&amp;"",INDEX(nQ11_Assumptions,$AH28)&amp;""))</f>
        <v/>
      </c>
      <c r="BH28" s="1" t="str">
        <f>IF($AF28=0,"",CHOOSE($AF28,INDEX(nINT_Calculation_Version,$AH28)&amp;"",INDEX(nQ1_Calculation_Version,$AH28)&amp;"",INDEX(nQ2_Calculation_Version,$AH28)&amp;"",INDEX(nQ3_Calculation_Version,$AH28)&amp;"",INDEX(nQ4_Calculation_Version,$AH28)&amp;"",INDEX(nQ5_Calculation_Version,$AH28)&amp;"",INDEX(nQ6_Calculation_Version,$AH28)&amp;"",INDEX(nQ7_Calculation_Version,$AH28)&amp;"",INDEX(nQ8_Calculation_Version,$AH28)&amp;"",INDEX(nQ9_Calculation_Version,$AH28)&amp;"",INDEX(nQ10_Calculation_Version,$AH28)&amp;"",INDEX(nQ11_Calculation_Version,$AH28)&amp;""))</f>
        <v/>
      </c>
      <c r="BI28" s="1" t="str">
        <f>IF($AF28=0,"",CHOOSE($AF28,INDEX(nINT_QC_Flags,$AH28)&amp;"",INDEX(nQ1_QC_Flags,$AH28)&amp;"",INDEX(nQ2_QC_Flags,$AH28)&amp;"",INDEX(nQ3_QC_Flags,$AH28)&amp;"",INDEX(nQ4_QC_Flags,$AH28)&amp;"",INDEX(nQ5_QC_Flags,$AH28)&amp;"",INDEX(nQ6_QC_Flags,$AH28)&amp;"",INDEX(nQ7_QC_Flags,$AH28)&amp;"",INDEX(nQ8_QC_Flags,$AH28)&amp;"",INDEX(nQ9_QC_Flags,$AH28)&amp;"",INDEX(nQ10_QC_Flags,$AH28)&amp;"",INDEX(nQ11_QC_Flags,$AH28)&amp;""))</f>
        <v/>
      </c>
      <c r="BJ28" s="1" t="str">
        <f>IF($AF28=0,"",CHOOSE($AF28,INDEX(nINT_Messages,$AH28)&amp;"",INDEX(nQ1_Messages,$AH28)&amp;"",INDEX(nQ2_Messages,$AH28)&amp;"",INDEX(nQ3_Messages,$AH28)&amp;"",INDEX(nQ4_Messages,$AH28)&amp;"",INDEX(nQ5_Messages,$AH28)&amp;"",INDEX(nQ6_Messages,$AH28)&amp;"",INDEX(nQ7_Messages,$AH28)&amp;"",INDEX(nQ8_Messages,$AH28)&amp;"",INDEX(nQ9_Messages,$AH28)&amp;"",INDEX(nQ10_Messages,$AH28)&amp;"",INDEX(nQ11_Messages,$AH28)&amp;""))</f>
        <v/>
      </c>
      <c r="BK28" s="1" t="str">
        <f>IF($AF28=0,"",CHOOSE($AF28,INDEX(nINT_Limitations,$AH28)&amp;"",INDEX(nQ1_Mandatory_Text,$AH28)&amp;"",INDEX(nQ2_Mandatory_Text,$AH28)&amp;"",INDEX(nQ3_Mandatory_Text,$AH28)&amp;"",INDEX(nQ4_Mandatory_Text,$AH28)&amp;"",INDEX(nQ5_Mandatory_Text,$AH28)&amp;"",INDEX(nQ6_Mandatory_Text,$AH28)&amp;"",INDEX(nQ7_Mandatory_Text,$AH28)&amp;"",INDEX(nQ8_Mandatory_Text,$AH28)&amp;"",INDEX(nQ9_Mandatory_Text,$AH28)&amp;"",INDEX(nQ10_Mandatory_Text,$AH28)&amp;"",INDEX(nQ11_Mandatory_Text,$AH28)&amp;""))</f>
        <v/>
      </c>
      <c r="BL28" s="1" t="str">
        <f t="shared" si="33"/>
        <v/>
      </c>
      <c r="BM28" s="1" t="str">
        <f t="shared" si="34"/>
        <v/>
      </c>
    </row>
    <row r="29" spans="1:81" x14ac:dyDescent="0.2">
      <c r="A29" s="21" t="str">
        <f t="shared" si="0"/>
        <v/>
      </c>
      <c r="B29" s="21" t="str">
        <f t="shared" si="1"/>
        <v/>
      </c>
      <c r="C29" s="21" t="str">
        <f t="shared" si="2"/>
        <v/>
      </c>
      <c r="D29" s="21" t="str">
        <f t="shared" si="3"/>
        <v/>
      </c>
      <c r="E29" s="21" t="str">
        <f t="shared" si="4"/>
        <v/>
      </c>
      <c r="F29" s="21" t="str">
        <f t="shared" si="5"/>
        <v/>
      </c>
      <c r="G29" s="21" t="str">
        <f t="shared" si="6"/>
        <v/>
      </c>
      <c r="H29" s="21" t="str">
        <f t="shared" si="7"/>
        <v/>
      </c>
      <c r="I29" s="21" t="str">
        <f t="shared" si="8"/>
        <v/>
      </c>
      <c r="J29" s="21" t="str">
        <f t="shared" si="9"/>
        <v/>
      </c>
      <c r="K29" s="21" t="str">
        <f t="shared" si="10"/>
        <v/>
      </c>
      <c r="L29" s="21" t="str">
        <f t="shared" si="11"/>
        <v/>
      </c>
      <c r="M29" s="21" t="str">
        <f t="shared" si="12"/>
        <v/>
      </c>
      <c r="N29" s="21" t="str">
        <f t="shared" si="13"/>
        <v/>
      </c>
      <c r="O29" s="21" t="str">
        <f t="shared" si="14"/>
        <v/>
      </c>
      <c r="P29" s="21" t="str">
        <f t="shared" si="15"/>
        <v/>
      </c>
      <c r="Q29" s="21" t="str">
        <f t="shared" si="16"/>
        <v/>
      </c>
      <c r="R29" s="21" t="str">
        <f t="shared" si="17"/>
        <v/>
      </c>
      <c r="S29" s="21" t="str">
        <f t="shared" si="18"/>
        <v/>
      </c>
      <c r="T29" s="21" t="str">
        <f t="shared" si="19"/>
        <v/>
      </c>
      <c r="U29" s="21" t="str">
        <f t="shared" si="20"/>
        <v/>
      </c>
      <c r="V29" s="21" t="str">
        <f t="shared" si="21"/>
        <v/>
      </c>
      <c r="W29" s="21" t="str">
        <f t="shared" si="22"/>
        <v/>
      </c>
      <c r="X29" s="21" t="str">
        <f t="shared" si="23"/>
        <v/>
      </c>
      <c r="Y29" s="21" t="str">
        <f t="shared" si="24"/>
        <v/>
      </c>
      <c r="Z29" s="21" t="str">
        <f t="shared" si="25"/>
        <v/>
      </c>
      <c r="AA29" s="21" t="str">
        <f t="shared" si="26"/>
        <v/>
      </c>
      <c r="AB29" s="21" t="str">
        <f t="shared" si="27"/>
        <v/>
      </c>
      <c r="AC29" s="21" t="str">
        <f t="shared" si="28"/>
        <v/>
      </c>
      <c r="AD29" s="21" t="str">
        <f t="shared" si="29"/>
        <v/>
      </c>
      <c r="AE29" s="1">
        <f t="shared" si="30"/>
        <v>22</v>
      </c>
      <c r="AF29" s="1">
        <f t="shared" si="31"/>
        <v>0</v>
      </c>
      <c r="AG29" s="1">
        <f t="shared" si="32"/>
        <v>0</v>
      </c>
      <c r="AH29" s="1">
        <f>IF(AF29=0,0,CHOOSE(AF29,IFERROR(_xlfn.AGGREGATE(15,6,(ROW(nINT_CaseKey)-ROW(INDEX(nINT_CaseKey,1,1))+1)/((nINT_CaseKey=$H$4)*(nINT_RowEmpty=0)),AG29),0),IFERROR(_xlfn.AGGREGATE(15,6,(ROW(nQ1_CaseKey)-ROW(INDEX(nQ1_CaseKey,1,1))+1)/((nQ1_CaseKey=$H$4)),AG29),0),IFERROR(_xlfn.AGGREGATE(15,6,(ROW(nQ2_CaseKey)-ROW(INDEX(nQ2_CaseKey,1,1))+1)/((nQ2_CaseKey=$H$4)),AG29),0),IFERROR(_xlfn.AGGREGATE(15,6,(ROW(nQ3_CaseKey)-ROW(INDEX(nQ3_CaseKey,1,1))+1)/((nQ3_CaseKey=$H$4)),AG29),0),IFERROR(_xlfn.AGGREGATE(15,6,(ROW(nQ4_CaseKey)-ROW(INDEX(nQ4_CaseKey,1,1))+1)/((nQ4_CaseKey=$H$4)),AG29),0),IFERROR(_xlfn.AGGREGATE(15,6,(ROW(nQ5_CaseKey)-ROW(INDEX(nQ5_CaseKey,1,1))+1)/((nQ5_CaseKey=$H$4)),AG29),0),IFERROR(_xlfn.AGGREGATE(15,6,(ROW(nQ6_CaseKey)-ROW(INDEX(nQ6_CaseKey,1,1))+1)/((nQ6_CaseKey=$H$4)),AG29),0),IFERROR(_xlfn.AGGREGATE(15,6,(ROW(nQ7_CaseKey)-ROW(INDEX(nQ7_CaseKey,1,1))+1)/((nQ7_CaseKey=$H$4)),AG29),0),IFERROR(_xlfn.AGGREGATE(15,6,(ROW(nQ8_CaseKey)-ROW(INDEX(nQ8_CaseKey,1,1))+1)/((nQ8_CaseKey=$H$4)),AG29),0),IFERROR(_xlfn.AGGREGATE(15,6,(ROW(nQ9_CaseKey)-ROW(INDEX(nQ9_CaseKey,1,1))+1)/((nQ9_CaseKey=$H$4)),AG29),0),IFERROR(_xlfn.AGGREGATE(15,6,(ROW(nQ10_CaseKey)-ROW(INDEX(nQ10_CaseKey,1,1))+1)/((nQ10_CaseKey=$H$4)),AG29),0),IFERROR(_xlfn.AGGREGATE(15,6,(ROW(nQ11_CaseKey)-ROW(INDEX(nQ11_CaseKey,1,1))+1)/((nQ11_CaseKey=$H$4)),AG29),0)))</f>
        <v>0</v>
      </c>
      <c r="AJ29" s="1" t="str">
        <f>IF($AF29=0,"",CHOOSE($AF29,INDEX(nINT_Case_ID,$AH29)&amp;"",INDEX(nQ1_Case_ID,$AH29)&amp;"",INDEX(nQ2_Case_ID,$AH29)&amp;"",INDEX(nQ3_Case_ID,$AH29)&amp;"",INDEX(nQ4_Case_ID,$AH29)&amp;"",INDEX(nQ5_Case_ID,$AH29)&amp;"",INDEX(nQ6_Case_ID,$AH29)&amp;"",INDEX(nQ7_Case_ID,$AH29)&amp;"",INDEX(nQ8_Case_ID,$AH29)&amp;"",INDEX(nQ9_Case_ID,$AH29)&amp;"",INDEX(nQ10_Case_ID,$AH29)&amp;"",INDEX(nQ11_Case_ID,$AH29)&amp;""))</f>
        <v/>
      </c>
      <c r="AK29" s="1" t="str">
        <f>IF($AF29=0,"",CHOOSE($AF29,INDEX(nINT_Case_Version,$AH29),INDEX(nQ1_Case_Version,$AH29),INDEX(nQ2_Case_Version,$AH29),INDEX(nQ3_Case_Version,$AH29),INDEX(nQ4_Case_Version,$AH29),INDEX(nQ5_Case_Version,$AH29),INDEX(nQ6_Case_Version,$AH29),INDEX(nQ7_Case_Version,$AH29),INDEX(nQ8_Case_Version,$AH29),INDEX(nQ9_Case_Version,$AH29),INDEX(nQ10_Case_Version,$AH29),INDEX(nQ11_Case_Version,$AH29)))</f>
        <v/>
      </c>
      <c r="AL29" s="1" t="str">
        <f>IF($AF29=0,"",CHOOSE($AF29,INDEX(nINT_Interval_ID,$AH29)&amp;"",INDEX(nQ1_Calc_ID,$AH29)&amp;"",INDEX(nQ2_Calc_ID,$AH29)&amp;"",INDEX(nQ3_Calc_ID,$AH29)&amp;"",INDEX(nQ4_Calc_ID,$AH29)&amp;"",INDEX(nQ5_Calc_ID,$AH29)&amp;"",INDEX(nQ6_Calc_ID,$AH29)&amp;"",INDEX(nQ7_Calc_ID,$AH29)&amp;"",INDEX(nQ8_Calc_ID,$AH29)&amp;"",INDEX(nQ9_Calc_ID,$AH29)&amp;"",INDEX(nQ10_Calc_ID,$AH29)&amp;"",INDEX(nQ11_Calc_ID,$AH29)&amp;""))</f>
        <v/>
      </c>
      <c r="AM29" s="1" t="str">
        <f>IF($AF29=0,"",CHOOSE($AF29,INDEX(nINT_Label,$AH29)&amp;"",INDEX(nQ1_Label_Out,$AH29)&amp;"",INDEX(nQ2_Label_Out,$AH29)&amp;"",INDEX(nQ3_Label_Out,$AH29)&amp;"",INDEX(nQ4_Label_Out,$AH29)&amp;"",INDEX(nQ5_Label_Out,$AH29)&amp;"",INDEX(nQ6_Label_Out,$AH29)&amp;"",INDEX(nQ7_Label_Out,$AH29)&amp;"",INDEX(nQ8_Label_Out,$AH29)&amp;"",INDEX(nQ9_Label_Out,$AH29)&amp;"",INDEX(nQ10_Label_Out,$AH29)&amp;"",INDEX(nQ11_Label_Out,$AH29)&amp;""))</f>
        <v/>
      </c>
      <c r="AN29" s="1" t="str">
        <f>IF($AF29=0,"",CHOOSE($AF29,IF(INDEX(nINT_LinkRow,$AH29)=0,"",INDEX(nINT_Link_ID,$AH29)&amp;""),"","","","","","","","","","",""))</f>
        <v/>
      </c>
      <c r="AO29" s="1" t="str">
        <f>IF($AF29=0,"",CHOOSE($AF29,INDEX(nINT_Exposure_Episode_ID,$AH29)&amp;"","","","","","","","","","","",""))</f>
        <v/>
      </c>
      <c r="AP29" s="1" t="str">
        <f>IF($AF29=0,"",CHOOSE($AF29,INDEX(nINT_Event_Episode_ID,$AH29)&amp;"","","","","","","","","","","",""))</f>
        <v/>
      </c>
      <c r="AQ29" s="1" t="str">
        <f>IF($AF29=0,"",CHOOSE($AF29,INDEX(nINT_End_Record_ID_Used,$AH29)&amp;"","","","","","","","","","","",""))</f>
        <v/>
      </c>
      <c r="AR29" s="1" t="str">
        <f>IF($AF29=0,"",CHOOSE($AF29,INDEX(nINT_Interval_Value,$AH29),"","","","","","","","","","",""))</f>
        <v/>
      </c>
      <c r="AS29" s="1" t="str">
        <f>IF($AF29=0,"",CHOOSE($AF29,INDEX(nINT_Interval_Minimum,$AH29),"","","","","","","","","","",""))</f>
        <v/>
      </c>
      <c r="AT29" s="1" t="str">
        <f>IF($AF29=0,"",CHOOSE($AF29,INDEX(nINT_Interval_Maximum,$AH29),"","","","","","","","","","",""))</f>
        <v/>
      </c>
      <c r="AU29" s="1" t="str">
        <f>IF($AF29=0,"",CHOOSE($AF29,INDEX(nINT_Unit,$AH29)&amp;"",INDEX(nQ1_Unit_Out,$AH29)&amp;"",INDEX(nQ2_Unit_Out,$AH29)&amp;"",INDEX(nQ3_Unit_Out,$AH29)&amp;"",INDEX(nQ4_Unit_Out,$AH29)&amp;"",INDEX(nQ5_Unit_Out,$AH29)&amp;"",INDEX(nQ6_Unit_Out,$AH29)&amp;"",INDEX(nQ7_Unit_Out,$AH29)&amp;"",INDEX(nQ8_Unit_Out,$AH29)&amp;"",INDEX(nQ9_Unit_Out,$AH29)&amp;"",INDEX(nQ10_Unit_Out,$AH29)&amp;"",INDEX(nQ11_Unit_Out,$AH29)&amp;""))</f>
        <v/>
      </c>
      <c r="AV29" s="1" t="str">
        <f>IF($AF29=0,"",CHOOSE($AF29,INDEX(nINT_Displayed_Value,$AH29)&amp;"",INDEX(nQ1_Displayed_Value,$AH29)&amp;"",INDEX(nQ2_Displayed_Value,$AH29)&amp;"",INDEX(nQ3_Displayed_Value,$AH29)&amp;"",INDEX(nQ4_Displayed_Value,$AH29)&amp;"",INDEX(nQ5_Displayed_Value,$AH29)&amp;"",INDEX(nQ6_Displayed_Value,$AH29)&amp;"",INDEX(nQ7_Displayed_Value,$AH29)&amp;"",INDEX(nQ8_Displayed_Value,$AH29)&amp;"",INDEX(nQ9_Displayed_Value,$AH29)&amp;"",INDEX(nQ10_Displayed_Value,$AH29)&amp;"",INDEX(nQ11_Displayed_Value,$AH29)&amp;""))</f>
        <v/>
      </c>
      <c r="AW29" s="1" t="str">
        <f>IF($AF29=0,"",CHOOSE($AF29,INDEX(nINT_Calculation_Mode_Used,$AH29)&amp;"","Q1","Q2","Q3","Q4","Q5","Q6","Q7","Q8","Q9","Q10","Q11"))</f>
        <v/>
      </c>
      <c r="AX29" s="1" t="str">
        <f>IF($AF29=0,"",CHOOSE($AF29,INDEX(nINT_Anchor_Type,$AH29)&amp;"","","","","","","","","","","",""))</f>
        <v/>
      </c>
      <c r="AY29" s="1" t="str">
        <f>IF($AF29=0,"",CHOOSE($AF29,IF(INDEX(nINT_K_Ok,$AH29)=1,INDEX(nINT_Anchor_Record_ID_Used,$AH29)&amp;"",""),"","","","","","","","","","",""))</f>
        <v/>
      </c>
      <c r="AZ29" s="1" t="str">
        <f>IF($AF29=0,"",CHOOSE($AF29,INDEX(nINT_Anchor_Description,$AH29)&amp;"","","","","","","","","","","",""))</f>
        <v/>
      </c>
      <c r="BA29" s="1" t="str">
        <f>IF($AF29=0,"",CHOOSE($AF29,INDEX(nINT_Sequence_Status,$AH29)&amp;"","","","","","","","","","","",""))</f>
        <v/>
      </c>
      <c r="BB29" s="1" t="str">
        <f>IF($AF29=0,"",CHOOSE($AF29,INDEX(nINT_Treatment_Day,$AH29),"","","","","","","","","","",""))</f>
        <v/>
      </c>
      <c r="BC29" s="1" t="str">
        <f>IF($AF29=0,"",CHOOSE($AF29,INDEX(nINT_Reported_Timing_Result,$AH29)&amp;"","","","","","","","","","","",""))</f>
        <v/>
      </c>
      <c r="BD29" s="1" t="str">
        <f>IF($AF29=0,"",CHOOSE($AF29,IF(INDEX(nINT_K_HasC,$AH29)=1,INDEX(nINT_Constraint_Source,$AH29)&amp;"",""),"","","","","","","","","","",""))</f>
        <v/>
      </c>
      <c r="BE29" s="1" t="str">
        <f>IF($AF29=0,"",CHOOSE($AF29,"",INDEX(nQ1_Results_Text,$AH29)&amp;"",INDEX(nQ2_Results_Text,$AH29)&amp;"",INDEX(nQ3_Results_Text,$AH29)&amp;"",INDEX(nQ4_Results_Text,$AH29)&amp;"",INDEX(nQ5_Results_Text,$AH29)&amp;"",INDEX(nQ6_Results_Text,$AH29)&amp;"",INDEX(nQ7_Results_Text,$AH29)&amp;"",INDEX(nQ8_Results_Text,$AH29)&amp;"",INDEX(nQ9_Results_Text,$AH29)&amp;"",INDEX(nQ10_Results_Text,$AH29)&amp;"",INDEX(nQ11_Results_Text,$AH29)&amp;""))</f>
        <v/>
      </c>
      <c r="BF29" s="1" t="str">
        <f>IF($AF29=0,"",CHOOSE($AF29,INDEX(nINT_Parameter_Set,$AH29)&amp;"",INDEX(nQ1_Parameter_Set,$AH29)&amp;"",INDEX(nQ2_Parameter_Set,$AH29)&amp;"",INDEX(nQ3_Parameter_Set,$AH29)&amp;"",INDEX(nQ4_Parameter_Set,$AH29)&amp;"",INDEX(nQ5_Parameter_Set,$AH29)&amp;"",INDEX(nQ6_Parameter_Set,$AH29)&amp;"",INDEX(nQ7_Parameter_Set,$AH29)&amp;"",INDEX(nQ8_Parameter_Set,$AH29)&amp;"",INDEX(nQ9_Parameter_Set,$AH29)&amp;"",INDEX(nQ10_Parameter_Set,$AH29)&amp;"",INDEX(nQ11_Parameter_Set,$AH29)&amp;""))</f>
        <v/>
      </c>
      <c r="BG29" s="1" t="str">
        <f>IF($AF29=0,"",CHOOSE($AF29,INDEX(nINT_Assumptions,$AH29)&amp;"",INDEX(nQ1_Assumptions,$AH29)&amp;"",INDEX(nQ2_Assumptions,$AH29)&amp;"",INDEX(nQ3_Assumptions,$AH29)&amp;"",INDEX(nQ4_Assumptions,$AH29)&amp;"",INDEX(nQ5_Assumptions,$AH29)&amp;"",INDEX(nQ6_Assumptions,$AH29)&amp;"",INDEX(nQ7_Assumptions,$AH29)&amp;"",INDEX(nQ8_Assumptions,$AH29)&amp;"",INDEX(nQ9_Assumptions,$AH29)&amp;"",INDEX(nQ10_Assumptions,$AH29)&amp;"",INDEX(nQ11_Assumptions,$AH29)&amp;""))</f>
        <v/>
      </c>
      <c r="BH29" s="1" t="str">
        <f>IF($AF29=0,"",CHOOSE($AF29,INDEX(nINT_Calculation_Version,$AH29)&amp;"",INDEX(nQ1_Calculation_Version,$AH29)&amp;"",INDEX(nQ2_Calculation_Version,$AH29)&amp;"",INDEX(nQ3_Calculation_Version,$AH29)&amp;"",INDEX(nQ4_Calculation_Version,$AH29)&amp;"",INDEX(nQ5_Calculation_Version,$AH29)&amp;"",INDEX(nQ6_Calculation_Version,$AH29)&amp;"",INDEX(nQ7_Calculation_Version,$AH29)&amp;"",INDEX(nQ8_Calculation_Version,$AH29)&amp;"",INDEX(nQ9_Calculation_Version,$AH29)&amp;"",INDEX(nQ10_Calculation_Version,$AH29)&amp;"",INDEX(nQ11_Calculation_Version,$AH29)&amp;""))</f>
        <v/>
      </c>
      <c r="BI29" s="1" t="str">
        <f>IF($AF29=0,"",CHOOSE($AF29,INDEX(nINT_QC_Flags,$AH29)&amp;"",INDEX(nQ1_QC_Flags,$AH29)&amp;"",INDEX(nQ2_QC_Flags,$AH29)&amp;"",INDEX(nQ3_QC_Flags,$AH29)&amp;"",INDEX(nQ4_QC_Flags,$AH29)&amp;"",INDEX(nQ5_QC_Flags,$AH29)&amp;"",INDEX(nQ6_QC_Flags,$AH29)&amp;"",INDEX(nQ7_QC_Flags,$AH29)&amp;"",INDEX(nQ8_QC_Flags,$AH29)&amp;"",INDEX(nQ9_QC_Flags,$AH29)&amp;"",INDEX(nQ10_QC_Flags,$AH29)&amp;"",INDEX(nQ11_QC_Flags,$AH29)&amp;""))</f>
        <v/>
      </c>
      <c r="BJ29" s="1" t="str">
        <f>IF($AF29=0,"",CHOOSE($AF29,INDEX(nINT_Messages,$AH29)&amp;"",INDEX(nQ1_Messages,$AH29)&amp;"",INDEX(nQ2_Messages,$AH29)&amp;"",INDEX(nQ3_Messages,$AH29)&amp;"",INDEX(nQ4_Messages,$AH29)&amp;"",INDEX(nQ5_Messages,$AH29)&amp;"",INDEX(nQ6_Messages,$AH29)&amp;"",INDEX(nQ7_Messages,$AH29)&amp;"",INDEX(nQ8_Messages,$AH29)&amp;"",INDEX(nQ9_Messages,$AH29)&amp;"",INDEX(nQ10_Messages,$AH29)&amp;"",INDEX(nQ11_Messages,$AH29)&amp;""))</f>
        <v/>
      </c>
      <c r="BK29" s="1" t="str">
        <f>IF($AF29=0,"",CHOOSE($AF29,INDEX(nINT_Limitations,$AH29)&amp;"",INDEX(nQ1_Mandatory_Text,$AH29)&amp;"",INDEX(nQ2_Mandatory_Text,$AH29)&amp;"",INDEX(nQ3_Mandatory_Text,$AH29)&amp;"",INDEX(nQ4_Mandatory_Text,$AH29)&amp;"",INDEX(nQ5_Mandatory_Text,$AH29)&amp;"",INDEX(nQ6_Mandatory_Text,$AH29)&amp;"",INDEX(nQ7_Mandatory_Text,$AH29)&amp;"",INDEX(nQ8_Mandatory_Text,$AH29)&amp;"",INDEX(nQ9_Mandatory_Text,$AH29)&amp;"",INDEX(nQ10_Mandatory_Text,$AH29)&amp;"",INDEX(nQ11_Mandatory_Text,$AH29)&amp;""))</f>
        <v/>
      </c>
      <c r="BL29" s="1" t="str">
        <f t="shared" si="33"/>
        <v/>
      </c>
      <c r="BM29" s="1" t="str">
        <f t="shared" si="34"/>
        <v/>
      </c>
    </row>
    <row r="30" spans="1:81" x14ac:dyDescent="0.2">
      <c r="A30" s="21" t="str">
        <f t="shared" si="0"/>
        <v/>
      </c>
      <c r="B30" s="21" t="str">
        <f t="shared" si="1"/>
        <v/>
      </c>
      <c r="C30" s="21" t="str">
        <f t="shared" si="2"/>
        <v/>
      </c>
      <c r="D30" s="21" t="str">
        <f t="shared" si="3"/>
        <v/>
      </c>
      <c r="E30" s="21" t="str">
        <f t="shared" si="4"/>
        <v/>
      </c>
      <c r="F30" s="21" t="str">
        <f t="shared" si="5"/>
        <v/>
      </c>
      <c r="G30" s="21" t="str">
        <f t="shared" si="6"/>
        <v/>
      </c>
      <c r="H30" s="21" t="str">
        <f t="shared" si="7"/>
        <v/>
      </c>
      <c r="I30" s="21" t="str">
        <f t="shared" si="8"/>
        <v/>
      </c>
      <c r="J30" s="21" t="str">
        <f t="shared" si="9"/>
        <v/>
      </c>
      <c r="K30" s="21" t="str">
        <f t="shared" si="10"/>
        <v/>
      </c>
      <c r="L30" s="21" t="str">
        <f t="shared" si="11"/>
        <v/>
      </c>
      <c r="M30" s="21" t="str">
        <f t="shared" si="12"/>
        <v/>
      </c>
      <c r="N30" s="21" t="str">
        <f t="shared" si="13"/>
        <v/>
      </c>
      <c r="O30" s="21" t="str">
        <f t="shared" si="14"/>
        <v/>
      </c>
      <c r="P30" s="21" t="str">
        <f t="shared" si="15"/>
        <v/>
      </c>
      <c r="Q30" s="21" t="str">
        <f t="shared" si="16"/>
        <v/>
      </c>
      <c r="R30" s="21" t="str">
        <f t="shared" si="17"/>
        <v/>
      </c>
      <c r="S30" s="21" t="str">
        <f t="shared" si="18"/>
        <v/>
      </c>
      <c r="T30" s="21" t="str">
        <f t="shared" si="19"/>
        <v/>
      </c>
      <c r="U30" s="21" t="str">
        <f t="shared" si="20"/>
        <v/>
      </c>
      <c r="V30" s="21" t="str">
        <f t="shared" si="21"/>
        <v/>
      </c>
      <c r="W30" s="21" t="str">
        <f t="shared" si="22"/>
        <v/>
      </c>
      <c r="X30" s="21" t="str">
        <f t="shared" si="23"/>
        <v/>
      </c>
      <c r="Y30" s="21" t="str">
        <f t="shared" si="24"/>
        <v/>
      </c>
      <c r="Z30" s="21" t="str">
        <f t="shared" si="25"/>
        <v/>
      </c>
      <c r="AA30" s="21" t="str">
        <f t="shared" si="26"/>
        <v/>
      </c>
      <c r="AB30" s="21" t="str">
        <f t="shared" si="27"/>
        <v/>
      </c>
      <c r="AC30" s="21" t="str">
        <f t="shared" si="28"/>
        <v/>
      </c>
      <c r="AD30" s="21" t="str">
        <f t="shared" si="29"/>
        <v/>
      </c>
      <c r="AE30" s="1">
        <f t="shared" si="30"/>
        <v>23</v>
      </c>
      <c r="AF30" s="1">
        <f t="shared" si="31"/>
        <v>0</v>
      </c>
      <c r="AG30" s="1">
        <f t="shared" si="32"/>
        <v>0</v>
      </c>
      <c r="AH30" s="1">
        <f>IF(AF30=0,0,CHOOSE(AF30,IFERROR(_xlfn.AGGREGATE(15,6,(ROW(nINT_CaseKey)-ROW(INDEX(nINT_CaseKey,1,1))+1)/((nINT_CaseKey=$H$4)*(nINT_RowEmpty=0)),AG30),0),IFERROR(_xlfn.AGGREGATE(15,6,(ROW(nQ1_CaseKey)-ROW(INDEX(nQ1_CaseKey,1,1))+1)/((nQ1_CaseKey=$H$4)),AG30),0),IFERROR(_xlfn.AGGREGATE(15,6,(ROW(nQ2_CaseKey)-ROW(INDEX(nQ2_CaseKey,1,1))+1)/((nQ2_CaseKey=$H$4)),AG30),0),IFERROR(_xlfn.AGGREGATE(15,6,(ROW(nQ3_CaseKey)-ROW(INDEX(nQ3_CaseKey,1,1))+1)/((nQ3_CaseKey=$H$4)),AG30),0),IFERROR(_xlfn.AGGREGATE(15,6,(ROW(nQ4_CaseKey)-ROW(INDEX(nQ4_CaseKey,1,1))+1)/((nQ4_CaseKey=$H$4)),AG30),0),IFERROR(_xlfn.AGGREGATE(15,6,(ROW(nQ5_CaseKey)-ROW(INDEX(nQ5_CaseKey,1,1))+1)/((nQ5_CaseKey=$H$4)),AG30),0),IFERROR(_xlfn.AGGREGATE(15,6,(ROW(nQ6_CaseKey)-ROW(INDEX(nQ6_CaseKey,1,1))+1)/((nQ6_CaseKey=$H$4)),AG30),0),IFERROR(_xlfn.AGGREGATE(15,6,(ROW(nQ7_CaseKey)-ROW(INDEX(nQ7_CaseKey,1,1))+1)/((nQ7_CaseKey=$H$4)),AG30),0),IFERROR(_xlfn.AGGREGATE(15,6,(ROW(nQ8_CaseKey)-ROW(INDEX(nQ8_CaseKey,1,1))+1)/((nQ8_CaseKey=$H$4)),AG30),0),IFERROR(_xlfn.AGGREGATE(15,6,(ROW(nQ9_CaseKey)-ROW(INDEX(nQ9_CaseKey,1,1))+1)/((nQ9_CaseKey=$H$4)),AG30),0),IFERROR(_xlfn.AGGREGATE(15,6,(ROW(nQ10_CaseKey)-ROW(INDEX(nQ10_CaseKey,1,1))+1)/((nQ10_CaseKey=$H$4)),AG30),0),IFERROR(_xlfn.AGGREGATE(15,6,(ROW(nQ11_CaseKey)-ROW(INDEX(nQ11_CaseKey,1,1))+1)/((nQ11_CaseKey=$H$4)),AG30),0)))</f>
        <v>0</v>
      </c>
      <c r="AJ30" s="1" t="str">
        <f>IF($AF30=0,"",CHOOSE($AF30,INDEX(nINT_Case_ID,$AH30)&amp;"",INDEX(nQ1_Case_ID,$AH30)&amp;"",INDEX(nQ2_Case_ID,$AH30)&amp;"",INDEX(nQ3_Case_ID,$AH30)&amp;"",INDEX(nQ4_Case_ID,$AH30)&amp;"",INDEX(nQ5_Case_ID,$AH30)&amp;"",INDEX(nQ6_Case_ID,$AH30)&amp;"",INDEX(nQ7_Case_ID,$AH30)&amp;"",INDEX(nQ8_Case_ID,$AH30)&amp;"",INDEX(nQ9_Case_ID,$AH30)&amp;"",INDEX(nQ10_Case_ID,$AH30)&amp;"",INDEX(nQ11_Case_ID,$AH30)&amp;""))</f>
        <v/>
      </c>
      <c r="AK30" s="1" t="str">
        <f>IF($AF30=0,"",CHOOSE($AF30,INDEX(nINT_Case_Version,$AH30),INDEX(nQ1_Case_Version,$AH30),INDEX(nQ2_Case_Version,$AH30),INDEX(nQ3_Case_Version,$AH30),INDEX(nQ4_Case_Version,$AH30),INDEX(nQ5_Case_Version,$AH30),INDEX(nQ6_Case_Version,$AH30),INDEX(nQ7_Case_Version,$AH30),INDEX(nQ8_Case_Version,$AH30),INDEX(nQ9_Case_Version,$AH30),INDEX(nQ10_Case_Version,$AH30),INDEX(nQ11_Case_Version,$AH30)))</f>
        <v/>
      </c>
      <c r="AL30" s="1" t="str">
        <f>IF($AF30=0,"",CHOOSE($AF30,INDEX(nINT_Interval_ID,$AH30)&amp;"",INDEX(nQ1_Calc_ID,$AH30)&amp;"",INDEX(nQ2_Calc_ID,$AH30)&amp;"",INDEX(nQ3_Calc_ID,$AH30)&amp;"",INDEX(nQ4_Calc_ID,$AH30)&amp;"",INDEX(nQ5_Calc_ID,$AH30)&amp;"",INDEX(nQ6_Calc_ID,$AH30)&amp;"",INDEX(nQ7_Calc_ID,$AH30)&amp;"",INDEX(nQ8_Calc_ID,$AH30)&amp;"",INDEX(nQ9_Calc_ID,$AH30)&amp;"",INDEX(nQ10_Calc_ID,$AH30)&amp;"",INDEX(nQ11_Calc_ID,$AH30)&amp;""))</f>
        <v/>
      </c>
      <c r="AM30" s="1" t="str">
        <f>IF($AF30=0,"",CHOOSE($AF30,INDEX(nINT_Label,$AH30)&amp;"",INDEX(nQ1_Label_Out,$AH30)&amp;"",INDEX(nQ2_Label_Out,$AH30)&amp;"",INDEX(nQ3_Label_Out,$AH30)&amp;"",INDEX(nQ4_Label_Out,$AH30)&amp;"",INDEX(nQ5_Label_Out,$AH30)&amp;"",INDEX(nQ6_Label_Out,$AH30)&amp;"",INDEX(nQ7_Label_Out,$AH30)&amp;"",INDEX(nQ8_Label_Out,$AH30)&amp;"",INDEX(nQ9_Label_Out,$AH30)&amp;"",INDEX(nQ10_Label_Out,$AH30)&amp;"",INDEX(nQ11_Label_Out,$AH30)&amp;""))</f>
        <v/>
      </c>
      <c r="AN30" s="1" t="str">
        <f>IF($AF30=0,"",CHOOSE($AF30,IF(INDEX(nINT_LinkRow,$AH30)=0,"",INDEX(nINT_Link_ID,$AH30)&amp;""),"","","","","","","","","","",""))</f>
        <v/>
      </c>
      <c r="AO30" s="1" t="str">
        <f>IF($AF30=0,"",CHOOSE($AF30,INDEX(nINT_Exposure_Episode_ID,$AH30)&amp;"","","","","","","","","","","",""))</f>
        <v/>
      </c>
      <c r="AP30" s="1" t="str">
        <f>IF($AF30=0,"",CHOOSE($AF30,INDEX(nINT_Event_Episode_ID,$AH30)&amp;"","","","","","","","","","","",""))</f>
        <v/>
      </c>
      <c r="AQ30" s="1" t="str">
        <f>IF($AF30=0,"",CHOOSE($AF30,INDEX(nINT_End_Record_ID_Used,$AH30)&amp;"","","","","","","","","","","",""))</f>
        <v/>
      </c>
      <c r="AR30" s="1" t="str">
        <f>IF($AF30=0,"",CHOOSE($AF30,INDEX(nINT_Interval_Value,$AH30),"","","","","","","","","","",""))</f>
        <v/>
      </c>
      <c r="AS30" s="1" t="str">
        <f>IF($AF30=0,"",CHOOSE($AF30,INDEX(nINT_Interval_Minimum,$AH30),"","","","","","","","","","",""))</f>
        <v/>
      </c>
      <c r="AT30" s="1" t="str">
        <f>IF($AF30=0,"",CHOOSE($AF30,INDEX(nINT_Interval_Maximum,$AH30),"","","","","","","","","","",""))</f>
        <v/>
      </c>
      <c r="AU30" s="1" t="str">
        <f>IF($AF30=0,"",CHOOSE($AF30,INDEX(nINT_Unit,$AH30)&amp;"",INDEX(nQ1_Unit_Out,$AH30)&amp;"",INDEX(nQ2_Unit_Out,$AH30)&amp;"",INDEX(nQ3_Unit_Out,$AH30)&amp;"",INDEX(nQ4_Unit_Out,$AH30)&amp;"",INDEX(nQ5_Unit_Out,$AH30)&amp;"",INDEX(nQ6_Unit_Out,$AH30)&amp;"",INDEX(nQ7_Unit_Out,$AH30)&amp;"",INDEX(nQ8_Unit_Out,$AH30)&amp;"",INDEX(nQ9_Unit_Out,$AH30)&amp;"",INDEX(nQ10_Unit_Out,$AH30)&amp;"",INDEX(nQ11_Unit_Out,$AH30)&amp;""))</f>
        <v/>
      </c>
      <c r="AV30" s="1" t="str">
        <f>IF($AF30=0,"",CHOOSE($AF30,INDEX(nINT_Displayed_Value,$AH30)&amp;"",INDEX(nQ1_Displayed_Value,$AH30)&amp;"",INDEX(nQ2_Displayed_Value,$AH30)&amp;"",INDEX(nQ3_Displayed_Value,$AH30)&amp;"",INDEX(nQ4_Displayed_Value,$AH30)&amp;"",INDEX(nQ5_Displayed_Value,$AH30)&amp;"",INDEX(nQ6_Displayed_Value,$AH30)&amp;"",INDEX(nQ7_Displayed_Value,$AH30)&amp;"",INDEX(nQ8_Displayed_Value,$AH30)&amp;"",INDEX(nQ9_Displayed_Value,$AH30)&amp;"",INDEX(nQ10_Displayed_Value,$AH30)&amp;"",INDEX(nQ11_Displayed_Value,$AH30)&amp;""))</f>
        <v/>
      </c>
      <c r="AW30" s="1" t="str">
        <f>IF($AF30=0,"",CHOOSE($AF30,INDEX(nINT_Calculation_Mode_Used,$AH30)&amp;"","Q1","Q2","Q3","Q4","Q5","Q6","Q7","Q8","Q9","Q10","Q11"))</f>
        <v/>
      </c>
      <c r="AX30" s="1" t="str">
        <f>IF($AF30=0,"",CHOOSE($AF30,INDEX(nINT_Anchor_Type,$AH30)&amp;"","","","","","","","","","","",""))</f>
        <v/>
      </c>
      <c r="AY30" s="1" t="str">
        <f>IF($AF30=0,"",CHOOSE($AF30,IF(INDEX(nINT_K_Ok,$AH30)=1,INDEX(nINT_Anchor_Record_ID_Used,$AH30)&amp;"",""),"","","","","","","","","","",""))</f>
        <v/>
      </c>
      <c r="AZ30" s="1" t="str">
        <f>IF($AF30=0,"",CHOOSE($AF30,INDEX(nINT_Anchor_Description,$AH30)&amp;"","","","","","","","","","","",""))</f>
        <v/>
      </c>
      <c r="BA30" s="1" t="str">
        <f>IF($AF30=0,"",CHOOSE($AF30,INDEX(nINT_Sequence_Status,$AH30)&amp;"","","","","","","","","","","",""))</f>
        <v/>
      </c>
      <c r="BB30" s="1" t="str">
        <f>IF($AF30=0,"",CHOOSE($AF30,INDEX(nINT_Treatment_Day,$AH30),"","","","","","","","","","",""))</f>
        <v/>
      </c>
      <c r="BC30" s="1" t="str">
        <f>IF($AF30=0,"",CHOOSE($AF30,INDEX(nINT_Reported_Timing_Result,$AH30)&amp;"","","","","","","","","","","",""))</f>
        <v/>
      </c>
      <c r="BD30" s="1" t="str">
        <f>IF($AF30=0,"",CHOOSE($AF30,IF(INDEX(nINT_K_HasC,$AH30)=1,INDEX(nINT_Constraint_Source,$AH30)&amp;"",""),"","","","","","","","","","",""))</f>
        <v/>
      </c>
      <c r="BE30" s="1" t="str">
        <f>IF($AF30=0,"",CHOOSE($AF30,"",INDEX(nQ1_Results_Text,$AH30)&amp;"",INDEX(nQ2_Results_Text,$AH30)&amp;"",INDEX(nQ3_Results_Text,$AH30)&amp;"",INDEX(nQ4_Results_Text,$AH30)&amp;"",INDEX(nQ5_Results_Text,$AH30)&amp;"",INDEX(nQ6_Results_Text,$AH30)&amp;"",INDEX(nQ7_Results_Text,$AH30)&amp;"",INDEX(nQ8_Results_Text,$AH30)&amp;"",INDEX(nQ9_Results_Text,$AH30)&amp;"",INDEX(nQ10_Results_Text,$AH30)&amp;"",INDEX(nQ11_Results_Text,$AH30)&amp;""))</f>
        <v/>
      </c>
      <c r="BF30" s="1" t="str">
        <f>IF($AF30=0,"",CHOOSE($AF30,INDEX(nINT_Parameter_Set,$AH30)&amp;"",INDEX(nQ1_Parameter_Set,$AH30)&amp;"",INDEX(nQ2_Parameter_Set,$AH30)&amp;"",INDEX(nQ3_Parameter_Set,$AH30)&amp;"",INDEX(nQ4_Parameter_Set,$AH30)&amp;"",INDEX(nQ5_Parameter_Set,$AH30)&amp;"",INDEX(nQ6_Parameter_Set,$AH30)&amp;"",INDEX(nQ7_Parameter_Set,$AH30)&amp;"",INDEX(nQ8_Parameter_Set,$AH30)&amp;"",INDEX(nQ9_Parameter_Set,$AH30)&amp;"",INDEX(nQ10_Parameter_Set,$AH30)&amp;"",INDEX(nQ11_Parameter_Set,$AH30)&amp;""))</f>
        <v/>
      </c>
      <c r="BG30" s="1" t="str">
        <f>IF($AF30=0,"",CHOOSE($AF30,INDEX(nINT_Assumptions,$AH30)&amp;"",INDEX(nQ1_Assumptions,$AH30)&amp;"",INDEX(nQ2_Assumptions,$AH30)&amp;"",INDEX(nQ3_Assumptions,$AH30)&amp;"",INDEX(nQ4_Assumptions,$AH30)&amp;"",INDEX(nQ5_Assumptions,$AH30)&amp;"",INDEX(nQ6_Assumptions,$AH30)&amp;"",INDEX(nQ7_Assumptions,$AH30)&amp;"",INDEX(nQ8_Assumptions,$AH30)&amp;"",INDEX(nQ9_Assumptions,$AH30)&amp;"",INDEX(nQ10_Assumptions,$AH30)&amp;"",INDEX(nQ11_Assumptions,$AH30)&amp;""))</f>
        <v/>
      </c>
      <c r="BH30" s="1" t="str">
        <f>IF($AF30=0,"",CHOOSE($AF30,INDEX(nINT_Calculation_Version,$AH30)&amp;"",INDEX(nQ1_Calculation_Version,$AH30)&amp;"",INDEX(nQ2_Calculation_Version,$AH30)&amp;"",INDEX(nQ3_Calculation_Version,$AH30)&amp;"",INDEX(nQ4_Calculation_Version,$AH30)&amp;"",INDEX(nQ5_Calculation_Version,$AH30)&amp;"",INDEX(nQ6_Calculation_Version,$AH30)&amp;"",INDEX(nQ7_Calculation_Version,$AH30)&amp;"",INDEX(nQ8_Calculation_Version,$AH30)&amp;"",INDEX(nQ9_Calculation_Version,$AH30)&amp;"",INDEX(nQ10_Calculation_Version,$AH30)&amp;"",INDEX(nQ11_Calculation_Version,$AH30)&amp;""))</f>
        <v/>
      </c>
      <c r="BI30" s="1" t="str">
        <f>IF($AF30=0,"",CHOOSE($AF30,INDEX(nINT_QC_Flags,$AH30)&amp;"",INDEX(nQ1_QC_Flags,$AH30)&amp;"",INDEX(nQ2_QC_Flags,$AH30)&amp;"",INDEX(nQ3_QC_Flags,$AH30)&amp;"",INDEX(nQ4_QC_Flags,$AH30)&amp;"",INDEX(nQ5_QC_Flags,$AH30)&amp;"",INDEX(nQ6_QC_Flags,$AH30)&amp;"",INDEX(nQ7_QC_Flags,$AH30)&amp;"",INDEX(nQ8_QC_Flags,$AH30)&amp;"",INDEX(nQ9_QC_Flags,$AH30)&amp;"",INDEX(nQ10_QC_Flags,$AH30)&amp;"",INDEX(nQ11_QC_Flags,$AH30)&amp;""))</f>
        <v/>
      </c>
      <c r="BJ30" s="1" t="str">
        <f>IF($AF30=0,"",CHOOSE($AF30,INDEX(nINT_Messages,$AH30)&amp;"",INDEX(nQ1_Messages,$AH30)&amp;"",INDEX(nQ2_Messages,$AH30)&amp;"",INDEX(nQ3_Messages,$AH30)&amp;"",INDEX(nQ4_Messages,$AH30)&amp;"",INDEX(nQ5_Messages,$AH30)&amp;"",INDEX(nQ6_Messages,$AH30)&amp;"",INDEX(nQ7_Messages,$AH30)&amp;"",INDEX(nQ8_Messages,$AH30)&amp;"",INDEX(nQ9_Messages,$AH30)&amp;"",INDEX(nQ10_Messages,$AH30)&amp;"",INDEX(nQ11_Messages,$AH30)&amp;""))</f>
        <v/>
      </c>
      <c r="BK30" s="1" t="str">
        <f>IF($AF30=0,"",CHOOSE($AF30,INDEX(nINT_Limitations,$AH30)&amp;"",INDEX(nQ1_Mandatory_Text,$AH30)&amp;"",INDEX(nQ2_Mandatory_Text,$AH30)&amp;"",INDEX(nQ3_Mandatory_Text,$AH30)&amp;"",INDEX(nQ4_Mandatory_Text,$AH30)&amp;"",INDEX(nQ5_Mandatory_Text,$AH30)&amp;"",INDEX(nQ6_Mandatory_Text,$AH30)&amp;"",INDEX(nQ7_Mandatory_Text,$AH30)&amp;"",INDEX(nQ8_Mandatory_Text,$AH30)&amp;"",INDEX(nQ9_Mandatory_Text,$AH30)&amp;"",INDEX(nQ10_Mandatory_Text,$AH30)&amp;"",INDEX(nQ11_Mandatory_Text,$AH30)&amp;""))</f>
        <v/>
      </c>
      <c r="BL30" s="1" t="str">
        <f t="shared" si="33"/>
        <v/>
      </c>
      <c r="BM30" s="1" t="str">
        <f t="shared" si="34"/>
        <v/>
      </c>
    </row>
    <row r="31" spans="1:81" x14ac:dyDescent="0.2">
      <c r="A31" s="21" t="str">
        <f t="shared" si="0"/>
        <v/>
      </c>
      <c r="B31" s="21" t="str">
        <f t="shared" si="1"/>
        <v/>
      </c>
      <c r="C31" s="21" t="str">
        <f t="shared" si="2"/>
        <v/>
      </c>
      <c r="D31" s="21" t="str">
        <f t="shared" si="3"/>
        <v/>
      </c>
      <c r="E31" s="21" t="str">
        <f t="shared" si="4"/>
        <v/>
      </c>
      <c r="F31" s="21" t="str">
        <f t="shared" si="5"/>
        <v/>
      </c>
      <c r="G31" s="21" t="str">
        <f t="shared" si="6"/>
        <v/>
      </c>
      <c r="H31" s="21" t="str">
        <f t="shared" si="7"/>
        <v/>
      </c>
      <c r="I31" s="21" t="str">
        <f t="shared" si="8"/>
        <v/>
      </c>
      <c r="J31" s="21" t="str">
        <f t="shared" si="9"/>
        <v/>
      </c>
      <c r="K31" s="21" t="str">
        <f t="shared" si="10"/>
        <v/>
      </c>
      <c r="L31" s="21" t="str">
        <f t="shared" si="11"/>
        <v/>
      </c>
      <c r="M31" s="21" t="str">
        <f t="shared" si="12"/>
        <v/>
      </c>
      <c r="N31" s="21" t="str">
        <f t="shared" si="13"/>
        <v/>
      </c>
      <c r="O31" s="21" t="str">
        <f t="shared" si="14"/>
        <v/>
      </c>
      <c r="P31" s="21" t="str">
        <f t="shared" si="15"/>
        <v/>
      </c>
      <c r="Q31" s="21" t="str">
        <f t="shared" si="16"/>
        <v/>
      </c>
      <c r="R31" s="21" t="str">
        <f t="shared" si="17"/>
        <v/>
      </c>
      <c r="S31" s="21" t="str">
        <f t="shared" si="18"/>
        <v/>
      </c>
      <c r="T31" s="21" t="str">
        <f t="shared" si="19"/>
        <v/>
      </c>
      <c r="U31" s="21" t="str">
        <f t="shared" si="20"/>
        <v/>
      </c>
      <c r="V31" s="21" t="str">
        <f t="shared" si="21"/>
        <v/>
      </c>
      <c r="W31" s="21" t="str">
        <f t="shared" si="22"/>
        <v/>
      </c>
      <c r="X31" s="21" t="str">
        <f t="shared" si="23"/>
        <v/>
      </c>
      <c r="Y31" s="21" t="str">
        <f t="shared" si="24"/>
        <v/>
      </c>
      <c r="Z31" s="21" t="str">
        <f t="shared" si="25"/>
        <v/>
      </c>
      <c r="AA31" s="21" t="str">
        <f t="shared" si="26"/>
        <v/>
      </c>
      <c r="AB31" s="21" t="str">
        <f t="shared" si="27"/>
        <v/>
      </c>
      <c r="AC31" s="21" t="str">
        <f t="shared" si="28"/>
        <v/>
      </c>
      <c r="AD31" s="21" t="str">
        <f t="shared" si="29"/>
        <v/>
      </c>
      <c r="AE31" s="1">
        <f t="shared" si="30"/>
        <v>24</v>
      </c>
      <c r="AF31" s="1">
        <f t="shared" si="31"/>
        <v>0</v>
      </c>
      <c r="AG31" s="1">
        <f t="shared" si="32"/>
        <v>0</v>
      </c>
      <c r="AH31" s="1">
        <f>IF(AF31=0,0,CHOOSE(AF31,IFERROR(_xlfn.AGGREGATE(15,6,(ROW(nINT_CaseKey)-ROW(INDEX(nINT_CaseKey,1,1))+1)/((nINT_CaseKey=$H$4)*(nINT_RowEmpty=0)),AG31),0),IFERROR(_xlfn.AGGREGATE(15,6,(ROW(nQ1_CaseKey)-ROW(INDEX(nQ1_CaseKey,1,1))+1)/((nQ1_CaseKey=$H$4)),AG31),0),IFERROR(_xlfn.AGGREGATE(15,6,(ROW(nQ2_CaseKey)-ROW(INDEX(nQ2_CaseKey,1,1))+1)/((nQ2_CaseKey=$H$4)),AG31),0),IFERROR(_xlfn.AGGREGATE(15,6,(ROW(nQ3_CaseKey)-ROW(INDEX(nQ3_CaseKey,1,1))+1)/((nQ3_CaseKey=$H$4)),AG31),0),IFERROR(_xlfn.AGGREGATE(15,6,(ROW(nQ4_CaseKey)-ROW(INDEX(nQ4_CaseKey,1,1))+1)/((nQ4_CaseKey=$H$4)),AG31),0),IFERROR(_xlfn.AGGREGATE(15,6,(ROW(nQ5_CaseKey)-ROW(INDEX(nQ5_CaseKey,1,1))+1)/((nQ5_CaseKey=$H$4)),AG31),0),IFERROR(_xlfn.AGGREGATE(15,6,(ROW(nQ6_CaseKey)-ROW(INDEX(nQ6_CaseKey,1,1))+1)/((nQ6_CaseKey=$H$4)),AG31),0),IFERROR(_xlfn.AGGREGATE(15,6,(ROW(nQ7_CaseKey)-ROW(INDEX(nQ7_CaseKey,1,1))+1)/((nQ7_CaseKey=$H$4)),AG31),0),IFERROR(_xlfn.AGGREGATE(15,6,(ROW(nQ8_CaseKey)-ROW(INDEX(nQ8_CaseKey,1,1))+1)/((nQ8_CaseKey=$H$4)),AG31),0),IFERROR(_xlfn.AGGREGATE(15,6,(ROW(nQ9_CaseKey)-ROW(INDEX(nQ9_CaseKey,1,1))+1)/((nQ9_CaseKey=$H$4)),AG31),0),IFERROR(_xlfn.AGGREGATE(15,6,(ROW(nQ10_CaseKey)-ROW(INDEX(nQ10_CaseKey,1,1))+1)/((nQ10_CaseKey=$H$4)),AG31),0),IFERROR(_xlfn.AGGREGATE(15,6,(ROW(nQ11_CaseKey)-ROW(INDEX(nQ11_CaseKey,1,1))+1)/((nQ11_CaseKey=$H$4)),AG31),0)))</f>
        <v>0</v>
      </c>
      <c r="AJ31" s="1" t="str">
        <f>IF($AF31=0,"",CHOOSE($AF31,INDEX(nINT_Case_ID,$AH31)&amp;"",INDEX(nQ1_Case_ID,$AH31)&amp;"",INDEX(nQ2_Case_ID,$AH31)&amp;"",INDEX(nQ3_Case_ID,$AH31)&amp;"",INDEX(nQ4_Case_ID,$AH31)&amp;"",INDEX(nQ5_Case_ID,$AH31)&amp;"",INDEX(nQ6_Case_ID,$AH31)&amp;"",INDEX(nQ7_Case_ID,$AH31)&amp;"",INDEX(nQ8_Case_ID,$AH31)&amp;"",INDEX(nQ9_Case_ID,$AH31)&amp;"",INDEX(nQ10_Case_ID,$AH31)&amp;"",INDEX(nQ11_Case_ID,$AH31)&amp;""))</f>
        <v/>
      </c>
      <c r="AK31" s="1" t="str">
        <f>IF($AF31=0,"",CHOOSE($AF31,INDEX(nINT_Case_Version,$AH31),INDEX(nQ1_Case_Version,$AH31),INDEX(nQ2_Case_Version,$AH31),INDEX(nQ3_Case_Version,$AH31),INDEX(nQ4_Case_Version,$AH31),INDEX(nQ5_Case_Version,$AH31),INDEX(nQ6_Case_Version,$AH31),INDEX(nQ7_Case_Version,$AH31),INDEX(nQ8_Case_Version,$AH31),INDEX(nQ9_Case_Version,$AH31),INDEX(nQ10_Case_Version,$AH31),INDEX(nQ11_Case_Version,$AH31)))</f>
        <v/>
      </c>
      <c r="AL31" s="1" t="str">
        <f>IF($AF31=0,"",CHOOSE($AF31,INDEX(nINT_Interval_ID,$AH31)&amp;"",INDEX(nQ1_Calc_ID,$AH31)&amp;"",INDEX(nQ2_Calc_ID,$AH31)&amp;"",INDEX(nQ3_Calc_ID,$AH31)&amp;"",INDEX(nQ4_Calc_ID,$AH31)&amp;"",INDEX(nQ5_Calc_ID,$AH31)&amp;"",INDEX(nQ6_Calc_ID,$AH31)&amp;"",INDEX(nQ7_Calc_ID,$AH31)&amp;"",INDEX(nQ8_Calc_ID,$AH31)&amp;"",INDEX(nQ9_Calc_ID,$AH31)&amp;"",INDEX(nQ10_Calc_ID,$AH31)&amp;"",INDEX(nQ11_Calc_ID,$AH31)&amp;""))</f>
        <v/>
      </c>
      <c r="AM31" s="1" t="str">
        <f>IF($AF31=0,"",CHOOSE($AF31,INDEX(nINT_Label,$AH31)&amp;"",INDEX(nQ1_Label_Out,$AH31)&amp;"",INDEX(nQ2_Label_Out,$AH31)&amp;"",INDEX(nQ3_Label_Out,$AH31)&amp;"",INDEX(nQ4_Label_Out,$AH31)&amp;"",INDEX(nQ5_Label_Out,$AH31)&amp;"",INDEX(nQ6_Label_Out,$AH31)&amp;"",INDEX(nQ7_Label_Out,$AH31)&amp;"",INDEX(nQ8_Label_Out,$AH31)&amp;"",INDEX(nQ9_Label_Out,$AH31)&amp;"",INDEX(nQ10_Label_Out,$AH31)&amp;"",INDEX(nQ11_Label_Out,$AH31)&amp;""))</f>
        <v/>
      </c>
      <c r="AN31" s="1" t="str">
        <f>IF($AF31=0,"",CHOOSE($AF31,IF(INDEX(nINT_LinkRow,$AH31)=0,"",INDEX(nINT_Link_ID,$AH31)&amp;""),"","","","","","","","","","",""))</f>
        <v/>
      </c>
      <c r="AO31" s="1" t="str">
        <f>IF($AF31=0,"",CHOOSE($AF31,INDEX(nINT_Exposure_Episode_ID,$AH31)&amp;"","","","","","","","","","","",""))</f>
        <v/>
      </c>
      <c r="AP31" s="1" t="str">
        <f>IF($AF31=0,"",CHOOSE($AF31,INDEX(nINT_Event_Episode_ID,$AH31)&amp;"","","","","","","","","","","",""))</f>
        <v/>
      </c>
      <c r="AQ31" s="1" t="str">
        <f>IF($AF31=0,"",CHOOSE($AF31,INDEX(nINT_End_Record_ID_Used,$AH31)&amp;"","","","","","","","","","","",""))</f>
        <v/>
      </c>
      <c r="AR31" s="1" t="str">
        <f>IF($AF31=0,"",CHOOSE($AF31,INDEX(nINT_Interval_Value,$AH31),"","","","","","","","","","",""))</f>
        <v/>
      </c>
      <c r="AS31" s="1" t="str">
        <f>IF($AF31=0,"",CHOOSE($AF31,INDEX(nINT_Interval_Minimum,$AH31),"","","","","","","","","","",""))</f>
        <v/>
      </c>
      <c r="AT31" s="1" t="str">
        <f>IF($AF31=0,"",CHOOSE($AF31,INDEX(nINT_Interval_Maximum,$AH31),"","","","","","","","","","",""))</f>
        <v/>
      </c>
      <c r="AU31" s="1" t="str">
        <f>IF($AF31=0,"",CHOOSE($AF31,INDEX(nINT_Unit,$AH31)&amp;"",INDEX(nQ1_Unit_Out,$AH31)&amp;"",INDEX(nQ2_Unit_Out,$AH31)&amp;"",INDEX(nQ3_Unit_Out,$AH31)&amp;"",INDEX(nQ4_Unit_Out,$AH31)&amp;"",INDEX(nQ5_Unit_Out,$AH31)&amp;"",INDEX(nQ6_Unit_Out,$AH31)&amp;"",INDEX(nQ7_Unit_Out,$AH31)&amp;"",INDEX(nQ8_Unit_Out,$AH31)&amp;"",INDEX(nQ9_Unit_Out,$AH31)&amp;"",INDEX(nQ10_Unit_Out,$AH31)&amp;"",INDEX(nQ11_Unit_Out,$AH31)&amp;""))</f>
        <v/>
      </c>
      <c r="AV31" s="1" t="str">
        <f>IF($AF31=0,"",CHOOSE($AF31,INDEX(nINT_Displayed_Value,$AH31)&amp;"",INDEX(nQ1_Displayed_Value,$AH31)&amp;"",INDEX(nQ2_Displayed_Value,$AH31)&amp;"",INDEX(nQ3_Displayed_Value,$AH31)&amp;"",INDEX(nQ4_Displayed_Value,$AH31)&amp;"",INDEX(nQ5_Displayed_Value,$AH31)&amp;"",INDEX(nQ6_Displayed_Value,$AH31)&amp;"",INDEX(nQ7_Displayed_Value,$AH31)&amp;"",INDEX(nQ8_Displayed_Value,$AH31)&amp;"",INDEX(nQ9_Displayed_Value,$AH31)&amp;"",INDEX(nQ10_Displayed_Value,$AH31)&amp;"",INDEX(nQ11_Displayed_Value,$AH31)&amp;""))</f>
        <v/>
      </c>
      <c r="AW31" s="1" t="str">
        <f>IF($AF31=0,"",CHOOSE($AF31,INDEX(nINT_Calculation_Mode_Used,$AH31)&amp;"","Q1","Q2","Q3","Q4","Q5","Q6","Q7","Q8","Q9","Q10","Q11"))</f>
        <v/>
      </c>
      <c r="AX31" s="1" t="str">
        <f>IF($AF31=0,"",CHOOSE($AF31,INDEX(nINT_Anchor_Type,$AH31)&amp;"","","","","","","","","","","",""))</f>
        <v/>
      </c>
      <c r="AY31" s="1" t="str">
        <f>IF($AF31=0,"",CHOOSE($AF31,IF(INDEX(nINT_K_Ok,$AH31)=1,INDEX(nINT_Anchor_Record_ID_Used,$AH31)&amp;"",""),"","","","","","","","","","",""))</f>
        <v/>
      </c>
      <c r="AZ31" s="1" t="str">
        <f>IF($AF31=0,"",CHOOSE($AF31,INDEX(nINT_Anchor_Description,$AH31)&amp;"","","","","","","","","","","",""))</f>
        <v/>
      </c>
      <c r="BA31" s="1" t="str">
        <f>IF($AF31=0,"",CHOOSE($AF31,INDEX(nINT_Sequence_Status,$AH31)&amp;"","","","","","","","","","","",""))</f>
        <v/>
      </c>
      <c r="BB31" s="1" t="str">
        <f>IF($AF31=0,"",CHOOSE($AF31,INDEX(nINT_Treatment_Day,$AH31),"","","","","","","","","","",""))</f>
        <v/>
      </c>
      <c r="BC31" s="1" t="str">
        <f>IF($AF31=0,"",CHOOSE($AF31,INDEX(nINT_Reported_Timing_Result,$AH31)&amp;"","","","","","","","","","","",""))</f>
        <v/>
      </c>
      <c r="BD31" s="1" t="str">
        <f>IF($AF31=0,"",CHOOSE($AF31,IF(INDEX(nINT_K_HasC,$AH31)=1,INDEX(nINT_Constraint_Source,$AH31)&amp;"",""),"","","","","","","","","","",""))</f>
        <v/>
      </c>
      <c r="BE31" s="1" t="str">
        <f>IF($AF31=0,"",CHOOSE($AF31,"",INDEX(nQ1_Results_Text,$AH31)&amp;"",INDEX(nQ2_Results_Text,$AH31)&amp;"",INDEX(nQ3_Results_Text,$AH31)&amp;"",INDEX(nQ4_Results_Text,$AH31)&amp;"",INDEX(nQ5_Results_Text,$AH31)&amp;"",INDEX(nQ6_Results_Text,$AH31)&amp;"",INDEX(nQ7_Results_Text,$AH31)&amp;"",INDEX(nQ8_Results_Text,$AH31)&amp;"",INDEX(nQ9_Results_Text,$AH31)&amp;"",INDEX(nQ10_Results_Text,$AH31)&amp;"",INDEX(nQ11_Results_Text,$AH31)&amp;""))</f>
        <v/>
      </c>
      <c r="BF31" s="1" t="str">
        <f>IF($AF31=0,"",CHOOSE($AF31,INDEX(nINT_Parameter_Set,$AH31)&amp;"",INDEX(nQ1_Parameter_Set,$AH31)&amp;"",INDEX(nQ2_Parameter_Set,$AH31)&amp;"",INDEX(nQ3_Parameter_Set,$AH31)&amp;"",INDEX(nQ4_Parameter_Set,$AH31)&amp;"",INDEX(nQ5_Parameter_Set,$AH31)&amp;"",INDEX(nQ6_Parameter_Set,$AH31)&amp;"",INDEX(nQ7_Parameter_Set,$AH31)&amp;"",INDEX(nQ8_Parameter_Set,$AH31)&amp;"",INDEX(nQ9_Parameter_Set,$AH31)&amp;"",INDEX(nQ10_Parameter_Set,$AH31)&amp;"",INDEX(nQ11_Parameter_Set,$AH31)&amp;""))</f>
        <v/>
      </c>
      <c r="BG31" s="1" t="str">
        <f>IF($AF31=0,"",CHOOSE($AF31,INDEX(nINT_Assumptions,$AH31)&amp;"",INDEX(nQ1_Assumptions,$AH31)&amp;"",INDEX(nQ2_Assumptions,$AH31)&amp;"",INDEX(nQ3_Assumptions,$AH31)&amp;"",INDEX(nQ4_Assumptions,$AH31)&amp;"",INDEX(nQ5_Assumptions,$AH31)&amp;"",INDEX(nQ6_Assumptions,$AH31)&amp;"",INDEX(nQ7_Assumptions,$AH31)&amp;"",INDEX(nQ8_Assumptions,$AH31)&amp;"",INDEX(nQ9_Assumptions,$AH31)&amp;"",INDEX(nQ10_Assumptions,$AH31)&amp;"",INDEX(nQ11_Assumptions,$AH31)&amp;""))</f>
        <v/>
      </c>
      <c r="BH31" s="1" t="str">
        <f>IF($AF31=0,"",CHOOSE($AF31,INDEX(nINT_Calculation_Version,$AH31)&amp;"",INDEX(nQ1_Calculation_Version,$AH31)&amp;"",INDEX(nQ2_Calculation_Version,$AH31)&amp;"",INDEX(nQ3_Calculation_Version,$AH31)&amp;"",INDEX(nQ4_Calculation_Version,$AH31)&amp;"",INDEX(nQ5_Calculation_Version,$AH31)&amp;"",INDEX(nQ6_Calculation_Version,$AH31)&amp;"",INDEX(nQ7_Calculation_Version,$AH31)&amp;"",INDEX(nQ8_Calculation_Version,$AH31)&amp;"",INDEX(nQ9_Calculation_Version,$AH31)&amp;"",INDEX(nQ10_Calculation_Version,$AH31)&amp;"",INDEX(nQ11_Calculation_Version,$AH31)&amp;""))</f>
        <v/>
      </c>
      <c r="BI31" s="1" t="str">
        <f>IF($AF31=0,"",CHOOSE($AF31,INDEX(nINT_QC_Flags,$AH31)&amp;"",INDEX(nQ1_QC_Flags,$AH31)&amp;"",INDEX(nQ2_QC_Flags,$AH31)&amp;"",INDEX(nQ3_QC_Flags,$AH31)&amp;"",INDEX(nQ4_QC_Flags,$AH31)&amp;"",INDEX(nQ5_QC_Flags,$AH31)&amp;"",INDEX(nQ6_QC_Flags,$AH31)&amp;"",INDEX(nQ7_QC_Flags,$AH31)&amp;"",INDEX(nQ8_QC_Flags,$AH31)&amp;"",INDEX(nQ9_QC_Flags,$AH31)&amp;"",INDEX(nQ10_QC_Flags,$AH31)&amp;"",INDEX(nQ11_QC_Flags,$AH31)&amp;""))</f>
        <v/>
      </c>
      <c r="BJ31" s="1" t="str">
        <f>IF($AF31=0,"",CHOOSE($AF31,INDEX(nINT_Messages,$AH31)&amp;"",INDEX(nQ1_Messages,$AH31)&amp;"",INDEX(nQ2_Messages,$AH31)&amp;"",INDEX(nQ3_Messages,$AH31)&amp;"",INDEX(nQ4_Messages,$AH31)&amp;"",INDEX(nQ5_Messages,$AH31)&amp;"",INDEX(nQ6_Messages,$AH31)&amp;"",INDEX(nQ7_Messages,$AH31)&amp;"",INDEX(nQ8_Messages,$AH31)&amp;"",INDEX(nQ9_Messages,$AH31)&amp;"",INDEX(nQ10_Messages,$AH31)&amp;"",INDEX(nQ11_Messages,$AH31)&amp;""))</f>
        <v/>
      </c>
      <c r="BK31" s="1" t="str">
        <f>IF($AF31=0,"",CHOOSE($AF31,INDEX(nINT_Limitations,$AH31)&amp;"",INDEX(nQ1_Mandatory_Text,$AH31)&amp;"",INDEX(nQ2_Mandatory_Text,$AH31)&amp;"",INDEX(nQ3_Mandatory_Text,$AH31)&amp;"",INDEX(nQ4_Mandatory_Text,$AH31)&amp;"",INDEX(nQ5_Mandatory_Text,$AH31)&amp;"",INDEX(nQ6_Mandatory_Text,$AH31)&amp;"",INDEX(nQ7_Mandatory_Text,$AH31)&amp;"",INDEX(nQ8_Mandatory_Text,$AH31)&amp;"",INDEX(nQ9_Mandatory_Text,$AH31)&amp;"",INDEX(nQ10_Mandatory_Text,$AH31)&amp;"",INDEX(nQ11_Mandatory_Text,$AH31)&amp;""))</f>
        <v/>
      </c>
      <c r="BL31" s="1" t="str">
        <f t="shared" si="33"/>
        <v/>
      </c>
      <c r="BM31" s="1" t="str">
        <f t="shared" si="34"/>
        <v/>
      </c>
    </row>
    <row r="32" spans="1:81" x14ac:dyDescent="0.2">
      <c r="A32" s="21" t="str">
        <f t="shared" si="0"/>
        <v/>
      </c>
      <c r="B32" s="21" t="str">
        <f t="shared" si="1"/>
        <v/>
      </c>
      <c r="C32" s="21" t="str">
        <f t="shared" si="2"/>
        <v/>
      </c>
      <c r="D32" s="21" t="str">
        <f t="shared" si="3"/>
        <v/>
      </c>
      <c r="E32" s="21" t="str">
        <f t="shared" si="4"/>
        <v/>
      </c>
      <c r="F32" s="21" t="str">
        <f t="shared" si="5"/>
        <v/>
      </c>
      <c r="G32" s="21" t="str">
        <f t="shared" si="6"/>
        <v/>
      </c>
      <c r="H32" s="21" t="str">
        <f t="shared" si="7"/>
        <v/>
      </c>
      <c r="I32" s="21" t="str">
        <f t="shared" si="8"/>
        <v/>
      </c>
      <c r="J32" s="21" t="str">
        <f t="shared" si="9"/>
        <v/>
      </c>
      <c r="K32" s="21" t="str">
        <f t="shared" si="10"/>
        <v/>
      </c>
      <c r="L32" s="21" t="str">
        <f t="shared" si="11"/>
        <v/>
      </c>
      <c r="M32" s="21" t="str">
        <f t="shared" si="12"/>
        <v/>
      </c>
      <c r="N32" s="21" t="str">
        <f t="shared" si="13"/>
        <v/>
      </c>
      <c r="O32" s="21" t="str">
        <f t="shared" si="14"/>
        <v/>
      </c>
      <c r="P32" s="21" t="str">
        <f t="shared" si="15"/>
        <v/>
      </c>
      <c r="Q32" s="21" t="str">
        <f t="shared" si="16"/>
        <v/>
      </c>
      <c r="R32" s="21" t="str">
        <f t="shared" si="17"/>
        <v/>
      </c>
      <c r="S32" s="21" t="str">
        <f t="shared" si="18"/>
        <v/>
      </c>
      <c r="T32" s="21" t="str">
        <f t="shared" si="19"/>
        <v/>
      </c>
      <c r="U32" s="21" t="str">
        <f t="shared" si="20"/>
        <v/>
      </c>
      <c r="V32" s="21" t="str">
        <f t="shared" si="21"/>
        <v/>
      </c>
      <c r="W32" s="21" t="str">
        <f t="shared" si="22"/>
        <v/>
      </c>
      <c r="X32" s="21" t="str">
        <f t="shared" si="23"/>
        <v/>
      </c>
      <c r="Y32" s="21" t="str">
        <f t="shared" si="24"/>
        <v/>
      </c>
      <c r="Z32" s="21" t="str">
        <f t="shared" si="25"/>
        <v/>
      </c>
      <c r="AA32" s="21" t="str">
        <f t="shared" si="26"/>
        <v/>
      </c>
      <c r="AB32" s="21" t="str">
        <f t="shared" si="27"/>
        <v/>
      </c>
      <c r="AC32" s="21" t="str">
        <f t="shared" si="28"/>
        <v/>
      </c>
      <c r="AD32" s="21" t="str">
        <f t="shared" si="29"/>
        <v/>
      </c>
      <c r="AE32" s="1">
        <f t="shared" si="30"/>
        <v>25</v>
      </c>
      <c r="AF32" s="1">
        <f t="shared" si="31"/>
        <v>0</v>
      </c>
      <c r="AG32" s="1">
        <f t="shared" si="32"/>
        <v>0</v>
      </c>
      <c r="AH32" s="1">
        <f>IF(AF32=0,0,CHOOSE(AF32,IFERROR(_xlfn.AGGREGATE(15,6,(ROW(nINT_CaseKey)-ROW(INDEX(nINT_CaseKey,1,1))+1)/((nINT_CaseKey=$H$4)*(nINT_RowEmpty=0)),AG32),0),IFERROR(_xlfn.AGGREGATE(15,6,(ROW(nQ1_CaseKey)-ROW(INDEX(nQ1_CaseKey,1,1))+1)/((nQ1_CaseKey=$H$4)),AG32),0),IFERROR(_xlfn.AGGREGATE(15,6,(ROW(nQ2_CaseKey)-ROW(INDEX(nQ2_CaseKey,1,1))+1)/((nQ2_CaseKey=$H$4)),AG32),0),IFERROR(_xlfn.AGGREGATE(15,6,(ROW(nQ3_CaseKey)-ROW(INDEX(nQ3_CaseKey,1,1))+1)/((nQ3_CaseKey=$H$4)),AG32),0),IFERROR(_xlfn.AGGREGATE(15,6,(ROW(nQ4_CaseKey)-ROW(INDEX(nQ4_CaseKey,1,1))+1)/((nQ4_CaseKey=$H$4)),AG32),0),IFERROR(_xlfn.AGGREGATE(15,6,(ROW(nQ5_CaseKey)-ROW(INDEX(nQ5_CaseKey,1,1))+1)/((nQ5_CaseKey=$H$4)),AG32),0),IFERROR(_xlfn.AGGREGATE(15,6,(ROW(nQ6_CaseKey)-ROW(INDEX(nQ6_CaseKey,1,1))+1)/((nQ6_CaseKey=$H$4)),AG32),0),IFERROR(_xlfn.AGGREGATE(15,6,(ROW(nQ7_CaseKey)-ROW(INDEX(nQ7_CaseKey,1,1))+1)/((nQ7_CaseKey=$H$4)),AG32),0),IFERROR(_xlfn.AGGREGATE(15,6,(ROW(nQ8_CaseKey)-ROW(INDEX(nQ8_CaseKey,1,1))+1)/((nQ8_CaseKey=$H$4)),AG32),0),IFERROR(_xlfn.AGGREGATE(15,6,(ROW(nQ9_CaseKey)-ROW(INDEX(nQ9_CaseKey,1,1))+1)/((nQ9_CaseKey=$H$4)),AG32),0),IFERROR(_xlfn.AGGREGATE(15,6,(ROW(nQ10_CaseKey)-ROW(INDEX(nQ10_CaseKey,1,1))+1)/((nQ10_CaseKey=$H$4)),AG32),0),IFERROR(_xlfn.AGGREGATE(15,6,(ROW(nQ11_CaseKey)-ROW(INDEX(nQ11_CaseKey,1,1))+1)/((nQ11_CaseKey=$H$4)),AG32),0)))</f>
        <v>0</v>
      </c>
      <c r="AJ32" s="1" t="str">
        <f>IF($AF32=0,"",CHOOSE($AF32,INDEX(nINT_Case_ID,$AH32)&amp;"",INDEX(nQ1_Case_ID,$AH32)&amp;"",INDEX(nQ2_Case_ID,$AH32)&amp;"",INDEX(nQ3_Case_ID,$AH32)&amp;"",INDEX(nQ4_Case_ID,$AH32)&amp;"",INDEX(nQ5_Case_ID,$AH32)&amp;"",INDEX(nQ6_Case_ID,$AH32)&amp;"",INDEX(nQ7_Case_ID,$AH32)&amp;"",INDEX(nQ8_Case_ID,$AH32)&amp;"",INDEX(nQ9_Case_ID,$AH32)&amp;"",INDEX(nQ10_Case_ID,$AH32)&amp;"",INDEX(nQ11_Case_ID,$AH32)&amp;""))</f>
        <v/>
      </c>
      <c r="AK32" s="1" t="str">
        <f>IF($AF32=0,"",CHOOSE($AF32,INDEX(nINT_Case_Version,$AH32),INDEX(nQ1_Case_Version,$AH32),INDEX(nQ2_Case_Version,$AH32),INDEX(nQ3_Case_Version,$AH32),INDEX(nQ4_Case_Version,$AH32),INDEX(nQ5_Case_Version,$AH32),INDEX(nQ6_Case_Version,$AH32),INDEX(nQ7_Case_Version,$AH32),INDEX(nQ8_Case_Version,$AH32),INDEX(nQ9_Case_Version,$AH32),INDEX(nQ10_Case_Version,$AH32),INDEX(nQ11_Case_Version,$AH32)))</f>
        <v/>
      </c>
      <c r="AL32" s="1" t="str">
        <f>IF($AF32=0,"",CHOOSE($AF32,INDEX(nINT_Interval_ID,$AH32)&amp;"",INDEX(nQ1_Calc_ID,$AH32)&amp;"",INDEX(nQ2_Calc_ID,$AH32)&amp;"",INDEX(nQ3_Calc_ID,$AH32)&amp;"",INDEX(nQ4_Calc_ID,$AH32)&amp;"",INDEX(nQ5_Calc_ID,$AH32)&amp;"",INDEX(nQ6_Calc_ID,$AH32)&amp;"",INDEX(nQ7_Calc_ID,$AH32)&amp;"",INDEX(nQ8_Calc_ID,$AH32)&amp;"",INDEX(nQ9_Calc_ID,$AH32)&amp;"",INDEX(nQ10_Calc_ID,$AH32)&amp;"",INDEX(nQ11_Calc_ID,$AH32)&amp;""))</f>
        <v/>
      </c>
      <c r="AM32" s="1" t="str">
        <f>IF($AF32=0,"",CHOOSE($AF32,INDEX(nINT_Label,$AH32)&amp;"",INDEX(nQ1_Label_Out,$AH32)&amp;"",INDEX(nQ2_Label_Out,$AH32)&amp;"",INDEX(nQ3_Label_Out,$AH32)&amp;"",INDEX(nQ4_Label_Out,$AH32)&amp;"",INDEX(nQ5_Label_Out,$AH32)&amp;"",INDEX(nQ6_Label_Out,$AH32)&amp;"",INDEX(nQ7_Label_Out,$AH32)&amp;"",INDEX(nQ8_Label_Out,$AH32)&amp;"",INDEX(nQ9_Label_Out,$AH32)&amp;"",INDEX(nQ10_Label_Out,$AH32)&amp;"",INDEX(nQ11_Label_Out,$AH32)&amp;""))</f>
        <v/>
      </c>
      <c r="AN32" s="1" t="str">
        <f>IF($AF32=0,"",CHOOSE($AF32,IF(INDEX(nINT_LinkRow,$AH32)=0,"",INDEX(nINT_Link_ID,$AH32)&amp;""),"","","","","","","","","","",""))</f>
        <v/>
      </c>
      <c r="AO32" s="1" t="str">
        <f>IF($AF32=0,"",CHOOSE($AF32,INDEX(nINT_Exposure_Episode_ID,$AH32)&amp;"","","","","","","","","","","",""))</f>
        <v/>
      </c>
      <c r="AP32" s="1" t="str">
        <f>IF($AF32=0,"",CHOOSE($AF32,INDEX(nINT_Event_Episode_ID,$AH32)&amp;"","","","","","","","","","","",""))</f>
        <v/>
      </c>
      <c r="AQ32" s="1" t="str">
        <f>IF($AF32=0,"",CHOOSE($AF32,INDEX(nINT_End_Record_ID_Used,$AH32)&amp;"","","","","","","","","","","",""))</f>
        <v/>
      </c>
      <c r="AR32" s="1" t="str">
        <f>IF($AF32=0,"",CHOOSE($AF32,INDEX(nINT_Interval_Value,$AH32),"","","","","","","","","","",""))</f>
        <v/>
      </c>
      <c r="AS32" s="1" t="str">
        <f>IF($AF32=0,"",CHOOSE($AF32,INDEX(nINT_Interval_Minimum,$AH32),"","","","","","","","","","",""))</f>
        <v/>
      </c>
      <c r="AT32" s="1" t="str">
        <f>IF($AF32=0,"",CHOOSE($AF32,INDEX(nINT_Interval_Maximum,$AH32),"","","","","","","","","","",""))</f>
        <v/>
      </c>
      <c r="AU32" s="1" t="str">
        <f>IF($AF32=0,"",CHOOSE($AF32,INDEX(nINT_Unit,$AH32)&amp;"",INDEX(nQ1_Unit_Out,$AH32)&amp;"",INDEX(nQ2_Unit_Out,$AH32)&amp;"",INDEX(nQ3_Unit_Out,$AH32)&amp;"",INDEX(nQ4_Unit_Out,$AH32)&amp;"",INDEX(nQ5_Unit_Out,$AH32)&amp;"",INDEX(nQ6_Unit_Out,$AH32)&amp;"",INDEX(nQ7_Unit_Out,$AH32)&amp;"",INDEX(nQ8_Unit_Out,$AH32)&amp;"",INDEX(nQ9_Unit_Out,$AH32)&amp;"",INDEX(nQ10_Unit_Out,$AH32)&amp;"",INDEX(nQ11_Unit_Out,$AH32)&amp;""))</f>
        <v/>
      </c>
      <c r="AV32" s="1" t="str">
        <f>IF($AF32=0,"",CHOOSE($AF32,INDEX(nINT_Displayed_Value,$AH32)&amp;"",INDEX(nQ1_Displayed_Value,$AH32)&amp;"",INDEX(nQ2_Displayed_Value,$AH32)&amp;"",INDEX(nQ3_Displayed_Value,$AH32)&amp;"",INDEX(nQ4_Displayed_Value,$AH32)&amp;"",INDEX(nQ5_Displayed_Value,$AH32)&amp;"",INDEX(nQ6_Displayed_Value,$AH32)&amp;"",INDEX(nQ7_Displayed_Value,$AH32)&amp;"",INDEX(nQ8_Displayed_Value,$AH32)&amp;"",INDEX(nQ9_Displayed_Value,$AH32)&amp;"",INDEX(nQ10_Displayed_Value,$AH32)&amp;"",INDEX(nQ11_Displayed_Value,$AH32)&amp;""))</f>
        <v/>
      </c>
      <c r="AW32" s="1" t="str">
        <f>IF($AF32=0,"",CHOOSE($AF32,INDEX(nINT_Calculation_Mode_Used,$AH32)&amp;"","Q1","Q2","Q3","Q4","Q5","Q6","Q7","Q8","Q9","Q10","Q11"))</f>
        <v/>
      </c>
      <c r="AX32" s="1" t="str">
        <f>IF($AF32=0,"",CHOOSE($AF32,INDEX(nINT_Anchor_Type,$AH32)&amp;"","","","","","","","","","","",""))</f>
        <v/>
      </c>
      <c r="AY32" s="1" t="str">
        <f>IF($AF32=0,"",CHOOSE($AF32,IF(INDEX(nINT_K_Ok,$AH32)=1,INDEX(nINT_Anchor_Record_ID_Used,$AH32)&amp;"",""),"","","","","","","","","","",""))</f>
        <v/>
      </c>
      <c r="AZ32" s="1" t="str">
        <f>IF($AF32=0,"",CHOOSE($AF32,INDEX(nINT_Anchor_Description,$AH32)&amp;"","","","","","","","","","","",""))</f>
        <v/>
      </c>
      <c r="BA32" s="1" t="str">
        <f>IF($AF32=0,"",CHOOSE($AF32,INDEX(nINT_Sequence_Status,$AH32)&amp;"","","","","","","","","","","",""))</f>
        <v/>
      </c>
      <c r="BB32" s="1" t="str">
        <f>IF($AF32=0,"",CHOOSE($AF32,INDEX(nINT_Treatment_Day,$AH32),"","","","","","","","","","",""))</f>
        <v/>
      </c>
      <c r="BC32" s="1" t="str">
        <f>IF($AF32=0,"",CHOOSE($AF32,INDEX(nINT_Reported_Timing_Result,$AH32)&amp;"","","","","","","","","","","",""))</f>
        <v/>
      </c>
      <c r="BD32" s="1" t="str">
        <f>IF($AF32=0,"",CHOOSE($AF32,IF(INDEX(nINT_K_HasC,$AH32)=1,INDEX(nINT_Constraint_Source,$AH32)&amp;"",""),"","","","","","","","","","",""))</f>
        <v/>
      </c>
      <c r="BE32" s="1" t="str">
        <f>IF($AF32=0,"",CHOOSE($AF32,"",INDEX(nQ1_Results_Text,$AH32)&amp;"",INDEX(nQ2_Results_Text,$AH32)&amp;"",INDEX(nQ3_Results_Text,$AH32)&amp;"",INDEX(nQ4_Results_Text,$AH32)&amp;"",INDEX(nQ5_Results_Text,$AH32)&amp;"",INDEX(nQ6_Results_Text,$AH32)&amp;"",INDEX(nQ7_Results_Text,$AH32)&amp;"",INDEX(nQ8_Results_Text,$AH32)&amp;"",INDEX(nQ9_Results_Text,$AH32)&amp;"",INDEX(nQ10_Results_Text,$AH32)&amp;"",INDEX(nQ11_Results_Text,$AH32)&amp;""))</f>
        <v/>
      </c>
      <c r="BF32" s="1" t="str">
        <f>IF($AF32=0,"",CHOOSE($AF32,INDEX(nINT_Parameter_Set,$AH32)&amp;"",INDEX(nQ1_Parameter_Set,$AH32)&amp;"",INDEX(nQ2_Parameter_Set,$AH32)&amp;"",INDEX(nQ3_Parameter_Set,$AH32)&amp;"",INDEX(nQ4_Parameter_Set,$AH32)&amp;"",INDEX(nQ5_Parameter_Set,$AH32)&amp;"",INDEX(nQ6_Parameter_Set,$AH32)&amp;"",INDEX(nQ7_Parameter_Set,$AH32)&amp;"",INDEX(nQ8_Parameter_Set,$AH32)&amp;"",INDEX(nQ9_Parameter_Set,$AH32)&amp;"",INDEX(nQ10_Parameter_Set,$AH32)&amp;"",INDEX(nQ11_Parameter_Set,$AH32)&amp;""))</f>
        <v/>
      </c>
      <c r="BG32" s="1" t="str">
        <f>IF($AF32=0,"",CHOOSE($AF32,INDEX(nINT_Assumptions,$AH32)&amp;"",INDEX(nQ1_Assumptions,$AH32)&amp;"",INDEX(nQ2_Assumptions,$AH32)&amp;"",INDEX(nQ3_Assumptions,$AH32)&amp;"",INDEX(nQ4_Assumptions,$AH32)&amp;"",INDEX(nQ5_Assumptions,$AH32)&amp;"",INDEX(nQ6_Assumptions,$AH32)&amp;"",INDEX(nQ7_Assumptions,$AH32)&amp;"",INDEX(nQ8_Assumptions,$AH32)&amp;"",INDEX(nQ9_Assumptions,$AH32)&amp;"",INDEX(nQ10_Assumptions,$AH32)&amp;"",INDEX(nQ11_Assumptions,$AH32)&amp;""))</f>
        <v/>
      </c>
      <c r="BH32" s="1" t="str">
        <f>IF($AF32=0,"",CHOOSE($AF32,INDEX(nINT_Calculation_Version,$AH32)&amp;"",INDEX(nQ1_Calculation_Version,$AH32)&amp;"",INDEX(nQ2_Calculation_Version,$AH32)&amp;"",INDEX(nQ3_Calculation_Version,$AH32)&amp;"",INDEX(nQ4_Calculation_Version,$AH32)&amp;"",INDEX(nQ5_Calculation_Version,$AH32)&amp;"",INDEX(nQ6_Calculation_Version,$AH32)&amp;"",INDEX(nQ7_Calculation_Version,$AH32)&amp;"",INDEX(nQ8_Calculation_Version,$AH32)&amp;"",INDEX(nQ9_Calculation_Version,$AH32)&amp;"",INDEX(nQ10_Calculation_Version,$AH32)&amp;"",INDEX(nQ11_Calculation_Version,$AH32)&amp;""))</f>
        <v/>
      </c>
      <c r="BI32" s="1" t="str">
        <f>IF($AF32=0,"",CHOOSE($AF32,INDEX(nINT_QC_Flags,$AH32)&amp;"",INDEX(nQ1_QC_Flags,$AH32)&amp;"",INDEX(nQ2_QC_Flags,$AH32)&amp;"",INDEX(nQ3_QC_Flags,$AH32)&amp;"",INDEX(nQ4_QC_Flags,$AH32)&amp;"",INDEX(nQ5_QC_Flags,$AH32)&amp;"",INDEX(nQ6_QC_Flags,$AH32)&amp;"",INDEX(nQ7_QC_Flags,$AH32)&amp;"",INDEX(nQ8_QC_Flags,$AH32)&amp;"",INDEX(nQ9_QC_Flags,$AH32)&amp;"",INDEX(nQ10_QC_Flags,$AH32)&amp;"",INDEX(nQ11_QC_Flags,$AH32)&amp;""))</f>
        <v/>
      </c>
      <c r="BJ32" s="1" t="str">
        <f>IF($AF32=0,"",CHOOSE($AF32,INDEX(nINT_Messages,$AH32)&amp;"",INDEX(nQ1_Messages,$AH32)&amp;"",INDEX(nQ2_Messages,$AH32)&amp;"",INDEX(nQ3_Messages,$AH32)&amp;"",INDEX(nQ4_Messages,$AH32)&amp;"",INDEX(nQ5_Messages,$AH32)&amp;"",INDEX(nQ6_Messages,$AH32)&amp;"",INDEX(nQ7_Messages,$AH32)&amp;"",INDEX(nQ8_Messages,$AH32)&amp;"",INDEX(nQ9_Messages,$AH32)&amp;"",INDEX(nQ10_Messages,$AH32)&amp;"",INDEX(nQ11_Messages,$AH32)&amp;""))</f>
        <v/>
      </c>
      <c r="BK32" s="1" t="str">
        <f>IF($AF32=0,"",CHOOSE($AF32,INDEX(nINT_Limitations,$AH32)&amp;"",INDEX(nQ1_Mandatory_Text,$AH32)&amp;"",INDEX(nQ2_Mandatory_Text,$AH32)&amp;"",INDEX(nQ3_Mandatory_Text,$AH32)&amp;"",INDEX(nQ4_Mandatory_Text,$AH32)&amp;"",INDEX(nQ5_Mandatory_Text,$AH32)&amp;"",INDEX(nQ6_Mandatory_Text,$AH32)&amp;"",INDEX(nQ7_Mandatory_Text,$AH32)&amp;"",INDEX(nQ8_Mandatory_Text,$AH32)&amp;"",INDEX(nQ9_Mandatory_Text,$AH32)&amp;"",INDEX(nQ10_Mandatory_Text,$AH32)&amp;"",INDEX(nQ11_Mandatory_Text,$AH32)&amp;""))</f>
        <v/>
      </c>
      <c r="BL32" s="1" t="str">
        <f t="shared" si="33"/>
        <v/>
      </c>
      <c r="BM32" s="1" t="str">
        <f t="shared" si="34"/>
        <v/>
      </c>
    </row>
    <row r="33" spans="1:65" x14ac:dyDescent="0.2">
      <c r="A33" s="21" t="str">
        <f t="shared" si="0"/>
        <v/>
      </c>
      <c r="B33" s="21" t="str">
        <f t="shared" si="1"/>
        <v/>
      </c>
      <c r="C33" s="21" t="str">
        <f t="shared" si="2"/>
        <v/>
      </c>
      <c r="D33" s="21" t="str">
        <f t="shared" si="3"/>
        <v/>
      </c>
      <c r="E33" s="21" t="str">
        <f t="shared" si="4"/>
        <v/>
      </c>
      <c r="F33" s="21" t="str">
        <f t="shared" si="5"/>
        <v/>
      </c>
      <c r="G33" s="21" t="str">
        <f t="shared" si="6"/>
        <v/>
      </c>
      <c r="H33" s="21" t="str">
        <f t="shared" si="7"/>
        <v/>
      </c>
      <c r="I33" s="21" t="str">
        <f t="shared" si="8"/>
        <v/>
      </c>
      <c r="J33" s="21" t="str">
        <f t="shared" si="9"/>
        <v/>
      </c>
      <c r="K33" s="21" t="str">
        <f t="shared" si="10"/>
        <v/>
      </c>
      <c r="L33" s="21" t="str">
        <f t="shared" si="11"/>
        <v/>
      </c>
      <c r="M33" s="21" t="str">
        <f t="shared" si="12"/>
        <v/>
      </c>
      <c r="N33" s="21" t="str">
        <f t="shared" si="13"/>
        <v/>
      </c>
      <c r="O33" s="21" t="str">
        <f t="shared" si="14"/>
        <v/>
      </c>
      <c r="P33" s="21" t="str">
        <f t="shared" si="15"/>
        <v/>
      </c>
      <c r="Q33" s="21" t="str">
        <f t="shared" si="16"/>
        <v/>
      </c>
      <c r="R33" s="21" t="str">
        <f t="shared" si="17"/>
        <v/>
      </c>
      <c r="S33" s="21" t="str">
        <f t="shared" si="18"/>
        <v/>
      </c>
      <c r="T33" s="21" t="str">
        <f t="shared" si="19"/>
        <v/>
      </c>
      <c r="U33" s="21" t="str">
        <f t="shared" si="20"/>
        <v/>
      </c>
      <c r="V33" s="21" t="str">
        <f t="shared" si="21"/>
        <v/>
      </c>
      <c r="W33" s="21" t="str">
        <f t="shared" si="22"/>
        <v/>
      </c>
      <c r="X33" s="21" t="str">
        <f t="shared" si="23"/>
        <v/>
      </c>
      <c r="Y33" s="21" t="str">
        <f t="shared" si="24"/>
        <v/>
      </c>
      <c r="Z33" s="21" t="str">
        <f t="shared" si="25"/>
        <v/>
      </c>
      <c r="AA33" s="21" t="str">
        <f t="shared" si="26"/>
        <v/>
      </c>
      <c r="AB33" s="21" t="str">
        <f t="shared" si="27"/>
        <v/>
      </c>
      <c r="AC33" s="21" t="str">
        <f t="shared" si="28"/>
        <v/>
      </c>
      <c r="AD33" s="21" t="str">
        <f t="shared" si="29"/>
        <v/>
      </c>
      <c r="AE33" s="1">
        <f t="shared" si="30"/>
        <v>26</v>
      </c>
      <c r="AF33" s="1">
        <f t="shared" si="31"/>
        <v>0</v>
      </c>
      <c r="AG33" s="1">
        <f t="shared" si="32"/>
        <v>0</v>
      </c>
      <c r="AH33" s="1">
        <f>IF(AF33=0,0,CHOOSE(AF33,IFERROR(_xlfn.AGGREGATE(15,6,(ROW(nINT_CaseKey)-ROW(INDEX(nINT_CaseKey,1,1))+1)/((nINT_CaseKey=$H$4)*(nINT_RowEmpty=0)),AG33),0),IFERROR(_xlfn.AGGREGATE(15,6,(ROW(nQ1_CaseKey)-ROW(INDEX(nQ1_CaseKey,1,1))+1)/((nQ1_CaseKey=$H$4)),AG33),0),IFERROR(_xlfn.AGGREGATE(15,6,(ROW(nQ2_CaseKey)-ROW(INDEX(nQ2_CaseKey,1,1))+1)/((nQ2_CaseKey=$H$4)),AG33),0),IFERROR(_xlfn.AGGREGATE(15,6,(ROW(nQ3_CaseKey)-ROW(INDEX(nQ3_CaseKey,1,1))+1)/((nQ3_CaseKey=$H$4)),AG33),0),IFERROR(_xlfn.AGGREGATE(15,6,(ROW(nQ4_CaseKey)-ROW(INDEX(nQ4_CaseKey,1,1))+1)/((nQ4_CaseKey=$H$4)),AG33),0),IFERROR(_xlfn.AGGREGATE(15,6,(ROW(nQ5_CaseKey)-ROW(INDEX(nQ5_CaseKey,1,1))+1)/((nQ5_CaseKey=$H$4)),AG33),0),IFERROR(_xlfn.AGGREGATE(15,6,(ROW(nQ6_CaseKey)-ROW(INDEX(nQ6_CaseKey,1,1))+1)/((nQ6_CaseKey=$H$4)),AG33),0),IFERROR(_xlfn.AGGREGATE(15,6,(ROW(nQ7_CaseKey)-ROW(INDEX(nQ7_CaseKey,1,1))+1)/((nQ7_CaseKey=$H$4)),AG33),0),IFERROR(_xlfn.AGGREGATE(15,6,(ROW(nQ8_CaseKey)-ROW(INDEX(nQ8_CaseKey,1,1))+1)/((nQ8_CaseKey=$H$4)),AG33),0),IFERROR(_xlfn.AGGREGATE(15,6,(ROW(nQ9_CaseKey)-ROW(INDEX(nQ9_CaseKey,1,1))+1)/((nQ9_CaseKey=$H$4)),AG33),0),IFERROR(_xlfn.AGGREGATE(15,6,(ROW(nQ10_CaseKey)-ROW(INDEX(nQ10_CaseKey,1,1))+1)/((nQ10_CaseKey=$H$4)),AG33),0),IFERROR(_xlfn.AGGREGATE(15,6,(ROW(nQ11_CaseKey)-ROW(INDEX(nQ11_CaseKey,1,1))+1)/((nQ11_CaseKey=$H$4)),AG33),0)))</f>
        <v>0</v>
      </c>
      <c r="AJ33" s="1" t="str">
        <f>IF($AF33=0,"",CHOOSE($AF33,INDEX(nINT_Case_ID,$AH33)&amp;"",INDEX(nQ1_Case_ID,$AH33)&amp;"",INDEX(nQ2_Case_ID,$AH33)&amp;"",INDEX(nQ3_Case_ID,$AH33)&amp;"",INDEX(nQ4_Case_ID,$AH33)&amp;"",INDEX(nQ5_Case_ID,$AH33)&amp;"",INDEX(nQ6_Case_ID,$AH33)&amp;"",INDEX(nQ7_Case_ID,$AH33)&amp;"",INDEX(nQ8_Case_ID,$AH33)&amp;"",INDEX(nQ9_Case_ID,$AH33)&amp;"",INDEX(nQ10_Case_ID,$AH33)&amp;"",INDEX(nQ11_Case_ID,$AH33)&amp;""))</f>
        <v/>
      </c>
      <c r="AK33" s="1" t="str">
        <f>IF($AF33=0,"",CHOOSE($AF33,INDEX(nINT_Case_Version,$AH33),INDEX(nQ1_Case_Version,$AH33),INDEX(nQ2_Case_Version,$AH33),INDEX(nQ3_Case_Version,$AH33),INDEX(nQ4_Case_Version,$AH33),INDEX(nQ5_Case_Version,$AH33),INDEX(nQ6_Case_Version,$AH33),INDEX(nQ7_Case_Version,$AH33),INDEX(nQ8_Case_Version,$AH33),INDEX(nQ9_Case_Version,$AH33),INDEX(nQ10_Case_Version,$AH33),INDEX(nQ11_Case_Version,$AH33)))</f>
        <v/>
      </c>
      <c r="AL33" s="1" t="str">
        <f>IF($AF33=0,"",CHOOSE($AF33,INDEX(nINT_Interval_ID,$AH33)&amp;"",INDEX(nQ1_Calc_ID,$AH33)&amp;"",INDEX(nQ2_Calc_ID,$AH33)&amp;"",INDEX(nQ3_Calc_ID,$AH33)&amp;"",INDEX(nQ4_Calc_ID,$AH33)&amp;"",INDEX(nQ5_Calc_ID,$AH33)&amp;"",INDEX(nQ6_Calc_ID,$AH33)&amp;"",INDEX(nQ7_Calc_ID,$AH33)&amp;"",INDEX(nQ8_Calc_ID,$AH33)&amp;"",INDEX(nQ9_Calc_ID,$AH33)&amp;"",INDEX(nQ10_Calc_ID,$AH33)&amp;"",INDEX(nQ11_Calc_ID,$AH33)&amp;""))</f>
        <v/>
      </c>
      <c r="AM33" s="1" t="str">
        <f>IF($AF33=0,"",CHOOSE($AF33,INDEX(nINT_Label,$AH33)&amp;"",INDEX(nQ1_Label_Out,$AH33)&amp;"",INDEX(nQ2_Label_Out,$AH33)&amp;"",INDEX(nQ3_Label_Out,$AH33)&amp;"",INDEX(nQ4_Label_Out,$AH33)&amp;"",INDEX(nQ5_Label_Out,$AH33)&amp;"",INDEX(nQ6_Label_Out,$AH33)&amp;"",INDEX(nQ7_Label_Out,$AH33)&amp;"",INDEX(nQ8_Label_Out,$AH33)&amp;"",INDEX(nQ9_Label_Out,$AH33)&amp;"",INDEX(nQ10_Label_Out,$AH33)&amp;"",INDEX(nQ11_Label_Out,$AH33)&amp;""))</f>
        <v/>
      </c>
      <c r="AN33" s="1" t="str">
        <f>IF($AF33=0,"",CHOOSE($AF33,IF(INDEX(nINT_LinkRow,$AH33)=0,"",INDEX(nINT_Link_ID,$AH33)&amp;""),"","","","","","","","","","",""))</f>
        <v/>
      </c>
      <c r="AO33" s="1" t="str">
        <f>IF($AF33=0,"",CHOOSE($AF33,INDEX(nINT_Exposure_Episode_ID,$AH33)&amp;"","","","","","","","","","","",""))</f>
        <v/>
      </c>
      <c r="AP33" s="1" t="str">
        <f>IF($AF33=0,"",CHOOSE($AF33,INDEX(nINT_Event_Episode_ID,$AH33)&amp;"","","","","","","","","","","",""))</f>
        <v/>
      </c>
      <c r="AQ33" s="1" t="str">
        <f>IF($AF33=0,"",CHOOSE($AF33,INDEX(nINT_End_Record_ID_Used,$AH33)&amp;"","","","","","","","","","","",""))</f>
        <v/>
      </c>
      <c r="AR33" s="1" t="str">
        <f>IF($AF33=0,"",CHOOSE($AF33,INDEX(nINT_Interval_Value,$AH33),"","","","","","","","","","",""))</f>
        <v/>
      </c>
      <c r="AS33" s="1" t="str">
        <f>IF($AF33=0,"",CHOOSE($AF33,INDEX(nINT_Interval_Minimum,$AH33),"","","","","","","","","","",""))</f>
        <v/>
      </c>
      <c r="AT33" s="1" t="str">
        <f>IF($AF33=0,"",CHOOSE($AF33,INDEX(nINT_Interval_Maximum,$AH33),"","","","","","","","","","",""))</f>
        <v/>
      </c>
      <c r="AU33" s="1" t="str">
        <f>IF($AF33=0,"",CHOOSE($AF33,INDEX(nINT_Unit,$AH33)&amp;"",INDEX(nQ1_Unit_Out,$AH33)&amp;"",INDEX(nQ2_Unit_Out,$AH33)&amp;"",INDEX(nQ3_Unit_Out,$AH33)&amp;"",INDEX(nQ4_Unit_Out,$AH33)&amp;"",INDEX(nQ5_Unit_Out,$AH33)&amp;"",INDEX(nQ6_Unit_Out,$AH33)&amp;"",INDEX(nQ7_Unit_Out,$AH33)&amp;"",INDEX(nQ8_Unit_Out,$AH33)&amp;"",INDEX(nQ9_Unit_Out,$AH33)&amp;"",INDEX(nQ10_Unit_Out,$AH33)&amp;"",INDEX(nQ11_Unit_Out,$AH33)&amp;""))</f>
        <v/>
      </c>
      <c r="AV33" s="1" t="str">
        <f>IF($AF33=0,"",CHOOSE($AF33,INDEX(nINT_Displayed_Value,$AH33)&amp;"",INDEX(nQ1_Displayed_Value,$AH33)&amp;"",INDEX(nQ2_Displayed_Value,$AH33)&amp;"",INDEX(nQ3_Displayed_Value,$AH33)&amp;"",INDEX(nQ4_Displayed_Value,$AH33)&amp;"",INDEX(nQ5_Displayed_Value,$AH33)&amp;"",INDEX(nQ6_Displayed_Value,$AH33)&amp;"",INDEX(nQ7_Displayed_Value,$AH33)&amp;"",INDEX(nQ8_Displayed_Value,$AH33)&amp;"",INDEX(nQ9_Displayed_Value,$AH33)&amp;"",INDEX(nQ10_Displayed_Value,$AH33)&amp;"",INDEX(nQ11_Displayed_Value,$AH33)&amp;""))</f>
        <v/>
      </c>
      <c r="AW33" s="1" t="str">
        <f>IF($AF33=0,"",CHOOSE($AF33,INDEX(nINT_Calculation_Mode_Used,$AH33)&amp;"","Q1","Q2","Q3","Q4","Q5","Q6","Q7","Q8","Q9","Q10","Q11"))</f>
        <v/>
      </c>
      <c r="AX33" s="1" t="str">
        <f>IF($AF33=0,"",CHOOSE($AF33,INDEX(nINT_Anchor_Type,$AH33)&amp;"","","","","","","","","","","",""))</f>
        <v/>
      </c>
      <c r="AY33" s="1" t="str">
        <f>IF($AF33=0,"",CHOOSE($AF33,IF(INDEX(nINT_K_Ok,$AH33)=1,INDEX(nINT_Anchor_Record_ID_Used,$AH33)&amp;"",""),"","","","","","","","","","",""))</f>
        <v/>
      </c>
      <c r="AZ33" s="1" t="str">
        <f>IF($AF33=0,"",CHOOSE($AF33,INDEX(nINT_Anchor_Description,$AH33)&amp;"","","","","","","","","","","",""))</f>
        <v/>
      </c>
      <c r="BA33" s="1" t="str">
        <f>IF($AF33=0,"",CHOOSE($AF33,INDEX(nINT_Sequence_Status,$AH33)&amp;"","","","","","","","","","","",""))</f>
        <v/>
      </c>
      <c r="BB33" s="1" t="str">
        <f>IF($AF33=0,"",CHOOSE($AF33,INDEX(nINT_Treatment_Day,$AH33),"","","","","","","","","","",""))</f>
        <v/>
      </c>
      <c r="BC33" s="1" t="str">
        <f>IF($AF33=0,"",CHOOSE($AF33,INDEX(nINT_Reported_Timing_Result,$AH33)&amp;"","","","","","","","","","","",""))</f>
        <v/>
      </c>
      <c r="BD33" s="1" t="str">
        <f>IF($AF33=0,"",CHOOSE($AF33,IF(INDEX(nINT_K_HasC,$AH33)=1,INDEX(nINT_Constraint_Source,$AH33)&amp;"",""),"","","","","","","","","","",""))</f>
        <v/>
      </c>
      <c r="BE33" s="1" t="str">
        <f>IF($AF33=0,"",CHOOSE($AF33,"",INDEX(nQ1_Results_Text,$AH33)&amp;"",INDEX(nQ2_Results_Text,$AH33)&amp;"",INDEX(nQ3_Results_Text,$AH33)&amp;"",INDEX(nQ4_Results_Text,$AH33)&amp;"",INDEX(nQ5_Results_Text,$AH33)&amp;"",INDEX(nQ6_Results_Text,$AH33)&amp;"",INDEX(nQ7_Results_Text,$AH33)&amp;"",INDEX(nQ8_Results_Text,$AH33)&amp;"",INDEX(nQ9_Results_Text,$AH33)&amp;"",INDEX(nQ10_Results_Text,$AH33)&amp;"",INDEX(nQ11_Results_Text,$AH33)&amp;""))</f>
        <v/>
      </c>
      <c r="BF33" s="1" t="str">
        <f>IF($AF33=0,"",CHOOSE($AF33,INDEX(nINT_Parameter_Set,$AH33)&amp;"",INDEX(nQ1_Parameter_Set,$AH33)&amp;"",INDEX(nQ2_Parameter_Set,$AH33)&amp;"",INDEX(nQ3_Parameter_Set,$AH33)&amp;"",INDEX(nQ4_Parameter_Set,$AH33)&amp;"",INDEX(nQ5_Parameter_Set,$AH33)&amp;"",INDEX(nQ6_Parameter_Set,$AH33)&amp;"",INDEX(nQ7_Parameter_Set,$AH33)&amp;"",INDEX(nQ8_Parameter_Set,$AH33)&amp;"",INDEX(nQ9_Parameter_Set,$AH33)&amp;"",INDEX(nQ10_Parameter_Set,$AH33)&amp;"",INDEX(nQ11_Parameter_Set,$AH33)&amp;""))</f>
        <v/>
      </c>
      <c r="BG33" s="1" t="str">
        <f>IF($AF33=0,"",CHOOSE($AF33,INDEX(nINT_Assumptions,$AH33)&amp;"",INDEX(nQ1_Assumptions,$AH33)&amp;"",INDEX(nQ2_Assumptions,$AH33)&amp;"",INDEX(nQ3_Assumptions,$AH33)&amp;"",INDEX(nQ4_Assumptions,$AH33)&amp;"",INDEX(nQ5_Assumptions,$AH33)&amp;"",INDEX(nQ6_Assumptions,$AH33)&amp;"",INDEX(nQ7_Assumptions,$AH33)&amp;"",INDEX(nQ8_Assumptions,$AH33)&amp;"",INDEX(nQ9_Assumptions,$AH33)&amp;"",INDEX(nQ10_Assumptions,$AH33)&amp;"",INDEX(nQ11_Assumptions,$AH33)&amp;""))</f>
        <v/>
      </c>
      <c r="BH33" s="1" t="str">
        <f>IF($AF33=0,"",CHOOSE($AF33,INDEX(nINT_Calculation_Version,$AH33)&amp;"",INDEX(nQ1_Calculation_Version,$AH33)&amp;"",INDEX(nQ2_Calculation_Version,$AH33)&amp;"",INDEX(nQ3_Calculation_Version,$AH33)&amp;"",INDEX(nQ4_Calculation_Version,$AH33)&amp;"",INDEX(nQ5_Calculation_Version,$AH33)&amp;"",INDEX(nQ6_Calculation_Version,$AH33)&amp;"",INDEX(nQ7_Calculation_Version,$AH33)&amp;"",INDEX(nQ8_Calculation_Version,$AH33)&amp;"",INDEX(nQ9_Calculation_Version,$AH33)&amp;"",INDEX(nQ10_Calculation_Version,$AH33)&amp;"",INDEX(nQ11_Calculation_Version,$AH33)&amp;""))</f>
        <v/>
      </c>
      <c r="BI33" s="1" t="str">
        <f>IF($AF33=0,"",CHOOSE($AF33,INDEX(nINT_QC_Flags,$AH33)&amp;"",INDEX(nQ1_QC_Flags,$AH33)&amp;"",INDEX(nQ2_QC_Flags,$AH33)&amp;"",INDEX(nQ3_QC_Flags,$AH33)&amp;"",INDEX(nQ4_QC_Flags,$AH33)&amp;"",INDEX(nQ5_QC_Flags,$AH33)&amp;"",INDEX(nQ6_QC_Flags,$AH33)&amp;"",INDEX(nQ7_QC_Flags,$AH33)&amp;"",INDEX(nQ8_QC_Flags,$AH33)&amp;"",INDEX(nQ9_QC_Flags,$AH33)&amp;"",INDEX(nQ10_QC_Flags,$AH33)&amp;"",INDEX(nQ11_QC_Flags,$AH33)&amp;""))</f>
        <v/>
      </c>
      <c r="BJ33" s="1" t="str">
        <f>IF($AF33=0,"",CHOOSE($AF33,INDEX(nINT_Messages,$AH33)&amp;"",INDEX(nQ1_Messages,$AH33)&amp;"",INDEX(nQ2_Messages,$AH33)&amp;"",INDEX(nQ3_Messages,$AH33)&amp;"",INDEX(nQ4_Messages,$AH33)&amp;"",INDEX(nQ5_Messages,$AH33)&amp;"",INDEX(nQ6_Messages,$AH33)&amp;"",INDEX(nQ7_Messages,$AH33)&amp;"",INDEX(nQ8_Messages,$AH33)&amp;"",INDEX(nQ9_Messages,$AH33)&amp;"",INDEX(nQ10_Messages,$AH33)&amp;"",INDEX(nQ11_Messages,$AH33)&amp;""))</f>
        <v/>
      </c>
      <c r="BK33" s="1" t="str">
        <f>IF($AF33=0,"",CHOOSE($AF33,INDEX(nINT_Limitations,$AH33)&amp;"",INDEX(nQ1_Mandatory_Text,$AH33)&amp;"",INDEX(nQ2_Mandatory_Text,$AH33)&amp;"",INDEX(nQ3_Mandatory_Text,$AH33)&amp;"",INDEX(nQ4_Mandatory_Text,$AH33)&amp;"",INDEX(nQ5_Mandatory_Text,$AH33)&amp;"",INDEX(nQ6_Mandatory_Text,$AH33)&amp;"",INDEX(nQ7_Mandatory_Text,$AH33)&amp;"",INDEX(nQ8_Mandatory_Text,$AH33)&amp;"",INDEX(nQ9_Mandatory_Text,$AH33)&amp;"",INDEX(nQ10_Mandatory_Text,$AH33)&amp;"",INDEX(nQ11_Mandatory_Text,$AH33)&amp;""))</f>
        <v/>
      </c>
      <c r="BL33" s="1" t="str">
        <f t="shared" si="33"/>
        <v/>
      </c>
      <c r="BM33" s="1" t="str">
        <f t="shared" si="34"/>
        <v/>
      </c>
    </row>
    <row r="34" spans="1:65" x14ac:dyDescent="0.2">
      <c r="A34" s="21" t="str">
        <f t="shared" si="0"/>
        <v/>
      </c>
      <c r="B34" s="21" t="str">
        <f t="shared" si="1"/>
        <v/>
      </c>
      <c r="C34" s="21" t="str">
        <f t="shared" si="2"/>
        <v/>
      </c>
      <c r="D34" s="21" t="str">
        <f t="shared" si="3"/>
        <v/>
      </c>
      <c r="E34" s="21" t="str">
        <f t="shared" si="4"/>
        <v/>
      </c>
      <c r="F34" s="21" t="str">
        <f t="shared" si="5"/>
        <v/>
      </c>
      <c r="G34" s="21" t="str">
        <f t="shared" si="6"/>
        <v/>
      </c>
      <c r="H34" s="21" t="str">
        <f t="shared" si="7"/>
        <v/>
      </c>
      <c r="I34" s="21" t="str">
        <f t="shared" si="8"/>
        <v/>
      </c>
      <c r="J34" s="21" t="str">
        <f t="shared" si="9"/>
        <v/>
      </c>
      <c r="K34" s="21" t="str">
        <f t="shared" si="10"/>
        <v/>
      </c>
      <c r="L34" s="21" t="str">
        <f t="shared" si="11"/>
        <v/>
      </c>
      <c r="M34" s="21" t="str">
        <f t="shared" si="12"/>
        <v/>
      </c>
      <c r="N34" s="21" t="str">
        <f t="shared" si="13"/>
        <v/>
      </c>
      <c r="O34" s="21" t="str">
        <f t="shared" si="14"/>
        <v/>
      </c>
      <c r="P34" s="21" t="str">
        <f t="shared" si="15"/>
        <v/>
      </c>
      <c r="Q34" s="21" t="str">
        <f t="shared" si="16"/>
        <v/>
      </c>
      <c r="R34" s="21" t="str">
        <f t="shared" si="17"/>
        <v/>
      </c>
      <c r="S34" s="21" t="str">
        <f t="shared" si="18"/>
        <v/>
      </c>
      <c r="T34" s="21" t="str">
        <f t="shared" si="19"/>
        <v/>
      </c>
      <c r="U34" s="21" t="str">
        <f t="shared" si="20"/>
        <v/>
      </c>
      <c r="V34" s="21" t="str">
        <f t="shared" si="21"/>
        <v/>
      </c>
      <c r="W34" s="21" t="str">
        <f t="shared" si="22"/>
        <v/>
      </c>
      <c r="X34" s="21" t="str">
        <f t="shared" si="23"/>
        <v/>
      </c>
      <c r="Y34" s="21" t="str">
        <f t="shared" si="24"/>
        <v/>
      </c>
      <c r="Z34" s="21" t="str">
        <f t="shared" si="25"/>
        <v/>
      </c>
      <c r="AA34" s="21" t="str">
        <f t="shared" si="26"/>
        <v/>
      </c>
      <c r="AB34" s="21" t="str">
        <f t="shared" si="27"/>
        <v/>
      </c>
      <c r="AC34" s="21" t="str">
        <f t="shared" si="28"/>
        <v/>
      </c>
      <c r="AD34" s="21" t="str">
        <f t="shared" si="29"/>
        <v/>
      </c>
      <c r="AE34" s="1">
        <f t="shared" si="30"/>
        <v>27</v>
      </c>
      <c r="AF34" s="1">
        <f t="shared" si="31"/>
        <v>0</v>
      </c>
      <c r="AG34" s="1">
        <f t="shared" si="32"/>
        <v>0</v>
      </c>
      <c r="AH34" s="1">
        <f>IF(AF34=0,0,CHOOSE(AF34,IFERROR(_xlfn.AGGREGATE(15,6,(ROW(nINT_CaseKey)-ROW(INDEX(nINT_CaseKey,1,1))+1)/((nINT_CaseKey=$H$4)*(nINT_RowEmpty=0)),AG34),0),IFERROR(_xlfn.AGGREGATE(15,6,(ROW(nQ1_CaseKey)-ROW(INDEX(nQ1_CaseKey,1,1))+1)/((nQ1_CaseKey=$H$4)),AG34),0),IFERROR(_xlfn.AGGREGATE(15,6,(ROW(nQ2_CaseKey)-ROW(INDEX(nQ2_CaseKey,1,1))+1)/((nQ2_CaseKey=$H$4)),AG34),0),IFERROR(_xlfn.AGGREGATE(15,6,(ROW(nQ3_CaseKey)-ROW(INDEX(nQ3_CaseKey,1,1))+1)/((nQ3_CaseKey=$H$4)),AG34),0),IFERROR(_xlfn.AGGREGATE(15,6,(ROW(nQ4_CaseKey)-ROW(INDEX(nQ4_CaseKey,1,1))+1)/((nQ4_CaseKey=$H$4)),AG34),0),IFERROR(_xlfn.AGGREGATE(15,6,(ROW(nQ5_CaseKey)-ROW(INDEX(nQ5_CaseKey,1,1))+1)/((nQ5_CaseKey=$H$4)),AG34),0),IFERROR(_xlfn.AGGREGATE(15,6,(ROW(nQ6_CaseKey)-ROW(INDEX(nQ6_CaseKey,1,1))+1)/((nQ6_CaseKey=$H$4)),AG34),0),IFERROR(_xlfn.AGGREGATE(15,6,(ROW(nQ7_CaseKey)-ROW(INDEX(nQ7_CaseKey,1,1))+1)/((nQ7_CaseKey=$H$4)),AG34),0),IFERROR(_xlfn.AGGREGATE(15,6,(ROW(nQ8_CaseKey)-ROW(INDEX(nQ8_CaseKey,1,1))+1)/((nQ8_CaseKey=$H$4)),AG34),0),IFERROR(_xlfn.AGGREGATE(15,6,(ROW(nQ9_CaseKey)-ROW(INDEX(nQ9_CaseKey,1,1))+1)/((nQ9_CaseKey=$H$4)),AG34),0),IFERROR(_xlfn.AGGREGATE(15,6,(ROW(nQ10_CaseKey)-ROW(INDEX(nQ10_CaseKey,1,1))+1)/((nQ10_CaseKey=$H$4)),AG34),0),IFERROR(_xlfn.AGGREGATE(15,6,(ROW(nQ11_CaseKey)-ROW(INDEX(nQ11_CaseKey,1,1))+1)/((nQ11_CaseKey=$H$4)),AG34),0)))</f>
        <v>0</v>
      </c>
      <c r="AJ34" s="1" t="str">
        <f>IF($AF34=0,"",CHOOSE($AF34,INDEX(nINT_Case_ID,$AH34)&amp;"",INDEX(nQ1_Case_ID,$AH34)&amp;"",INDEX(nQ2_Case_ID,$AH34)&amp;"",INDEX(nQ3_Case_ID,$AH34)&amp;"",INDEX(nQ4_Case_ID,$AH34)&amp;"",INDEX(nQ5_Case_ID,$AH34)&amp;"",INDEX(nQ6_Case_ID,$AH34)&amp;"",INDEX(nQ7_Case_ID,$AH34)&amp;"",INDEX(nQ8_Case_ID,$AH34)&amp;"",INDEX(nQ9_Case_ID,$AH34)&amp;"",INDEX(nQ10_Case_ID,$AH34)&amp;"",INDEX(nQ11_Case_ID,$AH34)&amp;""))</f>
        <v/>
      </c>
      <c r="AK34" s="1" t="str">
        <f>IF($AF34=0,"",CHOOSE($AF34,INDEX(nINT_Case_Version,$AH34),INDEX(nQ1_Case_Version,$AH34),INDEX(nQ2_Case_Version,$AH34),INDEX(nQ3_Case_Version,$AH34),INDEX(nQ4_Case_Version,$AH34),INDEX(nQ5_Case_Version,$AH34),INDEX(nQ6_Case_Version,$AH34),INDEX(nQ7_Case_Version,$AH34),INDEX(nQ8_Case_Version,$AH34),INDEX(nQ9_Case_Version,$AH34),INDEX(nQ10_Case_Version,$AH34),INDEX(nQ11_Case_Version,$AH34)))</f>
        <v/>
      </c>
      <c r="AL34" s="1" t="str">
        <f>IF($AF34=0,"",CHOOSE($AF34,INDEX(nINT_Interval_ID,$AH34)&amp;"",INDEX(nQ1_Calc_ID,$AH34)&amp;"",INDEX(nQ2_Calc_ID,$AH34)&amp;"",INDEX(nQ3_Calc_ID,$AH34)&amp;"",INDEX(nQ4_Calc_ID,$AH34)&amp;"",INDEX(nQ5_Calc_ID,$AH34)&amp;"",INDEX(nQ6_Calc_ID,$AH34)&amp;"",INDEX(nQ7_Calc_ID,$AH34)&amp;"",INDEX(nQ8_Calc_ID,$AH34)&amp;"",INDEX(nQ9_Calc_ID,$AH34)&amp;"",INDEX(nQ10_Calc_ID,$AH34)&amp;"",INDEX(nQ11_Calc_ID,$AH34)&amp;""))</f>
        <v/>
      </c>
      <c r="AM34" s="1" t="str">
        <f>IF($AF34=0,"",CHOOSE($AF34,INDEX(nINT_Label,$AH34)&amp;"",INDEX(nQ1_Label_Out,$AH34)&amp;"",INDEX(nQ2_Label_Out,$AH34)&amp;"",INDEX(nQ3_Label_Out,$AH34)&amp;"",INDEX(nQ4_Label_Out,$AH34)&amp;"",INDEX(nQ5_Label_Out,$AH34)&amp;"",INDEX(nQ6_Label_Out,$AH34)&amp;"",INDEX(nQ7_Label_Out,$AH34)&amp;"",INDEX(nQ8_Label_Out,$AH34)&amp;"",INDEX(nQ9_Label_Out,$AH34)&amp;"",INDEX(nQ10_Label_Out,$AH34)&amp;"",INDEX(nQ11_Label_Out,$AH34)&amp;""))</f>
        <v/>
      </c>
      <c r="AN34" s="1" t="str">
        <f>IF($AF34=0,"",CHOOSE($AF34,IF(INDEX(nINT_LinkRow,$AH34)=0,"",INDEX(nINT_Link_ID,$AH34)&amp;""),"","","","","","","","","","",""))</f>
        <v/>
      </c>
      <c r="AO34" s="1" t="str">
        <f>IF($AF34=0,"",CHOOSE($AF34,INDEX(nINT_Exposure_Episode_ID,$AH34)&amp;"","","","","","","","","","","",""))</f>
        <v/>
      </c>
      <c r="AP34" s="1" t="str">
        <f>IF($AF34=0,"",CHOOSE($AF34,INDEX(nINT_Event_Episode_ID,$AH34)&amp;"","","","","","","","","","","",""))</f>
        <v/>
      </c>
      <c r="AQ34" s="1" t="str">
        <f>IF($AF34=0,"",CHOOSE($AF34,INDEX(nINT_End_Record_ID_Used,$AH34)&amp;"","","","","","","","","","","",""))</f>
        <v/>
      </c>
      <c r="AR34" s="1" t="str">
        <f>IF($AF34=0,"",CHOOSE($AF34,INDEX(nINT_Interval_Value,$AH34),"","","","","","","","","","",""))</f>
        <v/>
      </c>
      <c r="AS34" s="1" t="str">
        <f>IF($AF34=0,"",CHOOSE($AF34,INDEX(nINT_Interval_Minimum,$AH34),"","","","","","","","","","",""))</f>
        <v/>
      </c>
      <c r="AT34" s="1" t="str">
        <f>IF($AF34=0,"",CHOOSE($AF34,INDEX(nINT_Interval_Maximum,$AH34),"","","","","","","","","","",""))</f>
        <v/>
      </c>
      <c r="AU34" s="1" t="str">
        <f>IF($AF34=0,"",CHOOSE($AF34,INDEX(nINT_Unit,$AH34)&amp;"",INDEX(nQ1_Unit_Out,$AH34)&amp;"",INDEX(nQ2_Unit_Out,$AH34)&amp;"",INDEX(nQ3_Unit_Out,$AH34)&amp;"",INDEX(nQ4_Unit_Out,$AH34)&amp;"",INDEX(nQ5_Unit_Out,$AH34)&amp;"",INDEX(nQ6_Unit_Out,$AH34)&amp;"",INDEX(nQ7_Unit_Out,$AH34)&amp;"",INDEX(nQ8_Unit_Out,$AH34)&amp;"",INDEX(nQ9_Unit_Out,$AH34)&amp;"",INDEX(nQ10_Unit_Out,$AH34)&amp;"",INDEX(nQ11_Unit_Out,$AH34)&amp;""))</f>
        <v/>
      </c>
      <c r="AV34" s="1" t="str">
        <f>IF($AF34=0,"",CHOOSE($AF34,INDEX(nINT_Displayed_Value,$AH34)&amp;"",INDEX(nQ1_Displayed_Value,$AH34)&amp;"",INDEX(nQ2_Displayed_Value,$AH34)&amp;"",INDEX(nQ3_Displayed_Value,$AH34)&amp;"",INDEX(nQ4_Displayed_Value,$AH34)&amp;"",INDEX(nQ5_Displayed_Value,$AH34)&amp;"",INDEX(nQ6_Displayed_Value,$AH34)&amp;"",INDEX(nQ7_Displayed_Value,$AH34)&amp;"",INDEX(nQ8_Displayed_Value,$AH34)&amp;"",INDEX(nQ9_Displayed_Value,$AH34)&amp;"",INDEX(nQ10_Displayed_Value,$AH34)&amp;"",INDEX(nQ11_Displayed_Value,$AH34)&amp;""))</f>
        <v/>
      </c>
      <c r="AW34" s="1" t="str">
        <f>IF($AF34=0,"",CHOOSE($AF34,INDEX(nINT_Calculation_Mode_Used,$AH34)&amp;"","Q1","Q2","Q3","Q4","Q5","Q6","Q7","Q8","Q9","Q10","Q11"))</f>
        <v/>
      </c>
      <c r="AX34" s="1" t="str">
        <f>IF($AF34=0,"",CHOOSE($AF34,INDEX(nINT_Anchor_Type,$AH34)&amp;"","","","","","","","","","","",""))</f>
        <v/>
      </c>
      <c r="AY34" s="1" t="str">
        <f>IF($AF34=0,"",CHOOSE($AF34,IF(INDEX(nINT_K_Ok,$AH34)=1,INDEX(nINT_Anchor_Record_ID_Used,$AH34)&amp;"",""),"","","","","","","","","","",""))</f>
        <v/>
      </c>
      <c r="AZ34" s="1" t="str">
        <f>IF($AF34=0,"",CHOOSE($AF34,INDEX(nINT_Anchor_Description,$AH34)&amp;"","","","","","","","","","","",""))</f>
        <v/>
      </c>
      <c r="BA34" s="1" t="str">
        <f>IF($AF34=0,"",CHOOSE($AF34,INDEX(nINT_Sequence_Status,$AH34)&amp;"","","","","","","","","","","",""))</f>
        <v/>
      </c>
      <c r="BB34" s="1" t="str">
        <f>IF($AF34=0,"",CHOOSE($AF34,INDEX(nINT_Treatment_Day,$AH34),"","","","","","","","","","",""))</f>
        <v/>
      </c>
      <c r="BC34" s="1" t="str">
        <f>IF($AF34=0,"",CHOOSE($AF34,INDEX(nINT_Reported_Timing_Result,$AH34)&amp;"","","","","","","","","","","",""))</f>
        <v/>
      </c>
      <c r="BD34" s="1" t="str">
        <f>IF($AF34=0,"",CHOOSE($AF34,IF(INDEX(nINT_K_HasC,$AH34)=1,INDEX(nINT_Constraint_Source,$AH34)&amp;"",""),"","","","","","","","","","",""))</f>
        <v/>
      </c>
      <c r="BE34" s="1" t="str">
        <f>IF($AF34=0,"",CHOOSE($AF34,"",INDEX(nQ1_Results_Text,$AH34)&amp;"",INDEX(nQ2_Results_Text,$AH34)&amp;"",INDEX(nQ3_Results_Text,$AH34)&amp;"",INDEX(nQ4_Results_Text,$AH34)&amp;"",INDEX(nQ5_Results_Text,$AH34)&amp;"",INDEX(nQ6_Results_Text,$AH34)&amp;"",INDEX(nQ7_Results_Text,$AH34)&amp;"",INDEX(nQ8_Results_Text,$AH34)&amp;"",INDEX(nQ9_Results_Text,$AH34)&amp;"",INDEX(nQ10_Results_Text,$AH34)&amp;"",INDEX(nQ11_Results_Text,$AH34)&amp;""))</f>
        <v/>
      </c>
      <c r="BF34" s="1" t="str">
        <f>IF($AF34=0,"",CHOOSE($AF34,INDEX(nINT_Parameter_Set,$AH34)&amp;"",INDEX(nQ1_Parameter_Set,$AH34)&amp;"",INDEX(nQ2_Parameter_Set,$AH34)&amp;"",INDEX(nQ3_Parameter_Set,$AH34)&amp;"",INDEX(nQ4_Parameter_Set,$AH34)&amp;"",INDEX(nQ5_Parameter_Set,$AH34)&amp;"",INDEX(nQ6_Parameter_Set,$AH34)&amp;"",INDEX(nQ7_Parameter_Set,$AH34)&amp;"",INDEX(nQ8_Parameter_Set,$AH34)&amp;"",INDEX(nQ9_Parameter_Set,$AH34)&amp;"",INDEX(nQ10_Parameter_Set,$AH34)&amp;"",INDEX(nQ11_Parameter_Set,$AH34)&amp;""))</f>
        <v/>
      </c>
      <c r="BG34" s="1" t="str">
        <f>IF($AF34=0,"",CHOOSE($AF34,INDEX(nINT_Assumptions,$AH34)&amp;"",INDEX(nQ1_Assumptions,$AH34)&amp;"",INDEX(nQ2_Assumptions,$AH34)&amp;"",INDEX(nQ3_Assumptions,$AH34)&amp;"",INDEX(nQ4_Assumptions,$AH34)&amp;"",INDEX(nQ5_Assumptions,$AH34)&amp;"",INDEX(nQ6_Assumptions,$AH34)&amp;"",INDEX(nQ7_Assumptions,$AH34)&amp;"",INDEX(nQ8_Assumptions,$AH34)&amp;"",INDEX(nQ9_Assumptions,$AH34)&amp;"",INDEX(nQ10_Assumptions,$AH34)&amp;"",INDEX(nQ11_Assumptions,$AH34)&amp;""))</f>
        <v/>
      </c>
      <c r="BH34" s="1" t="str">
        <f>IF($AF34=0,"",CHOOSE($AF34,INDEX(nINT_Calculation_Version,$AH34)&amp;"",INDEX(nQ1_Calculation_Version,$AH34)&amp;"",INDEX(nQ2_Calculation_Version,$AH34)&amp;"",INDEX(nQ3_Calculation_Version,$AH34)&amp;"",INDEX(nQ4_Calculation_Version,$AH34)&amp;"",INDEX(nQ5_Calculation_Version,$AH34)&amp;"",INDEX(nQ6_Calculation_Version,$AH34)&amp;"",INDEX(nQ7_Calculation_Version,$AH34)&amp;"",INDEX(nQ8_Calculation_Version,$AH34)&amp;"",INDEX(nQ9_Calculation_Version,$AH34)&amp;"",INDEX(nQ10_Calculation_Version,$AH34)&amp;"",INDEX(nQ11_Calculation_Version,$AH34)&amp;""))</f>
        <v/>
      </c>
      <c r="BI34" s="1" t="str">
        <f>IF($AF34=0,"",CHOOSE($AF34,INDEX(nINT_QC_Flags,$AH34)&amp;"",INDEX(nQ1_QC_Flags,$AH34)&amp;"",INDEX(nQ2_QC_Flags,$AH34)&amp;"",INDEX(nQ3_QC_Flags,$AH34)&amp;"",INDEX(nQ4_QC_Flags,$AH34)&amp;"",INDEX(nQ5_QC_Flags,$AH34)&amp;"",INDEX(nQ6_QC_Flags,$AH34)&amp;"",INDEX(nQ7_QC_Flags,$AH34)&amp;"",INDEX(nQ8_QC_Flags,$AH34)&amp;"",INDEX(nQ9_QC_Flags,$AH34)&amp;"",INDEX(nQ10_QC_Flags,$AH34)&amp;"",INDEX(nQ11_QC_Flags,$AH34)&amp;""))</f>
        <v/>
      </c>
      <c r="BJ34" s="1" t="str">
        <f>IF($AF34=0,"",CHOOSE($AF34,INDEX(nINT_Messages,$AH34)&amp;"",INDEX(nQ1_Messages,$AH34)&amp;"",INDEX(nQ2_Messages,$AH34)&amp;"",INDEX(nQ3_Messages,$AH34)&amp;"",INDEX(nQ4_Messages,$AH34)&amp;"",INDEX(nQ5_Messages,$AH34)&amp;"",INDEX(nQ6_Messages,$AH34)&amp;"",INDEX(nQ7_Messages,$AH34)&amp;"",INDEX(nQ8_Messages,$AH34)&amp;"",INDEX(nQ9_Messages,$AH34)&amp;"",INDEX(nQ10_Messages,$AH34)&amp;"",INDEX(nQ11_Messages,$AH34)&amp;""))</f>
        <v/>
      </c>
      <c r="BK34" s="1" t="str">
        <f>IF($AF34=0,"",CHOOSE($AF34,INDEX(nINT_Limitations,$AH34)&amp;"",INDEX(nQ1_Mandatory_Text,$AH34)&amp;"",INDEX(nQ2_Mandatory_Text,$AH34)&amp;"",INDEX(nQ3_Mandatory_Text,$AH34)&amp;"",INDEX(nQ4_Mandatory_Text,$AH34)&amp;"",INDEX(nQ5_Mandatory_Text,$AH34)&amp;"",INDEX(nQ6_Mandatory_Text,$AH34)&amp;"",INDEX(nQ7_Mandatory_Text,$AH34)&amp;"",INDEX(nQ8_Mandatory_Text,$AH34)&amp;"",INDEX(nQ9_Mandatory_Text,$AH34)&amp;"",INDEX(nQ10_Mandatory_Text,$AH34)&amp;"",INDEX(nQ11_Mandatory_Text,$AH34)&amp;""))</f>
        <v/>
      </c>
      <c r="BL34" s="1" t="str">
        <f t="shared" si="33"/>
        <v/>
      </c>
      <c r="BM34" s="1" t="str">
        <f t="shared" si="34"/>
        <v/>
      </c>
    </row>
    <row r="35" spans="1:65" x14ac:dyDescent="0.2">
      <c r="A35" s="21" t="str">
        <f t="shared" si="0"/>
        <v/>
      </c>
      <c r="B35" s="21" t="str">
        <f t="shared" si="1"/>
        <v/>
      </c>
      <c r="C35" s="21" t="str">
        <f t="shared" si="2"/>
        <v/>
      </c>
      <c r="D35" s="21" t="str">
        <f t="shared" si="3"/>
        <v/>
      </c>
      <c r="E35" s="21" t="str">
        <f t="shared" si="4"/>
        <v/>
      </c>
      <c r="F35" s="21" t="str">
        <f t="shared" si="5"/>
        <v/>
      </c>
      <c r="G35" s="21" t="str">
        <f t="shared" si="6"/>
        <v/>
      </c>
      <c r="H35" s="21" t="str">
        <f t="shared" si="7"/>
        <v/>
      </c>
      <c r="I35" s="21" t="str">
        <f t="shared" si="8"/>
        <v/>
      </c>
      <c r="J35" s="21" t="str">
        <f t="shared" si="9"/>
        <v/>
      </c>
      <c r="K35" s="21" t="str">
        <f t="shared" si="10"/>
        <v/>
      </c>
      <c r="L35" s="21" t="str">
        <f t="shared" si="11"/>
        <v/>
      </c>
      <c r="M35" s="21" t="str">
        <f t="shared" si="12"/>
        <v/>
      </c>
      <c r="N35" s="21" t="str">
        <f t="shared" si="13"/>
        <v/>
      </c>
      <c r="O35" s="21" t="str">
        <f t="shared" si="14"/>
        <v/>
      </c>
      <c r="P35" s="21" t="str">
        <f t="shared" si="15"/>
        <v/>
      </c>
      <c r="Q35" s="21" t="str">
        <f t="shared" si="16"/>
        <v/>
      </c>
      <c r="R35" s="21" t="str">
        <f t="shared" si="17"/>
        <v/>
      </c>
      <c r="S35" s="21" t="str">
        <f t="shared" si="18"/>
        <v/>
      </c>
      <c r="T35" s="21" t="str">
        <f t="shared" si="19"/>
        <v/>
      </c>
      <c r="U35" s="21" t="str">
        <f t="shared" si="20"/>
        <v/>
      </c>
      <c r="V35" s="21" t="str">
        <f t="shared" si="21"/>
        <v/>
      </c>
      <c r="W35" s="21" t="str">
        <f t="shared" si="22"/>
        <v/>
      </c>
      <c r="X35" s="21" t="str">
        <f t="shared" si="23"/>
        <v/>
      </c>
      <c r="Y35" s="21" t="str">
        <f t="shared" si="24"/>
        <v/>
      </c>
      <c r="Z35" s="21" t="str">
        <f t="shared" si="25"/>
        <v/>
      </c>
      <c r="AA35" s="21" t="str">
        <f t="shared" si="26"/>
        <v/>
      </c>
      <c r="AB35" s="21" t="str">
        <f t="shared" si="27"/>
        <v/>
      </c>
      <c r="AC35" s="21" t="str">
        <f t="shared" si="28"/>
        <v/>
      </c>
      <c r="AD35" s="21" t="str">
        <f t="shared" si="29"/>
        <v/>
      </c>
      <c r="AE35" s="1">
        <f t="shared" si="30"/>
        <v>28</v>
      </c>
      <c r="AF35" s="1">
        <f t="shared" si="31"/>
        <v>0</v>
      </c>
      <c r="AG35" s="1">
        <f t="shared" si="32"/>
        <v>0</v>
      </c>
      <c r="AH35" s="1">
        <f>IF(AF35=0,0,CHOOSE(AF35,IFERROR(_xlfn.AGGREGATE(15,6,(ROW(nINT_CaseKey)-ROW(INDEX(nINT_CaseKey,1,1))+1)/((nINT_CaseKey=$H$4)*(nINT_RowEmpty=0)),AG35),0),IFERROR(_xlfn.AGGREGATE(15,6,(ROW(nQ1_CaseKey)-ROW(INDEX(nQ1_CaseKey,1,1))+1)/((nQ1_CaseKey=$H$4)),AG35),0),IFERROR(_xlfn.AGGREGATE(15,6,(ROW(nQ2_CaseKey)-ROW(INDEX(nQ2_CaseKey,1,1))+1)/((nQ2_CaseKey=$H$4)),AG35),0),IFERROR(_xlfn.AGGREGATE(15,6,(ROW(nQ3_CaseKey)-ROW(INDEX(nQ3_CaseKey,1,1))+1)/((nQ3_CaseKey=$H$4)),AG35),0),IFERROR(_xlfn.AGGREGATE(15,6,(ROW(nQ4_CaseKey)-ROW(INDEX(nQ4_CaseKey,1,1))+1)/((nQ4_CaseKey=$H$4)),AG35),0),IFERROR(_xlfn.AGGREGATE(15,6,(ROW(nQ5_CaseKey)-ROW(INDEX(nQ5_CaseKey,1,1))+1)/((nQ5_CaseKey=$H$4)),AG35),0),IFERROR(_xlfn.AGGREGATE(15,6,(ROW(nQ6_CaseKey)-ROW(INDEX(nQ6_CaseKey,1,1))+1)/((nQ6_CaseKey=$H$4)),AG35),0),IFERROR(_xlfn.AGGREGATE(15,6,(ROW(nQ7_CaseKey)-ROW(INDEX(nQ7_CaseKey,1,1))+1)/((nQ7_CaseKey=$H$4)),AG35),0),IFERROR(_xlfn.AGGREGATE(15,6,(ROW(nQ8_CaseKey)-ROW(INDEX(nQ8_CaseKey,1,1))+1)/((nQ8_CaseKey=$H$4)),AG35),0),IFERROR(_xlfn.AGGREGATE(15,6,(ROW(nQ9_CaseKey)-ROW(INDEX(nQ9_CaseKey,1,1))+1)/((nQ9_CaseKey=$H$4)),AG35),0),IFERROR(_xlfn.AGGREGATE(15,6,(ROW(nQ10_CaseKey)-ROW(INDEX(nQ10_CaseKey,1,1))+1)/((nQ10_CaseKey=$H$4)),AG35),0),IFERROR(_xlfn.AGGREGATE(15,6,(ROW(nQ11_CaseKey)-ROW(INDEX(nQ11_CaseKey,1,1))+1)/((nQ11_CaseKey=$H$4)),AG35),0)))</f>
        <v>0</v>
      </c>
      <c r="AJ35" s="1" t="str">
        <f>IF($AF35=0,"",CHOOSE($AF35,INDEX(nINT_Case_ID,$AH35)&amp;"",INDEX(nQ1_Case_ID,$AH35)&amp;"",INDEX(nQ2_Case_ID,$AH35)&amp;"",INDEX(nQ3_Case_ID,$AH35)&amp;"",INDEX(nQ4_Case_ID,$AH35)&amp;"",INDEX(nQ5_Case_ID,$AH35)&amp;"",INDEX(nQ6_Case_ID,$AH35)&amp;"",INDEX(nQ7_Case_ID,$AH35)&amp;"",INDEX(nQ8_Case_ID,$AH35)&amp;"",INDEX(nQ9_Case_ID,$AH35)&amp;"",INDEX(nQ10_Case_ID,$AH35)&amp;"",INDEX(nQ11_Case_ID,$AH35)&amp;""))</f>
        <v/>
      </c>
      <c r="AK35" s="1" t="str">
        <f>IF($AF35=0,"",CHOOSE($AF35,INDEX(nINT_Case_Version,$AH35),INDEX(nQ1_Case_Version,$AH35),INDEX(nQ2_Case_Version,$AH35),INDEX(nQ3_Case_Version,$AH35),INDEX(nQ4_Case_Version,$AH35),INDEX(nQ5_Case_Version,$AH35),INDEX(nQ6_Case_Version,$AH35),INDEX(nQ7_Case_Version,$AH35),INDEX(nQ8_Case_Version,$AH35),INDEX(nQ9_Case_Version,$AH35),INDEX(nQ10_Case_Version,$AH35),INDEX(nQ11_Case_Version,$AH35)))</f>
        <v/>
      </c>
      <c r="AL35" s="1" t="str">
        <f>IF($AF35=0,"",CHOOSE($AF35,INDEX(nINT_Interval_ID,$AH35)&amp;"",INDEX(nQ1_Calc_ID,$AH35)&amp;"",INDEX(nQ2_Calc_ID,$AH35)&amp;"",INDEX(nQ3_Calc_ID,$AH35)&amp;"",INDEX(nQ4_Calc_ID,$AH35)&amp;"",INDEX(nQ5_Calc_ID,$AH35)&amp;"",INDEX(nQ6_Calc_ID,$AH35)&amp;"",INDEX(nQ7_Calc_ID,$AH35)&amp;"",INDEX(nQ8_Calc_ID,$AH35)&amp;"",INDEX(nQ9_Calc_ID,$AH35)&amp;"",INDEX(nQ10_Calc_ID,$AH35)&amp;"",INDEX(nQ11_Calc_ID,$AH35)&amp;""))</f>
        <v/>
      </c>
      <c r="AM35" s="1" t="str">
        <f>IF($AF35=0,"",CHOOSE($AF35,INDEX(nINT_Label,$AH35)&amp;"",INDEX(nQ1_Label_Out,$AH35)&amp;"",INDEX(nQ2_Label_Out,$AH35)&amp;"",INDEX(nQ3_Label_Out,$AH35)&amp;"",INDEX(nQ4_Label_Out,$AH35)&amp;"",INDEX(nQ5_Label_Out,$AH35)&amp;"",INDEX(nQ6_Label_Out,$AH35)&amp;"",INDEX(nQ7_Label_Out,$AH35)&amp;"",INDEX(nQ8_Label_Out,$AH35)&amp;"",INDEX(nQ9_Label_Out,$AH35)&amp;"",INDEX(nQ10_Label_Out,$AH35)&amp;"",INDEX(nQ11_Label_Out,$AH35)&amp;""))</f>
        <v/>
      </c>
      <c r="AN35" s="1" t="str">
        <f>IF($AF35=0,"",CHOOSE($AF35,IF(INDEX(nINT_LinkRow,$AH35)=0,"",INDEX(nINT_Link_ID,$AH35)&amp;""),"","","","","","","","","","",""))</f>
        <v/>
      </c>
      <c r="AO35" s="1" t="str">
        <f>IF($AF35=0,"",CHOOSE($AF35,INDEX(nINT_Exposure_Episode_ID,$AH35)&amp;"","","","","","","","","","","",""))</f>
        <v/>
      </c>
      <c r="AP35" s="1" t="str">
        <f>IF($AF35=0,"",CHOOSE($AF35,INDEX(nINT_Event_Episode_ID,$AH35)&amp;"","","","","","","","","","","",""))</f>
        <v/>
      </c>
      <c r="AQ35" s="1" t="str">
        <f>IF($AF35=0,"",CHOOSE($AF35,INDEX(nINT_End_Record_ID_Used,$AH35)&amp;"","","","","","","","","","","",""))</f>
        <v/>
      </c>
      <c r="AR35" s="1" t="str">
        <f>IF($AF35=0,"",CHOOSE($AF35,INDEX(nINT_Interval_Value,$AH35),"","","","","","","","","","",""))</f>
        <v/>
      </c>
      <c r="AS35" s="1" t="str">
        <f>IF($AF35=0,"",CHOOSE($AF35,INDEX(nINT_Interval_Minimum,$AH35),"","","","","","","","","","",""))</f>
        <v/>
      </c>
      <c r="AT35" s="1" t="str">
        <f>IF($AF35=0,"",CHOOSE($AF35,INDEX(nINT_Interval_Maximum,$AH35),"","","","","","","","","","",""))</f>
        <v/>
      </c>
      <c r="AU35" s="1" t="str">
        <f>IF($AF35=0,"",CHOOSE($AF35,INDEX(nINT_Unit,$AH35)&amp;"",INDEX(nQ1_Unit_Out,$AH35)&amp;"",INDEX(nQ2_Unit_Out,$AH35)&amp;"",INDEX(nQ3_Unit_Out,$AH35)&amp;"",INDEX(nQ4_Unit_Out,$AH35)&amp;"",INDEX(nQ5_Unit_Out,$AH35)&amp;"",INDEX(nQ6_Unit_Out,$AH35)&amp;"",INDEX(nQ7_Unit_Out,$AH35)&amp;"",INDEX(nQ8_Unit_Out,$AH35)&amp;"",INDEX(nQ9_Unit_Out,$AH35)&amp;"",INDEX(nQ10_Unit_Out,$AH35)&amp;"",INDEX(nQ11_Unit_Out,$AH35)&amp;""))</f>
        <v/>
      </c>
      <c r="AV35" s="1" t="str">
        <f>IF($AF35=0,"",CHOOSE($AF35,INDEX(nINT_Displayed_Value,$AH35)&amp;"",INDEX(nQ1_Displayed_Value,$AH35)&amp;"",INDEX(nQ2_Displayed_Value,$AH35)&amp;"",INDEX(nQ3_Displayed_Value,$AH35)&amp;"",INDEX(nQ4_Displayed_Value,$AH35)&amp;"",INDEX(nQ5_Displayed_Value,$AH35)&amp;"",INDEX(nQ6_Displayed_Value,$AH35)&amp;"",INDEX(nQ7_Displayed_Value,$AH35)&amp;"",INDEX(nQ8_Displayed_Value,$AH35)&amp;"",INDEX(nQ9_Displayed_Value,$AH35)&amp;"",INDEX(nQ10_Displayed_Value,$AH35)&amp;"",INDEX(nQ11_Displayed_Value,$AH35)&amp;""))</f>
        <v/>
      </c>
      <c r="AW35" s="1" t="str">
        <f>IF($AF35=0,"",CHOOSE($AF35,INDEX(nINT_Calculation_Mode_Used,$AH35)&amp;"","Q1","Q2","Q3","Q4","Q5","Q6","Q7","Q8","Q9","Q10","Q11"))</f>
        <v/>
      </c>
      <c r="AX35" s="1" t="str">
        <f>IF($AF35=0,"",CHOOSE($AF35,INDEX(nINT_Anchor_Type,$AH35)&amp;"","","","","","","","","","","",""))</f>
        <v/>
      </c>
      <c r="AY35" s="1" t="str">
        <f>IF($AF35=0,"",CHOOSE($AF35,IF(INDEX(nINT_K_Ok,$AH35)=1,INDEX(nINT_Anchor_Record_ID_Used,$AH35)&amp;"",""),"","","","","","","","","","",""))</f>
        <v/>
      </c>
      <c r="AZ35" s="1" t="str">
        <f>IF($AF35=0,"",CHOOSE($AF35,INDEX(nINT_Anchor_Description,$AH35)&amp;"","","","","","","","","","","",""))</f>
        <v/>
      </c>
      <c r="BA35" s="1" t="str">
        <f>IF($AF35=0,"",CHOOSE($AF35,INDEX(nINT_Sequence_Status,$AH35)&amp;"","","","","","","","","","","",""))</f>
        <v/>
      </c>
      <c r="BB35" s="1" t="str">
        <f>IF($AF35=0,"",CHOOSE($AF35,INDEX(nINT_Treatment_Day,$AH35),"","","","","","","","","","",""))</f>
        <v/>
      </c>
      <c r="BC35" s="1" t="str">
        <f>IF($AF35=0,"",CHOOSE($AF35,INDEX(nINT_Reported_Timing_Result,$AH35)&amp;"","","","","","","","","","","",""))</f>
        <v/>
      </c>
      <c r="BD35" s="1" t="str">
        <f>IF($AF35=0,"",CHOOSE($AF35,IF(INDEX(nINT_K_HasC,$AH35)=1,INDEX(nINT_Constraint_Source,$AH35)&amp;"",""),"","","","","","","","","","",""))</f>
        <v/>
      </c>
      <c r="BE35" s="1" t="str">
        <f>IF($AF35=0,"",CHOOSE($AF35,"",INDEX(nQ1_Results_Text,$AH35)&amp;"",INDEX(nQ2_Results_Text,$AH35)&amp;"",INDEX(nQ3_Results_Text,$AH35)&amp;"",INDEX(nQ4_Results_Text,$AH35)&amp;"",INDEX(nQ5_Results_Text,$AH35)&amp;"",INDEX(nQ6_Results_Text,$AH35)&amp;"",INDEX(nQ7_Results_Text,$AH35)&amp;"",INDEX(nQ8_Results_Text,$AH35)&amp;"",INDEX(nQ9_Results_Text,$AH35)&amp;"",INDEX(nQ10_Results_Text,$AH35)&amp;"",INDEX(nQ11_Results_Text,$AH35)&amp;""))</f>
        <v/>
      </c>
      <c r="BF35" s="1" t="str">
        <f>IF($AF35=0,"",CHOOSE($AF35,INDEX(nINT_Parameter_Set,$AH35)&amp;"",INDEX(nQ1_Parameter_Set,$AH35)&amp;"",INDEX(nQ2_Parameter_Set,$AH35)&amp;"",INDEX(nQ3_Parameter_Set,$AH35)&amp;"",INDEX(nQ4_Parameter_Set,$AH35)&amp;"",INDEX(nQ5_Parameter_Set,$AH35)&amp;"",INDEX(nQ6_Parameter_Set,$AH35)&amp;"",INDEX(nQ7_Parameter_Set,$AH35)&amp;"",INDEX(nQ8_Parameter_Set,$AH35)&amp;"",INDEX(nQ9_Parameter_Set,$AH35)&amp;"",INDEX(nQ10_Parameter_Set,$AH35)&amp;"",INDEX(nQ11_Parameter_Set,$AH35)&amp;""))</f>
        <v/>
      </c>
      <c r="BG35" s="1" t="str">
        <f>IF($AF35=0,"",CHOOSE($AF35,INDEX(nINT_Assumptions,$AH35)&amp;"",INDEX(nQ1_Assumptions,$AH35)&amp;"",INDEX(nQ2_Assumptions,$AH35)&amp;"",INDEX(nQ3_Assumptions,$AH35)&amp;"",INDEX(nQ4_Assumptions,$AH35)&amp;"",INDEX(nQ5_Assumptions,$AH35)&amp;"",INDEX(nQ6_Assumptions,$AH35)&amp;"",INDEX(nQ7_Assumptions,$AH35)&amp;"",INDEX(nQ8_Assumptions,$AH35)&amp;"",INDEX(nQ9_Assumptions,$AH35)&amp;"",INDEX(nQ10_Assumptions,$AH35)&amp;"",INDEX(nQ11_Assumptions,$AH35)&amp;""))</f>
        <v/>
      </c>
      <c r="BH35" s="1" t="str">
        <f>IF($AF35=0,"",CHOOSE($AF35,INDEX(nINT_Calculation_Version,$AH35)&amp;"",INDEX(nQ1_Calculation_Version,$AH35)&amp;"",INDEX(nQ2_Calculation_Version,$AH35)&amp;"",INDEX(nQ3_Calculation_Version,$AH35)&amp;"",INDEX(nQ4_Calculation_Version,$AH35)&amp;"",INDEX(nQ5_Calculation_Version,$AH35)&amp;"",INDEX(nQ6_Calculation_Version,$AH35)&amp;"",INDEX(nQ7_Calculation_Version,$AH35)&amp;"",INDEX(nQ8_Calculation_Version,$AH35)&amp;"",INDEX(nQ9_Calculation_Version,$AH35)&amp;"",INDEX(nQ10_Calculation_Version,$AH35)&amp;"",INDEX(nQ11_Calculation_Version,$AH35)&amp;""))</f>
        <v/>
      </c>
      <c r="BI35" s="1" t="str">
        <f>IF($AF35=0,"",CHOOSE($AF35,INDEX(nINT_QC_Flags,$AH35)&amp;"",INDEX(nQ1_QC_Flags,$AH35)&amp;"",INDEX(nQ2_QC_Flags,$AH35)&amp;"",INDEX(nQ3_QC_Flags,$AH35)&amp;"",INDEX(nQ4_QC_Flags,$AH35)&amp;"",INDEX(nQ5_QC_Flags,$AH35)&amp;"",INDEX(nQ6_QC_Flags,$AH35)&amp;"",INDEX(nQ7_QC_Flags,$AH35)&amp;"",INDEX(nQ8_QC_Flags,$AH35)&amp;"",INDEX(nQ9_QC_Flags,$AH35)&amp;"",INDEX(nQ10_QC_Flags,$AH35)&amp;"",INDEX(nQ11_QC_Flags,$AH35)&amp;""))</f>
        <v/>
      </c>
      <c r="BJ35" s="1" t="str">
        <f>IF($AF35=0,"",CHOOSE($AF35,INDEX(nINT_Messages,$AH35)&amp;"",INDEX(nQ1_Messages,$AH35)&amp;"",INDEX(nQ2_Messages,$AH35)&amp;"",INDEX(nQ3_Messages,$AH35)&amp;"",INDEX(nQ4_Messages,$AH35)&amp;"",INDEX(nQ5_Messages,$AH35)&amp;"",INDEX(nQ6_Messages,$AH35)&amp;"",INDEX(nQ7_Messages,$AH35)&amp;"",INDEX(nQ8_Messages,$AH35)&amp;"",INDEX(nQ9_Messages,$AH35)&amp;"",INDEX(nQ10_Messages,$AH35)&amp;"",INDEX(nQ11_Messages,$AH35)&amp;""))</f>
        <v/>
      </c>
      <c r="BK35" s="1" t="str">
        <f>IF($AF35=0,"",CHOOSE($AF35,INDEX(nINT_Limitations,$AH35)&amp;"",INDEX(nQ1_Mandatory_Text,$AH35)&amp;"",INDEX(nQ2_Mandatory_Text,$AH35)&amp;"",INDEX(nQ3_Mandatory_Text,$AH35)&amp;"",INDEX(nQ4_Mandatory_Text,$AH35)&amp;"",INDEX(nQ5_Mandatory_Text,$AH35)&amp;"",INDEX(nQ6_Mandatory_Text,$AH35)&amp;"",INDEX(nQ7_Mandatory_Text,$AH35)&amp;"",INDEX(nQ8_Mandatory_Text,$AH35)&amp;"",INDEX(nQ9_Mandatory_Text,$AH35)&amp;"",INDEX(nQ10_Mandatory_Text,$AH35)&amp;"",INDEX(nQ11_Mandatory_Text,$AH35)&amp;""))</f>
        <v/>
      </c>
      <c r="BL35" s="1" t="str">
        <f t="shared" si="33"/>
        <v/>
      </c>
      <c r="BM35" s="1" t="str">
        <f t="shared" si="34"/>
        <v/>
      </c>
    </row>
    <row r="36" spans="1:65" x14ac:dyDescent="0.2">
      <c r="A36" s="21" t="str">
        <f t="shared" si="0"/>
        <v/>
      </c>
      <c r="B36" s="21" t="str">
        <f t="shared" si="1"/>
        <v/>
      </c>
      <c r="C36" s="21" t="str">
        <f t="shared" si="2"/>
        <v/>
      </c>
      <c r="D36" s="21" t="str">
        <f t="shared" si="3"/>
        <v/>
      </c>
      <c r="E36" s="21" t="str">
        <f t="shared" si="4"/>
        <v/>
      </c>
      <c r="F36" s="21" t="str">
        <f t="shared" si="5"/>
        <v/>
      </c>
      <c r="G36" s="21" t="str">
        <f t="shared" si="6"/>
        <v/>
      </c>
      <c r="H36" s="21" t="str">
        <f t="shared" si="7"/>
        <v/>
      </c>
      <c r="I36" s="21" t="str">
        <f t="shared" si="8"/>
        <v/>
      </c>
      <c r="J36" s="21" t="str">
        <f t="shared" si="9"/>
        <v/>
      </c>
      <c r="K36" s="21" t="str">
        <f t="shared" si="10"/>
        <v/>
      </c>
      <c r="L36" s="21" t="str">
        <f t="shared" si="11"/>
        <v/>
      </c>
      <c r="M36" s="21" t="str">
        <f t="shared" si="12"/>
        <v/>
      </c>
      <c r="N36" s="21" t="str">
        <f t="shared" si="13"/>
        <v/>
      </c>
      <c r="O36" s="21" t="str">
        <f t="shared" si="14"/>
        <v/>
      </c>
      <c r="P36" s="21" t="str">
        <f t="shared" si="15"/>
        <v/>
      </c>
      <c r="Q36" s="21" t="str">
        <f t="shared" si="16"/>
        <v/>
      </c>
      <c r="R36" s="21" t="str">
        <f t="shared" si="17"/>
        <v/>
      </c>
      <c r="S36" s="21" t="str">
        <f t="shared" si="18"/>
        <v/>
      </c>
      <c r="T36" s="21" t="str">
        <f t="shared" si="19"/>
        <v/>
      </c>
      <c r="U36" s="21" t="str">
        <f t="shared" si="20"/>
        <v/>
      </c>
      <c r="V36" s="21" t="str">
        <f t="shared" si="21"/>
        <v/>
      </c>
      <c r="W36" s="21" t="str">
        <f t="shared" si="22"/>
        <v/>
      </c>
      <c r="X36" s="21" t="str">
        <f t="shared" si="23"/>
        <v/>
      </c>
      <c r="Y36" s="21" t="str">
        <f t="shared" si="24"/>
        <v/>
      </c>
      <c r="Z36" s="21" t="str">
        <f t="shared" si="25"/>
        <v/>
      </c>
      <c r="AA36" s="21" t="str">
        <f t="shared" si="26"/>
        <v/>
      </c>
      <c r="AB36" s="21" t="str">
        <f t="shared" si="27"/>
        <v/>
      </c>
      <c r="AC36" s="21" t="str">
        <f t="shared" si="28"/>
        <v/>
      </c>
      <c r="AD36" s="21" t="str">
        <f t="shared" si="29"/>
        <v/>
      </c>
      <c r="AE36" s="1">
        <f t="shared" si="30"/>
        <v>29</v>
      </c>
      <c r="AF36" s="1">
        <f t="shared" si="31"/>
        <v>0</v>
      </c>
      <c r="AG36" s="1">
        <f t="shared" si="32"/>
        <v>0</v>
      </c>
      <c r="AH36" s="1">
        <f>IF(AF36=0,0,CHOOSE(AF36,IFERROR(_xlfn.AGGREGATE(15,6,(ROW(nINT_CaseKey)-ROW(INDEX(nINT_CaseKey,1,1))+1)/((nINT_CaseKey=$H$4)*(nINT_RowEmpty=0)),AG36),0),IFERROR(_xlfn.AGGREGATE(15,6,(ROW(nQ1_CaseKey)-ROW(INDEX(nQ1_CaseKey,1,1))+1)/((nQ1_CaseKey=$H$4)),AG36),0),IFERROR(_xlfn.AGGREGATE(15,6,(ROW(nQ2_CaseKey)-ROW(INDEX(nQ2_CaseKey,1,1))+1)/((nQ2_CaseKey=$H$4)),AG36),0),IFERROR(_xlfn.AGGREGATE(15,6,(ROW(nQ3_CaseKey)-ROW(INDEX(nQ3_CaseKey,1,1))+1)/((nQ3_CaseKey=$H$4)),AG36),0),IFERROR(_xlfn.AGGREGATE(15,6,(ROW(nQ4_CaseKey)-ROW(INDEX(nQ4_CaseKey,1,1))+1)/((nQ4_CaseKey=$H$4)),AG36),0),IFERROR(_xlfn.AGGREGATE(15,6,(ROW(nQ5_CaseKey)-ROW(INDEX(nQ5_CaseKey,1,1))+1)/((nQ5_CaseKey=$H$4)),AG36),0),IFERROR(_xlfn.AGGREGATE(15,6,(ROW(nQ6_CaseKey)-ROW(INDEX(nQ6_CaseKey,1,1))+1)/((nQ6_CaseKey=$H$4)),AG36),0),IFERROR(_xlfn.AGGREGATE(15,6,(ROW(nQ7_CaseKey)-ROW(INDEX(nQ7_CaseKey,1,1))+1)/((nQ7_CaseKey=$H$4)),AG36),0),IFERROR(_xlfn.AGGREGATE(15,6,(ROW(nQ8_CaseKey)-ROW(INDEX(nQ8_CaseKey,1,1))+1)/((nQ8_CaseKey=$H$4)),AG36),0),IFERROR(_xlfn.AGGREGATE(15,6,(ROW(nQ9_CaseKey)-ROW(INDEX(nQ9_CaseKey,1,1))+1)/((nQ9_CaseKey=$H$4)),AG36),0),IFERROR(_xlfn.AGGREGATE(15,6,(ROW(nQ10_CaseKey)-ROW(INDEX(nQ10_CaseKey,1,1))+1)/((nQ10_CaseKey=$H$4)),AG36),0),IFERROR(_xlfn.AGGREGATE(15,6,(ROW(nQ11_CaseKey)-ROW(INDEX(nQ11_CaseKey,1,1))+1)/((nQ11_CaseKey=$H$4)),AG36),0)))</f>
        <v>0</v>
      </c>
      <c r="AJ36" s="1" t="str">
        <f>IF($AF36=0,"",CHOOSE($AF36,INDEX(nINT_Case_ID,$AH36)&amp;"",INDEX(nQ1_Case_ID,$AH36)&amp;"",INDEX(nQ2_Case_ID,$AH36)&amp;"",INDEX(nQ3_Case_ID,$AH36)&amp;"",INDEX(nQ4_Case_ID,$AH36)&amp;"",INDEX(nQ5_Case_ID,$AH36)&amp;"",INDEX(nQ6_Case_ID,$AH36)&amp;"",INDEX(nQ7_Case_ID,$AH36)&amp;"",INDEX(nQ8_Case_ID,$AH36)&amp;"",INDEX(nQ9_Case_ID,$AH36)&amp;"",INDEX(nQ10_Case_ID,$AH36)&amp;"",INDEX(nQ11_Case_ID,$AH36)&amp;""))</f>
        <v/>
      </c>
      <c r="AK36" s="1" t="str">
        <f>IF($AF36=0,"",CHOOSE($AF36,INDEX(nINT_Case_Version,$AH36),INDEX(nQ1_Case_Version,$AH36),INDEX(nQ2_Case_Version,$AH36),INDEX(nQ3_Case_Version,$AH36),INDEX(nQ4_Case_Version,$AH36),INDEX(nQ5_Case_Version,$AH36),INDEX(nQ6_Case_Version,$AH36),INDEX(nQ7_Case_Version,$AH36),INDEX(nQ8_Case_Version,$AH36),INDEX(nQ9_Case_Version,$AH36),INDEX(nQ10_Case_Version,$AH36),INDEX(nQ11_Case_Version,$AH36)))</f>
        <v/>
      </c>
      <c r="AL36" s="1" t="str">
        <f>IF($AF36=0,"",CHOOSE($AF36,INDEX(nINT_Interval_ID,$AH36)&amp;"",INDEX(nQ1_Calc_ID,$AH36)&amp;"",INDEX(nQ2_Calc_ID,$AH36)&amp;"",INDEX(nQ3_Calc_ID,$AH36)&amp;"",INDEX(nQ4_Calc_ID,$AH36)&amp;"",INDEX(nQ5_Calc_ID,$AH36)&amp;"",INDEX(nQ6_Calc_ID,$AH36)&amp;"",INDEX(nQ7_Calc_ID,$AH36)&amp;"",INDEX(nQ8_Calc_ID,$AH36)&amp;"",INDEX(nQ9_Calc_ID,$AH36)&amp;"",INDEX(nQ10_Calc_ID,$AH36)&amp;"",INDEX(nQ11_Calc_ID,$AH36)&amp;""))</f>
        <v/>
      </c>
      <c r="AM36" s="1" t="str">
        <f>IF($AF36=0,"",CHOOSE($AF36,INDEX(nINT_Label,$AH36)&amp;"",INDEX(nQ1_Label_Out,$AH36)&amp;"",INDEX(nQ2_Label_Out,$AH36)&amp;"",INDEX(nQ3_Label_Out,$AH36)&amp;"",INDEX(nQ4_Label_Out,$AH36)&amp;"",INDEX(nQ5_Label_Out,$AH36)&amp;"",INDEX(nQ6_Label_Out,$AH36)&amp;"",INDEX(nQ7_Label_Out,$AH36)&amp;"",INDEX(nQ8_Label_Out,$AH36)&amp;"",INDEX(nQ9_Label_Out,$AH36)&amp;"",INDEX(nQ10_Label_Out,$AH36)&amp;"",INDEX(nQ11_Label_Out,$AH36)&amp;""))</f>
        <v/>
      </c>
      <c r="AN36" s="1" t="str">
        <f>IF($AF36=0,"",CHOOSE($AF36,IF(INDEX(nINT_LinkRow,$AH36)=0,"",INDEX(nINT_Link_ID,$AH36)&amp;""),"","","","","","","","","","",""))</f>
        <v/>
      </c>
      <c r="AO36" s="1" t="str">
        <f>IF($AF36=0,"",CHOOSE($AF36,INDEX(nINT_Exposure_Episode_ID,$AH36)&amp;"","","","","","","","","","","",""))</f>
        <v/>
      </c>
      <c r="AP36" s="1" t="str">
        <f>IF($AF36=0,"",CHOOSE($AF36,INDEX(nINT_Event_Episode_ID,$AH36)&amp;"","","","","","","","","","","",""))</f>
        <v/>
      </c>
      <c r="AQ36" s="1" t="str">
        <f>IF($AF36=0,"",CHOOSE($AF36,INDEX(nINT_End_Record_ID_Used,$AH36)&amp;"","","","","","","","","","","",""))</f>
        <v/>
      </c>
      <c r="AR36" s="1" t="str">
        <f>IF($AF36=0,"",CHOOSE($AF36,INDEX(nINT_Interval_Value,$AH36),"","","","","","","","","","",""))</f>
        <v/>
      </c>
      <c r="AS36" s="1" t="str">
        <f>IF($AF36=0,"",CHOOSE($AF36,INDEX(nINT_Interval_Minimum,$AH36),"","","","","","","","","","",""))</f>
        <v/>
      </c>
      <c r="AT36" s="1" t="str">
        <f>IF($AF36=0,"",CHOOSE($AF36,INDEX(nINT_Interval_Maximum,$AH36),"","","","","","","","","","",""))</f>
        <v/>
      </c>
      <c r="AU36" s="1" t="str">
        <f>IF($AF36=0,"",CHOOSE($AF36,INDEX(nINT_Unit,$AH36)&amp;"",INDEX(nQ1_Unit_Out,$AH36)&amp;"",INDEX(nQ2_Unit_Out,$AH36)&amp;"",INDEX(nQ3_Unit_Out,$AH36)&amp;"",INDEX(nQ4_Unit_Out,$AH36)&amp;"",INDEX(nQ5_Unit_Out,$AH36)&amp;"",INDEX(nQ6_Unit_Out,$AH36)&amp;"",INDEX(nQ7_Unit_Out,$AH36)&amp;"",INDEX(nQ8_Unit_Out,$AH36)&amp;"",INDEX(nQ9_Unit_Out,$AH36)&amp;"",INDEX(nQ10_Unit_Out,$AH36)&amp;"",INDEX(nQ11_Unit_Out,$AH36)&amp;""))</f>
        <v/>
      </c>
      <c r="AV36" s="1" t="str">
        <f>IF($AF36=0,"",CHOOSE($AF36,INDEX(nINT_Displayed_Value,$AH36)&amp;"",INDEX(nQ1_Displayed_Value,$AH36)&amp;"",INDEX(nQ2_Displayed_Value,$AH36)&amp;"",INDEX(nQ3_Displayed_Value,$AH36)&amp;"",INDEX(nQ4_Displayed_Value,$AH36)&amp;"",INDEX(nQ5_Displayed_Value,$AH36)&amp;"",INDEX(nQ6_Displayed_Value,$AH36)&amp;"",INDEX(nQ7_Displayed_Value,$AH36)&amp;"",INDEX(nQ8_Displayed_Value,$AH36)&amp;"",INDEX(nQ9_Displayed_Value,$AH36)&amp;"",INDEX(nQ10_Displayed_Value,$AH36)&amp;"",INDEX(nQ11_Displayed_Value,$AH36)&amp;""))</f>
        <v/>
      </c>
      <c r="AW36" s="1" t="str">
        <f>IF($AF36=0,"",CHOOSE($AF36,INDEX(nINT_Calculation_Mode_Used,$AH36)&amp;"","Q1","Q2","Q3","Q4","Q5","Q6","Q7","Q8","Q9","Q10","Q11"))</f>
        <v/>
      </c>
      <c r="AX36" s="1" t="str">
        <f>IF($AF36=0,"",CHOOSE($AF36,INDEX(nINT_Anchor_Type,$AH36)&amp;"","","","","","","","","","","",""))</f>
        <v/>
      </c>
      <c r="AY36" s="1" t="str">
        <f>IF($AF36=0,"",CHOOSE($AF36,IF(INDEX(nINT_K_Ok,$AH36)=1,INDEX(nINT_Anchor_Record_ID_Used,$AH36)&amp;"",""),"","","","","","","","","","",""))</f>
        <v/>
      </c>
      <c r="AZ36" s="1" t="str">
        <f>IF($AF36=0,"",CHOOSE($AF36,INDEX(nINT_Anchor_Description,$AH36)&amp;"","","","","","","","","","","",""))</f>
        <v/>
      </c>
      <c r="BA36" s="1" t="str">
        <f>IF($AF36=0,"",CHOOSE($AF36,INDEX(nINT_Sequence_Status,$AH36)&amp;"","","","","","","","","","","",""))</f>
        <v/>
      </c>
      <c r="BB36" s="1" t="str">
        <f>IF($AF36=0,"",CHOOSE($AF36,INDEX(nINT_Treatment_Day,$AH36),"","","","","","","","","","",""))</f>
        <v/>
      </c>
      <c r="BC36" s="1" t="str">
        <f>IF($AF36=0,"",CHOOSE($AF36,INDEX(nINT_Reported_Timing_Result,$AH36)&amp;"","","","","","","","","","","",""))</f>
        <v/>
      </c>
      <c r="BD36" s="1" t="str">
        <f>IF($AF36=0,"",CHOOSE($AF36,IF(INDEX(nINT_K_HasC,$AH36)=1,INDEX(nINT_Constraint_Source,$AH36)&amp;"",""),"","","","","","","","","","",""))</f>
        <v/>
      </c>
      <c r="BE36" s="1" t="str">
        <f>IF($AF36=0,"",CHOOSE($AF36,"",INDEX(nQ1_Results_Text,$AH36)&amp;"",INDEX(nQ2_Results_Text,$AH36)&amp;"",INDEX(nQ3_Results_Text,$AH36)&amp;"",INDEX(nQ4_Results_Text,$AH36)&amp;"",INDEX(nQ5_Results_Text,$AH36)&amp;"",INDEX(nQ6_Results_Text,$AH36)&amp;"",INDEX(nQ7_Results_Text,$AH36)&amp;"",INDEX(nQ8_Results_Text,$AH36)&amp;"",INDEX(nQ9_Results_Text,$AH36)&amp;"",INDEX(nQ10_Results_Text,$AH36)&amp;"",INDEX(nQ11_Results_Text,$AH36)&amp;""))</f>
        <v/>
      </c>
      <c r="BF36" s="1" t="str">
        <f>IF($AF36=0,"",CHOOSE($AF36,INDEX(nINT_Parameter_Set,$AH36)&amp;"",INDEX(nQ1_Parameter_Set,$AH36)&amp;"",INDEX(nQ2_Parameter_Set,$AH36)&amp;"",INDEX(nQ3_Parameter_Set,$AH36)&amp;"",INDEX(nQ4_Parameter_Set,$AH36)&amp;"",INDEX(nQ5_Parameter_Set,$AH36)&amp;"",INDEX(nQ6_Parameter_Set,$AH36)&amp;"",INDEX(nQ7_Parameter_Set,$AH36)&amp;"",INDEX(nQ8_Parameter_Set,$AH36)&amp;"",INDEX(nQ9_Parameter_Set,$AH36)&amp;"",INDEX(nQ10_Parameter_Set,$AH36)&amp;"",INDEX(nQ11_Parameter_Set,$AH36)&amp;""))</f>
        <v/>
      </c>
      <c r="BG36" s="1" t="str">
        <f>IF($AF36=0,"",CHOOSE($AF36,INDEX(nINT_Assumptions,$AH36)&amp;"",INDEX(nQ1_Assumptions,$AH36)&amp;"",INDEX(nQ2_Assumptions,$AH36)&amp;"",INDEX(nQ3_Assumptions,$AH36)&amp;"",INDEX(nQ4_Assumptions,$AH36)&amp;"",INDEX(nQ5_Assumptions,$AH36)&amp;"",INDEX(nQ6_Assumptions,$AH36)&amp;"",INDEX(nQ7_Assumptions,$AH36)&amp;"",INDEX(nQ8_Assumptions,$AH36)&amp;"",INDEX(nQ9_Assumptions,$AH36)&amp;"",INDEX(nQ10_Assumptions,$AH36)&amp;"",INDEX(nQ11_Assumptions,$AH36)&amp;""))</f>
        <v/>
      </c>
      <c r="BH36" s="1" t="str">
        <f>IF($AF36=0,"",CHOOSE($AF36,INDEX(nINT_Calculation_Version,$AH36)&amp;"",INDEX(nQ1_Calculation_Version,$AH36)&amp;"",INDEX(nQ2_Calculation_Version,$AH36)&amp;"",INDEX(nQ3_Calculation_Version,$AH36)&amp;"",INDEX(nQ4_Calculation_Version,$AH36)&amp;"",INDEX(nQ5_Calculation_Version,$AH36)&amp;"",INDEX(nQ6_Calculation_Version,$AH36)&amp;"",INDEX(nQ7_Calculation_Version,$AH36)&amp;"",INDEX(nQ8_Calculation_Version,$AH36)&amp;"",INDEX(nQ9_Calculation_Version,$AH36)&amp;"",INDEX(nQ10_Calculation_Version,$AH36)&amp;"",INDEX(nQ11_Calculation_Version,$AH36)&amp;""))</f>
        <v/>
      </c>
      <c r="BI36" s="1" t="str">
        <f>IF($AF36=0,"",CHOOSE($AF36,INDEX(nINT_QC_Flags,$AH36)&amp;"",INDEX(nQ1_QC_Flags,$AH36)&amp;"",INDEX(nQ2_QC_Flags,$AH36)&amp;"",INDEX(nQ3_QC_Flags,$AH36)&amp;"",INDEX(nQ4_QC_Flags,$AH36)&amp;"",INDEX(nQ5_QC_Flags,$AH36)&amp;"",INDEX(nQ6_QC_Flags,$AH36)&amp;"",INDEX(nQ7_QC_Flags,$AH36)&amp;"",INDEX(nQ8_QC_Flags,$AH36)&amp;"",INDEX(nQ9_QC_Flags,$AH36)&amp;"",INDEX(nQ10_QC_Flags,$AH36)&amp;"",INDEX(nQ11_QC_Flags,$AH36)&amp;""))</f>
        <v/>
      </c>
      <c r="BJ36" s="1" t="str">
        <f>IF($AF36=0,"",CHOOSE($AF36,INDEX(nINT_Messages,$AH36)&amp;"",INDEX(nQ1_Messages,$AH36)&amp;"",INDEX(nQ2_Messages,$AH36)&amp;"",INDEX(nQ3_Messages,$AH36)&amp;"",INDEX(nQ4_Messages,$AH36)&amp;"",INDEX(nQ5_Messages,$AH36)&amp;"",INDEX(nQ6_Messages,$AH36)&amp;"",INDEX(nQ7_Messages,$AH36)&amp;"",INDEX(nQ8_Messages,$AH36)&amp;"",INDEX(nQ9_Messages,$AH36)&amp;"",INDEX(nQ10_Messages,$AH36)&amp;"",INDEX(nQ11_Messages,$AH36)&amp;""))</f>
        <v/>
      </c>
      <c r="BK36" s="1" t="str">
        <f>IF($AF36=0,"",CHOOSE($AF36,INDEX(nINT_Limitations,$AH36)&amp;"",INDEX(nQ1_Mandatory_Text,$AH36)&amp;"",INDEX(nQ2_Mandatory_Text,$AH36)&amp;"",INDEX(nQ3_Mandatory_Text,$AH36)&amp;"",INDEX(nQ4_Mandatory_Text,$AH36)&amp;"",INDEX(nQ5_Mandatory_Text,$AH36)&amp;"",INDEX(nQ6_Mandatory_Text,$AH36)&amp;"",INDEX(nQ7_Mandatory_Text,$AH36)&amp;"",INDEX(nQ8_Mandatory_Text,$AH36)&amp;"",INDEX(nQ9_Mandatory_Text,$AH36)&amp;"",INDEX(nQ10_Mandatory_Text,$AH36)&amp;"",INDEX(nQ11_Mandatory_Text,$AH36)&amp;""))</f>
        <v/>
      </c>
      <c r="BL36" s="1" t="str">
        <f t="shared" si="33"/>
        <v/>
      </c>
      <c r="BM36" s="1" t="str">
        <f t="shared" si="34"/>
        <v/>
      </c>
    </row>
    <row r="37" spans="1:65" x14ac:dyDescent="0.2">
      <c r="A37" s="21" t="str">
        <f t="shared" si="0"/>
        <v/>
      </c>
      <c r="B37" s="21" t="str">
        <f t="shared" si="1"/>
        <v/>
      </c>
      <c r="C37" s="21" t="str">
        <f t="shared" si="2"/>
        <v/>
      </c>
      <c r="D37" s="21" t="str">
        <f t="shared" si="3"/>
        <v/>
      </c>
      <c r="E37" s="21" t="str">
        <f t="shared" si="4"/>
        <v/>
      </c>
      <c r="F37" s="21" t="str">
        <f t="shared" si="5"/>
        <v/>
      </c>
      <c r="G37" s="21" t="str">
        <f t="shared" si="6"/>
        <v/>
      </c>
      <c r="H37" s="21" t="str">
        <f t="shared" si="7"/>
        <v/>
      </c>
      <c r="I37" s="21" t="str">
        <f t="shared" si="8"/>
        <v/>
      </c>
      <c r="J37" s="21" t="str">
        <f t="shared" si="9"/>
        <v/>
      </c>
      <c r="K37" s="21" t="str">
        <f t="shared" si="10"/>
        <v/>
      </c>
      <c r="L37" s="21" t="str">
        <f t="shared" si="11"/>
        <v/>
      </c>
      <c r="M37" s="21" t="str">
        <f t="shared" si="12"/>
        <v/>
      </c>
      <c r="N37" s="21" t="str">
        <f t="shared" si="13"/>
        <v/>
      </c>
      <c r="O37" s="21" t="str">
        <f t="shared" si="14"/>
        <v/>
      </c>
      <c r="P37" s="21" t="str">
        <f t="shared" si="15"/>
        <v/>
      </c>
      <c r="Q37" s="21" t="str">
        <f t="shared" si="16"/>
        <v/>
      </c>
      <c r="R37" s="21" t="str">
        <f t="shared" si="17"/>
        <v/>
      </c>
      <c r="S37" s="21" t="str">
        <f t="shared" si="18"/>
        <v/>
      </c>
      <c r="T37" s="21" t="str">
        <f t="shared" si="19"/>
        <v/>
      </c>
      <c r="U37" s="21" t="str">
        <f t="shared" si="20"/>
        <v/>
      </c>
      <c r="V37" s="21" t="str">
        <f t="shared" si="21"/>
        <v/>
      </c>
      <c r="W37" s="21" t="str">
        <f t="shared" si="22"/>
        <v/>
      </c>
      <c r="X37" s="21" t="str">
        <f t="shared" si="23"/>
        <v/>
      </c>
      <c r="Y37" s="21" t="str">
        <f t="shared" si="24"/>
        <v/>
      </c>
      <c r="Z37" s="21" t="str">
        <f t="shared" si="25"/>
        <v/>
      </c>
      <c r="AA37" s="21" t="str">
        <f t="shared" si="26"/>
        <v/>
      </c>
      <c r="AB37" s="21" t="str">
        <f t="shared" si="27"/>
        <v/>
      </c>
      <c r="AC37" s="21" t="str">
        <f t="shared" si="28"/>
        <v/>
      </c>
      <c r="AD37" s="21" t="str">
        <f t="shared" si="29"/>
        <v/>
      </c>
      <c r="AE37" s="1">
        <f t="shared" si="30"/>
        <v>30</v>
      </c>
      <c r="AF37" s="1">
        <f t="shared" si="31"/>
        <v>0</v>
      </c>
      <c r="AG37" s="1">
        <f t="shared" si="32"/>
        <v>0</v>
      </c>
      <c r="AH37" s="1">
        <f>IF(AF37=0,0,CHOOSE(AF37,IFERROR(_xlfn.AGGREGATE(15,6,(ROW(nINT_CaseKey)-ROW(INDEX(nINT_CaseKey,1,1))+1)/((nINT_CaseKey=$H$4)*(nINT_RowEmpty=0)),AG37),0),IFERROR(_xlfn.AGGREGATE(15,6,(ROW(nQ1_CaseKey)-ROW(INDEX(nQ1_CaseKey,1,1))+1)/((nQ1_CaseKey=$H$4)),AG37),0),IFERROR(_xlfn.AGGREGATE(15,6,(ROW(nQ2_CaseKey)-ROW(INDEX(nQ2_CaseKey,1,1))+1)/((nQ2_CaseKey=$H$4)),AG37),0),IFERROR(_xlfn.AGGREGATE(15,6,(ROW(nQ3_CaseKey)-ROW(INDEX(nQ3_CaseKey,1,1))+1)/((nQ3_CaseKey=$H$4)),AG37),0),IFERROR(_xlfn.AGGREGATE(15,6,(ROW(nQ4_CaseKey)-ROW(INDEX(nQ4_CaseKey,1,1))+1)/((nQ4_CaseKey=$H$4)),AG37),0),IFERROR(_xlfn.AGGREGATE(15,6,(ROW(nQ5_CaseKey)-ROW(INDEX(nQ5_CaseKey,1,1))+1)/((nQ5_CaseKey=$H$4)),AG37),0),IFERROR(_xlfn.AGGREGATE(15,6,(ROW(nQ6_CaseKey)-ROW(INDEX(nQ6_CaseKey,1,1))+1)/((nQ6_CaseKey=$H$4)),AG37),0),IFERROR(_xlfn.AGGREGATE(15,6,(ROW(nQ7_CaseKey)-ROW(INDEX(nQ7_CaseKey,1,1))+1)/((nQ7_CaseKey=$H$4)),AG37),0),IFERROR(_xlfn.AGGREGATE(15,6,(ROW(nQ8_CaseKey)-ROW(INDEX(nQ8_CaseKey,1,1))+1)/((nQ8_CaseKey=$H$4)),AG37),0),IFERROR(_xlfn.AGGREGATE(15,6,(ROW(nQ9_CaseKey)-ROW(INDEX(nQ9_CaseKey,1,1))+1)/((nQ9_CaseKey=$H$4)),AG37),0),IFERROR(_xlfn.AGGREGATE(15,6,(ROW(nQ10_CaseKey)-ROW(INDEX(nQ10_CaseKey,1,1))+1)/((nQ10_CaseKey=$H$4)),AG37),0),IFERROR(_xlfn.AGGREGATE(15,6,(ROW(nQ11_CaseKey)-ROW(INDEX(nQ11_CaseKey,1,1))+1)/((nQ11_CaseKey=$H$4)),AG37),0)))</f>
        <v>0</v>
      </c>
      <c r="AJ37" s="1" t="str">
        <f>IF($AF37=0,"",CHOOSE($AF37,INDEX(nINT_Case_ID,$AH37)&amp;"",INDEX(nQ1_Case_ID,$AH37)&amp;"",INDEX(nQ2_Case_ID,$AH37)&amp;"",INDEX(nQ3_Case_ID,$AH37)&amp;"",INDEX(nQ4_Case_ID,$AH37)&amp;"",INDEX(nQ5_Case_ID,$AH37)&amp;"",INDEX(nQ6_Case_ID,$AH37)&amp;"",INDEX(nQ7_Case_ID,$AH37)&amp;"",INDEX(nQ8_Case_ID,$AH37)&amp;"",INDEX(nQ9_Case_ID,$AH37)&amp;"",INDEX(nQ10_Case_ID,$AH37)&amp;"",INDEX(nQ11_Case_ID,$AH37)&amp;""))</f>
        <v/>
      </c>
      <c r="AK37" s="1" t="str">
        <f>IF($AF37=0,"",CHOOSE($AF37,INDEX(nINT_Case_Version,$AH37),INDEX(nQ1_Case_Version,$AH37),INDEX(nQ2_Case_Version,$AH37),INDEX(nQ3_Case_Version,$AH37),INDEX(nQ4_Case_Version,$AH37),INDEX(nQ5_Case_Version,$AH37),INDEX(nQ6_Case_Version,$AH37),INDEX(nQ7_Case_Version,$AH37),INDEX(nQ8_Case_Version,$AH37),INDEX(nQ9_Case_Version,$AH37),INDEX(nQ10_Case_Version,$AH37),INDEX(nQ11_Case_Version,$AH37)))</f>
        <v/>
      </c>
      <c r="AL37" s="1" t="str">
        <f>IF($AF37=0,"",CHOOSE($AF37,INDEX(nINT_Interval_ID,$AH37)&amp;"",INDEX(nQ1_Calc_ID,$AH37)&amp;"",INDEX(nQ2_Calc_ID,$AH37)&amp;"",INDEX(nQ3_Calc_ID,$AH37)&amp;"",INDEX(nQ4_Calc_ID,$AH37)&amp;"",INDEX(nQ5_Calc_ID,$AH37)&amp;"",INDEX(nQ6_Calc_ID,$AH37)&amp;"",INDEX(nQ7_Calc_ID,$AH37)&amp;"",INDEX(nQ8_Calc_ID,$AH37)&amp;"",INDEX(nQ9_Calc_ID,$AH37)&amp;"",INDEX(nQ10_Calc_ID,$AH37)&amp;"",INDEX(nQ11_Calc_ID,$AH37)&amp;""))</f>
        <v/>
      </c>
      <c r="AM37" s="1" t="str">
        <f>IF($AF37=0,"",CHOOSE($AF37,INDEX(nINT_Label,$AH37)&amp;"",INDEX(nQ1_Label_Out,$AH37)&amp;"",INDEX(nQ2_Label_Out,$AH37)&amp;"",INDEX(nQ3_Label_Out,$AH37)&amp;"",INDEX(nQ4_Label_Out,$AH37)&amp;"",INDEX(nQ5_Label_Out,$AH37)&amp;"",INDEX(nQ6_Label_Out,$AH37)&amp;"",INDEX(nQ7_Label_Out,$AH37)&amp;"",INDEX(nQ8_Label_Out,$AH37)&amp;"",INDEX(nQ9_Label_Out,$AH37)&amp;"",INDEX(nQ10_Label_Out,$AH37)&amp;"",INDEX(nQ11_Label_Out,$AH37)&amp;""))</f>
        <v/>
      </c>
      <c r="AN37" s="1" t="str">
        <f>IF($AF37=0,"",CHOOSE($AF37,IF(INDEX(nINT_LinkRow,$AH37)=0,"",INDEX(nINT_Link_ID,$AH37)&amp;""),"","","","","","","","","","",""))</f>
        <v/>
      </c>
      <c r="AO37" s="1" t="str">
        <f>IF($AF37=0,"",CHOOSE($AF37,INDEX(nINT_Exposure_Episode_ID,$AH37)&amp;"","","","","","","","","","","",""))</f>
        <v/>
      </c>
      <c r="AP37" s="1" t="str">
        <f>IF($AF37=0,"",CHOOSE($AF37,INDEX(nINT_Event_Episode_ID,$AH37)&amp;"","","","","","","","","","","",""))</f>
        <v/>
      </c>
      <c r="AQ37" s="1" t="str">
        <f>IF($AF37=0,"",CHOOSE($AF37,INDEX(nINT_End_Record_ID_Used,$AH37)&amp;"","","","","","","","","","","",""))</f>
        <v/>
      </c>
      <c r="AR37" s="1" t="str">
        <f>IF($AF37=0,"",CHOOSE($AF37,INDEX(nINT_Interval_Value,$AH37),"","","","","","","","","","",""))</f>
        <v/>
      </c>
      <c r="AS37" s="1" t="str">
        <f>IF($AF37=0,"",CHOOSE($AF37,INDEX(nINT_Interval_Minimum,$AH37),"","","","","","","","","","",""))</f>
        <v/>
      </c>
      <c r="AT37" s="1" t="str">
        <f>IF($AF37=0,"",CHOOSE($AF37,INDEX(nINT_Interval_Maximum,$AH37),"","","","","","","","","","",""))</f>
        <v/>
      </c>
      <c r="AU37" s="1" t="str">
        <f>IF($AF37=0,"",CHOOSE($AF37,INDEX(nINT_Unit,$AH37)&amp;"",INDEX(nQ1_Unit_Out,$AH37)&amp;"",INDEX(nQ2_Unit_Out,$AH37)&amp;"",INDEX(nQ3_Unit_Out,$AH37)&amp;"",INDEX(nQ4_Unit_Out,$AH37)&amp;"",INDEX(nQ5_Unit_Out,$AH37)&amp;"",INDEX(nQ6_Unit_Out,$AH37)&amp;"",INDEX(nQ7_Unit_Out,$AH37)&amp;"",INDEX(nQ8_Unit_Out,$AH37)&amp;"",INDEX(nQ9_Unit_Out,$AH37)&amp;"",INDEX(nQ10_Unit_Out,$AH37)&amp;"",INDEX(nQ11_Unit_Out,$AH37)&amp;""))</f>
        <v/>
      </c>
      <c r="AV37" s="1" t="str">
        <f>IF($AF37=0,"",CHOOSE($AF37,INDEX(nINT_Displayed_Value,$AH37)&amp;"",INDEX(nQ1_Displayed_Value,$AH37)&amp;"",INDEX(nQ2_Displayed_Value,$AH37)&amp;"",INDEX(nQ3_Displayed_Value,$AH37)&amp;"",INDEX(nQ4_Displayed_Value,$AH37)&amp;"",INDEX(nQ5_Displayed_Value,$AH37)&amp;"",INDEX(nQ6_Displayed_Value,$AH37)&amp;"",INDEX(nQ7_Displayed_Value,$AH37)&amp;"",INDEX(nQ8_Displayed_Value,$AH37)&amp;"",INDEX(nQ9_Displayed_Value,$AH37)&amp;"",INDEX(nQ10_Displayed_Value,$AH37)&amp;"",INDEX(nQ11_Displayed_Value,$AH37)&amp;""))</f>
        <v/>
      </c>
      <c r="AW37" s="1" t="str">
        <f>IF($AF37=0,"",CHOOSE($AF37,INDEX(nINT_Calculation_Mode_Used,$AH37)&amp;"","Q1","Q2","Q3","Q4","Q5","Q6","Q7","Q8","Q9","Q10","Q11"))</f>
        <v/>
      </c>
      <c r="AX37" s="1" t="str">
        <f>IF($AF37=0,"",CHOOSE($AF37,INDEX(nINT_Anchor_Type,$AH37)&amp;"","","","","","","","","","","",""))</f>
        <v/>
      </c>
      <c r="AY37" s="1" t="str">
        <f>IF($AF37=0,"",CHOOSE($AF37,IF(INDEX(nINT_K_Ok,$AH37)=1,INDEX(nINT_Anchor_Record_ID_Used,$AH37)&amp;"",""),"","","","","","","","","","",""))</f>
        <v/>
      </c>
      <c r="AZ37" s="1" t="str">
        <f>IF($AF37=0,"",CHOOSE($AF37,INDEX(nINT_Anchor_Description,$AH37)&amp;"","","","","","","","","","","",""))</f>
        <v/>
      </c>
      <c r="BA37" s="1" t="str">
        <f>IF($AF37=0,"",CHOOSE($AF37,INDEX(nINT_Sequence_Status,$AH37)&amp;"","","","","","","","","","","",""))</f>
        <v/>
      </c>
      <c r="BB37" s="1" t="str">
        <f>IF($AF37=0,"",CHOOSE($AF37,INDEX(nINT_Treatment_Day,$AH37),"","","","","","","","","","",""))</f>
        <v/>
      </c>
      <c r="BC37" s="1" t="str">
        <f>IF($AF37=0,"",CHOOSE($AF37,INDEX(nINT_Reported_Timing_Result,$AH37)&amp;"","","","","","","","","","","",""))</f>
        <v/>
      </c>
      <c r="BD37" s="1" t="str">
        <f>IF($AF37=0,"",CHOOSE($AF37,IF(INDEX(nINT_K_HasC,$AH37)=1,INDEX(nINT_Constraint_Source,$AH37)&amp;"",""),"","","","","","","","","","",""))</f>
        <v/>
      </c>
      <c r="BE37" s="1" t="str">
        <f>IF($AF37=0,"",CHOOSE($AF37,"",INDEX(nQ1_Results_Text,$AH37)&amp;"",INDEX(nQ2_Results_Text,$AH37)&amp;"",INDEX(nQ3_Results_Text,$AH37)&amp;"",INDEX(nQ4_Results_Text,$AH37)&amp;"",INDEX(nQ5_Results_Text,$AH37)&amp;"",INDEX(nQ6_Results_Text,$AH37)&amp;"",INDEX(nQ7_Results_Text,$AH37)&amp;"",INDEX(nQ8_Results_Text,$AH37)&amp;"",INDEX(nQ9_Results_Text,$AH37)&amp;"",INDEX(nQ10_Results_Text,$AH37)&amp;"",INDEX(nQ11_Results_Text,$AH37)&amp;""))</f>
        <v/>
      </c>
      <c r="BF37" s="1" t="str">
        <f>IF($AF37=0,"",CHOOSE($AF37,INDEX(nINT_Parameter_Set,$AH37)&amp;"",INDEX(nQ1_Parameter_Set,$AH37)&amp;"",INDEX(nQ2_Parameter_Set,$AH37)&amp;"",INDEX(nQ3_Parameter_Set,$AH37)&amp;"",INDEX(nQ4_Parameter_Set,$AH37)&amp;"",INDEX(nQ5_Parameter_Set,$AH37)&amp;"",INDEX(nQ6_Parameter_Set,$AH37)&amp;"",INDEX(nQ7_Parameter_Set,$AH37)&amp;"",INDEX(nQ8_Parameter_Set,$AH37)&amp;"",INDEX(nQ9_Parameter_Set,$AH37)&amp;"",INDEX(nQ10_Parameter_Set,$AH37)&amp;"",INDEX(nQ11_Parameter_Set,$AH37)&amp;""))</f>
        <v/>
      </c>
      <c r="BG37" s="1" t="str">
        <f>IF($AF37=0,"",CHOOSE($AF37,INDEX(nINT_Assumptions,$AH37)&amp;"",INDEX(nQ1_Assumptions,$AH37)&amp;"",INDEX(nQ2_Assumptions,$AH37)&amp;"",INDEX(nQ3_Assumptions,$AH37)&amp;"",INDEX(nQ4_Assumptions,$AH37)&amp;"",INDEX(nQ5_Assumptions,$AH37)&amp;"",INDEX(nQ6_Assumptions,$AH37)&amp;"",INDEX(nQ7_Assumptions,$AH37)&amp;"",INDEX(nQ8_Assumptions,$AH37)&amp;"",INDEX(nQ9_Assumptions,$AH37)&amp;"",INDEX(nQ10_Assumptions,$AH37)&amp;"",INDEX(nQ11_Assumptions,$AH37)&amp;""))</f>
        <v/>
      </c>
      <c r="BH37" s="1" t="str">
        <f>IF($AF37=0,"",CHOOSE($AF37,INDEX(nINT_Calculation_Version,$AH37)&amp;"",INDEX(nQ1_Calculation_Version,$AH37)&amp;"",INDEX(nQ2_Calculation_Version,$AH37)&amp;"",INDEX(nQ3_Calculation_Version,$AH37)&amp;"",INDEX(nQ4_Calculation_Version,$AH37)&amp;"",INDEX(nQ5_Calculation_Version,$AH37)&amp;"",INDEX(nQ6_Calculation_Version,$AH37)&amp;"",INDEX(nQ7_Calculation_Version,$AH37)&amp;"",INDEX(nQ8_Calculation_Version,$AH37)&amp;"",INDEX(nQ9_Calculation_Version,$AH37)&amp;"",INDEX(nQ10_Calculation_Version,$AH37)&amp;"",INDEX(nQ11_Calculation_Version,$AH37)&amp;""))</f>
        <v/>
      </c>
      <c r="BI37" s="1" t="str">
        <f>IF($AF37=0,"",CHOOSE($AF37,INDEX(nINT_QC_Flags,$AH37)&amp;"",INDEX(nQ1_QC_Flags,$AH37)&amp;"",INDEX(nQ2_QC_Flags,$AH37)&amp;"",INDEX(nQ3_QC_Flags,$AH37)&amp;"",INDEX(nQ4_QC_Flags,$AH37)&amp;"",INDEX(nQ5_QC_Flags,$AH37)&amp;"",INDEX(nQ6_QC_Flags,$AH37)&amp;"",INDEX(nQ7_QC_Flags,$AH37)&amp;"",INDEX(nQ8_QC_Flags,$AH37)&amp;"",INDEX(nQ9_QC_Flags,$AH37)&amp;"",INDEX(nQ10_QC_Flags,$AH37)&amp;"",INDEX(nQ11_QC_Flags,$AH37)&amp;""))</f>
        <v/>
      </c>
      <c r="BJ37" s="1" t="str">
        <f>IF($AF37=0,"",CHOOSE($AF37,INDEX(nINT_Messages,$AH37)&amp;"",INDEX(nQ1_Messages,$AH37)&amp;"",INDEX(nQ2_Messages,$AH37)&amp;"",INDEX(nQ3_Messages,$AH37)&amp;"",INDEX(nQ4_Messages,$AH37)&amp;"",INDEX(nQ5_Messages,$AH37)&amp;"",INDEX(nQ6_Messages,$AH37)&amp;"",INDEX(nQ7_Messages,$AH37)&amp;"",INDEX(nQ8_Messages,$AH37)&amp;"",INDEX(nQ9_Messages,$AH37)&amp;"",INDEX(nQ10_Messages,$AH37)&amp;"",INDEX(nQ11_Messages,$AH37)&amp;""))</f>
        <v/>
      </c>
      <c r="BK37" s="1" t="str">
        <f>IF($AF37=0,"",CHOOSE($AF37,INDEX(nINT_Limitations,$AH37)&amp;"",INDEX(nQ1_Mandatory_Text,$AH37)&amp;"",INDEX(nQ2_Mandatory_Text,$AH37)&amp;"",INDEX(nQ3_Mandatory_Text,$AH37)&amp;"",INDEX(nQ4_Mandatory_Text,$AH37)&amp;"",INDEX(nQ5_Mandatory_Text,$AH37)&amp;"",INDEX(nQ6_Mandatory_Text,$AH37)&amp;"",INDEX(nQ7_Mandatory_Text,$AH37)&amp;"",INDEX(nQ8_Mandatory_Text,$AH37)&amp;"",INDEX(nQ9_Mandatory_Text,$AH37)&amp;"",INDEX(nQ10_Mandatory_Text,$AH37)&amp;"",INDEX(nQ11_Mandatory_Text,$AH37)&amp;""))</f>
        <v/>
      </c>
      <c r="BL37" s="1" t="str">
        <f t="shared" si="33"/>
        <v/>
      </c>
      <c r="BM37" s="1" t="str">
        <f t="shared" si="34"/>
        <v/>
      </c>
    </row>
    <row r="38" spans="1:65" x14ac:dyDescent="0.2">
      <c r="A38" s="21" t="str">
        <f t="shared" si="0"/>
        <v/>
      </c>
      <c r="B38" s="21" t="str">
        <f t="shared" si="1"/>
        <v/>
      </c>
      <c r="C38" s="21" t="str">
        <f t="shared" si="2"/>
        <v/>
      </c>
      <c r="D38" s="21" t="str">
        <f t="shared" si="3"/>
        <v/>
      </c>
      <c r="E38" s="21" t="str">
        <f t="shared" si="4"/>
        <v/>
      </c>
      <c r="F38" s="21" t="str">
        <f t="shared" si="5"/>
        <v/>
      </c>
      <c r="G38" s="21" t="str">
        <f t="shared" si="6"/>
        <v/>
      </c>
      <c r="H38" s="21" t="str">
        <f t="shared" si="7"/>
        <v/>
      </c>
      <c r="I38" s="21" t="str">
        <f t="shared" si="8"/>
        <v/>
      </c>
      <c r="J38" s="21" t="str">
        <f t="shared" si="9"/>
        <v/>
      </c>
      <c r="K38" s="21" t="str">
        <f t="shared" si="10"/>
        <v/>
      </c>
      <c r="L38" s="21" t="str">
        <f t="shared" si="11"/>
        <v/>
      </c>
      <c r="M38" s="21" t="str">
        <f t="shared" si="12"/>
        <v/>
      </c>
      <c r="N38" s="21" t="str">
        <f t="shared" si="13"/>
        <v/>
      </c>
      <c r="O38" s="21" t="str">
        <f t="shared" si="14"/>
        <v/>
      </c>
      <c r="P38" s="21" t="str">
        <f t="shared" si="15"/>
        <v/>
      </c>
      <c r="Q38" s="21" t="str">
        <f t="shared" si="16"/>
        <v/>
      </c>
      <c r="R38" s="21" t="str">
        <f t="shared" si="17"/>
        <v/>
      </c>
      <c r="S38" s="21" t="str">
        <f t="shared" si="18"/>
        <v/>
      </c>
      <c r="T38" s="21" t="str">
        <f t="shared" si="19"/>
        <v/>
      </c>
      <c r="U38" s="21" t="str">
        <f t="shared" si="20"/>
        <v/>
      </c>
      <c r="V38" s="21" t="str">
        <f t="shared" si="21"/>
        <v/>
      </c>
      <c r="W38" s="21" t="str">
        <f t="shared" si="22"/>
        <v/>
      </c>
      <c r="X38" s="21" t="str">
        <f t="shared" si="23"/>
        <v/>
      </c>
      <c r="Y38" s="21" t="str">
        <f t="shared" si="24"/>
        <v/>
      </c>
      <c r="Z38" s="21" t="str">
        <f t="shared" si="25"/>
        <v/>
      </c>
      <c r="AA38" s="21" t="str">
        <f t="shared" si="26"/>
        <v/>
      </c>
      <c r="AB38" s="21" t="str">
        <f t="shared" si="27"/>
        <v/>
      </c>
      <c r="AC38" s="21" t="str">
        <f t="shared" si="28"/>
        <v/>
      </c>
      <c r="AD38" s="21" t="str">
        <f t="shared" si="29"/>
        <v/>
      </c>
      <c r="AE38" s="1">
        <f t="shared" si="30"/>
        <v>31</v>
      </c>
      <c r="AF38" s="1">
        <f t="shared" si="31"/>
        <v>0</v>
      </c>
      <c r="AG38" s="1">
        <f t="shared" si="32"/>
        <v>0</v>
      </c>
      <c r="AH38" s="1">
        <f>IF(AF38=0,0,CHOOSE(AF38,IFERROR(_xlfn.AGGREGATE(15,6,(ROW(nINT_CaseKey)-ROW(INDEX(nINT_CaseKey,1,1))+1)/((nINT_CaseKey=$H$4)*(nINT_RowEmpty=0)),AG38),0),IFERROR(_xlfn.AGGREGATE(15,6,(ROW(nQ1_CaseKey)-ROW(INDEX(nQ1_CaseKey,1,1))+1)/((nQ1_CaseKey=$H$4)),AG38),0),IFERROR(_xlfn.AGGREGATE(15,6,(ROW(nQ2_CaseKey)-ROW(INDEX(nQ2_CaseKey,1,1))+1)/((nQ2_CaseKey=$H$4)),AG38),0),IFERROR(_xlfn.AGGREGATE(15,6,(ROW(nQ3_CaseKey)-ROW(INDEX(nQ3_CaseKey,1,1))+1)/((nQ3_CaseKey=$H$4)),AG38),0),IFERROR(_xlfn.AGGREGATE(15,6,(ROW(nQ4_CaseKey)-ROW(INDEX(nQ4_CaseKey,1,1))+1)/((nQ4_CaseKey=$H$4)),AG38),0),IFERROR(_xlfn.AGGREGATE(15,6,(ROW(nQ5_CaseKey)-ROW(INDEX(nQ5_CaseKey,1,1))+1)/((nQ5_CaseKey=$H$4)),AG38),0),IFERROR(_xlfn.AGGREGATE(15,6,(ROW(nQ6_CaseKey)-ROW(INDEX(nQ6_CaseKey,1,1))+1)/((nQ6_CaseKey=$H$4)),AG38),0),IFERROR(_xlfn.AGGREGATE(15,6,(ROW(nQ7_CaseKey)-ROW(INDEX(nQ7_CaseKey,1,1))+1)/((nQ7_CaseKey=$H$4)),AG38),0),IFERROR(_xlfn.AGGREGATE(15,6,(ROW(nQ8_CaseKey)-ROW(INDEX(nQ8_CaseKey,1,1))+1)/((nQ8_CaseKey=$H$4)),AG38),0),IFERROR(_xlfn.AGGREGATE(15,6,(ROW(nQ9_CaseKey)-ROW(INDEX(nQ9_CaseKey,1,1))+1)/((nQ9_CaseKey=$H$4)),AG38),0),IFERROR(_xlfn.AGGREGATE(15,6,(ROW(nQ10_CaseKey)-ROW(INDEX(nQ10_CaseKey,1,1))+1)/((nQ10_CaseKey=$H$4)),AG38),0),IFERROR(_xlfn.AGGREGATE(15,6,(ROW(nQ11_CaseKey)-ROW(INDEX(nQ11_CaseKey,1,1))+1)/((nQ11_CaseKey=$H$4)),AG38),0)))</f>
        <v>0</v>
      </c>
      <c r="AJ38" s="1" t="str">
        <f>IF($AF38=0,"",CHOOSE($AF38,INDEX(nINT_Case_ID,$AH38)&amp;"",INDEX(nQ1_Case_ID,$AH38)&amp;"",INDEX(nQ2_Case_ID,$AH38)&amp;"",INDEX(nQ3_Case_ID,$AH38)&amp;"",INDEX(nQ4_Case_ID,$AH38)&amp;"",INDEX(nQ5_Case_ID,$AH38)&amp;"",INDEX(nQ6_Case_ID,$AH38)&amp;"",INDEX(nQ7_Case_ID,$AH38)&amp;"",INDEX(nQ8_Case_ID,$AH38)&amp;"",INDEX(nQ9_Case_ID,$AH38)&amp;"",INDEX(nQ10_Case_ID,$AH38)&amp;"",INDEX(nQ11_Case_ID,$AH38)&amp;""))</f>
        <v/>
      </c>
      <c r="AK38" s="1" t="str">
        <f>IF($AF38=0,"",CHOOSE($AF38,INDEX(nINT_Case_Version,$AH38),INDEX(nQ1_Case_Version,$AH38),INDEX(nQ2_Case_Version,$AH38),INDEX(nQ3_Case_Version,$AH38),INDEX(nQ4_Case_Version,$AH38),INDEX(nQ5_Case_Version,$AH38),INDEX(nQ6_Case_Version,$AH38),INDEX(nQ7_Case_Version,$AH38),INDEX(nQ8_Case_Version,$AH38),INDEX(nQ9_Case_Version,$AH38),INDEX(nQ10_Case_Version,$AH38),INDEX(nQ11_Case_Version,$AH38)))</f>
        <v/>
      </c>
      <c r="AL38" s="1" t="str">
        <f>IF($AF38=0,"",CHOOSE($AF38,INDEX(nINT_Interval_ID,$AH38)&amp;"",INDEX(nQ1_Calc_ID,$AH38)&amp;"",INDEX(nQ2_Calc_ID,$AH38)&amp;"",INDEX(nQ3_Calc_ID,$AH38)&amp;"",INDEX(nQ4_Calc_ID,$AH38)&amp;"",INDEX(nQ5_Calc_ID,$AH38)&amp;"",INDEX(nQ6_Calc_ID,$AH38)&amp;"",INDEX(nQ7_Calc_ID,$AH38)&amp;"",INDEX(nQ8_Calc_ID,$AH38)&amp;"",INDEX(nQ9_Calc_ID,$AH38)&amp;"",INDEX(nQ10_Calc_ID,$AH38)&amp;"",INDEX(nQ11_Calc_ID,$AH38)&amp;""))</f>
        <v/>
      </c>
      <c r="AM38" s="1" t="str">
        <f>IF($AF38=0,"",CHOOSE($AF38,INDEX(nINT_Label,$AH38)&amp;"",INDEX(nQ1_Label_Out,$AH38)&amp;"",INDEX(nQ2_Label_Out,$AH38)&amp;"",INDEX(nQ3_Label_Out,$AH38)&amp;"",INDEX(nQ4_Label_Out,$AH38)&amp;"",INDEX(nQ5_Label_Out,$AH38)&amp;"",INDEX(nQ6_Label_Out,$AH38)&amp;"",INDEX(nQ7_Label_Out,$AH38)&amp;"",INDEX(nQ8_Label_Out,$AH38)&amp;"",INDEX(nQ9_Label_Out,$AH38)&amp;"",INDEX(nQ10_Label_Out,$AH38)&amp;"",INDEX(nQ11_Label_Out,$AH38)&amp;""))</f>
        <v/>
      </c>
      <c r="AN38" s="1" t="str">
        <f>IF($AF38=0,"",CHOOSE($AF38,IF(INDEX(nINT_LinkRow,$AH38)=0,"",INDEX(nINT_Link_ID,$AH38)&amp;""),"","","","","","","","","","",""))</f>
        <v/>
      </c>
      <c r="AO38" s="1" t="str">
        <f>IF($AF38=0,"",CHOOSE($AF38,INDEX(nINT_Exposure_Episode_ID,$AH38)&amp;"","","","","","","","","","","",""))</f>
        <v/>
      </c>
      <c r="AP38" s="1" t="str">
        <f>IF($AF38=0,"",CHOOSE($AF38,INDEX(nINT_Event_Episode_ID,$AH38)&amp;"","","","","","","","","","","",""))</f>
        <v/>
      </c>
      <c r="AQ38" s="1" t="str">
        <f>IF($AF38=0,"",CHOOSE($AF38,INDEX(nINT_End_Record_ID_Used,$AH38)&amp;"","","","","","","","","","","",""))</f>
        <v/>
      </c>
      <c r="AR38" s="1" t="str">
        <f>IF($AF38=0,"",CHOOSE($AF38,INDEX(nINT_Interval_Value,$AH38),"","","","","","","","","","",""))</f>
        <v/>
      </c>
      <c r="AS38" s="1" t="str">
        <f>IF($AF38=0,"",CHOOSE($AF38,INDEX(nINT_Interval_Minimum,$AH38),"","","","","","","","","","",""))</f>
        <v/>
      </c>
      <c r="AT38" s="1" t="str">
        <f>IF($AF38=0,"",CHOOSE($AF38,INDEX(nINT_Interval_Maximum,$AH38),"","","","","","","","","","",""))</f>
        <v/>
      </c>
      <c r="AU38" s="1" t="str">
        <f>IF($AF38=0,"",CHOOSE($AF38,INDEX(nINT_Unit,$AH38)&amp;"",INDEX(nQ1_Unit_Out,$AH38)&amp;"",INDEX(nQ2_Unit_Out,$AH38)&amp;"",INDEX(nQ3_Unit_Out,$AH38)&amp;"",INDEX(nQ4_Unit_Out,$AH38)&amp;"",INDEX(nQ5_Unit_Out,$AH38)&amp;"",INDEX(nQ6_Unit_Out,$AH38)&amp;"",INDEX(nQ7_Unit_Out,$AH38)&amp;"",INDEX(nQ8_Unit_Out,$AH38)&amp;"",INDEX(nQ9_Unit_Out,$AH38)&amp;"",INDEX(nQ10_Unit_Out,$AH38)&amp;"",INDEX(nQ11_Unit_Out,$AH38)&amp;""))</f>
        <v/>
      </c>
      <c r="AV38" s="1" t="str">
        <f>IF($AF38=0,"",CHOOSE($AF38,INDEX(nINT_Displayed_Value,$AH38)&amp;"",INDEX(nQ1_Displayed_Value,$AH38)&amp;"",INDEX(nQ2_Displayed_Value,$AH38)&amp;"",INDEX(nQ3_Displayed_Value,$AH38)&amp;"",INDEX(nQ4_Displayed_Value,$AH38)&amp;"",INDEX(nQ5_Displayed_Value,$AH38)&amp;"",INDEX(nQ6_Displayed_Value,$AH38)&amp;"",INDEX(nQ7_Displayed_Value,$AH38)&amp;"",INDEX(nQ8_Displayed_Value,$AH38)&amp;"",INDEX(nQ9_Displayed_Value,$AH38)&amp;"",INDEX(nQ10_Displayed_Value,$AH38)&amp;"",INDEX(nQ11_Displayed_Value,$AH38)&amp;""))</f>
        <v/>
      </c>
      <c r="AW38" s="1" t="str">
        <f>IF($AF38=0,"",CHOOSE($AF38,INDEX(nINT_Calculation_Mode_Used,$AH38)&amp;"","Q1","Q2","Q3","Q4","Q5","Q6","Q7","Q8","Q9","Q10","Q11"))</f>
        <v/>
      </c>
      <c r="AX38" s="1" t="str">
        <f>IF($AF38=0,"",CHOOSE($AF38,INDEX(nINT_Anchor_Type,$AH38)&amp;"","","","","","","","","","","",""))</f>
        <v/>
      </c>
      <c r="AY38" s="1" t="str">
        <f>IF($AF38=0,"",CHOOSE($AF38,IF(INDEX(nINT_K_Ok,$AH38)=1,INDEX(nINT_Anchor_Record_ID_Used,$AH38)&amp;"",""),"","","","","","","","","","",""))</f>
        <v/>
      </c>
      <c r="AZ38" s="1" t="str">
        <f>IF($AF38=0,"",CHOOSE($AF38,INDEX(nINT_Anchor_Description,$AH38)&amp;"","","","","","","","","","","",""))</f>
        <v/>
      </c>
      <c r="BA38" s="1" t="str">
        <f>IF($AF38=0,"",CHOOSE($AF38,INDEX(nINT_Sequence_Status,$AH38)&amp;"","","","","","","","","","","",""))</f>
        <v/>
      </c>
      <c r="BB38" s="1" t="str">
        <f>IF($AF38=0,"",CHOOSE($AF38,INDEX(nINT_Treatment_Day,$AH38),"","","","","","","","","","",""))</f>
        <v/>
      </c>
      <c r="BC38" s="1" t="str">
        <f>IF($AF38=0,"",CHOOSE($AF38,INDEX(nINT_Reported_Timing_Result,$AH38)&amp;"","","","","","","","","","","",""))</f>
        <v/>
      </c>
      <c r="BD38" s="1" t="str">
        <f>IF($AF38=0,"",CHOOSE($AF38,IF(INDEX(nINT_K_HasC,$AH38)=1,INDEX(nINT_Constraint_Source,$AH38)&amp;"",""),"","","","","","","","","","",""))</f>
        <v/>
      </c>
      <c r="BE38" s="1" t="str">
        <f>IF($AF38=0,"",CHOOSE($AF38,"",INDEX(nQ1_Results_Text,$AH38)&amp;"",INDEX(nQ2_Results_Text,$AH38)&amp;"",INDEX(nQ3_Results_Text,$AH38)&amp;"",INDEX(nQ4_Results_Text,$AH38)&amp;"",INDEX(nQ5_Results_Text,$AH38)&amp;"",INDEX(nQ6_Results_Text,$AH38)&amp;"",INDEX(nQ7_Results_Text,$AH38)&amp;"",INDEX(nQ8_Results_Text,$AH38)&amp;"",INDEX(nQ9_Results_Text,$AH38)&amp;"",INDEX(nQ10_Results_Text,$AH38)&amp;"",INDEX(nQ11_Results_Text,$AH38)&amp;""))</f>
        <v/>
      </c>
      <c r="BF38" s="1" t="str">
        <f>IF($AF38=0,"",CHOOSE($AF38,INDEX(nINT_Parameter_Set,$AH38)&amp;"",INDEX(nQ1_Parameter_Set,$AH38)&amp;"",INDEX(nQ2_Parameter_Set,$AH38)&amp;"",INDEX(nQ3_Parameter_Set,$AH38)&amp;"",INDEX(nQ4_Parameter_Set,$AH38)&amp;"",INDEX(nQ5_Parameter_Set,$AH38)&amp;"",INDEX(nQ6_Parameter_Set,$AH38)&amp;"",INDEX(nQ7_Parameter_Set,$AH38)&amp;"",INDEX(nQ8_Parameter_Set,$AH38)&amp;"",INDEX(nQ9_Parameter_Set,$AH38)&amp;"",INDEX(nQ10_Parameter_Set,$AH38)&amp;"",INDEX(nQ11_Parameter_Set,$AH38)&amp;""))</f>
        <v/>
      </c>
      <c r="BG38" s="1" t="str">
        <f>IF($AF38=0,"",CHOOSE($AF38,INDEX(nINT_Assumptions,$AH38)&amp;"",INDEX(nQ1_Assumptions,$AH38)&amp;"",INDEX(nQ2_Assumptions,$AH38)&amp;"",INDEX(nQ3_Assumptions,$AH38)&amp;"",INDEX(nQ4_Assumptions,$AH38)&amp;"",INDEX(nQ5_Assumptions,$AH38)&amp;"",INDEX(nQ6_Assumptions,$AH38)&amp;"",INDEX(nQ7_Assumptions,$AH38)&amp;"",INDEX(nQ8_Assumptions,$AH38)&amp;"",INDEX(nQ9_Assumptions,$AH38)&amp;"",INDEX(nQ10_Assumptions,$AH38)&amp;"",INDEX(nQ11_Assumptions,$AH38)&amp;""))</f>
        <v/>
      </c>
      <c r="BH38" s="1" t="str">
        <f>IF($AF38=0,"",CHOOSE($AF38,INDEX(nINT_Calculation_Version,$AH38)&amp;"",INDEX(nQ1_Calculation_Version,$AH38)&amp;"",INDEX(nQ2_Calculation_Version,$AH38)&amp;"",INDEX(nQ3_Calculation_Version,$AH38)&amp;"",INDEX(nQ4_Calculation_Version,$AH38)&amp;"",INDEX(nQ5_Calculation_Version,$AH38)&amp;"",INDEX(nQ6_Calculation_Version,$AH38)&amp;"",INDEX(nQ7_Calculation_Version,$AH38)&amp;"",INDEX(nQ8_Calculation_Version,$AH38)&amp;"",INDEX(nQ9_Calculation_Version,$AH38)&amp;"",INDEX(nQ10_Calculation_Version,$AH38)&amp;"",INDEX(nQ11_Calculation_Version,$AH38)&amp;""))</f>
        <v/>
      </c>
      <c r="BI38" s="1" t="str">
        <f>IF($AF38=0,"",CHOOSE($AF38,INDEX(nINT_QC_Flags,$AH38)&amp;"",INDEX(nQ1_QC_Flags,$AH38)&amp;"",INDEX(nQ2_QC_Flags,$AH38)&amp;"",INDEX(nQ3_QC_Flags,$AH38)&amp;"",INDEX(nQ4_QC_Flags,$AH38)&amp;"",INDEX(nQ5_QC_Flags,$AH38)&amp;"",INDEX(nQ6_QC_Flags,$AH38)&amp;"",INDEX(nQ7_QC_Flags,$AH38)&amp;"",INDEX(nQ8_QC_Flags,$AH38)&amp;"",INDEX(nQ9_QC_Flags,$AH38)&amp;"",INDEX(nQ10_QC_Flags,$AH38)&amp;"",INDEX(nQ11_QC_Flags,$AH38)&amp;""))</f>
        <v/>
      </c>
      <c r="BJ38" s="1" t="str">
        <f>IF($AF38=0,"",CHOOSE($AF38,INDEX(nINT_Messages,$AH38)&amp;"",INDEX(nQ1_Messages,$AH38)&amp;"",INDEX(nQ2_Messages,$AH38)&amp;"",INDEX(nQ3_Messages,$AH38)&amp;"",INDEX(nQ4_Messages,$AH38)&amp;"",INDEX(nQ5_Messages,$AH38)&amp;"",INDEX(nQ6_Messages,$AH38)&amp;"",INDEX(nQ7_Messages,$AH38)&amp;"",INDEX(nQ8_Messages,$AH38)&amp;"",INDEX(nQ9_Messages,$AH38)&amp;"",INDEX(nQ10_Messages,$AH38)&amp;"",INDEX(nQ11_Messages,$AH38)&amp;""))</f>
        <v/>
      </c>
      <c r="BK38" s="1" t="str">
        <f>IF($AF38=0,"",CHOOSE($AF38,INDEX(nINT_Limitations,$AH38)&amp;"",INDEX(nQ1_Mandatory_Text,$AH38)&amp;"",INDEX(nQ2_Mandatory_Text,$AH38)&amp;"",INDEX(nQ3_Mandatory_Text,$AH38)&amp;"",INDEX(nQ4_Mandatory_Text,$AH38)&amp;"",INDEX(nQ5_Mandatory_Text,$AH38)&amp;"",INDEX(nQ6_Mandatory_Text,$AH38)&amp;"",INDEX(nQ7_Mandatory_Text,$AH38)&amp;"",INDEX(nQ8_Mandatory_Text,$AH38)&amp;"",INDEX(nQ9_Mandatory_Text,$AH38)&amp;"",INDEX(nQ10_Mandatory_Text,$AH38)&amp;"",INDEX(nQ11_Mandatory_Text,$AH38)&amp;""))</f>
        <v/>
      </c>
      <c r="BL38" s="1" t="str">
        <f t="shared" si="33"/>
        <v/>
      </c>
      <c r="BM38" s="1" t="str">
        <f t="shared" si="34"/>
        <v/>
      </c>
    </row>
    <row r="39" spans="1:65" x14ac:dyDescent="0.2">
      <c r="A39" s="21" t="str">
        <f t="shared" si="0"/>
        <v/>
      </c>
      <c r="B39" s="21" t="str">
        <f t="shared" si="1"/>
        <v/>
      </c>
      <c r="C39" s="21" t="str">
        <f t="shared" si="2"/>
        <v/>
      </c>
      <c r="D39" s="21" t="str">
        <f t="shared" si="3"/>
        <v/>
      </c>
      <c r="E39" s="21" t="str">
        <f t="shared" si="4"/>
        <v/>
      </c>
      <c r="F39" s="21" t="str">
        <f t="shared" si="5"/>
        <v/>
      </c>
      <c r="G39" s="21" t="str">
        <f t="shared" si="6"/>
        <v/>
      </c>
      <c r="H39" s="21" t="str">
        <f t="shared" si="7"/>
        <v/>
      </c>
      <c r="I39" s="21" t="str">
        <f t="shared" si="8"/>
        <v/>
      </c>
      <c r="J39" s="21" t="str">
        <f t="shared" si="9"/>
        <v/>
      </c>
      <c r="K39" s="21" t="str">
        <f t="shared" si="10"/>
        <v/>
      </c>
      <c r="L39" s="21" t="str">
        <f t="shared" si="11"/>
        <v/>
      </c>
      <c r="M39" s="21" t="str">
        <f t="shared" si="12"/>
        <v/>
      </c>
      <c r="N39" s="21" t="str">
        <f t="shared" si="13"/>
        <v/>
      </c>
      <c r="O39" s="21" t="str">
        <f t="shared" si="14"/>
        <v/>
      </c>
      <c r="P39" s="21" t="str">
        <f t="shared" si="15"/>
        <v/>
      </c>
      <c r="Q39" s="21" t="str">
        <f t="shared" si="16"/>
        <v/>
      </c>
      <c r="R39" s="21" t="str">
        <f t="shared" si="17"/>
        <v/>
      </c>
      <c r="S39" s="21" t="str">
        <f t="shared" si="18"/>
        <v/>
      </c>
      <c r="T39" s="21" t="str">
        <f t="shared" si="19"/>
        <v/>
      </c>
      <c r="U39" s="21" t="str">
        <f t="shared" si="20"/>
        <v/>
      </c>
      <c r="V39" s="21" t="str">
        <f t="shared" si="21"/>
        <v/>
      </c>
      <c r="W39" s="21" t="str">
        <f t="shared" si="22"/>
        <v/>
      </c>
      <c r="X39" s="21" t="str">
        <f t="shared" si="23"/>
        <v/>
      </c>
      <c r="Y39" s="21" t="str">
        <f t="shared" si="24"/>
        <v/>
      </c>
      <c r="Z39" s="21" t="str">
        <f t="shared" si="25"/>
        <v/>
      </c>
      <c r="AA39" s="21" t="str">
        <f t="shared" si="26"/>
        <v/>
      </c>
      <c r="AB39" s="21" t="str">
        <f t="shared" si="27"/>
        <v/>
      </c>
      <c r="AC39" s="21" t="str">
        <f t="shared" si="28"/>
        <v/>
      </c>
      <c r="AD39" s="21" t="str">
        <f t="shared" si="29"/>
        <v/>
      </c>
      <c r="AE39" s="1">
        <f t="shared" si="30"/>
        <v>32</v>
      </c>
      <c r="AF39" s="1">
        <f t="shared" si="31"/>
        <v>0</v>
      </c>
      <c r="AG39" s="1">
        <f t="shared" si="32"/>
        <v>0</v>
      </c>
      <c r="AH39" s="1">
        <f>IF(AF39=0,0,CHOOSE(AF39,IFERROR(_xlfn.AGGREGATE(15,6,(ROW(nINT_CaseKey)-ROW(INDEX(nINT_CaseKey,1,1))+1)/((nINT_CaseKey=$H$4)*(nINT_RowEmpty=0)),AG39),0),IFERROR(_xlfn.AGGREGATE(15,6,(ROW(nQ1_CaseKey)-ROW(INDEX(nQ1_CaseKey,1,1))+1)/((nQ1_CaseKey=$H$4)),AG39),0),IFERROR(_xlfn.AGGREGATE(15,6,(ROW(nQ2_CaseKey)-ROW(INDEX(nQ2_CaseKey,1,1))+1)/((nQ2_CaseKey=$H$4)),AG39),0),IFERROR(_xlfn.AGGREGATE(15,6,(ROW(nQ3_CaseKey)-ROW(INDEX(nQ3_CaseKey,1,1))+1)/((nQ3_CaseKey=$H$4)),AG39),0),IFERROR(_xlfn.AGGREGATE(15,6,(ROW(nQ4_CaseKey)-ROW(INDEX(nQ4_CaseKey,1,1))+1)/((nQ4_CaseKey=$H$4)),AG39),0),IFERROR(_xlfn.AGGREGATE(15,6,(ROW(nQ5_CaseKey)-ROW(INDEX(nQ5_CaseKey,1,1))+1)/((nQ5_CaseKey=$H$4)),AG39),0),IFERROR(_xlfn.AGGREGATE(15,6,(ROW(nQ6_CaseKey)-ROW(INDEX(nQ6_CaseKey,1,1))+1)/((nQ6_CaseKey=$H$4)),AG39),0),IFERROR(_xlfn.AGGREGATE(15,6,(ROW(nQ7_CaseKey)-ROW(INDEX(nQ7_CaseKey,1,1))+1)/((nQ7_CaseKey=$H$4)),AG39),0),IFERROR(_xlfn.AGGREGATE(15,6,(ROW(nQ8_CaseKey)-ROW(INDEX(nQ8_CaseKey,1,1))+1)/((nQ8_CaseKey=$H$4)),AG39),0),IFERROR(_xlfn.AGGREGATE(15,6,(ROW(nQ9_CaseKey)-ROW(INDEX(nQ9_CaseKey,1,1))+1)/((nQ9_CaseKey=$H$4)),AG39),0),IFERROR(_xlfn.AGGREGATE(15,6,(ROW(nQ10_CaseKey)-ROW(INDEX(nQ10_CaseKey,1,1))+1)/((nQ10_CaseKey=$H$4)),AG39),0),IFERROR(_xlfn.AGGREGATE(15,6,(ROW(nQ11_CaseKey)-ROW(INDEX(nQ11_CaseKey,1,1))+1)/((nQ11_CaseKey=$H$4)),AG39),0)))</f>
        <v>0</v>
      </c>
      <c r="AJ39" s="1" t="str">
        <f>IF($AF39=0,"",CHOOSE($AF39,INDEX(nINT_Case_ID,$AH39)&amp;"",INDEX(nQ1_Case_ID,$AH39)&amp;"",INDEX(nQ2_Case_ID,$AH39)&amp;"",INDEX(nQ3_Case_ID,$AH39)&amp;"",INDEX(nQ4_Case_ID,$AH39)&amp;"",INDEX(nQ5_Case_ID,$AH39)&amp;"",INDEX(nQ6_Case_ID,$AH39)&amp;"",INDEX(nQ7_Case_ID,$AH39)&amp;"",INDEX(nQ8_Case_ID,$AH39)&amp;"",INDEX(nQ9_Case_ID,$AH39)&amp;"",INDEX(nQ10_Case_ID,$AH39)&amp;"",INDEX(nQ11_Case_ID,$AH39)&amp;""))</f>
        <v/>
      </c>
      <c r="AK39" s="1" t="str">
        <f>IF($AF39=0,"",CHOOSE($AF39,INDEX(nINT_Case_Version,$AH39),INDEX(nQ1_Case_Version,$AH39),INDEX(nQ2_Case_Version,$AH39),INDEX(nQ3_Case_Version,$AH39),INDEX(nQ4_Case_Version,$AH39),INDEX(nQ5_Case_Version,$AH39),INDEX(nQ6_Case_Version,$AH39),INDEX(nQ7_Case_Version,$AH39),INDEX(nQ8_Case_Version,$AH39),INDEX(nQ9_Case_Version,$AH39),INDEX(nQ10_Case_Version,$AH39),INDEX(nQ11_Case_Version,$AH39)))</f>
        <v/>
      </c>
      <c r="AL39" s="1" t="str">
        <f>IF($AF39=0,"",CHOOSE($AF39,INDEX(nINT_Interval_ID,$AH39)&amp;"",INDEX(nQ1_Calc_ID,$AH39)&amp;"",INDEX(nQ2_Calc_ID,$AH39)&amp;"",INDEX(nQ3_Calc_ID,$AH39)&amp;"",INDEX(nQ4_Calc_ID,$AH39)&amp;"",INDEX(nQ5_Calc_ID,$AH39)&amp;"",INDEX(nQ6_Calc_ID,$AH39)&amp;"",INDEX(nQ7_Calc_ID,$AH39)&amp;"",INDEX(nQ8_Calc_ID,$AH39)&amp;"",INDEX(nQ9_Calc_ID,$AH39)&amp;"",INDEX(nQ10_Calc_ID,$AH39)&amp;"",INDEX(nQ11_Calc_ID,$AH39)&amp;""))</f>
        <v/>
      </c>
      <c r="AM39" s="1" t="str">
        <f>IF($AF39=0,"",CHOOSE($AF39,INDEX(nINT_Label,$AH39)&amp;"",INDEX(nQ1_Label_Out,$AH39)&amp;"",INDEX(nQ2_Label_Out,$AH39)&amp;"",INDEX(nQ3_Label_Out,$AH39)&amp;"",INDEX(nQ4_Label_Out,$AH39)&amp;"",INDEX(nQ5_Label_Out,$AH39)&amp;"",INDEX(nQ6_Label_Out,$AH39)&amp;"",INDEX(nQ7_Label_Out,$AH39)&amp;"",INDEX(nQ8_Label_Out,$AH39)&amp;"",INDEX(nQ9_Label_Out,$AH39)&amp;"",INDEX(nQ10_Label_Out,$AH39)&amp;"",INDEX(nQ11_Label_Out,$AH39)&amp;""))</f>
        <v/>
      </c>
      <c r="AN39" s="1" t="str">
        <f>IF($AF39=0,"",CHOOSE($AF39,IF(INDEX(nINT_LinkRow,$AH39)=0,"",INDEX(nINT_Link_ID,$AH39)&amp;""),"","","","","","","","","","",""))</f>
        <v/>
      </c>
      <c r="AO39" s="1" t="str">
        <f>IF($AF39=0,"",CHOOSE($AF39,INDEX(nINT_Exposure_Episode_ID,$AH39)&amp;"","","","","","","","","","","",""))</f>
        <v/>
      </c>
      <c r="AP39" s="1" t="str">
        <f>IF($AF39=0,"",CHOOSE($AF39,INDEX(nINT_Event_Episode_ID,$AH39)&amp;"","","","","","","","","","","",""))</f>
        <v/>
      </c>
      <c r="AQ39" s="1" t="str">
        <f>IF($AF39=0,"",CHOOSE($AF39,INDEX(nINT_End_Record_ID_Used,$AH39)&amp;"","","","","","","","","","","",""))</f>
        <v/>
      </c>
      <c r="AR39" s="1" t="str">
        <f>IF($AF39=0,"",CHOOSE($AF39,INDEX(nINT_Interval_Value,$AH39),"","","","","","","","","","",""))</f>
        <v/>
      </c>
      <c r="AS39" s="1" t="str">
        <f>IF($AF39=0,"",CHOOSE($AF39,INDEX(nINT_Interval_Minimum,$AH39),"","","","","","","","","","",""))</f>
        <v/>
      </c>
      <c r="AT39" s="1" t="str">
        <f>IF($AF39=0,"",CHOOSE($AF39,INDEX(nINT_Interval_Maximum,$AH39),"","","","","","","","","","",""))</f>
        <v/>
      </c>
      <c r="AU39" s="1" t="str">
        <f>IF($AF39=0,"",CHOOSE($AF39,INDEX(nINT_Unit,$AH39)&amp;"",INDEX(nQ1_Unit_Out,$AH39)&amp;"",INDEX(nQ2_Unit_Out,$AH39)&amp;"",INDEX(nQ3_Unit_Out,$AH39)&amp;"",INDEX(nQ4_Unit_Out,$AH39)&amp;"",INDEX(nQ5_Unit_Out,$AH39)&amp;"",INDEX(nQ6_Unit_Out,$AH39)&amp;"",INDEX(nQ7_Unit_Out,$AH39)&amp;"",INDEX(nQ8_Unit_Out,$AH39)&amp;"",INDEX(nQ9_Unit_Out,$AH39)&amp;"",INDEX(nQ10_Unit_Out,$AH39)&amp;"",INDEX(nQ11_Unit_Out,$AH39)&amp;""))</f>
        <v/>
      </c>
      <c r="AV39" s="1" t="str">
        <f>IF($AF39=0,"",CHOOSE($AF39,INDEX(nINT_Displayed_Value,$AH39)&amp;"",INDEX(nQ1_Displayed_Value,$AH39)&amp;"",INDEX(nQ2_Displayed_Value,$AH39)&amp;"",INDEX(nQ3_Displayed_Value,$AH39)&amp;"",INDEX(nQ4_Displayed_Value,$AH39)&amp;"",INDEX(nQ5_Displayed_Value,$AH39)&amp;"",INDEX(nQ6_Displayed_Value,$AH39)&amp;"",INDEX(nQ7_Displayed_Value,$AH39)&amp;"",INDEX(nQ8_Displayed_Value,$AH39)&amp;"",INDEX(nQ9_Displayed_Value,$AH39)&amp;"",INDEX(nQ10_Displayed_Value,$AH39)&amp;"",INDEX(nQ11_Displayed_Value,$AH39)&amp;""))</f>
        <v/>
      </c>
      <c r="AW39" s="1" t="str">
        <f>IF($AF39=0,"",CHOOSE($AF39,INDEX(nINT_Calculation_Mode_Used,$AH39)&amp;"","Q1","Q2","Q3","Q4","Q5","Q6","Q7","Q8","Q9","Q10","Q11"))</f>
        <v/>
      </c>
      <c r="AX39" s="1" t="str">
        <f>IF($AF39=0,"",CHOOSE($AF39,INDEX(nINT_Anchor_Type,$AH39)&amp;"","","","","","","","","","","",""))</f>
        <v/>
      </c>
      <c r="AY39" s="1" t="str">
        <f>IF($AF39=0,"",CHOOSE($AF39,IF(INDEX(nINT_K_Ok,$AH39)=1,INDEX(nINT_Anchor_Record_ID_Used,$AH39)&amp;"",""),"","","","","","","","","","",""))</f>
        <v/>
      </c>
      <c r="AZ39" s="1" t="str">
        <f>IF($AF39=0,"",CHOOSE($AF39,INDEX(nINT_Anchor_Description,$AH39)&amp;"","","","","","","","","","","",""))</f>
        <v/>
      </c>
      <c r="BA39" s="1" t="str">
        <f>IF($AF39=0,"",CHOOSE($AF39,INDEX(nINT_Sequence_Status,$AH39)&amp;"","","","","","","","","","","",""))</f>
        <v/>
      </c>
      <c r="BB39" s="1" t="str">
        <f>IF($AF39=0,"",CHOOSE($AF39,INDEX(nINT_Treatment_Day,$AH39),"","","","","","","","","","",""))</f>
        <v/>
      </c>
      <c r="BC39" s="1" t="str">
        <f>IF($AF39=0,"",CHOOSE($AF39,INDEX(nINT_Reported_Timing_Result,$AH39)&amp;"","","","","","","","","","","",""))</f>
        <v/>
      </c>
      <c r="BD39" s="1" t="str">
        <f>IF($AF39=0,"",CHOOSE($AF39,IF(INDEX(nINT_K_HasC,$AH39)=1,INDEX(nINT_Constraint_Source,$AH39)&amp;"",""),"","","","","","","","","","",""))</f>
        <v/>
      </c>
      <c r="BE39" s="1" t="str">
        <f>IF($AF39=0,"",CHOOSE($AF39,"",INDEX(nQ1_Results_Text,$AH39)&amp;"",INDEX(nQ2_Results_Text,$AH39)&amp;"",INDEX(nQ3_Results_Text,$AH39)&amp;"",INDEX(nQ4_Results_Text,$AH39)&amp;"",INDEX(nQ5_Results_Text,$AH39)&amp;"",INDEX(nQ6_Results_Text,$AH39)&amp;"",INDEX(nQ7_Results_Text,$AH39)&amp;"",INDEX(nQ8_Results_Text,$AH39)&amp;"",INDEX(nQ9_Results_Text,$AH39)&amp;"",INDEX(nQ10_Results_Text,$AH39)&amp;"",INDEX(nQ11_Results_Text,$AH39)&amp;""))</f>
        <v/>
      </c>
      <c r="BF39" s="1" t="str">
        <f>IF($AF39=0,"",CHOOSE($AF39,INDEX(nINT_Parameter_Set,$AH39)&amp;"",INDEX(nQ1_Parameter_Set,$AH39)&amp;"",INDEX(nQ2_Parameter_Set,$AH39)&amp;"",INDEX(nQ3_Parameter_Set,$AH39)&amp;"",INDEX(nQ4_Parameter_Set,$AH39)&amp;"",INDEX(nQ5_Parameter_Set,$AH39)&amp;"",INDEX(nQ6_Parameter_Set,$AH39)&amp;"",INDEX(nQ7_Parameter_Set,$AH39)&amp;"",INDEX(nQ8_Parameter_Set,$AH39)&amp;"",INDEX(nQ9_Parameter_Set,$AH39)&amp;"",INDEX(nQ10_Parameter_Set,$AH39)&amp;"",INDEX(nQ11_Parameter_Set,$AH39)&amp;""))</f>
        <v/>
      </c>
      <c r="BG39" s="1" t="str">
        <f>IF($AF39=0,"",CHOOSE($AF39,INDEX(nINT_Assumptions,$AH39)&amp;"",INDEX(nQ1_Assumptions,$AH39)&amp;"",INDEX(nQ2_Assumptions,$AH39)&amp;"",INDEX(nQ3_Assumptions,$AH39)&amp;"",INDEX(nQ4_Assumptions,$AH39)&amp;"",INDEX(nQ5_Assumptions,$AH39)&amp;"",INDEX(nQ6_Assumptions,$AH39)&amp;"",INDEX(nQ7_Assumptions,$AH39)&amp;"",INDEX(nQ8_Assumptions,$AH39)&amp;"",INDEX(nQ9_Assumptions,$AH39)&amp;"",INDEX(nQ10_Assumptions,$AH39)&amp;"",INDEX(nQ11_Assumptions,$AH39)&amp;""))</f>
        <v/>
      </c>
      <c r="BH39" s="1" t="str">
        <f>IF($AF39=0,"",CHOOSE($AF39,INDEX(nINT_Calculation_Version,$AH39)&amp;"",INDEX(nQ1_Calculation_Version,$AH39)&amp;"",INDEX(nQ2_Calculation_Version,$AH39)&amp;"",INDEX(nQ3_Calculation_Version,$AH39)&amp;"",INDEX(nQ4_Calculation_Version,$AH39)&amp;"",INDEX(nQ5_Calculation_Version,$AH39)&amp;"",INDEX(nQ6_Calculation_Version,$AH39)&amp;"",INDEX(nQ7_Calculation_Version,$AH39)&amp;"",INDEX(nQ8_Calculation_Version,$AH39)&amp;"",INDEX(nQ9_Calculation_Version,$AH39)&amp;"",INDEX(nQ10_Calculation_Version,$AH39)&amp;"",INDEX(nQ11_Calculation_Version,$AH39)&amp;""))</f>
        <v/>
      </c>
      <c r="BI39" s="1" t="str">
        <f>IF($AF39=0,"",CHOOSE($AF39,INDEX(nINT_QC_Flags,$AH39)&amp;"",INDEX(nQ1_QC_Flags,$AH39)&amp;"",INDEX(nQ2_QC_Flags,$AH39)&amp;"",INDEX(nQ3_QC_Flags,$AH39)&amp;"",INDEX(nQ4_QC_Flags,$AH39)&amp;"",INDEX(nQ5_QC_Flags,$AH39)&amp;"",INDEX(nQ6_QC_Flags,$AH39)&amp;"",INDEX(nQ7_QC_Flags,$AH39)&amp;"",INDEX(nQ8_QC_Flags,$AH39)&amp;"",INDEX(nQ9_QC_Flags,$AH39)&amp;"",INDEX(nQ10_QC_Flags,$AH39)&amp;"",INDEX(nQ11_QC_Flags,$AH39)&amp;""))</f>
        <v/>
      </c>
      <c r="BJ39" s="1" t="str">
        <f>IF($AF39=0,"",CHOOSE($AF39,INDEX(nINT_Messages,$AH39)&amp;"",INDEX(nQ1_Messages,$AH39)&amp;"",INDEX(nQ2_Messages,$AH39)&amp;"",INDEX(nQ3_Messages,$AH39)&amp;"",INDEX(nQ4_Messages,$AH39)&amp;"",INDEX(nQ5_Messages,$AH39)&amp;"",INDEX(nQ6_Messages,$AH39)&amp;"",INDEX(nQ7_Messages,$AH39)&amp;"",INDEX(nQ8_Messages,$AH39)&amp;"",INDEX(nQ9_Messages,$AH39)&amp;"",INDEX(nQ10_Messages,$AH39)&amp;"",INDEX(nQ11_Messages,$AH39)&amp;""))</f>
        <v/>
      </c>
      <c r="BK39" s="1" t="str">
        <f>IF($AF39=0,"",CHOOSE($AF39,INDEX(nINT_Limitations,$AH39)&amp;"",INDEX(nQ1_Mandatory_Text,$AH39)&amp;"",INDEX(nQ2_Mandatory_Text,$AH39)&amp;"",INDEX(nQ3_Mandatory_Text,$AH39)&amp;"",INDEX(nQ4_Mandatory_Text,$AH39)&amp;"",INDEX(nQ5_Mandatory_Text,$AH39)&amp;"",INDEX(nQ6_Mandatory_Text,$AH39)&amp;"",INDEX(nQ7_Mandatory_Text,$AH39)&amp;"",INDEX(nQ8_Mandatory_Text,$AH39)&amp;"",INDEX(nQ9_Mandatory_Text,$AH39)&amp;"",INDEX(nQ10_Mandatory_Text,$AH39)&amp;"",INDEX(nQ11_Mandatory_Text,$AH39)&amp;""))</f>
        <v/>
      </c>
      <c r="BL39" s="1" t="str">
        <f t="shared" si="33"/>
        <v/>
      </c>
      <c r="BM39" s="1" t="str">
        <f t="shared" si="34"/>
        <v/>
      </c>
    </row>
    <row r="40" spans="1:65" x14ac:dyDescent="0.2">
      <c r="A40" s="21" t="str">
        <f t="shared" si="0"/>
        <v/>
      </c>
      <c r="B40" s="21" t="str">
        <f t="shared" si="1"/>
        <v/>
      </c>
      <c r="C40" s="21" t="str">
        <f t="shared" si="2"/>
        <v/>
      </c>
      <c r="D40" s="21" t="str">
        <f t="shared" si="3"/>
        <v/>
      </c>
      <c r="E40" s="21" t="str">
        <f t="shared" si="4"/>
        <v/>
      </c>
      <c r="F40" s="21" t="str">
        <f t="shared" si="5"/>
        <v/>
      </c>
      <c r="G40" s="21" t="str">
        <f t="shared" si="6"/>
        <v/>
      </c>
      <c r="H40" s="21" t="str">
        <f t="shared" si="7"/>
        <v/>
      </c>
      <c r="I40" s="21" t="str">
        <f t="shared" si="8"/>
        <v/>
      </c>
      <c r="J40" s="21" t="str">
        <f t="shared" si="9"/>
        <v/>
      </c>
      <c r="K40" s="21" t="str">
        <f t="shared" si="10"/>
        <v/>
      </c>
      <c r="L40" s="21" t="str">
        <f t="shared" si="11"/>
        <v/>
      </c>
      <c r="M40" s="21" t="str">
        <f t="shared" si="12"/>
        <v/>
      </c>
      <c r="N40" s="21" t="str">
        <f t="shared" si="13"/>
        <v/>
      </c>
      <c r="O40" s="21" t="str">
        <f t="shared" si="14"/>
        <v/>
      </c>
      <c r="P40" s="21" t="str">
        <f t="shared" si="15"/>
        <v/>
      </c>
      <c r="Q40" s="21" t="str">
        <f t="shared" si="16"/>
        <v/>
      </c>
      <c r="R40" s="21" t="str">
        <f t="shared" si="17"/>
        <v/>
      </c>
      <c r="S40" s="21" t="str">
        <f t="shared" si="18"/>
        <v/>
      </c>
      <c r="T40" s="21" t="str">
        <f t="shared" si="19"/>
        <v/>
      </c>
      <c r="U40" s="21" t="str">
        <f t="shared" si="20"/>
        <v/>
      </c>
      <c r="V40" s="21" t="str">
        <f t="shared" si="21"/>
        <v/>
      </c>
      <c r="W40" s="21" t="str">
        <f t="shared" si="22"/>
        <v/>
      </c>
      <c r="X40" s="21" t="str">
        <f t="shared" si="23"/>
        <v/>
      </c>
      <c r="Y40" s="21" t="str">
        <f t="shared" si="24"/>
        <v/>
      </c>
      <c r="Z40" s="21" t="str">
        <f t="shared" si="25"/>
        <v/>
      </c>
      <c r="AA40" s="21" t="str">
        <f t="shared" si="26"/>
        <v/>
      </c>
      <c r="AB40" s="21" t="str">
        <f t="shared" si="27"/>
        <v/>
      </c>
      <c r="AC40" s="21" t="str">
        <f t="shared" si="28"/>
        <v/>
      </c>
      <c r="AD40" s="21" t="str">
        <f t="shared" si="29"/>
        <v/>
      </c>
      <c r="AE40" s="1">
        <f t="shared" si="30"/>
        <v>33</v>
      </c>
      <c r="AF40" s="1">
        <f t="shared" si="31"/>
        <v>0</v>
      </c>
      <c r="AG40" s="1">
        <f t="shared" si="32"/>
        <v>0</v>
      </c>
      <c r="AH40" s="1">
        <f>IF(AF40=0,0,CHOOSE(AF40,IFERROR(_xlfn.AGGREGATE(15,6,(ROW(nINT_CaseKey)-ROW(INDEX(nINT_CaseKey,1,1))+1)/((nINT_CaseKey=$H$4)*(nINT_RowEmpty=0)),AG40),0),IFERROR(_xlfn.AGGREGATE(15,6,(ROW(nQ1_CaseKey)-ROW(INDEX(nQ1_CaseKey,1,1))+1)/((nQ1_CaseKey=$H$4)),AG40),0),IFERROR(_xlfn.AGGREGATE(15,6,(ROW(nQ2_CaseKey)-ROW(INDEX(nQ2_CaseKey,1,1))+1)/((nQ2_CaseKey=$H$4)),AG40),0),IFERROR(_xlfn.AGGREGATE(15,6,(ROW(nQ3_CaseKey)-ROW(INDEX(nQ3_CaseKey,1,1))+1)/((nQ3_CaseKey=$H$4)),AG40),0),IFERROR(_xlfn.AGGREGATE(15,6,(ROW(nQ4_CaseKey)-ROW(INDEX(nQ4_CaseKey,1,1))+1)/((nQ4_CaseKey=$H$4)),AG40),0),IFERROR(_xlfn.AGGREGATE(15,6,(ROW(nQ5_CaseKey)-ROW(INDEX(nQ5_CaseKey,1,1))+1)/((nQ5_CaseKey=$H$4)),AG40),0),IFERROR(_xlfn.AGGREGATE(15,6,(ROW(nQ6_CaseKey)-ROW(INDEX(nQ6_CaseKey,1,1))+1)/((nQ6_CaseKey=$H$4)),AG40),0),IFERROR(_xlfn.AGGREGATE(15,6,(ROW(nQ7_CaseKey)-ROW(INDEX(nQ7_CaseKey,1,1))+1)/((nQ7_CaseKey=$H$4)),AG40),0),IFERROR(_xlfn.AGGREGATE(15,6,(ROW(nQ8_CaseKey)-ROW(INDEX(nQ8_CaseKey,1,1))+1)/((nQ8_CaseKey=$H$4)),AG40),0),IFERROR(_xlfn.AGGREGATE(15,6,(ROW(nQ9_CaseKey)-ROW(INDEX(nQ9_CaseKey,1,1))+1)/((nQ9_CaseKey=$H$4)),AG40),0),IFERROR(_xlfn.AGGREGATE(15,6,(ROW(nQ10_CaseKey)-ROW(INDEX(nQ10_CaseKey,1,1))+1)/((nQ10_CaseKey=$H$4)),AG40),0),IFERROR(_xlfn.AGGREGATE(15,6,(ROW(nQ11_CaseKey)-ROW(INDEX(nQ11_CaseKey,1,1))+1)/((nQ11_CaseKey=$H$4)),AG40),0)))</f>
        <v>0</v>
      </c>
      <c r="AJ40" s="1" t="str">
        <f>IF($AF40=0,"",CHOOSE($AF40,INDEX(nINT_Case_ID,$AH40)&amp;"",INDEX(nQ1_Case_ID,$AH40)&amp;"",INDEX(nQ2_Case_ID,$AH40)&amp;"",INDEX(nQ3_Case_ID,$AH40)&amp;"",INDEX(nQ4_Case_ID,$AH40)&amp;"",INDEX(nQ5_Case_ID,$AH40)&amp;"",INDEX(nQ6_Case_ID,$AH40)&amp;"",INDEX(nQ7_Case_ID,$AH40)&amp;"",INDEX(nQ8_Case_ID,$AH40)&amp;"",INDEX(nQ9_Case_ID,$AH40)&amp;"",INDEX(nQ10_Case_ID,$AH40)&amp;"",INDEX(nQ11_Case_ID,$AH40)&amp;""))</f>
        <v/>
      </c>
      <c r="AK40" s="1" t="str">
        <f>IF($AF40=0,"",CHOOSE($AF40,INDEX(nINT_Case_Version,$AH40),INDEX(nQ1_Case_Version,$AH40),INDEX(nQ2_Case_Version,$AH40),INDEX(nQ3_Case_Version,$AH40),INDEX(nQ4_Case_Version,$AH40),INDEX(nQ5_Case_Version,$AH40),INDEX(nQ6_Case_Version,$AH40),INDEX(nQ7_Case_Version,$AH40),INDEX(nQ8_Case_Version,$AH40),INDEX(nQ9_Case_Version,$AH40),INDEX(nQ10_Case_Version,$AH40),INDEX(nQ11_Case_Version,$AH40)))</f>
        <v/>
      </c>
      <c r="AL40" s="1" t="str">
        <f>IF($AF40=0,"",CHOOSE($AF40,INDEX(nINT_Interval_ID,$AH40)&amp;"",INDEX(nQ1_Calc_ID,$AH40)&amp;"",INDEX(nQ2_Calc_ID,$AH40)&amp;"",INDEX(nQ3_Calc_ID,$AH40)&amp;"",INDEX(nQ4_Calc_ID,$AH40)&amp;"",INDEX(nQ5_Calc_ID,$AH40)&amp;"",INDEX(nQ6_Calc_ID,$AH40)&amp;"",INDEX(nQ7_Calc_ID,$AH40)&amp;"",INDEX(nQ8_Calc_ID,$AH40)&amp;"",INDEX(nQ9_Calc_ID,$AH40)&amp;"",INDEX(nQ10_Calc_ID,$AH40)&amp;"",INDEX(nQ11_Calc_ID,$AH40)&amp;""))</f>
        <v/>
      </c>
      <c r="AM40" s="1" t="str">
        <f>IF($AF40=0,"",CHOOSE($AF40,INDEX(nINT_Label,$AH40)&amp;"",INDEX(nQ1_Label_Out,$AH40)&amp;"",INDEX(nQ2_Label_Out,$AH40)&amp;"",INDEX(nQ3_Label_Out,$AH40)&amp;"",INDEX(nQ4_Label_Out,$AH40)&amp;"",INDEX(nQ5_Label_Out,$AH40)&amp;"",INDEX(nQ6_Label_Out,$AH40)&amp;"",INDEX(nQ7_Label_Out,$AH40)&amp;"",INDEX(nQ8_Label_Out,$AH40)&amp;"",INDEX(nQ9_Label_Out,$AH40)&amp;"",INDEX(nQ10_Label_Out,$AH40)&amp;"",INDEX(nQ11_Label_Out,$AH40)&amp;""))</f>
        <v/>
      </c>
      <c r="AN40" s="1" t="str">
        <f>IF($AF40=0,"",CHOOSE($AF40,IF(INDEX(nINT_LinkRow,$AH40)=0,"",INDEX(nINT_Link_ID,$AH40)&amp;""),"","","","","","","","","","",""))</f>
        <v/>
      </c>
      <c r="AO40" s="1" t="str">
        <f>IF($AF40=0,"",CHOOSE($AF40,INDEX(nINT_Exposure_Episode_ID,$AH40)&amp;"","","","","","","","","","","",""))</f>
        <v/>
      </c>
      <c r="AP40" s="1" t="str">
        <f>IF($AF40=0,"",CHOOSE($AF40,INDEX(nINT_Event_Episode_ID,$AH40)&amp;"","","","","","","","","","","",""))</f>
        <v/>
      </c>
      <c r="AQ40" s="1" t="str">
        <f>IF($AF40=0,"",CHOOSE($AF40,INDEX(nINT_End_Record_ID_Used,$AH40)&amp;"","","","","","","","","","","",""))</f>
        <v/>
      </c>
      <c r="AR40" s="1" t="str">
        <f>IF($AF40=0,"",CHOOSE($AF40,INDEX(nINT_Interval_Value,$AH40),"","","","","","","","","","",""))</f>
        <v/>
      </c>
      <c r="AS40" s="1" t="str">
        <f>IF($AF40=0,"",CHOOSE($AF40,INDEX(nINT_Interval_Minimum,$AH40),"","","","","","","","","","",""))</f>
        <v/>
      </c>
      <c r="AT40" s="1" t="str">
        <f>IF($AF40=0,"",CHOOSE($AF40,INDEX(nINT_Interval_Maximum,$AH40),"","","","","","","","","","",""))</f>
        <v/>
      </c>
      <c r="AU40" s="1" t="str">
        <f>IF($AF40=0,"",CHOOSE($AF40,INDEX(nINT_Unit,$AH40)&amp;"",INDEX(nQ1_Unit_Out,$AH40)&amp;"",INDEX(nQ2_Unit_Out,$AH40)&amp;"",INDEX(nQ3_Unit_Out,$AH40)&amp;"",INDEX(nQ4_Unit_Out,$AH40)&amp;"",INDEX(nQ5_Unit_Out,$AH40)&amp;"",INDEX(nQ6_Unit_Out,$AH40)&amp;"",INDEX(nQ7_Unit_Out,$AH40)&amp;"",INDEX(nQ8_Unit_Out,$AH40)&amp;"",INDEX(nQ9_Unit_Out,$AH40)&amp;"",INDEX(nQ10_Unit_Out,$AH40)&amp;"",INDEX(nQ11_Unit_Out,$AH40)&amp;""))</f>
        <v/>
      </c>
      <c r="AV40" s="1" t="str">
        <f>IF($AF40=0,"",CHOOSE($AF40,INDEX(nINT_Displayed_Value,$AH40)&amp;"",INDEX(nQ1_Displayed_Value,$AH40)&amp;"",INDEX(nQ2_Displayed_Value,$AH40)&amp;"",INDEX(nQ3_Displayed_Value,$AH40)&amp;"",INDEX(nQ4_Displayed_Value,$AH40)&amp;"",INDEX(nQ5_Displayed_Value,$AH40)&amp;"",INDEX(nQ6_Displayed_Value,$AH40)&amp;"",INDEX(nQ7_Displayed_Value,$AH40)&amp;"",INDEX(nQ8_Displayed_Value,$AH40)&amp;"",INDEX(nQ9_Displayed_Value,$AH40)&amp;"",INDEX(nQ10_Displayed_Value,$AH40)&amp;"",INDEX(nQ11_Displayed_Value,$AH40)&amp;""))</f>
        <v/>
      </c>
      <c r="AW40" s="1" t="str">
        <f>IF($AF40=0,"",CHOOSE($AF40,INDEX(nINT_Calculation_Mode_Used,$AH40)&amp;"","Q1","Q2","Q3","Q4","Q5","Q6","Q7","Q8","Q9","Q10","Q11"))</f>
        <v/>
      </c>
      <c r="AX40" s="1" t="str">
        <f>IF($AF40=0,"",CHOOSE($AF40,INDEX(nINT_Anchor_Type,$AH40)&amp;"","","","","","","","","","","",""))</f>
        <v/>
      </c>
      <c r="AY40" s="1" t="str">
        <f>IF($AF40=0,"",CHOOSE($AF40,IF(INDEX(nINT_K_Ok,$AH40)=1,INDEX(nINT_Anchor_Record_ID_Used,$AH40)&amp;"",""),"","","","","","","","","","",""))</f>
        <v/>
      </c>
      <c r="AZ40" s="1" t="str">
        <f>IF($AF40=0,"",CHOOSE($AF40,INDEX(nINT_Anchor_Description,$AH40)&amp;"","","","","","","","","","","",""))</f>
        <v/>
      </c>
      <c r="BA40" s="1" t="str">
        <f>IF($AF40=0,"",CHOOSE($AF40,INDEX(nINT_Sequence_Status,$AH40)&amp;"","","","","","","","","","","",""))</f>
        <v/>
      </c>
      <c r="BB40" s="1" t="str">
        <f>IF($AF40=0,"",CHOOSE($AF40,INDEX(nINT_Treatment_Day,$AH40),"","","","","","","","","","",""))</f>
        <v/>
      </c>
      <c r="BC40" s="1" t="str">
        <f>IF($AF40=0,"",CHOOSE($AF40,INDEX(nINT_Reported_Timing_Result,$AH40)&amp;"","","","","","","","","","","",""))</f>
        <v/>
      </c>
      <c r="BD40" s="1" t="str">
        <f>IF($AF40=0,"",CHOOSE($AF40,IF(INDEX(nINT_K_HasC,$AH40)=1,INDEX(nINT_Constraint_Source,$AH40)&amp;"",""),"","","","","","","","","","",""))</f>
        <v/>
      </c>
      <c r="BE40" s="1" t="str">
        <f>IF($AF40=0,"",CHOOSE($AF40,"",INDEX(nQ1_Results_Text,$AH40)&amp;"",INDEX(nQ2_Results_Text,$AH40)&amp;"",INDEX(nQ3_Results_Text,$AH40)&amp;"",INDEX(nQ4_Results_Text,$AH40)&amp;"",INDEX(nQ5_Results_Text,$AH40)&amp;"",INDEX(nQ6_Results_Text,$AH40)&amp;"",INDEX(nQ7_Results_Text,$AH40)&amp;"",INDEX(nQ8_Results_Text,$AH40)&amp;"",INDEX(nQ9_Results_Text,$AH40)&amp;"",INDEX(nQ10_Results_Text,$AH40)&amp;"",INDEX(nQ11_Results_Text,$AH40)&amp;""))</f>
        <v/>
      </c>
      <c r="BF40" s="1" t="str">
        <f>IF($AF40=0,"",CHOOSE($AF40,INDEX(nINT_Parameter_Set,$AH40)&amp;"",INDEX(nQ1_Parameter_Set,$AH40)&amp;"",INDEX(nQ2_Parameter_Set,$AH40)&amp;"",INDEX(nQ3_Parameter_Set,$AH40)&amp;"",INDEX(nQ4_Parameter_Set,$AH40)&amp;"",INDEX(nQ5_Parameter_Set,$AH40)&amp;"",INDEX(nQ6_Parameter_Set,$AH40)&amp;"",INDEX(nQ7_Parameter_Set,$AH40)&amp;"",INDEX(nQ8_Parameter_Set,$AH40)&amp;"",INDEX(nQ9_Parameter_Set,$AH40)&amp;"",INDEX(nQ10_Parameter_Set,$AH40)&amp;"",INDEX(nQ11_Parameter_Set,$AH40)&amp;""))</f>
        <v/>
      </c>
      <c r="BG40" s="1" t="str">
        <f>IF($AF40=0,"",CHOOSE($AF40,INDEX(nINT_Assumptions,$AH40)&amp;"",INDEX(nQ1_Assumptions,$AH40)&amp;"",INDEX(nQ2_Assumptions,$AH40)&amp;"",INDEX(nQ3_Assumptions,$AH40)&amp;"",INDEX(nQ4_Assumptions,$AH40)&amp;"",INDEX(nQ5_Assumptions,$AH40)&amp;"",INDEX(nQ6_Assumptions,$AH40)&amp;"",INDEX(nQ7_Assumptions,$AH40)&amp;"",INDEX(nQ8_Assumptions,$AH40)&amp;"",INDEX(nQ9_Assumptions,$AH40)&amp;"",INDEX(nQ10_Assumptions,$AH40)&amp;"",INDEX(nQ11_Assumptions,$AH40)&amp;""))</f>
        <v/>
      </c>
      <c r="BH40" s="1" t="str">
        <f>IF($AF40=0,"",CHOOSE($AF40,INDEX(nINT_Calculation_Version,$AH40)&amp;"",INDEX(nQ1_Calculation_Version,$AH40)&amp;"",INDEX(nQ2_Calculation_Version,$AH40)&amp;"",INDEX(nQ3_Calculation_Version,$AH40)&amp;"",INDEX(nQ4_Calculation_Version,$AH40)&amp;"",INDEX(nQ5_Calculation_Version,$AH40)&amp;"",INDEX(nQ6_Calculation_Version,$AH40)&amp;"",INDEX(nQ7_Calculation_Version,$AH40)&amp;"",INDEX(nQ8_Calculation_Version,$AH40)&amp;"",INDEX(nQ9_Calculation_Version,$AH40)&amp;"",INDEX(nQ10_Calculation_Version,$AH40)&amp;"",INDEX(nQ11_Calculation_Version,$AH40)&amp;""))</f>
        <v/>
      </c>
      <c r="BI40" s="1" t="str">
        <f>IF($AF40=0,"",CHOOSE($AF40,INDEX(nINT_QC_Flags,$AH40)&amp;"",INDEX(nQ1_QC_Flags,$AH40)&amp;"",INDEX(nQ2_QC_Flags,$AH40)&amp;"",INDEX(nQ3_QC_Flags,$AH40)&amp;"",INDEX(nQ4_QC_Flags,$AH40)&amp;"",INDEX(nQ5_QC_Flags,$AH40)&amp;"",INDEX(nQ6_QC_Flags,$AH40)&amp;"",INDEX(nQ7_QC_Flags,$AH40)&amp;"",INDEX(nQ8_QC_Flags,$AH40)&amp;"",INDEX(nQ9_QC_Flags,$AH40)&amp;"",INDEX(nQ10_QC_Flags,$AH40)&amp;"",INDEX(nQ11_QC_Flags,$AH40)&amp;""))</f>
        <v/>
      </c>
      <c r="BJ40" s="1" t="str">
        <f>IF($AF40=0,"",CHOOSE($AF40,INDEX(nINT_Messages,$AH40)&amp;"",INDEX(nQ1_Messages,$AH40)&amp;"",INDEX(nQ2_Messages,$AH40)&amp;"",INDEX(nQ3_Messages,$AH40)&amp;"",INDEX(nQ4_Messages,$AH40)&amp;"",INDEX(nQ5_Messages,$AH40)&amp;"",INDEX(nQ6_Messages,$AH40)&amp;"",INDEX(nQ7_Messages,$AH40)&amp;"",INDEX(nQ8_Messages,$AH40)&amp;"",INDEX(nQ9_Messages,$AH40)&amp;"",INDEX(nQ10_Messages,$AH40)&amp;"",INDEX(nQ11_Messages,$AH40)&amp;""))</f>
        <v/>
      </c>
      <c r="BK40" s="1" t="str">
        <f>IF($AF40=0,"",CHOOSE($AF40,INDEX(nINT_Limitations,$AH40)&amp;"",INDEX(nQ1_Mandatory_Text,$AH40)&amp;"",INDEX(nQ2_Mandatory_Text,$AH40)&amp;"",INDEX(nQ3_Mandatory_Text,$AH40)&amp;"",INDEX(nQ4_Mandatory_Text,$AH40)&amp;"",INDEX(nQ5_Mandatory_Text,$AH40)&amp;"",INDEX(nQ6_Mandatory_Text,$AH40)&amp;"",INDEX(nQ7_Mandatory_Text,$AH40)&amp;"",INDEX(nQ8_Mandatory_Text,$AH40)&amp;"",INDEX(nQ9_Mandatory_Text,$AH40)&amp;"",INDEX(nQ10_Mandatory_Text,$AH40)&amp;"",INDEX(nQ11_Mandatory_Text,$AH40)&amp;""))</f>
        <v/>
      </c>
      <c r="BL40" s="1" t="str">
        <f t="shared" si="33"/>
        <v/>
      </c>
      <c r="BM40" s="1" t="str">
        <f t="shared" si="34"/>
        <v/>
      </c>
    </row>
    <row r="41" spans="1:65" x14ac:dyDescent="0.2">
      <c r="A41" s="21" t="str">
        <f t="shared" si="0"/>
        <v/>
      </c>
      <c r="B41" s="21" t="str">
        <f t="shared" si="1"/>
        <v/>
      </c>
      <c r="C41" s="21" t="str">
        <f t="shared" si="2"/>
        <v/>
      </c>
      <c r="D41" s="21" t="str">
        <f t="shared" si="3"/>
        <v/>
      </c>
      <c r="E41" s="21" t="str">
        <f t="shared" si="4"/>
        <v/>
      </c>
      <c r="F41" s="21" t="str">
        <f t="shared" si="5"/>
        <v/>
      </c>
      <c r="G41" s="21" t="str">
        <f t="shared" si="6"/>
        <v/>
      </c>
      <c r="H41" s="21" t="str">
        <f t="shared" si="7"/>
        <v/>
      </c>
      <c r="I41" s="21" t="str">
        <f t="shared" si="8"/>
        <v/>
      </c>
      <c r="J41" s="21" t="str">
        <f t="shared" si="9"/>
        <v/>
      </c>
      <c r="K41" s="21" t="str">
        <f t="shared" si="10"/>
        <v/>
      </c>
      <c r="L41" s="21" t="str">
        <f t="shared" si="11"/>
        <v/>
      </c>
      <c r="M41" s="21" t="str">
        <f t="shared" si="12"/>
        <v/>
      </c>
      <c r="N41" s="21" t="str">
        <f t="shared" si="13"/>
        <v/>
      </c>
      <c r="O41" s="21" t="str">
        <f t="shared" si="14"/>
        <v/>
      </c>
      <c r="P41" s="21" t="str">
        <f t="shared" si="15"/>
        <v/>
      </c>
      <c r="Q41" s="21" t="str">
        <f t="shared" si="16"/>
        <v/>
      </c>
      <c r="R41" s="21" t="str">
        <f t="shared" si="17"/>
        <v/>
      </c>
      <c r="S41" s="21" t="str">
        <f t="shared" si="18"/>
        <v/>
      </c>
      <c r="T41" s="21" t="str">
        <f t="shared" si="19"/>
        <v/>
      </c>
      <c r="U41" s="21" t="str">
        <f t="shared" si="20"/>
        <v/>
      </c>
      <c r="V41" s="21" t="str">
        <f t="shared" si="21"/>
        <v/>
      </c>
      <c r="W41" s="21" t="str">
        <f t="shared" si="22"/>
        <v/>
      </c>
      <c r="X41" s="21" t="str">
        <f t="shared" si="23"/>
        <v/>
      </c>
      <c r="Y41" s="21" t="str">
        <f t="shared" si="24"/>
        <v/>
      </c>
      <c r="Z41" s="21" t="str">
        <f t="shared" si="25"/>
        <v/>
      </c>
      <c r="AA41" s="21" t="str">
        <f t="shared" si="26"/>
        <v/>
      </c>
      <c r="AB41" s="21" t="str">
        <f t="shared" si="27"/>
        <v/>
      </c>
      <c r="AC41" s="21" t="str">
        <f t="shared" si="28"/>
        <v/>
      </c>
      <c r="AD41" s="21" t="str">
        <f t="shared" si="29"/>
        <v/>
      </c>
      <c r="AE41" s="1">
        <f t="shared" si="30"/>
        <v>34</v>
      </c>
      <c r="AF41" s="1">
        <f t="shared" si="31"/>
        <v>0</v>
      </c>
      <c r="AG41" s="1">
        <f t="shared" si="32"/>
        <v>0</v>
      </c>
      <c r="AH41" s="1">
        <f>IF(AF41=0,0,CHOOSE(AF41,IFERROR(_xlfn.AGGREGATE(15,6,(ROW(nINT_CaseKey)-ROW(INDEX(nINT_CaseKey,1,1))+1)/((nINT_CaseKey=$H$4)*(nINT_RowEmpty=0)),AG41),0),IFERROR(_xlfn.AGGREGATE(15,6,(ROW(nQ1_CaseKey)-ROW(INDEX(nQ1_CaseKey,1,1))+1)/((nQ1_CaseKey=$H$4)),AG41),0),IFERROR(_xlfn.AGGREGATE(15,6,(ROW(nQ2_CaseKey)-ROW(INDEX(nQ2_CaseKey,1,1))+1)/((nQ2_CaseKey=$H$4)),AG41),0),IFERROR(_xlfn.AGGREGATE(15,6,(ROW(nQ3_CaseKey)-ROW(INDEX(nQ3_CaseKey,1,1))+1)/((nQ3_CaseKey=$H$4)),AG41),0),IFERROR(_xlfn.AGGREGATE(15,6,(ROW(nQ4_CaseKey)-ROW(INDEX(nQ4_CaseKey,1,1))+1)/((nQ4_CaseKey=$H$4)),AG41),0),IFERROR(_xlfn.AGGREGATE(15,6,(ROW(nQ5_CaseKey)-ROW(INDEX(nQ5_CaseKey,1,1))+1)/((nQ5_CaseKey=$H$4)),AG41),0),IFERROR(_xlfn.AGGREGATE(15,6,(ROW(nQ6_CaseKey)-ROW(INDEX(nQ6_CaseKey,1,1))+1)/((nQ6_CaseKey=$H$4)),AG41),0),IFERROR(_xlfn.AGGREGATE(15,6,(ROW(nQ7_CaseKey)-ROW(INDEX(nQ7_CaseKey,1,1))+1)/((nQ7_CaseKey=$H$4)),AG41),0),IFERROR(_xlfn.AGGREGATE(15,6,(ROW(nQ8_CaseKey)-ROW(INDEX(nQ8_CaseKey,1,1))+1)/((nQ8_CaseKey=$H$4)),AG41),0),IFERROR(_xlfn.AGGREGATE(15,6,(ROW(nQ9_CaseKey)-ROW(INDEX(nQ9_CaseKey,1,1))+1)/((nQ9_CaseKey=$H$4)),AG41),0),IFERROR(_xlfn.AGGREGATE(15,6,(ROW(nQ10_CaseKey)-ROW(INDEX(nQ10_CaseKey,1,1))+1)/((nQ10_CaseKey=$H$4)),AG41),0),IFERROR(_xlfn.AGGREGATE(15,6,(ROW(nQ11_CaseKey)-ROW(INDEX(nQ11_CaseKey,1,1))+1)/((nQ11_CaseKey=$H$4)),AG41),0)))</f>
        <v>0</v>
      </c>
      <c r="AJ41" s="1" t="str">
        <f>IF($AF41=0,"",CHOOSE($AF41,INDEX(nINT_Case_ID,$AH41)&amp;"",INDEX(nQ1_Case_ID,$AH41)&amp;"",INDEX(nQ2_Case_ID,$AH41)&amp;"",INDEX(nQ3_Case_ID,$AH41)&amp;"",INDEX(nQ4_Case_ID,$AH41)&amp;"",INDEX(nQ5_Case_ID,$AH41)&amp;"",INDEX(nQ6_Case_ID,$AH41)&amp;"",INDEX(nQ7_Case_ID,$AH41)&amp;"",INDEX(nQ8_Case_ID,$AH41)&amp;"",INDEX(nQ9_Case_ID,$AH41)&amp;"",INDEX(nQ10_Case_ID,$AH41)&amp;"",INDEX(nQ11_Case_ID,$AH41)&amp;""))</f>
        <v/>
      </c>
      <c r="AK41" s="1" t="str">
        <f>IF($AF41=0,"",CHOOSE($AF41,INDEX(nINT_Case_Version,$AH41),INDEX(nQ1_Case_Version,$AH41),INDEX(nQ2_Case_Version,$AH41),INDEX(nQ3_Case_Version,$AH41),INDEX(nQ4_Case_Version,$AH41),INDEX(nQ5_Case_Version,$AH41),INDEX(nQ6_Case_Version,$AH41),INDEX(nQ7_Case_Version,$AH41),INDEX(nQ8_Case_Version,$AH41),INDEX(nQ9_Case_Version,$AH41),INDEX(nQ10_Case_Version,$AH41),INDEX(nQ11_Case_Version,$AH41)))</f>
        <v/>
      </c>
      <c r="AL41" s="1" t="str">
        <f>IF($AF41=0,"",CHOOSE($AF41,INDEX(nINT_Interval_ID,$AH41)&amp;"",INDEX(nQ1_Calc_ID,$AH41)&amp;"",INDEX(nQ2_Calc_ID,$AH41)&amp;"",INDEX(nQ3_Calc_ID,$AH41)&amp;"",INDEX(nQ4_Calc_ID,$AH41)&amp;"",INDEX(nQ5_Calc_ID,$AH41)&amp;"",INDEX(nQ6_Calc_ID,$AH41)&amp;"",INDEX(nQ7_Calc_ID,$AH41)&amp;"",INDEX(nQ8_Calc_ID,$AH41)&amp;"",INDEX(nQ9_Calc_ID,$AH41)&amp;"",INDEX(nQ10_Calc_ID,$AH41)&amp;"",INDEX(nQ11_Calc_ID,$AH41)&amp;""))</f>
        <v/>
      </c>
      <c r="AM41" s="1" t="str">
        <f>IF($AF41=0,"",CHOOSE($AF41,INDEX(nINT_Label,$AH41)&amp;"",INDEX(nQ1_Label_Out,$AH41)&amp;"",INDEX(nQ2_Label_Out,$AH41)&amp;"",INDEX(nQ3_Label_Out,$AH41)&amp;"",INDEX(nQ4_Label_Out,$AH41)&amp;"",INDEX(nQ5_Label_Out,$AH41)&amp;"",INDEX(nQ6_Label_Out,$AH41)&amp;"",INDEX(nQ7_Label_Out,$AH41)&amp;"",INDEX(nQ8_Label_Out,$AH41)&amp;"",INDEX(nQ9_Label_Out,$AH41)&amp;"",INDEX(nQ10_Label_Out,$AH41)&amp;"",INDEX(nQ11_Label_Out,$AH41)&amp;""))</f>
        <v/>
      </c>
      <c r="AN41" s="1" t="str">
        <f>IF($AF41=0,"",CHOOSE($AF41,IF(INDEX(nINT_LinkRow,$AH41)=0,"",INDEX(nINT_Link_ID,$AH41)&amp;""),"","","","","","","","","","",""))</f>
        <v/>
      </c>
      <c r="AO41" s="1" t="str">
        <f>IF($AF41=0,"",CHOOSE($AF41,INDEX(nINT_Exposure_Episode_ID,$AH41)&amp;"","","","","","","","","","","",""))</f>
        <v/>
      </c>
      <c r="AP41" s="1" t="str">
        <f>IF($AF41=0,"",CHOOSE($AF41,INDEX(nINT_Event_Episode_ID,$AH41)&amp;"","","","","","","","","","","",""))</f>
        <v/>
      </c>
      <c r="AQ41" s="1" t="str">
        <f>IF($AF41=0,"",CHOOSE($AF41,INDEX(nINT_End_Record_ID_Used,$AH41)&amp;"","","","","","","","","","","",""))</f>
        <v/>
      </c>
      <c r="AR41" s="1" t="str">
        <f>IF($AF41=0,"",CHOOSE($AF41,INDEX(nINT_Interval_Value,$AH41),"","","","","","","","","","",""))</f>
        <v/>
      </c>
      <c r="AS41" s="1" t="str">
        <f>IF($AF41=0,"",CHOOSE($AF41,INDEX(nINT_Interval_Minimum,$AH41),"","","","","","","","","","",""))</f>
        <v/>
      </c>
      <c r="AT41" s="1" t="str">
        <f>IF($AF41=0,"",CHOOSE($AF41,INDEX(nINT_Interval_Maximum,$AH41),"","","","","","","","","","",""))</f>
        <v/>
      </c>
      <c r="AU41" s="1" t="str">
        <f>IF($AF41=0,"",CHOOSE($AF41,INDEX(nINT_Unit,$AH41)&amp;"",INDEX(nQ1_Unit_Out,$AH41)&amp;"",INDEX(nQ2_Unit_Out,$AH41)&amp;"",INDEX(nQ3_Unit_Out,$AH41)&amp;"",INDEX(nQ4_Unit_Out,$AH41)&amp;"",INDEX(nQ5_Unit_Out,$AH41)&amp;"",INDEX(nQ6_Unit_Out,$AH41)&amp;"",INDEX(nQ7_Unit_Out,$AH41)&amp;"",INDEX(nQ8_Unit_Out,$AH41)&amp;"",INDEX(nQ9_Unit_Out,$AH41)&amp;"",INDEX(nQ10_Unit_Out,$AH41)&amp;"",INDEX(nQ11_Unit_Out,$AH41)&amp;""))</f>
        <v/>
      </c>
      <c r="AV41" s="1" t="str">
        <f>IF($AF41=0,"",CHOOSE($AF41,INDEX(nINT_Displayed_Value,$AH41)&amp;"",INDEX(nQ1_Displayed_Value,$AH41)&amp;"",INDEX(nQ2_Displayed_Value,$AH41)&amp;"",INDEX(nQ3_Displayed_Value,$AH41)&amp;"",INDEX(nQ4_Displayed_Value,$AH41)&amp;"",INDEX(nQ5_Displayed_Value,$AH41)&amp;"",INDEX(nQ6_Displayed_Value,$AH41)&amp;"",INDEX(nQ7_Displayed_Value,$AH41)&amp;"",INDEX(nQ8_Displayed_Value,$AH41)&amp;"",INDEX(nQ9_Displayed_Value,$AH41)&amp;"",INDEX(nQ10_Displayed_Value,$AH41)&amp;"",INDEX(nQ11_Displayed_Value,$AH41)&amp;""))</f>
        <v/>
      </c>
      <c r="AW41" s="1" t="str">
        <f>IF($AF41=0,"",CHOOSE($AF41,INDEX(nINT_Calculation_Mode_Used,$AH41)&amp;"","Q1","Q2","Q3","Q4","Q5","Q6","Q7","Q8","Q9","Q10","Q11"))</f>
        <v/>
      </c>
      <c r="AX41" s="1" t="str">
        <f>IF($AF41=0,"",CHOOSE($AF41,INDEX(nINT_Anchor_Type,$AH41)&amp;"","","","","","","","","","","",""))</f>
        <v/>
      </c>
      <c r="AY41" s="1" t="str">
        <f>IF($AF41=0,"",CHOOSE($AF41,IF(INDEX(nINT_K_Ok,$AH41)=1,INDEX(nINT_Anchor_Record_ID_Used,$AH41)&amp;"",""),"","","","","","","","","","",""))</f>
        <v/>
      </c>
      <c r="AZ41" s="1" t="str">
        <f>IF($AF41=0,"",CHOOSE($AF41,INDEX(nINT_Anchor_Description,$AH41)&amp;"","","","","","","","","","","",""))</f>
        <v/>
      </c>
      <c r="BA41" s="1" t="str">
        <f>IF($AF41=0,"",CHOOSE($AF41,INDEX(nINT_Sequence_Status,$AH41)&amp;"","","","","","","","","","","",""))</f>
        <v/>
      </c>
      <c r="BB41" s="1" t="str">
        <f>IF($AF41=0,"",CHOOSE($AF41,INDEX(nINT_Treatment_Day,$AH41),"","","","","","","","","","",""))</f>
        <v/>
      </c>
      <c r="BC41" s="1" t="str">
        <f>IF($AF41=0,"",CHOOSE($AF41,INDEX(nINT_Reported_Timing_Result,$AH41)&amp;"","","","","","","","","","","",""))</f>
        <v/>
      </c>
      <c r="BD41" s="1" t="str">
        <f>IF($AF41=0,"",CHOOSE($AF41,IF(INDEX(nINT_K_HasC,$AH41)=1,INDEX(nINT_Constraint_Source,$AH41)&amp;"",""),"","","","","","","","","","",""))</f>
        <v/>
      </c>
      <c r="BE41" s="1" t="str">
        <f>IF($AF41=0,"",CHOOSE($AF41,"",INDEX(nQ1_Results_Text,$AH41)&amp;"",INDEX(nQ2_Results_Text,$AH41)&amp;"",INDEX(nQ3_Results_Text,$AH41)&amp;"",INDEX(nQ4_Results_Text,$AH41)&amp;"",INDEX(nQ5_Results_Text,$AH41)&amp;"",INDEX(nQ6_Results_Text,$AH41)&amp;"",INDEX(nQ7_Results_Text,$AH41)&amp;"",INDEX(nQ8_Results_Text,$AH41)&amp;"",INDEX(nQ9_Results_Text,$AH41)&amp;"",INDEX(nQ10_Results_Text,$AH41)&amp;"",INDEX(nQ11_Results_Text,$AH41)&amp;""))</f>
        <v/>
      </c>
      <c r="BF41" s="1" t="str">
        <f>IF($AF41=0,"",CHOOSE($AF41,INDEX(nINT_Parameter_Set,$AH41)&amp;"",INDEX(nQ1_Parameter_Set,$AH41)&amp;"",INDEX(nQ2_Parameter_Set,$AH41)&amp;"",INDEX(nQ3_Parameter_Set,$AH41)&amp;"",INDEX(nQ4_Parameter_Set,$AH41)&amp;"",INDEX(nQ5_Parameter_Set,$AH41)&amp;"",INDEX(nQ6_Parameter_Set,$AH41)&amp;"",INDEX(nQ7_Parameter_Set,$AH41)&amp;"",INDEX(nQ8_Parameter_Set,$AH41)&amp;"",INDEX(nQ9_Parameter_Set,$AH41)&amp;"",INDEX(nQ10_Parameter_Set,$AH41)&amp;"",INDEX(nQ11_Parameter_Set,$AH41)&amp;""))</f>
        <v/>
      </c>
      <c r="BG41" s="1" t="str">
        <f>IF($AF41=0,"",CHOOSE($AF41,INDEX(nINT_Assumptions,$AH41)&amp;"",INDEX(nQ1_Assumptions,$AH41)&amp;"",INDEX(nQ2_Assumptions,$AH41)&amp;"",INDEX(nQ3_Assumptions,$AH41)&amp;"",INDEX(nQ4_Assumptions,$AH41)&amp;"",INDEX(nQ5_Assumptions,$AH41)&amp;"",INDEX(nQ6_Assumptions,$AH41)&amp;"",INDEX(nQ7_Assumptions,$AH41)&amp;"",INDEX(nQ8_Assumptions,$AH41)&amp;"",INDEX(nQ9_Assumptions,$AH41)&amp;"",INDEX(nQ10_Assumptions,$AH41)&amp;"",INDEX(nQ11_Assumptions,$AH41)&amp;""))</f>
        <v/>
      </c>
      <c r="BH41" s="1" t="str">
        <f>IF($AF41=0,"",CHOOSE($AF41,INDEX(nINT_Calculation_Version,$AH41)&amp;"",INDEX(nQ1_Calculation_Version,$AH41)&amp;"",INDEX(nQ2_Calculation_Version,$AH41)&amp;"",INDEX(nQ3_Calculation_Version,$AH41)&amp;"",INDEX(nQ4_Calculation_Version,$AH41)&amp;"",INDEX(nQ5_Calculation_Version,$AH41)&amp;"",INDEX(nQ6_Calculation_Version,$AH41)&amp;"",INDEX(nQ7_Calculation_Version,$AH41)&amp;"",INDEX(nQ8_Calculation_Version,$AH41)&amp;"",INDEX(nQ9_Calculation_Version,$AH41)&amp;"",INDEX(nQ10_Calculation_Version,$AH41)&amp;"",INDEX(nQ11_Calculation_Version,$AH41)&amp;""))</f>
        <v/>
      </c>
      <c r="BI41" s="1" t="str">
        <f>IF($AF41=0,"",CHOOSE($AF41,INDEX(nINT_QC_Flags,$AH41)&amp;"",INDEX(nQ1_QC_Flags,$AH41)&amp;"",INDEX(nQ2_QC_Flags,$AH41)&amp;"",INDEX(nQ3_QC_Flags,$AH41)&amp;"",INDEX(nQ4_QC_Flags,$AH41)&amp;"",INDEX(nQ5_QC_Flags,$AH41)&amp;"",INDEX(nQ6_QC_Flags,$AH41)&amp;"",INDEX(nQ7_QC_Flags,$AH41)&amp;"",INDEX(nQ8_QC_Flags,$AH41)&amp;"",INDEX(nQ9_QC_Flags,$AH41)&amp;"",INDEX(nQ10_QC_Flags,$AH41)&amp;"",INDEX(nQ11_QC_Flags,$AH41)&amp;""))</f>
        <v/>
      </c>
      <c r="BJ41" s="1" t="str">
        <f>IF($AF41=0,"",CHOOSE($AF41,INDEX(nINT_Messages,$AH41)&amp;"",INDEX(nQ1_Messages,$AH41)&amp;"",INDEX(nQ2_Messages,$AH41)&amp;"",INDEX(nQ3_Messages,$AH41)&amp;"",INDEX(nQ4_Messages,$AH41)&amp;"",INDEX(nQ5_Messages,$AH41)&amp;"",INDEX(nQ6_Messages,$AH41)&amp;"",INDEX(nQ7_Messages,$AH41)&amp;"",INDEX(nQ8_Messages,$AH41)&amp;"",INDEX(nQ9_Messages,$AH41)&amp;"",INDEX(nQ10_Messages,$AH41)&amp;"",INDEX(nQ11_Messages,$AH41)&amp;""))</f>
        <v/>
      </c>
      <c r="BK41" s="1" t="str">
        <f>IF($AF41=0,"",CHOOSE($AF41,INDEX(nINT_Limitations,$AH41)&amp;"",INDEX(nQ1_Mandatory_Text,$AH41)&amp;"",INDEX(nQ2_Mandatory_Text,$AH41)&amp;"",INDEX(nQ3_Mandatory_Text,$AH41)&amp;"",INDEX(nQ4_Mandatory_Text,$AH41)&amp;"",INDEX(nQ5_Mandatory_Text,$AH41)&amp;"",INDEX(nQ6_Mandatory_Text,$AH41)&amp;"",INDEX(nQ7_Mandatory_Text,$AH41)&amp;"",INDEX(nQ8_Mandatory_Text,$AH41)&amp;"",INDEX(nQ9_Mandatory_Text,$AH41)&amp;"",INDEX(nQ10_Mandatory_Text,$AH41)&amp;"",INDEX(nQ11_Mandatory_Text,$AH41)&amp;""))</f>
        <v/>
      </c>
      <c r="BL41" s="1" t="str">
        <f t="shared" si="33"/>
        <v/>
      </c>
      <c r="BM41" s="1" t="str">
        <f t="shared" si="34"/>
        <v/>
      </c>
    </row>
    <row r="42" spans="1:65" x14ac:dyDescent="0.2">
      <c r="A42" s="21" t="str">
        <f t="shared" si="0"/>
        <v/>
      </c>
      <c r="B42" s="21" t="str">
        <f t="shared" si="1"/>
        <v/>
      </c>
      <c r="C42" s="21" t="str">
        <f t="shared" si="2"/>
        <v/>
      </c>
      <c r="D42" s="21" t="str">
        <f t="shared" si="3"/>
        <v/>
      </c>
      <c r="E42" s="21" t="str">
        <f t="shared" si="4"/>
        <v/>
      </c>
      <c r="F42" s="21" t="str">
        <f t="shared" si="5"/>
        <v/>
      </c>
      <c r="G42" s="21" t="str">
        <f t="shared" si="6"/>
        <v/>
      </c>
      <c r="H42" s="21" t="str">
        <f t="shared" si="7"/>
        <v/>
      </c>
      <c r="I42" s="21" t="str">
        <f t="shared" si="8"/>
        <v/>
      </c>
      <c r="J42" s="21" t="str">
        <f t="shared" si="9"/>
        <v/>
      </c>
      <c r="K42" s="21" t="str">
        <f t="shared" si="10"/>
        <v/>
      </c>
      <c r="L42" s="21" t="str">
        <f t="shared" si="11"/>
        <v/>
      </c>
      <c r="M42" s="21" t="str">
        <f t="shared" si="12"/>
        <v/>
      </c>
      <c r="N42" s="21" t="str">
        <f t="shared" si="13"/>
        <v/>
      </c>
      <c r="O42" s="21" t="str">
        <f t="shared" si="14"/>
        <v/>
      </c>
      <c r="P42" s="21" t="str">
        <f t="shared" si="15"/>
        <v/>
      </c>
      <c r="Q42" s="21" t="str">
        <f t="shared" si="16"/>
        <v/>
      </c>
      <c r="R42" s="21" t="str">
        <f t="shared" si="17"/>
        <v/>
      </c>
      <c r="S42" s="21" t="str">
        <f t="shared" si="18"/>
        <v/>
      </c>
      <c r="T42" s="21" t="str">
        <f t="shared" si="19"/>
        <v/>
      </c>
      <c r="U42" s="21" t="str">
        <f t="shared" si="20"/>
        <v/>
      </c>
      <c r="V42" s="21" t="str">
        <f t="shared" si="21"/>
        <v/>
      </c>
      <c r="W42" s="21" t="str">
        <f t="shared" si="22"/>
        <v/>
      </c>
      <c r="X42" s="21" t="str">
        <f t="shared" si="23"/>
        <v/>
      </c>
      <c r="Y42" s="21" t="str">
        <f t="shared" si="24"/>
        <v/>
      </c>
      <c r="Z42" s="21" t="str">
        <f t="shared" si="25"/>
        <v/>
      </c>
      <c r="AA42" s="21" t="str">
        <f t="shared" si="26"/>
        <v/>
      </c>
      <c r="AB42" s="21" t="str">
        <f t="shared" si="27"/>
        <v/>
      </c>
      <c r="AC42" s="21" t="str">
        <f t="shared" si="28"/>
        <v/>
      </c>
      <c r="AD42" s="21" t="str">
        <f t="shared" si="29"/>
        <v/>
      </c>
      <c r="AE42" s="1">
        <f t="shared" si="30"/>
        <v>35</v>
      </c>
      <c r="AF42" s="1">
        <f t="shared" si="31"/>
        <v>0</v>
      </c>
      <c r="AG42" s="1">
        <f t="shared" si="32"/>
        <v>0</v>
      </c>
      <c r="AH42" s="1">
        <f>IF(AF42=0,0,CHOOSE(AF42,IFERROR(_xlfn.AGGREGATE(15,6,(ROW(nINT_CaseKey)-ROW(INDEX(nINT_CaseKey,1,1))+1)/((nINT_CaseKey=$H$4)*(nINT_RowEmpty=0)),AG42),0),IFERROR(_xlfn.AGGREGATE(15,6,(ROW(nQ1_CaseKey)-ROW(INDEX(nQ1_CaseKey,1,1))+1)/((nQ1_CaseKey=$H$4)),AG42),0),IFERROR(_xlfn.AGGREGATE(15,6,(ROW(nQ2_CaseKey)-ROW(INDEX(nQ2_CaseKey,1,1))+1)/((nQ2_CaseKey=$H$4)),AG42),0),IFERROR(_xlfn.AGGREGATE(15,6,(ROW(nQ3_CaseKey)-ROW(INDEX(nQ3_CaseKey,1,1))+1)/((nQ3_CaseKey=$H$4)),AG42),0),IFERROR(_xlfn.AGGREGATE(15,6,(ROW(nQ4_CaseKey)-ROW(INDEX(nQ4_CaseKey,1,1))+1)/((nQ4_CaseKey=$H$4)),AG42),0),IFERROR(_xlfn.AGGREGATE(15,6,(ROW(nQ5_CaseKey)-ROW(INDEX(nQ5_CaseKey,1,1))+1)/((nQ5_CaseKey=$H$4)),AG42),0),IFERROR(_xlfn.AGGREGATE(15,6,(ROW(nQ6_CaseKey)-ROW(INDEX(nQ6_CaseKey,1,1))+1)/((nQ6_CaseKey=$H$4)),AG42),0),IFERROR(_xlfn.AGGREGATE(15,6,(ROW(nQ7_CaseKey)-ROW(INDEX(nQ7_CaseKey,1,1))+1)/((nQ7_CaseKey=$H$4)),AG42),0),IFERROR(_xlfn.AGGREGATE(15,6,(ROW(nQ8_CaseKey)-ROW(INDEX(nQ8_CaseKey,1,1))+1)/((nQ8_CaseKey=$H$4)),AG42),0),IFERROR(_xlfn.AGGREGATE(15,6,(ROW(nQ9_CaseKey)-ROW(INDEX(nQ9_CaseKey,1,1))+1)/((nQ9_CaseKey=$H$4)),AG42),0),IFERROR(_xlfn.AGGREGATE(15,6,(ROW(nQ10_CaseKey)-ROW(INDEX(nQ10_CaseKey,1,1))+1)/((nQ10_CaseKey=$H$4)),AG42),0),IFERROR(_xlfn.AGGREGATE(15,6,(ROW(nQ11_CaseKey)-ROW(INDEX(nQ11_CaseKey,1,1))+1)/((nQ11_CaseKey=$H$4)),AG42),0)))</f>
        <v>0</v>
      </c>
      <c r="AJ42" s="1" t="str">
        <f>IF($AF42=0,"",CHOOSE($AF42,INDEX(nINT_Case_ID,$AH42)&amp;"",INDEX(nQ1_Case_ID,$AH42)&amp;"",INDEX(nQ2_Case_ID,$AH42)&amp;"",INDEX(nQ3_Case_ID,$AH42)&amp;"",INDEX(nQ4_Case_ID,$AH42)&amp;"",INDEX(nQ5_Case_ID,$AH42)&amp;"",INDEX(nQ6_Case_ID,$AH42)&amp;"",INDEX(nQ7_Case_ID,$AH42)&amp;"",INDEX(nQ8_Case_ID,$AH42)&amp;"",INDEX(nQ9_Case_ID,$AH42)&amp;"",INDEX(nQ10_Case_ID,$AH42)&amp;"",INDEX(nQ11_Case_ID,$AH42)&amp;""))</f>
        <v/>
      </c>
      <c r="AK42" s="1" t="str">
        <f>IF($AF42=0,"",CHOOSE($AF42,INDEX(nINT_Case_Version,$AH42),INDEX(nQ1_Case_Version,$AH42),INDEX(nQ2_Case_Version,$AH42),INDEX(nQ3_Case_Version,$AH42),INDEX(nQ4_Case_Version,$AH42),INDEX(nQ5_Case_Version,$AH42),INDEX(nQ6_Case_Version,$AH42),INDEX(nQ7_Case_Version,$AH42),INDEX(nQ8_Case_Version,$AH42),INDEX(nQ9_Case_Version,$AH42),INDEX(nQ10_Case_Version,$AH42),INDEX(nQ11_Case_Version,$AH42)))</f>
        <v/>
      </c>
      <c r="AL42" s="1" t="str">
        <f>IF($AF42=0,"",CHOOSE($AF42,INDEX(nINT_Interval_ID,$AH42)&amp;"",INDEX(nQ1_Calc_ID,$AH42)&amp;"",INDEX(nQ2_Calc_ID,$AH42)&amp;"",INDEX(nQ3_Calc_ID,$AH42)&amp;"",INDEX(nQ4_Calc_ID,$AH42)&amp;"",INDEX(nQ5_Calc_ID,$AH42)&amp;"",INDEX(nQ6_Calc_ID,$AH42)&amp;"",INDEX(nQ7_Calc_ID,$AH42)&amp;"",INDEX(nQ8_Calc_ID,$AH42)&amp;"",INDEX(nQ9_Calc_ID,$AH42)&amp;"",INDEX(nQ10_Calc_ID,$AH42)&amp;"",INDEX(nQ11_Calc_ID,$AH42)&amp;""))</f>
        <v/>
      </c>
      <c r="AM42" s="1" t="str">
        <f>IF($AF42=0,"",CHOOSE($AF42,INDEX(nINT_Label,$AH42)&amp;"",INDEX(nQ1_Label_Out,$AH42)&amp;"",INDEX(nQ2_Label_Out,$AH42)&amp;"",INDEX(nQ3_Label_Out,$AH42)&amp;"",INDEX(nQ4_Label_Out,$AH42)&amp;"",INDEX(nQ5_Label_Out,$AH42)&amp;"",INDEX(nQ6_Label_Out,$AH42)&amp;"",INDEX(nQ7_Label_Out,$AH42)&amp;"",INDEX(nQ8_Label_Out,$AH42)&amp;"",INDEX(nQ9_Label_Out,$AH42)&amp;"",INDEX(nQ10_Label_Out,$AH42)&amp;"",INDEX(nQ11_Label_Out,$AH42)&amp;""))</f>
        <v/>
      </c>
      <c r="AN42" s="1" t="str">
        <f>IF($AF42=0,"",CHOOSE($AF42,IF(INDEX(nINT_LinkRow,$AH42)=0,"",INDEX(nINT_Link_ID,$AH42)&amp;""),"","","","","","","","","","",""))</f>
        <v/>
      </c>
      <c r="AO42" s="1" t="str">
        <f>IF($AF42=0,"",CHOOSE($AF42,INDEX(nINT_Exposure_Episode_ID,$AH42)&amp;"","","","","","","","","","","",""))</f>
        <v/>
      </c>
      <c r="AP42" s="1" t="str">
        <f>IF($AF42=0,"",CHOOSE($AF42,INDEX(nINT_Event_Episode_ID,$AH42)&amp;"","","","","","","","","","","",""))</f>
        <v/>
      </c>
      <c r="AQ42" s="1" t="str">
        <f>IF($AF42=0,"",CHOOSE($AF42,INDEX(nINT_End_Record_ID_Used,$AH42)&amp;"","","","","","","","","","","",""))</f>
        <v/>
      </c>
      <c r="AR42" s="1" t="str">
        <f>IF($AF42=0,"",CHOOSE($AF42,INDEX(nINT_Interval_Value,$AH42),"","","","","","","","","","",""))</f>
        <v/>
      </c>
      <c r="AS42" s="1" t="str">
        <f>IF($AF42=0,"",CHOOSE($AF42,INDEX(nINT_Interval_Minimum,$AH42),"","","","","","","","","","",""))</f>
        <v/>
      </c>
      <c r="AT42" s="1" t="str">
        <f>IF($AF42=0,"",CHOOSE($AF42,INDEX(nINT_Interval_Maximum,$AH42),"","","","","","","","","","",""))</f>
        <v/>
      </c>
      <c r="AU42" s="1" t="str">
        <f>IF($AF42=0,"",CHOOSE($AF42,INDEX(nINT_Unit,$AH42)&amp;"",INDEX(nQ1_Unit_Out,$AH42)&amp;"",INDEX(nQ2_Unit_Out,$AH42)&amp;"",INDEX(nQ3_Unit_Out,$AH42)&amp;"",INDEX(nQ4_Unit_Out,$AH42)&amp;"",INDEX(nQ5_Unit_Out,$AH42)&amp;"",INDEX(nQ6_Unit_Out,$AH42)&amp;"",INDEX(nQ7_Unit_Out,$AH42)&amp;"",INDEX(nQ8_Unit_Out,$AH42)&amp;"",INDEX(nQ9_Unit_Out,$AH42)&amp;"",INDEX(nQ10_Unit_Out,$AH42)&amp;"",INDEX(nQ11_Unit_Out,$AH42)&amp;""))</f>
        <v/>
      </c>
      <c r="AV42" s="1" t="str">
        <f>IF($AF42=0,"",CHOOSE($AF42,INDEX(nINT_Displayed_Value,$AH42)&amp;"",INDEX(nQ1_Displayed_Value,$AH42)&amp;"",INDEX(nQ2_Displayed_Value,$AH42)&amp;"",INDEX(nQ3_Displayed_Value,$AH42)&amp;"",INDEX(nQ4_Displayed_Value,$AH42)&amp;"",INDEX(nQ5_Displayed_Value,$AH42)&amp;"",INDEX(nQ6_Displayed_Value,$AH42)&amp;"",INDEX(nQ7_Displayed_Value,$AH42)&amp;"",INDEX(nQ8_Displayed_Value,$AH42)&amp;"",INDEX(nQ9_Displayed_Value,$AH42)&amp;"",INDEX(nQ10_Displayed_Value,$AH42)&amp;"",INDEX(nQ11_Displayed_Value,$AH42)&amp;""))</f>
        <v/>
      </c>
      <c r="AW42" s="1" t="str">
        <f>IF($AF42=0,"",CHOOSE($AF42,INDEX(nINT_Calculation_Mode_Used,$AH42)&amp;"","Q1","Q2","Q3","Q4","Q5","Q6","Q7","Q8","Q9","Q10","Q11"))</f>
        <v/>
      </c>
      <c r="AX42" s="1" t="str">
        <f>IF($AF42=0,"",CHOOSE($AF42,INDEX(nINT_Anchor_Type,$AH42)&amp;"","","","","","","","","","","",""))</f>
        <v/>
      </c>
      <c r="AY42" s="1" t="str">
        <f>IF($AF42=0,"",CHOOSE($AF42,IF(INDEX(nINT_K_Ok,$AH42)=1,INDEX(nINT_Anchor_Record_ID_Used,$AH42)&amp;"",""),"","","","","","","","","","",""))</f>
        <v/>
      </c>
      <c r="AZ42" s="1" t="str">
        <f>IF($AF42=0,"",CHOOSE($AF42,INDEX(nINT_Anchor_Description,$AH42)&amp;"","","","","","","","","","","",""))</f>
        <v/>
      </c>
      <c r="BA42" s="1" t="str">
        <f>IF($AF42=0,"",CHOOSE($AF42,INDEX(nINT_Sequence_Status,$AH42)&amp;"","","","","","","","","","","",""))</f>
        <v/>
      </c>
      <c r="BB42" s="1" t="str">
        <f>IF($AF42=0,"",CHOOSE($AF42,INDEX(nINT_Treatment_Day,$AH42),"","","","","","","","","","",""))</f>
        <v/>
      </c>
      <c r="BC42" s="1" t="str">
        <f>IF($AF42=0,"",CHOOSE($AF42,INDEX(nINT_Reported_Timing_Result,$AH42)&amp;"","","","","","","","","","","",""))</f>
        <v/>
      </c>
      <c r="BD42" s="1" t="str">
        <f>IF($AF42=0,"",CHOOSE($AF42,IF(INDEX(nINT_K_HasC,$AH42)=1,INDEX(nINT_Constraint_Source,$AH42)&amp;"",""),"","","","","","","","","","",""))</f>
        <v/>
      </c>
      <c r="BE42" s="1" t="str">
        <f>IF($AF42=0,"",CHOOSE($AF42,"",INDEX(nQ1_Results_Text,$AH42)&amp;"",INDEX(nQ2_Results_Text,$AH42)&amp;"",INDEX(nQ3_Results_Text,$AH42)&amp;"",INDEX(nQ4_Results_Text,$AH42)&amp;"",INDEX(nQ5_Results_Text,$AH42)&amp;"",INDEX(nQ6_Results_Text,$AH42)&amp;"",INDEX(nQ7_Results_Text,$AH42)&amp;"",INDEX(nQ8_Results_Text,$AH42)&amp;"",INDEX(nQ9_Results_Text,$AH42)&amp;"",INDEX(nQ10_Results_Text,$AH42)&amp;"",INDEX(nQ11_Results_Text,$AH42)&amp;""))</f>
        <v/>
      </c>
      <c r="BF42" s="1" t="str">
        <f>IF($AF42=0,"",CHOOSE($AF42,INDEX(nINT_Parameter_Set,$AH42)&amp;"",INDEX(nQ1_Parameter_Set,$AH42)&amp;"",INDEX(nQ2_Parameter_Set,$AH42)&amp;"",INDEX(nQ3_Parameter_Set,$AH42)&amp;"",INDEX(nQ4_Parameter_Set,$AH42)&amp;"",INDEX(nQ5_Parameter_Set,$AH42)&amp;"",INDEX(nQ6_Parameter_Set,$AH42)&amp;"",INDEX(nQ7_Parameter_Set,$AH42)&amp;"",INDEX(nQ8_Parameter_Set,$AH42)&amp;"",INDEX(nQ9_Parameter_Set,$AH42)&amp;"",INDEX(nQ10_Parameter_Set,$AH42)&amp;"",INDEX(nQ11_Parameter_Set,$AH42)&amp;""))</f>
        <v/>
      </c>
      <c r="BG42" s="1" t="str">
        <f>IF($AF42=0,"",CHOOSE($AF42,INDEX(nINT_Assumptions,$AH42)&amp;"",INDEX(nQ1_Assumptions,$AH42)&amp;"",INDEX(nQ2_Assumptions,$AH42)&amp;"",INDEX(nQ3_Assumptions,$AH42)&amp;"",INDEX(nQ4_Assumptions,$AH42)&amp;"",INDEX(nQ5_Assumptions,$AH42)&amp;"",INDEX(nQ6_Assumptions,$AH42)&amp;"",INDEX(nQ7_Assumptions,$AH42)&amp;"",INDEX(nQ8_Assumptions,$AH42)&amp;"",INDEX(nQ9_Assumptions,$AH42)&amp;"",INDEX(nQ10_Assumptions,$AH42)&amp;"",INDEX(nQ11_Assumptions,$AH42)&amp;""))</f>
        <v/>
      </c>
      <c r="BH42" s="1" t="str">
        <f>IF($AF42=0,"",CHOOSE($AF42,INDEX(nINT_Calculation_Version,$AH42)&amp;"",INDEX(nQ1_Calculation_Version,$AH42)&amp;"",INDEX(nQ2_Calculation_Version,$AH42)&amp;"",INDEX(nQ3_Calculation_Version,$AH42)&amp;"",INDEX(nQ4_Calculation_Version,$AH42)&amp;"",INDEX(nQ5_Calculation_Version,$AH42)&amp;"",INDEX(nQ6_Calculation_Version,$AH42)&amp;"",INDEX(nQ7_Calculation_Version,$AH42)&amp;"",INDEX(nQ8_Calculation_Version,$AH42)&amp;"",INDEX(nQ9_Calculation_Version,$AH42)&amp;"",INDEX(nQ10_Calculation_Version,$AH42)&amp;"",INDEX(nQ11_Calculation_Version,$AH42)&amp;""))</f>
        <v/>
      </c>
      <c r="BI42" s="1" t="str">
        <f>IF($AF42=0,"",CHOOSE($AF42,INDEX(nINT_QC_Flags,$AH42)&amp;"",INDEX(nQ1_QC_Flags,$AH42)&amp;"",INDEX(nQ2_QC_Flags,$AH42)&amp;"",INDEX(nQ3_QC_Flags,$AH42)&amp;"",INDEX(nQ4_QC_Flags,$AH42)&amp;"",INDEX(nQ5_QC_Flags,$AH42)&amp;"",INDEX(nQ6_QC_Flags,$AH42)&amp;"",INDEX(nQ7_QC_Flags,$AH42)&amp;"",INDEX(nQ8_QC_Flags,$AH42)&amp;"",INDEX(nQ9_QC_Flags,$AH42)&amp;"",INDEX(nQ10_QC_Flags,$AH42)&amp;"",INDEX(nQ11_QC_Flags,$AH42)&amp;""))</f>
        <v/>
      </c>
      <c r="BJ42" s="1" t="str">
        <f>IF($AF42=0,"",CHOOSE($AF42,INDEX(nINT_Messages,$AH42)&amp;"",INDEX(nQ1_Messages,$AH42)&amp;"",INDEX(nQ2_Messages,$AH42)&amp;"",INDEX(nQ3_Messages,$AH42)&amp;"",INDEX(nQ4_Messages,$AH42)&amp;"",INDEX(nQ5_Messages,$AH42)&amp;"",INDEX(nQ6_Messages,$AH42)&amp;"",INDEX(nQ7_Messages,$AH42)&amp;"",INDEX(nQ8_Messages,$AH42)&amp;"",INDEX(nQ9_Messages,$AH42)&amp;"",INDEX(nQ10_Messages,$AH42)&amp;"",INDEX(nQ11_Messages,$AH42)&amp;""))</f>
        <v/>
      </c>
      <c r="BK42" s="1" t="str">
        <f>IF($AF42=0,"",CHOOSE($AF42,INDEX(nINT_Limitations,$AH42)&amp;"",INDEX(nQ1_Mandatory_Text,$AH42)&amp;"",INDEX(nQ2_Mandatory_Text,$AH42)&amp;"",INDEX(nQ3_Mandatory_Text,$AH42)&amp;"",INDEX(nQ4_Mandatory_Text,$AH42)&amp;"",INDEX(nQ5_Mandatory_Text,$AH42)&amp;"",INDEX(nQ6_Mandatory_Text,$AH42)&amp;"",INDEX(nQ7_Mandatory_Text,$AH42)&amp;"",INDEX(nQ8_Mandatory_Text,$AH42)&amp;"",INDEX(nQ9_Mandatory_Text,$AH42)&amp;"",INDEX(nQ10_Mandatory_Text,$AH42)&amp;"",INDEX(nQ11_Mandatory_Text,$AH42)&amp;""))</f>
        <v/>
      </c>
      <c r="BL42" s="1" t="str">
        <f t="shared" si="33"/>
        <v/>
      </c>
      <c r="BM42" s="1" t="str">
        <f t="shared" si="34"/>
        <v/>
      </c>
    </row>
    <row r="43" spans="1:65" x14ac:dyDescent="0.2">
      <c r="A43" s="21" t="str">
        <f t="shared" si="0"/>
        <v/>
      </c>
      <c r="B43" s="21" t="str">
        <f t="shared" si="1"/>
        <v/>
      </c>
      <c r="C43" s="21" t="str">
        <f t="shared" si="2"/>
        <v/>
      </c>
      <c r="D43" s="21" t="str">
        <f t="shared" si="3"/>
        <v/>
      </c>
      <c r="E43" s="21" t="str">
        <f t="shared" si="4"/>
        <v/>
      </c>
      <c r="F43" s="21" t="str">
        <f t="shared" si="5"/>
        <v/>
      </c>
      <c r="G43" s="21" t="str">
        <f t="shared" si="6"/>
        <v/>
      </c>
      <c r="H43" s="21" t="str">
        <f t="shared" si="7"/>
        <v/>
      </c>
      <c r="I43" s="21" t="str">
        <f t="shared" si="8"/>
        <v/>
      </c>
      <c r="J43" s="21" t="str">
        <f t="shared" si="9"/>
        <v/>
      </c>
      <c r="K43" s="21" t="str">
        <f t="shared" si="10"/>
        <v/>
      </c>
      <c r="L43" s="21" t="str">
        <f t="shared" si="11"/>
        <v/>
      </c>
      <c r="M43" s="21" t="str">
        <f t="shared" si="12"/>
        <v/>
      </c>
      <c r="N43" s="21" t="str">
        <f t="shared" si="13"/>
        <v/>
      </c>
      <c r="O43" s="21" t="str">
        <f t="shared" si="14"/>
        <v/>
      </c>
      <c r="P43" s="21" t="str">
        <f t="shared" si="15"/>
        <v/>
      </c>
      <c r="Q43" s="21" t="str">
        <f t="shared" si="16"/>
        <v/>
      </c>
      <c r="R43" s="21" t="str">
        <f t="shared" si="17"/>
        <v/>
      </c>
      <c r="S43" s="21" t="str">
        <f t="shared" si="18"/>
        <v/>
      </c>
      <c r="T43" s="21" t="str">
        <f t="shared" si="19"/>
        <v/>
      </c>
      <c r="U43" s="21" t="str">
        <f t="shared" si="20"/>
        <v/>
      </c>
      <c r="V43" s="21" t="str">
        <f t="shared" si="21"/>
        <v/>
      </c>
      <c r="W43" s="21" t="str">
        <f t="shared" si="22"/>
        <v/>
      </c>
      <c r="X43" s="21" t="str">
        <f t="shared" si="23"/>
        <v/>
      </c>
      <c r="Y43" s="21" t="str">
        <f t="shared" si="24"/>
        <v/>
      </c>
      <c r="Z43" s="21" t="str">
        <f t="shared" si="25"/>
        <v/>
      </c>
      <c r="AA43" s="21" t="str">
        <f t="shared" si="26"/>
        <v/>
      </c>
      <c r="AB43" s="21" t="str">
        <f t="shared" si="27"/>
        <v/>
      </c>
      <c r="AC43" s="21" t="str">
        <f t="shared" si="28"/>
        <v/>
      </c>
      <c r="AD43" s="21" t="str">
        <f t="shared" si="29"/>
        <v/>
      </c>
      <c r="AE43" s="1">
        <f t="shared" si="30"/>
        <v>36</v>
      </c>
      <c r="AF43" s="1">
        <f t="shared" si="31"/>
        <v>0</v>
      </c>
      <c r="AG43" s="1">
        <f t="shared" si="32"/>
        <v>0</v>
      </c>
      <c r="AH43" s="1">
        <f>IF(AF43=0,0,CHOOSE(AF43,IFERROR(_xlfn.AGGREGATE(15,6,(ROW(nINT_CaseKey)-ROW(INDEX(nINT_CaseKey,1,1))+1)/((nINT_CaseKey=$H$4)*(nINT_RowEmpty=0)),AG43),0),IFERROR(_xlfn.AGGREGATE(15,6,(ROW(nQ1_CaseKey)-ROW(INDEX(nQ1_CaseKey,1,1))+1)/((nQ1_CaseKey=$H$4)),AG43),0),IFERROR(_xlfn.AGGREGATE(15,6,(ROW(nQ2_CaseKey)-ROW(INDEX(nQ2_CaseKey,1,1))+1)/((nQ2_CaseKey=$H$4)),AG43),0),IFERROR(_xlfn.AGGREGATE(15,6,(ROW(nQ3_CaseKey)-ROW(INDEX(nQ3_CaseKey,1,1))+1)/((nQ3_CaseKey=$H$4)),AG43),0),IFERROR(_xlfn.AGGREGATE(15,6,(ROW(nQ4_CaseKey)-ROW(INDEX(nQ4_CaseKey,1,1))+1)/((nQ4_CaseKey=$H$4)),AG43),0),IFERROR(_xlfn.AGGREGATE(15,6,(ROW(nQ5_CaseKey)-ROW(INDEX(nQ5_CaseKey,1,1))+1)/((nQ5_CaseKey=$H$4)),AG43),0),IFERROR(_xlfn.AGGREGATE(15,6,(ROW(nQ6_CaseKey)-ROW(INDEX(nQ6_CaseKey,1,1))+1)/((nQ6_CaseKey=$H$4)),AG43),0),IFERROR(_xlfn.AGGREGATE(15,6,(ROW(nQ7_CaseKey)-ROW(INDEX(nQ7_CaseKey,1,1))+1)/((nQ7_CaseKey=$H$4)),AG43),0),IFERROR(_xlfn.AGGREGATE(15,6,(ROW(nQ8_CaseKey)-ROW(INDEX(nQ8_CaseKey,1,1))+1)/((nQ8_CaseKey=$H$4)),AG43),0),IFERROR(_xlfn.AGGREGATE(15,6,(ROW(nQ9_CaseKey)-ROW(INDEX(nQ9_CaseKey,1,1))+1)/((nQ9_CaseKey=$H$4)),AG43),0),IFERROR(_xlfn.AGGREGATE(15,6,(ROW(nQ10_CaseKey)-ROW(INDEX(nQ10_CaseKey,1,1))+1)/((nQ10_CaseKey=$H$4)),AG43),0),IFERROR(_xlfn.AGGREGATE(15,6,(ROW(nQ11_CaseKey)-ROW(INDEX(nQ11_CaseKey,1,1))+1)/((nQ11_CaseKey=$H$4)),AG43),0)))</f>
        <v>0</v>
      </c>
      <c r="AJ43" s="1" t="str">
        <f>IF($AF43=0,"",CHOOSE($AF43,INDEX(nINT_Case_ID,$AH43)&amp;"",INDEX(nQ1_Case_ID,$AH43)&amp;"",INDEX(nQ2_Case_ID,$AH43)&amp;"",INDEX(nQ3_Case_ID,$AH43)&amp;"",INDEX(nQ4_Case_ID,$AH43)&amp;"",INDEX(nQ5_Case_ID,$AH43)&amp;"",INDEX(nQ6_Case_ID,$AH43)&amp;"",INDEX(nQ7_Case_ID,$AH43)&amp;"",INDEX(nQ8_Case_ID,$AH43)&amp;"",INDEX(nQ9_Case_ID,$AH43)&amp;"",INDEX(nQ10_Case_ID,$AH43)&amp;"",INDEX(nQ11_Case_ID,$AH43)&amp;""))</f>
        <v/>
      </c>
      <c r="AK43" s="1" t="str">
        <f>IF($AF43=0,"",CHOOSE($AF43,INDEX(nINT_Case_Version,$AH43),INDEX(nQ1_Case_Version,$AH43),INDEX(nQ2_Case_Version,$AH43),INDEX(nQ3_Case_Version,$AH43),INDEX(nQ4_Case_Version,$AH43),INDEX(nQ5_Case_Version,$AH43),INDEX(nQ6_Case_Version,$AH43),INDEX(nQ7_Case_Version,$AH43),INDEX(nQ8_Case_Version,$AH43),INDEX(nQ9_Case_Version,$AH43),INDEX(nQ10_Case_Version,$AH43),INDEX(nQ11_Case_Version,$AH43)))</f>
        <v/>
      </c>
      <c r="AL43" s="1" t="str">
        <f>IF($AF43=0,"",CHOOSE($AF43,INDEX(nINT_Interval_ID,$AH43)&amp;"",INDEX(nQ1_Calc_ID,$AH43)&amp;"",INDEX(nQ2_Calc_ID,$AH43)&amp;"",INDEX(nQ3_Calc_ID,$AH43)&amp;"",INDEX(nQ4_Calc_ID,$AH43)&amp;"",INDEX(nQ5_Calc_ID,$AH43)&amp;"",INDEX(nQ6_Calc_ID,$AH43)&amp;"",INDEX(nQ7_Calc_ID,$AH43)&amp;"",INDEX(nQ8_Calc_ID,$AH43)&amp;"",INDEX(nQ9_Calc_ID,$AH43)&amp;"",INDEX(nQ10_Calc_ID,$AH43)&amp;"",INDEX(nQ11_Calc_ID,$AH43)&amp;""))</f>
        <v/>
      </c>
      <c r="AM43" s="1" t="str">
        <f>IF($AF43=0,"",CHOOSE($AF43,INDEX(nINT_Label,$AH43)&amp;"",INDEX(nQ1_Label_Out,$AH43)&amp;"",INDEX(nQ2_Label_Out,$AH43)&amp;"",INDEX(nQ3_Label_Out,$AH43)&amp;"",INDEX(nQ4_Label_Out,$AH43)&amp;"",INDEX(nQ5_Label_Out,$AH43)&amp;"",INDEX(nQ6_Label_Out,$AH43)&amp;"",INDEX(nQ7_Label_Out,$AH43)&amp;"",INDEX(nQ8_Label_Out,$AH43)&amp;"",INDEX(nQ9_Label_Out,$AH43)&amp;"",INDEX(nQ10_Label_Out,$AH43)&amp;"",INDEX(nQ11_Label_Out,$AH43)&amp;""))</f>
        <v/>
      </c>
      <c r="AN43" s="1" t="str">
        <f>IF($AF43=0,"",CHOOSE($AF43,IF(INDEX(nINT_LinkRow,$AH43)=0,"",INDEX(nINT_Link_ID,$AH43)&amp;""),"","","","","","","","","","",""))</f>
        <v/>
      </c>
      <c r="AO43" s="1" t="str">
        <f>IF($AF43=0,"",CHOOSE($AF43,INDEX(nINT_Exposure_Episode_ID,$AH43)&amp;"","","","","","","","","","","",""))</f>
        <v/>
      </c>
      <c r="AP43" s="1" t="str">
        <f>IF($AF43=0,"",CHOOSE($AF43,INDEX(nINT_Event_Episode_ID,$AH43)&amp;"","","","","","","","","","","",""))</f>
        <v/>
      </c>
      <c r="AQ43" s="1" t="str">
        <f>IF($AF43=0,"",CHOOSE($AF43,INDEX(nINT_End_Record_ID_Used,$AH43)&amp;"","","","","","","","","","","",""))</f>
        <v/>
      </c>
      <c r="AR43" s="1" t="str">
        <f>IF($AF43=0,"",CHOOSE($AF43,INDEX(nINT_Interval_Value,$AH43),"","","","","","","","","","",""))</f>
        <v/>
      </c>
      <c r="AS43" s="1" t="str">
        <f>IF($AF43=0,"",CHOOSE($AF43,INDEX(nINT_Interval_Minimum,$AH43),"","","","","","","","","","",""))</f>
        <v/>
      </c>
      <c r="AT43" s="1" t="str">
        <f>IF($AF43=0,"",CHOOSE($AF43,INDEX(nINT_Interval_Maximum,$AH43),"","","","","","","","","","",""))</f>
        <v/>
      </c>
      <c r="AU43" s="1" t="str">
        <f>IF($AF43=0,"",CHOOSE($AF43,INDEX(nINT_Unit,$AH43)&amp;"",INDEX(nQ1_Unit_Out,$AH43)&amp;"",INDEX(nQ2_Unit_Out,$AH43)&amp;"",INDEX(nQ3_Unit_Out,$AH43)&amp;"",INDEX(nQ4_Unit_Out,$AH43)&amp;"",INDEX(nQ5_Unit_Out,$AH43)&amp;"",INDEX(nQ6_Unit_Out,$AH43)&amp;"",INDEX(nQ7_Unit_Out,$AH43)&amp;"",INDEX(nQ8_Unit_Out,$AH43)&amp;"",INDEX(nQ9_Unit_Out,$AH43)&amp;"",INDEX(nQ10_Unit_Out,$AH43)&amp;"",INDEX(nQ11_Unit_Out,$AH43)&amp;""))</f>
        <v/>
      </c>
      <c r="AV43" s="1" t="str">
        <f>IF($AF43=0,"",CHOOSE($AF43,INDEX(nINT_Displayed_Value,$AH43)&amp;"",INDEX(nQ1_Displayed_Value,$AH43)&amp;"",INDEX(nQ2_Displayed_Value,$AH43)&amp;"",INDEX(nQ3_Displayed_Value,$AH43)&amp;"",INDEX(nQ4_Displayed_Value,$AH43)&amp;"",INDEX(nQ5_Displayed_Value,$AH43)&amp;"",INDEX(nQ6_Displayed_Value,$AH43)&amp;"",INDEX(nQ7_Displayed_Value,$AH43)&amp;"",INDEX(nQ8_Displayed_Value,$AH43)&amp;"",INDEX(nQ9_Displayed_Value,$AH43)&amp;"",INDEX(nQ10_Displayed_Value,$AH43)&amp;"",INDEX(nQ11_Displayed_Value,$AH43)&amp;""))</f>
        <v/>
      </c>
      <c r="AW43" s="1" t="str">
        <f>IF($AF43=0,"",CHOOSE($AF43,INDEX(nINT_Calculation_Mode_Used,$AH43)&amp;"","Q1","Q2","Q3","Q4","Q5","Q6","Q7","Q8","Q9","Q10","Q11"))</f>
        <v/>
      </c>
      <c r="AX43" s="1" t="str">
        <f>IF($AF43=0,"",CHOOSE($AF43,INDEX(nINT_Anchor_Type,$AH43)&amp;"","","","","","","","","","","",""))</f>
        <v/>
      </c>
      <c r="AY43" s="1" t="str">
        <f>IF($AF43=0,"",CHOOSE($AF43,IF(INDEX(nINT_K_Ok,$AH43)=1,INDEX(nINT_Anchor_Record_ID_Used,$AH43)&amp;"",""),"","","","","","","","","","",""))</f>
        <v/>
      </c>
      <c r="AZ43" s="1" t="str">
        <f>IF($AF43=0,"",CHOOSE($AF43,INDEX(nINT_Anchor_Description,$AH43)&amp;"","","","","","","","","","","",""))</f>
        <v/>
      </c>
      <c r="BA43" s="1" t="str">
        <f>IF($AF43=0,"",CHOOSE($AF43,INDEX(nINT_Sequence_Status,$AH43)&amp;"","","","","","","","","","","",""))</f>
        <v/>
      </c>
      <c r="BB43" s="1" t="str">
        <f>IF($AF43=0,"",CHOOSE($AF43,INDEX(nINT_Treatment_Day,$AH43),"","","","","","","","","","",""))</f>
        <v/>
      </c>
      <c r="BC43" s="1" t="str">
        <f>IF($AF43=0,"",CHOOSE($AF43,INDEX(nINT_Reported_Timing_Result,$AH43)&amp;"","","","","","","","","","","",""))</f>
        <v/>
      </c>
      <c r="BD43" s="1" t="str">
        <f>IF($AF43=0,"",CHOOSE($AF43,IF(INDEX(nINT_K_HasC,$AH43)=1,INDEX(nINT_Constraint_Source,$AH43)&amp;"",""),"","","","","","","","","","",""))</f>
        <v/>
      </c>
      <c r="BE43" s="1" t="str">
        <f>IF($AF43=0,"",CHOOSE($AF43,"",INDEX(nQ1_Results_Text,$AH43)&amp;"",INDEX(nQ2_Results_Text,$AH43)&amp;"",INDEX(nQ3_Results_Text,$AH43)&amp;"",INDEX(nQ4_Results_Text,$AH43)&amp;"",INDEX(nQ5_Results_Text,$AH43)&amp;"",INDEX(nQ6_Results_Text,$AH43)&amp;"",INDEX(nQ7_Results_Text,$AH43)&amp;"",INDEX(nQ8_Results_Text,$AH43)&amp;"",INDEX(nQ9_Results_Text,$AH43)&amp;"",INDEX(nQ10_Results_Text,$AH43)&amp;"",INDEX(nQ11_Results_Text,$AH43)&amp;""))</f>
        <v/>
      </c>
      <c r="BF43" s="1" t="str">
        <f>IF($AF43=0,"",CHOOSE($AF43,INDEX(nINT_Parameter_Set,$AH43)&amp;"",INDEX(nQ1_Parameter_Set,$AH43)&amp;"",INDEX(nQ2_Parameter_Set,$AH43)&amp;"",INDEX(nQ3_Parameter_Set,$AH43)&amp;"",INDEX(nQ4_Parameter_Set,$AH43)&amp;"",INDEX(nQ5_Parameter_Set,$AH43)&amp;"",INDEX(nQ6_Parameter_Set,$AH43)&amp;"",INDEX(nQ7_Parameter_Set,$AH43)&amp;"",INDEX(nQ8_Parameter_Set,$AH43)&amp;"",INDEX(nQ9_Parameter_Set,$AH43)&amp;"",INDEX(nQ10_Parameter_Set,$AH43)&amp;"",INDEX(nQ11_Parameter_Set,$AH43)&amp;""))</f>
        <v/>
      </c>
      <c r="BG43" s="1" t="str">
        <f>IF($AF43=0,"",CHOOSE($AF43,INDEX(nINT_Assumptions,$AH43)&amp;"",INDEX(nQ1_Assumptions,$AH43)&amp;"",INDEX(nQ2_Assumptions,$AH43)&amp;"",INDEX(nQ3_Assumptions,$AH43)&amp;"",INDEX(nQ4_Assumptions,$AH43)&amp;"",INDEX(nQ5_Assumptions,$AH43)&amp;"",INDEX(nQ6_Assumptions,$AH43)&amp;"",INDEX(nQ7_Assumptions,$AH43)&amp;"",INDEX(nQ8_Assumptions,$AH43)&amp;"",INDEX(nQ9_Assumptions,$AH43)&amp;"",INDEX(nQ10_Assumptions,$AH43)&amp;"",INDEX(nQ11_Assumptions,$AH43)&amp;""))</f>
        <v/>
      </c>
      <c r="BH43" s="1" t="str">
        <f>IF($AF43=0,"",CHOOSE($AF43,INDEX(nINT_Calculation_Version,$AH43)&amp;"",INDEX(nQ1_Calculation_Version,$AH43)&amp;"",INDEX(nQ2_Calculation_Version,$AH43)&amp;"",INDEX(nQ3_Calculation_Version,$AH43)&amp;"",INDEX(nQ4_Calculation_Version,$AH43)&amp;"",INDEX(nQ5_Calculation_Version,$AH43)&amp;"",INDEX(nQ6_Calculation_Version,$AH43)&amp;"",INDEX(nQ7_Calculation_Version,$AH43)&amp;"",INDEX(nQ8_Calculation_Version,$AH43)&amp;"",INDEX(nQ9_Calculation_Version,$AH43)&amp;"",INDEX(nQ10_Calculation_Version,$AH43)&amp;"",INDEX(nQ11_Calculation_Version,$AH43)&amp;""))</f>
        <v/>
      </c>
      <c r="BI43" s="1" t="str">
        <f>IF($AF43=0,"",CHOOSE($AF43,INDEX(nINT_QC_Flags,$AH43)&amp;"",INDEX(nQ1_QC_Flags,$AH43)&amp;"",INDEX(nQ2_QC_Flags,$AH43)&amp;"",INDEX(nQ3_QC_Flags,$AH43)&amp;"",INDEX(nQ4_QC_Flags,$AH43)&amp;"",INDEX(nQ5_QC_Flags,$AH43)&amp;"",INDEX(nQ6_QC_Flags,$AH43)&amp;"",INDEX(nQ7_QC_Flags,$AH43)&amp;"",INDEX(nQ8_QC_Flags,$AH43)&amp;"",INDEX(nQ9_QC_Flags,$AH43)&amp;"",INDEX(nQ10_QC_Flags,$AH43)&amp;"",INDEX(nQ11_QC_Flags,$AH43)&amp;""))</f>
        <v/>
      </c>
      <c r="BJ43" s="1" t="str">
        <f>IF($AF43=0,"",CHOOSE($AF43,INDEX(nINT_Messages,$AH43)&amp;"",INDEX(nQ1_Messages,$AH43)&amp;"",INDEX(nQ2_Messages,$AH43)&amp;"",INDEX(nQ3_Messages,$AH43)&amp;"",INDEX(nQ4_Messages,$AH43)&amp;"",INDEX(nQ5_Messages,$AH43)&amp;"",INDEX(nQ6_Messages,$AH43)&amp;"",INDEX(nQ7_Messages,$AH43)&amp;"",INDEX(nQ8_Messages,$AH43)&amp;"",INDEX(nQ9_Messages,$AH43)&amp;"",INDEX(nQ10_Messages,$AH43)&amp;"",INDEX(nQ11_Messages,$AH43)&amp;""))</f>
        <v/>
      </c>
      <c r="BK43" s="1" t="str">
        <f>IF($AF43=0,"",CHOOSE($AF43,INDEX(nINT_Limitations,$AH43)&amp;"",INDEX(nQ1_Mandatory_Text,$AH43)&amp;"",INDEX(nQ2_Mandatory_Text,$AH43)&amp;"",INDEX(nQ3_Mandatory_Text,$AH43)&amp;"",INDEX(nQ4_Mandatory_Text,$AH43)&amp;"",INDEX(nQ5_Mandatory_Text,$AH43)&amp;"",INDEX(nQ6_Mandatory_Text,$AH43)&amp;"",INDEX(nQ7_Mandatory_Text,$AH43)&amp;"",INDEX(nQ8_Mandatory_Text,$AH43)&amp;"",INDEX(nQ9_Mandatory_Text,$AH43)&amp;"",INDEX(nQ10_Mandatory_Text,$AH43)&amp;"",INDEX(nQ11_Mandatory_Text,$AH43)&amp;""))</f>
        <v/>
      </c>
      <c r="BL43" s="1" t="str">
        <f t="shared" si="33"/>
        <v/>
      </c>
      <c r="BM43" s="1" t="str">
        <f t="shared" si="34"/>
        <v/>
      </c>
    </row>
    <row r="44" spans="1:65" x14ac:dyDescent="0.2">
      <c r="A44" s="21" t="str">
        <f t="shared" si="0"/>
        <v/>
      </c>
      <c r="B44" s="21" t="str">
        <f t="shared" si="1"/>
        <v/>
      </c>
      <c r="C44" s="21" t="str">
        <f t="shared" si="2"/>
        <v/>
      </c>
      <c r="D44" s="21" t="str">
        <f t="shared" si="3"/>
        <v/>
      </c>
      <c r="E44" s="21" t="str">
        <f t="shared" si="4"/>
        <v/>
      </c>
      <c r="F44" s="21" t="str">
        <f t="shared" si="5"/>
        <v/>
      </c>
      <c r="G44" s="21" t="str">
        <f t="shared" si="6"/>
        <v/>
      </c>
      <c r="H44" s="21" t="str">
        <f t="shared" si="7"/>
        <v/>
      </c>
      <c r="I44" s="21" t="str">
        <f t="shared" si="8"/>
        <v/>
      </c>
      <c r="J44" s="21" t="str">
        <f t="shared" si="9"/>
        <v/>
      </c>
      <c r="K44" s="21" t="str">
        <f t="shared" si="10"/>
        <v/>
      </c>
      <c r="L44" s="21" t="str">
        <f t="shared" si="11"/>
        <v/>
      </c>
      <c r="M44" s="21" t="str">
        <f t="shared" si="12"/>
        <v/>
      </c>
      <c r="N44" s="21" t="str">
        <f t="shared" si="13"/>
        <v/>
      </c>
      <c r="O44" s="21" t="str">
        <f t="shared" si="14"/>
        <v/>
      </c>
      <c r="P44" s="21" t="str">
        <f t="shared" si="15"/>
        <v/>
      </c>
      <c r="Q44" s="21" t="str">
        <f t="shared" si="16"/>
        <v/>
      </c>
      <c r="R44" s="21" t="str">
        <f t="shared" si="17"/>
        <v/>
      </c>
      <c r="S44" s="21" t="str">
        <f t="shared" si="18"/>
        <v/>
      </c>
      <c r="T44" s="21" t="str">
        <f t="shared" si="19"/>
        <v/>
      </c>
      <c r="U44" s="21" t="str">
        <f t="shared" si="20"/>
        <v/>
      </c>
      <c r="V44" s="21" t="str">
        <f t="shared" si="21"/>
        <v/>
      </c>
      <c r="W44" s="21" t="str">
        <f t="shared" si="22"/>
        <v/>
      </c>
      <c r="X44" s="21" t="str">
        <f t="shared" si="23"/>
        <v/>
      </c>
      <c r="Y44" s="21" t="str">
        <f t="shared" si="24"/>
        <v/>
      </c>
      <c r="Z44" s="21" t="str">
        <f t="shared" si="25"/>
        <v/>
      </c>
      <c r="AA44" s="21" t="str">
        <f t="shared" si="26"/>
        <v/>
      </c>
      <c r="AB44" s="21" t="str">
        <f t="shared" si="27"/>
        <v/>
      </c>
      <c r="AC44" s="21" t="str">
        <f t="shared" si="28"/>
        <v/>
      </c>
      <c r="AD44" s="21" t="str">
        <f t="shared" si="29"/>
        <v/>
      </c>
      <c r="AE44" s="1">
        <f t="shared" si="30"/>
        <v>37</v>
      </c>
      <c r="AF44" s="1">
        <f t="shared" si="31"/>
        <v>0</v>
      </c>
      <c r="AG44" s="1">
        <f t="shared" si="32"/>
        <v>0</v>
      </c>
      <c r="AH44" s="1">
        <f>IF(AF44=0,0,CHOOSE(AF44,IFERROR(_xlfn.AGGREGATE(15,6,(ROW(nINT_CaseKey)-ROW(INDEX(nINT_CaseKey,1,1))+1)/((nINT_CaseKey=$H$4)*(nINT_RowEmpty=0)),AG44),0),IFERROR(_xlfn.AGGREGATE(15,6,(ROW(nQ1_CaseKey)-ROW(INDEX(nQ1_CaseKey,1,1))+1)/((nQ1_CaseKey=$H$4)),AG44),0),IFERROR(_xlfn.AGGREGATE(15,6,(ROW(nQ2_CaseKey)-ROW(INDEX(nQ2_CaseKey,1,1))+1)/((nQ2_CaseKey=$H$4)),AG44),0),IFERROR(_xlfn.AGGREGATE(15,6,(ROW(nQ3_CaseKey)-ROW(INDEX(nQ3_CaseKey,1,1))+1)/((nQ3_CaseKey=$H$4)),AG44),0),IFERROR(_xlfn.AGGREGATE(15,6,(ROW(nQ4_CaseKey)-ROW(INDEX(nQ4_CaseKey,1,1))+1)/((nQ4_CaseKey=$H$4)),AG44),0),IFERROR(_xlfn.AGGREGATE(15,6,(ROW(nQ5_CaseKey)-ROW(INDEX(nQ5_CaseKey,1,1))+1)/((nQ5_CaseKey=$H$4)),AG44),0),IFERROR(_xlfn.AGGREGATE(15,6,(ROW(nQ6_CaseKey)-ROW(INDEX(nQ6_CaseKey,1,1))+1)/((nQ6_CaseKey=$H$4)),AG44),0),IFERROR(_xlfn.AGGREGATE(15,6,(ROW(nQ7_CaseKey)-ROW(INDEX(nQ7_CaseKey,1,1))+1)/((nQ7_CaseKey=$H$4)),AG44),0),IFERROR(_xlfn.AGGREGATE(15,6,(ROW(nQ8_CaseKey)-ROW(INDEX(nQ8_CaseKey,1,1))+1)/((nQ8_CaseKey=$H$4)),AG44),0),IFERROR(_xlfn.AGGREGATE(15,6,(ROW(nQ9_CaseKey)-ROW(INDEX(nQ9_CaseKey,1,1))+1)/((nQ9_CaseKey=$H$4)),AG44),0),IFERROR(_xlfn.AGGREGATE(15,6,(ROW(nQ10_CaseKey)-ROW(INDEX(nQ10_CaseKey,1,1))+1)/((nQ10_CaseKey=$H$4)),AG44),0),IFERROR(_xlfn.AGGREGATE(15,6,(ROW(nQ11_CaseKey)-ROW(INDEX(nQ11_CaseKey,1,1))+1)/((nQ11_CaseKey=$H$4)),AG44),0)))</f>
        <v>0</v>
      </c>
      <c r="AJ44" s="1" t="str">
        <f>IF($AF44=0,"",CHOOSE($AF44,INDEX(nINT_Case_ID,$AH44)&amp;"",INDEX(nQ1_Case_ID,$AH44)&amp;"",INDEX(nQ2_Case_ID,$AH44)&amp;"",INDEX(nQ3_Case_ID,$AH44)&amp;"",INDEX(nQ4_Case_ID,$AH44)&amp;"",INDEX(nQ5_Case_ID,$AH44)&amp;"",INDEX(nQ6_Case_ID,$AH44)&amp;"",INDEX(nQ7_Case_ID,$AH44)&amp;"",INDEX(nQ8_Case_ID,$AH44)&amp;"",INDEX(nQ9_Case_ID,$AH44)&amp;"",INDEX(nQ10_Case_ID,$AH44)&amp;"",INDEX(nQ11_Case_ID,$AH44)&amp;""))</f>
        <v/>
      </c>
      <c r="AK44" s="1" t="str">
        <f>IF($AF44=0,"",CHOOSE($AF44,INDEX(nINT_Case_Version,$AH44),INDEX(nQ1_Case_Version,$AH44),INDEX(nQ2_Case_Version,$AH44),INDEX(nQ3_Case_Version,$AH44),INDEX(nQ4_Case_Version,$AH44),INDEX(nQ5_Case_Version,$AH44),INDEX(nQ6_Case_Version,$AH44),INDEX(nQ7_Case_Version,$AH44),INDEX(nQ8_Case_Version,$AH44),INDEX(nQ9_Case_Version,$AH44),INDEX(nQ10_Case_Version,$AH44),INDEX(nQ11_Case_Version,$AH44)))</f>
        <v/>
      </c>
      <c r="AL44" s="1" t="str">
        <f>IF($AF44=0,"",CHOOSE($AF44,INDEX(nINT_Interval_ID,$AH44)&amp;"",INDEX(nQ1_Calc_ID,$AH44)&amp;"",INDEX(nQ2_Calc_ID,$AH44)&amp;"",INDEX(nQ3_Calc_ID,$AH44)&amp;"",INDEX(nQ4_Calc_ID,$AH44)&amp;"",INDEX(nQ5_Calc_ID,$AH44)&amp;"",INDEX(nQ6_Calc_ID,$AH44)&amp;"",INDEX(nQ7_Calc_ID,$AH44)&amp;"",INDEX(nQ8_Calc_ID,$AH44)&amp;"",INDEX(nQ9_Calc_ID,$AH44)&amp;"",INDEX(nQ10_Calc_ID,$AH44)&amp;"",INDEX(nQ11_Calc_ID,$AH44)&amp;""))</f>
        <v/>
      </c>
      <c r="AM44" s="1" t="str">
        <f>IF($AF44=0,"",CHOOSE($AF44,INDEX(nINT_Label,$AH44)&amp;"",INDEX(nQ1_Label_Out,$AH44)&amp;"",INDEX(nQ2_Label_Out,$AH44)&amp;"",INDEX(nQ3_Label_Out,$AH44)&amp;"",INDEX(nQ4_Label_Out,$AH44)&amp;"",INDEX(nQ5_Label_Out,$AH44)&amp;"",INDEX(nQ6_Label_Out,$AH44)&amp;"",INDEX(nQ7_Label_Out,$AH44)&amp;"",INDEX(nQ8_Label_Out,$AH44)&amp;"",INDEX(nQ9_Label_Out,$AH44)&amp;"",INDEX(nQ10_Label_Out,$AH44)&amp;"",INDEX(nQ11_Label_Out,$AH44)&amp;""))</f>
        <v/>
      </c>
      <c r="AN44" s="1" t="str">
        <f>IF($AF44=0,"",CHOOSE($AF44,IF(INDEX(nINT_LinkRow,$AH44)=0,"",INDEX(nINT_Link_ID,$AH44)&amp;""),"","","","","","","","","","",""))</f>
        <v/>
      </c>
      <c r="AO44" s="1" t="str">
        <f>IF($AF44=0,"",CHOOSE($AF44,INDEX(nINT_Exposure_Episode_ID,$AH44)&amp;"","","","","","","","","","","",""))</f>
        <v/>
      </c>
      <c r="AP44" s="1" t="str">
        <f>IF($AF44=0,"",CHOOSE($AF44,INDEX(nINT_Event_Episode_ID,$AH44)&amp;"","","","","","","","","","","",""))</f>
        <v/>
      </c>
      <c r="AQ44" s="1" t="str">
        <f>IF($AF44=0,"",CHOOSE($AF44,INDEX(nINT_End_Record_ID_Used,$AH44)&amp;"","","","","","","","","","","",""))</f>
        <v/>
      </c>
      <c r="AR44" s="1" t="str">
        <f>IF($AF44=0,"",CHOOSE($AF44,INDEX(nINT_Interval_Value,$AH44),"","","","","","","","","","",""))</f>
        <v/>
      </c>
      <c r="AS44" s="1" t="str">
        <f>IF($AF44=0,"",CHOOSE($AF44,INDEX(nINT_Interval_Minimum,$AH44),"","","","","","","","","","",""))</f>
        <v/>
      </c>
      <c r="AT44" s="1" t="str">
        <f>IF($AF44=0,"",CHOOSE($AF44,INDEX(nINT_Interval_Maximum,$AH44),"","","","","","","","","","",""))</f>
        <v/>
      </c>
      <c r="AU44" s="1" t="str">
        <f>IF($AF44=0,"",CHOOSE($AF44,INDEX(nINT_Unit,$AH44)&amp;"",INDEX(nQ1_Unit_Out,$AH44)&amp;"",INDEX(nQ2_Unit_Out,$AH44)&amp;"",INDEX(nQ3_Unit_Out,$AH44)&amp;"",INDEX(nQ4_Unit_Out,$AH44)&amp;"",INDEX(nQ5_Unit_Out,$AH44)&amp;"",INDEX(nQ6_Unit_Out,$AH44)&amp;"",INDEX(nQ7_Unit_Out,$AH44)&amp;"",INDEX(nQ8_Unit_Out,$AH44)&amp;"",INDEX(nQ9_Unit_Out,$AH44)&amp;"",INDEX(nQ10_Unit_Out,$AH44)&amp;"",INDEX(nQ11_Unit_Out,$AH44)&amp;""))</f>
        <v/>
      </c>
      <c r="AV44" s="1" t="str">
        <f>IF($AF44=0,"",CHOOSE($AF44,INDEX(nINT_Displayed_Value,$AH44)&amp;"",INDEX(nQ1_Displayed_Value,$AH44)&amp;"",INDEX(nQ2_Displayed_Value,$AH44)&amp;"",INDEX(nQ3_Displayed_Value,$AH44)&amp;"",INDEX(nQ4_Displayed_Value,$AH44)&amp;"",INDEX(nQ5_Displayed_Value,$AH44)&amp;"",INDEX(nQ6_Displayed_Value,$AH44)&amp;"",INDEX(nQ7_Displayed_Value,$AH44)&amp;"",INDEX(nQ8_Displayed_Value,$AH44)&amp;"",INDEX(nQ9_Displayed_Value,$AH44)&amp;"",INDEX(nQ10_Displayed_Value,$AH44)&amp;"",INDEX(nQ11_Displayed_Value,$AH44)&amp;""))</f>
        <v/>
      </c>
      <c r="AW44" s="1" t="str">
        <f>IF($AF44=0,"",CHOOSE($AF44,INDEX(nINT_Calculation_Mode_Used,$AH44)&amp;"","Q1","Q2","Q3","Q4","Q5","Q6","Q7","Q8","Q9","Q10","Q11"))</f>
        <v/>
      </c>
      <c r="AX44" s="1" t="str">
        <f>IF($AF44=0,"",CHOOSE($AF44,INDEX(nINT_Anchor_Type,$AH44)&amp;"","","","","","","","","","","",""))</f>
        <v/>
      </c>
      <c r="AY44" s="1" t="str">
        <f>IF($AF44=0,"",CHOOSE($AF44,IF(INDEX(nINT_K_Ok,$AH44)=1,INDEX(nINT_Anchor_Record_ID_Used,$AH44)&amp;"",""),"","","","","","","","","","",""))</f>
        <v/>
      </c>
      <c r="AZ44" s="1" t="str">
        <f>IF($AF44=0,"",CHOOSE($AF44,INDEX(nINT_Anchor_Description,$AH44)&amp;"","","","","","","","","","","",""))</f>
        <v/>
      </c>
      <c r="BA44" s="1" t="str">
        <f>IF($AF44=0,"",CHOOSE($AF44,INDEX(nINT_Sequence_Status,$AH44)&amp;"","","","","","","","","","","",""))</f>
        <v/>
      </c>
      <c r="BB44" s="1" t="str">
        <f>IF($AF44=0,"",CHOOSE($AF44,INDEX(nINT_Treatment_Day,$AH44),"","","","","","","","","","",""))</f>
        <v/>
      </c>
      <c r="BC44" s="1" t="str">
        <f>IF($AF44=0,"",CHOOSE($AF44,INDEX(nINT_Reported_Timing_Result,$AH44)&amp;"","","","","","","","","","","",""))</f>
        <v/>
      </c>
      <c r="BD44" s="1" t="str">
        <f>IF($AF44=0,"",CHOOSE($AF44,IF(INDEX(nINT_K_HasC,$AH44)=1,INDEX(nINT_Constraint_Source,$AH44)&amp;"",""),"","","","","","","","","","",""))</f>
        <v/>
      </c>
      <c r="BE44" s="1" t="str">
        <f>IF($AF44=0,"",CHOOSE($AF44,"",INDEX(nQ1_Results_Text,$AH44)&amp;"",INDEX(nQ2_Results_Text,$AH44)&amp;"",INDEX(nQ3_Results_Text,$AH44)&amp;"",INDEX(nQ4_Results_Text,$AH44)&amp;"",INDEX(nQ5_Results_Text,$AH44)&amp;"",INDEX(nQ6_Results_Text,$AH44)&amp;"",INDEX(nQ7_Results_Text,$AH44)&amp;"",INDEX(nQ8_Results_Text,$AH44)&amp;"",INDEX(nQ9_Results_Text,$AH44)&amp;"",INDEX(nQ10_Results_Text,$AH44)&amp;"",INDEX(nQ11_Results_Text,$AH44)&amp;""))</f>
        <v/>
      </c>
      <c r="BF44" s="1" t="str">
        <f>IF($AF44=0,"",CHOOSE($AF44,INDEX(nINT_Parameter_Set,$AH44)&amp;"",INDEX(nQ1_Parameter_Set,$AH44)&amp;"",INDEX(nQ2_Parameter_Set,$AH44)&amp;"",INDEX(nQ3_Parameter_Set,$AH44)&amp;"",INDEX(nQ4_Parameter_Set,$AH44)&amp;"",INDEX(nQ5_Parameter_Set,$AH44)&amp;"",INDEX(nQ6_Parameter_Set,$AH44)&amp;"",INDEX(nQ7_Parameter_Set,$AH44)&amp;"",INDEX(nQ8_Parameter_Set,$AH44)&amp;"",INDEX(nQ9_Parameter_Set,$AH44)&amp;"",INDEX(nQ10_Parameter_Set,$AH44)&amp;"",INDEX(nQ11_Parameter_Set,$AH44)&amp;""))</f>
        <v/>
      </c>
      <c r="BG44" s="1" t="str">
        <f>IF($AF44=0,"",CHOOSE($AF44,INDEX(nINT_Assumptions,$AH44)&amp;"",INDEX(nQ1_Assumptions,$AH44)&amp;"",INDEX(nQ2_Assumptions,$AH44)&amp;"",INDEX(nQ3_Assumptions,$AH44)&amp;"",INDEX(nQ4_Assumptions,$AH44)&amp;"",INDEX(nQ5_Assumptions,$AH44)&amp;"",INDEX(nQ6_Assumptions,$AH44)&amp;"",INDEX(nQ7_Assumptions,$AH44)&amp;"",INDEX(nQ8_Assumptions,$AH44)&amp;"",INDEX(nQ9_Assumptions,$AH44)&amp;"",INDEX(nQ10_Assumptions,$AH44)&amp;"",INDEX(nQ11_Assumptions,$AH44)&amp;""))</f>
        <v/>
      </c>
      <c r="BH44" s="1" t="str">
        <f>IF($AF44=0,"",CHOOSE($AF44,INDEX(nINT_Calculation_Version,$AH44)&amp;"",INDEX(nQ1_Calculation_Version,$AH44)&amp;"",INDEX(nQ2_Calculation_Version,$AH44)&amp;"",INDEX(nQ3_Calculation_Version,$AH44)&amp;"",INDEX(nQ4_Calculation_Version,$AH44)&amp;"",INDEX(nQ5_Calculation_Version,$AH44)&amp;"",INDEX(nQ6_Calculation_Version,$AH44)&amp;"",INDEX(nQ7_Calculation_Version,$AH44)&amp;"",INDEX(nQ8_Calculation_Version,$AH44)&amp;"",INDEX(nQ9_Calculation_Version,$AH44)&amp;"",INDEX(nQ10_Calculation_Version,$AH44)&amp;"",INDEX(nQ11_Calculation_Version,$AH44)&amp;""))</f>
        <v/>
      </c>
      <c r="BI44" s="1" t="str">
        <f>IF($AF44=0,"",CHOOSE($AF44,INDEX(nINT_QC_Flags,$AH44)&amp;"",INDEX(nQ1_QC_Flags,$AH44)&amp;"",INDEX(nQ2_QC_Flags,$AH44)&amp;"",INDEX(nQ3_QC_Flags,$AH44)&amp;"",INDEX(nQ4_QC_Flags,$AH44)&amp;"",INDEX(nQ5_QC_Flags,$AH44)&amp;"",INDEX(nQ6_QC_Flags,$AH44)&amp;"",INDEX(nQ7_QC_Flags,$AH44)&amp;"",INDEX(nQ8_QC_Flags,$AH44)&amp;"",INDEX(nQ9_QC_Flags,$AH44)&amp;"",INDEX(nQ10_QC_Flags,$AH44)&amp;"",INDEX(nQ11_QC_Flags,$AH44)&amp;""))</f>
        <v/>
      </c>
      <c r="BJ44" s="1" t="str">
        <f>IF($AF44=0,"",CHOOSE($AF44,INDEX(nINT_Messages,$AH44)&amp;"",INDEX(nQ1_Messages,$AH44)&amp;"",INDEX(nQ2_Messages,$AH44)&amp;"",INDEX(nQ3_Messages,$AH44)&amp;"",INDEX(nQ4_Messages,$AH44)&amp;"",INDEX(nQ5_Messages,$AH44)&amp;"",INDEX(nQ6_Messages,$AH44)&amp;"",INDEX(nQ7_Messages,$AH44)&amp;"",INDEX(nQ8_Messages,$AH44)&amp;"",INDEX(nQ9_Messages,$AH44)&amp;"",INDEX(nQ10_Messages,$AH44)&amp;"",INDEX(nQ11_Messages,$AH44)&amp;""))</f>
        <v/>
      </c>
      <c r="BK44" s="1" t="str">
        <f>IF($AF44=0,"",CHOOSE($AF44,INDEX(nINT_Limitations,$AH44)&amp;"",INDEX(nQ1_Mandatory_Text,$AH44)&amp;"",INDEX(nQ2_Mandatory_Text,$AH44)&amp;"",INDEX(nQ3_Mandatory_Text,$AH44)&amp;"",INDEX(nQ4_Mandatory_Text,$AH44)&amp;"",INDEX(nQ5_Mandatory_Text,$AH44)&amp;"",INDEX(nQ6_Mandatory_Text,$AH44)&amp;"",INDEX(nQ7_Mandatory_Text,$AH44)&amp;"",INDEX(nQ8_Mandatory_Text,$AH44)&amp;"",INDEX(nQ9_Mandatory_Text,$AH44)&amp;"",INDEX(nQ10_Mandatory_Text,$AH44)&amp;"",INDEX(nQ11_Mandatory_Text,$AH44)&amp;""))</f>
        <v/>
      </c>
      <c r="BL44" s="1" t="str">
        <f t="shared" si="33"/>
        <v/>
      </c>
      <c r="BM44" s="1" t="str">
        <f t="shared" si="34"/>
        <v/>
      </c>
    </row>
    <row r="45" spans="1:65" x14ac:dyDescent="0.2">
      <c r="A45" s="21" t="str">
        <f t="shared" si="0"/>
        <v/>
      </c>
      <c r="B45" s="21" t="str">
        <f t="shared" si="1"/>
        <v/>
      </c>
      <c r="C45" s="21" t="str">
        <f t="shared" si="2"/>
        <v/>
      </c>
      <c r="D45" s="21" t="str">
        <f t="shared" si="3"/>
        <v/>
      </c>
      <c r="E45" s="21" t="str">
        <f t="shared" si="4"/>
        <v/>
      </c>
      <c r="F45" s="21" t="str">
        <f t="shared" si="5"/>
        <v/>
      </c>
      <c r="G45" s="21" t="str">
        <f t="shared" si="6"/>
        <v/>
      </c>
      <c r="H45" s="21" t="str">
        <f t="shared" si="7"/>
        <v/>
      </c>
      <c r="I45" s="21" t="str">
        <f t="shared" si="8"/>
        <v/>
      </c>
      <c r="J45" s="21" t="str">
        <f t="shared" si="9"/>
        <v/>
      </c>
      <c r="K45" s="21" t="str">
        <f t="shared" si="10"/>
        <v/>
      </c>
      <c r="L45" s="21" t="str">
        <f t="shared" si="11"/>
        <v/>
      </c>
      <c r="M45" s="21" t="str">
        <f t="shared" si="12"/>
        <v/>
      </c>
      <c r="N45" s="21" t="str">
        <f t="shared" si="13"/>
        <v/>
      </c>
      <c r="O45" s="21" t="str">
        <f t="shared" si="14"/>
        <v/>
      </c>
      <c r="P45" s="21" t="str">
        <f t="shared" si="15"/>
        <v/>
      </c>
      <c r="Q45" s="21" t="str">
        <f t="shared" si="16"/>
        <v/>
      </c>
      <c r="R45" s="21" t="str">
        <f t="shared" si="17"/>
        <v/>
      </c>
      <c r="S45" s="21" t="str">
        <f t="shared" si="18"/>
        <v/>
      </c>
      <c r="T45" s="21" t="str">
        <f t="shared" si="19"/>
        <v/>
      </c>
      <c r="U45" s="21" t="str">
        <f t="shared" si="20"/>
        <v/>
      </c>
      <c r="V45" s="21" t="str">
        <f t="shared" si="21"/>
        <v/>
      </c>
      <c r="W45" s="21" t="str">
        <f t="shared" si="22"/>
        <v/>
      </c>
      <c r="X45" s="21" t="str">
        <f t="shared" si="23"/>
        <v/>
      </c>
      <c r="Y45" s="21" t="str">
        <f t="shared" si="24"/>
        <v/>
      </c>
      <c r="Z45" s="21" t="str">
        <f t="shared" si="25"/>
        <v/>
      </c>
      <c r="AA45" s="21" t="str">
        <f t="shared" si="26"/>
        <v/>
      </c>
      <c r="AB45" s="21" t="str">
        <f t="shared" si="27"/>
        <v/>
      </c>
      <c r="AC45" s="21" t="str">
        <f t="shared" si="28"/>
        <v/>
      </c>
      <c r="AD45" s="21" t="str">
        <f t="shared" si="29"/>
        <v/>
      </c>
      <c r="AE45" s="1">
        <f t="shared" si="30"/>
        <v>38</v>
      </c>
      <c r="AF45" s="1">
        <f t="shared" si="31"/>
        <v>0</v>
      </c>
      <c r="AG45" s="1">
        <f t="shared" si="32"/>
        <v>0</v>
      </c>
      <c r="AH45" s="1">
        <f>IF(AF45=0,0,CHOOSE(AF45,IFERROR(_xlfn.AGGREGATE(15,6,(ROW(nINT_CaseKey)-ROW(INDEX(nINT_CaseKey,1,1))+1)/((nINT_CaseKey=$H$4)*(nINT_RowEmpty=0)),AG45),0),IFERROR(_xlfn.AGGREGATE(15,6,(ROW(nQ1_CaseKey)-ROW(INDEX(nQ1_CaseKey,1,1))+1)/((nQ1_CaseKey=$H$4)),AG45),0),IFERROR(_xlfn.AGGREGATE(15,6,(ROW(nQ2_CaseKey)-ROW(INDEX(nQ2_CaseKey,1,1))+1)/((nQ2_CaseKey=$H$4)),AG45),0),IFERROR(_xlfn.AGGREGATE(15,6,(ROW(nQ3_CaseKey)-ROW(INDEX(nQ3_CaseKey,1,1))+1)/((nQ3_CaseKey=$H$4)),AG45),0),IFERROR(_xlfn.AGGREGATE(15,6,(ROW(nQ4_CaseKey)-ROW(INDEX(nQ4_CaseKey,1,1))+1)/((nQ4_CaseKey=$H$4)),AG45),0),IFERROR(_xlfn.AGGREGATE(15,6,(ROW(nQ5_CaseKey)-ROW(INDEX(nQ5_CaseKey,1,1))+1)/((nQ5_CaseKey=$H$4)),AG45),0),IFERROR(_xlfn.AGGREGATE(15,6,(ROW(nQ6_CaseKey)-ROW(INDEX(nQ6_CaseKey,1,1))+1)/((nQ6_CaseKey=$H$4)),AG45),0),IFERROR(_xlfn.AGGREGATE(15,6,(ROW(nQ7_CaseKey)-ROW(INDEX(nQ7_CaseKey,1,1))+1)/((nQ7_CaseKey=$H$4)),AG45),0),IFERROR(_xlfn.AGGREGATE(15,6,(ROW(nQ8_CaseKey)-ROW(INDEX(nQ8_CaseKey,1,1))+1)/((nQ8_CaseKey=$H$4)),AG45),0),IFERROR(_xlfn.AGGREGATE(15,6,(ROW(nQ9_CaseKey)-ROW(INDEX(nQ9_CaseKey,1,1))+1)/((nQ9_CaseKey=$H$4)),AG45),0),IFERROR(_xlfn.AGGREGATE(15,6,(ROW(nQ10_CaseKey)-ROW(INDEX(nQ10_CaseKey,1,1))+1)/((nQ10_CaseKey=$H$4)),AG45),0),IFERROR(_xlfn.AGGREGATE(15,6,(ROW(nQ11_CaseKey)-ROW(INDEX(nQ11_CaseKey,1,1))+1)/((nQ11_CaseKey=$H$4)),AG45),0)))</f>
        <v>0</v>
      </c>
      <c r="AJ45" s="1" t="str">
        <f>IF($AF45=0,"",CHOOSE($AF45,INDEX(nINT_Case_ID,$AH45)&amp;"",INDEX(nQ1_Case_ID,$AH45)&amp;"",INDEX(nQ2_Case_ID,$AH45)&amp;"",INDEX(nQ3_Case_ID,$AH45)&amp;"",INDEX(nQ4_Case_ID,$AH45)&amp;"",INDEX(nQ5_Case_ID,$AH45)&amp;"",INDEX(nQ6_Case_ID,$AH45)&amp;"",INDEX(nQ7_Case_ID,$AH45)&amp;"",INDEX(nQ8_Case_ID,$AH45)&amp;"",INDEX(nQ9_Case_ID,$AH45)&amp;"",INDEX(nQ10_Case_ID,$AH45)&amp;"",INDEX(nQ11_Case_ID,$AH45)&amp;""))</f>
        <v/>
      </c>
      <c r="AK45" s="1" t="str">
        <f>IF($AF45=0,"",CHOOSE($AF45,INDEX(nINT_Case_Version,$AH45),INDEX(nQ1_Case_Version,$AH45),INDEX(nQ2_Case_Version,$AH45),INDEX(nQ3_Case_Version,$AH45),INDEX(nQ4_Case_Version,$AH45),INDEX(nQ5_Case_Version,$AH45),INDEX(nQ6_Case_Version,$AH45),INDEX(nQ7_Case_Version,$AH45),INDEX(nQ8_Case_Version,$AH45),INDEX(nQ9_Case_Version,$AH45),INDEX(nQ10_Case_Version,$AH45),INDEX(nQ11_Case_Version,$AH45)))</f>
        <v/>
      </c>
      <c r="AL45" s="1" t="str">
        <f>IF($AF45=0,"",CHOOSE($AF45,INDEX(nINT_Interval_ID,$AH45)&amp;"",INDEX(nQ1_Calc_ID,$AH45)&amp;"",INDEX(nQ2_Calc_ID,$AH45)&amp;"",INDEX(nQ3_Calc_ID,$AH45)&amp;"",INDEX(nQ4_Calc_ID,$AH45)&amp;"",INDEX(nQ5_Calc_ID,$AH45)&amp;"",INDEX(nQ6_Calc_ID,$AH45)&amp;"",INDEX(nQ7_Calc_ID,$AH45)&amp;"",INDEX(nQ8_Calc_ID,$AH45)&amp;"",INDEX(nQ9_Calc_ID,$AH45)&amp;"",INDEX(nQ10_Calc_ID,$AH45)&amp;"",INDEX(nQ11_Calc_ID,$AH45)&amp;""))</f>
        <v/>
      </c>
      <c r="AM45" s="1" t="str">
        <f>IF($AF45=0,"",CHOOSE($AF45,INDEX(nINT_Label,$AH45)&amp;"",INDEX(nQ1_Label_Out,$AH45)&amp;"",INDEX(nQ2_Label_Out,$AH45)&amp;"",INDEX(nQ3_Label_Out,$AH45)&amp;"",INDEX(nQ4_Label_Out,$AH45)&amp;"",INDEX(nQ5_Label_Out,$AH45)&amp;"",INDEX(nQ6_Label_Out,$AH45)&amp;"",INDEX(nQ7_Label_Out,$AH45)&amp;"",INDEX(nQ8_Label_Out,$AH45)&amp;"",INDEX(nQ9_Label_Out,$AH45)&amp;"",INDEX(nQ10_Label_Out,$AH45)&amp;"",INDEX(nQ11_Label_Out,$AH45)&amp;""))</f>
        <v/>
      </c>
      <c r="AN45" s="1" t="str">
        <f>IF($AF45=0,"",CHOOSE($AF45,IF(INDEX(nINT_LinkRow,$AH45)=0,"",INDEX(nINT_Link_ID,$AH45)&amp;""),"","","","","","","","","","",""))</f>
        <v/>
      </c>
      <c r="AO45" s="1" t="str">
        <f>IF($AF45=0,"",CHOOSE($AF45,INDEX(nINT_Exposure_Episode_ID,$AH45)&amp;"","","","","","","","","","","",""))</f>
        <v/>
      </c>
      <c r="AP45" s="1" t="str">
        <f>IF($AF45=0,"",CHOOSE($AF45,INDEX(nINT_Event_Episode_ID,$AH45)&amp;"","","","","","","","","","","",""))</f>
        <v/>
      </c>
      <c r="AQ45" s="1" t="str">
        <f>IF($AF45=0,"",CHOOSE($AF45,INDEX(nINT_End_Record_ID_Used,$AH45)&amp;"","","","","","","","","","","",""))</f>
        <v/>
      </c>
      <c r="AR45" s="1" t="str">
        <f>IF($AF45=0,"",CHOOSE($AF45,INDEX(nINT_Interval_Value,$AH45),"","","","","","","","","","",""))</f>
        <v/>
      </c>
      <c r="AS45" s="1" t="str">
        <f>IF($AF45=0,"",CHOOSE($AF45,INDEX(nINT_Interval_Minimum,$AH45),"","","","","","","","","","",""))</f>
        <v/>
      </c>
      <c r="AT45" s="1" t="str">
        <f>IF($AF45=0,"",CHOOSE($AF45,INDEX(nINT_Interval_Maximum,$AH45),"","","","","","","","","","",""))</f>
        <v/>
      </c>
      <c r="AU45" s="1" t="str">
        <f>IF($AF45=0,"",CHOOSE($AF45,INDEX(nINT_Unit,$AH45)&amp;"",INDEX(nQ1_Unit_Out,$AH45)&amp;"",INDEX(nQ2_Unit_Out,$AH45)&amp;"",INDEX(nQ3_Unit_Out,$AH45)&amp;"",INDEX(nQ4_Unit_Out,$AH45)&amp;"",INDEX(nQ5_Unit_Out,$AH45)&amp;"",INDEX(nQ6_Unit_Out,$AH45)&amp;"",INDEX(nQ7_Unit_Out,$AH45)&amp;"",INDEX(nQ8_Unit_Out,$AH45)&amp;"",INDEX(nQ9_Unit_Out,$AH45)&amp;"",INDEX(nQ10_Unit_Out,$AH45)&amp;"",INDEX(nQ11_Unit_Out,$AH45)&amp;""))</f>
        <v/>
      </c>
      <c r="AV45" s="1" t="str">
        <f>IF($AF45=0,"",CHOOSE($AF45,INDEX(nINT_Displayed_Value,$AH45)&amp;"",INDEX(nQ1_Displayed_Value,$AH45)&amp;"",INDEX(nQ2_Displayed_Value,$AH45)&amp;"",INDEX(nQ3_Displayed_Value,$AH45)&amp;"",INDEX(nQ4_Displayed_Value,$AH45)&amp;"",INDEX(nQ5_Displayed_Value,$AH45)&amp;"",INDEX(nQ6_Displayed_Value,$AH45)&amp;"",INDEX(nQ7_Displayed_Value,$AH45)&amp;"",INDEX(nQ8_Displayed_Value,$AH45)&amp;"",INDEX(nQ9_Displayed_Value,$AH45)&amp;"",INDEX(nQ10_Displayed_Value,$AH45)&amp;"",INDEX(nQ11_Displayed_Value,$AH45)&amp;""))</f>
        <v/>
      </c>
      <c r="AW45" s="1" t="str">
        <f>IF($AF45=0,"",CHOOSE($AF45,INDEX(nINT_Calculation_Mode_Used,$AH45)&amp;"","Q1","Q2","Q3","Q4","Q5","Q6","Q7","Q8","Q9","Q10","Q11"))</f>
        <v/>
      </c>
      <c r="AX45" s="1" t="str">
        <f>IF($AF45=0,"",CHOOSE($AF45,INDEX(nINT_Anchor_Type,$AH45)&amp;"","","","","","","","","","","",""))</f>
        <v/>
      </c>
      <c r="AY45" s="1" t="str">
        <f>IF($AF45=0,"",CHOOSE($AF45,IF(INDEX(nINT_K_Ok,$AH45)=1,INDEX(nINT_Anchor_Record_ID_Used,$AH45)&amp;"",""),"","","","","","","","","","",""))</f>
        <v/>
      </c>
      <c r="AZ45" s="1" t="str">
        <f>IF($AF45=0,"",CHOOSE($AF45,INDEX(nINT_Anchor_Description,$AH45)&amp;"","","","","","","","","","","",""))</f>
        <v/>
      </c>
      <c r="BA45" s="1" t="str">
        <f>IF($AF45=0,"",CHOOSE($AF45,INDEX(nINT_Sequence_Status,$AH45)&amp;"","","","","","","","","","","",""))</f>
        <v/>
      </c>
      <c r="BB45" s="1" t="str">
        <f>IF($AF45=0,"",CHOOSE($AF45,INDEX(nINT_Treatment_Day,$AH45),"","","","","","","","","","",""))</f>
        <v/>
      </c>
      <c r="BC45" s="1" t="str">
        <f>IF($AF45=0,"",CHOOSE($AF45,INDEX(nINT_Reported_Timing_Result,$AH45)&amp;"","","","","","","","","","","",""))</f>
        <v/>
      </c>
      <c r="BD45" s="1" t="str">
        <f>IF($AF45=0,"",CHOOSE($AF45,IF(INDEX(nINT_K_HasC,$AH45)=1,INDEX(nINT_Constraint_Source,$AH45)&amp;"",""),"","","","","","","","","","",""))</f>
        <v/>
      </c>
      <c r="BE45" s="1" t="str">
        <f>IF($AF45=0,"",CHOOSE($AF45,"",INDEX(nQ1_Results_Text,$AH45)&amp;"",INDEX(nQ2_Results_Text,$AH45)&amp;"",INDEX(nQ3_Results_Text,$AH45)&amp;"",INDEX(nQ4_Results_Text,$AH45)&amp;"",INDEX(nQ5_Results_Text,$AH45)&amp;"",INDEX(nQ6_Results_Text,$AH45)&amp;"",INDEX(nQ7_Results_Text,$AH45)&amp;"",INDEX(nQ8_Results_Text,$AH45)&amp;"",INDEX(nQ9_Results_Text,$AH45)&amp;"",INDEX(nQ10_Results_Text,$AH45)&amp;"",INDEX(nQ11_Results_Text,$AH45)&amp;""))</f>
        <v/>
      </c>
      <c r="BF45" s="1" t="str">
        <f>IF($AF45=0,"",CHOOSE($AF45,INDEX(nINT_Parameter_Set,$AH45)&amp;"",INDEX(nQ1_Parameter_Set,$AH45)&amp;"",INDEX(nQ2_Parameter_Set,$AH45)&amp;"",INDEX(nQ3_Parameter_Set,$AH45)&amp;"",INDEX(nQ4_Parameter_Set,$AH45)&amp;"",INDEX(nQ5_Parameter_Set,$AH45)&amp;"",INDEX(nQ6_Parameter_Set,$AH45)&amp;"",INDEX(nQ7_Parameter_Set,$AH45)&amp;"",INDEX(nQ8_Parameter_Set,$AH45)&amp;"",INDEX(nQ9_Parameter_Set,$AH45)&amp;"",INDEX(nQ10_Parameter_Set,$AH45)&amp;"",INDEX(nQ11_Parameter_Set,$AH45)&amp;""))</f>
        <v/>
      </c>
      <c r="BG45" s="1" t="str">
        <f>IF($AF45=0,"",CHOOSE($AF45,INDEX(nINT_Assumptions,$AH45)&amp;"",INDEX(nQ1_Assumptions,$AH45)&amp;"",INDEX(nQ2_Assumptions,$AH45)&amp;"",INDEX(nQ3_Assumptions,$AH45)&amp;"",INDEX(nQ4_Assumptions,$AH45)&amp;"",INDEX(nQ5_Assumptions,$AH45)&amp;"",INDEX(nQ6_Assumptions,$AH45)&amp;"",INDEX(nQ7_Assumptions,$AH45)&amp;"",INDEX(nQ8_Assumptions,$AH45)&amp;"",INDEX(nQ9_Assumptions,$AH45)&amp;"",INDEX(nQ10_Assumptions,$AH45)&amp;"",INDEX(nQ11_Assumptions,$AH45)&amp;""))</f>
        <v/>
      </c>
      <c r="BH45" s="1" t="str">
        <f>IF($AF45=0,"",CHOOSE($AF45,INDEX(nINT_Calculation_Version,$AH45)&amp;"",INDEX(nQ1_Calculation_Version,$AH45)&amp;"",INDEX(nQ2_Calculation_Version,$AH45)&amp;"",INDEX(nQ3_Calculation_Version,$AH45)&amp;"",INDEX(nQ4_Calculation_Version,$AH45)&amp;"",INDEX(nQ5_Calculation_Version,$AH45)&amp;"",INDEX(nQ6_Calculation_Version,$AH45)&amp;"",INDEX(nQ7_Calculation_Version,$AH45)&amp;"",INDEX(nQ8_Calculation_Version,$AH45)&amp;"",INDEX(nQ9_Calculation_Version,$AH45)&amp;"",INDEX(nQ10_Calculation_Version,$AH45)&amp;"",INDEX(nQ11_Calculation_Version,$AH45)&amp;""))</f>
        <v/>
      </c>
      <c r="BI45" s="1" t="str">
        <f>IF($AF45=0,"",CHOOSE($AF45,INDEX(nINT_QC_Flags,$AH45)&amp;"",INDEX(nQ1_QC_Flags,$AH45)&amp;"",INDEX(nQ2_QC_Flags,$AH45)&amp;"",INDEX(nQ3_QC_Flags,$AH45)&amp;"",INDEX(nQ4_QC_Flags,$AH45)&amp;"",INDEX(nQ5_QC_Flags,$AH45)&amp;"",INDEX(nQ6_QC_Flags,$AH45)&amp;"",INDEX(nQ7_QC_Flags,$AH45)&amp;"",INDEX(nQ8_QC_Flags,$AH45)&amp;"",INDEX(nQ9_QC_Flags,$AH45)&amp;"",INDEX(nQ10_QC_Flags,$AH45)&amp;"",INDEX(nQ11_QC_Flags,$AH45)&amp;""))</f>
        <v/>
      </c>
      <c r="BJ45" s="1" t="str">
        <f>IF($AF45=0,"",CHOOSE($AF45,INDEX(nINT_Messages,$AH45)&amp;"",INDEX(nQ1_Messages,$AH45)&amp;"",INDEX(nQ2_Messages,$AH45)&amp;"",INDEX(nQ3_Messages,$AH45)&amp;"",INDEX(nQ4_Messages,$AH45)&amp;"",INDEX(nQ5_Messages,$AH45)&amp;"",INDEX(nQ6_Messages,$AH45)&amp;"",INDEX(nQ7_Messages,$AH45)&amp;"",INDEX(nQ8_Messages,$AH45)&amp;"",INDEX(nQ9_Messages,$AH45)&amp;"",INDEX(nQ10_Messages,$AH45)&amp;"",INDEX(nQ11_Messages,$AH45)&amp;""))</f>
        <v/>
      </c>
      <c r="BK45" s="1" t="str">
        <f>IF($AF45=0,"",CHOOSE($AF45,INDEX(nINT_Limitations,$AH45)&amp;"",INDEX(nQ1_Mandatory_Text,$AH45)&amp;"",INDEX(nQ2_Mandatory_Text,$AH45)&amp;"",INDEX(nQ3_Mandatory_Text,$AH45)&amp;"",INDEX(nQ4_Mandatory_Text,$AH45)&amp;"",INDEX(nQ5_Mandatory_Text,$AH45)&amp;"",INDEX(nQ6_Mandatory_Text,$AH45)&amp;"",INDEX(nQ7_Mandatory_Text,$AH45)&amp;"",INDEX(nQ8_Mandatory_Text,$AH45)&amp;"",INDEX(nQ9_Mandatory_Text,$AH45)&amp;"",INDEX(nQ10_Mandatory_Text,$AH45)&amp;"",INDEX(nQ11_Mandatory_Text,$AH45)&amp;""))</f>
        <v/>
      </c>
      <c r="BL45" s="1" t="str">
        <f t="shared" si="33"/>
        <v/>
      </c>
      <c r="BM45" s="1" t="str">
        <f t="shared" si="34"/>
        <v/>
      </c>
    </row>
    <row r="46" spans="1:65" x14ac:dyDescent="0.2">
      <c r="A46" s="21" t="str">
        <f t="shared" si="0"/>
        <v/>
      </c>
      <c r="B46" s="21" t="str">
        <f t="shared" si="1"/>
        <v/>
      </c>
      <c r="C46" s="21" t="str">
        <f t="shared" si="2"/>
        <v/>
      </c>
      <c r="D46" s="21" t="str">
        <f t="shared" si="3"/>
        <v/>
      </c>
      <c r="E46" s="21" t="str">
        <f t="shared" si="4"/>
        <v/>
      </c>
      <c r="F46" s="21" t="str">
        <f t="shared" si="5"/>
        <v/>
      </c>
      <c r="G46" s="21" t="str">
        <f t="shared" si="6"/>
        <v/>
      </c>
      <c r="H46" s="21" t="str">
        <f t="shared" si="7"/>
        <v/>
      </c>
      <c r="I46" s="21" t="str">
        <f t="shared" si="8"/>
        <v/>
      </c>
      <c r="J46" s="21" t="str">
        <f t="shared" si="9"/>
        <v/>
      </c>
      <c r="K46" s="21" t="str">
        <f t="shared" si="10"/>
        <v/>
      </c>
      <c r="L46" s="21" t="str">
        <f t="shared" si="11"/>
        <v/>
      </c>
      <c r="M46" s="21" t="str">
        <f t="shared" si="12"/>
        <v/>
      </c>
      <c r="N46" s="21" t="str">
        <f t="shared" si="13"/>
        <v/>
      </c>
      <c r="O46" s="21" t="str">
        <f t="shared" si="14"/>
        <v/>
      </c>
      <c r="P46" s="21" t="str">
        <f t="shared" si="15"/>
        <v/>
      </c>
      <c r="Q46" s="21" t="str">
        <f t="shared" si="16"/>
        <v/>
      </c>
      <c r="R46" s="21" t="str">
        <f t="shared" si="17"/>
        <v/>
      </c>
      <c r="S46" s="21" t="str">
        <f t="shared" si="18"/>
        <v/>
      </c>
      <c r="T46" s="21" t="str">
        <f t="shared" si="19"/>
        <v/>
      </c>
      <c r="U46" s="21" t="str">
        <f t="shared" si="20"/>
        <v/>
      </c>
      <c r="V46" s="21" t="str">
        <f t="shared" si="21"/>
        <v/>
      </c>
      <c r="W46" s="21" t="str">
        <f t="shared" si="22"/>
        <v/>
      </c>
      <c r="X46" s="21" t="str">
        <f t="shared" si="23"/>
        <v/>
      </c>
      <c r="Y46" s="21" t="str">
        <f t="shared" si="24"/>
        <v/>
      </c>
      <c r="Z46" s="21" t="str">
        <f t="shared" si="25"/>
        <v/>
      </c>
      <c r="AA46" s="21" t="str">
        <f t="shared" si="26"/>
        <v/>
      </c>
      <c r="AB46" s="21" t="str">
        <f t="shared" si="27"/>
        <v/>
      </c>
      <c r="AC46" s="21" t="str">
        <f t="shared" si="28"/>
        <v/>
      </c>
      <c r="AD46" s="21" t="str">
        <f t="shared" si="29"/>
        <v/>
      </c>
      <c r="AE46" s="1">
        <f t="shared" si="30"/>
        <v>39</v>
      </c>
      <c r="AF46" s="1">
        <f t="shared" si="31"/>
        <v>0</v>
      </c>
      <c r="AG46" s="1">
        <f t="shared" si="32"/>
        <v>0</v>
      </c>
      <c r="AH46" s="1">
        <f>IF(AF46=0,0,CHOOSE(AF46,IFERROR(_xlfn.AGGREGATE(15,6,(ROW(nINT_CaseKey)-ROW(INDEX(nINT_CaseKey,1,1))+1)/((nINT_CaseKey=$H$4)*(nINT_RowEmpty=0)),AG46),0),IFERROR(_xlfn.AGGREGATE(15,6,(ROW(nQ1_CaseKey)-ROW(INDEX(nQ1_CaseKey,1,1))+1)/((nQ1_CaseKey=$H$4)),AG46),0),IFERROR(_xlfn.AGGREGATE(15,6,(ROW(nQ2_CaseKey)-ROW(INDEX(nQ2_CaseKey,1,1))+1)/((nQ2_CaseKey=$H$4)),AG46),0),IFERROR(_xlfn.AGGREGATE(15,6,(ROW(nQ3_CaseKey)-ROW(INDEX(nQ3_CaseKey,1,1))+1)/((nQ3_CaseKey=$H$4)),AG46),0),IFERROR(_xlfn.AGGREGATE(15,6,(ROW(nQ4_CaseKey)-ROW(INDEX(nQ4_CaseKey,1,1))+1)/((nQ4_CaseKey=$H$4)),AG46),0),IFERROR(_xlfn.AGGREGATE(15,6,(ROW(nQ5_CaseKey)-ROW(INDEX(nQ5_CaseKey,1,1))+1)/((nQ5_CaseKey=$H$4)),AG46),0),IFERROR(_xlfn.AGGREGATE(15,6,(ROW(nQ6_CaseKey)-ROW(INDEX(nQ6_CaseKey,1,1))+1)/((nQ6_CaseKey=$H$4)),AG46),0),IFERROR(_xlfn.AGGREGATE(15,6,(ROW(nQ7_CaseKey)-ROW(INDEX(nQ7_CaseKey,1,1))+1)/((nQ7_CaseKey=$H$4)),AG46),0),IFERROR(_xlfn.AGGREGATE(15,6,(ROW(nQ8_CaseKey)-ROW(INDEX(nQ8_CaseKey,1,1))+1)/((nQ8_CaseKey=$H$4)),AG46),0),IFERROR(_xlfn.AGGREGATE(15,6,(ROW(nQ9_CaseKey)-ROW(INDEX(nQ9_CaseKey,1,1))+1)/((nQ9_CaseKey=$H$4)),AG46),0),IFERROR(_xlfn.AGGREGATE(15,6,(ROW(nQ10_CaseKey)-ROW(INDEX(nQ10_CaseKey,1,1))+1)/((nQ10_CaseKey=$H$4)),AG46),0),IFERROR(_xlfn.AGGREGATE(15,6,(ROW(nQ11_CaseKey)-ROW(INDEX(nQ11_CaseKey,1,1))+1)/((nQ11_CaseKey=$H$4)),AG46),0)))</f>
        <v>0</v>
      </c>
      <c r="AJ46" s="1" t="str">
        <f>IF($AF46=0,"",CHOOSE($AF46,INDEX(nINT_Case_ID,$AH46)&amp;"",INDEX(nQ1_Case_ID,$AH46)&amp;"",INDEX(nQ2_Case_ID,$AH46)&amp;"",INDEX(nQ3_Case_ID,$AH46)&amp;"",INDEX(nQ4_Case_ID,$AH46)&amp;"",INDEX(nQ5_Case_ID,$AH46)&amp;"",INDEX(nQ6_Case_ID,$AH46)&amp;"",INDEX(nQ7_Case_ID,$AH46)&amp;"",INDEX(nQ8_Case_ID,$AH46)&amp;"",INDEX(nQ9_Case_ID,$AH46)&amp;"",INDEX(nQ10_Case_ID,$AH46)&amp;"",INDEX(nQ11_Case_ID,$AH46)&amp;""))</f>
        <v/>
      </c>
      <c r="AK46" s="1" t="str">
        <f>IF($AF46=0,"",CHOOSE($AF46,INDEX(nINT_Case_Version,$AH46),INDEX(nQ1_Case_Version,$AH46),INDEX(nQ2_Case_Version,$AH46),INDEX(nQ3_Case_Version,$AH46),INDEX(nQ4_Case_Version,$AH46),INDEX(nQ5_Case_Version,$AH46),INDEX(nQ6_Case_Version,$AH46),INDEX(nQ7_Case_Version,$AH46),INDEX(nQ8_Case_Version,$AH46),INDEX(nQ9_Case_Version,$AH46),INDEX(nQ10_Case_Version,$AH46),INDEX(nQ11_Case_Version,$AH46)))</f>
        <v/>
      </c>
      <c r="AL46" s="1" t="str">
        <f>IF($AF46=0,"",CHOOSE($AF46,INDEX(nINT_Interval_ID,$AH46)&amp;"",INDEX(nQ1_Calc_ID,$AH46)&amp;"",INDEX(nQ2_Calc_ID,$AH46)&amp;"",INDEX(nQ3_Calc_ID,$AH46)&amp;"",INDEX(nQ4_Calc_ID,$AH46)&amp;"",INDEX(nQ5_Calc_ID,$AH46)&amp;"",INDEX(nQ6_Calc_ID,$AH46)&amp;"",INDEX(nQ7_Calc_ID,$AH46)&amp;"",INDEX(nQ8_Calc_ID,$AH46)&amp;"",INDEX(nQ9_Calc_ID,$AH46)&amp;"",INDEX(nQ10_Calc_ID,$AH46)&amp;"",INDEX(nQ11_Calc_ID,$AH46)&amp;""))</f>
        <v/>
      </c>
      <c r="AM46" s="1" t="str">
        <f>IF($AF46=0,"",CHOOSE($AF46,INDEX(nINT_Label,$AH46)&amp;"",INDEX(nQ1_Label_Out,$AH46)&amp;"",INDEX(nQ2_Label_Out,$AH46)&amp;"",INDEX(nQ3_Label_Out,$AH46)&amp;"",INDEX(nQ4_Label_Out,$AH46)&amp;"",INDEX(nQ5_Label_Out,$AH46)&amp;"",INDEX(nQ6_Label_Out,$AH46)&amp;"",INDEX(nQ7_Label_Out,$AH46)&amp;"",INDEX(nQ8_Label_Out,$AH46)&amp;"",INDEX(nQ9_Label_Out,$AH46)&amp;"",INDEX(nQ10_Label_Out,$AH46)&amp;"",INDEX(nQ11_Label_Out,$AH46)&amp;""))</f>
        <v/>
      </c>
      <c r="AN46" s="1" t="str">
        <f>IF($AF46=0,"",CHOOSE($AF46,IF(INDEX(nINT_LinkRow,$AH46)=0,"",INDEX(nINT_Link_ID,$AH46)&amp;""),"","","","","","","","","","",""))</f>
        <v/>
      </c>
      <c r="AO46" s="1" t="str">
        <f>IF($AF46=0,"",CHOOSE($AF46,INDEX(nINT_Exposure_Episode_ID,$AH46)&amp;"","","","","","","","","","","",""))</f>
        <v/>
      </c>
      <c r="AP46" s="1" t="str">
        <f>IF($AF46=0,"",CHOOSE($AF46,INDEX(nINT_Event_Episode_ID,$AH46)&amp;"","","","","","","","","","","",""))</f>
        <v/>
      </c>
      <c r="AQ46" s="1" t="str">
        <f>IF($AF46=0,"",CHOOSE($AF46,INDEX(nINT_End_Record_ID_Used,$AH46)&amp;"","","","","","","","","","","",""))</f>
        <v/>
      </c>
      <c r="AR46" s="1" t="str">
        <f>IF($AF46=0,"",CHOOSE($AF46,INDEX(nINT_Interval_Value,$AH46),"","","","","","","","","","",""))</f>
        <v/>
      </c>
      <c r="AS46" s="1" t="str">
        <f>IF($AF46=0,"",CHOOSE($AF46,INDEX(nINT_Interval_Minimum,$AH46),"","","","","","","","","","",""))</f>
        <v/>
      </c>
      <c r="AT46" s="1" t="str">
        <f>IF($AF46=0,"",CHOOSE($AF46,INDEX(nINT_Interval_Maximum,$AH46),"","","","","","","","","","",""))</f>
        <v/>
      </c>
      <c r="AU46" s="1" t="str">
        <f>IF($AF46=0,"",CHOOSE($AF46,INDEX(nINT_Unit,$AH46)&amp;"",INDEX(nQ1_Unit_Out,$AH46)&amp;"",INDEX(nQ2_Unit_Out,$AH46)&amp;"",INDEX(nQ3_Unit_Out,$AH46)&amp;"",INDEX(nQ4_Unit_Out,$AH46)&amp;"",INDEX(nQ5_Unit_Out,$AH46)&amp;"",INDEX(nQ6_Unit_Out,$AH46)&amp;"",INDEX(nQ7_Unit_Out,$AH46)&amp;"",INDEX(nQ8_Unit_Out,$AH46)&amp;"",INDEX(nQ9_Unit_Out,$AH46)&amp;"",INDEX(nQ10_Unit_Out,$AH46)&amp;"",INDEX(nQ11_Unit_Out,$AH46)&amp;""))</f>
        <v/>
      </c>
      <c r="AV46" s="1" t="str">
        <f>IF($AF46=0,"",CHOOSE($AF46,INDEX(nINT_Displayed_Value,$AH46)&amp;"",INDEX(nQ1_Displayed_Value,$AH46)&amp;"",INDEX(nQ2_Displayed_Value,$AH46)&amp;"",INDEX(nQ3_Displayed_Value,$AH46)&amp;"",INDEX(nQ4_Displayed_Value,$AH46)&amp;"",INDEX(nQ5_Displayed_Value,$AH46)&amp;"",INDEX(nQ6_Displayed_Value,$AH46)&amp;"",INDEX(nQ7_Displayed_Value,$AH46)&amp;"",INDEX(nQ8_Displayed_Value,$AH46)&amp;"",INDEX(nQ9_Displayed_Value,$AH46)&amp;"",INDEX(nQ10_Displayed_Value,$AH46)&amp;"",INDEX(nQ11_Displayed_Value,$AH46)&amp;""))</f>
        <v/>
      </c>
      <c r="AW46" s="1" t="str">
        <f>IF($AF46=0,"",CHOOSE($AF46,INDEX(nINT_Calculation_Mode_Used,$AH46)&amp;"","Q1","Q2","Q3","Q4","Q5","Q6","Q7","Q8","Q9","Q10","Q11"))</f>
        <v/>
      </c>
      <c r="AX46" s="1" t="str">
        <f>IF($AF46=0,"",CHOOSE($AF46,INDEX(nINT_Anchor_Type,$AH46)&amp;"","","","","","","","","","","",""))</f>
        <v/>
      </c>
      <c r="AY46" s="1" t="str">
        <f>IF($AF46=0,"",CHOOSE($AF46,IF(INDEX(nINT_K_Ok,$AH46)=1,INDEX(nINT_Anchor_Record_ID_Used,$AH46)&amp;"",""),"","","","","","","","","","",""))</f>
        <v/>
      </c>
      <c r="AZ46" s="1" t="str">
        <f>IF($AF46=0,"",CHOOSE($AF46,INDEX(nINT_Anchor_Description,$AH46)&amp;"","","","","","","","","","","",""))</f>
        <v/>
      </c>
      <c r="BA46" s="1" t="str">
        <f>IF($AF46=0,"",CHOOSE($AF46,INDEX(nINT_Sequence_Status,$AH46)&amp;"","","","","","","","","","","",""))</f>
        <v/>
      </c>
      <c r="BB46" s="1" t="str">
        <f>IF($AF46=0,"",CHOOSE($AF46,INDEX(nINT_Treatment_Day,$AH46),"","","","","","","","","","",""))</f>
        <v/>
      </c>
      <c r="BC46" s="1" t="str">
        <f>IF($AF46=0,"",CHOOSE($AF46,INDEX(nINT_Reported_Timing_Result,$AH46)&amp;"","","","","","","","","","","",""))</f>
        <v/>
      </c>
      <c r="BD46" s="1" t="str">
        <f>IF($AF46=0,"",CHOOSE($AF46,IF(INDEX(nINT_K_HasC,$AH46)=1,INDEX(nINT_Constraint_Source,$AH46)&amp;"",""),"","","","","","","","","","",""))</f>
        <v/>
      </c>
      <c r="BE46" s="1" t="str">
        <f>IF($AF46=0,"",CHOOSE($AF46,"",INDEX(nQ1_Results_Text,$AH46)&amp;"",INDEX(nQ2_Results_Text,$AH46)&amp;"",INDEX(nQ3_Results_Text,$AH46)&amp;"",INDEX(nQ4_Results_Text,$AH46)&amp;"",INDEX(nQ5_Results_Text,$AH46)&amp;"",INDEX(nQ6_Results_Text,$AH46)&amp;"",INDEX(nQ7_Results_Text,$AH46)&amp;"",INDEX(nQ8_Results_Text,$AH46)&amp;"",INDEX(nQ9_Results_Text,$AH46)&amp;"",INDEX(nQ10_Results_Text,$AH46)&amp;"",INDEX(nQ11_Results_Text,$AH46)&amp;""))</f>
        <v/>
      </c>
      <c r="BF46" s="1" t="str">
        <f>IF($AF46=0,"",CHOOSE($AF46,INDEX(nINT_Parameter_Set,$AH46)&amp;"",INDEX(nQ1_Parameter_Set,$AH46)&amp;"",INDEX(nQ2_Parameter_Set,$AH46)&amp;"",INDEX(nQ3_Parameter_Set,$AH46)&amp;"",INDEX(nQ4_Parameter_Set,$AH46)&amp;"",INDEX(nQ5_Parameter_Set,$AH46)&amp;"",INDEX(nQ6_Parameter_Set,$AH46)&amp;"",INDEX(nQ7_Parameter_Set,$AH46)&amp;"",INDEX(nQ8_Parameter_Set,$AH46)&amp;"",INDEX(nQ9_Parameter_Set,$AH46)&amp;"",INDEX(nQ10_Parameter_Set,$AH46)&amp;"",INDEX(nQ11_Parameter_Set,$AH46)&amp;""))</f>
        <v/>
      </c>
      <c r="BG46" s="1" t="str">
        <f>IF($AF46=0,"",CHOOSE($AF46,INDEX(nINT_Assumptions,$AH46)&amp;"",INDEX(nQ1_Assumptions,$AH46)&amp;"",INDEX(nQ2_Assumptions,$AH46)&amp;"",INDEX(nQ3_Assumptions,$AH46)&amp;"",INDEX(nQ4_Assumptions,$AH46)&amp;"",INDEX(nQ5_Assumptions,$AH46)&amp;"",INDEX(nQ6_Assumptions,$AH46)&amp;"",INDEX(nQ7_Assumptions,$AH46)&amp;"",INDEX(nQ8_Assumptions,$AH46)&amp;"",INDEX(nQ9_Assumptions,$AH46)&amp;"",INDEX(nQ10_Assumptions,$AH46)&amp;"",INDEX(nQ11_Assumptions,$AH46)&amp;""))</f>
        <v/>
      </c>
      <c r="BH46" s="1" t="str">
        <f>IF($AF46=0,"",CHOOSE($AF46,INDEX(nINT_Calculation_Version,$AH46)&amp;"",INDEX(nQ1_Calculation_Version,$AH46)&amp;"",INDEX(nQ2_Calculation_Version,$AH46)&amp;"",INDEX(nQ3_Calculation_Version,$AH46)&amp;"",INDEX(nQ4_Calculation_Version,$AH46)&amp;"",INDEX(nQ5_Calculation_Version,$AH46)&amp;"",INDEX(nQ6_Calculation_Version,$AH46)&amp;"",INDEX(nQ7_Calculation_Version,$AH46)&amp;"",INDEX(nQ8_Calculation_Version,$AH46)&amp;"",INDEX(nQ9_Calculation_Version,$AH46)&amp;"",INDEX(nQ10_Calculation_Version,$AH46)&amp;"",INDEX(nQ11_Calculation_Version,$AH46)&amp;""))</f>
        <v/>
      </c>
      <c r="BI46" s="1" t="str">
        <f>IF($AF46=0,"",CHOOSE($AF46,INDEX(nINT_QC_Flags,$AH46)&amp;"",INDEX(nQ1_QC_Flags,$AH46)&amp;"",INDEX(nQ2_QC_Flags,$AH46)&amp;"",INDEX(nQ3_QC_Flags,$AH46)&amp;"",INDEX(nQ4_QC_Flags,$AH46)&amp;"",INDEX(nQ5_QC_Flags,$AH46)&amp;"",INDEX(nQ6_QC_Flags,$AH46)&amp;"",INDEX(nQ7_QC_Flags,$AH46)&amp;"",INDEX(nQ8_QC_Flags,$AH46)&amp;"",INDEX(nQ9_QC_Flags,$AH46)&amp;"",INDEX(nQ10_QC_Flags,$AH46)&amp;"",INDEX(nQ11_QC_Flags,$AH46)&amp;""))</f>
        <v/>
      </c>
      <c r="BJ46" s="1" t="str">
        <f>IF($AF46=0,"",CHOOSE($AF46,INDEX(nINT_Messages,$AH46)&amp;"",INDEX(nQ1_Messages,$AH46)&amp;"",INDEX(nQ2_Messages,$AH46)&amp;"",INDEX(nQ3_Messages,$AH46)&amp;"",INDEX(nQ4_Messages,$AH46)&amp;"",INDEX(nQ5_Messages,$AH46)&amp;"",INDEX(nQ6_Messages,$AH46)&amp;"",INDEX(nQ7_Messages,$AH46)&amp;"",INDEX(nQ8_Messages,$AH46)&amp;"",INDEX(nQ9_Messages,$AH46)&amp;"",INDEX(nQ10_Messages,$AH46)&amp;"",INDEX(nQ11_Messages,$AH46)&amp;""))</f>
        <v/>
      </c>
      <c r="BK46" s="1" t="str">
        <f>IF($AF46=0,"",CHOOSE($AF46,INDEX(nINT_Limitations,$AH46)&amp;"",INDEX(nQ1_Mandatory_Text,$AH46)&amp;"",INDEX(nQ2_Mandatory_Text,$AH46)&amp;"",INDEX(nQ3_Mandatory_Text,$AH46)&amp;"",INDEX(nQ4_Mandatory_Text,$AH46)&amp;"",INDEX(nQ5_Mandatory_Text,$AH46)&amp;"",INDEX(nQ6_Mandatory_Text,$AH46)&amp;"",INDEX(nQ7_Mandatory_Text,$AH46)&amp;"",INDEX(nQ8_Mandatory_Text,$AH46)&amp;"",INDEX(nQ9_Mandatory_Text,$AH46)&amp;"",INDEX(nQ10_Mandatory_Text,$AH46)&amp;"",INDEX(nQ11_Mandatory_Text,$AH46)&amp;""))</f>
        <v/>
      </c>
      <c r="BL46" s="1" t="str">
        <f t="shared" si="33"/>
        <v/>
      </c>
      <c r="BM46" s="1" t="str">
        <f t="shared" si="34"/>
        <v/>
      </c>
    </row>
    <row r="47" spans="1:65" x14ac:dyDescent="0.2">
      <c r="A47" s="21" t="str">
        <f t="shared" si="0"/>
        <v/>
      </c>
      <c r="B47" s="21" t="str">
        <f t="shared" si="1"/>
        <v/>
      </c>
      <c r="C47" s="21" t="str">
        <f t="shared" si="2"/>
        <v/>
      </c>
      <c r="D47" s="21" t="str">
        <f t="shared" si="3"/>
        <v/>
      </c>
      <c r="E47" s="21" t="str">
        <f t="shared" si="4"/>
        <v/>
      </c>
      <c r="F47" s="21" t="str">
        <f t="shared" si="5"/>
        <v/>
      </c>
      <c r="G47" s="21" t="str">
        <f t="shared" si="6"/>
        <v/>
      </c>
      <c r="H47" s="21" t="str">
        <f t="shared" si="7"/>
        <v/>
      </c>
      <c r="I47" s="21" t="str">
        <f t="shared" si="8"/>
        <v/>
      </c>
      <c r="J47" s="21" t="str">
        <f t="shared" si="9"/>
        <v/>
      </c>
      <c r="K47" s="21" t="str">
        <f t="shared" si="10"/>
        <v/>
      </c>
      <c r="L47" s="21" t="str">
        <f t="shared" si="11"/>
        <v/>
      </c>
      <c r="M47" s="21" t="str">
        <f t="shared" si="12"/>
        <v/>
      </c>
      <c r="N47" s="21" t="str">
        <f t="shared" si="13"/>
        <v/>
      </c>
      <c r="O47" s="21" t="str">
        <f t="shared" si="14"/>
        <v/>
      </c>
      <c r="P47" s="21" t="str">
        <f t="shared" si="15"/>
        <v/>
      </c>
      <c r="Q47" s="21" t="str">
        <f t="shared" si="16"/>
        <v/>
      </c>
      <c r="R47" s="21" t="str">
        <f t="shared" si="17"/>
        <v/>
      </c>
      <c r="S47" s="21" t="str">
        <f t="shared" si="18"/>
        <v/>
      </c>
      <c r="T47" s="21" t="str">
        <f t="shared" si="19"/>
        <v/>
      </c>
      <c r="U47" s="21" t="str">
        <f t="shared" si="20"/>
        <v/>
      </c>
      <c r="V47" s="21" t="str">
        <f t="shared" si="21"/>
        <v/>
      </c>
      <c r="W47" s="21" t="str">
        <f t="shared" si="22"/>
        <v/>
      </c>
      <c r="X47" s="21" t="str">
        <f t="shared" si="23"/>
        <v/>
      </c>
      <c r="Y47" s="21" t="str">
        <f t="shared" si="24"/>
        <v/>
      </c>
      <c r="Z47" s="21" t="str">
        <f t="shared" si="25"/>
        <v/>
      </c>
      <c r="AA47" s="21" t="str">
        <f t="shared" si="26"/>
        <v/>
      </c>
      <c r="AB47" s="21" t="str">
        <f t="shared" si="27"/>
        <v/>
      </c>
      <c r="AC47" s="21" t="str">
        <f t="shared" si="28"/>
        <v/>
      </c>
      <c r="AD47" s="21" t="str">
        <f t="shared" si="29"/>
        <v/>
      </c>
      <c r="AE47" s="1">
        <f t="shared" si="30"/>
        <v>40</v>
      </c>
      <c r="AF47" s="1">
        <f t="shared" si="31"/>
        <v>0</v>
      </c>
      <c r="AG47" s="1">
        <f t="shared" si="32"/>
        <v>0</v>
      </c>
      <c r="AH47" s="1">
        <f>IF(AF47=0,0,CHOOSE(AF47,IFERROR(_xlfn.AGGREGATE(15,6,(ROW(nINT_CaseKey)-ROW(INDEX(nINT_CaseKey,1,1))+1)/((nINT_CaseKey=$H$4)*(nINT_RowEmpty=0)),AG47),0),IFERROR(_xlfn.AGGREGATE(15,6,(ROW(nQ1_CaseKey)-ROW(INDEX(nQ1_CaseKey,1,1))+1)/((nQ1_CaseKey=$H$4)),AG47),0),IFERROR(_xlfn.AGGREGATE(15,6,(ROW(nQ2_CaseKey)-ROW(INDEX(nQ2_CaseKey,1,1))+1)/((nQ2_CaseKey=$H$4)),AG47),0),IFERROR(_xlfn.AGGREGATE(15,6,(ROW(nQ3_CaseKey)-ROW(INDEX(nQ3_CaseKey,1,1))+1)/((nQ3_CaseKey=$H$4)),AG47),0),IFERROR(_xlfn.AGGREGATE(15,6,(ROW(nQ4_CaseKey)-ROW(INDEX(nQ4_CaseKey,1,1))+1)/((nQ4_CaseKey=$H$4)),AG47),0),IFERROR(_xlfn.AGGREGATE(15,6,(ROW(nQ5_CaseKey)-ROW(INDEX(nQ5_CaseKey,1,1))+1)/((nQ5_CaseKey=$H$4)),AG47),0),IFERROR(_xlfn.AGGREGATE(15,6,(ROW(nQ6_CaseKey)-ROW(INDEX(nQ6_CaseKey,1,1))+1)/((nQ6_CaseKey=$H$4)),AG47),0),IFERROR(_xlfn.AGGREGATE(15,6,(ROW(nQ7_CaseKey)-ROW(INDEX(nQ7_CaseKey,1,1))+1)/((nQ7_CaseKey=$H$4)),AG47),0),IFERROR(_xlfn.AGGREGATE(15,6,(ROW(nQ8_CaseKey)-ROW(INDEX(nQ8_CaseKey,1,1))+1)/((nQ8_CaseKey=$H$4)),AG47),0),IFERROR(_xlfn.AGGREGATE(15,6,(ROW(nQ9_CaseKey)-ROW(INDEX(nQ9_CaseKey,1,1))+1)/((nQ9_CaseKey=$H$4)),AG47),0),IFERROR(_xlfn.AGGREGATE(15,6,(ROW(nQ10_CaseKey)-ROW(INDEX(nQ10_CaseKey,1,1))+1)/((nQ10_CaseKey=$H$4)),AG47),0),IFERROR(_xlfn.AGGREGATE(15,6,(ROW(nQ11_CaseKey)-ROW(INDEX(nQ11_CaseKey,1,1))+1)/((nQ11_CaseKey=$H$4)),AG47),0)))</f>
        <v>0</v>
      </c>
      <c r="AJ47" s="1" t="str">
        <f>IF($AF47=0,"",CHOOSE($AF47,INDEX(nINT_Case_ID,$AH47)&amp;"",INDEX(nQ1_Case_ID,$AH47)&amp;"",INDEX(nQ2_Case_ID,$AH47)&amp;"",INDEX(nQ3_Case_ID,$AH47)&amp;"",INDEX(nQ4_Case_ID,$AH47)&amp;"",INDEX(nQ5_Case_ID,$AH47)&amp;"",INDEX(nQ6_Case_ID,$AH47)&amp;"",INDEX(nQ7_Case_ID,$AH47)&amp;"",INDEX(nQ8_Case_ID,$AH47)&amp;"",INDEX(nQ9_Case_ID,$AH47)&amp;"",INDEX(nQ10_Case_ID,$AH47)&amp;"",INDEX(nQ11_Case_ID,$AH47)&amp;""))</f>
        <v/>
      </c>
      <c r="AK47" s="1" t="str">
        <f>IF($AF47=0,"",CHOOSE($AF47,INDEX(nINT_Case_Version,$AH47),INDEX(nQ1_Case_Version,$AH47),INDEX(nQ2_Case_Version,$AH47),INDEX(nQ3_Case_Version,$AH47),INDEX(nQ4_Case_Version,$AH47),INDEX(nQ5_Case_Version,$AH47),INDEX(nQ6_Case_Version,$AH47),INDEX(nQ7_Case_Version,$AH47),INDEX(nQ8_Case_Version,$AH47),INDEX(nQ9_Case_Version,$AH47),INDEX(nQ10_Case_Version,$AH47),INDEX(nQ11_Case_Version,$AH47)))</f>
        <v/>
      </c>
      <c r="AL47" s="1" t="str">
        <f>IF($AF47=0,"",CHOOSE($AF47,INDEX(nINT_Interval_ID,$AH47)&amp;"",INDEX(nQ1_Calc_ID,$AH47)&amp;"",INDEX(nQ2_Calc_ID,$AH47)&amp;"",INDEX(nQ3_Calc_ID,$AH47)&amp;"",INDEX(nQ4_Calc_ID,$AH47)&amp;"",INDEX(nQ5_Calc_ID,$AH47)&amp;"",INDEX(nQ6_Calc_ID,$AH47)&amp;"",INDEX(nQ7_Calc_ID,$AH47)&amp;"",INDEX(nQ8_Calc_ID,$AH47)&amp;"",INDEX(nQ9_Calc_ID,$AH47)&amp;"",INDEX(nQ10_Calc_ID,$AH47)&amp;"",INDEX(nQ11_Calc_ID,$AH47)&amp;""))</f>
        <v/>
      </c>
      <c r="AM47" s="1" t="str">
        <f>IF($AF47=0,"",CHOOSE($AF47,INDEX(nINT_Label,$AH47)&amp;"",INDEX(nQ1_Label_Out,$AH47)&amp;"",INDEX(nQ2_Label_Out,$AH47)&amp;"",INDEX(nQ3_Label_Out,$AH47)&amp;"",INDEX(nQ4_Label_Out,$AH47)&amp;"",INDEX(nQ5_Label_Out,$AH47)&amp;"",INDEX(nQ6_Label_Out,$AH47)&amp;"",INDEX(nQ7_Label_Out,$AH47)&amp;"",INDEX(nQ8_Label_Out,$AH47)&amp;"",INDEX(nQ9_Label_Out,$AH47)&amp;"",INDEX(nQ10_Label_Out,$AH47)&amp;"",INDEX(nQ11_Label_Out,$AH47)&amp;""))</f>
        <v/>
      </c>
      <c r="AN47" s="1" t="str">
        <f>IF($AF47=0,"",CHOOSE($AF47,IF(INDEX(nINT_LinkRow,$AH47)=0,"",INDEX(nINT_Link_ID,$AH47)&amp;""),"","","","","","","","","","",""))</f>
        <v/>
      </c>
      <c r="AO47" s="1" t="str">
        <f>IF($AF47=0,"",CHOOSE($AF47,INDEX(nINT_Exposure_Episode_ID,$AH47)&amp;"","","","","","","","","","","",""))</f>
        <v/>
      </c>
      <c r="AP47" s="1" t="str">
        <f>IF($AF47=0,"",CHOOSE($AF47,INDEX(nINT_Event_Episode_ID,$AH47)&amp;"","","","","","","","","","","",""))</f>
        <v/>
      </c>
      <c r="AQ47" s="1" t="str">
        <f>IF($AF47=0,"",CHOOSE($AF47,INDEX(nINT_End_Record_ID_Used,$AH47)&amp;"","","","","","","","","","","",""))</f>
        <v/>
      </c>
      <c r="AR47" s="1" t="str">
        <f>IF($AF47=0,"",CHOOSE($AF47,INDEX(nINT_Interval_Value,$AH47),"","","","","","","","","","",""))</f>
        <v/>
      </c>
      <c r="AS47" s="1" t="str">
        <f>IF($AF47=0,"",CHOOSE($AF47,INDEX(nINT_Interval_Minimum,$AH47),"","","","","","","","","","",""))</f>
        <v/>
      </c>
      <c r="AT47" s="1" t="str">
        <f>IF($AF47=0,"",CHOOSE($AF47,INDEX(nINT_Interval_Maximum,$AH47),"","","","","","","","","","",""))</f>
        <v/>
      </c>
      <c r="AU47" s="1" t="str">
        <f>IF($AF47=0,"",CHOOSE($AF47,INDEX(nINT_Unit,$AH47)&amp;"",INDEX(nQ1_Unit_Out,$AH47)&amp;"",INDEX(nQ2_Unit_Out,$AH47)&amp;"",INDEX(nQ3_Unit_Out,$AH47)&amp;"",INDEX(nQ4_Unit_Out,$AH47)&amp;"",INDEX(nQ5_Unit_Out,$AH47)&amp;"",INDEX(nQ6_Unit_Out,$AH47)&amp;"",INDEX(nQ7_Unit_Out,$AH47)&amp;"",INDEX(nQ8_Unit_Out,$AH47)&amp;"",INDEX(nQ9_Unit_Out,$AH47)&amp;"",INDEX(nQ10_Unit_Out,$AH47)&amp;"",INDEX(nQ11_Unit_Out,$AH47)&amp;""))</f>
        <v/>
      </c>
      <c r="AV47" s="1" t="str">
        <f>IF($AF47=0,"",CHOOSE($AF47,INDEX(nINT_Displayed_Value,$AH47)&amp;"",INDEX(nQ1_Displayed_Value,$AH47)&amp;"",INDEX(nQ2_Displayed_Value,$AH47)&amp;"",INDEX(nQ3_Displayed_Value,$AH47)&amp;"",INDEX(nQ4_Displayed_Value,$AH47)&amp;"",INDEX(nQ5_Displayed_Value,$AH47)&amp;"",INDEX(nQ6_Displayed_Value,$AH47)&amp;"",INDEX(nQ7_Displayed_Value,$AH47)&amp;"",INDEX(nQ8_Displayed_Value,$AH47)&amp;"",INDEX(nQ9_Displayed_Value,$AH47)&amp;"",INDEX(nQ10_Displayed_Value,$AH47)&amp;"",INDEX(nQ11_Displayed_Value,$AH47)&amp;""))</f>
        <v/>
      </c>
      <c r="AW47" s="1" t="str">
        <f>IF($AF47=0,"",CHOOSE($AF47,INDEX(nINT_Calculation_Mode_Used,$AH47)&amp;"","Q1","Q2","Q3","Q4","Q5","Q6","Q7","Q8","Q9","Q10","Q11"))</f>
        <v/>
      </c>
      <c r="AX47" s="1" t="str">
        <f>IF($AF47=0,"",CHOOSE($AF47,INDEX(nINT_Anchor_Type,$AH47)&amp;"","","","","","","","","","","",""))</f>
        <v/>
      </c>
      <c r="AY47" s="1" t="str">
        <f>IF($AF47=0,"",CHOOSE($AF47,IF(INDEX(nINT_K_Ok,$AH47)=1,INDEX(nINT_Anchor_Record_ID_Used,$AH47)&amp;"",""),"","","","","","","","","","",""))</f>
        <v/>
      </c>
      <c r="AZ47" s="1" t="str">
        <f>IF($AF47=0,"",CHOOSE($AF47,INDEX(nINT_Anchor_Description,$AH47)&amp;"","","","","","","","","","","",""))</f>
        <v/>
      </c>
      <c r="BA47" s="1" t="str">
        <f>IF($AF47=0,"",CHOOSE($AF47,INDEX(nINT_Sequence_Status,$AH47)&amp;"","","","","","","","","","","",""))</f>
        <v/>
      </c>
      <c r="BB47" s="1" t="str">
        <f>IF($AF47=0,"",CHOOSE($AF47,INDEX(nINT_Treatment_Day,$AH47),"","","","","","","","","","",""))</f>
        <v/>
      </c>
      <c r="BC47" s="1" t="str">
        <f>IF($AF47=0,"",CHOOSE($AF47,INDEX(nINT_Reported_Timing_Result,$AH47)&amp;"","","","","","","","","","","",""))</f>
        <v/>
      </c>
      <c r="BD47" s="1" t="str">
        <f>IF($AF47=0,"",CHOOSE($AF47,IF(INDEX(nINT_K_HasC,$AH47)=1,INDEX(nINT_Constraint_Source,$AH47)&amp;"",""),"","","","","","","","","","",""))</f>
        <v/>
      </c>
      <c r="BE47" s="1" t="str">
        <f>IF($AF47=0,"",CHOOSE($AF47,"",INDEX(nQ1_Results_Text,$AH47)&amp;"",INDEX(nQ2_Results_Text,$AH47)&amp;"",INDEX(nQ3_Results_Text,$AH47)&amp;"",INDEX(nQ4_Results_Text,$AH47)&amp;"",INDEX(nQ5_Results_Text,$AH47)&amp;"",INDEX(nQ6_Results_Text,$AH47)&amp;"",INDEX(nQ7_Results_Text,$AH47)&amp;"",INDEX(nQ8_Results_Text,$AH47)&amp;"",INDEX(nQ9_Results_Text,$AH47)&amp;"",INDEX(nQ10_Results_Text,$AH47)&amp;"",INDEX(nQ11_Results_Text,$AH47)&amp;""))</f>
        <v/>
      </c>
      <c r="BF47" s="1" t="str">
        <f>IF($AF47=0,"",CHOOSE($AF47,INDEX(nINT_Parameter_Set,$AH47)&amp;"",INDEX(nQ1_Parameter_Set,$AH47)&amp;"",INDEX(nQ2_Parameter_Set,$AH47)&amp;"",INDEX(nQ3_Parameter_Set,$AH47)&amp;"",INDEX(nQ4_Parameter_Set,$AH47)&amp;"",INDEX(nQ5_Parameter_Set,$AH47)&amp;"",INDEX(nQ6_Parameter_Set,$AH47)&amp;"",INDEX(nQ7_Parameter_Set,$AH47)&amp;"",INDEX(nQ8_Parameter_Set,$AH47)&amp;"",INDEX(nQ9_Parameter_Set,$AH47)&amp;"",INDEX(nQ10_Parameter_Set,$AH47)&amp;"",INDEX(nQ11_Parameter_Set,$AH47)&amp;""))</f>
        <v/>
      </c>
      <c r="BG47" s="1" t="str">
        <f>IF($AF47=0,"",CHOOSE($AF47,INDEX(nINT_Assumptions,$AH47)&amp;"",INDEX(nQ1_Assumptions,$AH47)&amp;"",INDEX(nQ2_Assumptions,$AH47)&amp;"",INDEX(nQ3_Assumptions,$AH47)&amp;"",INDEX(nQ4_Assumptions,$AH47)&amp;"",INDEX(nQ5_Assumptions,$AH47)&amp;"",INDEX(nQ6_Assumptions,$AH47)&amp;"",INDEX(nQ7_Assumptions,$AH47)&amp;"",INDEX(nQ8_Assumptions,$AH47)&amp;"",INDEX(nQ9_Assumptions,$AH47)&amp;"",INDEX(nQ10_Assumptions,$AH47)&amp;"",INDEX(nQ11_Assumptions,$AH47)&amp;""))</f>
        <v/>
      </c>
      <c r="BH47" s="1" t="str">
        <f>IF($AF47=0,"",CHOOSE($AF47,INDEX(nINT_Calculation_Version,$AH47)&amp;"",INDEX(nQ1_Calculation_Version,$AH47)&amp;"",INDEX(nQ2_Calculation_Version,$AH47)&amp;"",INDEX(nQ3_Calculation_Version,$AH47)&amp;"",INDEX(nQ4_Calculation_Version,$AH47)&amp;"",INDEX(nQ5_Calculation_Version,$AH47)&amp;"",INDEX(nQ6_Calculation_Version,$AH47)&amp;"",INDEX(nQ7_Calculation_Version,$AH47)&amp;"",INDEX(nQ8_Calculation_Version,$AH47)&amp;"",INDEX(nQ9_Calculation_Version,$AH47)&amp;"",INDEX(nQ10_Calculation_Version,$AH47)&amp;"",INDEX(nQ11_Calculation_Version,$AH47)&amp;""))</f>
        <v/>
      </c>
      <c r="BI47" s="1" t="str">
        <f>IF($AF47=0,"",CHOOSE($AF47,INDEX(nINT_QC_Flags,$AH47)&amp;"",INDEX(nQ1_QC_Flags,$AH47)&amp;"",INDEX(nQ2_QC_Flags,$AH47)&amp;"",INDEX(nQ3_QC_Flags,$AH47)&amp;"",INDEX(nQ4_QC_Flags,$AH47)&amp;"",INDEX(nQ5_QC_Flags,$AH47)&amp;"",INDEX(nQ6_QC_Flags,$AH47)&amp;"",INDEX(nQ7_QC_Flags,$AH47)&amp;"",INDEX(nQ8_QC_Flags,$AH47)&amp;"",INDEX(nQ9_QC_Flags,$AH47)&amp;"",INDEX(nQ10_QC_Flags,$AH47)&amp;"",INDEX(nQ11_QC_Flags,$AH47)&amp;""))</f>
        <v/>
      </c>
      <c r="BJ47" s="1" t="str">
        <f>IF($AF47=0,"",CHOOSE($AF47,INDEX(nINT_Messages,$AH47)&amp;"",INDEX(nQ1_Messages,$AH47)&amp;"",INDEX(nQ2_Messages,$AH47)&amp;"",INDEX(nQ3_Messages,$AH47)&amp;"",INDEX(nQ4_Messages,$AH47)&amp;"",INDEX(nQ5_Messages,$AH47)&amp;"",INDEX(nQ6_Messages,$AH47)&amp;"",INDEX(nQ7_Messages,$AH47)&amp;"",INDEX(nQ8_Messages,$AH47)&amp;"",INDEX(nQ9_Messages,$AH47)&amp;"",INDEX(nQ10_Messages,$AH47)&amp;"",INDEX(nQ11_Messages,$AH47)&amp;""))</f>
        <v/>
      </c>
      <c r="BK47" s="1" t="str">
        <f>IF($AF47=0,"",CHOOSE($AF47,INDEX(nINT_Limitations,$AH47)&amp;"",INDEX(nQ1_Mandatory_Text,$AH47)&amp;"",INDEX(nQ2_Mandatory_Text,$AH47)&amp;"",INDEX(nQ3_Mandatory_Text,$AH47)&amp;"",INDEX(nQ4_Mandatory_Text,$AH47)&amp;"",INDEX(nQ5_Mandatory_Text,$AH47)&amp;"",INDEX(nQ6_Mandatory_Text,$AH47)&amp;"",INDEX(nQ7_Mandatory_Text,$AH47)&amp;"",INDEX(nQ8_Mandatory_Text,$AH47)&amp;"",INDEX(nQ9_Mandatory_Text,$AH47)&amp;"",INDEX(nQ10_Mandatory_Text,$AH47)&amp;"",INDEX(nQ11_Mandatory_Text,$AH47)&amp;""))</f>
        <v/>
      </c>
      <c r="BL47" s="1" t="str">
        <f t="shared" si="33"/>
        <v/>
      </c>
      <c r="BM47" s="1" t="str">
        <f t="shared" si="34"/>
        <v/>
      </c>
    </row>
    <row r="48" spans="1:65" x14ac:dyDescent="0.2">
      <c r="A48" s="21" t="str">
        <f t="shared" si="0"/>
        <v/>
      </c>
      <c r="B48" s="21" t="str">
        <f t="shared" si="1"/>
        <v/>
      </c>
      <c r="C48" s="21" t="str">
        <f t="shared" si="2"/>
        <v/>
      </c>
      <c r="D48" s="21" t="str">
        <f t="shared" si="3"/>
        <v/>
      </c>
      <c r="E48" s="21" t="str">
        <f t="shared" si="4"/>
        <v/>
      </c>
      <c r="F48" s="21" t="str">
        <f t="shared" si="5"/>
        <v/>
      </c>
      <c r="G48" s="21" t="str">
        <f t="shared" si="6"/>
        <v/>
      </c>
      <c r="H48" s="21" t="str">
        <f t="shared" si="7"/>
        <v/>
      </c>
      <c r="I48" s="21" t="str">
        <f t="shared" si="8"/>
        <v/>
      </c>
      <c r="J48" s="21" t="str">
        <f t="shared" si="9"/>
        <v/>
      </c>
      <c r="K48" s="21" t="str">
        <f t="shared" si="10"/>
        <v/>
      </c>
      <c r="L48" s="21" t="str">
        <f t="shared" si="11"/>
        <v/>
      </c>
      <c r="M48" s="21" t="str">
        <f t="shared" si="12"/>
        <v/>
      </c>
      <c r="N48" s="21" t="str">
        <f t="shared" si="13"/>
        <v/>
      </c>
      <c r="O48" s="21" t="str">
        <f t="shared" si="14"/>
        <v/>
      </c>
      <c r="P48" s="21" t="str">
        <f t="shared" si="15"/>
        <v/>
      </c>
      <c r="Q48" s="21" t="str">
        <f t="shared" si="16"/>
        <v/>
      </c>
      <c r="R48" s="21" t="str">
        <f t="shared" si="17"/>
        <v/>
      </c>
      <c r="S48" s="21" t="str">
        <f t="shared" si="18"/>
        <v/>
      </c>
      <c r="T48" s="21" t="str">
        <f t="shared" si="19"/>
        <v/>
      </c>
      <c r="U48" s="21" t="str">
        <f t="shared" si="20"/>
        <v/>
      </c>
      <c r="V48" s="21" t="str">
        <f t="shared" si="21"/>
        <v/>
      </c>
      <c r="W48" s="21" t="str">
        <f t="shared" si="22"/>
        <v/>
      </c>
      <c r="X48" s="21" t="str">
        <f t="shared" si="23"/>
        <v/>
      </c>
      <c r="Y48" s="21" t="str">
        <f t="shared" si="24"/>
        <v/>
      </c>
      <c r="Z48" s="21" t="str">
        <f t="shared" si="25"/>
        <v/>
      </c>
      <c r="AA48" s="21" t="str">
        <f t="shared" si="26"/>
        <v/>
      </c>
      <c r="AB48" s="21" t="str">
        <f t="shared" si="27"/>
        <v/>
      </c>
      <c r="AC48" s="21" t="str">
        <f t="shared" si="28"/>
        <v/>
      </c>
      <c r="AD48" s="21" t="str">
        <f t="shared" si="29"/>
        <v/>
      </c>
      <c r="AE48" s="1">
        <f t="shared" si="30"/>
        <v>41</v>
      </c>
      <c r="AF48" s="1">
        <f t="shared" si="31"/>
        <v>0</v>
      </c>
      <c r="AG48" s="1">
        <f t="shared" si="32"/>
        <v>0</v>
      </c>
      <c r="AH48" s="1">
        <f>IF(AF48=0,0,CHOOSE(AF48,IFERROR(_xlfn.AGGREGATE(15,6,(ROW(nINT_CaseKey)-ROW(INDEX(nINT_CaseKey,1,1))+1)/((nINT_CaseKey=$H$4)*(nINT_RowEmpty=0)),AG48),0),IFERROR(_xlfn.AGGREGATE(15,6,(ROW(nQ1_CaseKey)-ROW(INDEX(nQ1_CaseKey,1,1))+1)/((nQ1_CaseKey=$H$4)),AG48),0),IFERROR(_xlfn.AGGREGATE(15,6,(ROW(nQ2_CaseKey)-ROW(INDEX(nQ2_CaseKey,1,1))+1)/((nQ2_CaseKey=$H$4)),AG48),0),IFERROR(_xlfn.AGGREGATE(15,6,(ROW(nQ3_CaseKey)-ROW(INDEX(nQ3_CaseKey,1,1))+1)/((nQ3_CaseKey=$H$4)),AG48),0),IFERROR(_xlfn.AGGREGATE(15,6,(ROW(nQ4_CaseKey)-ROW(INDEX(nQ4_CaseKey,1,1))+1)/((nQ4_CaseKey=$H$4)),AG48),0),IFERROR(_xlfn.AGGREGATE(15,6,(ROW(nQ5_CaseKey)-ROW(INDEX(nQ5_CaseKey,1,1))+1)/((nQ5_CaseKey=$H$4)),AG48),0),IFERROR(_xlfn.AGGREGATE(15,6,(ROW(nQ6_CaseKey)-ROW(INDEX(nQ6_CaseKey,1,1))+1)/((nQ6_CaseKey=$H$4)),AG48),0),IFERROR(_xlfn.AGGREGATE(15,6,(ROW(nQ7_CaseKey)-ROW(INDEX(nQ7_CaseKey,1,1))+1)/((nQ7_CaseKey=$H$4)),AG48),0),IFERROR(_xlfn.AGGREGATE(15,6,(ROW(nQ8_CaseKey)-ROW(INDEX(nQ8_CaseKey,1,1))+1)/((nQ8_CaseKey=$H$4)),AG48),0),IFERROR(_xlfn.AGGREGATE(15,6,(ROW(nQ9_CaseKey)-ROW(INDEX(nQ9_CaseKey,1,1))+1)/((nQ9_CaseKey=$H$4)),AG48),0),IFERROR(_xlfn.AGGREGATE(15,6,(ROW(nQ10_CaseKey)-ROW(INDEX(nQ10_CaseKey,1,1))+1)/((nQ10_CaseKey=$H$4)),AG48),0),IFERROR(_xlfn.AGGREGATE(15,6,(ROW(nQ11_CaseKey)-ROW(INDEX(nQ11_CaseKey,1,1))+1)/((nQ11_CaseKey=$H$4)),AG48),0)))</f>
        <v>0</v>
      </c>
      <c r="AJ48" s="1" t="str">
        <f>IF($AF48=0,"",CHOOSE($AF48,INDEX(nINT_Case_ID,$AH48)&amp;"",INDEX(nQ1_Case_ID,$AH48)&amp;"",INDEX(nQ2_Case_ID,$AH48)&amp;"",INDEX(nQ3_Case_ID,$AH48)&amp;"",INDEX(nQ4_Case_ID,$AH48)&amp;"",INDEX(nQ5_Case_ID,$AH48)&amp;"",INDEX(nQ6_Case_ID,$AH48)&amp;"",INDEX(nQ7_Case_ID,$AH48)&amp;"",INDEX(nQ8_Case_ID,$AH48)&amp;"",INDEX(nQ9_Case_ID,$AH48)&amp;"",INDEX(nQ10_Case_ID,$AH48)&amp;"",INDEX(nQ11_Case_ID,$AH48)&amp;""))</f>
        <v/>
      </c>
      <c r="AK48" s="1" t="str">
        <f>IF($AF48=0,"",CHOOSE($AF48,INDEX(nINT_Case_Version,$AH48),INDEX(nQ1_Case_Version,$AH48),INDEX(nQ2_Case_Version,$AH48),INDEX(nQ3_Case_Version,$AH48),INDEX(nQ4_Case_Version,$AH48),INDEX(nQ5_Case_Version,$AH48),INDEX(nQ6_Case_Version,$AH48),INDEX(nQ7_Case_Version,$AH48),INDEX(nQ8_Case_Version,$AH48),INDEX(nQ9_Case_Version,$AH48),INDEX(nQ10_Case_Version,$AH48),INDEX(nQ11_Case_Version,$AH48)))</f>
        <v/>
      </c>
      <c r="AL48" s="1" t="str">
        <f>IF($AF48=0,"",CHOOSE($AF48,INDEX(nINT_Interval_ID,$AH48)&amp;"",INDEX(nQ1_Calc_ID,$AH48)&amp;"",INDEX(nQ2_Calc_ID,$AH48)&amp;"",INDEX(nQ3_Calc_ID,$AH48)&amp;"",INDEX(nQ4_Calc_ID,$AH48)&amp;"",INDEX(nQ5_Calc_ID,$AH48)&amp;"",INDEX(nQ6_Calc_ID,$AH48)&amp;"",INDEX(nQ7_Calc_ID,$AH48)&amp;"",INDEX(nQ8_Calc_ID,$AH48)&amp;"",INDEX(nQ9_Calc_ID,$AH48)&amp;"",INDEX(nQ10_Calc_ID,$AH48)&amp;"",INDEX(nQ11_Calc_ID,$AH48)&amp;""))</f>
        <v/>
      </c>
      <c r="AM48" s="1" t="str">
        <f>IF($AF48=0,"",CHOOSE($AF48,INDEX(nINT_Label,$AH48)&amp;"",INDEX(nQ1_Label_Out,$AH48)&amp;"",INDEX(nQ2_Label_Out,$AH48)&amp;"",INDEX(nQ3_Label_Out,$AH48)&amp;"",INDEX(nQ4_Label_Out,$AH48)&amp;"",INDEX(nQ5_Label_Out,$AH48)&amp;"",INDEX(nQ6_Label_Out,$AH48)&amp;"",INDEX(nQ7_Label_Out,$AH48)&amp;"",INDEX(nQ8_Label_Out,$AH48)&amp;"",INDEX(nQ9_Label_Out,$AH48)&amp;"",INDEX(nQ10_Label_Out,$AH48)&amp;"",INDEX(nQ11_Label_Out,$AH48)&amp;""))</f>
        <v/>
      </c>
      <c r="AN48" s="1" t="str">
        <f>IF($AF48=0,"",CHOOSE($AF48,IF(INDEX(nINT_LinkRow,$AH48)=0,"",INDEX(nINT_Link_ID,$AH48)&amp;""),"","","","","","","","","","",""))</f>
        <v/>
      </c>
      <c r="AO48" s="1" t="str">
        <f>IF($AF48=0,"",CHOOSE($AF48,INDEX(nINT_Exposure_Episode_ID,$AH48)&amp;"","","","","","","","","","","",""))</f>
        <v/>
      </c>
      <c r="AP48" s="1" t="str">
        <f>IF($AF48=0,"",CHOOSE($AF48,INDEX(nINT_Event_Episode_ID,$AH48)&amp;"","","","","","","","","","","",""))</f>
        <v/>
      </c>
      <c r="AQ48" s="1" t="str">
        <f>IF($AF48=0,"",CHOOSE($AF48,INDEX(nINT_End_Record_ID_Used,$AH48)&amp;"","","","","","","","","","","",""))</f>
        <v/>
      </c>
      <c r="AR48" s="1" t="str">
        <f>IF($AF48=0,"",CHOOSE($AF48,INDEX(nINT_Interval_Value,$AH48),"","","","","","","","","","",""))</f>
        <v/>
      </c>
      <c r="AS48" s="1" t="str">
        <f>IF($AF48=0,"",CHOOSE($AF48,INDEX(nINT_Interval_Minimum,$AH48),"","","","","","","","","","",""))</f>
        <v/>
      </c>
      <c r="AT48" s="1" t="str">
        <f>IF($AF48=0,"",CHOOSE($AF48,INDEX(nINT_Interval_Maximum,$AH48),"","","","","","","","","","",""))</f>
        <v/>
      </c>
      <c r="AU48" s="1" t="str">
        <f>IF($AF48=0,"",CHOOSE($AF48,INDEX(nINT_Unit,$AH48)&amp;"",INDEX(nQ1_Unit_Out,$AH48)&amp;"",INDEX(nQ2_Unit_Out,$AH48)&amp;"",INDEX(nQ3_Unit_Out,$AH48)&amp;"",INDEX(nQ4_Unit_Out,$AH48)&amp;"",INDEX(nQ5_Unit_Out,$AH48)&amp;"",INDEX(nQ6_Unit_Out,$AH48)&amp;"",INDEX(nQ7_Unit_Out,$AH48)&amp;"",INDEX(nQ8_Unit_Out,$AH48)&amp;"",INDEX(nQ9_Unit_Out,$AH48)&amp;"",INDEX(nQ10_Unit_Out,$AH48)&amp;"",INDEX(nQ11_Unit_Out,$AH48)&amp;""))</f>
        <v/>
      </c>
      <c r="AV48" s="1" t="str">
        <f>IF($AF48=0,"",CHOOSE($AF48,INDEX(nINT_Displayed_Value,$AH48)&amp;"",INDEX(nQ1_Displayed_Value,$AH48)&amp;"",INDEX(nQ2_Displayed_Value,$AH48)&amp;"",INDEX(nQ3_Displayed_Value,$AH48)&amp;"",INDEX(nQ4_Displayed_Value,$AH48)&amp;"",INDEX(nQ5_Displayed_Value,$AH48)&amp;"",INDEX(nQ6_Displayed_Value,$AH48)&amp;"",INDEX(nQ7_Displayed_Value,$AH48)&amp;"",INDEX(nQ8_Displayed_Value,$AH48)&amp;"",INDEX(nQ9_Displayed_Value,$AH48)&amp;"",INDEX(nQ10_Displayed_Value,$AH48)&amp;"",INDEX(nQ11_Displayed_Value,$AH48)&amp;""))</f>
        <v/>
      </c>
      <c r="AW48" s="1" t="str">
        <f>IF($AF48=0,"",CHOOSE($AF48,INDEX(nINT_Calculation_Mode_Used,$AH48)&amp;"","Q1","Q2","Q3","Q4","Q5","Q6","Q7","Q8","Q9","Q10","Q11"))</f>
        <v/>
      </c>
      <c r="AX48" s="1" t="str">
        <f>IF($AF48=0,"",CHOOSE($AF48,INDEX(nINT_Anchor_Type,$AH48)&amp;"","","","","","","","","","","",""))</f>
        <v/>
      </c>
      <c r="AY48" s="1" t="str">
        <f>IF($AF48=0,"",CHOOSE($AF48,IF(INDEX(nINT_K_Ok,$AH48)=1,INDEX(nINT_Anchor_Record_ID_Used,$AH48)&amp;"",""),"","","","","","","","","","",""))</f>
        <v/>
      </c>
      <c r="AZ48" s="1" t="str">
        <f>IF($AF48=0,"",CHOOSE($AF48,INDEX(nINT_Anchor_Description,$AH48)&amp;"","","","","","","","","","","",""))</f>
        <v/>
      </c>
      <c r="BA48" s="1" t="str">
        <f>IF($AF48=0,"",CHOOSE($AF48,INDEX(nINT_Sequence_Status,$AH48)&amp;"","","","","","","","","","","",""))</f>
        <v/>
      </c>
      <c r="BB48" s="1" t="str">
        <f>IF($AF48=0,"",CHOOSE($AF48,INDEX(nINT_Treatment_Day,$AH48),"","","","","","","","","","",""))</f>
        <v/>
      </c>
      <c r="BC48" s="1" t="str">
        <f>IF($AF48=0,"",CHOOSE($AF48,INDEX(nINT_Reported_Timing_Result,$AH48)&amp;"","","","","","","","","","","",""))</f>
        <v/>
      </c>
      <c r="BD48" s="1" t="str">
        <f>IF($AF48=0,"",CHOOSE($AF48,IF(INDEX(nINT_K_HasC,$AH48)=1,INDEX(nINT_Constraint_Source,$AH48)&amp;"",""),"","","","","","","","","","",""))</f>
        <v/>
      </c>
      <c r="BE48" s="1" t="str">
        <f>IF($AF48=0,"",CHOOSE($AF48,"",INDEX(nQ1_Results_Text,$AH48)&amp;"",INDEX(nQ2_Results_Text,$AH48)&amp;"",INDEX(nQ3_Results_Text,$AH48)&amp;"",INDEX(nQ4_Results_Text,$AH48)&amp;"",INDEX(nQ5_Results_Text,$AH48)&amp;"",INDEX(nQ6_Results_Text,$AH48)&amp;"",INDEX(nQ7_Results_Text,$AH48)&amp;"",INDEX(nQ8_Results_Text,$AH48)&amp;"",INDEX(nQ9_Results_Text,$AH48)&amp;"",INDEX(nQ10_Results_Text,$AH48)&amp;"",INDEX(nQ11_Results_Text,$AH48)&amp;""))</f>
        <v/>
      </c>
      <c r="BF48" s="1" t="str">
        <f>IF($AF48=0,"",CHOOSE($AF48,INDEX(nINT_Parameter_Set,$AH48)&amp;"",INDEX(nQ1_Parameter_Set,$AH48)&amp;"",INDEX(nQ2_Parameter_Set,$AH48)&amp;"",INDEX(nQ3_Parameter_Set,$AH48)&amp;"",INDEX(nQ4_Parameter_Set,$AH48)&amp;"",INDEX(nQ5_Parameter_Set,$AH48)&amp;"",INDEX(nQ6_Parameter_Set,$AH48)&amp;"",INDEX(nQ7_Parameter_Set,$AH48)&amp;"",INDEX(nQ8_Parameter_Set,$AH48)&amp;"",INDEX(nQ9_Parameter_Set,$AH48)&amp;"",INDEX(nQ10_Parameter_Set,$AH48)&amp;"",INDEX(nQ11_Parameter_Set,$AH48)&amp;""))</f>
        <v/>
      </c>
      <c r="BG48" s="1" t="str">
        <f>IF($AF48=0,"",CHOOSE($AF48,INDEX(nINT_Assumptions,$AH48)&amp;"",INDEX(nQ1_Assumptions,$AH48)&amp;"",INDEX(nQ2_Assumptions,$AH48)&amp;"",INDEX(nQ3_Assumptions,$AH48)&amp;"",INDEX(nQ4_Assumptions,$AH48)&amp;"",INDEX(nQ5_Assumptions,$AH48)&amp;"",INDEX(nQ6_Assumptions,$AH48)&amp;"",INDEX(nQ7_Assumptions,$AH48)&amp;"",INDEX(nQ8_Assumptions,$AH48)&amp;"",INDEX(nQ9_Assumptions,$AH48)&amp;"",INDEX(nQ10_Assumptions,$AH48)&amp;"",INDEX(nQ11_Assumptions,$AH48)&amp;""))</f>
        <v/>
      </c>
      <c r="BH48" s="1" t="str">
        <f>IF($AF48=0,"",CHOOSE($AF48,INDEX(nINT_Calculation_Version,$AH48)&amp;"",INDEX(nQ1_Calculation_Version,$AH48)&amp;"",INDEX(nQ2_Calculation_Version,$AH48)&amp;"",INDEX(nQ3_Calculation_Version,$AH48)&amp;"",INDEX(nQ4_Calculation_Version,$AH48)&amp;"",INDEX(nQ5_Calculation_Version,$AH48)&amp;"",INDEX(nQ6_Calculation_Version,$AH48)&amp;"",INDEX(nQ7_Calculation_Version,$AH48)&amp;"",INDEX(nQ8_Calculation_Version,$AH48)&amp;"",INDEX(nQ9_Calculation_Version,$AH48)&amp;"",INDEX(nQ10_Calculation_Version,$AH48)&amp;"",INDEX(nQ11_Calculation_Version,$AH48)&amp;""))</f>
        <v/>
      </c>
      <c r="BI48" s="1" t="str">
        <f>IF($AF48=0,"",CHOOSE($AF48,INDEX(nINT_QC_Flags,$AH48)&amp;"",INDEX(nQ1_QC_Flags,$AH48)&amp;"",INDEX(nQ2_QC_Flags,$AH48)&amp;"",INDEX(nQ3_QC_Flags,$AH48)&amp;"",INDEX(nQ4_QC_Flags,$AH48)&amp;"",INDEX(nQ5_QC_Flags,$AH48)&amp;"",INDEX(nQ6_QC_Flags,$AH48)&amp;"",INDEX(nQ7_QC_Flags,$AH48)&amp;"",INDEX(nQ8_QC_Flags,$AH48)&amp;"",INDEX(nQ9_QC_Flags,$AH48)&amp;"",INDEX(nQ10_QC_Flags,$AH48)&amp;"",INDEX(nQ11_QC_Flags,$AH48)&amp;""))</f>
        <v/>
      </c>
      <c r="BJ48" s="1" t="str">
        <f>IF($AF48=0,"",CHOOSE($AF48,INDEX(nINT_Messages,$AH48)&amp;"",INDEX(nQ1_Messages,$AH48)&amp;"",INDEX(nQ2_Messages,$AH48)&amp;"",INDEX(nQ3_Messages,$AH48)&amp;"",INDEX(nQ4_Messages,$AH48)&amp;"",INDEX(nQ5_Messages,$AH48)&amp;"",INDEX(nQ6_Messages,$AH48)&amp;"",INDEX(nQ7_Messages,$AH48)&amp;"",INDEX(nQ8_Messages,$AH48)&amp;"",INDEX(nQ9_Messages,$AH48)&amp;"",INDEX(nQ10_Messages,$AH48)&amp;"",INDEX(nQ11_Messages,$AH48)&amp;""))</f>
        <v/>
      </c>
      <c r="BK48" s="1" t="str">
        <f>IF($AF48=0,"",CHOOSE($AF48,INDEX(nINT_Limitations,$AH48)&amp;"",INDEX(nQ1_Mandatory_Text,$AH48)&amp;"",INDEX(nQ2_Mandatory_Text,$AH48)&amp;"",INDEX(nQ3_Mandatory_Text,$AH48)&amp;"",INDEX(nQ4_Mandatory_Text,$AH48)&amp;"",INDEX(nQ5_Mandatory_Text,$AH48)&amp;"",INDEX(nQ6_Mandatory_Text,$AH48)&amp;"",INDEX(nQ7_Mandatory_Text,$AH48)&amp;"",INDEX(nQ8_Mandatory_Text,$AH48)&amp;"",INDEX(nQ9_Mandatory_Text,$AH48)&amp;"",INDEX(nQ10_Mandatory_Text,$AH48)&amp;"",INDEX(nQ11_Mandatory_Text,$AH48)&amp;""))</f>
        <v/>
      </c>
      <c r="BL48" s="1" t="str">
        <f t="shared" si="33"/>
        <v/>
      </c>
      <c r="BM48" s="1" t="str">
        <f t="shared" si="34"/>
        <v/>
      </c>
    </row>
    <row r="49" spans="1:65" x14ac:dyDescent="0.2">
      <c r="A49" s="21" t="str">
        <f t="shared" si="0"/>
        <v/>
      </c>
      <c r="B49" s="21" t="str">
        <f t="shared" si="1"/>
        <v/>
      </c>
      <c r="C49" s="21" t="str">
        <f t="shared" si="2"/>
        <v/>
      </c>
      <c r="D49" s="21" t="str">
        <f t="shared" si="3"/>
        <v/>
      </c>
      <c r="E49" s="21" t="str">
        <f t="shared" si="4"/>
        <v/>
      </c>
      <c r="F49" s="21" t="str">
        <f t="shared" si="5"/>
        <v/>
      </c>
      <c r="G49" s="21" t="str">
        <f t="shared" si="6"/>
        <v/>
      </c>
      <c r="H49" s="21" t="str">
        <f t="shared" si="7"/>
        <v/>
      </c>
      <c r="I49" s="21" t="str">
        <f t="shared" si="8"/>
        <v/>
      </c>
      <c r="J49" s="21" t="str">
        <f t="shared" si="9"/>
        <v/>
      </c>
      <c r="K49" s="21" t="str">
        <f t="shared" si="10"/>
        <v/>
      </c>
      <c r="L49" s="21" t="str">
        <f t="shared" si="11"/>
        <v/>
      </c>
      <c r="M49" s="21" t="str">
        <f t="shared" si="12"/>
        <v/>
      </c>
      <c r="N49" s="21" t="str">
        <f t="shared" si="13"/>
        <v/>
      </c>
      <c r="O49" s="21" t="str">
        <f t="shared" si="14"/>
        <v/>
      </c>
      <c r="P49" s="21" t="str">
        <f t="shared" si="15"/>
        <v/>
      </c>
      <c r="Q49" s="21" t="str">
        <f t="shared" si="16"/>
        <v/>
      </c>
      <c r="R49" s="21" t="str">
        <f t="shared" si="17"/>
        <v/>
      </c>
      <c r="S49" s="21" t="str">
        <f t="shared" si="18"/>
        <v/>
      </c>
      <c r="T49" s="21" t="str">
        <f t="shared" si="19"/>
        <v/>
      </c>
      <c r="U49" s="21" t="str">
        <f t="shared" si="20"/>
        <v/>
      </c>
      <c r="V49" s="21" t="str">
        <f t="shared" si="21"/>
        <v/>
      </c>
      <c r="W49" s="21" t="str">
        <f t="shared" si="22"/>
        <v/>
      </c>
      <c r="X49" s="21" t="str">
        <f t="shared" si="23"/>
        <v/>
      </c>
      <c r="Y49" s="21" t="str">
        <f t="shared" si="24"/>
        <v/>
      </c>
      <c r="Z49" s="21" t="str">
        <f t="shared" si="25"/>
        <v/>
      </c>
      <c r="AA49" s="21" t="str">
        <f t="shared" si="26"/>
        <v/>
      </c>
      <c r="AB49" s="21" t="str">
        <f t="shared" si="27"/>
        <v/>
      </c>
      <c r="AC49" s="21" t="str">
        <f t="shared" si="28"/>
        <v/>
      </c>
      <c r="AD49" s="21" t="str">
        <f t="shared" si="29"/>
        <v/>
      </c>
      <c r="AE49" s="1">
        <f t="shared" si="30"/>
        <v>42</v>
      </c>
      <c r="AF49" s="1">
        <f t="shared" si="31"/>
        <v>0</v>
      </c>
      <c r="AG49" s="1">
        <f t="shared" si="32"/>
        <v>0</v>
      </c>
      <c r="AH49" s="1">
        <f>IF(AF49=0,0,CHOOSE(AF49,IFERROR(_xlfn.AGGREGATE(15,6,(ROW(nINT_CaseKey)-ROW(INDEX(nINT_CaseKey,1,1))+1)/((nINT_CaseKey=$H$4)*(nINT_RowEmpty=0)),AG49),0),IFERROR(_xlfn.AGGREGATE(15,6,(ROW(nQ1_CaseKey)-ROW(INDEX(nQ1_CaseKey,1,1))+1)/((nQ1_CaseKey=$H$4)),AG49),0),IFERROR(_xlfn.AGGREGATE(15,6,(ROW(nQ2_CaseKey)-ROW(INDEX(nQ2_CaseKey,1,1))+1)/((nQ2_CaseKey=$H$4)),AG49),0),IFERROR(_xlfn.AGGREGATE(15,6,(ROW(nQ3_CaseKey)-ROW(INDEX(nQ3_CaseKey,1,1))+1)/((nQ3_CaseKey=$H$4)),AG49),0),IFERROR(_xlfn.AGGREGATE(15,6,(ROW(nQ4_CaseKey)-ROW(INDEX(nQ4_CaseKey,1,1))+1)/((nQ4_CaseKey=$H$4)),AG49),0),IFERROR(_xlfn.AGGREGATE(15,6,(ROW(nQ5_CaseKey)-ROW(INDEX(nQ5_CaseKey,1,1))+1)/((nQ5_CaseKey=$H$4)),AG49),0),IFERROR(_xlfn.AGGREGATE(15,6,(ROW(nQ6_CaseKey)-ROW(INDEX(nQ6_CaseKey,1,1))+1)/((nQ6_CaseKey=$H$4)),AG49),0),IFERROR(_xlfn.AGGREGATE(15,6,(ROW(nQ7_CaseKey)-ROW(INDEX(nQ7_CaseKey,1,1))+1)/((nQ7_CaseKey=$H$4)),AG49),0),IFERROR(_xlfn.AGGREGATE(15,6,(ROW(nQ8_CaseKey)-ROW(INDEX(nQ8_CaseKey,1,1))+1)/((nQ8_CaseKey=$H$4)),AG49),0),IFERROR(_xlfn.AGGREGATE(15,6,(ROW(nQ9_CaseKey)-ROW(INDEX(nQ9_CaseKey,1,1))+1)/((nQ9_CaseKey=$H$4)),AG49),0),IFERROR(_xlfn.AGGREGATE(15,6,(ROW(nQ10_CaseKey)-ROW(INDEX(nQ10_CaseKey,1,1))+1)/((nQ10_CaseKey=$H$4)),AG49),0),IFERROR(_xlfn.AGGREGATE(15,6,(ROW(nQ11_CaseKey)-ROW(INDEX(nQ11_CaseKey,1,1))+1)/((nQ11_CaseKey=$H$4)),AG49),0)))</f>
        <v>0</v>
      </c>
      <c r="AJ49" s="1" t="str">
        <f>IF($AF49=0,"",CHOOSE($AF49,INDEX(nINT_Case_ID,$AH49)&amp;"",INDEX(nQ1_Case_ID,$AH49)&amp;"",INDEX(nQ2_Case_ID,$AH49)&amp;"",INDEX(nQ3_Case_ID,$AH49)&amp;"",INDEX(nQ4_Case_ID,$AH49)&amp;"",INDEX(nQ5_Case_ID,$AH49)&amp;"",INDEX(nQ6_Case_ID,$AH49)&amp;"",INDEX(nQ7_Case_ID,$AH49)&amp;"",INDEX(nQ8_Case_ID,$AH49)&amp;"",INDEX(nQ9_Case_ID,$AH49)&amp;"",INDEX(nQ10_Case_ID,$AH49)&amp;"",INDEX(nQ11_Case_ID,$AH49)&amp;""))</f>
        <v/>
      </c>
      <c r="AK49" s="1" t="str">
        <f>IF($AF49=0,"",CHOOSE($AF49,INDEX(nINT_Case_Version,$AH49),INDEX(nQ1_Case_Version,$AH49),INDEX(nQ2_Case_Version,$AH49),INDEX(nQ3_Case_Version,$AH49),INDEX(nQ4_Case_Version,$AH49),INDEX(nQ5_Case_Version,$AH49),INDEX(nQ6_Case_Version,$AH49),INDEX(nQ7_Case_Version,$AH49),INDEX(nQ8_Case_Version,$AH49),INDEX(nQ9_Case_Version,$AH49),INDEX(nQ10_Case_Version,$AH49),INDEX(nQ11_Case_Version,$AH49)))</f>
        <v/>
      </c>
      <c r="AL49" s="1" t="str">
        <f>IF($AF49=0,"",CHOOSE($AF49,INDEX(nINT_Interval_ID,$AH49)&amp;"",INDEX(nQ1_Calc_ID,$AH49)&amp;"",INDEX(nQ2_Calc_ID,$AH49)&amp;"",INDEX(nQ3_Calc_ID,$AH49)&amp;"",INDEX(nQ4_Calc_ID,$AH49)&amp;"",INDEX(nQ5_Calc_ID,$AH49)&amp;"",INDEX(nQ6_Calc_ID,$AH49)&amp;"",INDEX(nQ7_Calc_ID,$AH49)&amp;"",INDEX(nQ8_Calc_ID,$AH49)&amp;"",INDEX(nQ9_Calc_ID,$AH49)&amp;"",INDEX(nQ10_Calc_ID,$AH49)&amp;"",INDEX(nQ11_Calc_ID,$AH49)&amp;""))</f>
        <v/>
      </c>
      <c r="AM49" s="1" t="str">
        <f>IF($AF49=0,"",CHOOSE($AF49,INDEX(nINT_Label,$AH49)&amp;"",INDEX(nQ1_Label_Out,$AH49)&amp;"",INDEX(nQ2_Label_Out,$AH49)&amp;"",INDEX(nQ3_Label_Out,$AH49)&amp;"",INDEX(nQ4_Label_Out,$AH49)&amp;"",INDEX(nQ5_Label_Out,$AH49)&amp;"",INDEX(nQ6_Label_Out,$AH49)&amp;"",INDEX(nQ7_Label_Out,$AH49)&amp;"",INDEX(nQ8_Label_Out,$AH49)&amp;"",INDEX(nQ9_Label_Out,$AH49)&amp;"",INDEX(nQ10_Label_Out,$AH49)&amp;"",INDEX(nQ11_Label_Out,$AH49)&amp;""))</f>
        <v/>
      </c>
      <c r="AN49" s="1" t="str">
        <f>IF($AF49=0,"",CHOOSE($AF49,IF(INDEX(nINT_LinkRow,$AH49)=0,"",INDEX(nINT_Link_ID,$AH49)&amp;""),"","","","","","","","","","",""))</f>
        <v/>
      </c>
      <c r="AO49" s="1" t="str">
        <f>IF($AF49=0,"",CHOOSE($AF49,INDEX(nINT_Exposure_Episode_ID,$AH49)&amp;"","","","","","","","","","","",""))</f>
        <v/>
      </c>
      <c r="AP49" s="1" t="str">
        <f>IF($AF49=0,"",CHOOSE($AF49,INDEX(nINT_Event_Episode_ID,$AH49)&amp;"","","","","","","","","","","",""))</f>
        <v/>
      </c>
      <c r="AQ49" s="1" t="str">
        <f>IF($AF49=0,"",CHOOSE($AF49,INDEX(nINT_End_Record_ID_Used,$AH49)&amp;"","","","","","","","","","","",""))</f>
        <v/>
      </c>
      <c r="AR49" s="1" t="str">
        <f>IF($AF49=0,"",CHOOSE($AF49,INDEX(nINT_Interval_Value,$AH49),"","","","","","","","","","",""))</f>
        <v/>
      </c>
      <c r="AS49" s="1" t="str">
        <f>IF($AF49=0,"",CHOOSE($AF49,INDEX(nINT_Interval_Minimum,$AH49),"","","","","","","","","","",""))</f>
        <v/>
      </c>
      <c r="AT49" s="1" t="str">
        <f>IF($AF49=0,"",CHOOSE($AF49,INDEX(nINT_Interval_Maximum,$AH49),"","","","","","","","","","",""))</f>
        <v/>
      </c>
      <c r="AU49" s="1" t="str">
        <f>IF($AF49=0,"",CHOOSE($AF49,INDEX(nINT_Unit,$AH49)&amp;"",INDEX(nQ1_Unit_Out,$AH49)&amp;"",INDEX(nQ2_Unit_Out,$AH49)&amp;"",INDEX(nQ3_Unit_Out,$AH49)&amp;"",INDEX(nQ4_Unit_Out,$AH49)&amp;"",INDEX(nQ5_Unit_Out,$AH49)&amp;"",INDEX(nQ6_Unit_Out,$AH49)&amp;"",INDEX(nQ7_Unit_Out,$AH49)&amp;"",INDEX(nQ8_Unit_Out,$AH49)&amp;"",INDEX(nQ9_Unit_Out,$AH49)&amp;"",INDEX(nQ10_Unit_Out,$AH49)&amp;"",INDEX(nQ11_Unit_Out,$AH49)&amp;""))</f>
        <v/>
      </c>
      <c r="AV49" s="1" t="str">
        <f>IF($AF49=0,"",CHOOSE($AF49,INDEX(nINT_Displayed_Value,$AH49)&amp;"",INDEX(nQ1_Displayed_Value,$AH49)&amp;"",INDEX(nQ2_Displayed_Value,$AH49)&amp;"",INDEX(nQ3_Displayed_Value,$AH49)&amp;"",INDEX(nQ4_Displayed_Value,$AH49)&amp;"",INDEX(nQ5_Displayed_Value,$AH49)&amp;"",INDEX(nQ6_Displayed_Value,$AH49)&amp;"",INDEX(nQ7_Displayed_Value,$AH49)&amp;"",INDEX(nQ8_Displayed_Value,$AH49)&amp;"",INDEX(nQ9_Displayed_Value,$AH49)&amp;"",INDEX(nQ10_Displayed_Value,$AH49)&amp;"",INDEX(nQ11_Displayed_Value,$AH49)&amp;""))</f>
        <v/>
      </c>
      <c r="AW49" s="1" t="str">
        <f>IF($AF49=0,"",CHOOSE($AF49,INDEX(nINT_Calculation_Mode_Used,$AH49)&amp;"","Q1","Q2","Q3","Q4","Q5","Q6","Q7","Q8","Q9","Q10","Q11"))</f>
        <v/>
      </c>
      <c r="AX49" s="1" t="str">
        <f>IF($AF49=0,"",CHOOSE($AF49,INDEX(nINT_Anchor_Type,$AH49)&amp;"","","","","","","","","","","",""))</f>
        <v/>
      </c>
      <c r="AY49" s="1" t="str">
        <f>IF($AF49=0,"",CHOOSE($AF49,IF(INDEX(nINT_K_Ok,$AH49)=1,INDEX(nINT_Anchor_Record_ID_Used,$AH49)&amp;"",""),"","","","","","","","","","",""))</f>
        <v/>
      </c>
      <c r="AZ49" s="1" t="str">
        <f>IF($AF49=0,"",CHOOSE($AF49,INDEX(nINT_Anchor_Description,$AH49)&amp;"","","","","","","","","","","",""))</f>
        <v/>
      </c>
      <c r="BA49" s="1" t="str">
        <f>IF($AF49=0,"",CHOOSE($AF49,INDEX(nINT_Sequence_Status,$AH49)&amp;"","","","","","","","","","","",""))</f>
        <v/>
      </c>
      <c r="BB49" s="1" t="str">
        <f>IF($AF49=0,"",CHOOSE($AF49,INDEX(nINT_Treatment_Day,$AH49),"","","","","","","","","","",""))</f>
        <v/>
      </c>
      <c r="BC49" s="1" t="str">
        <f>IF($AF49=0,"",CHOOSE($AF49,INDEX(nINT_Reported_Timing_Result,$AH49)&amp;"","","","","","","","","","","",""))</f>
        <v/>
      </c>
      <c r="BD49" s="1" t="str">
        <f>IF($AF49=0,"",CHOOSE($AF49,IF(INDEX(nINT_K_HasC,$AH49)=1,INDEX(nINT_Constraint_Source,$AH49)&amp;"",""),"","","","","","","","","","",""))</f>
        <v/>
      </c>
      <c r="BE49" s="1" t="str">
        <f>IF($AF49=0,"",CHOOSE($AF49,"",INDEX(nQ1_Results_Text,$AH49)&amp;"",INDEX(nQ2_Results_Text,$AH49)&amp;"",INDEX(nQ3_Results_Text,$AH49)&amp;"",INDEX(nQ4_Results_Text,$AH49)&amp;"",INDEX(nQ5_Results_Text,$AH49)&amp;"",INDEX(nQ6_Results_Text,$AH49)&amp;"",INDEX(nQ7_Results_Text,$AH49)&amp;"",INDEX(nQ8_Results_Text,$AH49)&amp;"",INDEX(nQ9_Results_Text,$AH49)&amp;"",INDEX(nQ10_Results_Text,$AH49)&amp;"",INDEX(nQ11_Results_Text,$AH49)&amp;""))</f>
        <v/>
      </c>
      <c r="BF49" s="1" t="str">
        <f>IF($AF49=0,"",CHOOSE($AF49,INDEX(nINT_Parameter_Set,$AH49)&amp;"",INDEX(nQ1_Parameter_Set,$AH49)&amp;"",INDEX(nQ2_Parameter_Set,$AH49)&amp;"",INDEX(nQ3_Parameter_Set,$AH49)&amp;"",INDEX(nQ4_Parameter_Set,$AH49)&amp;"",INDEX(nQ5_Parameter_Set,$AH49)&amp;"",INDEX(nQ6_Parameter_Set,$AH49)&amp;"",INDEX(nQ7_Parameter_Set,$AH49)&amp;"",INDEX(nQ8_Parameter_Set,$AH49)&amp;"",INDEX(nQ9_Parameter_Set,$AH49)&amp;"",INDEX(nQ10_Parameter_Set,$AH49)&amp;"",INDEX(nQ11_Parameter_Set,$AH49)&amp;""))</f>
        <v/>
      </c>
      <c r="BG49" s="1" t="str">
        <f>IF($AF49=0,"",CHOOSE($AF49,INDEX(nINT_Assumptions,$AH49)&amp;"",INDEX(nQ1_Assumptions,$AH49)&amp;"",INDEX(nQ2_Assumptions,$AH49)&amp;"",INDEX(nQ3_Assumptions,$AH49)&amp;"",INDEX(nQ4_Assumptions,$AH49)&amp;"",INDEX(nQ5_Assumptions,$AH49)&amp;"",INDEX(nQ6_Assumptions,$AH49)&amp;"",INDEX(nQ7_Assumptions,$AH49)&amp;"",INDEX(nQ8_Assumptions,$AH49)&amp;"",INDEX(nQ9_Assumptions,$AH49)&amp;"",INDEX(nQ10_Assumptions,$AH49)&amp;"",INDEX(nQ11_Assumptions,$AH49)&amp;""))</f>
        <v/>
      </c>
      <c r="BH49" s="1" t="str">
        <f>IF($AF49=0,"",CHOOSE($AF49,INDEX(nINT_Calculation_Version,$AH49)&amp;"",INDEX(nQ1_Calculation_Version,$AH49)&amp;"",INDEX(nQ2_Calculation_Version,$AH49)&amp;"",INDEX(nQ3_Calculation_Version,$AH49)&amp;"",INDEX(nQ4_Calculation_Version,$AH49)&amp;"",INDEX(nQ5_Calculation_Version,$AH49)&amp;"",INDEX(nQ6_Calculation_Version,$AH49)&amp;"",INDEX(nQ7_Calculation_Version,$AH49)&amp;"",INDEX(nQ8_Calculation_Version,$AH49)&amp;"",INDEX(nQ9_Calculation_Version,$AH49)&amp;"",INDEX(nQ10_Calculation_Version,$AH49)&amp;"",INDEX(nQ11_Calculation_Version,$AH49)&amp;""))</f>
        <v/>
      </c>
      <c r="BI49" s="1" t="str">
        <f>IF($AF49=0,"",CHOOSE($AF49,INDEX(nINT_QC_Flags,$AH49)&amp;"",INDEX(nQ1_QC_Flags,$AH49)&amp;"",INDEX(nQ2_QC_Flags,$AH49)&amp;"",INDEX(nQ3_QC_Flags,$AH49)&amp;"",INDEX(nQ4_QC_Flags,$AH49)&amp;"",INDEX(nQ5_QC_Flags,$AH49)&amp;"",INDEX(nQ6_QC_Flags,$AH49)&amp;"",INDEX(nQ7_QC_Flags,$AH49)&amp;"",INDEX(nQ8_QC_Flags,$AH49)&amp;"",INDEX(nQ9_QC_Flags,$AH49)&amp;"",INDEX(nQ10_QC_Flags,$AH49)&amp;"",INDEX(nQ11_QC_Flags,$AH49)&amp;""))</f>
        <v/>
      </c>
      <c r="BJ49" s="1" t="str">
        <f>IF($AF49=0,"",CHOOSE($AF49,INDEX(nINT_Messages,$AH49)&amp;"",INDEX(nQ1_Messages,$AH49)&amp;"",INDEX(nQ2_Messages,$AH49)&amp;"",INDEX(nQ3_Messages,$AH49)&amp;"",INDEX(nQ4_Messages,$AH49)&amp;"",INDEX(nQ5_Messages,$AH49)&amp;"",INDEX(nQ6_Messages,$AH49)&amp;"",INDEX(nQ7_Messages,$AH49)&amp;"",INDEX(nQ8_Messages,$AH49)&amp;"",INDEX(nQ9_Messages,$AH49)&amp;"",INDEX(nQ10_Messages,$AH49)&amp;"",INDEX(nQ11_Messages,$AH49)&amp;""))</f>
        <v/>
      </c>
      <c r="BK49" s="1" t="str">
        <f>IF($AF49=0,"",CHOOSE($AF49,INDEX(nINT_Limitations,$AH49)&amp;"",INDEX(nQ1_Mandatory_Text,$AH49)&amp;"",INDEX(nQ2_Mandatory_Text,$AH49)&amp;"",INDEX(nQ3_Mandatory_Text,$AH49)&amp;"",INDEX(nQ4_Mandatory_Text,$AH49)&amp;"",INDEX(nQ5_Mandatory_Text,$AH49)&amp;"",INDEX(nQ6_Mandatory_Text,$AH49)&amp;"",INDEX(nQ7_Mandatory_Text,$AH49)&amp;"",INDEX(nQ8_Mandatory_Text,$AH49)&amp;"",INDEX(nQ9_Mandatory_Text,$AH49)&amp;"",INDEX(nQ10_Mandatory_Text,$AH49)&amp;"",INDEX(nQ11_Mandatory_Text,$AH49)&amp;""))</f>
        <v/>
      </c>
      <c r="BL49" s="1" t="str">
        <f t="shared" si="33"/>
        <v/>
      </c>
      <c r="BM49" s="1" t="str">
        <f t="shared" si="34"/>
        <v/>
      </c>
    </row>
    <row r="50" spans="1:65" x14ac:dyDescent="0.2">
      <c r="A50" s="21" t="str">
        <f t="shared" si="0"/>
        <v/>
      </c>
      <c r="B50" s="21" t="str">
        <f t="shared" si="1"/>
        <v/>
      </c>
      <c r="C50" s="21" t="str">
        <f t="shared" si="2"/>
        <v/>
      </c>
      <c r="D50" s="21" t="str">
        <f t="shared" si="3"/>
        <v/>
      </c>
      <c r="E50" s="21" t="str">
        <f t="shared" si="4"/>
        <v/>
      </c>
      <c r="F50" s="21" t="str">
        <f t="shared" si="5"/>
        <v/>
      </c>
      <c r="G50" s="21" t="str">
        <f t="shared" si="6"/>
        <v/>
      </c>
      <c r="H50" s="21" t="str">
        <f t="shared" si="7"/>
        <v/>
      </c>
      <c r="I50" s="21" t="str">
        <f t="shared" si="8"/>
        <v/>
      </c>
      <c r="J50" s="21" t="str">
        <f t="shared" si="9"/>
        <v/>
      </c>
      <c r="K50" s="21" t="str">
        <f t="shared" si="10"/>
        <v/>
      </c>
      <c r="L50" s="21" t="str">
        <f t="shared" si="11"/>
        <v/>
      </c>
      <c r="M50" s="21" t="str">
        <f t="shared" si="12"/>
        <v/>
      </c>
      <c r="N50" s="21" t="str">
        <f t="shared" si="13"/>
        <v/>
      </c>
      <c r="O50" s="21" t="str">
        <f t="shared" si="14"/>
        <v/>
      </c>
      <c r="P50" s="21" t="str">
        <f t="shared" si="15"/>
        <v/>
      </c>
      <c r="Q50" s="21" t="str">
        <f t="shared" si="16"/>
        <v/>
      </c>
      <c r="R50" s="21" t="str">
        <f t="shared" si="17"/>
        <v/>
      </c>
      <c r="S50" s="21" t="str">
        <f t="shared" si="18"/>
        <v/>
      </c>
      <c r="T50" s="21" t="str">
        <f t="shared" si="19"/>
        <v/>
      </c>
      <c r="U50" s="21" t="str">
        <f t="shared" si="20"/>
        <v/>
      </c>
      <c r="V50" s="21" t="str">
        <f t="shared" si="21"/>
        <v/>
      </c>
      <c r="W50" s="21" t="str">
        <f t="shared" si="22"/>
        <v/>
      </c>
      <c r="X50" s="21" t="str">
        <f t="shared" si="23"/>
        <v/>
      </c>
      <c r="Y50" s="21" t="str">
        <f t="shared" si="24"/>
        <v/>
      </c>
      <c r="Z50" s="21" t="str">
        <f t="shared" si="25"/>
        <v/>
      </c>
      <c r="AA50" s="21" t="str">
        <f t="shared" si="26"/>
        <v/>
      </c>
      <c r="AB50" s="21" t="str">
        <f t="shared" si="27"/>
        <v/>
      </c>
      <c r="AC50" s="21" t="str">
        <f t="shared" si="28"/>
        <v/>
      </c>
      <c r="AD50" s="21" t="str">
        <f t="shared" si="29"/>
        <v/>
      </c>
      <c r="AE50" s="1">
        <f t="shared" si="30"/>
        <v>43</v>
      </c>
      <c r="AF50" s="1">
        <f t="shared" si="31"/>
        <v>0</v>
      </c>
      <c r="AG50" s="1">
        <f t="shared" si="32"/>
        <v>0</v>
      </c>
      <c r="AH50" s="1">
        <f>IF(AF50=0,0,CHOOSE(AF50,IFERROR(_xlfn.AGGREGATE(15,6,(ROW(nINT_CaseKey)-ROW(INDEX(nINT_CaseKey,1,1))+1)/((nINT_CaseKey=$H$4)*(nINT_RowEmpty=0)),AG50),0),IFERROR(_xlfn.AGGREGATE(15,6,(ROW(nQ1_CaseKey)-ROW(INDEX(nQ1_CaseKey,1,1))+1)/((nQ1_CaseKey=$H$4)),AG50),0),IFERROR(_xlfn.AGGREGATE(15,6,(ROW(nQ2_CaseKey)-ROW(INDEX(nQ2_CaseKey,1,1))+1)/((nQ2_CaseKey=$H$4)),AG50),0),IFERROR(_xlfn.AGGREGATE(15,6,(ROW(nQ3_CaseKey)-ROW(INDEX(nQ3_CaseKey,1,1))+1)/((nQ3_CaseKey=$H$4)),AG50),0),IFERROR(_xlfn.AGGREGATE(15,6,(ROW(nQ4_CaseKey)-ROW(INDEX(nQ4_CaseKey,1,1))+1)/((nQ4_CaseKey=$H$4)),AG50),0),IFERROR(_xlfn.AGGREGATE(15,6,(ROW(nQ5_CaseKey)-ROW(INDEX(nQ5_CaseKey,1,1))+1)/((nQ5_CaseKey=$H$4)),AG50),0),IFERROR(_xlfn.AGGREGATE(15,6,(ROW(nQ6_CaseKey)-ROW(INDEX(nQ6_CaseKey,1,1))+1)/((nQ6_CaseKey=$H$4)),AG50),0),IFERROR(_xlfn.AGGREGATE(15,6,(ROW(nQ7_CaseKey)-ROW(INDEX(nQ7_CaseKey,1,1))+1)/((nQ7_CaseKey=$H$4)),AG50),0),IFERROR(_xlfn.AGGREGATE(15,6,(ROW(nQ8_CaseKey)-ROW(INDEX(nQ8_CaseKey,1,1))+1)/((nQ8_CaseKey=$H$4)),AG50),0),IFERROR(_xlfn.AGGREGATE(15,6,(ROW(nQ9_CaseKey)-ROW(INDEX(nQ9_CaseKey,1,1))+1)/((nQ9_CaseKey=$H$4)),AG50),0),IFERROR(_xlfn.AGGREGATE(15,6,(ROW(nQ10_CaseKey)-ROW(INDEX(nQ10_CaseKey,1,1))+1)/((nQ10_CaseKey=$H$4)),AG50),0),IFERROR(_xlfn.AGGREGATE(15,6,(ROW(nQ11_CaseKey)-ROW(INDEX(nQ11_CaseKey,1,1))+1)/((nQ11_CaseKey=$H$4)),AG50),0)))</f>
        <v>0</v>
      </c>
      <c r="AJ50" s="1" t="str">
        <f>IF($AF50=0,"",CHOOSE($AF50,INDEX(nINT_Case_ID,$AH50)&amp;"",INDEX(nQ1_Case_ID,$AH50)&amp;"",INDEX(nQ2_Case_ID,$AH50)&amp;"",INDEX(nQ3_Case_ID,$AH50)&amp;"",INDEX(nQ4_Case_ID,$AH50)&amp;"",INDEX(nQ5_Case_ID,$AH50)&amp;"",INDEX(nQ6_Case_ID,$AH50)&amp;"",INDEX(nQ7_Case_ID,$AH50)&amp;"",INDEX(nQ8_Case_ID,$AH50)&amp;"",INDEX(nQ9_Case_ID,$AH50)&amp;"",INDEX(nQ10_Case_ID,$AH50)&amp;"",INDEX(nQ11_Case_ID,$AH50)&amp;""))</f>
        <v/>
      </c>
      <c r="AK50" s="1" t="str">
        <f>IF($AF50=0,"",CHOOSE($AF50,INDEX(nINT_Case_Version,$AH50),INDEX(nQ1_Case_Version,$AH50),INDEX(nQ2_Case_Version,$AH50),INDEX(nQ3_Case_Version,$AH50),INDEX(nQ4_Case_Version,$AH50),INDEX(nQ5_Case_Version,$AH50),INDEX(nQ6_Case_Version,$AH50),INDEX(nQ7_Case_Version,$AH50),INDEX(nQ8_Case_Version,$AH50),INDEX(nQ9_Case_Version,$AH50),INDEX(nQ10_Case_Version,$AH50),INDEX(nQ11_Case_Version,$AH50)))</f>
        <v/>
      </c>
      <c r="AL50" s="1" t="str">
        <f>IF($AF50=0,"",CHOOSE($AF50,INDEX(nINT_Interval_ID,$AH50)&amp;"",INDEX(nQ1_Calc_ID,$AH50)&amp;"",INDEX(nQ2_Calc_ID,$AH50)&amp;"",INDEX(nQ3_Calc_ID,$AH50)&amp;"",INDEX(nQ4_Calc_ID,$AH50)&amp;"",INDEX(nQ5_Calc_ID,$AH50)&amp;"",INDEX(nQ6_Calc_ID,$AH50)&amp;"",INDEX(nQ7_Calc_ID,$AH50)&amp;"",INDEX(nQ8_Calc_ID,$AH50)&amp;"",INDEX(nQ9_Calc_ID,$AH50)&amp;"",INDEX(nQ10_Calc_ID,$AH50)&amp;"",INDEX(nQ11_Calc_ID,$AH50)&amp;""))</f>
        <v/>
      </c>
      <c r="AM50" s="1" t="str">
        <f>IF($AF50=0,"",CHOOSE($AF50,INDEX(nINT_Label,$AH50)&amp;"",INDEX(nQ1_Label_Out,$AH50)&amp;"",INDEX(nQ2_Label_Out,$AH50)&amp;"",INDEX(nQ3_Label_Out,$AH50)&amp;"",INDEX(nQ4_Label_Out,$AH50)&amp;"",INDEX(nQ5_Label_Out,$AH50)&amp;"",INDEX(nQ6_Label_Out,$AH50)&amp;"",INDEX(nQ7_Label_Out,$AH50)&amp;"",INDEX(nQ8_Label_Out,$AH50)&amp;"",INDEX(nQ9_Label_Out,$AH50)&amp;"",INDEX(nQ10_Label_Out,$AH50)&amp;"",INDEX(nQ11_Label_Out,$AH50)&amp;""))</f>
        <v/>
      </c>
      <c r="AN50" s="1" t="str">
        <f>IF($AF50=0,"",CHOOSE($AF50,IF(INDEX(nINT_LinkRow,$AH50)=0,"",INDEX(nINT_Link_ID,$AH50)&amp;""),"","","","","","","","","","",""))</f>
        <v/>
      </c>
      <c r="AO50" s="1" t="str">
        <f>IF($AF50=0,"",CHOOSE($AF50,INDEX(nINT_Exposure_Episode_ID,$AH50)&amp;"","","","","","","","","","","",""))</f>
        <v/>
      </c>
      <c r="AP50" s="1" t="str">
        <f>IF($AF50=0,"",CHOOSE($AF50,INDEX(nINT_Event_Episode_ID,$AH50)&amp;"","","","","","","","","","","",""))</f>
        <v/>
      </c>
      <c r="AQ50" s="1" t="str">
        <f>IF($AF50=0,"",CHOOSE($AF50,INDEX(nINT_End_Record_ID_Used,$AH50)&amp;"","","","","","","","","","","",""))</f>
        <v/>
      </c>
      <c r="AR50" s="1" t="str">
        <f>IF($AF50=0,"",CHOOSE($AF50,INDEX(nINT_Interval_Value,$AH50),"","","","","","","","","","",""))</f>
        <v/>
      </c>
      <c r="AS50" s="1" t="str">
        <f>IF($AF50=0,"",CHOOSE($AF50,INDEX(nINT_Interval_Minimum,$AH50),"","","","","","","","","","",""))</f>
        <v/>
      </c>
      <c r="AT50" s="1" t="str">
        <f>IF($AF50=0,"",CHOOSE($AF50,INDEX(nINT_Interval_Maximum,$AH50),"","","","","","","","","","",""))</f>
        <v/>
      </c>
      <c r="AU50" s="1" t="str">
        <f>IF($AF50=0,"",CHOOSE($AF50,INDEX(nINT_Unit,$AH50)&amp;"",INDEX(nQ1_Unit_Out,$AH50)&amp;"",INDEX(nQ2_Unit_Out,$AH50)&amp;"",INDEX(nQ3_Unit_Out,$AH50)&amp;"",INDEX(nQ4_Unit_Out,$AH50)&amp;"",INDEX(nQ5_Unit_Out,$AH50)&amp;"",INDEX(nQ6_Unit_Out,$AH50)&amp;"",INDEX(nQ7_Unit_Out,$AH50)&amp;"",INDEX(nQ8_Unit_Out,$AH50)&amp;"",INDEX(nQ9_Unit_Out,$AH50)&amp;"",INDEX(nQ10_Unit_Out,$AH50)&amp;"",INDEX(nQ11_Unit_Out,$AH50)&amp;""))</f>
        <v/>
      </c>
      <c r="AV50" s="1" t="str">
        <f>IF($AF50=0,"",CHOOSE($AF50,INDEX(nINT_Displayed_Value,$AH50)&amp;"",INDEX(nQ1_Displayed_Value,$AH50)&amp;"",INDEX(nQ2_Displayed_Value,$AH50)&amp;"",INDEX(nQ3_Displayed_Value,$AH50)&amp;"",INDEX(nQ4_Displayed_Value,$AH50)&amp;"",INDEX(nQ5_Displayed_Value,$AH50)&amp;"",INDEX(nQ6_Displayed_Value,$AH50)&amp;"",INDEX(nQ7_Displayed_Value,$AH50)&amp;"",INDEX(nQ8_Displayed_Value,$AH50)&amp;"",INDEX(nQ9_Displayed_Value,$AH50)&amp;"",INDEX(nQ10_Displayed_Value,$AH50)&amp;"",INDEX(nQ11_Displayed_Value,$AH50)&amp;""))</f>
        <v/>
      </c>
      <c r="AW50" s="1" t="str">
        <f>IF($AF50=0,"",CHOOSE($AF50,INDEX(nINT_Calculation_Mode_Used,$AH50)&amp;"","Q1","Q2","Q3","Q4","Q5","Q6","Q7","Q8","Q9","Q10","Q11"))</f>
        <v/>
      </c>
      <c r="AX50" s="1" t="str">
        <f>IF($AF50=0,"",CHOOSE($AF50,INDEX(nINT_Anchor_Type,$AH50)&amp;"","","","","","","","","","","",""))</f>
        <v/>
      </c>
      <c r="AY50" s="1" t="str">
        <f>IF($AF50=0,"",CHOOSE($AF50,IF(INDEX(nINT_K_Ok,$AH50)=1,INDEX(nINT_Anchor_Record_ID_Used,$AH50)&amp;"",""),"","","","","","","","","","",""))</f>
        <v/>
      </c>
      <c r="AZ50" s="1" t="str">
        <f>IF($AF50=0,"",CHOOSE($AF50,INDEX(nINT_Anchor_Description,$AH50)&amp;"","","","","","","","","","","",""))</f>
        <v/>
      </c>
      <c r="BA50" s="1" t="str">
        <f>IF($AF50=0,"",CHOOSE($AF50,INDEX(nINT_Sequence_Status,$AH50)&amp;"","","","","","","","","","","",""))</f>
        <v/>
      </c>
      <c r="BB50" s="1" t="str">
        <f>IF($AF50=0,"",CHOOSE($AF50,INDEX(nINT_Treatment_Day,$AH50),"","","","","","","","","","",""))</f>
        <v/>
      </c>
      <c r="BC50" s="1" t="str">
        <f>IF($AF50=0,"",CHOOSE($AF50,INDEX(nINT_Reported_Timing_Result,$AH50)&amp;"","","","","","","","","","","",""))</f>
        <v/>
      </c>
      <c r="BD50" s="1" t="str">
        <f>IF($AF50=0,"",CHOOSE($AF50,IF(INDEX(nINT_K_HasC,$AH50)=1,INDEX(nINT_Constraint_Source,$AH50)&amp;"",""),"","","","","","","","","","",""))</f>
        <v/>
      </c>
      <c r="BE50" s="1" t="str">
        <f>IF($AF50=0,"",CHOOSE($AF50,"",INDEX(nQ1_Results_Text,$AH50)&amp;"",INDEX(nQ2_Results_Text,$AH50)&amp;"",INDEX(nQ3_Results_Text,$AH50)&amp;"",INDEX(nQ4_Results_Text,$AH50)&amp;"",INDEX(nQ5_Results_Text,$AH50)&amp;"",INDEX(nQ6_Results_Text,$AH50)&amp;"",INDEX(nQ7_Results_Text,$AH50)&amp;"",INDEX(nQ8_Results_Text,$AH50)&amp;"",INDEX(nQ9_Results_Text,$AH50)&amp;"",INDEX(nQ10_Results_Text,$AH50)&amp;"",INDEX(nQ11_Results_Text,$AH50)&amp;""))</f>
        <v/>
      </c>
      <c r="BF50" s="1" t="str">
        <f>IF($AF50=0,"",CHOOSE($AF50,INDEX(nINT_Parameter_Set,$AH50)&amp;"",INDEX(nQ1_Parameter_Set,$AH50)&amp;"",INDEX(nQ2_Parameter_Set,$AH50)&amp;"",INDEX(nQ3_Parameter_Set,$AH50)&amp;"",INDEX(nQ4_Parameter_Set,$AH50)&amp;"",INDEX(nQ5_Parameter_Set,$AH50)&amp;"",INDEX(nQ6_Parameter_Set,$AH50)&amp;"",INDEX(nQ7_Parameter_Set,$AH50)&amp;"",INDEX(nQ8_Parameter_Set,$AH50)&amp;"",INDEX(nQ9_Parameter_Set,$AH50)&amp;"",INDEX(nQ10_Parameter_Set,$AH50)&amp;"",INDEX(nQ11_Parameter_Set,$AH50)&amp;""))</f>
        <v/>
      </c>
      <c r="BG50" s="1" t="str">
        <f>IF($AF50=0,"",CHOOSE($AF50,INDEX(nINT_Assumptions,$AH50)&amp;"",INDEX(nQ1_Assumptions,$AH50)&amp;"",INDEX(nQ2_Assumptions,$AH50)&amp;"",INDEX(nQ3_Assumptions,$AH50)&amp;"",INDEX(nQ4_Assumptions,$AH50)&amp;"",INDEX(nQ5_Assumptions,$AH50)&amp;"",INDEX(nQ6_Assumptions,$AH50)&amp;"",INDEX(nQ7_Assumptions,$AH50)&amp;"",INDEX(nQ8_Assumptions,$AH50)&amp;"",INDEX(nQ9_Assumptions,$AH50)&amp;"",INDEX(nQ10_Assumptions,$AH50)&amp;"",INDEX(nQ11_Assumptions,$AH50)&amp;""))</f>
        <v/>
      </c>
      <c r="BH50" s="1" t="str">
        <f>IF($AF50=0,"",CHOOSE($AF50,INDEX(nINT_Calculation_Version,$AH50)&amp;"",INDEX(nQ1_Calculation_Version,$AH50)&amp;"",INDEX(nQ2_Calculation_Version,$AH50)&amp;"",INDEX(nQ3_Calculation_Version,$AH50)&amp;"",INDEX(nQ4_Calculation_Version,$AH50)&amp;"",INDEX(nQ5_Calculation_Version,$AH50)&amp;"",INDEX(nQ6_Calculation_Version,$AH50)&amp;"",INDEX(nQ7_Calculation_Version,$AH50)&amp;"",INDEX(nQ8_Calculation_Version,$AH50)&amp;"",INDEX(nQ9_Calculation_Version,$AH50)&amp;"",INDEX(nQ10_Calculation_Version,$AH50)&amp;"",INDEX(nQ11_Calculation_Version,$AH50)&amp;""))</f>
        <v/>
      </c>
      <c r="BI50" s="1" t="str">
        <f>IF($AF50=0,"",CHOOSE($AF50,INDEX(nINT_QC_Flags,$AH50)&amp;"",INDEX(nQ1_QC_Flags,$AH50)&amp;"",INDEX(nQ2_QC_Flags,$AH50)&amp;"",INDEX(nQ3_QC_Flags,$AH50)&amp;"",INDEX(nQ4_QC_Flags,$AH50)&amp;"",INDEX(nQ5_QC_Flags,$AH50)&amp;"",INDEX(nQ6_QC_Flags,$AH50)&amp;"",INDEX(nQ7_QC_Flags,$AH50)&amp;"",INDEX(nQ8_QC_Flags,$AH50)&amp;"",INDEX(nQ9_QC_Flags,$AH50)&amp;"",INDEX(nQ10_QC_Flags,$AH50)&amp;"",INDEX(nQ11_QC_Flags,$AH50)&amp;""))</f>
        <v/>
      </c>
      <c r="BJ50" s="1" t="str">
        <f>IF($AF50=0,"",CHOOSE($AF50,INDEX(nINT_Messages,$AH50)&amp;"",INDEX(nQ1_Messages,$AH50)&amp;"",INDEX(nQ2_Messages,$AH50)&amp;"",INDEX(nQ3_Messages,$AH50)&amp;"",INDEX(nQ4_Messages,$AH50)&amp;"",INDEX(nQ5_Messages,$AH50)&amp;"",INDEX(nQ6_Messages,$AH50)&amp;"",INDEX(nQ7_Messages,$AH50)&amp;"",INDEX(nQ8_Messages,$AH50)&amp;"",INDEX(nQ9_Messages,$AH50)&amp;"",INDEX(nQ10_Messages,$AH50)&amp;"",INDEX(nQ11_Messages,$AH50)&amp;""))</f>
        <v/>
      </c>
      <c r="BK50" s="1" t="str">
        <f>IF($AF50=0,"",CHOOSE($AF50,INDEX(nINT_Limitations,$AH50)&amp;"",INDEX(nQ1_Mandatory_Text,$AH50)&amp;"",INDEX(nQ2_Mandatory_Text,$AH50)&amp;"",INDEX(nQ3_Mandatory_Text,$AH50)&amp;"",INDEX(nQ4_Mandatory_Text,$AH50)&amp;"",INDEX(nQ5_Mandatory_Text,$AH50)&amp;"",INDEX(nQ6_Mandatory_Text,$AH50)&amp;"",INDEX(nQ7_Mandatory_Text,$AH50)&amp;"",INDEX(nQ8_Mandatory_Text,$AH50)&amp;"",INDEX(nQ9_Mandatory_Text,$AH50)&amp;"",INDEX(nQ10_Mandatory_Text,$AH50)&amp;"",INDEX(nQ11_Mandatory_Text,$AH50)&amp;""))</f>
        <v/>
      </c>
      <c r="BL50" s="1" t="str">
        <f t="shared" si="33"/>
        <v/>
      </c>
      <c r="BM50" s="1" t="str">
        <f t="shared" si="34"/>
        <v/>
      </c>
    </row>
    <row r="51" spans="1:65" x14ac:dyDescent="0.2">
      <c r="A51" s="21" t="str">
        <f t="shared" si="0"/>
        <v/>
      </c>
      <c r="B51" s="21" t="str">
        <f t="shared" si="1"/>
        <v/>
      </c>
      <c r="C51" s="21" t="str">
        <f t="shared" si="2"/>
        <v/>
      </c>
      <c r="D51" s="21" t="str">
        <f t="shared" si="3"/>
        <v/>
      </c>
      <c r="E51" s="21" t="str">
        <f t="shared" si="4"/>
        <v/>
      </c>
      <c r="F51" s="21" t="str">
        <f t="shared" si="5"/>
        <v/>
      </c>
      <c r="G51" s="21" t="str">
        <f t="shared" si="6"/>
        <v/>
      </c>
      <c r="H51" s="21" t="str">
        <f t="shared" si="7"/>
        <v/>
      </c>
      <c r="I51" s="21" t="str">
        <f t="shared" si="8"/>
        <v/>
      </c>
      <c r="J51" s="21" t="str">
        <f t="shared" si="9"/>
        <v/>
      </c>
      <c r="K51" s="21" t="str">
        <f t="shared" si="10"/>
        <v/>
      </c>
      <c r="L51" s="21" t="str">
        <f t="shared" si="11"/>
        <v/>
      </c>
      <c r="M51" s="21" t="str">
        <f t="shared" si="12"/>
        <v/>
      </c>
      <c r="N51" s="21" t="str">
        <f t="shared" si="13"/>
        <v/>
      </c>
      <c r="O51" s="21" t="str">
        <f t="shared" si="14"/>
        <v/>
      </c>
      <c r="P51" s="21" t="str">
        <f t="shared" si="15"/>
        <v/>
      </c>
      <c r="Q51" s="21" t="str">
        <f t="shared" si="16"/>
        <v/>
      </c>
      <c r="R51" s="21" t="str">
        <f t="shared" si="17"/>
        <v/>
      </c>
      <c r="S51" s="21" t="str">
        <f t="shared" si="18"/>
        <v/>
      </c>
      <c r="T51" s="21" t="str">
        <f t="shared" si="19"/>
        <v/>
      </c>
      <c r="U51" s="21" t="str">
        <f t="shared" si="20"/>
        <v/>
      </c>
      <c r="V51" s="21" t="str">
        <f t="shared" si="21"/>
        <v/>
      </c>
      <c r="W51" s="21" t="str">
        <f t="shared" si="22"/>
        <v/>
      </c>
      <c r="X51" s="21" t="str">
        <f t="shared" si="23"/>
        <v/>
      </c>
      <c r="Y51" s="21" t="str">
        <f t="shared" si="24"/>
        <v/>
      </c>
      <c r="Z51" s="21" t="str">
        <f t="shared" si="25"/>
        <v/>
      </c>
      <c r="AA51" s="21" t="str">
        <f t="shared" si="26"/>
        <v/>
      </c>
      <c r="AB51" s="21" t="str">
        <f t="shared" si="27"/>
        <v/>
      </c>
      <c r="AC51" s="21" t="str">
        <f t="shared" si="28"/>
        <v/>
      </c>
      <c r="AD51" s="21" t="str">
        <f t="shared" si="29"/>
        <v/>
      </c>
      <c r="AE51" s="1">
        <f t="shared" si="30"/>
        <v>44</v>
      </c>
      <c r="AF51" s="1">
        <f t="shared" si="31"/>
        <v>0</v>
      </c>
      <c r="AG51" s="1">
        <f t="shared" si="32"/>
        <v>0</v>
      </c>
      <c r="AH51" s="1">
        <f>IF(AF51=0,0,CHOOSE(AF51,IFERROR(_xlfn.AGGREGATE(15,6,(ROW(nINT_CaseKey)-ROW(INDEX(nINT_CaseKey,1,1))+1)/((nINT_CaseKey=$H$4)*(nINT_RowEmpty=0)),AG51),0),IFERROR(_xlfn.AGGREGATE(15,6,(ROW(nQ1_CaseKey)-ROW(INDEX(nQ1_CaseKey,1,1))+1)/((nQ1_CaseKey=$H$4)),AG51),0),IFERROR(_xlfn.AGGREGATE(15,6,(ROW(nQ2_CaseKey)-ROW(INDEX(nQ2_CaseKey,1,1))+1)/((nQ2_CaseKey=$H$4)),AG51),0),IFERROR(_xlfn.AGGREGATE(15,6,(ROW(nQ3_CaseKey)-ROW(INDEX(nQ3_CaseKey,1,1))+1)/((nQ3_CaseKey=$H$4)),AG51),0),IFERROR(_xlfn.AGGREGATE(15,6,(ROW(nQ4_CaseKey)-ROW(INDEX(nQ4_CaseKey,1,1))+1)/((nQ4_CaseKey=$H$4)),AG51),0),IFERROR(_xlfn.AGGREGATE(15,6,(ROW(nQ5_CaseKey)-ROW(INDEX(nQ5_CaseKey,1,1))+1)/((nQ5_CaseKey=$H$4)),AG51),0),IFERROR(_xlfn.AGGREGATE(15,6,(ROW(nQ6_CaseKey)-ROW(INDEX(nQ6_CaseKey,1,1))+1)/((nQ6_CaseKey=$H$4)),AG51),0),IFERROR(_xlfn.AGGREGATE(15,6,(ROW(nQ7_CaseKey)-ROW(INDEX(nQ7_CaseKey,1,1))+1)/((nQ7_CaseKey=$H$4)),AG51),0),IFERROR(_xlfn.AGGREGATE(15,6,(ROW(nQ8_CaseKey)-ROW(INDEX(nQ8_CaseKey,1,1))+1)/((nQ8_CaseKey=$H$4)),AG51),0),IFERROR(_xlfn.AGGREGATE(15,6,(ROW(nQ9_CaseKey)-ROW(INDEX(nQ9_CaseKey,1,1))+1)/((nQ9_CaseKey=$H$4)),AG51),0),IFERROR(_xlfn.AGGREGATE(15,6,(ROW(nQ10_CaseKey)-ROW(INDEX(nQ10_CaseKey,1,1))+1)/((nQ10_CaseKey=$H$4)),AG51),0),IFERROR(_xlfn.AGGREGATE(15,6,(ROW(nQ11_CaseKey)-ROW(INDEX(nQ11_CaseKey,1,1))+1)/((nQ11_CaseKey=$H$4)),AG51),0)))</f>
        <v>0</v>
      </c>
      <c r="AJ51" s="1" t="str">
        <f>IF($AF51=0,"",CHOOSE($AF51,INDEX(nINT_Case_ID,$AH51)&amp;"",INDEX(nQ1_Case_ID,$AH51)&amp;"",INDEX(nQ2_Case_ID,$AH51)&amp;"",INDEX(nQ3_Case_ID,$AH51)&amp;"",INDEX(nQ4_Case_ID,$AH51)&amp;"",INDEX(nQ5_Case_ID,$AH51)&amp;"",INDEX(nQ6_Case_ID,$AH51)&amp;"",INDEX(nQ7_Case_ID,$AH51)&amp;"",INDEX(nQ8_Case_ID,$AH51)&amp;"",INDEX(nQ9_Case_ID,$AH51)&amp;"",INDEX(nQ10_Case_ID,$AH51)&amp;"",INDEX(nQ11_Case_ID,$AH51)&amp;""))</f>
        <v/>
      </c>
      <c r="AK51" s="1" t="str">
        <f>IF($AF51=0,"",CHOOSE($AF51,INDEX(nINT_Case_Version,$AH51),INDEX(nQ1_Case_Version,$AH51),INDEX(nQ2_Case_Version,$AH51),INDEX(nQ3_Case_Version,$AH51),INDEX(nQ4_Case_Version,$AH51),INDEX(nQ5_Case_Version,$AH51),INDEX(nQ6_Case_Version,$AH51),INDEX(nQ7_Case_Version,$AH51),INDEX(nQ8_Case_Version,$AH51),INDEX(nQ9_Case_Version,$AH51),INDEX(nQ10_Case_Version,$AH51),INDEX(nQ11_Case_Version,$AH51)))</f>
        <v/>
      </c>
      <c r="AL51" s="1" t="str">
        <f>IF($AF51=0,"",CHOOSE($AF51,INDEX(nINT_Interval_ID,$AH51)&amp;"",INDEX(nQ1_Calc_ID,$AH51)&amp;"",INDEX(nQ2_Calc_ID,$AH51)&amp;"",INDEX(nQ3_Calc_ID,$AH51)&amp;"",INDEX(nQ4_Calc_ID,$AH51)&amp;"",INDEX(nQ5_Calc_ID,$AH51)&amp;"",INDEX(nQ6_Calc_ID,$AH51)&amp;"",INDEX(nQ7_Calc_ID,$AH51)&amp;"",INDEX(nQ8_Calc_ID,$AH51)&amp;"",INDEX(nQ9_Calc_ID,$AH51)&amp;"",INDEX(nQ10_Calc_ID,$AH51)&amp;"",INDEX(nQ11_Calc_ID,$AH51)&amp;""))</f>
        <v/>
      </c>
      <c r="AM51" s="1" t="str">
        <f>IF($AF51=0,"",CHOOSE($AF51,INDEX(nINT_Label,$AH51)&amp;"",INDEX(nQ1_Label_Out,$AH51)&amp;"",INDEX(nQ2_Label_Out,$AH51)&amp;"",INDEX(nQ3_Label_Out,$AH51)&amp;"",INDEX(nQ4_Label_Out,$AH51)&amp;"",INDEX(nQ5_Label_Out,$AH51)&amp;"",INDEX(nQ6_Label_Out,$AH51)&amp;"",INDEX(nQ7_Label_Out,$AH51)&amp;"",INDEX(nQ8_Label_Out,$AH51)&amp;"",INDEX(nQ9_Label_Out,$AH51)&amp;"",INDEX(nQ10_Label_Out,$AH51)&amp;"",INDEX(nQ11_Label_Out,$AH51)&amp;""))</f>
        <v/>
      </c>
      <c r="AN51" s="1" t="str">
        <f>IF($AF51=0,"",CHOOSE($AF51,IF(INDEX(nINT_LinkRow,$AH51)=0,"",INDEX(nINT_Link_ID,$AH51)&amp;""),"","","","","","","","","","",""))</f>
        <v/>
      </c>
      <c r="AO51" s="1" t="str">
        <f>IF($AF51=0,"",CHOOSE($AF51,INDEX(nINT_Exposure_Episode_ID,$AH51)&amp;"","","","","","","","","","","",""))</f>
        <v/>
      </c>
      <c r="AP51" s="1" t="str">
        <f>IF($AF51=0,"",CHOOSE($AF51,INDEX(nINT_Event_Episode_ID,$AH51)&amp;"","","","","","","","","","","",""))</f>
        <v/>
      </c>
      <c r="AQ51" s="1" t="str">
        <f>IF($AF51=0,"",CHOOSE($AF51,INDEX(nINT_End_Record_ID_Used,$AH51)&amp;"","","","","","","","","","","",""))</f>
        <v/>
      </c>
      <c r="AR51" s="1" t="str">
        <f>IF($AF51=0,"",CHOOSE($AF51,INDEX(nINT_Interval_Value,$AH51),"","","","","","","","","","",""))</f>
        <v/>
      </c>
      <c r="AS51" s="1" t="str">
        <f>IF($AF51=0,"",CHOOSE($AF51,INDEX(nINT_Interval_Minimum,$AH51),"","","","","","","","","","",""))</f>
        <v/>
      </c>
      <c r="AT51" s="1" t="str">
        <f>IF($AF51=0,"",CHOOSE($AF51,INDEX(nINT_Interval_Maximum,$AH51),"","","","","","","","","","",""))</f>
        <v/>
      </c>
      <c r="AU51" s="1" t="str">
        <f>IF($AF51=0,"",CHOOSE($AF51,INDEX(nINT_Unit,$AH51)&amp;"",INDEX(nQ1_Unit_Out,$AH51)&amp;"",INDEX(nQ2_Unit_Out,$AH51)&amp;"",INDEX(nQ3_Unit_Out,$AH51)&amp;"",INDEX(nQ4_Unit_Out,$AH51)&amp;"",INDEX(nQ5_Unit_Out,$AH51)&amp;"",INDEX(nQ6_Unit_Out,$AH51)&amp;"",INDEX(nQ7_Unit_Out,$AH51)&amp;"",INDEX(nQ8_Unit_Out,$AH51)&amp;"",INDEX(nQ9_Unit_Out,$AH51)&amp;"",INDEX(nQ10_Unit_Out,$AH51)&amp;"",INDEX(nQ11_Unit_Out,$AH51)&amp;""))</f>
        <v/>
      </c>
      <c r="AV51" s="1" t="str">
        <f>IF($AF51=0,"",CHOOSE($AF51,INDEX(nINT_Displayed_Value,$AH51)&amp;"",INDEX(nQ1_Displayed_Value,$AH51)&amp;"",INDEX(nQ2_Displayed_Value,$AH51)&amp;"",INDEX(nQ3_Displayed_Value,$AH51)&amp;"",INDEX(nQ4_Displayed_Value,$AH51)&amp;"",INDEX(nQ5_Displayed_Value,$AH51)&amp;"",INDEX(nQ6_Displayed_Value,$AH51)&amp;"",INDEX(nQ7_Displayed_Value,$AH51)&amp;"",INDEX(nQ8_Displayed_Value,$AH51)&amp;"",INDEX(nQ9_Displayed_Value,$AH51)&amp;"",INDEX(nQ10_Displayed_Value,$AH51)&amp;"",INDEX(nQ11_Displayed_Value,$AH51)&amp;""))</f>
        <v/>
      </c>
      <c r="AW51" s="1" t="str">
        <f>IF($AF51=0,"",CHOOSE($AF51,INDEX(nINT_Calculation_Mode_Used,$AH51)&amp;"","Q1","Q2","Q3","Q4","Q5","Q6","Q7","Q8","Q9","Q10","Q11"))</f>
        <v/>
      </c>
      <c r="AX51" s="1" t="str">
        <f>IF($AF51=0,"",CHOOSE($AF51,INDEX(nINT_Anchor_Type,$AH51)&amp;"","","","","","","","","","","",""))</f>
        <v/>
      </c>
      <c r="AY51" s="1" t="str">
        <f>IF($AF51=0,"",CHOOSE($AF51,IF(INDEX(nINT_K_Ok,$AH51)=1,INDEX(nINT_Anchor_Record_ID_Used,$AH51)&amp;"",""),"","","","","","","","","","",""))</f>
        <v/>
      </c>
      <c r="AZ51" s="1" t="str">
        <f>IF($AF51=0,"",CHOOSE($AF51,INDEX(nINT_Anchor_Description,$AH51)&amp;"","","","","","","","","","","",""))</f>
        <v/>
      </c>
      <c r="BA51" s="1" t="str">
        <f>IF($AF51=0,"",CHOOSE($AF51,INDEX(nINT_Sequence_Status,$AH51)&amp;"","","","","","","","","","","",""))</f>
        <v/>
      </c>
      <c r="BB51" s="1" t="str">
        <f>IF($AF51=0,"",CHOOSE($AF51,INDEX(nINT_Treatment_Day,$AH51),"","","","","","","","","","",""))</f>
        <v/>
      </c>
      <c r="BC51" s="1" t="str">
        <f>IF($AF51=0,"",CHOOSE($AF51,INDEX(nINT_Reported_Timing_Result,$AH51)&amp;"","","","","","","","","","","",""))</f>
        <v/>
      </c>
      <c r="BD51" s="1" t="str">
        <f>IF($AF51=0,"",CHOOSE($AF51,IF(INDEX(nINT_K_HasC,$AH51)=1,INDEX(nINT_Constraint_Source,$AH51)&amp;"",""),"","","","","","","","","","",""))</f>
        <v/>
      </c>
      <c r="BE51" s="1" t="str">
        <f>IF($AF51=0,"",CHOOSE($AF51,"",INDEX(nQ1_Results_Text,$AH51)&amp;"",INDEX(nQ2_Results_Text,$AH51)&amp;"",INDEX(nQ3_Results_Text,$AH51)&amp;"",INDEX(nQ4_Results_Text,$AH51)&amp;"",INDEX(nQ5_Results_Text,$AH51)&amp;"",INDEX(nQ6_Results_Text,$AH51)&amp;"",INDEX(nQ7_Results_Text,$AH51)&amp;"",INDEX(nQ8_Results_Text,$AH51)&amp;"",INDEX(nQ9_Results_Text,$AH51)&amp;"",INDEX(nQ10_Results_Text,$AH51)&amp;"",INDEX(nQ11_Results_Text,$AH51)&amp;""))</f>
        <v/>
      </c>
      <c r="BF51" s="1" t="str">
        <f>IF($AF51=0,"",CHOOSE($AF51,INDEX(nINT_Parameter_Set,$AH51)&amp;"",INDEX(nQ1_Parameter_Set,$AH51)&amp;"",INDEX(nQ2_Parameter_Set,$AH51)&amp;"",INDEX(nQ3_Parameter_Set,$AH51)&amp;"",INDEX(nQ4_Parameter_Set,$AH51)&amp;"",INDEX(nQ5_Parameter_Set,$AH51)&amp;"",INDEX(nQ6_Parameter_Set,$AH51)&amp;"",INDEX(nQ7_Parameter_Set,$AH51)&amp;"",INDEX(nQ8_Parameter_Set,$AH51)&amp;"",INDEX(nQ9_Parameter_Set,$AH51)&amp;"",INDEX(nQ10_Parameter_Set,$AH51)&amp;"",INDEX(nQ11_Parameter_Set,$AH51)&amp;""))</f>
        <v/>
      </c>
      <c r="BG51" s="1" t="str">
        <f>IF($AF51=0,"",CHOOSE($AF51,INDEX(nINT_Assumptions,$AH51)&amp;"",INDEX(nQ1_Assumptions,$AH51)&amp;"",INDEX(nQ2_Assumptions,$AH51)&amp;"",INDEX(nQ3_Assumptions,$AH51)&amp;"",INDEX(nQ4_Assumptions,$AH51)&amp;"",INDEX(nQ5_Assumptions,$AH51)&amp;"",INDEX(nQ6_Assumptions,$AH51)&amp;"",INDEX(nQ7_Assumptions,$AH51)&amp;"",INDEX(nQ8_Assumptions,$AH51)&amp;"",INDEX(nQ9_Assumptions,$AH51)&amp;"",INDEX(nQ10_Assumptions,$AH51)&amp;"",INDEX(nQ11_Assumptions,$AH51)&amp;""))</f>
        <v/>
      </c>
      <c r="BH51" s="1" t="str">
        <f>IF($AF51=0,"",CHOOSE($AF51,INDEX(nINT_Calculation_Version,$AH51)&amp;"",INDEX(nQ1_Calculation_Version,$AH51)&amp;"",INDEX(nQ2_Calculation_Version,$AH51)&amp;"",INDEX(nQ3_Calculation_Version,$AH51)&amp;"",INDEX(nQ4_Calculation_Version,$AH51)&amp;"",INDEX(nQ5_Calculation_Version,$AH51)&amp;"",INDEX(nQ6_Calculation_Version,$AH51)&amp;"",INDEX(nQ7_Calculation_Version,$AH51)&amp;"",INDEX(nQ8_Calculation_Version,$AH51)&amp;"",INDEX(nQ9_Calculation_Version,$AH51)&amp;"",INDEX(nQ10_Calculation_Version,$AH51)&amp;"",INDEX(nQ11_Calculation_Version,$AH51)&amp;""))</f>
        <v/>
      </c>
      <c r="BI51" s="1" t="str">
        <f>IF($AF51=0,"",CHOOSE($AF51,INDEX(nINT_QC_Flags,$AH51)&amp;"",INDEX(nQ1_QC_Flags,$AH51)&amp;"",INDEX(nQ2_QC_Flags,$AH51)&amp;"",INDEX(nQ3_QC_Flags,$AH51)&amp;"",INDEX(nQ4_QC_Flags,$AH51)&amp;"",INDEX(nQ5_QC_Flags,$AH51)&amp;"",INDEX(nQ6_QC_Flags,$AH51)&amp;"",INDEX(nQ7_QC_Flags,$AH51)&amp;"",INDEX(nQ8_QC_Flags,$AH51)&amp;"",INDEX(nQ9_QC_Flags,$AH51)&amp;"",INDEX(nQ10_QC_Flags,$AH51)&amp;"",INDEX(nQ11_QC_Flags,$AH51)&amp;""))</f>
        <v/>
      </c>
      <c r="BJ51" s="1" t="str">
        <f>IF($AF51=0,"",CHOOSE($AF51,INDEX(nINT_Messages,$AH51)&amp;"",INDEX(nQ1_Messages,$AH51)&amp;"",INDEX(nQ2_Messages,$AH51)&amp;"",INDEX(nQ3_Messages,$AH51)&amp;"",INDEX(nQ4_Messages,$AH51)&amp;"",INDEX(nQ5_Messages,$AH51)&amp;"",INDEX(nQ6_Messages,$AH51)&amp;"",INDEX(nQ7_Messages,$AH51)&amp;"",INDEX(nQ8_Messages,$AH51)&amp;"",INDEX(nQ9_Messages,$AH51)&amp;"",INDEX(nQ10_Messages,$AH51)&amp;"",INDEX(nQ11_Messages,$AH51)&amp;""))</f>
        <v/>
      </c>
      <c r="BK51" s="1" t="str">
        <f>IF($AF51=0,"",CHOOSE($AF51,INDEX(nINT_Limitations,$AH51)&amp;"",INDEX(nQ1_Mandatory_Text,$AH51)&amp;"",INDEX(nQ2_Mandatory_Text,$AH51)&amp;"",INDEX(nQ3_Mandatory_Text,$AH51)&amp;"",INDEX(nQ4_Mandatory_Text,$AH51)&amp;"",INDEX(nQ5_Mandatory_Text,$AH51)&amp;"",INDEX(nQ6_Mandatory_Text,$AH51)&amp;"",INDEX(nQ7_Mandatory_Text,$AH51)&amp;"",INDEX(nQ8_Mandatory_Text,$AH51)&amp;"",INDEX(nQ9_Mandatory_Text,$AH51)&amp;"",INDEX(nQ10_Mandatory_Text,$AH51)&amp;"",INDEX(nQ11_Mandatory_Text,$AH51)&amp;""))</f>
        <v/>
      </c>
      <c r="BL51" s="1" t="str">
        <f t="shared" si="33"/>
        <v/>
      </c>
      <c r="BM51" s="1" t="str">
        <f t="shared" si="34"/>
        <v/>
      </c>
    </row>
    <row r="52" spans="1:65" x14ac:dyDescent="0.2">
      <c r="A52" s="21" t="str">
        <f t="shared" si="0"/>
        <v/>
      </c>
      <c r="B52" s="21" t="str">
        <f t="shared" si="1"/>
        <v/>
      </c>
      <c r="C52" s="21" t="str">
        <f t="shared" si="2"/>
        <v/>
      </c>
      <c r="D52" s="21" t="str">
        <f t="shared" si="3"/>
        <v/>
      </c>
      <c r="E52" s="21" t="str">
        <f t="shared" si="4"/>
        <v/>
      </c>
      <c r="F52" s="21" t="str">
        <f t="shared" si="5"/>
        <v/>
      </c>
      <c r="G52" s="21" t="str">
        <f t="shared" si="6"/>
        <v/>
      </c>
      <c r="H52" s="21" t="str">
        <f t="shared" si="7"/>
        <v/>
      </c>
      <c r="I52" s="21" t="str">
        <f t="shared" si="8"/>
        <v/>
      </c>
      <c r="J52" s="21" t="str">
        <f t="shared" si="9"/>
        <v/>
      </c>
      <c r="K52" s="21" t="str">
        <f t="shared" si="10"/>
        <v/>
      </c>
      <c r="L52" s="21" t="str">
        <f t="shared" si="11"/>
        <v/>
      </c>
      <c r="M52" s="21" t="str">
        <f t="shared" si="12"/>
        <v/>
      </c>
      <c r="N52" s="21" t="str">
        <f t="shared" si="13"/>
        <v/>
      </c>
      <c r="O52" s="21" t="str">
        <f t="shared" si="14"/>
        <v/>
      </c>
      <c r="P52" s="21" t="str">
        <f t="shared" si="15"/>
        <v/>
      </c>
      <c r="Q52" s="21" t="str">
        <f t="shared" si="16"/>
        <v/>
      </c>
      <c r="R52" s="21" t="str">
        <f t="shared" si="17"/>
        <v/>
      </c>
      <c r="S52" s="21" t="str">
        <f t="shared" si="18"/>
        <v/>
      </c>
      <c r="T52" s="21" t="str">
        <f t="shared" si="19"/>
        <v/>
      </c>
      <c r="U52" s="21" t="str">
        <f t="shared" si="20"/>
        <v/>
      </c>
      <c r="V52" s="21" t="str">
        <f t="shared" si="21"/>
        <v/>
      </c>
      <c r="W52" s="21" t="str">
        <f t="shared" si="22"/>
        <v/>
      </c>
      <c r="X52" s="21" t="str">
        <f t="shared" si="23"/>
        <v/>
      </c>
      <c r="Y52" s="21" t="str">
        <f t="shared" si="24"/>
        <v/>
      </c>
      <c r="Z52" s="21" t="str">
        <f t="shared" si="25"/>
        <v/>
      </c>
      <c r="AA52" s="21" t="str">
        <f t="shared" si="26"/>
        <v/>
      </c>
      <c r="AB52" s="21" t="str">
        <f t="shared" si="27"/>
        <v/>
      </c>
      <c r="AC52" s="21" t="str">
        <f t="shared" si="28"/>
        <v/>
      </c>
      <c r="AD52" s="21" t="str">
        <f t="shared" si="29"/>
        <v/>
      </c>
      <c r="AE52" s="1">
        <f t="shared" si="30"/>
        <v>45</v>
      </c>
      <c r="AF52" s="1">
        <f t="shared" si="31"/>
        <v>0</v>
      </c>
      <c r="AG52" s="1">
        <f t="shared" si="32"/>
        <v>0</v>
      </c>
      <c r="AH52" s="1">
        <f>IF(AF52=0,0,CHOOSE(AF52,IFERROR(_xlfn.AGGREGATE(15,6,(ROW(nINT_CaseKey)-ROW(INDEX(nINT_CaseKey,1,1))+1)/((nINT_CaseKey=$H$4)*(nINT_RowEmpty=0)),AG52),0),IFERROR(_xlfn.AGGREGATE(15,6,(ROW(nQ1_CaseKey)-ROW(INDEX(nQ1_CaseKey,1,1))+1)/((nQ1_CaseKey=$H$4)),AG52),0),IFERROR(_xlfn.AGGREGATE(15,6,(ROW(nQ2_CaseKey)-ROW(INDEX(nQ2_CaseKey,1,1))+1)/((nQ2_CaseKey=$H$4)),AG52),0),IFERROR(_xlfn.AGGREGATE(15,6,(ROW(nQ3_CaseKey)-ROW(INDEX(nQ3_CaseKey,1,1))+1)/((nQ3_CaseKey=$H$4)),AG52),0),IFERROR(_xlfn.AGGREGATE(15,6,(ROW(nQ4_CaseKey)-ROW(INDEX(nQ4_CaseKey,1,1))+1)/((nQ4_CaseKey=$H$4)),AG52),0),IFERROR(_xlfn.AGGREGATE(15,6,(ROW(nQ5_CaseKey)-ROW(INDEX(nQ5_CaseKey,1,1))+1)/((nQ5_CaseKey=$H$4)),AG52),0),IFERROR(_xlfn.AGGREGATE(15,6,(ROW(nQ6_CaseKey)-ROW(INDEX(nQ6_CaseKey,1,1))+1)/((nQ6_CaseKey=$H$4)),AG52),0),IFERROR(_xlfn.AGGREGATE(15,6,(ROW(nQ7_CaseKey)-ROW(INDEX(nQ7_CaseKey,1,1))+1)/((nQ7_CaseKey=$H$4)),AG52),0),IFERROR(_xlfn.AGGREGATE(15,6,(ROW(nQ8_CaseKey)-ROW(INDEX(nQ8_CaseKey,1,1))+1)/((nQ8_CaseKey=$H$4)),AG52),0),IFERROR(_xlfn.AGGREGATE(15,6,(ROW(nQ9_CaseKey)-ROW(INDEX(nQ9_CaseKey,1,1))+1)/((nQ9_CaseKey=$H$4)),AG52),0),IFERROR(_xlfn.AGGREGATE(15,6,(ROW(nQ10_CaseKey)-ROW(INDEX(nQ10_CaseKey,1,1))+1)/((nQ10_CaseKey=$H$4)),AG52),0),IFERROR(_xlfn.AGGREGATE(15,6,(ROW(nQ11_CaseKey)-ROW(INDEX(nQ11_CaseKey,1,1))+1)/((nQ11_CaseKey=$H$4)),AG52),0)))</f>
        <v>0</v>
      </c>
      <c r="AJ52" s="1" t="str">
        <f>IF($AF52=0,"",CHOOSE($AF52,INDEX(nINT_Case_ID,$AH52)&amp;"",INDEX(nQ1_Case_ID,$AH52)&amp;"",INDEX(nQ2_Case_ID,$AH52)&amp;"",INDEX(nQ3_Case_ID,$AH52)&amp;"",INDEX(nQ4_Case_ID,$AH52)&amp;"",INDEX(nQ5_Case_ID,$AH52)&amp;"",INDEX(nQ6_Case_ID,$AH52)&amp;"",INDEX(nQ7_Case_ID,$AH52)&amp;"",INDEX(nQ8_Case_ID,$AH52)&amp;"",INDEX(nQ9_Case_ID,$AH52)&amp;"",INDEX(nQ10_Case_ID,$AH52)&amp;"",INDEX(nQ11_Case_ID,$AH52)&amp;""))</f>
        <v/>
      </c>
      <c r="AK52" s="1" t="str">
        <f>IF($AF52=0,"",CHOOSE($AF52,INDEX(nINT_Case_Version,$AH52),INDEX(nQ1_Case_Version,$AH52),INDEX(nQ2_Case_Version,$AH52),INDEX(nQ3_Case_Version,$AH52),INDEX(nQ4_Case_Version,$AH52),INDEX(nQ5_Case_Version,$AH52),INDEX(nQ6_Case_Version,$AH52),INDEX(nQ7_Case_Version,$AH52),INDEX(nQ8_Case_Version,$AH52),INDEX(nQ9_Case_Version,$AH52),INDEX(nQ10_Case_Version,$AH52),INDEX(nQ11_Case_Version,$AH52)))</f>
        <v/>
      </c>
      <c r="AL52" s="1" t="str">
        <f>IF($AF52=0,"",CHOOSE($AF52,INDEX(nINT_Interval_ID,$AH52)&amp;"",INDEX(nQ1_Calc_ID,$AH52)&amp;"",INDEX(nQ2_Calc_ID,$AH52)&amp;"",INDEX(nQ3_Calc_ID,$AH52)&amp;"",INDEX(nQ4_Calc_ID,$AH52)&amp;"",INDEX(nQ5_Calc_ID,$AH52)&amp;"",INDEX(nQ6_Calc_ID,$AH52)&amp;"",INDEX(nQ7_Calc_ID,$AH52)&amp;"",INDEX(nQ8_Calc_ID,$AH52)&amp;"",INDEX(nQ9_Calc_ID,$AH52)&amp;"",INDEX(nQ10_Calc_ID,$AH52)&amp;"",INDEX(nQ11_Calc_ID,$AH52)&amp;""))</f>
        <v/>
      </c>
      <c r="AM52" s="1" t="str">
        <f>IF($AF52=0,"",CHOOSE($AF52,INDEX(nINT_Label,$AH52)&amp;"",INDEX(nQ1_Label_Out,$AH52)&amp;"",INDEX(nQ2_Label_Out,$AH52)&amp;"",INDEX(nQ3_Label_Out,$AH52)&amp;"",INDEX(nQ4_Label_Out,$AH52)&amp;"",INDEX(nQ5_Label_Out,$AH52)&amp;"",INDEX(nQ6_Label_Out,$AH52)&amp;"",INDEX(nQ7_Label_Out,$AH52)&amp;"",INDEX(nQ8_Label_Out,$AH52)&amp;"",INDEX(nQ9_Label_Out,$AH52)&amp;"",INDEX(nQ10_Label_Out,$AH52)&amp;"",INDEX(nQ11_Label_Out,$AH52)&amp;""))</f>
        <v/>
      </c>
      <c r="AN52" s="1" t="str">
        <f>IF($AF52=0,"",CHOOSE($AF52,IF(INDEX(nINT_LinkRow,$AH52)=0,"",INDEX(nINT_Link_ID,$AH52)&amp;""),"","","","","","","","","","",""))</f>
        <v/>
      </c>
      <c r="AO52" s="1" t="str">
        <f>IF($AF52=0,"",CHOOSE($AF52,INDEX(nINT_Exposure_Episode_ID,$AH52)&amp;"","","","","","","","","","","",""))</f>
        <v/>
      </c>
      <c r="AP52" s="1" t="str">
        <f>IF($AF52=0,"",CHOOSE($AF52,INDEX(nINT_Event_Episode_ID,$AH52)&amp;"","","","","","","","","","","",""))</f>
        <v/>
      </c>
      <c r="AQ52" s="1" t="str">
        <f>IF($AF52=0,"",CHOOSE($AF52,INDEX(nINT_End_Record_ID_Used,$AH52)&amp;"","","","","","","","","","","",""))</f>
        <v/>
      </c>
      <c r="AR52" s="1" t="str">
        <f>IF($AF52=0,"",CHOOSE($AF52,INDEX(nINT_Interval_Value,$AH52),"","","","","","","","","","",""))</f>
        <v/>
      </c>
      <c r="AS52" s="1" t="str">
        <f>IF($AF52=0,"",CHOOSE($AF52,INDEX(nINT_Interval_Minimum,$AH52),"","","","","","","","","","",""))</f>
        <v/>
      </c>
      <c r="AT52" s="1" t="str">
        <f>IF($AF52=0,"",CHOOSE($AF52,INDEX(nINT_Interval_Maximum,$AH52),"","","","","","","","","","",""))</f>
        <v/>
      </c>
      <c r="AU52" s="1" t="str">
        <f>IF($AF52=0,"",CHOOSE($AF52,INDEX(nINT_Unit,$AH52)&amp;"",INDEX(nQ1_Unit_Out,$AH52)&amp;"",INDEX(nQ2_Unit_Out,$AH52)&amp;"",INDEX(nQ3_Unit_Out,$AH52)&amp;"",INDEX(nQ4_Unit_Out,$AH52)&amp;"",INDEX(nQ5_Unit_Out,$AH52)&amp;"",INDEX(nQ6_Unit_Out,$AH52)&amp;"",INDEX(nQ7_Unit_Out,$AH52)&amp;"",INDEX(nQ8_Unit_Out,$AH52)&amp;"",INDEX(nQ9_Unit_Out,$AH52)&amp;"",INDEX(nQ10_Unit_Out,$AH52)&amp;"",INDEX(nQ11_Unit_Out,$AH52)&amp;""))</f>
        <v/>
      </c>
      <c r="AV52" s="1" t="str">
        <f>IF($AF52=0,"",CHOOSE($AF52,INDEX(nINT_Displayed_Value,$AH52)&amp;"",INDEX(nQ1_Displayed_Value,$AH52)&amp;"",INDEX(nQ2_Displayed_Value,$AH52)&amp;"",INDEX(nQ3_Displayed_Value,$AH52)&amp;"",INDEX(nQ4_Displayed_Value,$AH52)&amp;"",INDEX(nQ5_Displayed_Value,$AH52)&amp;"",INDEX(nQ6_Displayed_Value,$AH52)&amp;"",INDEX(nQ7_Displayed_Value,$AH52)&amp;"",INDEX(nQ8_Displayed_Value,$AH52)&amp;"",INDEX(nQ9_Displayed_Value,$AH52)&amp;"",INDEX(nQ10_Displayed_Value,$AH52)&amp;"",INDEX(nQ11_Displayed_Value,$AH52)&amp;""))</f>
        <v/>
      </c>
      <c r="AW52" s="1" t="str">
        <f>IF($AF52=0,"",CHOOSE($AF52,INDEX(nINT_Calculation_Mode_Used,$AH52)&amp;"","Q1","Q2","Q3","Q4","Q5","Q6","Q7","Q8","Q9","Q10","Q11"))</f>
        <v/>
      </c>
      <c r="AX52" s="1" t="str">
        <f>IF($AF52=0,"",CHOOSE($AF52,INDEX(nINT_Anchor_Type,$AH52)&amp;"","","","","","","","","","","",""))</f>
        <v/>
      </c>
      <c r="AY52" s="1" t="str">
        <f>IF($AF52=0,"",CHOOSE($AF52,IF(INDEX(nINT_K_Ok,$AH52)=1,INDEX(nINT_Anchor_Record_ID_Used,$AH52)&amp;"",""),"","","","","","","","","","",""))</f>
        <v/>
      </c>
      <c r="AZ52" s="1" t="str">
        <f>IF($AF52=0,"",CHOOSE($AF52,INDEX(nINT_Anchor_Description,$AH52)&amp;"","","","","","","","","","","",""))</f>
        <v/>
      </c>
      <c r="BA52" s="1" t="str">
        <f>IF($AF52=0,"",CHOOSE($AF52,INDEX(nINT_Sequence_Status,$AH52)&amp;"","","","","","","","","","","",""))</f>
        <v/>
      </c>
      <c r="BB52" s="1" t="str">
        <f>IF($AF52=0,"",CHOOSE($AF52,INDEX(nINT_Treatment_Day,$AH52),"","","","","","","","","","",""))</f>
        <v/>
      </c>
      <c r="BC52" s="1" t="str">
        <f>IF($AF52=0,"",CHOOSE($AF52,INDEX(nINT_Reported_Timing_Result,$AH52)&amp;"","","","","","","","","","","",""))</f>
        <v/>
      </c>
      <c r="BD52" s="1" t="str">
        <f>IF($AF52=0,"",CHOOSE($AF52,IF(INDEX(nINT_K_HasC,$AH52)=1,INDEX(nINT_Constraint_Source,$AH52)&amp;"",""),"","","","","","","","","","",""))</f>
        <v/>
      </c>
      <c r="BE52" s="1" t="str">
        <f>IF($AF52=0,"",CHOOSE($AF52,"",INDEX(nQ1_Results_Text,$AH52)&amp;"",INDEX(nQ2_Results_Text,$AH52)&amp;"",INDEX(nQ3_Results_Text,$AH52)&amp;"",INDEX(nQ4_Results_Text,$AH52)&amp;"",INDEX(nQ5_Results_Text,$AH52)&amp;"",INDEX(nQ6_Results_Text,$AH52)&amp;"",INDEX(nQ7_Results_Text,$AH52)&amp;"",INDEX(nQ8_Results_Text,$AH52)&amp;"",INDEX(nQ9_Results_Text,$AH52)&amp;"",INDEX(nQ10_Results_Text,$AH52)&amp;"",INDEX(nQ11_Results_Text,$AH52)&amp;""))</f>
        <v/>
      </c>
      <c r="BF52" s="1" t="str">
        <f>IF($AF52=0,"",CHOOSE($AF52,INDEX(nINT_Parameter_Set,$AH52)&amp;"",INDEX(nQ1_Parameter_Set,$AH52)&amp;"",INDEX(nQ2_Parameter_Set,$AH52)&amp;"",INDEX(nQ3_Parameter_Set,$AH52)&amp;"",INDEX(nQ4_Parameter_Set,$AH52)&amp;"",INDEX(nQ5_Parameter_Set,$AH52)&amp;"",INDEX(nQ6_Parameter_Set,$AH52)&amp;"",INDEX(nQ7_Parameter_Set,$AH52)&amp;"",INDEX(nQ8_Parameter_Set,$AH52)&amp;"",INDEX(nQ9_Parameter_Set,$AH52)&amp;"",INDEX(nQ10_Parameter_Set,$AH52)&amp;"",INDEX(nQ11_Parameter_Set,$AH52)&amp;""))</f>
        <v/>
      </c>
      <c r="BG52" s="1" t="str">
        <f>IF($AF52=0,"",CHOOSE($AF52,INDEX(nINT_Assumptions,$AH52)&amp;"",INDEX(nQ1_Assumptions,$AH52)&amp;"",INDEX(nQ2_Assumptions,$AH52)&amp;"",INDEX(nQ3_Assumptions,$AH52)&amp;"",INDEX(nQ4_Assumptions,$AH52)&amp;"",INDEX(nQ5_Assumptions,$AH52)&amp;"",INDEX(nQ6_Assumptions,$AH52)&amp;"",INDEX(nQ7_Assumptions,$AH52)&amp;"",INDEX(nQ8_Assumptions,$AH52)&amp;"",INDEX(nQ9_Assumptions,$AH52)&amp;"",INDEX(nQ10_Assumptions,$AH52)&amp;"",INDEX(nQ11_Assumptions,$AH52)&amp;""))</f>
        <v/>
      </c>
      <c r="BH52" s="1" t="str">
        <f>IF($AF52=0,"",CHOOSE($AF52,INDEX(nINT_Calculation_Version,$AH52)&amp;"",INDEX(nQ1_Calculation_Version,$AH52)&amp;"",INDEX(nQ2_Calculation_Version,$AH52)&amp;"",INDEX(nQ3_Calculation_Version,$AH52)&amp;"",INDEX(nQ4_Calculation_Version,$AH52)&amp;"",INDEX(nQ5_Calculation_Version,$AH52)&amp;"",INDEX(nQ6_Calculation_Version,$AH52)&amp;"",INDEX(nQ7_Calculation_Version,$AH52)&amp;"",INDEX(nQ8_Calculation_Version,$AH52)&amp;"",INDEX(nQ9_Calculation_Version,$AH52)&amp;"",INDEX(nQ10_Calculation_Version,$AH52)&amp;"",INDEX(nQ11_Calculation_Version,$AH52)&amp;""))</f>
        <v/>
      </c>
      <c r="BI52" s="1" t="str">
        <f>IF($AF52=0,"",CHOOSE($AF52,INDEX(nINT_QC_Flags,$AH52)&amp;"",INDEX(nQ1_QC_Flags,$AH52)&amp;"",INDEX(nQ2_QC_Flags,$AH52)&amp;"",INDEX(nQ3_QC_Flags,$AH52)&amp;"",INDEX(nQ4_QC_Flags,$AH52)&amp;"",INDEX(nQ5_QC_Flags,$AH52)&amp;"",INDEX(nQ6_QC_Flags,$AH52)&amp;"",INDEX(nQ7_QC_Flags,$AH52)&amp;"",INDEX(nQ8_QC_Flags,$AH52)&amp;"",INDEX(nQ9_QC_Flags,$AH52)&amp;"",INDEX(nQ10_QC_Flags,$AH52)&amp;"",INDEX(nQ11_QC_Flags,$AH52)&amp;""))</f>
        <v/>
      </c>
      <c r="BJ52" s="1" t="str">
        <f>IF($AF52=0,"",CHOOSE($AF52,INDEX(nINT_Messages,$AH52)&amp;"",INDEX(nQ1_Messages,$AH52)&amp;"",INDEX(nQ2_Messages,$AH52)&amp;"",INDEX(nQ3_Messages,$AH52)&amp;"",INDEX(nQ4_Messages,$AH52)&amp;"",INDEX(nQ5_Messages,$AH52)&amp;"",INDEX(nQ6_Messages,$AH52)&amp;"",INDEX(nQ7_Messages,$AH52)&amp;"",INDEX(nQ8_Messages,$AH52)&amp;"",INDEX(nQ9_Messages,$AH52)&amp;"",INDEX(nQ10_Messages,$AH52)&amp;"",INDEX(nQ11_Messages,$AH52)&amp;""))</f>
        <v/>
      </c>
      <c r="BK52" s="1" t="str">
        <f>IF($AF52=0,"",CHOOSE($AF52,INDEX(nINT_Limitations,$AH52)&amp;"",INDEX(nQ1_Mandatory_Text,$AH52)&amp;"",INDEX(nQ2_Mandatory_Text,$AH52)&amp;"",INDEX(nQ3_Mandatory_Text,$AH52)&amp;"",INDEX(nQ4_Mandatory_Text,$AH52)&amp;"",INDEX(nQ5_Mandatory_Text,$AH52)&amp;"",INDEX(nQ6_Mandatory_Text,$AH52)&amp;"",INDEX(nQ7_Mandatory_Text,$AH52)&amp;"",INDEX(nQ8_Mandatory_Text,$AH52)&amp;"",INDEX(nQ9_Mandatory_Text,$AH52)&amp;"",INDEX(nQ10_Mandatory_Text,$AH52)&amp;"",INDEX(nQ11_Mandatory_Text,$AH52)&amp;""))</f>
        <v/>
      </c>
      <c r="BL52" s="1" t="str">
        <f t="shared" si="33"/>
        <v/>
      </c>
      <c r="BM52" s="1" t="str">
        <f t="shared" si="34"/>
        <v/>
      </c>
    </row>
    <row r="53" spans="1:65" x14ac:dyDescent="0.2">
      <c r="A53" s="21" t="str">
        <f t="shared" si="0"/>
        <v/>
      </c>
      <c r="B53" s="21" t="str">
        <f t="shared" si="1"/>
        <v/>
      </c>
      <c r="C53" s="21" t="str">
        <f t="shared" si="2"/>
        <v/>
      </c>
      <c r="D53" s="21" t="str">
        <f t="shared" si="3"/>
        <v/>
      </c>
      <c r="E53" s="21" t="str">
        <f t="shared" si="4"/>
        <v/>
      </c>
      <c r="F53" s="21" t="str">
        <f t="shared" si="5"/>
        <v/>
      </c>
      <c r="G53" s="21" t="str">
        <f t="shared" si="6"/>
        <v/>
      </c>
      <c r="H53" s="21" t="str">
        <f t="shared" si="7"/>
        <v/>
      </c>
      <c r="I53" s="21" t="str">
        <f t="shared" si="8"/>
        <v/>
      </c>
      <c r="J53" s="21" t="str">
        <f t="shared" si="9"/>
        <v/>
      </c>
      <c r="K53" s="21" t="str">
        <f t="shared" si="10"/>
        <v/>
      </c>
      <c r="L53" s="21" t="str">
        <f t="shared" si="11"/>
        <v/>
      </c>
      <c r="M53" s="21" t="str">
        <f t="shared" si="12"/>
        <v/>
      </c>
      <c r="N53" s="21" t="str">
        <f t="shared" si="13"/>
        <v/>
      </c>
      <c r="O53" s="21" t="str">
        <f t="shared" si="14"/>
        <v/>
      </c>
      <c r="P53" s="21" t="str">
        <f t="shared" si="15"/>
        <v/>
      </c>
      <c r="Q53" s="21" t="str">
        <f t="shared" si="16"/>
        <v/>
      </c>
      <c r="R53" s="21" t="str">
        <f t="shared" si="17"/>
        <v/>
      </c>
      <c r="S53" s="21" t="str">
        <f t="shared" si="18"/>
        <v/>
      </c>
      <c r="T53" s="21" t="str">
        <f t="shared" si="19"/>
        <v/>
      </c>
      <c r="U53" s="21" t="str">
        <f t="shared" si="20"/>
        <v/>
      </c>
      <c r="V53" s="21" t="str">
        <f t="shared" si="21"/>
        <v/>
      </c>
      <c r="W53" s="21" t="str">
        <f t="shared" si="22"/>
        <v/>
      </c>
      <c r="X53" s="21" t="str">
        <f t="shared" si="23"/>
        <v/>
      </c>
      <c r="Y53" s="21" t="str">
        <f t="shared" si="24"/>
        <v/>
      </c>
      <c r="Z53" s="21" t="str">
        <f t="shared" si="25"/>
        <v/>
      </c>
      <c r="AA53" s="21" t="str">
        <f t="shared" si="26"/>
        <v/>
      </c>
      <c r="AB53" s="21" t="str">
        <f t="shared" si="27"/>
        <v/>
      </c>
      <c r="AC53" s="21" t="str">
        <f t="shared" si="28"/>
        <v/>
      </c>
      <c r="AD53" s="21" t="str">
        <f t="shared" si="29"/>
        <v/>
      </c>
      <c r="AE53" s="1">
        <f t="shared" si="30"/>
        <v>46</v>
      </c>
      <c r="AF53" s="1">
        <f t="shared" si="31"/>
        <v>0</v>
      </c>
      <c r="AG53" s="1">
        <f t="shared" si="32"/>
        <v>0</v>
      </c>
      <c r="AH53" s="1">
        <f>IF(AF53=0,0,CHOOSE(AF53,IFERROR(_xlfn.AGGREGATE(15,6,(ROW(nINT_CaseKey)-ROW(INDEX(nINT_CaseKey,1,1))+1)/((nINT_CaseKey=$H$4)*(nINT_RowEmpty=0)),AG53),0),IFERROR(_xlfn.AGGREGATE(15,6,(ROW(nQ1_CaseKey)-ROW(INDEX(nQ1_CaseKey,1,1))+1)/((nQ1_CaseKey=$H$4)),AG53),0),IFERROR(_xlfn.AGGREGATE(15,6,(ROW(nQ2_CaseKey)-ROW(INDEX(nQ2_CaseKey,1,1))+1)/((nQ2_CaseKey=$H$4)),AG53),0),IFERROR(_xlfn.AGGREGATE(15,6,(ROW(nQ3_CaseKey)-ROW(INDEX(nQ3_CaseKey,1,1))+1)/((nQ3_CaseKey=$H$4)),AG53),0),IFERROR(_xlfn.AGGREGATE(15,6,(ROW(nQ4_CaseKey)-ROW(INDEX(nQ4_CaseKey,1,1))+1)/((nQ4_CaseKey=$H$4)),AG53),0),IFERROR(_xlfn.AGGREGATE(15,6,(ROW(nQ5_CaseKey)-ROW(INDEX(nQ5_CaseKey,1,1))+1)/((nQ5_CaseKey=$H$4)),AG53),0),IFERROR(_xlfn.AGGREGATE(15,6,(ROW(nQ6_CaseKey)-ROW(INDEX(nQ6_CaseKey,1,1))+1)/((nQ6_CaseKey=$H$4)),AG53),0),IFERROR(_xlfn.AGGREGATE(15,6,(ROW(nQ7_CaseKey)-ROW(INDEX(nQ7_CaseKey,1,1))+1)/((nQ7_CaseKey=$H$4)),AG53),0),IFERROR(_xlfn.AGGREGATE(15,6,(ROW(nQ8_CaseKey)-ROW(INDEX(nQ8_CaseKey,1,1))+1)/((nQ8_CaseKey=$H$4)),AG53),0),IFERROR(_xlfn.AGGREGATE(15,6,(ROW(nQ9_CaseKey)-ROW(INDEX(nQ9_CaseKey,1,1))+1)/((nQ9_CaseKey=$H$4)),AG53),0),IFERROR(_xlfn.AGGREGATE(15,6,(ROW(nQ10_CaseKey)-ROW(INDEX(nQ10_CaseKey,1,1))+1)/((nQ10_CaseKey=$H$4)),AG53),0),IFERROR(_xlfn.AGGREGATE(15,6,(ROW(nQ11_CaseKey)-ROW(INDEX(nQ11_CaseKey,1,1))+1)/((nQ11_CaseKey=$H$4)),AG53),0)))</f>
        <v>0</v>
      </c>
      <c r="AJ53" s="1" t="str">
        <f>IF($AF53=0,"",CHOOSE($AF53,INDEX(nINT_Case_ID,$AH53)&amp;"",INDEX(nQ1_Case_ID,$AH53)&amp;"",INDEX(nQ2_Case_ID,$AH53)&amp;"",INDEX(nQ3_Case_ID,$AH53)&amp;"",INDEX(nQ4_Case_ID,$AH53)&amp;"",INDEX(nQ5_Case_ID,$AH53)&amp;"",INDEX(nQ6_Case_ID,$AH53)&amp;"",INDEX(nQ7_Case_ID,$AH53)&amp;"",INDEX(nQ8_Case_ID,$AH53)&amp;"",INDEX(nQ9_Case_ID,$AH53)&amp;"",INDEX(nQ10_Case_ID,$AH53)&amp;"",INDEX(nQ11_Case_ID,$AH53)&amp;""))</f>
        <v/>
      </c>
      <c r="AK53" s="1" t="str">
        <f>IF($AF53=0,"",CHOOSE($AF53,INDEX(nINT_Case_Version,$AH53),INDEX(nQ1_Case_Version,$AH53),INDEX(nQ2_Case_Version,$AH53),INDEX(nQ3_Case_Version,$AH53),INDEX(nQ4_Case_Version,$AH53),INDEX(nQ5_Case_Version,$AH53),INDEX(nQ6_Case_Version,$AH53),INDEX(nQ7_Case_Version,$AH53),INDEX(nQ8_Case_Version,$AH53),INDEX(nQ9_Case_Version,$AH53),INDEX(nQ10_Case_Version,$AH53),INDEX(nQ11_Case_Version,$AH53)))</f>
        <v/>
      </c>
      <c r="AL53" s="1" t="str">
        <f>IF($AF53=0,"",CHOOSE($AF53,INDEX(nINT_Interval_ID,$AH53)&amp;"",INDEX(nQ1_Calc_ID,$AH53)&amp;"",INDEX(nQ2_Calc_ID,$AH53)&amp;"",INDEX(nQ3_Calc_ID,$AH53)&amp;"",INDEX(nQ4_Calc_ID,$AH53)&amp;"",INDEX(nQ5_Calc_ID,$AH53)&amp;"",INDEX(nQ6_Calc_ID,$AH53)&amp;"",INDEX(nQ7_Calc_ID,$AH53)&amp;"",INDEX(nQ8_Calc_ID,$AH53)&amp;"",INDEX(nQ9_Calc_ID,$AH53)&amp;"",INDEX(nQ10_Calc_ID,$AH53)&amp;"",INDEX(nQ11_Calc_ID,$AH53)&amp;""))</f>
        <v/>
      </c>
      <c r="AM53" s="1" t="str">
        <f>IF($AF53=0,"",CHOOSE($AF53,INDEX(nINT_Label,$AH53)&amp;"",INDEX(nQ1_Label_Out,$AH53)&amp;"",INDEX(nQ2_Label_Out,$AH53)&amp;"",INDEX(nQ3_Label_Out,$AH53)&amp;"",INDEX(nQ4_Label_Out,$AH53)&amp;"",INDEX(nQ5_Label_Out,$AH53)&amp;"",INDEX(nQ6_Label_Out,$AH53)&amp;"",INDEX(nQ7_Label_Out,$AH53)&amp;"",INDEX(nQ8_Label_Out,$AH53)&amp;"",INDEX(nQ9_Label_Out,$AH53)&amp;"",INDEX(nQ10_Label_Out,$AH53)&amp;"",INDEX(nQ11_Label_Out,$AH53)&amp;""))</f>
        <v/>
      </c>
      <c r="AN53" s="1" t="str">
        <f>IF($AF53=0,"",CHOOSE($AF53,IF(INDEX(nINT_LinkRow,$AH53)=0,"",INDEX(nINT_Link_ID,$AH53)&amp;""),"","","","","","","","","","",""))</f>
        <v/>
      </c>
      <c r="AO53" s="1" t="str">
        <f>IF($AF53=0,"",CHOOSE($AF53,INDEX(nINT_Exposure_Episode_ID,$AH53)&amp;"","","","","","","","","","","",""))</f>
        <v/>
      </c>
      <c r="AP53" s="1" t="str">
        <f>IF($AF53=0,"",CHOOSE($AF53,INDEX(nINT_Event_Episode_ID,$AH53)&amp;"","","","","","","","","","","",""))</f>
        <v/>
      </c>
      <c r="AQ53" s="1" t="str">
        <f>IF($AF53=0,"",CHOOSE($AF53,INDEX(nINT_End_Record_ID_Used,$AH53)&amp;"","","","","","","","","","","",""))</f>
        <v/>
      </c>
      <c r="AR53" s="1" t="str">
        <f>IF($AF53=0,"",CHOOSE($AF53,INDEX(nINT_Interval_Value,$AH53),"","","","","","","","","","",""))</f>
        <v/>
      </c>
      <c r="AS53" s="1" t="str">
        <f>IF($AF53=0,"",CHOOSE($AF53,INDEX(nINT_Interval_Minimum,$AH53),"","","","","","","","","","",""))</f>
        <v/>
      </c>
      <c r="AT53" s="1" t="str">
        <f>IF($AF53=0,"",CHOOSE($AF53,INDEX(nINT_Interval_Maximum,$AH53),"","","","","","","","","","",""))</f>
        <v/>
      </c>
      <c r="AU53" s="1" t="str">
        <f>IF($AF53=0,"",CHOOSE($AF53,INDEX(nINT_Unit,$AH53)&amp;"",INDEX(nQ1_Unit_Out,$AH53)&amp;"",INDEX(nQ2_Unit_Out,$AH53)&amp;"",INDEX(nQ3_Unit_Out,$AH53)&amp;"",INDEX(nQ4_Unit_Out,$AH53)&amp;"",INDEX(nQ5_Unit_Out,$AH53)&amp;"",INDEX(nQ6_Unit_Out,$AH53)&amp;"",INDEX(nQ7_Unit_Out,$AH53)&amp;"",INDEX(nQ8_Unit_Out,$AH53)&amp;"",INDEX(nQ9_Unit_Out,$AH53)&amp;"",INDEX(nQ10_Unit_Out,$AH53)&amp;"",INDEX(nQ11_Unit_Out,$AH53)&amp;""))</f>
        <v/>
      </c>
      <c r="AV53" s="1" t="str">
        <f>IF($AF53=0,"",CHOOSE($AF53,INDEX(nINT_Displayed_Value,$AH53)&amp;"",INDEX(nQ1_Displayed_Value,$AH53)&amp;"",INDEX(nQ2_Displayed_Value,$AH53)&amp;"",INDEX(nQ3_Displayed_Value,$AH53)&amp;"",INDEX(nQ4_Displayed_Value,$AH53)&amp;"",INDEX(nQ5_Displayed_Value,$AH53)&amp;"",INDEX(nQ6_Displayed_Value,$AH53)&amp;"",INDEX(nQ7_Displayed_Value,$AH53)&amp;"",INDEX(nQ8_Displayed_Value,$AH53)&amp;"",INDEX(nQ9_Displayed_Value,$AH53)&amp;"",INDEX(nQ10_Displayed_Value,$AH53)&amp;"",INDEX(nQ11_Displayed_Value,$AH53)&amp;""))</f>
        <v/>
      </c>
      <c r="AW53" s="1" t="str">
        <f>IF($AF53=0,"",CHOOSE($AF53,INDEX(nINT_Calculation_Mode_Used,$AH53)&amp;"","Q1","Q2","Q3","Q4","Q5","Q6","Q7","Q8","Q9","Q10","Q11"))</f>
        <v/>
      </c>
      <c r="AX53" s="1" t="str">
        <f>IF($AF53=0,"",CHOOSE($AF53,INDEX(nINT_Anchor_Type,$AH53)&amp;"","","","","","","","","","","",""))</f>
        <v/>
      </c>
      <c r="AY53" s="1" t="str">
        <f>IF($AF53=0,"",CHOOSE($AF53,IF(INDEX(nINT_K_Ok,$AH53)=1,INDEX(nINT_Anchor_Record_ID_Used,$AH53)&amp;"",""),"","","","","","","","","","",""))</f>
        <v/>
      </c>
      <c r="AZ53" s="1" t="str">
        <f>IF($AF53=0,"",CHOOSE($AF53,INDEX(nINT_Anchor_Description,$AH53)&amp;"","","","","","","","","","","",""))</f>
        <v/>
      </c>
      <c r="BA53" s="1" t="str">
        <f>IF($AF53=0,"",CHOOSE($AF53,INDEX(nINT_Sequence_Status,$AH53)&amp;"","","","","","","","","","","",""))</f>
        <v/>
      </c>
      <c r="BB53" s="1" t="str">
        <f>IF($AF53=0,"",CHOOSE($AF53,INDEX(nINT_Treatment_Day,$AH53),"","","","","","","","","","",""))</f>
        <v/>
      </c>
      <c r="BC53" s="1" t="str">
        <f>IF($AF53=0,"",CHOOSE($AF53,INDEX(nINT_Reported_Timing_Result,$AH53)&amp;"","","","","","","","","","","",""))</f>
        <v/>
      </c>
      <c r="BD53" s="1" t="str">
        <f>IF($AF53=0,"",CHOOSE($AF53,IF(INDEX(nINT_K_HasC,$AH53)=1,INDEX(nINT_Constraint_Source,$AH53)&amp;"",""),"","","","","","","","","","",""))</f>
        <v/>
      </c>
      <c r="BE53" s="1" t="str">
        <f>IF($AF53=0,"",CHOOSE($AF53,"",INDEX(nQ1_Results_Text,$AH53)&amp;"",INDEX(nQ2_Results_Text,$AH53)&amp;"",INDEX(nQ3_Results_Text,$AH53)&amp;"",INDEX(nQ4_Results_Text,$AH53)&amp;"",INDEX(nQ5_Results_Text,$AH53)&amp;"",INDEX(nQ6_Results_Text,$AH53)&amp;"",INDEX(nQ7_Results_Text,$AH53)&amp;"",INDEX(nQ8_Results_Text,$AH53)&amp;"",INDEX(nQ9_Results_Text,$AH53)&amp;"",INDEX(nQ10_Results_Text,$AH53)&amp;"",INDEX(nQ11_Results_Text,$AH53)&amp;""))</f>
        <v/>
      </c>
      <c r="BF53" s="1" t="str">
        <f>IF($AF53=0,"",CHOOSE($AF53,INDEX(nINT_Parameter_Set,$AH53)&amp;"",INDEX(nQ1_Parameter_Set,$AH53)&amp;"",INDEX(nQ2_Parameter_Set,$AH53)&amp;"",INDEX(nQ3_Parameter_Set,$AH53)&amp;"",INDEX(nQ4_Parameter_Set,$AH53)&amp;"",INDEX(nQ5_Parameter_Set,$AH53)&amp;"",INDEX(nQ6_Parameter_Set,$AH53)&amp;"",INDEX(nQ7_Parameter_Set,$AH53)&amp;"",INDEX(nQ8_Parameter_Set,$AH53)&amp;"",INDEX(nQ9_Parameter_Set,$AH53)&amp;"",INDEX(nQ10_Parameter_Set,$AH53)&amp;"",INDEX(nQ11_Parameter_Set,$AH53)&amp;""))</f>
        <v/>
      </c>
      <c r="BG53" s="1" t="str">
        <f>IF($AF53=0,"",CHOOSE($AF53,INDEX(nINT_Assumptions,$AH53)&amp;"",INDEX(nQ1_Assumptions,$AH53)&amp;"",INDEX(nQ2_Assumptions,$AH53)&amp;"",INDEX(nQ3_Assumptions,$AH53)&amp;"",INDEX(nQ4_Assumptions,$AH53)&amp;"",INDEX(nQ5_Assumptions,$AH53)&amp;"",INDEX(nQ6_Assumptions,$AH53)&amp;"",INDEX(nQ7_Assumptions,$AH53)&amp;"",INDEX(nQ8_Assumptions,$AH53)&amp;"",INDEX(nQ9_Assumptions,$AH53)&amp;"",INDEX(nQ10_Assumptions,$AH53)&amp;"",INDEX(nQ11_Assumptions,$AH53)&amp;""))</f>
        <v/>
      </c>
      <c r="BH53" s="1" t="str">
        <f>IF($AF53=0,"",CHOOSE($AF53,INDEX(nINT_Calculation_Version,$AH53)&amp;"",INDEX(nQ1_Calculation_Version,$AH53)&amp;"",INDEX(nQ2_Calculation_Version,$AH53)&amp;"",INDEX(nQ3_Calculation_Version,$AH53)&amp;"",INDEX(nQ4_Calculation_Version,$AH53)&amp;"",INDEX(nQ5_Calculation_Version,$AH53)&amp;"",INDEX(nQ6_Calculation_Version,$AH53)&amp;"",INDEX(nQ7_Calculation_Version,$AH53)&amp;"",INDEX(nQ8_Calculation_Version,$AH53)&amp;"",INDEX(nQ9_Calculation_Version,$AH53)&amp;"",INDEX(nQ10_Calculation_Version,$AH53)&amp;"",INDEX(nQ11_Calculation_Version,$AH53)&amp;""))</f>
        <v/>
      </c>
      <c r="BI53" s="1" t="str">
        <f>IF($AF53=0,"",CHOOSE($AF53,INDEX(nINT_QC_Flags,$AH53)&amp;"",INDEX(nQ1_QC_Flags,$AH53)&amp;"",INDEX(nQ2_QC_Flags,$AH53)&amp;"",INDEX(nQ3_QC_Flags,$AH53)&amp;"",INDEX(nQ4_QC_Flags,$AH53)&amp;"",INDEX(nQ5_QC_Flags,$AH53)&amp;"",INDEX(nQ6_QC_Flags,$AH53)&amp;"",INDEX(nQ7_QC_Flags,$AH53)&amp;"",INDEX(nQ8_QC_Flags,$AH53)&amp;"",INDEX(nQ9_QC_Flags,$AH53)&amp;"",INDEX(nQ10_QC_Flags,$AH53)&amp;"",INDEX(nQ11_QC_Flags,$AH53)&amp;""))</f>
        <v/>
      </c>
      <c r="BJ53" s="1" t="str">
        <f>IF($AF53=0,"",CHOOSE($AF53,INDEX(nINT_Messages,$AH53)&amp;"",INDEX(nQ1_Messages,$AH53)&amp;"",INDEX(nQ2_Messages,$AH53)&amp;"",INDEX(nQ3_Messages,$AH53)&amp;"",INDEX(nQ4_Messages,$AH53)&amp;"",INDEX(nQ5_Messages,$AH53)&amp;"",INDEX(nQ6_Messages,$AH53)&amp;"",INDEX(nQ7_Messages,$AH53)&amp;"",INDEX(nQ8_Messages,$AH53)&amp;"",INDEX(nQ9_Messages,$AH53)&amp;"",INDEX(nQ10_Messages,$AH53)&amp;"",INDEX(nQ11_Messages,$AH53)&amp;""))</f>
        <v/>
      </c>
      <c r="BK53" s="1" t="str">
        <f>IF($AF53=0,"",CHOOSE($AF53,INDEX(nINT_Limitations,$AH53)&amp;"",INDEX(nQ1_Mandatory_Text,$AH53)&amp;"",INDEX(nQ2_Mandatory_Text,$AH53)&amp;"",INDEX(nQ3_Mandatory_Text,$AH53)&amp;"",INDEX(nQ4_Mandatory_Text,$AH53)&amp;"",INDEX(nQ5_Mandatory_Text,$AH53)&amp;"",INDEX(nQ6_Mandatory_Text,$AH53)&amp;"",INDEX(nQ7_Mandatory_Text,$AH53)&amp;"",INDEX(nQ8_Mandatory_Text,$AH53)&amp;"",INDEX(nQ9_Mandatory_Text,$AH53)&amp;"",INDEX(nQ10_Mandatory_Text,$AH53)&amp;"",INDEX(nQ11_Mandatory_Text,$AH53)&amp;""))</f>
        <v/>
      </c>
      <c r="BL53" s="1" t="str">
        <f t="shared" si="33"/>
        <v/>
      </c>
      <c r="BM53" s="1" t="str">
        <f t="shared" si="34"/>
        <v/>
      </c>
    </row>
    <row r="54" spans="1:65" x14ac:dyDescent="0.2">
      <c r="A54" s="21" t="str">
        <f t="shared" si="0"/>
        <v/>
      </c>
      <c r="B54" s="21" t="str">
        <f t="shared" si="1"/>
        <v/>
      </c>
      <c r="C54" s="21" t="str">
        <f t="shared" si="2"/>
        <v/>
      </c>
      <c r="D54" s="21" t="str">
        <f t="shared" si="3"/>
        <v/>
      </c>
      <c r="E54" s="21" t="str">
        <f t="shared" si="4"/>
        <v/>
      </c>
      <c r="F54" s="21" t="str">
        <f t="shared" si="5"/>
        <v/>
      </c>
      <c r="G54" s="21" t="str">
        <f t="shared" si="6"/>
        <v/>
      </c>
      <c r="H54" s="21" t="str">
        <f t="shared" si="7"/>
        <v/>
      </c>
      <c r="I54" s="21" t="str">
        <f t="shared" si="8"/>
        <v/>
      </c>
      <c r="J54" s="21" t="str">
        <f t="shared" si="9"/>
        <v/>
      </c>
      <c r="K54" s="21" t="str">
        <f t="shared" si="10"/>
        <v/>
      </c>
      <c r="L54" s="21" t="str">
        <f t="shared" si="11"/>
        <v/>
      </c>
      <c r="M54" s="21" t="str">
        <f t="shared" si="12"/>
        <v/>
      </c>
      <c r="N54" s="21" t="str">
        <f t="shared" si="13"/>
        <v/>
      </c>
      <c r="O54" s="21" t="str">
        <f t="shared" si="14"/>
        <v/>
      </c>
      <c r="P54" s="21" t="str">
        <f t="shared" si="15"/>
        <v/>
      </c>
      <c r="Q54" s="21" t="str">
        <f t="shared" si="16"/>
        <v/>
      </c>
      <c r="R54" s="21" t="str">
        <f t="shared" si="17"/>
        <v/>
      </c>
      <c r="S54" s="21" t="str">
        <f t="shared" si="18"/>
        <v/>
      </c>
      <c r="T54" s="21" t="str">
        <f t="shared" si="19"/>
        <v/>
      </c>
      <c r="U54" s="21" t="str">
        <f t="shared" si="20"/>
        <v/>
      </c>
      <c r="V54" s="21" t="str">
        <f t="shared" si="21"/>
        <v/>
      </c>
      <c r="W54" s="21" t="str">
        <f t="shared" si="22"/>
        <v/>
      </c>
      <c r="X54" s="21" t="str">
        <f t="shared" si="23"/>
        <v/>
      </c>
      <c r="Y54" s="21" t="str">
        <f t="shared" si="24"/>
        <v/>
      </c>
      <c r="Z54" s="21" t="str">
        <f t="shared" si="25"/>
        <v/>
      </c>
      <c r="AA54" s="21" t="str">
        <f t="shared" si="26"/>
        <v/>
      </c>
      <c r="AB54" s="21" t="str">
        <f t="shared" si="27"/>
        <v/>
      </c>
      <c r="AC54" s="21" t="str">
        <f t="shared" si="28"/>
        <v/>
      </c>
      <c r="AD54" s="21" t="str">
        <f t="shared" si="29"/>
        <v/>
      </c>
      <c r="AE54" s="1">
        <f t="shared" si="30"/>
        <v>47</v>
      </c>
      <c r="AF54" s="1">
        <f t="shared" si="31"/>
        <v>0</v>
      </c>
      <c r="AG54" s="1">
        <f t="shared" si="32"/>
        <v>0</v>
      </c>
      <c r="AH54" s="1">
        <f>IF(AF54=0,0,CHOOSE(AF54,IFERROR(_xlfn.AGGREGATE(15,6,(ROW(nINT_CaseKey)-ROW(INDEX(nINT_CaseKey,1,1))+1)/((nINT_CaseKey=$H$4)*(nINT_RowEmpty=0)),AG54),0),IFERROR(_xlfn.AGGREGATE(15,6,(ROW(nQ1_CaseKey)-ROW(INDEX(nQ1_CaseKey,1,1))+1)/((nQ1_CaseKey=$H$4)),AG54),0),IFERROR(_xlfn.AGGREGATE(15,6,(ROW(nQ2_CaseKey)-ROW(INDEX(nQ2_CaseKey,1,1))+1)/((nQ2_CaseKey=$H$4)),AG54),0),IFERROR(_xlfn.AGGREGATE(15,6,(ROW(nQ3_CaseKey)-ROW(INDEX(nQ3_CaseKey,1,1))+1)/((nQ3_CaseKey=$H$4)),AG54),0),IFERROR(_xlfn.AGGREGATE(15,6,(ROW(nQ4_CaseKey)-ROW(INDEX(nQ4_CaseKey,1,1))+1)/((nQ4_CaseKey=$H$4)),AG54),0),IFERROR(_xlfn.AGGREGATE(15,6,(ROW(nQ5_CaseKey)-ROW(INDEX(nQ5_CaseKey,1,1))+1)/((nQ5_CaseKey=$H$4)),AG54),0),IFERROR(_xlfn.AGGREGATE(15,6,(ROW(nQ6_CaseKey)-ROW(INDEX(nQ6_CaseKey,1,1))+1)/((nQ6_CaseKey=$H$4)),AG54),0),IFERROR(_xlfn.AGGREGATE(15,6,(ROW(nQ7_CaseKey)-ROW(INDEX(nQ7_CaseKey,1,1))+1)/((nQ7_CaseKey=$H$4)),AG54),0),IFERROR(_xlfn.AGGREGATE(15,6,(ROW(nQ8_CaseKey)-ROW(INDEX(nQ8_CaseKey,1,1))+1)/((nQ8_CaseKey=$H$4)),AG54),0),IFERROR(_xlfn.AGGREGATE(15,6,(ROW(nQ9_CaseKey)-ROW(INDEX(nQ9_CaseKey,1,1))+1)/((nQ9_CaseKey=$H$4)),AG54),0),IFERROR(_xlfn.AGGREGATE(15,6,(ROW(nQ10_CaseKey)-ROW(INDEX(nQ10_CaseKey,1,1))+1)/((nQ10_CaseKey=$H$4)),AG54),0),IFERROR(_xlfn.AGGREGATE(15,6,(ROW(nQ11_CaseKey)-ROW(INDEX(nQ11_CaseKey,1,1))+1)/((nQ11_CaseKey=$H$4)),AG54),0)))</f>
        <v>0</v>
      </c>
      <c r="AJ54" s="1" t="str">
        <f>IF($AF54=0,"",CHOOSE($AF54,INDEX(nINT_Case_ID,$AH54)&amp;"",INDEX(nQ1_Case_ID,$AH54)&amp;"",INDEX(nQ2_Case_ID,$AH54)&amp;"",INDEX(nQ3_Case_ID,$AH54)&amp;"",INDEX(nQ4_Case_ID,$AH54)&amp;"",INDEX(nQ5_Case_ID,$AH54)&amp;"",INDEX(nQ6_Case_ID,$AH54)&amp;"",INDEX(nQ7_Case_ID,$AH54)&amp;"",INDEX(nQ8_Case_ID,$AH54)&amp;"",INDEX(nQ9_Case_ID,$AH54)&amp;"",INDEX(nQ10_Case_ID,$AH54)&amp;"",INDEX(nQ11_Case_ID,$AH54)&amp;""))</f>
        <v/>
      </c>
      <c r="AK54" s="1" t="str">
        <f>IF($AF54=0,"",CHOOSE($AF54,INDEX(nINT_Case_Version,$AH54),INDEX(nQ1_Case_Version,$AH54),INDEX(nQ2_Case_Version,$AH54),INDEX(nQ3_Case_Version,$AH54),INDEX(nQ4_Case_Version,$AH54),INDEX(nQ5_Case_Version,$AH54),INDEX(nQ6_Case_Version,$AH54),INDEX(nQ7_Case_Version,$AH54),INDEX(nQ8_Case_Version,$AH54),INDEX(nQ9_Case_Version,$AH54),INDEX(nQ10_Case_Version,$AH54),INDEX(nQ11_Case_Version,$AH54)))</f>
        <v/>
      </c>
      <c r="AL54" s="1" t="str">
        <f>IF($AF54=0,"",CHOOSE($AF54,INDEX(nINT_Interval_ID,$AH54)&amp;"",INDEX(nQ1_Calc_ID,$AH54)&amp;"",INDEX(nQ2_Calc_ID,$AH54)&amp;"",INDEX(nQ3_Calc_ID,$AH54)&amp;"",INDEX(nQ4_Calc_ID,$AH54)&amp;"",INDEX(nQ5_Calc_ID,$AH54)&amp;"",INDEX(nQ6_Calc_ID,$AH54)&amp;"",INDEX(nQ7_Calc_ID,$AH54)&amp;"",INDEX(nQ8_Calc_ID,$AH54)&amp;"",INDEX(nQ9_Calc_ID,$AH54)&amp;"",INDEX(nQ10_Calc_ID,$AH54)&amp;"",INDEX(nQ11_Calc_ID,$AH54)&amp;""))</f>
        <v/>
      </c>
      <c r="AM54" s="1" t="str">
        <f>IF($AF54=0,"",CHOOSE($AF54,INDEX(nINT_Label,$AH54)&amp;"",INDEX(nQ1_Label_Out,$AH54)&amp;"",INDEX(nQ2_Label_Out,$AH54)&amp;"",INDEX(nQ3_Label_Out,$AH54)&amp;"",INDEX(nQ4_Label_Out,$AH54)&amp;"",INDEX(nQ5_Label_Out,$AH54)&amp;"",INDEX(nQ6_Label_Out,$AH54)&amp;"",INDEX(nQ7_Label_Out,$AH54)&amp;"",INDEX(nQ8_Label_Out,$AH54)&amp;"",INDEX(nQ9_Label_Out,$AH54)&amp;"",INDEX(nQ10_Label_Out,$AH54)&amp;"",INDEX(nQ11_Label_Out,$AH54)&amp;""))</f>
        <v/>
      </c>
      <c r="AN54" s="1" t="str">
        <f>IF($AF54=0,"",CHOOSE($AF54,IF(INDEX(nINT_LinkRow,$AH54)=0,"",INDEX(nINT_Link_ID,$AH54)&amp;""),"","","","","","","","","","",""))</f>
        <v/>
      </c>
      <c r="AO54" s="1" t="str">
        <f>IF($AF54=0,"",CHOOSE($AF54,INDEX(nINT_Exposure_Episode_ID,$AH54)&amp;"","","","","","","","","","","",""))</f>
        <v/>
      </c>
      <c r="AP54" s="1" t="str">
        <f>IF($AF54=0,"",CHOOSE($AF54,INDEX(nINT_Event_Episode_ID,$AH54)&amp;"","","","","","","","","","","",""))</f>
        <v/>
      </c>
      <c r="AQ54" s="1" t="str">
        <f>IF($AF54=0,"",CHOOSE($AF54,INDEX(nINT_End_Record_ID_Used,$AH54)&amp;"","","","","","","","","","","",""))</f>
        <v/>
      </c>
      <c r="AR54" s="1" t="str">
        <f>IF($AF54=0,"",CHOOSE($AF54,INDEX(nINT_Interval_Value,$AH54),"","","","","","","","","","",""))</f>
        <v/>
      </c>
      <c r="AS54" s="1" t="str">
        <f>IF($AF54=0,"",CHOOSE($AF54,INDEX(nINT_Interval_Minimum,$AH54),"","","","","","","","","","",""))</f>
        <v/>
      </c>
      <c r="AT54" s="1" t="str">
        <f>IF($AF54=0,"",CHOOSE($AF54,INDEX(nINT_Interval_Maximum,$AH54),"","","","","","","","","","",""))</f>
        <v/>
      </c>
      <c r="AU54" s="1" t="str">
        <f>IF($AF54=0,"",CHOOSE($AF54,INDEX(nINT_Unit,$AH54)&amp;"",INDEX(nQ1_Unit_Out,$AH54)&amp;"",INDEX(nQ2_Unit_Out,$AH54)&amp;"",INDEX(nQ3_Unit_Out,$AH54)&amp;"",INDEX(nQ4_Unit_Out,$AH54)&amp;"",INDEX(nQ5_Unit_Out,$AH54)&amp;"",INDEX(nQ6_Unit_Out,$AH54)&amp;"",INDEX(nQ7_Unit_Out,$AH54)&amp;"",INDEX(nQ8_Unit_Out,$AH54)&amp;"",INDEX(nQ9_Unit_Out,$AH54)&amp;"",INDEX(nQ10_Unit_Out,$AH54)&amp;"",INDEX(nQ11_Unit_Out,$AH54)&amp;""))</f>
        <v/>
      </c>
      <c r="AV54" s="1" t="str">
        <f>IF($AF54=0,"",CHOOSE($AF54,INDEX(nINT_Displayed_Value,$AH54)&amp;"",INDEX(nQ1_Displayed_Value,$AH54)&amp;"",INDEX(nQ2_Displayed_Value,$AH54)&amp;"",INDEX(nQ3_Displayed_Value,$AH54)&amp;"",INDEX(nQ4_Displayed_Value,$AH54)&amp;"",INDEX(nQ5_Displayed_Value,$AH54)&amp;"",INDEX(nQ6_Displayed_Value,$AH54)&amp;"",INDEX(nQ7_Displayed_Value,$AH54)&amp;"",INDEX(nQ8_Displayed_Value,$AH54)&amp;"",INDEX(nQ9_Displayed_Value,$AH54)&amp;"",INDEX(nQ10_Displayed_Value,$AH54)&amp;"",INDEX(nQ11_Displayed_Value,$AH54)&amp;""))</f>
        <v/>
      </c>
      <c r="AW54" s="1" t="str">
        <f>IF($AF54=0,"",CHOOSE($AF54,INDEX(nINT_Calculation_Mode_Used,$AH54)&amp;"","Q1","Q2","Q3","Q4","Q5","Q6","Q7","Q8","Q9","Q10","Q11"))</f>
        <v/>
      </c>
      <c r="AX54" s="1" t="str">
        <f>IF($AF54=0,"",CHOOSE($AF54,INDEX(nINT_Anchor_Type,$AH54)&amp;"","","","","","","","","","","",""))</f>
        <v/>
      </c>
      <c r="AY54" s="1" t="str">
        <f>IF($AF54=0,"",CHOOSE($AF54,IF(INDEX(nINT_K_Ok,$AH54)=1,INDEX(nINT_Anchor_Record_ID_Used,$AH54)&amp;"",""),"","","","","","","","","","",""))</f>
        <v/>
      </c>
      <c r="AZ54" s="1" t="str">
        <f>IF($AF54=0,"",CHOOSE($AF54,INDEX(nINT_Anchor_Description,$AH54)&amp;"","","","","","","","","","","",""))</f>
        <v/>
      </c>
      <c r="BA54" s="1" t="str">
        <f>IF($AF54=0,"",CHOOSE($AF54,INDEX(nINT_Sequence_Status,$AH54)&amp;"","","","","","","","","","","",""))</f>
        <v/>
      </c>
      <c r="BB54" s="1" t="str">
        <f>IF($AF54=0,"",CHOOSE($AF54,INDEX(nINT_Treatment_Day,$AH54),"","","","","","","","","","",""))</f>
        <v/>
      </c>
      <c r="BC54" s="1" t="str">
        <f>IF($AF54=0,"",CHOOSE($AF54,INDEX(nINT_Reported_Timing_Result,$AH54)&amp;"","","","","","","","","","","",""))</f>
        <v/>
      </c>
      <c r="BD54" s="1" t="str">
        <f>IF($AF54=0,"",CHOOSE($AF54,IF(INDEX(nINT_K_HasC,$AH54)=1,INDEX(nINT_Constraint_Source,$AH54)&amp;"",""),"","","","","","","","","","",""))</f>
        <v/>
      </c>
      <c r="BE54" s="1" t="str">
        <f>IF($AF54=0,"",CHOOSE($AF54,"",INDEX(nQ1_Results_Text,$AH54)&amp;"",INDEX(nQ2_Results_Text,$AH54)&amp;"",INDEX(nQ3_Results_Text,$AH54)&amp;"",INDEX(nQ4_Results_Text,$AH54)&amp;"",INDEX(nQ5_Results_Text,$AH54)&amp;"",INDEX(nQ6_Results_Text,$AH54)&amp;"",INDEX(nQ7_Results_Text,$AH54)&amp;"",INDEX(nQ8_Results_Text,$AH54)&amp;"",INDEX(nQ9_Results_Text,$AH54)&amp;"",INDEX(nQ10_Results_Text,$AH54)&amp;"",INDEX(nQ11_Results_Text,$AH54)&amp;""))</f>
        <v/>
      </c>
      <c r="BF54" s="1" t="str">
        <f>IF($AF54=0,"",CHOOSE($AF54,INDEX(nINT_Parameter_Set,$AH54)&amp;"",INDEX(nQ1_Parameter_Set,$AH54)&amp;"",INDEX(nQ2_Parameter_Set,$AH54)&amp;"",INDEX(nQ3_Parameter_Set,$AH54)&amp;"",INDEX(nQ4_Parameter_Set,$AH54)&amp;"",INDEX(nQ5_Parameter_Set,$AH54)&amp;"",INDEX(nQ6_Parameter_Set,$AH54)&amp;"",INDEX(nQ7_Parameter_Set,$AH54)&amp;"",INDEX(nQ8_Parameter_Set,$AH54)&amp;"",INDEX(nQ9_Parameter_Set,$AH54)&amp;"",INDEX(nQ10_Parameter_Set,$AH54)&amp;"",INDEX(nQ11_Parameter_Set,$AH54)&amp;""))</f>
        <v/>
      </c>
      <c r="BG54" s="1" t="str">
        <f>IF($AF54=0,"",CHOOSE($AF54,INDEX(nINT_Assumptions,$AH54)&amp;"",INDEX(nQ1_Assumptions,$AH54)&amp;"",INDEX(nQ2_Assumptions,$AH54)&amp;"",INDEX(nQ3_Assumptions,$AH54)&amp;"",INDEX(nQ4_Assumptions,$AH54)&amp;"",INDEX(nQ5_Assumptions,$AH54)&amp;"",INDEX(nQ6_Assumptions,$AH54)&amp;"",INDEX(nQ7_Assumptions,$AH54)&amp;"",INDEX(nQ8_Assumptions,$AH54)&amp;"",INDEX(nQ9_Assumptions,$AH54)&amp;"",INDEX(nQ10_Assumptions,$AH54)&amp;"",INDEX(nQ11_Assumptions,$AH54)&amp;""))</f>
        <v/>
      </c>
      <c r="BH54" s="1" t="str">
        <f>IF($AF54=0,"",CHOOSE($AF54,INDEX(nINT_Calculation_Version,$AH54)&amp;"",INDEX(nQ1_Calculation_Version,$AH54)&amp;"",INDEX(nQ2_Calculation_Version,$AH54)&amp;"",INDEX(nQ3_Calculation_Version,$AH54)&amp;"",INDEX(nQ4_Calculation_Version,$AH54)&amp;"",INDEX(nQ5_Calculation_Version,$AH54)&amp;"",INDEX(nQ6_Calculation_Version,$AH54)&amp;"",INDEX(nQ7_Calculation_Version,$AH54)&amp;"",INDEX(nQ8_Calculation_Version,$AH54)&amp;"",INDEX(nQ9_Calculation_Version,$AH54)&amp;"",INDEX(nQ10_Calculation_Version,$AH54)&amp;"",INDEX(nQ11_Calculation_Version,$AH54)&amp;""))</f>
        <v/>
      </c>
      <c r="BI54" s="1" t="str">
        <f>IF($AF54=0,"",CHOOSE($AF54,INDEX(nINT_QC_Flags,$AH54)&amp;"",INDEX(nQ1_QC_Flags,$AH54)&amp;"",INDEX(nQ2_QC_Flags,$AH54)&amp;"",INDEX(nQ3_QC_Flags,$AH54)&amp;"",INDEX(nQ4_QC_Flags,$AH54)&amp;"",INDEX(nQ5_QC_Flags,$AH54)&amp;"",INDEX(nQ6_QC_Flags,$AH54)&amp;"",INDEX(nQ7_QC_Flags,$AH54)&amp;"",INDEX(nQ8_QC_Flags,$AH54)&amp;"",INDEX(nQ9_QC_Flags,$AH54)&amp;"",INDEX(nQ10_QC_Flags,$AH54)&amp;"",INDEX(nQ11_QC_Flags,$AH54)&amp;""))</f>
        <v/>
      </c>
      <c r="BJ54" s="1" t="str">
        <f>IF($AF54=0,"",CHOOSE($AF54,INDEX(nINT_Messages,$AH54)&amp;"",INDEX(nQ1_Messages,$AH54)&amp;"",INDEX(nQ2_Messages,$AH54)&amp;"",INDEX(nQ3_Messages,$AH54)&amp;"",INDEX(nQ4_Messages,$AH54)&amp;"",INDEX(nQ5_Messages,$AH54)&amp;"",INDEX(nQ6_Messages,$AH54)&amp;"",INDEX(nQ7_Messages,$AH54)&amp;"",INDEX(nQ8_Messages,$AH54)&amp;"",INDEX(nQ9_Messages,$AH54)&amp;"",INDEX(nQ10_Messages,$AH54)&amp;"",INDEX(nQ11_Messages,$AH54)&amp;""))</f>
        <v/>
      </c>
      <c r="BK54" s="1" t="str">
        <f>IF($AF54=0,"",CHOOSE($AF54,INDEX(nINT_Limitations,$AH54)&amp;"",INDEX(nQ1_Mandatory_Text,$AH54)&amp;"",INDEX(nQ2_Mandatory_Text,$AH54)&amp;"",INDEX(nQ3_Mandatory_Text,$AH54)&amp;"",INDEX(nQ4_Mandatory_Text,$AH54)&amp;"",INDEX(nQ5_Mandatory_Text,$AH54)&amp;"",INDEX(nQ6_Mandatory_Text,$AH54)&amp;"",INDEX(nQ7_Mandatory_Text,$AH54)&amp;"",INDEX(nQ8_Mandatory_Text,$AH54)&amp;"",INDEX(nQ9_Mandatory_Text,$AH54)&amp;"",INDEX(nQ10_Mandatory_Text,$AH54)&amp;"",INDEX(nQ11_Mandatory_Text,$AH54)&amp;""))</f>
        <v/>
      </c>
      <c r="BL54" s="1" t="str">
        <f t="shared" si="33"/>
        <v/>
      </c>
      <c r="BM54" s="1" t="str">
        <f t="shared" si="34"/>
        <v/>
      </c>
    </row>
    <row r="55" spans="1:65" x14ac:dyDescent="0.2">
      <c r="A55" s="21" t="str">
        <f t="shared" si="0"/>
        <v/>
      </c>
      <c r="B55" s="21" t="str">
        <f t="shared" si="1"/>
        <v/>
      </c>
      <c r="C55" s="21" t="str">
        <f t="shared" si="2"/>
        <v/>
      </c>
      <c r="D55" s="21" t="str">
        <f t="shared" si="3"/>
        <v/>
      </c>
      <c r="E55" s="21" t="str">
        <f t="shared" si="4"/>
        <v/>
      </c>
      <c r="F55" s="21" t="str">
        <f t="shared" si="5"/>
        <v/>
      </c>
      <c r="G55" s="21" t="str">
        <f t="shared" si="6"/>
        <v/>
      </c>
      <c r="H55" s="21" t="str">
        <f t="shared" si="7"/>
        <v/>
      </c>
      <c r="I55" s="21" t="str">
        <f t="shared" si="8"/>
        <v/>
      </c>
      <c r="J55" s="21" t="str">
        <f t="shared" si="9"/>
        <v/>
      </c>
      <c r="K55" s="21" t="str">
        <f t="shared" si="10"/>
        <v/>
      </c>
      <c r="L55" s="21" t="str">
        <f t="shared" si="11"/>
        <v/>
      </c>
      <c r="M55" s="21" t="str">
        <f t="shared" si="12"/>
        <v/>
      </c>
      <c r="N55" s="21" t="str">
        <f t="shared" si="13"/>
        <v/>
      </c>
      <c r="O55" s="21" t="str">
        <f t="shared" si="14"/>
        <v/>
      </c>
      <c r="P55" s="21" t="str">
        <f t="shared" si="15"/>
        <v/>
      </c>
      <c r="Q55" s="21" t="str">
        <f t="shared" si="16"/>
        <v/>
      </c>
      <c r="R55" s="21" t="str">
        <f t="shared" si="17"/>
        <v/>
      </c>
      <c r="S55" s="21" t="str">
        <f t="shared" si="18"/>
        <v/>
      </c>
      <c r="T55" s="21" t="str">
        <f t="shared" si="19"/>
        <v/>
      </c>
      <c r="U55" s="21" t="str">
        <f t="shared" si="20"/>
        <v/>
      </c>
      <c r="V55" s="21" t="str">
        <f t="shared" si="21"/>
        <v/>
      </c>
      <c r="W55" s="21" t="str">
        <f t="shared" si="22"/>
        <v/>
      </c>
      <c r="X55" s="21" t="str">
        <f t="shared" si="23"/>
        <v/>
      </c>
      <c r="Y55" s="21" t="str">
        <f t="shared" si="24"/>
        <v/>
      </c>
      <c r="Z55" s="21" t="str">
        <f t="shared" si="25"/>
        <v/>
      </c>
      <c r="AA55" s="21" t="str">
        <f t="shared" si="26"/>
        <v/>
      </c>
      <c r="AB55" s="21" t="str">
        <f t="shared" si="27"/>
        <v/>
      </c>
      <c r="AC55" s="21" t="str">
        <f t="shared" si="28"/>
        <v/>
      </c>
      <c r="AD55" s="21" t="str">
        <f t="shared" si="29"/>
        <v/>
      </c>
      <c r="AE55" s="1">
        <f t="shared" si="30"/>
        <v>48</v>
      </c>
      <c r="AF55" s="1">
        <f t="shared" si="31"/>
        <v>0</v>
      </c>
      <c r="AG55" s="1">
        <f t="shared" si="32"/>
        <v>0</v>
      </c>
      <c r="AH55" s="1">
        <f>IF(AF55=0,0,CHOOSE(AF55,IFERROR(_xlfn.AGGREGATE(15,6,(ROW(nINT_CaseKey)-ROW(INDEX(nINT_CaseKey,1,1))+1)/((nINT_CaseKey=$H$4)*(nINT_RowEmpty=0)),AG55),0),IFERROR(_xlfn.AGGREGATE(15,6,(ROW(nQ1_CaseKey)-ROW(INDEX(nQ1_CaseKey,1,1))+1)/((nQ1_CaseKey=$H$4)),AG55),0),IFERROR(_xlfn.AGGREGATE(15,6,(ROW(nQ2_CaseKey)-ROW(INDEX(nQ2_CaseKey,1,1))+1)/((nQ2_CaseKey=$H$4)),AG55),0),IFERROR(_xlfn.AGGREGATE(15,6,(ROW(nQ3_CaseKey)-ROW(INDEX(nQ3_CaseKey,1,1))+1)/((nQ3_CaseKey=$H$4)),AG55),0),IFERROR(_xlfn.AGGREGATE(15,6,(ROW(nQ4_CaseKey)-ROW(INDEX(nQ4_CaseKey,1,1))+1)/((nQ4_CaseKey=$H$4)),AG55),0),IFERROR(_xlfn.AGGREGATE(15,6,(ROW(nQ5_CaseKey)-ROW(INDEX(nQ5_CaseKey,1,1))+1)/((nQ5_CaseKey=$H$4)),AG55),0),IFERROR(_xlfn.AGGREGATE(15,6,(ROW(nQ6_CaseKey)-ROW(INDEX(nQ6_CaseKey,1,1))+1)/((nQ6_CaseKey=$H$4)),AG55),0),IFERROR(_xlfn.AGGREGATE(15,6,(ROW(nQ7_CaseKey)-ROW(INDEX(nQ7_CaseKey,1,1))+1)/((nQ7_CaseKey=$H$4)),AG55),0),IFERROR(_xlfn.AGGREGATE(15,6,(ROW(nQ8_CaseKey)-ROW(INDEX(nQ8_CaseKey,1,1))+1)/((nQ8_CaseKey=$H$4)),AG55),0),IFERROR(_xlfn.AGGREGATE(15,6,(ROW(nQ9_CaseKey)-ROW(INDEX(nQ9_CaseKey,1,1))+1)/((nQ9_CaseKey=$H$4)),AG55),0),IFERROR(_xlfn.AGGREGATE(15,6,(ROW(nQ10_CaseKey)-ROW(INDEX(nQ10_CaseKey,1,1))+1)/((nQ10_CaseKey=$H$4)),AG55),0),IFERROR(_xlfn.AGGREGATE(15,6,(ROW(nQ11_CaseKey)-ROW(INDEX(nQ11_CaseKey,1,1))+1)/((nQ11_CaseKey=$H$4)),AG55),0)))</f>
        <v>0</v>
      </c>
      <c r="AJ55" s="1" t="str">
        <f>IF($AF55=0,"",CHOOSE($AF55,INDEX(nINT_Case_ID,$AH55)&amp;"",INDEX(nQ1_Case_ID,$AH55)&amp;"",INDEX(nQ2_Case_ID,$AH55)&amp;"",INDEX(nQ3_Case_ID,$AH55)&amp;"",INDEX(nQ4_Case_ID,$AH55)&amp;"",INDEX(nQ5_Case_ID,$AH55)&amp;"",INDEX(nQ6_Case_ID,$AH55)&amp;"",INDEX(nQ7_Case_ID,$AH55)&amp;"",INDEX(nQ8_Case_ID,$AH55)&amp;"",INDEX(nQ9_Case_ID,$AH55)&amp;"",INDEX(nQ10_Case_ID,$AH55)&amp;"",INDEX(nQ11_Case_ID,$AH55)&amp;""))</f>
        <v/>
      </c>
      <c r="AK55" s="1" t="str">
        <f>IF($AF55=0,"",CHOOSE($AF55,INDEX(nINT_Case_Version,$AH55),INDEX(nQ1_Case_Version,$AH55),INDEX(nQ2_Case_Version,$AH55),INDEX(nQ3_Case_Version,$AH55),INDEX(nQ4_Case_Version,$AH55),INDEX(nQ5_Case_Version,$AH55),INDEX(nQ6_Case_Version,$AH55),INDEX(nQ7_Case_Version,$AH55),INDEX(nQ8_Case_Version,$AH55),INDEX(nQ9_Case_Version,$AH55),INDEX(nQ10_Case_Version,$AH55),INDEX(nQ11_Case_Version,$AH55)))</f>
        <v/>
      </c>
      <c r="AL55" s="1" t="str">
        <f>IF($AF55=0,"",CHOOSE($AF55,INDEX(nINT_Interval_ID,$AH55)&amp;"",INDEX(nQ1_Calc_ID,$AH55)&amp;"",INDEX(nQ2_Calc_ID,$AH55)&amp;"",INDEX(nQ3_Calc_ID,$AH55)&amp;"",INDEX(nQ4_Calc_ID,$AH55)&amp;"",INDEX(nQ5_Calc_ID,$AH55)&amp;"",INDEX(nQ6_Calc_ID,$AH55)&amp;"",INDEX(nQ7_Calc_ID,$AH55)&amp;"",INDEX(nQ8_Calc_ID,$AH55)&amp;"",INDEX(nQ9_Calc_ID,$AH55)&amp;"",INDEX(nQ10_Calc_ID,$AH55)&amp;"",INDEX(nQ11_Calc_ID,$AH55)&amp;""))</f>
        <v/>
      </c>
      <c r="AM55" s="1" t="str">
        <f>IF($AF55=0,"",CHOOSE($AF55,INDEX(nINT_Label,$AH55)&amp;"",INDEX(nQ1_Label_Out,$AH55)&amp;"",INDEX(nQ2_Label_Out,$AH55)&amp;"",INDEX(nQ3_Label_Out,$AH55)&amp;"",INDEX(nQ4_Label_Out,$AH55)&amp;"",INDEX(nQ5_Label_Out,$AH55)&amp;"",INDEX(nQ6_Label_Out,$AH55)&amp;"",INDEX(nQ7_Label_Out,$AH55)&amp;"",INDEX(nQ8_Label_Out,$AH55)&amp;"",INDEX(nQ9_Label_Out,$AH55)&amp;"",INDEX(nQ10_Label_Out,$AH55)&amp;"",INDEX(nQ11_Label_Out,$AH55)&amp;""))</f>
        <v/>
      </c>
      <c r="AN55" s="1" t="str">
        <f>IF($AF55=0,"",CHOOSE($AF55,IF(INDEX(nINT_LinkRow,$AH55)=0,"",INDEX(nINT_Link_ID,$AH55)&amp;""),"","","","","","","","","","",""))</f>
        <v/>
      </c>
      <c r="AO55" s="1" t="str">
        <f>IF($AF55=0,"",CHOOSE($AF55,INDEX(nINT_Exposure_Episode_ID,$AH55)&amp;"","","","","","","","","","","",""))</f>
        <v/>
      </c>
      <c r="AP55" s="1" t="str">
        <f>IF($AF55=0,"",CHOOSE($AF55,INDEX(nINT_Event_Episode_ID,$AH55)&amp;"","","","","","","","","","","",""))</f>
        <v/>
      </c>
      <c r="AQ55" s="1" t="str">
        <f>IF($AF55=0,"",CHOOSE($AF55,INDEX(nINT_End_Record_ID_Used,$AH55)&amp;"","","","","","","","","","","",""))</f>
        <v/>
      </c>
      <c r="AR55" s="1" t="str">
        <f>IF($AF55=0,"",CHOOSE($AF55,INDEX(nINT_Interval_Value,$AH55),"","","","","","","","","","",""))</f>
        <v/>
      </c>
      <c r="AS55" s="1" t="str">
        <f>IF($AF55=0,"",CHOOSE($AF55,INDEX(nINT_Interval_Minimum,$AH55),"","","","","","","","","","",""))</f>
        <v/>
      </c>
      <c r="AT55" s="1" t="str">
        <f>IF($AF55=0,"",CHOOSE($AF55,INDEX(nINT_Interval_Maximum,$AH55),"","","","","","","","","","",""))</f>
        <v/>
      </c>
      <c r="AU55" s="1" t="str">
        <f>IF($AF55=0,"",CHOOSE($AF55,INDEX(nINT_Unit,$AH55)&amp;"",INDEX(nQ1_Unit_Out,$AH55)&amp;"",INDEX(nQ2_Unit_Out,$AH55)&amp;"",INDEX(nQ3_Unit_Out,$AH55)&amp;"",INDEX(nQ4_Unit_Out,$AH55)&amp;"",INDEX(nQ5_Unit_Out,$AH55)&amp;"",INDEX(nQ6_Unit_Out,$AH55)&amp;"",INDEX(nQ7_Unit_Out,$AH55)&amp;"",INDEX(nQ8_Unit_Out,$AH55)&amp;"",INDEX(nQ9_Unit_Out,$AH55)&amp;"",INDEX(nQ10_Unit_Out,$AH55)&amp;"",INDEX(nQ11_Unit_Out,$AH55)&amp;""))</f>
        <v/>
      </c>
      <c r="AV55" s="1" t="str">
        <f>IF($AF55=0,"",CHOOSE($AF55,INDEX(nINT_Displayed_Value,$AH55)&amp;"",INDEX(nQ1_Displayed_Value,$AH55)&amp;"",INDEX(nQ2_Displayed_Value,$AH55)&amp;"",INDEX(nQ3_Displayed_Value,$AH55)&amp;"",INDEX(nQ4_Displayed_Value,$AH55)&amp;"",INDEX(nQ5_Displayed_Value,$AH55)&amp;"",INDEX(nQ6_Displayed_Value,$AH55)&amp;"",INDEX(nQ7_Displayed_Value,$AH55)&amp;"",INDEX(nQ8_Displayed_Value,$AH55)&amp;"",INDEX(nQ9_Displayed_Value,$AH55)&amp;"",INDEX(nQ10_Displayed_Value,$AH55)&amp;"",INDEX(nQ11_Displayed_Value,$AH55)&amp;""))</f>
        <v/>
      </c>
      <c r="AW55" s="1" t="str">
        <f>IF($AF55=0,"",CHOOSE($AF55,INDEX(nINT_Calculation_Mode_Used,$AH55)&amp;"","Q1","Q2","Q3","Q4","Q5","Q6","Q7","Q8","Q9","Q10","Q11"))</f>
        <v/>
      </c>
      <c r="AX55" s="1" t="str">
        <f>IF($AF55=0,"",CHOOSE($AF55,INDEX(nINT_Anchor_Type,$AH55)&amp;"","","","","","","","","","","",""))</f>
        <v/>
      </c>
      <c r="AY55" s="1" t="str">
        <f>IF($AF55=0,"",CHOOSE($AF55,IF(INDEX(nINT_K_Ok,$AH55)=1,INDEX(nINT_Anchor_Record_ID_Used,$AH55)&amp;"",""),"","","","","","","","","","",""))</f>
        <v/>
      </c>
      <c r="AZ55" s="1" t="str">
        <f>IF($AF55=0,"",CHOOSE($AF55,INDEX(nINT_Anchor_Description,$AH55)&amp;"","","","","","","","","","","",""))</f>
        <v/>
      </c>
      <c r="BA55" s="1" t="str">
        <f>IF($AF55=0,"",CHOOSE($AF55,INDEX(nINT_Sequence_Status,$AH55)&amp;"","","","","","","","","","","",""))</f>
        <v/>
      </c>
      <c r="BB55" s="1" t="str">
        <f>IF($AF55=0,"",CHOOSE($AF55,INDEX(nINT_Treatment_Day,$AH55),"","","","","","","","","","",""))</f>
        <v/>
      </c>
      <c r="BC55" s="1" t="str">
        <f>IF($AF55=0,"",CHOOSE($AF55,INDEX(nINT_Reported_Timing_Result,$AH55)&amp;"","","","","","","","","","","",""))</f>
        <v/>
      </c>
      <c r="BD55" s="1" t="str">
        <f>IF($AF55=0,"",CHOOSE($AF55,IF(INDEX(nINT_K_HasC,$AH55)=1,INDEX(nINT_Constraint_Source,$AH55)&amp;"",""),"","","","","","","","","","",""))</f>
        <v/>
      </c>
      <c r="BE55" s="1" t="str">
        <f>IF($AF55=0,"",CHOOSE($AF55,"",INDEX(nQ1_Results_Text,$AH55)&amp;"",INDEX(nQ2_Results_Text,$AH55)&amp;"",INDEX(nQ3_Results_Text,$AH55)&amp;"",INDEX(nQ4_Results_Text,$AH55)&amp;"",INDEX(nQ5_Results_Text,$AH55)&amp;"",INDEX(nQ6_Results_Text,$AH55)&amp;"",INDEX(nQ7_Results_Text,$AH55)&amp;"",INDEX(nQ8_Results_Text,$AH55)&amp;"",INDEX(nQ9_Results_Text,$AH55)&amp;"",INDEX(nQ10_Results_Text,$AH55)&amp;"",INDEX(nQ11_Results_Text,$AH55)&amp;""))</f>
        <v/>
      </c>
      <c r="BF55" s="1" t="str">
        <f>IF($AF55=0,"",CHOOSE($AF55,INDEX(nINT_Parameter_Set,$AH55)&amp;"",INDEX(nQ1_Parameter_Set,$AH55)&amp;"",INDEX(nQ2_Parameter_Set,$AH55)&amp;"",INDEX(nQ3_Parameter_Set,$AH55)&amp;"",INDEX(nQ4_Parameter_Set,$AH55)&amp;"",INDEX(nQ5_Parameter_Set,$AH55)&amp;"",INDEX(nQ6_Parameter_Set,$AH55)&amp;"",INDEX(nQ7_Parameter_Set,$AH55)&amp;"",INDEX(nQ8_Parameter_Set,$AH55)&amp;"",INDEX(nQ9_Parameter_Set,$AH55)&amp;"",INDEX(nQ10_Parameter_Set,$AH55)&amp;"",INDEX(nQ11_Parameter_Set,$AH55)&amp;""))</f>
        <v/>
      </c>
      <c r="BG55" s="1" t="str">
        <f>IF($AF55=0,"",CHOOSE($AF55,INDEX(nINT_Assumptions,$AH55)&amp;"",INDEX(nQ1_Assumptions,$AH55)&amp;"",INDEX(nQ2_Assumptions,$AH55)&amp;"",INDEX(nQ3_Assumptions,$AH55)&amp;"",INDEX(nQ4_Assumptions,$AH55)&amp;"",INDEX(nQ5_Assumptions,$AH55)&amp;"",INDEX(nQ6_Assumptions,$AH55)&amp;"",INDEX(nQ7_Assumptions,$AH55)&amp;"",INDEX(nQ8_Assumptions,$AH55)&amp;"",INDEX(nQ9_Assumptions,$AH55)&amp;"",INDEX(nQ10_Assumptions,$AH55)&amp;"",INDEX(nQ11_Assumptions,$AH55)&amp;""))</f>
        <v/>
      </c>
      <c r="BH55" s="1" t="str">
        <f>IF($AF55=0,"",CHOOSE($AF55,INDEX(nINT_Calculation_Version,$AH55)&amp;"",INDEX(nQ1_Calculation_Version,$AH55)&amp;"",INDEX(nQ2_Calculation_Version,$AH55)&amp;"",INDEX(nQ3_Calculation_Version,$AH55)&amp;"",INDEX(nQ4_Calculation_Version,$AH55)&amp;"",INDEX(nQ5_Calculation_Version,$AH55)&amp;"",INDEX(nQ6_Calculation_Version,$AH55)&amp;"",INDEX(nQ7_Calculation_Version,$AH55)&amp;"",INDEX(nQ8_Calculation_Version,$AH55)&amp;"",INDEX(nQ9_Calculation_Version,$AH55)&amp;"",INDEX(nQ10_Calculation_Version,$AH55)&amp;"",INDEX(nQ11_Calculation_Version,$AH55)&amp;""))</f>
        <v/>
      </c>
      <c r="BI55" s="1" t="str">
        <f>IF($AF55=0,"",CHOOSE($AF55,INDEX(nINT_QC_Flags,$AH55)&amp;"",INDEX(nQ1_QC_Flags,$AH55)&amp;"",INDEX(nQ2_QC_Flags,$AH55)&amp;"",INDEX(nQ3_QC_Flags,$AH55)&amp;"",INDEX(nQ4_QC_Flags,$AH55)&amp;"",INDEX(nQ5_QC_Flags,$AH55)&amp;"",INDEX(nQ6_QC_Flags,$AH55)&amp;"",INDEX(nQ7_QC_Flags,$AH55)&amp;"",INDEX(nQ8_QC_Flags,$AH55)&amp;"",INDEX(nQ9_QC_Flags,$AH55)&amp;"",INDEX(nQ10_QC_Flags,$AH55)&amp;"",INDEX(nQ11_QC_Flags,$AH55)&amp;""))</f>
        <v/>
      </c>
      <c r="BJ55" s="1" t="str">
        <f>IF($AF55=0,"",CHOOSE($AF55,INDEX(nINT_Messages,$AH55)&amp;"",INDEX(nQ1_Messages,$AH55)&amp;"",INDEX(nQ2_Messages,$AH55)&amp;"",INDEX(nQ3_Messages,$AH55)&amp;"",INDEX(nQ4_Messages,$AH55)&amp;"",INDEX(nQ5_Messages,$AH55)&amp;"",INDEX(nQ6_Messages,$AH55)&amp;"",INDEX(nQ7_Messages,$AH55)&amp;"",INDEX(nQ8_Messages,$AH55)&amp;"",INDEX(nQ9_Messages,$AH55)&amp;"",INDEX(nQ10_Messages,$AH55)&amp;"",INDEX(nQ11_Messages,$AH55)&amp;""))</f>
        <v/>
      </c>
      <c r="BK55" s="1" t="str">
        <f>IF($AF55=0,"",CHOOSE($AF55,INDEX(nINT_Limitations,$AH55)&amp;"",INDEX(nQ1_Mandatory_Text,$AH55)&amp;"",INDEX(nQ2_Mandatory_Text,$AH55)&amp;"",INDEX(nQ3_Mandatory_Text,$AH55)&amp;"",INDEX(nQ4_Mandatory_Text,$AH55)&amp;"",INDEX(nQ5_Mandatory_Text,$AH55)&amp;"",INDEX(nQ6_Mandatory_Text,$AH55)&amp;"",INDEX(nQ7_Mandatory_Text,$AH55)&amp;"",INDEX(nQ8_Mandatory_Text,$AH55)&amp;"",INDEX(nQ9_Mandatory_Text,$AH55)&amp;"",INDEX(nQ10_Mandatory_Text,$AH55)&amp;"",INDEX(nQ11_Mandatory_Text,$AH55)&amp;""))</f>
        <v/>
      </c>
      <c r="BL55" s="1" t="str">
        <f t="shared" si="33"/>
        <v/>
      </c>
      <c r="BM55" s="1" t="str">
        <f t="shared" si="34"/>
        <v/>
      </c>
    </row>
    <row r="56" spans="1:65" x14ac:dyDescent="0.2">
      <c r="A56" s="21" t="str">
        <f t="shared" si="0"/>
        <v/>
      </c>
      <c r="B56" s="21" t="str">
        <f t="shared" si="1"/>
        <v/>
      </c>
      <c r="C56" s="21" t="str">
        <f t="shared" si="2"/>
        <v/>
      </c>
      <c r="D56" s="21" t="str">
        <f t="shared" si="3"/>
        <v/>
      </c>
      <c r="E56" s="21" t="str">
        <f t="shared" si="4"/>
        <v/>
      </c>
      <c r="F56" s="21" t="str">
        <f t="shared" si="5"/>
        <v/>
      </c>
      <c r="G56" s="21" t="str">
        <f t="shared" si="6"/>
        <v/>
      </c>
      <c r="H56" s="21" t="str">
        <f t="shared" si="7"/>
        <v/>
      </c>
      <c r="I56" s="21" t="str">
        <f t="shared" si="8"/>
        <v/>
      </c>
      <c r="J56" s="21" t="str">
        <f t="shared" si="9"/>
        <v/>
      </c>
      <c r="K56" s="21" t="str">
        <f t="shared" si="10"/>
        <v/>
      </c>
      <c r="L56" s="21" t="str">
        <f t="shared" si="11"/>
        <v/>
      </c>
      <c r="M56" s="21" t="str">
        <f t="shared" si="12"/>
        <v/>
      </c>
      <c r="N56" s="21" t="str">
        <f t="shared" si="13"/>
        <v/>
      </c>
      <c r="O56" s="21" t="str">
        <f t="shared" si="14"/>
        <v/>
      </c>
      <c r="P56" s="21" t="str">
        <f t="shared" si="15"/>
        <v/>
      </c>
      <c r="Q56" s="21" t="str">
        <f t="shared" si="16"/>
        <v/>
      </c>
      <c r="R56" s="21" t="str">
        <f t="shared" si="17"/>
        <v/>
      </c>
      <c r="S56" s="21" t="str">
        <f t="shared" si="18"/>
        <v/>
      </c>
      <c r="T56" s="21" t="str">
        <f t="shared" si="19"/>
        <v/>
      </c>
      <c r="U56" s="21" t="str">
        <f t="shared" si="20"/>
        <v/>
      </c>
      <c r="V56" s="21" t="str">
        <f t="shared" si="21"/>
        <v/>
      </c>
      <c r="W56" s="21" t="str">
        <f t="shared" si="22"/>
        <v/>
      </c>
      <c r="X56" s="21" t="str">
        <f t="shared" si="23"/>
        <v/>
      </c>
      <c r="Y56" s="21" t="str">
        <f t="shared" si="24"/>
        <v/>
      </c>
      <c r="Z56" s="21" t="str">
        <f t="shared" si="25"/>
        <v/>
      </c>
      <c r="AA56" s="21" t="str">
        <f t="shared" si="26"/>
        <v/>
      </c>
      <c r="AB56" s="21" t="str">
        <f t="shared" si="27"/>
        <v/>
      </c>
      <c r="AC56" s="21" t="str">
        <f t="shared" si="28"/>
        <v/>
      </c>
      <c r="AD56" s="21" t="str">
        <f t="shared" si="29"/>
        <v/>
      </c>
      <c r="AE56" s="1">
        <f t="shared" si="30"/>
        <v>49</v>
      </c>
      <c r="AF56" s="1">
        <f t="shared" si="31"/>
        <v>0</v>
      </c>
      <c r="AG56" s="1">
        <f t="shared" si="32"/>
        <v>0</v>
      </c>
      <c r="AH56" s="1">
        <f>IF(AF56=0,0,CHOOSE(AF56,IFERROR(_xlfn.AGGREGATE(15,6,(ROW(nINT_CaseKey)-ROW(INDEX(nINT_CaseKey,1,1))+1)/((nINT_CaseKey=$H$4)*(nINT_RowEmpty=0)),AG56),0),IFERROR(_xlfn.AGGREGATE(15,6,(ROW(nQ1_CaseKey)-ROW(INDEX(nQ1_CaseKey,1,1))+1)/((nQ1_CaseKey=$H$4)),AG56),0),IFERROR(_xlfn.AGGREGATE(15,6,(ROW(nQ2_CaseKey)-ROW(INDEX(nQ2_CaseKey,1,1))+1)/((nQ2_CaseKey=$H$4)),AG56),0),IFERROR(_xlfn.AGGREGATE(15,6,(ROW(nQ3_CaseKey)-ROW(INDEX(nQ3_CaseKey,1,1))+1)/((nQ3_CaseKey=$H$4)),AG56),0),IFERROR(_xlfn.AGGREGATE(15,6,(ROW(nQ4_CaseKey)-ROW(INDEX(nQ4_CaseKey,1,1))+1)/((nQ4_CaseKey=$H$4)),AG56),0),IFERROR(_xlfn.AGGREGATE(15,6,(ROW(nQ5_CaseKey)-ROW(INDEX(nQ5_CaseKey,1,1))+1)/((nQ5_CaseKey=$H$4)),AG56),0),IFERROR(_xlfn.AGGREGATE(15,6,(ROW(nQ6_CaseKey)-ROW(INDEX(nQ6_CaseKey,1,1))+1)/((nQ6_CaseKey=$H$4)),AG56),0),IFERROR(_xlfn.AGGREGATE(15,6,(ROW(nQ7_CaseKey)-ROW(INDEX(nQ7_CaseKey,1,1))+1)/((nQ7_CaseKey=$H$4)),AG56),0),IFERROR(_xlfn.AGGREGATE(15,6,(ROW(nQ8_CaseKey)-ROW(INDEX(nQ8_CaseKey,1,1))+1)/((nQ8_CaseKey=$H$4)),AG56),0),IFERROR(_xlfn.AGGREGATE(15,6,(ROW(nQ9_CaseKey)-ROW(INDEX(nQ9_CaseKey,1,1))+1)/((nQ9_CaseKey=$H$4)),AG56),0),IFERROR(_xlfn.AGGREGATE(15,6,(ROW(nQ10_CaseKey)-ROW(INDEX(nQ10_CaseKey,1,1))+1)/((nQ10_CaseKey=$H$4)),AG56),0),IFERROR(_xlfn.AGGREGATE(15,6,(ROW(nQ11_CaseKey)-ROW(INDEX(nQ11_CaseKey,1,1))+1)/((nQ11_CaseKey=$H$4)),AG56),0)))</f>
        <v>0</v>
      </c>
      <c r="AJ56" s="1" t="str">
        <f>IF($AF56=0,"",CHOOSE($AF56,INDEX(nINT_Case_ID,$AH56)&amp;"",INDEX(nQ1_Case_ID,$AH56)&amp;"",INDEX(nQ2_Case_ID,$AH56)&amp;"",INDEX(nQ3_Case_ID,$AH56)&amp;"",INDEX(nQ4_Case_ID,$AH56)&amp;"",INDEX(nQ5_Case_ID,$AH56)&amp;"",INDEX(nQ6_Case_ID,$AH56)&amp;"",INDEX(nQ7_Case_ID,$AH56)&amp;"",INDEX(nQ8_Case_ID,$AH56)&amp;"",INDEX(nQ9_Case_ID,$AH56)&amp;"",INDEX(nQ10_Case_ID,$AH56)&amp;"",INDEX(nQ11_Case_ID,$AH56)&amp;""))</f>
        <v/>
      </c>
      <c r="AK56" s="1" t="str">
        <f>IF($AF56=0,"",CHOOSE($AF56,INDEX(nINT_Case_Version,$AH56),INDEX(nQ1_Case_Version,$AH56),INDEX(nQ2_Case_Version,$AH56),INDEX(nQ3_Case_Version,$AH56),INDEX(nQ4_Case_Version,$AH56),INDEX(nQ5_Case_Version,$AH56),INDEX(nQ6_Case_Version,$AH56),INDEX(nQ7_Case_Version,$AH56),INDEX(nQ8_Case_Version,$AH56),INDEX(nQ9_Case_Version,$AH56),INDEX(nQ10_Case_Version,$AH56),INDEX(nQ11_Case_Version,$AH56)))</f>
        <v/>
      </c>
      <c r="AL56" s="1" t="str">
        <f>IF($AF56=0,"",CHOOSE($AF56,INDEX(nINT_Interval_ID,$AH56)&amp;"",INDEX(nQ1_Calc_ID,$AH56)&amp;"",INDEX(nQ2_Calc_ID,$AH56)&amp;"",INDEX(nQ3_Calc_ID,$AH56)&amp;"",INDEX(nQ4_Calc_ID,$AH56)&amp;"",INDEX(nQ5_Calc_ID,$AH56)&amp;"",INDEX(nQ6_Calc_ID,$AH56)&amp;"",INDEX(nQ7_Calc_ID,$AH56)&amp;"",INDEX(nQ8_Calc_ID,$AH56)&amp;"",INDEX(nQ9_Calc_ID,$AH56)&amp;"",INDEX(nQ10_Calc_ID,$AH56)&amp;"",INDEX(nQ11_Calc_ID,$AH56)&amp;""))</f>
        <v/>
      </c>
      <c r="AM56" s="1" t="str">
        <f>IF($AF56=0,"",CHOOSE($AF56,INDEX(nINT_Label,$AH56)&amp;"",INDEX(nQ1_Label_Out,$AH56)&amp;"",INDEX(nQ2_Label_Out,$AH56)&amp;"",INDEX(nQ3_Label_Out,$AH56)&amp;"",INDEX(nQ4_Label_Out,$AH56)&amp;"",INDEX(nQ5_Label_Out,$AH56)&amp;"",INDEX(nQ6_Label_Out,$AH56)&amp;"",INDEX(nQ7_Label_Out,$AH56)&amp;"",INDEX(nQ8_Label_Out,$AH56)&amp;"",INDEX(nQ9_Label_Out,$AH56)&amp;"",INDEX(nQ10_Label_Out,$AH56)&amp;"",INDEX(nQ11_Label_Out,$AH56)&amp;""))</f>
        <v/>
      </c>
      <c r="AN56" s="1" t="str">
        <f>IF($AF56=0,"",CHOOSE($AF56,IF(INDEX(nINT_LinkRow,$AH56)=0,"",INDEX(nINT_Link_ID,$AH56)&amp;""),"","","","","","","","","","",""))</f>
        <v/>
      </c>
      <c r="AO56" s="1" t="str">
        <f>IF($AF56=0,"",CHOOSE($AF56,INDEX(nINT_Exposure_Episode_ID,$AH56)&amp;"","","","","","","","","","","",""))</f>
        <v/>
      </c>
      <c r="AP56" s="1" t="str">
        <f>IF($AF56=0,"",CHOOSE($AF56,INDEX(nINT_Event_Episode_ID,$AH56)&amp;"","","","","","","","","","","",""))</f>
        <v/>
      </c>
      <c r="AQ56" s="1" t="str">
        <f>IF($AF56=0,"",CHOOSE($AF56,INDEX(nINT_End_Record_ID_Used,$AH56)&amp;"","","","","","","","","","","",""))</f>
        <v/>
      </c>
      <c r="AR56" s="1" t="str">
        <f>IF($AF56=0,"",CHOOSE($AF56,INDEX(nINT_Interval_Value,$AH56),"","","","","","","","","","",""))</f>
        <v/>
      </c>
      <c r="AS56" s="1" t="str">
        <f>IF($AF56=0,"",CHOOSE($AF56,INDEX(nINT_Interval_Minimum,$AH56),"","","","","","","","","","",""))</f>
        <v/>
      </c>
      <c r="AT56" s="1" t="str">
        <f>IF($AF56=0,"",CHOOSE($AF56,INDEX(nINT_Interval_Maximum,$AH56),"","","","","","","","","","",""))</f>
        <v/>
      </c>
      <c r="AU56" s="1" t="str">
        <f>IF($AF56=0,"",CHOOSE($AF56,INDEX(nINT_Unit,$AH56)&amp;"",INDEX(nQ1_Unit_Out,$AH56)&amp;"",INDEX(nQ2_Unit_Out,$AH56)&amp;"",INDEX(nQ3_Unit_Out,$AH56)&amp;"",INDEX(nQ4_Unit_Out,$AH56)&amp;"",INDEX(nQ5_Unit_Out,$AH56)&amp;"",INDEX(nQ6_Unit_Out,$AH56)&amp;"",INDEX(nQ7_Unit_Out,$AH56)&amp;"",INDEX(nQ8_Unit_Out,$AH56)&amp;"",INDEX(nQ9_Unit_Out,$AH56)&amp;"",INDEX(nQ10_Unit_Out,$AH56)&amp;"",INDEX(nQ11_Unit_Out,$AH56)&amp;""))</f>
        <v/>
      </c>
      <c r="AV56" s="1" t="str">
        <f>IF($AF56=0,"",CHOOSE($AF56,INDEX(nINT_Displayed_Value,$AH56)&amp;"",INDEX(nQ1_Displayed_Value,$AH56)&amp;"",INDEX(nQ2_Displayed_Value,$AH56)&amp;"",INDEX(nQ3_Displayed_Value,$AH56)&amp;"",INDEX(nQ4_Displayed_Value,$AH56)&amp;"",INDEX(nQ5_Displayed_Value,$AH56)&amp;"",INDEX(nQ6_Displayed_Value,$AH56)&amp;"",INDEX(nQ7_Displayed_Value,$AH56)&amp;"",INDEX(nQ8_Displayed_Value,$AH56)&amp;"",INDEX(nQ9_Displayed_Value,$AH56)&amp;"",INDEX(nQ10_Displayed_Value,$AH56)&amp;"",INDEX(nQ11_Displayed_Value,$AH56)&amp;""))</f>
        <v/>
      </c>
      <c r="AW56" s="1" t="str">
        <f>IF($AF56=0,"",CHOOSE($AF56,INDEX(nINT_Calculation_Mode_Used,$AH56)&amp;"","Q1","Q2","Q3","Q4","Q5","Q6","Q7","Q8","Q9","Q10","Q11"))</f>
        <v/>
      </c>
      <c r="AX56" s="1" t="str">
        <f>IF($AF56=0,"",CHOOSE($AF56,INDEX(nINT_Anchor_Type,$AH56)&amp;"","","","","","","","","","","",""))</f>
        <v/>
      </c>
      <c r="AY56" s="1" t="str">
        <f>IF($AF56=0,"",CHOOSE($AF56,IF(INDEX(nINT_K_Ok,$AH56)=1,INDEX(nINT_Anchor_Record_ID_Used,$AH56)&amp;"",""),"","","","","","","","","","",""))</f>
        <v/>
      </c>
      <c r="AZ56" s="1" t="str">
        <f>IF($AF56=0,"",CHOOSE($AF56,INDEX(nINT_Anchor_Description,$AH56)&amp;"","","","","","","","","","","",""))</f>
        <v/>
      </c>
      <c r="BA56" s="1" t="str">
        <f>IF($AF56=0,"",CHOOSE($AF56,INDEX(nINT_Sequence_Status,$AH56)&amp;"","","","","","","","","","","",""))</f>
        <v/>
      </c>
      <c r="BB56" s="1" t="str">
        <f>IF($AF56=0,"",CHOOSE($AF56,INDEX(nINT_Treatment_Day,$AH56),"","","","","","","","","","",""))</f>
        <v/>
      </c>
      <c r="BC56" s="1" t="str">
        <f>IF($AF56=0,"",CHOOSE($AF56,INDEX(nINT_Reported_Timing_Result,$AH56)&amp;"","","","","","","","","","","",""))</f>
        <v/>
      </c>
      <c r="BD56" s="1" t="str">
        <f>IF($AF56=0,"",CHOOSE($AF56,IF(INDEX(nINT_K_HasC,$AH56)=1,INDEX(nINT_Constraint_Source,$AH56)&amp;"",""),"","","","","","","","","","",""))</f>
        <v/>
      </c>
      <c r="BE56" s="1" t="str">
        <f>IF($AF56=0,"",CHOOSE($AF56,"",INDEX(nQ1_Results_Text,$AH56)&amp;"",INDEX(nQ2_Results_Text,$AH56)&amp;"",INDEX(nQ3_Results_Text,$AH56)&amp;"",INDEX(nQ4_Results_Text,$AH56)&amp;"",INDEX(nQ5_Results_Text,$AH56)&amp;"",INDEX(nQ6_Results_Text,$AH56)&amp;"",INDEX(nQ7_Results_Text,$AH56)&amp;"",INDEX(nQ8_Results_Text,$AH56)&amp;"",INDEX(nQ9_Results_Text,$AH56)&amp;"",INDEX(nQ10_Results_Text,$AH56)&amp;"",INDEX(nQ11_Results_Text,$AH56)&amp;""))</f>
        <v/>
      </c>
      <c r="BF56" s="1" t="str">
        <f>IF($AF56=0,"",CHOOSE($AF56,INDEX(nINT_Parameter_Set,$AH56)&amp;"",INDEX(nQ1_Parameter_Set,$AH56)&amp;"",INDEX(nQ2_Parameter_Set,$AH56)&amp;"",INDEX(nQ3_Parameter_Set,$AH56)&amp;"",INDEX(nQ4_Parameter_Set,$AH56)&amp;"",INDEX(nQ5_Parameter_Set,$AH56)&amp;"",INDEX(nQ6_Parameter_Set,$AH56)&amp;"",INDEX(nQ7_Parameter_Set,$AH56)&amp;"",INDEX(nQ8_Parameter_Set,$AH56)&amp;"",INDEX(nQ9_Parameter_Set,$AH56)&amp;"",INDEX(nQ10_Parameter_Set,$AH56)&amp;"",INDEX(nQ11_Parameter_Set,$AH56)&amp;""))</f>
        <v/>
      </c>
      <c r="BG56" s="1" t="str">
        <f>IF($AF56=0,"",CHOOSE($AF56,INDEX(nINT_Assumptions,$AH56)&amp;"",INDEX(nQ1_Assumptions,$AH56)&amp;"",INDEX(nQ2_Assumptions,$AH56)&amp;"",INDEX(nQ3_Assumptions,$AH56)&amp;"",INDEX(nQ4_Assumptions,$AH56)&amp;"",INDEX(nQ5_Assumptions,$AH56)&amp;"",INDEX(nQ6_Assumptions,$AH56)&amp;"",INDEX(nQ7_Assumptions,$AH56)&amp;"",INDEX(nQ8_Assumptions,$AH56)&amp;"",INDEX(nQ9_Assumptions,$AH56)&amp;"",INDEX(nQ10_Assumptions,$AH56)&amp;"",INDEX(nQ11_Assumptions,$AH56)&amp;""))</f>
        <v/>
      </c>
      <c r="BH56" s="1" t="str">
        <f>IF($AF56=0,"",CHOOSE($AF56,INDEX(nINT_Calculation_Version,$AH56)&amp;"",INDEX(nQ1_Calculation_Version,$AH56)&amp;"",INDEX(nQ2_Calculation_Version,$AH56)&amp;"",INDEX(nQ3_Calculation_Version,$AH56)&amp;"",INDEX(nQ4_Calculation_Version,$AH56)&amp;"",INDEX(nQ5_Calculation_Version,$AH56)&amp;"",INDEX(nQ6_Calculation_Version,$AH56)&amp;"",INDEX(nQ7_Calculation_Version,$AH56)&amp;"",INDEX(nQ8_Calculation_Version,$AH56)&amp;"",INDEX(nQ9_Calculation_Version,$AH56)&amp;"",INDEX(nQ10_Calculation_Version,$AH56)&amp;"",INDEX(nQ11_Calculation_Version,$AH56)&amp;""))</f>
        <v/>
      </c>
      <c r="BI56" s="1" t="str">
        <f>IF($AF56=0,"",CHOOSE($AF56,INDEX(nINT_QC_Flags,$AH56)&amp;"",INDEX(nQ1_QC_Flags,$AH56)&amp;"",INDEX(nQ2_QC_Flags,$AH56)&amp;"",INDEX(nQ3_QC_Flags,$AH56)&amp;"",INDEX(nQ4_QC_Flags,$AH56)&amp;"",INDEX(nQ5_QC_Flags,$AH56)&amp;"",INDEX(nQ6_QC_Flags,$AH56)&amp;"",INDEX(nQ7_QC_Flags,$AH56)&amp;"",INDEX(nQ8_QC_Flags,$AH56)&amp;"",INDEX(nQ9_QC_Flags,$AH56)&amp;"",INDEX(nQ10_QC_Flags,$AH56)&amp;"",INDEX(nQ11_QC_Flags,$AH56)&amp;""))</f>
        <v/>
      </c>
      <c r="BJ56" s="1" t="str">
        <f>IF($AF56=0,"",CHOOSE($AF56,INDEX(nINT_Messages,$AH56)&amp;"",INDEX(nQ1_Messages,$AH56)&amp;"",INDEX(nQ2_Messages,$AH56)&amp;"",INDEX(nQ3_Messages,$AH56)&amp;"",INDEX(nQ4_Messages,$AH56)&amp;"",INDEX(nQ5_Messages,$AH56)&amp;"",INDEX(nQ6_Messages,$AH56)&amp;"",INDEX(nQ7_Messages,$AH56)&amp;"",INDEX(nQ8_Messages,$AH56)&amp;"",INDEX(nQ9_Messages,$AH56)&amp;"",INDEX(nQ10_Messages,$AH56)&amp;"",INDEX(nQ11_Messages,$AH56)&amp;""))</f>
        <v/>
      </c>
      <c r="BK56" s="1" t="str">
        <f>IF($AF56=0,"",CHOOSE($AF56,INDEX(nINT_Limitations,$AH56)&amp;"",INDEX(nQ1_Mandatory_Text,$AH56)&amp;"",INDEX(nQ2_Mandatory_Text,$AH56)&amp;"",INDEX(nQ3_Mandatory_Text,$AH56)&amp;"",INDEX(nQ4_Mandatory_Text,$AH56)&amp;"",INDEX(nQ5_Mandatory_Text,$AH56)&amp;"",INDEX(nQ6_Mandatory_Text,$AH56)&amp;"",INDEX(nQ7_Mandatory_Text,$AH56)&amp;"",INDEX(nQ8_Mandatory_Text,$AH56)&amp;"",INDEX(nQ9_Mandatory_Text,$AH56)&amp;"",INDEX(nQ10_Mandatory_Text,$AH56)&amp;"",INDEX(nQ11_Mandatory_Text,$AH56)&amp;""))</f>
        <v/>
      </c>
      <c r="BL56" s="1" t="str">
        <f t="shared" si="33"/>
        <v/>
      </c>
      <c r="BM56" s="1" t="str">
        <f t="shared" si="34"/>
        <v/>
      </c>
    </row>
    <row r="57" spans="1:65" x14ac:dyDescent="0.2">
      <c r="A57" s="21" t="str">
        <f t="shared" si="0"/>
        <v/>
      </c>
      <c r="B57" s="21" t="str">
        <f t="shared" si="1"/>
        <v/>
      </c>
      <c r="C57" s="21" t="str">
        <f t="shared" si="2"/>
        <v/>
      </c>
      <c r="D57" s="21" t="str">
        <f t="shared" si="3"/>
        <v/>
      </c>
      <c r="E57" s="21" t="str">
        <f t="shared" si="4"/>
        <v/>
      </c>
      <c r="F57" s="21" t="str">
        <f t="shared" si="5"/>
        <v/>
      </c>
      <c r="G57" s="21" t="str">
        <f t="shared" si="6"/>
        <v/>
      </c>
      <c r="H57" s="21" t="str">
        <f t="shared" si="7"/>
        <v/>
      </c>
      <c r="I57" s="21" t="str">
        <f t="shared" si="8"/>
        <v/>
      </c>
      <c r="J57" s="21" t="str">
        <f t="shared" si="9"/>
        <v/>
      </c>
      <c r="K57" s="21" t="str">
        <f t="shared" si="10"/>
        <v/>
      </c>
      <c r="L57" s="21" t="str">
        <f t="shared" si="11"/>
        <v/>
      </c>
      <c r="M57" s="21" t="str">
        <f t="shared" si="12"/>
        <v/>
      </c>
      <c r="N57" s="21" t="str">
        <f t="shared" si="13"/>
        <v/>
      </c>
      <c r="O57" s="21" t="str">
        <f t="shared" si="14"/>
        <v/>
      </c>
      <c r="P57" s="21" t="str">
        <f t="shared" si="15"/>
        <v/>
      </c>
      <c r="Q57" s="21" t="str">
        <f t="shared" si="16"/>
        <v/>
      </c>
      <c r="R57" s="21" t="str">
        <f t="shared" si="17"/>
        <v/>
      </c>
      <c r="S57" s="21" t="str">
        <f t="shared" si="18"/>
        <v/>
      </c>
      <c r="T57" s="21" t="str">
        <f t="shared" si="19"/>
        <v/>
      </c>
      <c r="U57" s="21" t="str">
        <f t="shared" si="20"/>
        <v/>
      </c>
      <c r="V57" s="21" t="str">
        <f t="shared" si="21"/>
        <v/>
      </c>
      <c r="W57" s="21" t="str">
        <f t="shared" si="22"/>
        <v/>
      </c>
      <c r="X57" s="21" t="str">
        <f t="shared" si="23"/>
        <v/>
      </c>
      <c r="Y57" s="21" t="str">
        <f t="shared" si="24"/>
        <v/>
      </c>
      <c r="Z57" s="21" t="str">
        <f t="shared" si="25"/>
        <v/>
      </c>
      <c r="AA57" s="21" t="str">
        <f t="shared" si="26"/>
        <v/>
      </c>
      <c r="AB57" s="21" t="str">
        <f t="shared" si="27"/>
        <v/>
      </c>
      <c r="AC57" s="21" t="str">
        <f t="shared" si="28"/>
        <v/>
      </c>
      <c r="AD57" s="21" t="str">
        <f t="shared" si="29"/>
        <v/>
      </c>
      <c r="AE57" s="1">
        <f t="shared" si="30"/>
        <v>50</v>
      </c>
      <c r="AF57" s="1">
        <f t="shared" si="31"/>
        <v>0</v>
      </c>
      <c r="AG57" s="1">
        <f t="shared" si="32"/>
        <v>0</v>
      </c>
      <c r="AH57" s="1">
        <f>IF(AF57=0,0,CHOOSE(AF57,IFERROR(_xlfn.AGGREGATE(15,6,(ROW(nINT_CaseKey)-ROW(INDEX(nINT_CaseKey,1,1))+1)/((nINT_CaseKey=$H$4)*(nINT_RowEmpty=0)),AG57),0),IFERROR(_xlfn.AGGREGATE(15,6,(ROW(nQ1_CaseKey)-ROW(INDEX(nQ1_CaseKey,1,1))+1)/((nQ1_CaseKey=$H$4)),AG57),0),IFERROR(_xlfn.AGGREGATE(15,6,(ROW(nQ2_CaseKey)-ROW(INDEX(nQ2_CaseKey,1,1))+1)/((nQ2_CaseKey=$H$4)),AG57),0),IFERROR(_xlfn.AGGREGATE(15,6,(ROW(nQ3_CaseKey)-ROW(INDEX(nQ3_CaseKey,1,1))+1)/((nQ3_CaseKey=$H$4)),AG57),0),IFERROR(_xlfn.AGGREGATE(15,6,(ROW(nQ4_CaseKey)-ROW(INDEX(nQ4_CaseKey,1,1))+1)/((nQ4_CaseKey=$H$4)),AG57),0),IFERROR(_xlfn.AGGREGATE(15,6,(ROW(nQ5_CaseKey)-ROW(INDEX(nQ5_CaseKey,1,1))+1)/((nQ5_CaseKey=$H$4)),AG57),0),IFERROR(_xlfn.AGGREGATE(15,6,(ROW(nQ6_CaseKey)-ROW(INDEX(nQ6_CaseKey,1,1))+1)/((nQ6_CaseKey=$H$4)),AG57),0),IFERROR(_xlfn.AGGREGATE(15,6,(ROW(nQ7_CaseKey)-ROW(INDEX(nQ7_CaseKey,1,1))+1)/((nQ7_CaseKey=$H$4)),AG57),0),IFERROR(_xlfn.AGGREGATE(15,6,(ROW(nQ8_CaseKey)-ROW(INDEX(nQ8_CaseKey,1,1))+1)/((nQ8_CaseKey=$H$4)),AG57),0),IFERROR(_xlfn.AGGREGATE(15,6,(ROW(nQ9_CaseKey)-ROW(INDEX(nQ9_CaseKey,1,1))+1)/((nQ9_CaseKey=$H$4)),AG57),0),IFERROR(_xlfn.AGGREGATE(15,6,(ROW(nQ10_CaseKey)-ROW(INDEX(nQ10_CaseKey,1,1))+1)/((nQ10_CaseKey=$H$4)),AG57),0),IFERROR(_xlfn.AGGREGATE(15,6,(ROW(nQ11_CaseKey)-ROW(INDEX(nQ11_CaseKey,1,1))+1)/((nQ11_CaseKey=$H$4)),AG57),0)))</f>
        <v>0</v>
      </c>
      <c r="AJ57" s="1" t="str">
        <f>IF($AF57=0,"",CHOOSE($AF57,INDEX(nINT_Case_ID,$AH57)&amp;"",INDEX(nQ1_Case_ID,$AH57)&amp;"",INDEX(nQ2_Case_ID,$AH57)&amp;"",INDEX(nQ3_Case_ID,$AH57)&amp;"",INDEX(nQ4_Case_ID,$AH57)&amp;"",INDEX(nQ5_Case_ID,$AH57)&amp;"",INDEX(nQ6_Case_ID,$AH57)&amp;"",INDEX(nQ7_Case_ID,$AH57)&amp;"",INDEX(nQ8_Case_ID,$AH57)&amp;"",INDEX(nQ9_Case_ID,$AH57)&amp;"",INDEX(nQ10_Case_ID,$AH57)&amp;"",INDEX(nQ11_Case_ID,$AH57)&amp;""))</f>
        <v/>
      </c>
      <c r="AK57" s="1" t="str">
        <f>IF($AF57=0,"",CHOOSE($AF57,INDEX(nINT_Case_Version,$AH57),INDEX(nQ1_Case_Version,$AH57),INDEX(nQ2_Case_Version,$AH57),INDEX(nQ3_Case_Version,$AH57),INDEX(nQ4_Case_Version,$AH57),INDEX(nQ5_Case_Version,$AH57),INDEX(nQ6_Case_Version,$AH57),INDEX(nQ7_Case_Version,$AH57),INDEX(nQ8_Case_Version,$AH57),INDEX(nQ9_Case_Version,$AH57),INDEX(nQ10_Case_Version,$AH57),INDEX(nQ11_Case_Version,$AH57)))</f>
        <v/>
      </c>
      <c r="AL57" s="1" t="str">
        <f>IF($AF57=0,"",CHOOSE($AF57,INDEX(nINT_Interval_ID,$AH57)&amp;"",INDEX(nQ1_Calc_ID,$AH57)&amp;"",INDEX(nQ2_Calc_ID,$AH57)&amp;"",INDEX(nQ3_Calc_ID,$AH57)&amp;"",INDEX(nQ4_Calc_ID,$AH57)&amp;"",INDEX(nQ5_Calc_ID,$AH57)&amp;"",INDEX(nQ6_Calc_ID,$AH57)&amp;"",INDEX(nQ7_Calc_ID,$AH57)&amp;"",INDEX(nQ8_Calc_ID,$AH57)&amp;"",INDEX(nQ9_Calc_ID,$AH57)&amp;"",INDEX(nQ10_Calc_ID,$AH57)&amp;"",INDEX(nQ11_Calc_ID,$AH57)&amp;""))</f>
        <v/>
      </c>
      <c r="AM57" s="1" t="str">
        <f>IF($AF57=0,"",CHOOSE($AF57,INDEX(nINT_Label,$AH57)&amp;"",INDEX(nQ1_Label_Out,$AH57)&amp;"",INDEX(nQ2_Label_Out,$AH57)&amp;"",INDEX(nQ3_Label_Out,$AH57)&amp;"",INDEX(nQ4_Label_Out,$AH57)&amp;"",INDEX(nQ5_Label_Out,$AH57)&amp;"",INDEX(nQ6_Label_Out,$AH57)&amp;"",INDEX(nQ7_Label_Out,$AH57)&amp;"",INDEX(nQ8_Label_Out,$AH57)&amp;"",INDEX(nQ9_Label_Out,$AH57)&amp;"",INDEX(nQ10_Label_Out,$AH57)&amp;"",INDEX(nQ11_Label_Out,$AH57)&amp;""))</f>
        <v/>
      </c>
      <c r="AN57" s="1" t="str">
        <f>IF($AF57=0,"",CHOOSE($AF57,IF(INDEX(nINT_LinkRow,$AH57)=0,"",INDEX(nINT_Link_ID,$AH57)&amp;""),"","","","","","","","","","",""))</f>
        <v/>
      </c>
      <c r="AO57" s="1" t="str">
        <f>IF($AF57=0,"",CHOOSE($AF57,INDEX(nINT_Exposure_Episode_ID,$AH57)&amp;"","","","","","","","","","","",""))</f>
        <v/>
      </c>
      <c r="AP57" s="1" t="str">
        <f>IF($AF57=0,"",CHOOSE($AF57,INDEX(nINT_Event_Episode_ID,$AH57)&amp;"","","","","","","","","","","",""))</f>
        <v/>
      </c>
      <c r="AQ57" s="1" t="str">
        <f>IF($AF57=0,"",CHOOSE($AF57,INDEX(nINT_End_Record_ID_Used,$AH57)&amp;"","","","","","","","","","","",""))</f>
        <v/>
      </c>
      <c r="AR57" s="1" t="str">
        <f>IF($AF57=0,"",CHOOSE($AF57,INDEX(nINT_Interval_Value,$AH57),"","","","","","","","","","",""))</f>
        <v/>
      </c>
      <c r="AS57" s="1" t="str">
        <f>IF($AF57=0,"",CHOOSE($AF57,INDEX(nINT_Interval_Minimum,$AH57),"","","","","","","","","","",""))</f>
        <v/>
      </c>
      <c r="AT57" s="1" t="str">
        <f>IF($AF57=0,"",CHOOSE($AF57,INDEX(nINT_Interval_Maximum,$AH57),"","","","","","","","","","",""))</f>
        <v/>
      </c>
      <c r="AU57" s="1" t="str">
        <f>IF($AF57=0,"",CHOOSE($AF57,INDEX(nINT_Unit,$AH57)&amp;"",INDEX(nQ1_Unit_Out,$AH57)&amp;"",INDEX(nQ2_Unit_Out,$AH57)&amp;"",INDEX(nQ3_Unit_Out,$AH57)&amp;"",INDEX(nQ4_Unit_Out,$AH57)&amp;"",INDEX(nQ5_Unit_Out,$AH57)&amp;"",INDEX(nQ6_Unit_Out,$AH57)&amp;"",INDEX(nQ7_Unit_Out,$AH57)&amp;"",INDEX(nQ8_Unit_Out,$AH57)&amp;"",INDEX(nQ9_Unit_Out,$AH57)&amp;"",INDEX(nQ10_Unit_Out,$AH57)&amp;"",INDEX(nQ11_Unit_Out,$AH57)&amp;""))</f>
        <v/>
      </c>
      <c r="AV57" s="1" t="str">
        <f>IF($AF57=0,"",CHOOSE($AF57,INDEX(nINT_Displayed_Value,$AH57)&amp;"",INDEX(nQ1_Displayed_Value,$AH57)&amp;"",INDEX(nQ2_Displayed_Value,$AH57)&amp;"",INDEX(nQ3_Displayed_Value,$AH57)&amp;"",INDEX(nQ4_Displayed_Value,$AH57)&amp;"",INDEX(nQ5_Displayed_Value,$AH57)&amp;"",INDEX(nQ6_Displayed_Value,$AH57)&amp;"",INDEX(nQ7_Displayed_Value,$AH57)&amp;"",INDEX(nQ8_Displayed_Value,$AH57)&amp;"",INDEX(nQ9_Displayed_Value,$AH57)&amp;"",INDEX(nQ10_Displayed_Value,$AH57)&amp;"",INDEX(nQ11_Displayed_Value,$AH57)&amp;""))</f>
        <v/>
      </c>
      <c r="AW57" s="1" t="str">
        <f>IF($AF57=0,"",CHOOSE($AF57,INDEX(nINT_Calculation_Mode_Used,$AH57)&amp;"","Q1","Q2","Q3","Q4","Q5","Q6","Q7","Q8","Q9","Q10","Q11"))</f>
        <v/>
      </c>
      <c r="AX57" s="1" t="str">
        <f>IF($AF57=0,"",CHOOSE($AF57,INDEX(nINT_Anchor_Type,$AH57)&amp;"","","","","","","","","","","",""))</f>
        <v/>
      </c>
      <c r="AY57" s="1" t="str">
        <f>IF($AF57=0,"",CHOOSE($AF57,IF(INDEX(nINT_K_Ok,$AH57)=1,INDEX(nINT_Anchor_Record_ID_Used,$AH57)&amp;"",""),"","","","","","","","","","",""))</f>
        <v/>
      </c>
      <c r="AZ57" s="1" t="str">
        <f>IF($AF57=0,"",CHOOSE($AF57,INDEX(nINT_Anchor_Description,$AH57)&amp;"","","","","","","","","","","",""))</f>
        <v/>
      </c>
      <c r="BA57" s="1" t="str">
        <f>IF($AF57=0,"",CHOOSE($AF57,INDEX(nINT_Sequence_Status,$AH57)&amp;"","","","","","","","","","","",""))</f>
        <v/>
      </c>
      <c r="BB57" s="1" t="str">
        <f>IF($AF57=0,"",CHOOSE($AF57,INDEX(nINT_Treatment_Day,$AH57),"","","","","","","","","","",""))</f>
        <v/>
      </c>
      <c r="BC57" s="1" t="str">
        <f>IF($AF57=0,"",CHOOSE($AF57,INDEX(nINT_Reported_Timing_Result,$AH57)&amp;"","","","","","","","","","","",""))</f>
        <v/>
      </c>
      <c r="BD57" s="1" t="str">
        <f>IF($AF57=0,"",CHOOSE($AF57,IF(INDEX(nINT_K_HasC,$AH57)=1,INDEX(nINT_Constraint_Source,$AH57)&amp;"",""),"","","","","","","","","","",""))</f>
        <v/>
      </c>
      <c r="BE57" s="1" t="str">
        <f>IF($AF57=0,"",CHOOSE($AF57,"",INDEX(nQ1_Results_Text,$AH57)&amp;"",INDEX(nQ2_Results_Text,$AH57)&amp;"",INDEX(nQ3_Results_Text,$AH57)&amp;"",INDEX(nQ4_Results_Text,$AH57)&amp;"",INDEX(nQ5_Results_Text,$AH57)&amp;"",INDEX(nQ6_Results_Text,$AH57)&amp;"",INDEX(nQ7_Results_Text,$AH57)&amp;"",INDEX(nQ8_Results_Text,$AH57)&amp;"",INDEX(nQ9_Results_Text,$AH57)&amp;"",INDEX(nQ10_Results_Text,$AH57)&amp;"",INDEX(nQ11_Results_Text,$AH57)&amp;""))</f>
        <v/>
      </c>
      <c r="BF57" s="1" t="str">
        <f>IF($AF57=0,"",CHOOSE($AF57,INDEX(nINT_Parameter_Set,$AH57)&amp;"",INDEX(nQ1_Parameter_Set,$AH57)&amp;"",INDEX(nQ2_Parameter_Set,$AH57)&amp;"",INDEX(nQ3_Parameter_Set,$AH57)&amp;"",INDEX(nQ4_Parameter_Set,$AH57)&amp;"",INDEX(nQ5_Parameter_Set,$AH57)&amp;"",INDEX(nQ6_Parameter_Set,$AH57)&amp;"",INDEX(nQ7_Parameter_Set,$AH57)&amp;"",INDEX(nQ8_Parameter_Set,$AH57)&amp;"",INDEX(nQ9_Parameter_Set,$AH57)&amp;"",INDEX(nQ10_Parameter_Set,$AH57)&amp;"",INDEX(nQ11_Parameter_Set,$AH57)&amp;""))</f>
        <v/>
      </c>
      <c r="BG57" s="1" t="str">
        <f>IF($AF57=0,"",CHOOSE($AF57,INDEX(nINT_Assumptions,$AH57)&amp;"",INDEX(nQ1_Assumptions,$AH57)&amp;"",INDEX(nQ2_Assumptions,$AH57)&amp;"",INDEX(nQ3_Assumptions,$AH57)&amp;"",INDEX(nQ4_Assumptions,$AH57)&amp;"",INDEX(nQ5_Assumptions,$AH57)&amp;"",INDEX(nQ6_Assumptions,$AH57)&amp;"",INDEX(nQ7_Assumptions,$AH57)&amp;"",INDEX(nQ8_Assumptions,$AH57)&amp;"",INDEX(nQ9_Assumptions,$AH57)&amp;"",INDEX(nQ10_Assumptions,$AH57)&amp;"",INDEX(nQ11_Assumptions,$AH57)&amp;""))</f>
        <v/>
      </c>
      <c r="BH57" s="1" t="str">
        <f>IF($AF57=0,"",CHOOSE($AF57,INDEX(nINT_Calculation_Version,$AH57)&amp;"",INDEX(nQ1_Calculation_Version,$AH57)&amp;"",INDEX(nQ2_Calculation_Version,$AH57)&amp;"",INDEX(nQ3_Calculation_Version,$AH57)&amp;"",INDEX(nQ4_Calculation_Version,$AH57)&amp;"",INDEX(nQ5_Calculation_Version,$AH57)&amp;"",INDEX(nQ6_Calculation_Version,$AH57)&amp;"",INDEX(nQ7_Calculation_Version,$AH57)&amp;"",INDEX(nQ8_Calculation_Version,$AH57)&amp;"",INDEX(nQ9_Calculation_Version,$AH57)&amp;"",INDEX(nQ10_Calculation_Version,$AH57)&amp;"",INDEX(nQ11_Calculation_Version,$AH57)&amp;""))</f>
        <v/>
      </c>
      <c r="BI57" s="1" t="str">
        <f>IF($AF57=0,"",CHOOSE($AF57,INDEX(nINT_QC_Flags,$AH57)&amp;"",INDEX(nQ1_QC_Flags,$AH57)&amp;"",INDEX(nQ2_QC_Flags,$AH57)&amp;"",INDEX(nQ3_QC_Flags,$AH57)&amp;"",INDEX(nQ4_QC_Flags,$AH57)&amp;"",INDEX(nQ5_QC_Flags,$AH57)&amp;"",INDEX(nQ6_QC_Flags,$AH57)&amp;"",INDEX(nQ7_QC_Flags,$AH57)&amp;"",INDEX(nQ8_QC_Flags,$AH57)&amp;"",INDEX(nQ9_QC_Flags,$AH57)&amp;"",INDEX(nQ10_QC_Flags,$AH57)&amp;"",INDEX(nQ11_QC_Flags,$AH57)&amp;""))</f>
        <v/>
      </c>
      <c r="BJ57" s="1" t="str">
        <f>IF($AF57=0,"",CHOOSE($AF57,INDEX(nINT_Messages,$AH57)&amp;"",INDEX(nQ1_Messages,$AH57)&amp;"",INDEX(nQ2_Messages,$AH57)&amp;"",INDEX(nQ3_Messages,$AH57)&amp;"",INDEX(nQ4_Messages,$AH57)&amp;"",INDEX(nQ5_Messages,$AH57)&amp;"",INDEX(nQ6_Messages,$AH57)&amp;"",INDEX(nQ7_Messages,$AH57)&amp;"",INDEX(nQ8_Messages,$AH57)&amp;"",INDEX(nQ9_Messages,$AH57)&amp;"",INDEX(nQ10_Messages,$AH57)&amp;"",INDEX(nQ11_Messages,$AH57)&amp;""))</f>
        <v/>
      </c>
      <c r="BK57" s="1" t="str">
        <f>IF($AF57=0,"",CHOOSE($AF57,INDEX(nINT_Limitations,$AH57)&amp;"",INDEX(nQ1_Mandatory_Text,$AH57)&amp;"",INDEX(nQ2_Mandatory_Text,$AH57)&amp;"",INDEX(nQ3_Mandatory_Text,$AH57)&amp;"",INDEX(nQ4_Mandatory_Text,$AH57)&amp;"",INDEX(nQ5_Mandatory_Text,$AH57)&amp;"",INDEX(nQ6_Mandatory_Text,$AH57)&amp;"",INDEX(nQ7_Mandatory_Text,$AH57)&amp;"",INDEX(nQ8_Mandatory_Text,$AH57)&amp;"",INDEX(nQ9_Mandatory_Text,$AH57)&amp;"",INDEX(nQ10_Mandatory_Text,$AH57)&amp;"",INDEX(nQ11_Mandatory_Text,$AH57)&amp;""))</f>
        <v/>
      </c>
      <c r="BL57" s="1" t="str">
        <f t="shared" si="33"/>
        <v/>
      </c>
      <c r="BM57" s="1" t="str">
        <f t="shared" si="34"/>
        <v/>
      </c>
    </row>
    <row r="58" spans="1:65" x14ac:dyDescent="0.2">
      <c r="A58" s="21" t="str">
        <f t="shared" si="0"/>
        <v/>
      </c>
      <c r="B58" s="21" t="str">
        <f t="shared" si="1"/>
        <v/>
      </c>
      <c r="C58" s="21" t="str">
        <f t="shared" si="2"/>
        <v/>
      </c>
      <c r="D58" s="21" t="str">
        <f t="shared" si="3"/>
        <v/>
      </c>
      <c r="E58" s="21" t="str">
        <f t="shared" si="4"/>
        <v/>
      </c>
      <c r="F58" s="21" t="str">
        <f t="shared" si="5"/>
        <v/>
      </c>
      <c r="G58" s="21" t="str">
        <f t="shared" si="6"/>
        <v/>
      </c>
      <c r="H58" s="21" t="str">
        <f t="shared" si="7"/>
        <v/>
      </c>
      <c r="I58" s="21" t="str">
        <f t="shared" si="8"/>
        <v/>
      </c>
      <c r="J58" s="21" t="str">
        <f t="shared" si="9"/>
        <v/>
      </c>
      <c r="K58" s="21" t="str">
        <f t="shared" si="10"/>
        <v/>
      </c>
      <c r="L58" s="21" t="str">
        <f t="shared" si="11"/>
        <v/>
      </c>
      <c r="M58" s="21" t="str">
        <f t="shared" si="12"/>
        <v/>
      </c>
      <c r="N58" s="21" t="str">
        <f t="shared" si="13"/>
        <v/>
      </c>
      <c r="O58" s="21" t="str">
        <f t="shared" si="14"/>
        <v/>
      </c>
      <c r="P58" s="21" t="str">
        <f t="shared" si="15"/>
        <v/>
      </c>
      <c r="Q58" s="21" t="str">
        <f t="shared" si="16"/>
        <v/>
      </c>
      <c r="R58" s="21" t="str">
        <f t="shared" si="17"/>
        <v/>
      </c>
      <c r="S58" s="21" t="str">
        <f t="shared" si="18"/>
        <v/>
      </c>
      <c r="T58" s="21" t="str">
        <f t="shared" si="19"/>
        <v/>
      </c>
      <c r="U58" s="21" t="str">
        <f t="shared" si="20"/>
        <v/>
      </c>
      <c r="V58" s="21" t="str">
        <f t="shared" si="21"/>
        <v/>
      </c>
      <c r="W58" s="21" t="str">
        <f t="shared" si="22"/>
        <v/>
      </c>
      <c r="X58" s="21" t="str">
        <f t="shared" si="23"/>
        <v/>
      </c>
      <c r="Y58" s="21" t="str">
        <f t="shared" si="24"/>
        <v/>
      </c>
      <c r="Z58" s="21" t="str">
        <f t="shared" si="25"/>
        <v/>
      </c>
      <c r="AA58" s="21" t="str">
        <f t="shared" si="26"/>
        <v/>
      </c>
      <c r="AB58" s="21" t="str">
        <f t="shared" si="27"/>
        <v/>
      </c>
      <c r="AC58" s="21" t="str">
        <f t="shared" si="28"/>
        <v/>
      </c>
      <c r="AD58" s="21" t="str">
        <f t="shared" si="29"/>
        <v/>
      </c>
      <c r="AE58" s="1">
        <f t="shared" si="30"/>
        <v>51</v>
      </c>
      <c r="AF58" s="1">
        <f t="shared" si="31"/>
        <v>0</v>
      </c>
      <c r="AG58" s="1">
        <f t="shared" si="32"/>
        <v>0</v>
      </c>
      <c r="AH58" s="1">
        <f>IF(AF58=0,0,CHOOSE(AF58,IFERROR(_xlfn.AGGREGATE(15,6,(ROW(nINT_CaseKey)-ROW(INDEX(nINT_CaseKey,1,1))+1)/((nINT_CaseKey=$H$4)*(nINT_RowEmpty=0)),AG58),0),IFERROR(_xlfn.AGGREGATE(15,6,(ROW(nQ1_CaseKey)-ROW(INDEX(nQ1_CaseKey,1,1))+1)/((nQ1_CaseKey=$H$4)),AG58),0),IFERROR(_xlfn.AGGREGATE(15,6,(ROW(nQ2_CaseKey)-ROW(INDEX(nQ2_CaseKey,1,1))+1)/((nQ2_CaseKey=$H$4)),AG58),0),IFERROR(_xlfn.AGGREGATE(15,6,(ROW(nQ3_CaseKey)-ROW(INDEX(nQ3_CaseKey,1,1))+1)/((nQ3_CaseKey=$H$4)),AG58),0),IFERROR(_xlfn.AGGREGATE(15,6,(ROW(nQ4_CaseKey)-ROW(INDEX(nQ4_CaseKey,1,1))+1)/((nQ4_CaseKey=$H$4)),AG58),0),IFERROR(_xlfn.AGGREGATE(15,6,(ROW(nQ5_CaseKey)-ROW(INDEX(nQ5_CaseKey,1,1))+1)/((nQ5_CaseKey=$H$4)),AG58),0),IFERROR(_xlfn.AGGREGATE(15,6,(ROW(nQ6_CaseKey)-ROW(INDEX(nQ6_CaseKey,1,1))+1)/((nQ6_CaseKey=$H$4)),AG58),0),IFERROR(_xlfn.AGGREGATE(15,6,(ROW(nQ7_CaseKey)-ROW(INDEX(nQ7_CaseKey,1,1))+1)/((nQ7_CaseKey=$H$4)),AG58),0),IFERROR(_xlfn.AGGREGATE(15,6,(ROW(nQ8_CaseKey)-ROW(INDEX(nQ8_CaseKey,1,1))+1)/((nQ8_CaseKey=$H$4)),AG58),0),IFERROR(_xlfn.AGGREGATE(15,6,(ROW(nQ9_CaseKey)-ROW(INDEX(nQ9_CaseKey,1,1))+1)/((nQ9_CaseKey=$H$4)),AG58),0),IFERROR(_xlfn.AGGREGATE(15,6,(ROW(nQ10_CaseKey)-ROW(INDEX(nQ10_CaseKey,1,1))+1)/((nQ10_CaseKey=$H$4)),AG58),0),IFERROR(_xlfn.AGGREGATE(15,6,(ROW(nQ11_CaseKey)-ROW(INDEX(nQ11_CaseKey,1,1))+1)/((nQ11_CaseKey=$H$4)),AG58),0)))</f>
        <v>0</v>
      </c>
      <c r="AJ58" s="1" t="str">
        <f>IF($AF58=0,"",CHOOSE($AF58,INDEX(nINT_Case_ID,$AH58)&amp;"",INDEX(nQ1_Case_ID,$AH58)&amp;"",INDEX(nQ2_Case_ID,$AH58)&amp;"",INDEX(nQ3_Case_ID,$AH58)&amp;"",INDEX(nQ4_Case_ID,$AH58)&amp;"",INDEX(nQ5_Case_ID,$AH58)&amp;"",INDEX(nQ6_Case_ID,$AH58)&amp;"",INDEX(nQ7_Case_ID,$AH58)&amp;"",INDEX(nQ8_Case_ID,$AH58)&amp;"",INDEX(nQ9_Case_ID,$AH58)&amp;"",INDEX(nQ10_Case_ID,$AH58)&amp;"",INDEX(nQ11_Case_ID,$AH58)&amp;""))</f>
        <v/>
      </c>
      <c r="AK58" s="1" t="str">
        <f>IF($AF58=0,"",CHOOSE($AF58,INDEX(nINT_Case_Version,$AH58),INDEX(nQ1_Case_Version,$AH58),INDEX(nQ2_Case_Version,$AH58),INDEX(nQ3_Case_Version,$AH58),INDEX(nQ4_Case_Version,$AH58),INDEX(nQ5_Case_Version,$AH58),INDEX(nQ6_Case_Version,$AH58),INDEX(nQ7_Case_Version,$AH58),INDEX(nQ8_Case_Version,$AH58),INDEX(nQ9_Case_Version,$AH58),INDEX(nQ10_Case_Version,$AH58),INDEX(nQ11_Case_Version,$AH58)))</f>
        <v/>
      </c>
      <c r="AL58" s="1" t="str">
        <f>IF($AF58=0,"",CHOOSE($AF58,INDEX(nINT_Interval_ID,$AH58)&amp;"",INDEX(nQ1_Calc_ID,$AH58)&amp;"",INDEX(nQ2_Calc_ID,$AH58)&amp;"",INDEX(nQ3_Calc_ID,$AH58)&amp;"",INDEX(nQ4_Calc_ID,$AH58)&amp;"",INDEX(nQ5_Calc_ID,$AH58)&amp;"",INDEX(nQ6_Calc_ID,$AH58)&amp;"",INDEX(nQ7_Calc_ID,$AH58)&amp;"",INDEX(nQ8_Calc_ID,$AH58)&amp;"",INDEX(nQ9_Calc_ID,$AH58)&amp;"",INDEX(nQ10_Calc_ID,$AH58)&amp;"",INDEX(nQ11_Calc_ID,$AH58)&amp;""))</f>
        <v/>
      </c>
      <c r="AM58" s="1" t="str">
        <f>IF($AF58=0,"",CHOOSE($AF58,INDEX(nINT_Label,$AH58)&amp;"",INDEX(nQ1_Label_Out,$AH58)&amp;"",INDEX(nQ2_Label_Out,$AH58)&amp;"",INDEX(nQ3_Label_Out,$AH58)&amp;"",INDEX(nQ4_Label_Out,$AH58)&amp;"",INDEX(nQ5_Label_Out,$AH58)&amp;"",INDEX(nQ6_Label_Out,$AH58)&amp;"",INDEX(nQ7_Label_Out,$AH58)&amp;"",INDEX(nQ8_Label_Out,$AH58)&amp;"",INDEX(nQ9_Label_Out,$AH58)&amp;"",INDEX(nQ10_Label_Out,$AH58)&amp;"",INDEX(nQ11_Label_Out,$AH58)&amp;""))</f>
        <v/>
      </c>
      <c r="AN58" s="1" t="str">
        <f>IF($AF58=0,"",CHOOSE($AF58,IF(INDEX(nINT_LinkRow,$AH58)=0,"",INDEX(nINT_Link_ID,$AH58)&amp;""),"","","","","","","","","","",""))</f>
        <v/>
      </c>
      <c r="AO58" s="1" t="str">
        <f>IF($AF58=0,"",CHOOSE($AF58,INDEX(nINT_Exposure_Episode_ID,$AH58)&amp;"","","","","","","","","","","",""))</f>
        <v/>
      </c>
      <c r="AP58" s="1" t="str">
        <f>IF($AF58=0,"",CHOOSE($AF58,INDEX(nINT_Event_Episode_ID,$AH58)&amp;"","","","","","","","","","","",""))</f>
        <v/>
      </c>
      <c r="AQ58" s="1" t="str">
        <f>IF($AF58=0,"",CHOOSE($AF58,INDEX(nINT_End_Record_ID_Used,$AH58)&amp;"","","","","","","","","","","",""))</f>
        <v/>
      </c>
      <c r="AR58" s="1" t="str">
        <f>IF($AF58=0,"",CHOOSE($AF58,INDEX(nINT_Interval_Value,$AH58),"","","","","","","","","","",""))</f>
        <v/>
      </c>
      <c r="AS58" s="1" t="str">
        <f>IF($AF58=0,"",CHOOSE($AF58,INDEX(nINT_Interval_Minimum,$AH58),"","","","","","","","","","",""))</f>
        <v/>
      </c>
      <c r="AT58" s="1" t="str">
        <f>IF($AF58=0,"",CHOOSE($AF58,INDEX(nINT_Interval_Maximum,$AH58),"","","","","","","","","","",""))</f>
        <v/>
      </c>
      <c r="AU58" s="1" t="str">
        <f>IF($AF58=0,"",CHOOSE($AF58,INDEX(nINT_Unit,$AH58)&amp;"",INDEX(nQ1_Unit_Out,$AH58)&amp;"",INDEX(nQ2_Unit_Out,$AH58)&amp;"",INDEX(nQ3_Unit_Out,$AH58)&amp;"",INDEX(nQ4_Unit_Out,$AH58)&amp;"",INDEX(nQ5_Unit_Out,$AH58)&amp;"",INDEX(nQ6_Unit_Out,$AH58)&amp;"",INDEX(nQ7_Unit_Out,$AH58)&amp;"",INDEX(nQ8_Unit_Out,$AH58)&amp;"",INDEX(nQ9_Unit_Out,$AH58)&amp;"",INDEX(nQ10_Unit_Out,$AH58)&amp;"",INDEX(nQ11_Unit_Out,$AH58)&amp;""))</f>
        <v/>
      </c>
      <c r="AV58" s="1" t="str">
        <f>IF($AF58=0,"",CHOOSE($AF58,INDEX(nINT_Displayed_Value,$AH58)&amp;"",INDEX(nQ1_Displayed_Value,$AH58)&amp;"",INDEX(nQ2_Displayed_Value,$AH58)&amp;"",INDEX(nQ3_Displayed_Value,$AH58)&amp;"",INDEX(nQ4_Displayed_Value,$AH58)&amp;"",INDEX(nQ5_Displayed_Value,$AH58)&amp;"",INDEX(nQ6_Displayed_Value,$AH58)&amp;"",INDEX(nQ7_Displayed_Value,$AH58)&amp;"",INDEX(nQ8_Displayed_Value,$AH58)&amp;"",INDEX(nQ9_Displayed_Value,$AH58)&amp;"",INDEX(nQ10_Displayed_Value,$AH58)&amp;"",INDEX(nQ11_Displayed_Value,$AH58)&amp;""))</f>
        <v/>
      </c>
      <c r="AW58" s="1" t="str">
        <f>IF($AF58=0,"",CHOOSE($AF58,INDEX(nINT_Calculation_Mode_Used,$AH58)&amp;"","Q1","Q2","Q3","Q4","Q5","Q6","Q7","Q8","Q9","Q10","Q11"))</f>
        <v/>
      </c>
      <c r="AX58" s="1" t="str">
        <f>IF($AF58=0,"",CHOOSE($AF58,INDEX(nINT_Anchor_Type,$AH58)&amp;"","","","","","","","","","","",""))</f>
        <v/>
      </c>
      <c r="AY58" s="1" t="str">
        <f>IF($AF58=0,"",CHOOSE($AF58,IF(INDEX(nINT_K_Ok,$AH58)=1,INDEX(nINT_Anchor_Record_ID_Used,$AH58)&amp;"",""),"","","","","","","","","","",""))</f>
        <v/>
      </c>
      <c r="AZ58" s="1" t="str">
        <f>IF($AF58=0,"",CHOOSE($AF58,INDEX(nINT_Anchor_Description,$AH58)&amp;"","","","","","","","","","","",""))</f>
        <v/>
      </c>
      <c r="BA58" s="1" t="str">
        <f>IF($AF58=0,"",CHOOSE($AF58,INDEX(nINT_Sequence_Status,$AH58)&amp;"","","","","","","","","","","",""))</f>
        <v/>
      </c>
      <c r="BB58" s="1" t="str">
        <f>IF($AF58=0,"",CHOOSE($AF58,INDEX(nINT_Treatment_Day,$AH58),"","","","","","","","","","",""))</f>
        <v/>
      </c>
      <c r="BC58" s="1" t="str">
        <f>IF($AF58=0,"",CHOOSE($AF58,INDEX(nINT_Reported_Timing_Result,$AH58)&amp;"","","","","","","","","","","",""))</f>
        <v/>
      </c>
      <c r="BD58" s="1" t="str">
        <f>IF($AF58=0,"",CHOOSE($AF58,IF(INDEX(nINT_K_HasC,$AH58)=1,INDEX(nINT_Constraint_Source,$AH58)&amp;"",""),"","","","","","","","","","",""))</f>
        <v/>
      </c>
      <c r="BE58" s="1" t="str">
        <f>IF($AF58=0,"",CHOOSE($AF58,"",INDEX(nQ1_Results_Text,$AH58)&amp;"",INDEX(nQ2_Results_Text,$AH58)&amp;"",INDEX(nQ3_Results_Text,$AH58)&amp;"",INDEX(nQ4_Results_Text,$AH58)&amp;"",INDEX(nQ5_Results_Text,$AH58)&amp;"",INDEX(nQ6_Results_Text,$AH58)&amp;"",INDEX(nQ7_Results_Text,$AH58)&amp;"",INDEX(nQ8_Results_Text,$AH58)&amp;"",INDEX(nQ9_Results_Text,$AH58)&amp;"",INDEX(nQ10_Results_Text,$AH58)&amp;"",INDEX(nQ11_Results_Text,$AH58)&amp;""))</f>
        <v/>
      </c>
      <c r="BF58" s="1" t="str">
        <f>IF($AF58=0,"",CHOOSE($AF58,INDEX(nINT_Parameter_Set,$AH58)&amp;"",INDEX(nQ1_Parameter_Set,$AH58)&amp;"",INDEX(nQ2_Parameter_Set,$AH58)&amp;"",INDEX(nQ3_Parameter_Set,$AH58)&amp;"",INDEX(nQ4_Parameter_Set,$AH58)&amp;"",INDEX(nQ5_Parameter_Set,$AH58)&amp;"",INDEX(nQ6_Parameter_Set,$AH58)&amp;"",INDEX(nQ7_Parameter_Set,$AH58)&amp;"",INDEX(nQ8_Parameter_Set,$AH58)&amp;"",INDEX(nQ9_Parameter_Set,$AH58)&amp;"",INDEX(nQ10_Parameter_Set,$AH58)&amp;"",INDEX(nQ11_Parameter_Set,$AH58)&amp;""))</f>
        <v/>
      </c>
      <c r="BG58" s="1" t="str">
        <f>IF($AF58=0,"",CHOOSE($AF58,INDEX(nINT_Assumptions,$AH58)&amp;"",INDEX(nQ1_Assumptions,$AH58)&amp;"",INDEX(nQ2_Assumptions,$AH58)&amp;"",INDEX(nQ3_Assumptions,$AH58)&amp;"",INDEX(nQ4_Assumptions,$AH58)&amp;"",INDEX(nQ5_Assumptions,$AH58)&amp;"",INDEX(nQ6_Assumptions,$AH58)&amp;"",INDEX(nQ7_Assumptions,$AH58)&amp;"",INDEX(nQ8_Assumptions,$AH58)&amp;"",INDEX(nQ9_Assumptions,$AH58)&amp;"",INDEX(nQ10_Assumptions,$AH58)&amp;"",INDEX(nQ11_Assumptions,$AH58)&amp;""))</f>
        <v/>
      </c>
      <c r="BH58" s="1" t="str">
        <f>IF($AF58=0,"",CHOOSE($AF58,INDEX(nINT_Calculation_Version,$AH58)&amp;"",INDEX(nQ1_Calculation_Version,$AH58)&amp;"",INDEX(nQ2_Calculation_Version,$AH58)&amp;"",INDEX(nQ3_Calculation_Version,$AH58)&amp;"",INDEX(nQ4_Calculation_Version,$AH58)&amp;"",INDEX(nQ5_Calculation_Version,$AH58)&amp;"",INDEX(nQ6_Calculation_Version,$AH58)&amp;"",INDEX(nQ7_Calculation_Version,$AH58)&amp;"",INDEX(nQ8_Calculation_Version,$AH58)&amp;"",INDEX(nQ9_Calculation_Version,$AH58)&amp;"",INDEX(nQ10_Calculation_Version,$AH58)&amp;"",INDEX(nQ11_Calculation_Version,$AH58)&amp;""))</f>
        <v/>
      </c>
      <c r="BI58" s="1" t="str">
        <f>IF($AF58=0,"",CHOOSE($AF58,INDEX(nINT_QC_Flags,$AH58)&amp;"",INDEX(nQ1_QC_Flags,$AH58)&amp;"",INDEX(nQ2_QC_Flags,$AH58)&amp;"",INDEX(nQ3_QC_Flags,$AH58)&amp;"",INDEX(nQ4_QC_Flags,$AH58)&amp;"",INDEX(nQ5_QC_Flags,$AH58)&amp;"",INDEX(nQ6_QC_Flags,$AH58)&amp;"",INDEX(nQ7_QC_Flags,$AH58)&amp;"",INDEX(nQ8_QC_Flags,$AH58)&amp;"",INDEX(nQ9_QC_Flags,$AH58)&amp;"",INDEX(nQ10_QC_Flags,$AH58)&amp;"",INDEX(nQ11_QC_Flags,$AH58)&amp;""))</f>
        <v/>
      </c>
      <c r="BJ58" s="1" t="str">
        <f>IF($AF58=0,"",CHOOSE($AF58,INDEX(nINT_Messages,$AH58)&amp;"",INDEX(nQ1_Messages,$AH58)&amp;"",INDEX(nQ2_Messages,$AH58)&amp;"",INDEX(nQ3_Messages,$AH58)&amp;"",INDEX(nQ4_Messages,$AH58)&amp;"",INDEX(nQ5_Messages,$AH58)&amp;"",INDEX(nQ6_Messages,$AH58)&amp;"",INDEX(nQ7_Messages,$AH58)&amp;"",INDEX(nQ8_Messages,$AH58)&amp;"",INDEX(nQ9_Messages,$AH58)&amp;"",INDEX(nQ10_Messages,$AH58)&amp;"",INDEX(nQ11_Messages,$AH58)&amp;""))</f>
        <v/>
      </c>
      <c r="BK58" s="1" t="str">
        <f>IF($AF58=0,"",CHOOSE($AF58,INDEX(nINT_Limitations,$AH58)&amp;"",INDEX(nQ1_Mandatory_Text,$AH58)&amp;"",INDEX(nQ2_Mandatory_Text,$AH58)&amp;"",INDEX(nQ3_Mandatory_Text,$AH58)&amp;"",INDEX(nQ4_Mandatory_Text,$AH58)&amp;"",INDEX(nQ5_Mandatory_Text,$AH58)&amp;"",INDEX(nQ6_Mandatory_Text,$AH58)&amp;"",INDEX(nQ7_Mandatory_Text,$AH58)&amp;"",INDEX(nQ8_Mandatory_Text,$AH58)&amp;"",INDEX(nQ9_Mandatory_Text,$AH58)&amp;"",INDEX(nQ10_Mandatory_Text,$AH58)&amp;"",INDEX(nQ11_Mandatory_Text,$AH58)&amp;""))</f>
        <v/>
      </c>
      <c r="BL58" s="1" t="str">
        <f t="shared" si="33"/>
        <v/>
      </c>
      <c r="BM58" s="1" t="str">
        <f t="shared" si="34"/>
        <v/>
      </c>
    </row>
    <row r="59" spans="1:65" x14ac:dyDescent="0.2">
      <c r="A59" s="21" t="str">
        <f t="shared" si="0"/>
        <v/>
      </c>
      <c r="B59" s="21" t="str">
        <f t="shared" si="1"/>
        <v/>
      </c>
      <c r="C59" s="21" t="str">
        <f t="shared" si="2"/>
        <v/>
      </c>
      <c r="D59" s="21" t="str">
        <f t="shared" si="3"/>
        <v/>
      </c>
      <c r="E59" s="21" t="str">
        <f t="shared" si="4"/>
        <v/>
      </c>
      <c r="F59" s="21" t="str">
        <f t="shared" si="5"/>
        <v/>
      </c>
      <c r="G59" s="21" t="str">
        <f t="shared" si="6"/>
        <v/>
      </c>
      <c r="H59" s="21" t="str">
        <f t="shared" si="7"/>
        <v/>
      </c>
      <c r="I59" s="21" t="str">
        <f t="shared" si="8"/>
        <v/>
      </c>
      <c r="J59" s="21" t="str">
        <f t="shared" si="9"/>
        <v/>
      </c>
      <c r="K59" s="21" t="str">
        <f t="shared" si="10"/>
        <v/>
      </c>
      <c r="L59" s="21" t="str">
        <f t="shared" si="11"/>
        <v/>
      </c>
      <c r="M59" s="21" t="str">
        <f t="shared" si="12"/>
        <v/>
      </c>
      <c r="N59" s="21" t="str">
        <f t="shared" si="13"/>
        <v/>
      </c>
      <c r="O59" s="21" t="str">
        <f t="shared" si="14"/>
        <v/>
      </c>
      <c r="P59" s="21" t="str">
        <f t="shared" si="15"/>
        <v/>
      </c>
      <c r="Q59" s="21" t="str">
        <f t="shared" si="16"/>
        <v/>
      </c>
      <c r="R59" s="21" t="str">
        <f t="shared" si="17"/>
        <v/>
      </c>
      <c r="S59" s="21" t="str">
        <f t="shared" si="18"/>
        <v/>
      </c>
      <c r="T59" s="21" t="str">
        <f t="shared" si="19"/>
        <v/>
      </c>
      <c r="U59" s="21" t="str">
        <f t="shared" si="20"/>
        <v/>
      </c>
      <c r="V59" s="21" t="str">
        <f t="shared" si="21"/>
        <v/>
      </c>
      <c r="W59" s="21" t="str">
        <f t="shared" si="22"/>
        <v/>
      </c>
      <c r="X59" s="21" t="str">
        <f t="shared" si="23"/>
        <v/>
      </c>
      <c r="Y59" s="21" t="str">
        <f t="shared" si="24"/>
        <v/>
      </c>
      <c r="Z59" s="21" t="str">
        <f t="shared" si="25"/>
        <v/>
      </c>
      <c r="AA59" s="21" t="str">
        <f t="shared" si="26"/>
        <v/>
      </c>
      <c r="AB59" s="21" t="str">
        <f t="shared" si="27"/>
        <v/>
      </c>
      <c r="AC59" s="21" t="str">
        <f t="shared" si="28"/>
        <v/>
      </c>
      <c r="AD59" s="21" t="str">
        <f t="shared" si="29"/>
        <v/>
      </c>
      <c r="AE59" s="1">
        <f t="shared" si="30"/>
        <v>52</v>
      </c>
      <c r="AF59" s="1">
        <f t="shared" si="31"/>
        <v>0</v>
      </c>
      <c r="AG59" s="1">
        <f t="shared" si="32"/>
        <v>0</v>
      </c>
      <c r="AH59" s="1">
        <f>IF(AF59=0,0,CHOOSE(AF59,IFERROR(_xlfn.AGGREGATE(15,6,(ROW(nINT_CaseKey)-ROW(INDEX(nINT_CaseKey,1,1))+1)/((nINT_CaseKey=$H$4)*(nINT_RowEmpty=0)),AG59),0),IFERROR(_xlfn.AGGREGATE(15,6,(ROW(nQ1_CaseKey)-ROW(INDEX(nQ1_CaseKey,1,1))+1)/((nQ1_CaseKey=$H$4)),AG59),0),IFERROR(_xlfn.AGGREGATE(15,6,(ROW(nQ2_CaseKey)-ROW(INDEX(nQ2_CaseKey,1,1))+1)/((nQ2_CaseKey=$H$4)),AG59),0),IFERROR(_xlfn.AGGREGATE(15,6,(ROW(nQ3_CaseKey)-ROW(INDEX(nQ3_CaseKey,1,1))+1)/((nQ3_CaseKey=$H$4)),AG59),0),IFERROR(_xlfn.AGGREGATE(15,6,(ROW(nQ4_CaseKey)-ROW(INDEX(nQ4_CaseKey,1,1))+1)/((nQ4_CaseKey=$H$4)),AG59),0),IFERROR(_xlfn.AGGREGATE(15,6,(ROW(nQ5_CaseKey)-ROW(INDEX(nQ5_CaseKey,1,1))+1)/((nQ5_CaseKey=$H$4)),AG59),0),IFERROR(_xlfn.AGGREGATE(15,6,(ROW(nQ6_CaseKey)-ROW(INDEX(nQ6_CaseKey,1,1))+1)/((nQ6_CaseKey=$H$4)),AG59),0),IFERROR(_xlfn.AGGREGATE(15,6,(ROW(nQ7_CaseKey)-ROW(INDEX(nQ7_CaseKey,1,1))+1)/((nQ7_CaseKey=$H$4)),AG59),0),IFERROR(_xlfn.AGGREGATE(15,6,(ROW(nQ8_CaseKey)-ROW(INDEX(nQ8_CaseKey,1,1))+1)/((nQ8_CaseKey=$H$4)),AG59),0),IFERROR(_xlfn.AGGREGATE(15,6,(ROW(nQ9_CaseKey)-ROW(INDEX(nQ9_CaseKey,1,1))+1)/((nQ9_CaseKey=$H$4)),AG59),0),IFERROR(_xlfn.AGGREGATE(15,6,(ROW(nQ10_CaseKey)-ROW(INDEX(nQ10_CaseKey,1,1))+1)/((nQ10_CaseKey=$H$4)),AG59),0),IFERROR(_xlfn.AGGREGATE(15,6,(ROW(nQ11_CaseKey)-ROW(INDEX(nQ11_CaseKey,1,1))+1)/((nQ11_CaseKey=$H$4)),AG59),0)))</f>
        <v>0</v>
      </c>
      <c r="AJ59" s="1" t="str">
        <f>IF($AF59=0,"",CHOOSE($AF59,INDEX(nINT_Case_ID,$AH59)&amp;"",INDEX(nQ1_Case_ID,$AH59)&amp;"",INDEX(nQ2_Case_ID,$AH59)&amp;"",INDEX(nQ3_Case_ID,$AH59)&amp;"",INDEX(nQ4_Case_ID,$AH59)&amp;"",INDEX(nQ5_Case_ID,$AH59)&amp;"",INDEX(nQ6_Case_ID,$AH59)&amp;"",INDEX(nQ7_Case_ID,$AH59)&amp;"",INDEX(nQ8_Case_ID,$AH59)&amp;"",INDEX(nQ9_Case_ID,$AH59)&amp;"",INDEX(nQ10_Case_ID,$AH59)&amp;"",INDEX(nQ11_Case_ID,$AH59)&amp;""))</f>
        <v/>
      </c>
      <c r="AK59" s="1" t="str">
        <f>IF($AF59=0,"",CHOOSE($AF59,INDEX(nINT_Case_Version,$AH59),INDEX(nQ1_Case_Version,$AH59),INDEX(nQ2_Case_Version,$AH59),INDEX(nQ3_Case_Version,$AH59),INDEX(nQ4_Case_Version,$AH59),INDEX(nQ5_Case_Version,$AH59),INDEX(nQ6_Case_Version,$AH59),INDEX(nQ7_Case_Version,$AH59),INDEX(nQ8_Case_Version,$AH59),INDEX(nQ9_Case_Version,$AH59),INDEX(nQ10_Case_Version,$AH59),INDEX(nQ11_Case_Version,$AH59)))</f>
        <v/>
      </c>
      <c r="AL59" s="1" t="str">
        <f>IF($AF59=0,"",CHOOSE($AF59,INDEX(nINT_Interval_ID,$AH59)&amp;"",INDEX(nQ1_Calc_ID,$AH59)&amp;"",INDEX(nQ2_Calc_ID,$AH59)&amp;"",INDEX(nQ3_Calc_ID,$AH59)&amp;"",INDEX(nQ4_Calc_ID,$AH59)&amp;"",INDEX(nQ5_Calc_ID,$AH59)&amp;"",INDEX(nQ6_Calc_ID,$AH59)&amp;"",INDEX(nQ7_Calc_ID,$AH59)&amp;"",INDEX(nQ8_Calc_ID,$AH59)&amp;"",INDEX(nQ9_Calc_ID,$AH59)&amp;"",INDEX(nQ10_Calc_ID,$AH59)&amp;"",INDEX(nQ11_Calc_ID,$AH59)&amp;""))</f>
        <v/>
      </c>
      <c r="AM59" s="1" t="str">
        <f>IF($AF59=0,"",CHOOSE($AF59,INDEX(nINT_Label,$AH59)&amp;"",INDEX(nQ1_Label_Out,$AH59)&amp;"",INDEX(nQ2_Label_Out,$AH59)&amp;"",INDEX(nQ3_Label_Out,$AH59)&amp;"",INDEX(nQ4_Label_Out,$AH59)&amp;"",INDEX(nQ5_Label_Out,$AH59)&amp;"",INDEX(nQ6_Label_Out,$AH59)&amp;"",INDEX(nQ7_Label_Out,$AH59)&amp;"",INDEX(nQ8_Label_Out,$AH59)&amp;"",INDEX(nQ9_Label_Out,$AH59)&amp;"",INDEX(nQ10_Label_Out,$AH59)&amp;"",INDEX(nQ11_Label_Out,$AH59)&amp;""))</f>
        <v/>
      </c>
      <c r="AN59" s="1" t="str">
        <f>IF($AF59=0,"",CHOOSE($AF59,IF(INDEX(nINT_LinkRow,$AH59)=0,"",INDEX(nINT_Link_ID,$AH59)&amp;""),"","","","","","","","","","",""))</f>
        <v/>
      </c>
      <c r="AO59" s="1" t="str">
        <f>IF($AF59=0,"",CHOOSE($AF59,INDEX(nINT_Exposure_Episode_ID,$AH59)&amp;"","","","","","","","","","","",""))</f>
        <v/>
      </c>
      <c r="AP59" s="1" t="str">
        <f>IF($AF59=0,"",CHOOSE($AF59,INDEX(nINT_Event_Episode_ID,$AH59)&amp;"","","","","","","","","","","",""))</f>
        <v/>
      </c>
      <c r="AQ59" s="1" t="str">
        <f>IF($AF59=0,"",CHOOSE($AF59,INDEX(nINT_End_Record_ID_Used,$AH59)&amp;"","","","","","","","","","","",""))</f>
        <v/>
      </c>
      <c r="AR59" s="1" t="str">
        <f>IF($AF59=0,"",CHOOSE($AF59,INDEX(nINT_Interval_Value,$AH59),"","","","","","","","","","",""))</f>
        <v/>
      </c>
      <c r="AS59" s="1" t="str">
        <f>IF($AF59=0,"",CHOOSE($AF59,INDEX(nINT_Interval_Minimum,$AH59),"","","","","","","","","","",""))</f>
        <v/>
      </c>
      <c r="AT59" s="1" t="str">
        <f>IF($AF59=0,"",CHOOSE($AF59,INDEX(nINT_Interval_Maximum,$AH59),"","","","","","","","","","",""))</f>
        <v/>
      </c>
      <c r="AU59" s="1" t="str">
        <f>IF($AF59=0,"",CHOOSE($AF59,INDEX(nINT_Unit,$AH59)&amp;"",INDEX(nQ1_Unit_Out,$AH59)&amp;"",INDEX(nQ2_Unit_Out,$AH59)&amp;"",INDEX(nQ3_Unit_Out,$AH59)&amp;"",INDEX(nQ4_Unit_Out,$AH59)&amp;"",INDEX(nQ5_Unit_Out,$AH59)&amp;"",INDEX(nQ6_Unit_Out,$AH59)&amp;"",INDEX(nQ7_Unit_Out,$AH59)&amp;"",INDEX(nQ8_Unit_Out,$AH59)&amp;"",INDEX(nQ9_Unit_Out,$AH59)&amp;"",INDEX(nQ10_Unit_Out,$AH59)&amp;"",INDEX(nQ11_Unit_Out,$AH59)&amp;""))</f>
        <v/>
      </c>
      <c r="AV59" s="1" t="str">
        <f>IF($AF59=0,"",CHOOSE($AF59,INDEX(nINT_Displayed_Value,$AH59)&amp;"",INDEX(nQ1_Displayed_Value,$AH59)&amp;"",INDEX(nQ2_Displayed_Value,$AH59)&amp;"",INDEX(nQ3_Displayed_Value,$AH59)&amp;"",INDEX(nQ4_Displayed_Value,$AH59)&amp;"",INDEX(nQ5_Displayed_Value,$AH59)&amp;"",INDEX(nQ6_Displayed_Value,$AH59)&amp;"",INDEX(nQ7_Displayed_Value,$AH59)&amp;"",INDEX(nQ8_Displayed_Value,$AH59)&amp;"",INDEX(nQ9_Displayed_Value,$AH59)&amp;"",INDEX(nQ10_Displayed_Value,$AH59)&amp;"",INDEX(nQ11_Displayed_Value,$AH59)&amp;""))</f>
        <v/>
      </c>
      <c r="AW59" s="1" t="str">
        <f>IF($AF59=0,"",CHOOSE($AF59,INDEX(nINT_Calculation_Mode_Used,$AH59)&amp;"","Q1","Q2","Q3","Q4","Q5","Q6","Q7","Q8","Q9","Q10","Q11"))</f>
        <v/>
      </c>
      <c r="AX59" s="1" t="str">
        <f>IF($AF59=0,"",CHOOSE($AF59,INDEX(nINT_Anchor_Type,$AH59)&amp;"","","","","","","","","","","",""))</f>
        <v/>
      </c>
      <c r="AY59" s="1" t="str">
        <f>IF($AF59=0,"",CHOOSE($AF59,IF(INDEX(nINT_K_Ok,$AH59)=1,INDEX(nINT_Anchor_Record_ID_Used,$AH59)&amp;"",""),"","","","","","","","","","",""))</f>
        <v/>
      </c>
      <c r="AZ59" s="1" t="str">
        <f>IF($AF59=0,"",CHOOSE($AF59,INDEX(nINT_Anchor_Description,$AH59)&amp;"","","","","","","","","","","",""))</f>
        <v/>
      </c>
      <c r="BA59" s="1" t="str">
        <f>IF($AF59=0,"",CHOOSE($AF59,INDEX(nINT_Sequence_Status,$AH59)&amp;"","","","","","","","","","","",""))</f>
        <v/>
      </c>
      <c r="BB59" s="1" t="str">
        <f>IF($AF59=0,"",CHOOSE($AF59,INDEX(nINT_Treatment_Day,$AH59),"","","","","","","","","","",""))</f>
        <v/>
      </c>
      <c r="BC59" s="1" t="str">
        <f>IF($AF59=0,"",CHOOSE($AF59,INDEX(nINT_Reported_Timing_Result,$AH59)&amp;"","","","","","","","","","","",""))</f>
        <v/>
      </c>
      <c r="BD59" s="1" t="str">
        <f>IF($AF59=0,"",CHOOSE($AF59,IF(INDEX(nINT_K_HasC,$AH59)=1,INDEX(nINT_Constraint_Source,$AH59)&amp;"",""),"","","","","","","","","","",""))</f>
        <v/>
      </c>
      <c r="BE59" s="1" t="str">
        <f>IF($AF59=0,"",CHOOSE($AF59,"",INDEX(nQ1_Results_Text,$AH59)&amp;"",INDEX(nQ2_Results_Text,$AH59)&amp;"",INDEX(nQ3_Results_Text,$AH59)&amp;"",INDEX(nQ4_Results_Text,$AH59)&amp;"",INDEX(nQ5_Results_Text,$AH59)&amp;"",INDEX(nQ6_Results_Text,$AH59)&amp;"",INDEX(nQ7_Results_Text,$AH59)&amp;"",INDEX(nQ8_Results_Text,$AH59)&amp;"",INDEX(nQ9_Results_Text,$AH59)&amp;"",INDEX(nQ10_Results_Text,$AH59)&amp;"",INDEX(nQ11_Results_Text,$AH59)&amp;""))</f>
        <v/>
      </c>
      <c r="BF59" s="1" t="str">
        <f>IF($AF59=0,"",CHOOSE($AF59,INDEX(nINT_Parameter_Set,$AH59)&amp;"",INDEX(nQ1_Parameter_Set,$AH59)&amp;"",INDEX(nQ2_Parameter_Set,$AH59)&amp;"",INDEX(nQ3_Parameter_Set,$AH59)&amp;"",INDEX(nQ4_Parameter_Set,$AH59)&amp;"",INDEX(nQ5_Parameter_Set,$AH59)&amp;"",INDEX(nQ6_Parameter_Set,$AH59)&amp;"",INDEX(nQ7_Parameter_Set,$AH59)&amp;"",INDEX(nQ8_Parameter_Set,$AH59)&amp;"",INDEX(nQ9_Parameter_Set,$AH59)&amp;"",INDEX(nQ10_Parameter_Set,$AH59)&amp;"",INDEX(nQ11_Parameter_Set,$AH59)&amp;""))</f>
        <v/>
      </c>
      <c r="BG59" s="1" t="str">
        <f>IF($AF59=0,"",CHOOSE($AF59,INDEX(nINT_Assumptions,$AH59)&amp;"",INDEX(nQ1_Assumptions,$AH59)&amp;"",INDEX(nQ2_Assumptions,$AH59)&amp;"",INDEX(nQ3_Assumptions,$AH59)&amp;"",INDEX(nQ4_Assumptions,$AH59)&amp;"",INDEX(nQ5_Assumptions,$AH59)&amp;"",INDEX(nQ6_Assumptions,$AH59)&amp;"",INDEX(nQ7_Assumptions,$AH59)&amp;"",INDEX(nQ8_Assumptions,$AH59)&amp;"",INDEX(nQ9_Assumptions,$AH59)&amp;"",INDEX(nQ10_Assumptions,$AH59)&amp;"",INDEX(nQ11_Assumptions,$AH59)&amp;""))</f>
        <v/>
      </c>
      <c r="BH59" s="1" t="str">
        <f>IF($AF59=0,"",CHOOSE($AF59,INDEX(nINT_Calculation_Version,$AH59)&amp;"",INDEX(nQ1_Calculation_Version,$AH59)&amp;"",INDEX(nQ2_Calculation_Version,$AH59)&amp;"",INDEX(nQ3_Calculation_Version,$AH59)&amp;"",INDEX(nQ4_Calculation_Version,$AH59)&amp;"",INDEX(nQ5_Calculation_Version,$AH59)&amp;"",INDEX(nQ6_Calculation_Version,$AH59)&amp;"",INDEX(nQ7_Calculation_Version,$AH59)&amp;"",INDEX(nQ8_Calculation_Version,$AH59)&amp;"",INDEX(nQ9_Calculation_Version,$AH59)&amp;"",INDEX(nQ10_Calculation_Version,$AH59)&amp;"",INDEX(nQ11_Calculation_Version,$AH59)&amp;""))</f>
        <v/>
      </c>
      <c r="BI59" s="1" t="str">
        <f>IF($AF59=0,"",CHOOSE($AF59,INDEX(nINT_QC_Flags,$AH59)&amp;"",INDEX(nQ1_QC_Flags,$AH59)&amp;"",INDEX(nQ2_QC_Flags,$AH59)&amp;"",INDEX(nQ3_QC_Flags,$AH59)&amp;"",INDEX(nQ4_QC_Flags,$AH59)&amp;"",INDEX(nQ5_QC_Flags,$AH59)&amp;"",INDEX(nQ6_QC_Flags,$AH59)&amp;"",INDEX(nQ7_QC_Flags,$AH59)&amp;"",INDEX(nQ8_QC_Flags,$AH59)&amp;"",INDEX(nQ9_QC_Flags,$AH59)&amp;"",INDEX(nQ10_QC_Flags,$AH59)&amp;"",INDEX(nQ11_QC_Flags,$AH59)&amp;""))</f>
        <v/>
      </c>
      <c r="BJ59" s="1" t="str">
        <f>IF($AF59=0,"",CHOOSE($AF59,INDEX(nINT_Messages,$AH59)&amp;"",INDEX(nQ1_Messages,$AH59)&amp;"",INDEX(nQ2_Messages,$AH59)&amp;"",INDEX(nQ3_Messages,$AH59)&amp;"",INDEX(nQ4_Messages,$AH59)&amp;"",INDEX(nQ5_Messages,$AH59)&amp;"",INDEX(nQ6_Messages,$AH59)&amp;"",INDEX(nQ7_Messages,$AH59)&amp;"",INDEX(nQ8_Messages,$AH59)&amp;"",INDEX(nQ9_Messages,$AH59)&amp;"",INDEX(nQ10_Messages,$AH59)&amp;"",INDEX(nQ11_Messages,$AH59)&amp;""))</f>
        <v/>
      </c>
      <c r="BK59" s="1" t="str">
        <f>IF($AF59=0,"",CHOOSE($AF59,INDEX(nINT_Limitations,$AH59)&amp;"",INDEX(nQ1_Mandatory_Text,$AH59)&amp;"",INDEX(nQ2_Mandatory_Text,$AH59)&amp;"",INDEX(nQ3_Mandatory_Text,$AH59)&amp;"",INDEX(nQ4_Mandatory_Text,$AH59)&amp;"",INDEX(nQ5_Mandatory_Text,$AH59)&amp;"",INDEX(nQ6_Mandatory_Text,$AH59)&amp;"",INDEX(nQ7_Mandatory_Text,$AH59)&amp;"",INDEX(nQ8_Mandatory_Text,$AH59)&amp;"",INDEX(nQ9_Mandatory_Text,$AH59)&amp;"",INDEX(nQ10_Mandatory_Text,$AH59)&amp;"",INDEX(nQ11_Mandatory_Text,$AH59)&amp;""))</f>
        <v/>
      </c>
      <c r="BL59" s="1" t="str">
        <f t="shared" si="33"/>
        <v/>
      </c>
      <c r="BM59" s="1" t="str">
        <f t="shared" si="34"/>
        <v/>
      </c>
    </row>
    <row r="60" spans="1:65" x14ac:dyDescent="0.2">
      <c r="A60" s="21" t="str">
        <f t="shared" si="0"/>
        <v/>
      </c>
      <c r="B60" s="21" t="str">
        <f t="shared" si="1"/>
        <v/>
      </c>
      <c r="C60" s="21" t="str">
        <f t="shared" si="2"/>
        <v/>
      </c>
      <c r="D60" s="21" t="str">
        <f t="shared" si="3"/>
        <v/>
      </c>
      <c r="E60" s="21" t="str">
        <f t="shared" si="4"/>
        <v/>
      </c>
      <c r="F60" s="21" t="str">
        <f t="shared" si="5"/>
        <v/>
      </c>
      <c r="G60" s="21" t="str">
        <f t="shared" si="6"/>
        <v/>
      </c>
      <c r="H60" s="21" t="str">
        <f t="shared" si="7"/>
        <v/>
      </c>
      <c r="I60" s="21" t="str">
        <f t="shared" si="8"/>
        <v/>
      </c>
      <c r="J60" s="21" t="str">
        <f t="shared" si="9"/>
        <v/>
      </c>
      <c r="K60" s="21" t="str">
        <f t="shared" si="10"/>
        <v/>
      </c>
      <c r="L60" s="21" t="str">
        <f t="shared" si="11"/>
        <v/>
      </c>
      <c r="M60" s="21" t="str">
        <f t="shared" si="12"/>
        <v/>
      </c>
      <c r="N60" s="21" t="str">
        <f t="shared" si="13"/>
        <v/>
      </c>
      <c r="O60" s="21" t="str">
        <f t="shared" si="14"/>
        <v/>
      </c>
      <c r="P60" s="21" t="str">
        <f t="shared" si="15"/>
        <v/>
      </c>
      <c r="Q60" s="21" t="str">
        <f t="shared" si="16"/>
        <v/>
      </c>
      <c r="R60" s="21" t="str">
        <f t="shared" si="17"/>
        <v/>
      </c>
      <c r="S60" s="21" t="str">
        <f t="shared" si="18"/>
        <v/>
      </c>
      <c r="T60" s="21" t="str">
        <f t="shared" si="19"/>
        <v/>
      </c>
      <c r="U60" s="21" t="str">
        <f t="shared" si="20"/>
        <v/>
      </c>
      <c r="V60" s="21" t="str">
        <f t="shared" si="21"/>
        <v/>
      </c>
      <c r="W60" s="21" t="str">
        <f t="shared" si="22"/>
        <v/>
      </c>
      <c r="X60" s="21" t="str">
        <f t="shared" si="23"/>
        <v/>
      </c>
      <c r="Y60" s="21" t="str">
        <f t="shared" si="24"/>
        <v/>
      </c>
      <c r="Z60" s="21" t="str">
        <f t="shared" si="25"/>
        <v/>
      </c>
      <c r="AA60" s="21" t="str">
        <f t="shared" si="26"/>
        <v/>
      </c>
      <c r="AB60" s="21" t="str">
        <f t="shared" si="27"/>
        <v/>
      </c>
      <c r="AC60" s="21" t="str">
        <f t="shared" si="28"/>
        <v/>
      </c>
      <c r="AD60" s="21" t="str">
        <f t="shared" si="29"/>
        <v/>
      </c>
      <c r="AE60" s="1">
        <f t="shared" si="30"/>
        <v>53</v>
      </c>
      <c r="AF60" s="1">
        <f t="shared" si="31"/>
        <v>0</v>
      </c>
      <c r="AG60" s="1">
        <f t="shared" si="32"/>
        <v>0</v>
      </c>
      <c r="AH60" s="1">
        <f>IF(AF60=0,0,CHOOSE(AF60,IFERROR(_xlfn.AGGREGATE(15,6,(ROW(nINT_CaseKey)-ROW(INDEX(nINT_CaseKey,1,1))+1)/((nINT_CaseKey=$H$4)*(nINT_RowEmpty=0)),AG60),0),IFERROR(_xlfn.AGGREGATE(15,6,(ROW(nQ1_CaseKey)-ROW(INDEX(nQ1_CaseKey,1,1))+1)/((nQ1_CaseKey=$H$4)),AG60),0),IFERROR(_xlfn.AGGREGATE(15,6,(ROW(nQ2_CaseKey)-ROW(INDEX(nQ2_CaseKey,1,1))+1)/((nQ2_CaseKey=$H$4)),AG60),0),IFERROR(_xlfn.AGGREGATE(15,6,(ROW(nQ3_CaseKey)-ROW(INDEX(nQ3_CaseKey,1,1))+1)/((nQ3_CaseKey=$H$4)),AG60),0),IFERROR(_xlfn.AGGREGATE(15,6,(ROW(nQ4_CaseKey)-ROW(INDEX(nQ4_CaseKey,1,1))+1)/((nQ4_CaseKey=$H$4)),AG60),0),IFERROR(_xlfn.AGGREGATE(15,6,(ROW(nQ5_CaseKey)-ROW(INDEX(nQ5_CaseKey,1,1))+1)/((nQ5_CaseKey=$H$4)),AG60),0),IFERROR(_xlfn.AGGREGATE(15,6,(ROW(nQ6_CaseKey)-ROW(INDEX(nQ6_CaseKey,1,1))+1)/((nQ6_CaseKey=$H$4)),AG60),0),IFERROR(_xlfn.AGGREGATE(15,6,(ROW(nQ7_CaseKey)-ROW(INDEX(nQ7_CaseKey,1,1))+1)/((nQ7_CaseKey=$H$4)),AG60),0),IFERROR(_xlfn.AGGREGATE(15,6,(ROW(nQ8_CaseKey)-ROW(INDEX(nQ8_CaseKey,1,1))+1)/((nQ8_CaseKey=$H$4)),AG60),0),IFERROR(_xlfn.AGGREGATE(15,6,(ROW(nQ9_CaseKey)-ROW(INDEX(nQ9_CaseKey,1,1))+1)/((nQ9_CaseKey=$H$4)),AG60),0),IFERROR(_xlfn.AGGREGATE(15,6,(ROW(nQ10_CaseKey)-ROW(INDEX(nQ10_CaseKey,1,1))+1)/((nQ10_CaseKey=$H$4)),AG60),0),IFERROR(_xlfn.AGGREGATE(15,6,(ROW(nQ11_CaseKey)-ROW(INDEX(nQ11_CaseKey,1,1))+1)/((nQ11_CaseKey=$H$4)),AG60),0)))</f>
        <v>0</v>
      </c>
      <c r="AJ60" s="1" t="str">
        <f>IF($AF60=0,"",CHOOSE($AF60,INDEX(nINT_Case_ID,$AH60)&amp;"",INDEX(nQ1_Case_ID,$AH60)&amp;"",INDEX(nQ2_Case_ID,$AH60)&amp;"",INDEX(nQ3_Case_ID,$AH60)&amp;"",INDEX(nQ4_Case_ID,$AH60)&amp;"",INDEX(nQ5_Case_ID,$AH60)&amp;"",INDEX(nQ6_Case_ID,$AH60)&amp;"",INDEX(nQ7_Case_ID,$AH60)&amp;"",INDEX(nQ8_Case_ID,$AH60)&amp;"",INDEX(nQ9_Case_ID,$AH60)&amp;"",INDEX(nQ10_Case_ID,$AH60)&amp;"",INDEX(nQ11_Case_ID,$AH60)&amp;""))</f>
        <v/>
      </c>
      <c r="AK60" s="1" t="str">
        <f>IF($AF60=0,"",CHOOSE($AF60,INDEX(nINT_Case_Version,$AH60),INDEX(nQ1_Case_Version,$AH60),INDEX(nQ2_Case_Version,$AH60),INDEX(nQ3_Case_Version,$AH60),INDEX(nQ4_Case_Version,$AH60),INDEX(nQ5_Case_Version,$AH60),INDEX(nQ6_Case_Version,$AH60),INDEX(nQ7_Case_Version,$AH60),INDEX(nQ8_Case_Version,$AH60),INDEX(nQ9_Case_Version,$AH60),INDEX(nQ10_Case_Version,$AH60),INDEX(nQ11_Case_Version,$AH60)))</f>
        <v/>
      </c>
      <c r="AL60" s="1" t="str">
        <f>IF($AF60=0,"",CHOOSE($AF60,INDEX(nINT_Interval_ID,$AH60)&amp;"",INDEX(nQ1_Calc_ID,$AH60)&amp;"",INDEX(nQ2_Calc_ID,$AH60)&amp;"",INDEX(nQ3_Calc_ID,$AH60)&amp;"",INDEX(nQ4_Calc_ID,$AH60)&amp;"",INDEX(nQ5_Calc_ID,$AH60)&amp;"",INDEX(nQ6_Calc_ID,$AH60)&amp;"",INDEX(nQ7_Calc_ID,$AH60)&amp;"",INDEX(nQ8_Calc_ID,$AH60)&amp;"",INDEX(nQ9_Calc_ID,$AH60)&amp;"",INDEX(nQ10_Calc_ID,$AH60)&amp;"",INDEX(nQ11_Calc_ID,$AH60)&amp;""))</f>
        <v/>
      </c>
      <c r="AM60" s="1" t="str">
        <f>IF($AF60=0,"",CHOOSE($AF60,INDEX(nINT_Label,$AH60)&amp;"",INDEX(nQ1_Label_Out,$AH60)&amp;"",INDEX(nQ2_Label_Out,$AH60)&amp;"",INDEX(nQ3_Label_Out,$AH60)&amp;"",INDEX(nQ4_Label_Out,$AH60)&amp;"",INDEX(nQ5_Label_Out,$AH60)&amp;"",INDEX(nQ6_Label_Out,$AH60)&amp;"",INDEX(nQ7_Label_Out,$AH60)&amp;"",INDEX(nQ8_Label_Out,$AH60)&amp;"",INDEX(nQ9_Label_Out,$AH60)&amp;"",INDEX(nQ10_Label_Out,$AH60)&amp;"",INDEX(nQ11_Label_Out,$AH60)&amp;""))</f>
        <v/>
      </c>
      <c r="AN60" s="1" t="str">
        <f>IF($AF60=0,"",CHOOSE($AF60,IF(INDEX(nINT_LinkRow,$AH60)=0,"",INDEX(nINT_Link_ID,$AH60)&amp;""),"","","","","","","","","","",""))</f>
        <v/>
      </c>
      <c r="AO60" s="1" t="str">
        <f>IF($AF60=0,"",CHOOSE($AF60,INDEX(nINT_Exposure_Episode_ID,$AH60)&amp;"","","","","","","","","","","",""))</f>
        <v/>
      </c>
      <c r="AP60" s="1" t="str">
        <f>IF($AF60=0,"",CHOOSE($AF60,INDEX(nINT_Event_Episode_ID,$AH60)&amp;"","","","","","","","","","","",""))</f>
        <v/>
      </c>
      <c r="AQ60" s="1" t="str">
        <f>IF($AF60=0,"",CHOOSE($AF60,INDEX(nINT_End_Record_ID_Used,$AH60)&amp;"","","","","","","","","","","",""))</f>
        <v/>
      </c>
      <c r="AR60" s="1" t="str">
        <f>IF($AF60=0,"",CHOOSE($AF60,INDEX(nINT_Interval_Value,$AH60),"","","","","","","","","","",""))</f>
        <v/>
      </c>
      <c r="AS60" s="1" t="str">
        <f>IF($AF60=0,"",CHOOSE($AF60,INDEX(nINT_Interval_Minimum,$AH60),"","","","","","","","","","",""))</f>
        <v/>
      </c>
      <c r="AT60" s="1" t="str">
        <f>IF($AF60=0,"",CHOOSE($AF60,INDEX(nINT_Interval_Maximum,$AH60),"","","","","","","","","","",""))</f>
        <v/>
      </c>
      <c r="AU60" s="1" t="str">
        <f>IF($AF60=0,"",CHOOSE($AF60,INDEX(nINT_Unit,$AH60)&amp;"",INDEX(nQ1_Unit_Out,$AH60)&amp;"",INDEX(nQ2_Unit_Out,$AH60)&amp;"",INDEX(nQ3_Unit_Out,$AH60)&amp;"",INDEX(nQ4_Unit_Out,$AH60)&amp;"",INDEX(nQ5_Unit_Out,$AH60)&amp;"",INDEX(nQ6_Unit_Out,$AH60)&amp;"",INDEX(nQ7_Unit_Out,$AH60)&amp;"",INDEX(nQ8_Unit_Out,$AH60)&amp;"",INDEX(nQ9_Unit_Out,$AH60)&amp;"",INDEX(nQ10_Unit_Out,$AH60)&amp;"",INDEX(nQ11_Unit_Out,$AH60)&amp;""))</f>
        <v/>
      </c>
      <c r="AV60" s="1" t="str">
        <f>IF($AF60=0,"",CHOOSE($AF60,INDEX(nINT_Displayed_Value,$AH60)&amp;"",INDEX(nQ1_Displayed_Value,$AH60)&amp;"",INDEX(nQ2_Displayed_Value,$AH60)&amp;"",INDEX(nQ3_Displayed_Value,$AH60)&amp;"",INDEX(nQ4_Displayed_Value,$AH60)&amp;"",INDEX(nQ5_Displayed_Value,$AH60)&amp;"",INDEX(nQ6_Displayed_Value,$AH60)&amp;"",INDEX(nQ7_Displayed_Value,$AH60)&amp;"",INDEX(nQ8_Displayed_Value,$AH60)&amp;"",INDEX(nQ9_Displayed_Value,$AH60)&amp;"",INDEX(nQ10_Displayed_Value,$AH60)&amp;"",INDEX(nQ11_Displayed_Value,$AH60)&amp;""))</f>
        <v/>
      </c>
      <c r="AW60" s="1" t="str">
        <f>IF($AF60=0,"",CHOOSE($AF60,INDEX(nINT_Calculation_Mode_Used,$AH60)&amp;"","Q1","Q2","Q3","Q4","Q5","Q6","Q7","Q8","Q9","Q10","Q11"))</f>
        <v/>
      </c>
      <c r="AX60" s="1" t="str">
        <f>IF($AF60=0,"",CHOOSE($AF60,INDEX(nINT_Anchor_Type,$AH60)&amp;"","","","","","","","","","","",""))</f>
        <v/>
      </c>
      <c r="AY60" s="1" t="str">
        <f>IF($AF60=0,"",CHOOSE($AF60,IF(INDEX(nINT_K_Ok,$AH60)=1,INDEX(nINT_Anchor_Record_ID_Used,$AH60)&amp;"",""),"","","","","","","","","","",""))</f>
        <v/>
      </c>
      <c r="AZ60" s="1" t="str">
        <f>IF($AF60=0,"",CHOOSE($AF60,INDEX(nINT_Anchor_Description,$AH60)&amp;"","","","","","","","","","","",""))</f>
        <v/>
      </c>
      <c r="BA60" s="1" t="str">
        <f>IF($AF60=0,"",CHOOSE($AF60,INDEX(nINT_Sequence_Status,$AH60)&amp;"","","","","","","","","","","",""))</f>
        <v/>
      </c>
      <c r="BB60" s="1" t="str">
        <f>IF($AF60=0,"",CHOOSE($AF60,INDEX(nINT_Treatment_Day,$AH60),"","","","","","","","","","",""))</f>
        <v/>
      </c>
      <c r="BC60" s="1" t="str">
        <f>IF($AF60=0,"",CHOOSE($AF60,INDEX(nINT_Reported_Timing_Result,$AH60)&amp;"","","","","","","","","","","",""))</f>
        <v/>
      </c>
      <c r="BD60" s="1" t="str">
        <f>IF($AF60=0,"",CHOOSE($AF60,IF(INDEX(nINT_K_HasC,$AH60)=1,INDEX(nINT_Constraint_Source,$AH60)&amp;"",""),"","","","","","","","","","",""))</f>
        <v/>
      </c>
      <c r="BE60" s="1" t="str">
        <f>IF($AF60=0,"",CHOOSE($AF60,"",INDEX(nQ1_Results_Text,$AH60)&amp;"",INDEX(nQ2_Results_Text,$AH60)&amp;"",INDEX(nQ3_Results_Text,$AH60)&amp;"",INDEX(nQ4_Results_Text,$AH60)&amp;"",INDEX(nQ5_Results_Text,$AH60)&amp;"",INDEX(nQ6_Results_Text,$AH60)&amp;"",INDEX(nQ7_Results_Text,$AH60)&amp;"",INDEX(nQ8_Results_Text,$AH60)&amp;"",INDEX(nQ9_Results_Text,$AH60)&amp;"",INDEX(nQ10_Results_Text,$AH60)&amp;"",INDEX(nQ11_Results_Text,$AH60)&amp;""))</f>
        <v/>
      </c>
      <c r="BF60" s="1" t="str">
        <f>IF($AF60=0,"",CHOOSE($AF60,INDEX(nINT_Parameter_Set,$AH60)&amp;"",INDEX(nQ1_Parameter_Set,$AH60)&amp;"",INDEX(nQ2_Parameter_Set,$AH60)&amp;"",INDEX(nQ3_Parameter_Set,$AH60)&amp;"",INDEX(nQ4_Parameter_Set,$AH60)&amp;"",INDEX(nQ5_Parameter_Set,$AH60)&amp;"",INDEX(nQ6_Parameter_Set,$AH60)&amp;"",INDEX(nQ7_Parameter_Set,$AH60)&amp;"",INDEX(nQ8_Parameter_Set,$AH60)&amp;"",INDEX(nQ9_Parameter_Set,$AH60)&amp;"",INDEX(nQ10_Parameter_Set,$AH60)&amp;"",INDEX(nQ11_Parameter_Set,$AH60)&amp;""))</f>
        <v/>
      </c>
      <c r="BG60" s="1" t="str">
        <f>IF($AF60=0,"",CHOOSE($AF60,INDEX(nINT_Assumptions,$AH60)&amp;"",INDEX(nQ1_Assumptions,$AH60)&amp;"",INDEX(nQ2_Assumptions,$AH60)&amp;"",INDEX(nQ3_Assumptions,$AH60)&amp;"",INDEX(nQ4_Assumptions,$AH60)&amp;"",INDEX(nQ5_Assumptions,$AH60)&amp;"",INDEX(nQ6_Assumptions,$AH60)&amp;"",INDEX(nQ7_Assumptions,$AH60)&amp;"",INDEX(nQ8_Assumptions,$AH60)&amp;"",INDEX(nQ9_Assumptions,$AH60)&amp;"",INDEX(nQ10_Assumptions,$AH60)&amp;"",INDEX(nQ11_Assumptions,$AH60)&amp;""))</f>
        <v/>
      </c>
      <c r="BH60" s="1" t="str">
        <f>IF($AF60=0,"",CHOOSE($AF60,INDEX(nINT_Calculation_Version,$AH60)&amp;"",INDEX(nQ1_Calculation_Version,$AH60)&amp;"",INDEX(nQ2_Calculation_Version,$AH60)&amp;"",INDEX(nQ3_Calculation_Version,$AH60)&amp;"",INDEX(nQ4_Calculation_Version,$AH60)&amp;"",INDEX(nQ5_Calculation_Version,$AH60)&amp;"",INDEX(nQ6_Calculation_Version,$AH60)&amp;"",INDEX(nQ7_Calculation_Version,$AH60)&amp;"",INDEX(nQ8_Calculation_Version,$AH60)&amp;"",INDEX(nQ9_Calculation_Version,$AH60)&amp;"",INDEX(nQ10_Calculation_Version,$AH60)&amp;"",INDEX(nQ11_Calculation_Version,$AH60)&amp;""))</f>
        <v/>
      </c>
      <c r="BI60" s="1" t="str">
        <f>IF($AF60=0,"",CHOOSE($AF60,INDEX(nINT_QC_Flags,$AH60)&amp;"",INDEX(nQ1_QC_Flags,$AH60)&amp;"",INDEX(nQ2_QC_Flags,$AH60)&amp;"",INDEX(nQ3_QC_Flags,$AH60)&amp;"",INDEX(nQ4_QC_Flags,$AH60)&amp;"",INDEX(nQ5_QC_Flags,$AH60)&amp;"",INDEX(nQ6_QC_Flags,$AH60)&amp;"",INDEX(nQ7_QC_Flags,$AH60)&amp;"",INDEX(nQ8_QC_Flags,$AH60)&amp;"",INDEX(nQ9_QC_Flags,$AH60)&amp;"",INDEX(nQ10_QC_Flags,$AH60)&amp;"",INDEX(nQ11_QC_Flags,$AH60)&amp;""))</f>
        <v/>
      </c>
      <c r="BJ60" s="1" t="str">
        <f>IF($AF60=0,"",CHOOSE($AF60,INDEX(nINT_Messages,$AH60)&amp;"",INDEX(nQ1_Messages,$AH60)&amp;"",INDEX(nQ2_Messages,$AH60)&amp;"",INDEX(nQ3_Messages,$AH60)&amp;"",INDEX(nQ4_Messages,$AH60)&amp;"",INDEX(nQ5_Messages,$AH60)&amp;"",INDEX(nQ6_Messages,$AH60)&amp;"",INDEX(nQ7_Messages,$AH60)&amp;"",INDEX(nQ8_Messages,$AH60)&amp;"",INDEX(nQ9_Messages,$AH60)&amp;"",INDEX(nQ10_Messages,$AH60)&amp;"",INDEX(nQ11_Messages,$AH60)&amp;""))</f>
        <v/>
      </c>
      <c r="BK60" s="1" t="str">
        <f>IF($AF60=0,"",CHOOSE($AF60,INDEX(nINT_Limitations,$AH60)&amp;"",INDEX(nQ1_Mandatory_Text,$AH60)&amp;"",INDEX(nQ2_Mandatory_Text,$AH60)&amp;"",INDEX(nQ3_Mandatory_Text,$AH60)&amp;"",INDEX(nQ4_Mandatory_Text,$AH60)&amp;"",INDEX(nQ5_Mandatory_Text,$AH60)&amp;"",INDEX(nQ6_Mandatory_Text,$AH60)&amp;"",INDEX(nQ7_Mandatory_Text,$AH60)&amp;"",INDEX(nQ8_Mandatory_Text,$AH60)&amp;"",INDEX(nQ9_Mandatory_Text,$AH60)&amp;"",INDEX(nQ10_Mandatory_Text,$AH60)&amp;"",INDEX(nQ11_Mandatory_Text,$AH60)&amp;""))</f>
        <v/>
      </c>
      <c r="BL60" s="1" t="str">
        <f t="shared" si="33"/>
        <v/>
      </c>
      <c r="BM60" s="1" t="str">
        <f t="shared" si="34"/>
        <v/>
      </c>
    </row>
    <row r="61" spans="1:65" x14ac:dyDescent="0.2">
      <c r="A61" s="21" t="str">
        <f t="shared" si="0"/>
        <v/>
      </c>
      <c r="B61" s="21" t="str">
        <f t="shared" si="1"/>
        <v/>
      </c>
      <c r="C61" s="21" t="str">
        <f t="shared" si="2"/>
        <v/>
      </c>
      <c r="D61" s="21" t="str">
        <f t="shared" si="3"/>
        <v/>
      </c>
      <c r="E61" s="21" t="str">
        <f t="shared" si="4"/>
        <v/>
      </c>
      <c r="F61" s="21" t="str">
        <f t="shared" si="5"/>
        <v/>
      </c>
      <c r="G61" s="21" t="str">
        <f t="shared" si="6"/>
        <v/>
      </c>
      <c r="H61" s="21" t="str">
        <f t="shared" si="7"/>
        <v/>
      </c>
      <c r="I61" s="21" t="str">
        <f t="shared" si="8"/>
        <v/>
      </c>
      <c r="J61" s="21" t="str">
        <f t="shared" si="9"/>
        <v/>
      </c>
      <c r="K61" s="21" t="str">
        <f t="shared" si="10"/>
        <v/>
      </c>
      <c r="L61" s="21" t="str">
        <f t="shared" si="11"/>
        <v/>
      </c>
      <c r="M61" s="21" t="str">
        <f t="shared" si="12"/>
        <v/>
      </c>
      <c r="N61" s="21" t="str">
        <f t="shared" si="13"/>
        <v/>
      </c>
      <c r="O61" s="21" t="str">
        <f t="shared" si="14"/>
        <v/>
      </c>
      <c r="P61" s="21" t="str">
        <f t="shared" si="15"/>
        <v/>
      </c>
      <c r="Q61" s="21" t="str">
        <f t="shared" si="16"/>
        <v/>
      </c>
      <c r="R61" s="21" t="str">
        <f t="shared" si="17"/>
        <v/>
      </c>
      <c r="S61" s="21" t="str">
        <f t="shared" si="18"/>
        <v/>
      </c>
      <c r="T61" s="21" t="str">
        <f t="shared" si="19"/>
        <v/>
      </c>
      <c r="U61" s="21" t="str">
        <f t="shared" si="20"/>
        <v/>
      </c>
      <c r="V61" s="21" t="str">
        <f t="shared" si="21"/>
        <v/>
      </c>
      <c r="W61" s="21" t="str">
        <f t="shared" si="22"/>
        <v/>
      </c>
      <c r="X61" s="21" t="str">
        <f t="shared" si="23"/>
        <v/>
      </c>
      <c r="Y61" s="21" t="str">
        <f t="shared" si="24"/>
        <v/>
      </c>
      <c r="Z61" s="21" t="str">
        <f t="shared" si="25"/>
        <v/>
      </c>
      <c r="AA61" s="21" t="str">
        <f t="shared" si="26"/>
        <v/>
      </c>
      <c r="AB61" s="21" t="str">
        <f t="shared" si="27"/>
        <v/>
      </c>
      <c r="AC61" s="21" t="str">
        <f t="shared" si="28"/>
        <v/>
      </c>
      <c r="AD61" s="21" t="str">
        <f t="shared" si="29"/>
        <v/>
      </c>
      <c r="AE61" s="1">
        <f t="shared" si="30"/>
        <v>54</v>
      </c>
      <c r="AF61" s="1">
        <f t="shared" si="31"/>
        <v>0</v>
      </c>
      <c r="AG61" s="1">
        <f t="shared" si="32"/>
        <v>0</v>
      </c>
      <c r="AH61" s="1">
        <f>IF(AF61=0,0,CHOOSE(AF61,IFERROR(_xlfn.AGGREGATE(15,6,(ROW(nINT_CaseKey)-ROW(INDEX(nINT_CaseKey,1,1))+1)/((nINT_CaseKey=$H$4)*(nINT_RowEmpty=0)),AG61),0),IFERROR(_xlfn.AGGREGATE(15,6,(ROW(nQ1_CaseKey)-ROW(INDEX(nQ1_CaseKey,1,1))+1)/((nQ1_CaseKey=$H$4)),AG61),0),IFERROR(_xlfn.AGGREGATE(15,6,(ROW(nQ2_CaseKey)-ROW(INDEX(nQ2_CaseKey,1,1))+1)/((nQ2_CaseKey=$H$4)),AG61),0),IFERROR(_xlfn.AGGREGATE(15,6,(ROW(nQ3_CaseKey)-ROW(INDEX(nQ3_CaseKey,1,1))+1)/((nQ3_CaseKey=$H$4)),AG61),0),IFERROR(_xlfn.AGGREGATE(15,6,(ROW(nQ4_CaseKey)-ROW(INDEX(nQ4_CaseKey,1,1))+1)/((nQ4_CaseKey=$H$4)),AG61),0),IFERROR(_xlfn.AGGREGATE(15,6,(ROW(nQ5_CaseKey)-ROW(INDEX(nQ5_CaseKey,1,1))+1)/((nQ5_CaseKey=$H$4)),AG61),0),IFERROR(_xlfn.AGGREGATE(15,6,(ROW(nQ6_CaseKey)-ROW(INDEX(nQ6_CaseKey,1,1))+1)/((nQ6_CaseKey=$H$4)),AG61),0),IFERROR(_xlfn.AGGREGATE(15,6,(ROW(nQ7_CaseKey)-ROW(INDEX(nQ7_CaseKey,1,1))+1)/((nQ7_CaseKey=$H$4)),AG61),0),IFERROR(_xlfn.AGGREGATE(15,6,(ROW(nQ8_CaseKey)-ROW(INDEX(nQ8_CaseKey,1,1))+1)/((nQ8_CaseKey=$H$4)),AG61),0),IFERROR(_xlfn.AGGREGATE(15,6,(ROW(nQ9_CaseKey)-ROW(INDEX(nQ9_CaseKey,1,1))+1)/((nQ9_CaseKey=$H$4)),AG61),0),IFERROR(_xlfn.AGGREGATE(15,6,(ROW(nQ10_CaseKey)-ROW(INDEX(nQ10_CaseKey,1,1))+1)/((nQ10_CaseKey=$H$4)),AG61),0),IFERROR(_xlfn.AGGREGATE(15,6,(ROW(nQ11_CaseKey)-ROW(INDEX(nQ11_CaseKey,1,1))+1)/((nQ11_CaseKey=$H$4)),AG61),0)))</f>
        <v>0</v>
      </c>
      <c r="AJ61" s="1" t="str">
        <f>IF($AF61=0,"",CHOOSE($AF61,INDEX(nINT_Case_ID,$AH61)&amp;"",INDEX(nQ1_Case_ID,$AH61)&amp;"",INDEX(nQ2_Case_ID,$AH61)&amp;"",INDEX(nQ3_Case_ID,$AH61)&amp;"",INDEX(nQ4_Case_ID,$AH61)&amp;"",INDEX(nQ5_Case_ID,$AH61)&amp;"",INDEX(nQ6_Case_ID,$AH61)&amp;"",INDEX(nQ7_Case_ID,$AH61)&amp;"",INDEX(nQ8_Case_ID,$AH61)&amp;"",INDEX(nQ9_Case_ID,$AH61)&amp;"",INDEX(nQ10_Case_ID,$AH61)&amp;"",INDEX(nQ11_Case_ID,$AH61)&amp;""))</f>
        <v/>
      </c>
      <c r="AK61" s="1" t="str">
        <f>IF($AF61=0,"",CHOOSE($AF61,INDEX(nINT_Case_Version,$AH61),INDEX(nQ1_Case_Version,$AH61),INDEX(nQ2_Case_Version,$AH61),INDEX(nQ3_Case_Version,$AH61),INDEX(nQ4_Case_Version,$AH61),INDEX(nQ5_Case_Version,$AH61),INDEX(nQ6_Case_Version,$AH61),INDEX(nQ7_Case_Version,$AH61),INDEX(nQ8_Case_Version,$AH61),INDEX(nQ9_Case_Version,$AH61),INDEX(nQ10_Case_Version,$AH61),INDEX(nQ11_Case_Version,$AH61)))</f>
        <v/>
      </c>
      <c r="AL61" s="1" t="str">
        <f>IF($AF61=0,"",CHOOSE($AF61,INDEX(nINT_Interval_ID,$AH61)&amp;"",INDEX(nQ1_Calc_ID,$AH61)&amp;"",INDEX(nQ2_Calc_ID,$AH61)&amp;"",INDEX(nQ3_Calc_ID,$AH61)&amp;"",INDEX(nQ4_Calc_ID,$AH61)&amp;"",INDEX(nQ5_Calc_ID,$AH61)&amp;"",INDEX(nQ6_Calc_ID,$AH61)&amp;"",INDEX(nQ7_Calc_ID,$AH61)&amp;"",INDEX(nQ8_Calc_ID,$AH61)&amp;"",INDEX(nQ9_Calc_ID,$AH61)&amp;"",INDEX(nQ10_Calc_ID,$AH61)&amp;"",INDEX(nQ11_Calc_ID,$AH61)&amp;""))</f>
        <v/>
      </c>
      <c r="AM61" s="1" t="str">
        <f>IF($AF61=0,"",CHOOSE($AF61,INDEX(nINT_Label,$AH61)&amp;"",INDEX(nQ1_Label_Out,$AH61)&amp;"",INDEX(nQ2_Label_Out,$AH61)&amp;"",INDEX(nQ3_Label_Out,$AH61)&amp;"",INDEX(nQ4_Label_Out,$AH61)&amp;"",INDEX(nQ5_Label_Out,$AH61)&amp;"",INDEX(nQ6_Label_Out,$AH61)&amp;"",INDEX(nQ7_Label_Out,$AH61)&amp;"",INDEX(nQ8_Label_Out,$AH61)&amp;"",INDEX(nQ9_Label_Out,$AH61)&amp;"",INDEX(nQ10_Label_Out,$AH61)&amp;"",INDEX(nQ11_Label_Out,$AH61)&amp;""))</f>
        <v/>
      </c>
      <c r="AN61" s="1" t="str">
        <f>IF($AF61=0,"",CHOOSE($AF61,IF(INDEX(nINT_LinkRow,$AH61)=0,"",INDEX(nINT_Link_ID,$AH61)&amp;""),"","","","","","","","","","",""))</f>
        <v/>
      </c>
      <c r="AO61" s="1" t="str">
        <f>IF($AF61=0,"",CHOOSE($AF61,INDEX(nINT_Exposure_Episode_ID,$AH61)&amp;"","","","","","","","","","","",""))</f>
        <v/>
      </c>
      <c r="AP61" s="1" t="str">
        <f>IF($AF61=0,"",CHOOSE($AF61,INDEX(nINT_Event_Episode_ID,$AH61)&amp;"","","","","","","","","","","",""))</f>
        <v/>
      </c>
      <c r="AQ61" s="1" t="str">
        <f>IF($AF61=0,"",CHOOSE($AF61,INDEX(nINT_End_Record_ID_Used,$AH61)&amp;"","","","","","","","","","","",""))</f>
        <v/>
      </c>
      <c r="AR61" s="1" t="str">
        <f>IF($AF61=0,"",CHOOSE($AF61,INDEX(nINT_Interval_Value,$AH61),"","","","","","","","","","",""))</f>
        <v/>
      </c>
      <c r="AS61" s="1" t="str">
        <f>IF($AF61=0,"",CHOOSE($AF61,INDEX(nINT_Interval_Minimum,$AH61),"","","","","","","","","","",""))</f>
        <v/>
      </c>
      <c r="AT61" s="1" t="str">
        <f>IF($AF61=0,"",CHOOSE($AF61,INDEX(nINT_Interval_Maximum,$AH61),"","","","","","","","","","",""))</f>
        <v/>
      </c>
      <c r="AU61" s="1" t="str">
        <f>IF($AF61=0,"",CHOOSE($AF61,INDEX(nINT_Unit,$AH61)&amp;"",INDEX(nQ1_Unit_Out,$AH61)&amp;"",INDEX(nQ2_Unit_Out,$AH61)&amp;"",INDEX(nQ3_Unit_Out,$AH61)&amp;"",INDEX(nQ4_Unit_Out,$AH61)&amp;"",INDEX(nQ5_Unit_Out,$AH61)&amp;"",INDEX(nQ6_Unit_Out,$AH61)&amp;"",INDEX(nQ7_Unit_Out,$AH61)&amp;"",INDEX(nQ8_Unit_Out,$AH61)&amp;"",INDEX(nQ9_Unit_Out,$AH61)&amp;"",INDEX(nQ10_Unit_Out,$AH61)&amp;"",INDEX(nQ11_Unit_Out,$AH61)&amp;""))</f>
        <v/>
      </c>
      <c r="AV61" s="1" t="str">
        <f>IF($AF61=0,"",CHOOSE($AF61,INDEX(nINT_Displayed_Value,$AH61)&amp;"",INDEX(nQ1_Displayed_Value,$AH61)&amp;"",INDEX(nQ2_Displayed_Value,$AH61)&amp;"",INDEX(nQ3_Displayed_Value,$AH61)&amp;"",INDEX(nQ4_Displayed_Value,$AH61)&amp;"",INDEX(nQ5_Displayed_Value,$AH61)&amp;"",INDEX(nQ6_Displayed_Value,$AH61)&amp;"",INDEX(nQ7_Displayed_Value,$AH61)&amp;"",INDEX(nQ8_Displayed_Value,$AH61)&amp;"",INDEX(nQ9_Displayed_Value,$AH61)&amp;"",INDEX(nQ10_Displayed_Value,$AH61)&amp;"",INDEX(nQ11_Displayed_Value,$AH61)&amp;""))</f>
        <v/>
      </c>
      <c r="AW61" s="1" t="str">
        <f>IF($AF61=0,"",CHOOSE($AF61,INDEX(nINT_Calculation_Mode_Used,$AH61)&amp;"","Q1","Q2","Q3","Q4","Q5","Q6","Q7","Q8","Q9","Q10","Q11"))</f>
        <v/>
      </c>
      <c r="AX61" s="1" t="str">
        <f>IF($AF61=0,"",CHOOSE($AF61,INDEX(nINT_Anchor_Type,$AH61)&amp;"","","","","","","","","","","",""))</f>
        <v/>
      </c>
      <c r="AY61" s="1" t="str">
        <f>IF($AF61=0,"",CHOOSE($AF61,IF(INDEX(nINT_K_Ok,$AH61)=1,INDEX(nINT_Anchor_Record_ID_Used,$AH61)&amp;"",""),"","","","","","","","","","",""))</f>
        <v/>
      </c>
      <c r="AZ61" s="1" t="str">
        <f>IF($AF61=0,"",CHOOSE($AF61,INDEX(nINT_Anchor_Description,$AH61)&amp;"","","","","","","","","","","",""))</f>
        <v/>
      </c>
      <c r="BA61" s="1" t="str">
        <f>IF($AF61=0,"",CHOOSE($AF61,INDEX(nINT_Sequence_Status,$AH61)&amp;"","","","","","","","","","","",""))</f>
        <v/>
      </c>
      <c r="BB61" s="1" t="str">
        <f>IF($AF61=0,"",CHOOSE($AF61,INDEX(nINT_Treatment_Day,$AH61),"","","","","","","","","","",""))</f>
        <v/>
      </c>
      <c r="BC61" s="1" t="str">
        <f>IF($AF61=0,"",CHOOSE($AF61,INDEX(nINT_Reported_Timing_Result,$AH61)&amp;"","","","","","","","","","","",""))</f>
        <v/>
      </c>
      <c r="BD61" s="1" t="str">
        <f>IF($AF61=0,"",CHOOSE($AF61,IF(INDEX(nINT_K_HasC,$AH61)=1,INDEX(nINT_Constraint_Source,$AH61)&amp;"",""),"","","","","","","","","","",""))</f>
        <v/>
      </c>
      <c r="BE61" s="1" t="str">
        <f>IF($AF61=0,"",CHOOSE($AF61,"",INDEX(nQ1_Results_Text,$AH61)&amp;"",INDEX(nQ2_Results_Text,$AH61)&amp;"",INDEX(nQ3_Results_Text,$AH61)&amp;"",INDEX(nQ4_Results_Text,$AH61)&amp;"",INDEX(nQ5_Results_Text,$AH61)&amp;"",INDEX(nQ6_Results_Text,$AH61)&amp;"",INDEX(nQ7_Results_Text,$AH61)&amp;"",INDEX(nQ8_Results_Text,$AH61)&amp;"",INDEX(nQ9_Results_Text,$AH61)&amp;"",INDEX(nQ10_Results_Text,$AH61)&amp;"",INDEX(nQ11_Results_Text,$AH61)&amp;""))</f>
        <v/>
      </c>
      <c r="BF61" s="1" t="str">
        <f>IF($AF61=0,"",CHOOSE($AF61,INDEX(nINT_Parameter_Set,$AH61)&amp;"",INDEX(nQ1_Parameter_Set,$AH61)&amp;"",INDEX(nQ2_Parameter_Set,$AH61)&amp;"",INDEX(nQ3_Parameter_Set,$AH61)&amp;"",INDEX(nQ4_Parameter_Set,$AH61)&amp;"",INDEX(nQ5_Parameter_Set,$AH61)&amp;"",INDEX(nQ6_Parameter_Set,$AH61)&amp;"",INDEX(nQ7_Parameter_Set,$AH61)&amp;"",INDEX(nQ8_Parameter_Set,$AH61)&amp;"",INDEX(nQ9_Parameter_Set,$AH61)&amp;"",INDEX(nQ10_Parameter_Set,$AH61)&amp;"",INDEX(nQ11_Parameter_Set,$AH61)&amp;""))</f>
        <v/>
      </c>
      <c r="BG61" s="1" t="str">
        <f>IF($AF61=0,"",CHOOSE($AF61,INDEX(nINT_Assumptions,$AH61)&amp;"",INDEX(nQ1_Assumptions,$AH61)&amp;"",INDEX(nQ2_Assumptions,$AH61)&amp;"",INDEX(nQ3_Assumptions,$AH61)&amp;"",INDEX(nQ4_Assumptions,$AH61)&amp;"",INDEX(nQ5_Assumptions,$AH61)&amp;"",INDEX(nQ6_Assumptions,$AH61)&amp;"",INDEX(nQ7_Assumptions,$AH61)&amp;"",INDEX(nQ8_Assumptions,$AH61)&amp;"",INDEX(nQ9_Assumptions,$AH61)&amp;"",INDEX(nQ10_Assumptions,$AH61)&amp;"",INDEX(nQ11_Assumptions,$AH61)&amp;""))</f>
        <v/>
      </c>
      <c r="BH61" s="1" t="str">
        <f>IF($AF61=0,"",CHOOSE($AF61,INDEX(nINT_Calculation_Version,$AH61)&amp;"",INDEX(nQ1_Calculation_Version,$AH61)&amp;"",INDEX(nQ2_Calculation_Version,$AH61)&amp;"",INDEX(nQ3_Calculation_Version,$AH61)&amp;"",INDEX(nQ4_Calculation_Version,$AH61)&amp;"",INDEX(nQ5_Calculation_Version,$AH61)&amp;"",INDEX(nQ6_Calculation_Version,$AH61)&amp;"",INDEX(nQ7_Calculation_Version,$AH61)&amp;"",INDEX(nQ8_Calculation_Version,$AH61)&amp;"",INDEX(nQ9_Calculation_Version,$AH61)&amp;"",INDEX(nQ10_Calculation_Version,$AH61)&amp;"",INDEX(nQ11_Calculation_Version,$AH61)&amp;""))</f>
        <v/>
      </c>
      <c r="BI61" s="1" t="str">
        <f>IF($AF61=0,"",CHOOSE($AF61,INDEX(nINT_QC_Flags,$AH61)&amp;"",INDEX(nQ1_QC_Flags,$AH61)&amp;"",INDEX(nQ2_QC_Flags,$AH61)&amp;"",INDEX(nQ3_QC_Flags,$AH61)&amp;"",INDEX(nQ4_QC_Flags,$AH61)&amp;"",INDEX(nQ5_QC_Flags,$AH61)&amp;"",INDEX(nQ6_QC_Flags,$AH61)&amp;"",INDEX(nQ7_QC_Flags,$AH61)&amp;"",INDEX(nQ8_QC_Flags,$AH61)&amp;"",INDEX(nQ9_QC_Flags,$AH61)&amp;"",INDEX(nQ10_QC_Flags,$AH61)&amp;"",INDEX(nQ11_QC_Flags,$AH61)&amp;""))</f>
        <v/>
      </c>
      <c r="BJ61" s="1" t="str">
        <f>IF($AF61=0,"",CHOOSE($AF61,INDEX(nINT_Messages,$AH61)&amp;"",INDEX(nQ1_Messages,$AH61)&amp;"",INDEX(nQ2_Messages,$AH61)&amp;"",INDEX(nQ3_Messages,$AH61)&amp;"",INDEX(nQ4_Messages,$AH61)&amp;"",INDEX(nQ5_Messages,$AH61)&amp;"",INDEX(nQ6_Messages,$AH61)&amp;"",INDEX(nQ7_Messages,$AH61)&amp;"",INDEX(nQ8_Messages,$AH61)&amp;"",INDEX(nQ9_Messages,$AH61)&amp;"",INDEX(nQ10_Messages,$AH61)&amp;"",INDEX(nQ11_Messages,$AH61)&amp;""))</f>
        <v/>
      </c>
      <c r="BK61" s="1" t="str">
        <f>IF($AF61=0,"",CHOOSE($AF61,INDEX(nINT_Limitations,$AH61)&amp;"",INDEX(nQ1_Mandatory_Text,$AH61)&amp;"",INDEX(nQ2_Mandatory_Text,$AH61)&amp;"",INDEX(nQ3_Mandatory_Text,$AH61)&amp;"",INDEX(nQ4_Mandatory_Text,$AH61)&amp;"",INDEX(nQ5_Mandatory_Text,$AH61)&amp;"",INDEX(nQ6_Mandatory_Text,$AH61)&amp;"",INDEX(nQ7_Mandatory_Text,$AH61)&amp;"",INDEX(nQ8_Mandatory_Text,$AH61)&amp;"",INDEX(nQ9_Mandatory_Text,$AH61)&amp;"",INDEX(nQ10_Mandatory_Text,$AH61)&amp;"",INDEX(nQ11_Mandatory_Text,$AH61)&amp;""))</f>
        <v/>
      </c>
      <c r="BL61" s="1" t="str">
        <f t="shared" si="33"/>
        <v/>
      </c>
      <c r="BM61" s="1" t="str">
        <f t="shared" si="34"/>
        <v/>
      </c>
    </row>
    <row r="62" spans="1:65" x14ac:dyDescent="0.2">
      <c r="A62" s="21" t="str">
        <f t="shared" si="0"/>
        <v/>
      </c>
      <c r="B62" s="21" t="str">
        <f t="shared" si="1"/>
        <v/>
      </c>
      <c r="C62" s="21" t="str">
        <f t="shared" si="2"/>
        <v/>
      </c>
      <c r="D62" s="21" t="str">
        <f t="shared" si="3"/>
        <v/>
      </c>
      <c r="E62" s="21" t="str">
        <f t="shared" si="4"/>
        <v/>
      </c>
      <c r="F62" s="21" t="str">
        <f t="shared" si="5"/>
        <v/>
      </c>
      <c r="G62" s="21" t="str">
        <f t="shared" si="6"/>
        <v/>
      </c>
      <c r="H62" s="21" t="str">
        <f t="shared" si="7"/>
        <v/>
      </c>
      <c r="I62" s="21" t="str">
        <f t="shared" si="8"/>
        <v/>
      </c>
      <c r="J62" s="21" t="str">
        <f t="shared" si="9"/>
        <v/>
      </c>
      <c r="K62" s="21" t="str">
        <f t="shared" si="10"/>
        <v/>
      </c>
      <c r="L62" s="21" t="str">
        <f t="shared" si="11"/>
        <v/>
      </c>
      <c r="M62" s="21" t="str">
        <f t="shared" si="12"/>
        <v/>
      </c>
      <c r="N62" s="21" t="str">
        <f t="shared" si="13"/>
        <v/>
      </c>
      <c r="O62" s="21" t="str">
        <f t="shared" si="14"/>
        <v/>
      </c>
      <c r="P62" s="21" t="str">
        <f t="shared" si="15"/>
        <v/>
      </c>
      <c r="Q62" s="21" t="str">
        <f t="shared" si="16"/>
        <v/>
      </c>
      <c r="R62" s="21" t="str">
        <f t="shared" si="17"/>
        <v/>
      </c>
      <c r="S62" s="21" t="str">
        <f t="shared" si="18"/>
        <v/>
      </c>
      <c r="T62" s="21" t="str">
        <f t="shared" si="19"/>
        <v/>
      </c>
      <c r="U62" s="21" t="str">
        <f t="shared" si="20"/>
        <v/>
      </c>
      <c r="V62" s="21" t="str">
        <f t="shared" si="21"/>
        <v/>
      </c>
      <c r="W62" s="21" t="str">
        <f t="shared" si="22"/>
        <v/>
      </c>
      <c r="X62" s="21" t="str">
        <f t="shared" si="23"/>
        <v/>
      </c>
      <c r="Y62" s="21" t="str">
        <f t="shared" si="24"/>
        <v/>
      </c>
      <c r="Z62" s="21" t="str">
        <f t="shared" si="25"/>
        <v/>
      </c>
      <c r="AA62" s="21" t="str">
        <f t="shared" si="26"/>
        <v/>
      </c>
      <c r="AB62" s="21" t="str">
        <f t="shared" si="27"/>
        <v/>
      </c>
      <c r="AC62" s="21" t="str">
        <f t="shared" si="28"/>
        <v/>
      </c>
      <c r="AD62" s="21" t="str">
        <f t="shared" si="29"/>
        <v/>
      </c>
      <c r="AE62" s="1">
        <f t="shared" si="30"/>
        <v>55</v>
      </c>
      <c r="AF62" s="1">
        <f t="shared" si="31"/>
        <v>0</v>
      </c>
      <c r="AG62" s="1">
        <f t="shared" si="32"/>
        <v>0</v>
      </c>
      <c r="AH62" s="1">
        <f>IF(AF62=0,0,CHOOSE(AF62,IFERROR(_xlfn.AGGREGATE(15,6,(ROW(nINT_CaseKey)-ROW(INDEX(nINT_CaseKey,1,1))+1)/((nINT_CaseKey=$H$4)*(nINT_RowEmpty=0)),AG62),0),IFERROR(_xlfn.AGGREGATE(15,6,(ROW(nQ1_CaseKey)-ROW(INDEX(nQ1_CaseKey,1,1))+1)/((nQ1_CaseKey=$H$4)),AG62),0),IFERROR(_xlfn.AGGREGATE(15,6,(ROW(nQ2_CaseKey)-ROW(INDEX(nQ2_CaseKey,1,1))+1)/((nQ2_CaseKey=$H$4)),AG62),0),IFERROR(_xlfn.AGGREGATE(15,6,(ROW(nQ3_CaseKey)-ROW(INDEX(nQ3_CaseKey,1,1))+1)/((nQ3_CaseKey=$H$4)),AG62),0),IFERROR(_xlfn.AGGREGATE(15,6,(ROW(nQ4_CaseKey)-ROW(INDEX(nQ4_CaseKey,1,1))+1)/((nQ4_CaseKey=$H$4)),AG62),0),IFERROR(_xlfn.AGGREGATE(15,6,(ROW(nQ5_CaseKey)-ROW(INDEX(nQ5_CaseKey,1,1))+1)/((nQ5_CaseKey=$H$4)),AG62),0),IFERROR(_xlfn.AGGREGATE(15,6,(ROW(nQ6_CaseKey)-ROW(INDEX(nQ6_CaseKey,1,1))+1)/((nQ6_CaseKey=$H$4)),AG62),0),IFERROR(_xlfn.AGGREGATE(15,6,(ROW(nQ7_CaseKey)-ROW(INDEX(nQ7_CaseKey,1,1))+1)/((nQ7_CaseKey=$H$4)),AG62),0),IFERROR(_xlfn.AGGREGATE(15,6,(ROW(nQ8_CaseKey)-ROW(INDEX(nQ8_CaseKey,1,1))+1)/((nQ8_CaseKey=$H$4)),AG62),0),IFERROR(_xlfn.AGGREGATE(15,6,(ROW(nQ9_CaseKey)-ROW(INDEX(nQ9_CaseKey,1,1))+1)/((nQ9_CaseKey=$H$4)),AG62),0),IFERROR(_xlfn.AGGREGATE(15,6,(ROW(nQ10_CaseKey)-ROW(INDEX(nQ10_CaseKey,1,1))+1)/((nQ10_CaseKey=$H$4)),AG62),0),IFERROR(_xlfn.AGGREGATE(15,6,(ROW(nQ11_CaseKey)-ROW(INDEX(nQ11_CaseKey,1,1))+1)/((nQ11_CaseKey=$H$4)),AG62),0)))</f>
        <v>0</v>
      </c>
      <c r="AJ62" s="1" t="str">
        <f>IF($AF62=0,"",CHOOSE($AF62,INDEX(nINT_Case_ID,$AH62)&amp;"",INDEX(nQ1_Case_ID,$AH62)&amp;"",INDEX(nQ2_Case_ID,$AH62)&amp;"",INDEX(nQ3_Case_ID,$AH62)&amp;"",INDEX(nQ4_Case_ID,$AH62)&amp;"",INDEX(nQ5_Case_ID,$AH62)&amp;"",INDEX(nQ6_Case_ID,$AH62)&amp;"",INDEX(nQ7_Case_ID,$AH62)&amp;"",INDEX(nQ8_Case_ID,$AH62)&amp;"",INDEX(nQ9_Case_ID,$AH62)&amp;"",INDEX(nQ10_Case_ID,$AH62)&amp;"",INDEX(nQ11_Case_ID,$AH62)&amp;""))</f>
        <v/>
      </c>
      <c r="AK62" s="1" t="str">
        <f>IF($AF62=0,"",CHOOSE($AF62,INDEX(nINT_Case_Version,$AH62),INDEX(nQ1_Case_Version,$AH62),INDEX(nQ2_Case_Version,$AH62),INDEX(nQ3_Case_Version,$AH62),INDEX(nQ4_Case_Version,$AH62),INDEX(nQ5_Case_Version,$AH62),INDEX(nQ6_Case_Version,$AH62),INDEX(nQ7_Case_Version,$AH62),INDEX(nQ8_Case_Version,$AH62),INDEX(nQ9_Case_Version,$AH62),INDEX(nQ10_Case_Version,$AH62),INDEX(nQ11_Case_Version,$AH62)))</f>
        <v/>
      </c>
      <c r="AL62" s="1" t="str">
        <f>IF($AF62=0,"",CHOOSE($AF62,INDEX(nINT_Interval_ID,$AH62)&amp;"",INDEX(nQ1_Calc_ID,$AH62)&amp;"",INDEX(nQ2_Calc_ID,$AH62)&amp;"",INDEX(nQ3_Calc_ID,$AH62)&amp;"",INDEX(nQ4_Calc_ID,$AH62)&amp;"",INDEX(nQ5_Calc_ID,$AH62)&amp;"",INDEX(nQ6_Calc_ID,$AH62)&amp;"",INDEX(nQ7_Calc_ID,$AH62)&amp;"",INDEX(nQ8_Calc_ID,$AH62)&amp;"",INDEX(nQ9_Calc_ID,$AH62)&amp;"",INDEX(nQ10_Calc_ID,$AH62)&amp;"",INDEX(nQ11_Calc_ID,$AH62)&amp;""))</f>
        <v/>
      </c>
      <c r="AM62" s="1" t="str">
        <f>IF($AF62=0,"",CHOOSE($AF62,INDEX(nINT_Label,$AH62)&amp;"",INDEX(nQ1_Label_Out,$AH62)&amp;"",INDEX(nQ2_Label_Out,$AH62)&amp;"",INDEX(nQ3_Label_Out,$AH62)&amp;"",INDEX(nQ4_Label_Out,$AH62)&amp;"",INDEX(nQ5_Label_Out,$AH62)&amp;"",INDEX(nQ6_Label_Out,$AH62)&amp;"",INDEX(nQ7_Label_Out,$AH62)&amp;"",INDEX(nQ8_Label_Out,$AH62)&amp;"",INDEX(nQ9_Label_Out,$AH62)&amp;"",INDEX(nQ10_Label_Out,$AH62)&amp;"",INDEX(nQ11_Label_Out,$AH62)&amp;""))</f>
        <v/>
      </c>
      <c r="AN62" s="1" t="str">
        <f>IF($AF62=0,"",CHOOSE($AF62,IF(INDEX(nINT_LinkRow,$AH62)=0,"",INDEX(nINT_Link_ID,$AH62)&amp;""),"","","","","","","","","","",""))</f>
        <v/>
      </c>
      <c r="AO62" s="1" t="str">
        <f>IF($AF62=0,"",CHOOSE($AF62,INDEX(nINT_Exposure_Episode_ID,$AH62)&amp;"","","","","","","","","","","",""))</f>
        <v/>
      </c>
      <c r="AP62" s="1" t="str">
        <f>IF($AF62=0,"",CHOOSE($AF62,INDEX(nINT_Event_Episode_ID,$AH62)&amp;"","","","","","","","","","","",""))</f>
        <v/>
      </c>
      <c r="AQ62" s="1" t="str">
        <f>IF($AF62=0,"",CHOOSE($AF62,INDEX(nINT_End_Record_ID_Used,$AH62)&amp;"","","","","","","","","","","",""))</f>
        <v/>
      </c>
      <c r="AR62" s="1" t="str">
        <f>IF($AF62=0,"",CHOOSE($AF62,INDEX(nINT_Interval_Value,$AH62),"","","","","","","","","","",""))</f>
        <v/>
      </c>
      <c r="AS62" s="1" t="str">
        <f>IF($AF62=0,"",CHOOSE($AF62,INDEX(nINT_Interval_Minimum,$AH62),"","","","","","","","","","",""))</f>
        <v/>
      </c>
      <c r="AT62" s="1" t="str">
        <f>IF($AF62=0,"",CHOOSE($AF62,INDEX(nINT_Interval_Maximum,$AH62),"","","","","","","","","","",""))</f>
        <v/>
      </c>
      <c r="AU62" s="1" t="str">
        <f>IF($AF62=0,"",CHOOSE($AF62,INDEX(nINT_Unit,$AH62)&amp;"",INDEX(nQ1_Unit_Out,$AH62)&amp;"",INDEX(nQ2_Unit_Out,$AH62)&amp;"",INDEX(nQ3_Unit_Out,$AH62)&amp;"",INDEX(nQ4_Unit_Out,$AH62)&amp;"",INDEX(nQ5_Unit_Out,$AH62)&amp;"",INDEX(nQ6_Unit_Out,$AH62)&amp;"",INDEX(nQ7_Unit_Out,$AH62)&amp;"",INDEX(nQ8_Unit_Out,$AH62)&amp;"",INDEX(nQ9_Unit_Out,$AH62)&amp;"",INDEX(nQ10_Unit_Out,$AH62)&amp;"",INDEX(nQ11_Unit_Out,$AH62)&amp;""))</f>
        <v/>
      </c>
      <c r="AV62" s="1" t="str">
        <f>IF($AF62=0,"",CHOOSE($AF62,INDEX(nINT_Displayed_Value,$AH62)&amp;"",INDEX(nQ1_Displayed_Value,$AH62)&amp;"",INDEX(nQ2_Displayed_Value,$AH62)&amp;"",INDEX(nQ3_Displayed_Value,$AH62)&amp;"",INDEX(nQ4_Displayed_Value,$AH62)&amp;"",INDEX(nQ5_Displayed_Value,$AH62)&amp;"",INDEX(nQ6_Displayed_Value,$AH62)&amp;"",INDEX(nQ7_Displayed_Value,$AH62)&amp;"",INDEX(nQ8_Displayed_Value,$AH62)&amp;"",INDEX(nQ9_Displayed_Value,$AH62)&amp;"",INDEX(nQ10_Displayed_Value,$AH62)&amp;"",INDEX(nQ11_Displayed_Value,$AH62)&amp;""))</f>
        <v/>
      </c>
      <c r="AW62" s="1" t="str">
        <f>IF($AF62=0,"",CHOOSE($AF62,INDEX(nINT_Calculation_Mode_Used,$AH62)&amp;"","Q1","Q2","Q3","Q4","Q5","Q6","Q7","Q8","Q9","Q10","Q11"))</f>
        <v/>
      </c>
      <c r="AX62" s="1" t="str">
        <f>IF($AF62=0,"",CHOOSE($AF62,INDEX(nINT_Anchor_Type,$AH62)&amp;"","","","","","","","","","","",""))</f>
        <v/>
      </c>
      <c r="AY62" s="1" t="str">
        <f>IF($AF62=0,"",CHOOSE($AF62,IF(INDEX(nINT_K_Ok,$AH62)=1,INDEX(nINT_Anchor_Record_ID_Used,$AH62)&amp;"",""),"","","","","","","","","","",""))</f>
        <v/>
      </c>
      <c r="AZ62" s="1" t="str">
        <f>IF($AF62=0,"",CHOOSE($AF62,INDEX(nINT_Anchor_Description,$AH62)&amp;"","","","","","","","","","","",""))</f>
        <v/>
      </c>
      <c r="BA62" s="1" t="str">
        <f>IF($AF62=0,"",CHOOSE($AF62,INDEX(nINT_Sequence_Status,$AH62)&amp;"","","","","","","","","","","",""))</f>
        <v/>
      </c>
      <c r="BB62" s="1" t="str">
        <f>IF($AF62=0,"",CHOOSE($AF62,INDEX(nINT_Treatment_Day,$AH62),"","","","","","","","","","",""))</f>
        <v/>
      </c>
      <c r="BC62" s="1" t="str">
        <f>IF($AF62=0,"",CHOOSE($AF62,INDEX(nINT_Reported_Timing_Result,$AH62)&amp;"","","","","","","","","","","",""))</f>
        <v/>
      </c>
      <c r="BD62" s="1" t="str">
        <f>IF($AF62=0,"",CHOOSE($AF62,IF(INDEX(nINT_K_HasC,$AH62)=1,INDEX(nINT_Constraint_Source,$AH62)&amp;"",""),"","","","","","","","","","",""))</f>
        <v/>
      </c>
      <c r="BE62" s="1" t="str">
        <f>IF($AF62=0,"",CHOOSE($AF62,"",INDEX(nQ1_Results_Text,$AH62)&amp;"",INDEX(nQ2_Results_Text,$AH62)&amp;"",INDEX(nQ3_Results_Text,$AH62)&amp;"",INDEX(nQ4_Results_Text,$AH62)&amp;"",INDEX(nQ5_Results_Text,$AH62)&amp;"",INDEX(nQ6_Results_Text,$AH62)&amp;"",INDEX(nQ7_Results_Text,$AH62)&amp;"",INDEX(nQ8_Results_Text,$AH62)&amp;"",INDEX(nQ9_Results_Text,$AH62)&amp;"",INDEX(nQ10_Results_Text,$AH62)&amp;"",INDEX(nQ11_Results_Text,$AH62)&amp;""))</f>
        <v/>
      </c>
      <c r="BF62" s="1" t="str">
        <f>IF($AF62=0,"",CHOOSE($AF62,INDEX(nINT_Parameter_Set,$AH62)&amp;"",INDEX(nQ1_Parameter_Set,$AH62)&amp;"",INDEX(nQ2_Parameter_Set,$AH62)&amp;"",INDEX(nQ3_Parameter_Set,$AH62)&amp;"",INDEX(nQ4_Parameter_Set,$AH62)&amp;"",INDEX(nQ5_Parameter_Set,$AH62)&amp;"",INDEX(nQ6_Parameter_Set,$AH62)&amp;"",INDEX(nQ7_Parameter_Set,$AH62)&amp;"",INDEX(nQ8_Parameter_Set,$AH62)&amp;"",INDEX(nQ9_Parameter_Set,$AH62)&amp;"",INDEX(nQ10_Parameter_Set,$AH62)&amp;"",INDEX(nQ11_Parameter_Set,$AH62)&amp;""))</f>
        <v/>
      </c>
      <c r="BG62" s="1" t="str">
        <f>IF($AF62=0,"",CHOOSE($AF62,INDEX(nINT_Assumptions,$AH62)&amp;"",INDEX(nQ1_Assumptions,$AH62)&amp;"",INDEX(nQ2_Assumptions,$AH62)&amp;"",INDEX(nQ3_Assumptions,$AH62)&amp;"",INDEX(nQ4_Assumptions,$AH62)&amp;"",INDEX(nQ5_Assumptions,$AH62)&amp;"",INDEX(nQ6_Assumptions,$AH62)&amp;"",INDEX(nQ7_Assumptions,$AH62)&amp;"",INDEX(nQ8_Assumptions,$AH62)&amp;"",INDEX(nQ9_Assumptions,$AH62)&amp;"",INDEX(nQ10_Assumptions,$AH62)&amp;"",INDEX(nQ11_Assumptions,$AH62)&amp;""))</f>
        <v/>
      </c>
      <c r="BH62" s="1" t="str">
        <f>IF($AF62=0,"",CHOOSE($AF62,INDEX(nINT_Calculation_Version,$AH62)&amp;"",INDEX(nQ1_Calculation_Version,$AH62)&amp;"",INDEX(nQ2_Calculation_Version,$AH62)&amp;"",INDEX(nQ3_Calculation_Version,$AH62)&amp;"",INDEX(nQ4_Calculation_Version,$AH62)&amp;"",INDEX(nQ5_Calculation_Version,$AH62)&amp;"",INDEX(nQ6_Calculation_Version,$AH62)&amp;"",INDEX(nQ7_Calculation_Version,$AH62)&amp;"",INDEX(nQ8_Calculation_Version,$AH62)&amp;"",INDEX(nQ9_Calculation_Version,$AH62)&amp;"",INDEX(nQ10_Calculation_Version,$AH62)&amp;"",INDEX(nQ11_Calculation_Version,$AH62)&amp;""))</f>
        <v/>
      </c>
      <c r="BI62" s="1" t="str">
        <f>IF($AF62=0,"",CHOOSE($AF62,INDEX(nINT_QC_Flags,$AH62)&amp;"",INDEX(nQ1_QC_Flags,$AH62)&amp;"",INDEX(nQ2_QC_Flags,$AH62)&amp;"",INDEX(nQ3_QC_Flags,$AH62)&amp;"",INDEX(nQ4_QC_Flags,$AH62)&amp;"",INDEX(nQ5_QC_Flags,$AH62)&amp;"",INDEX(nQ6_QC_Flags,$AH62)&amp;"",INDEX(nQ7_QC_Flags,$AH62)&amp;"",INDEX(nQ8_QC_Flags,$AH62)&amp;"",INDEX(nQ9_QC_Flags,$AH62)&amp;"",INDEX(nQ10_QC_Flags,$AH62)&amp;"",INDEX(nQ11_QC_Flags,$AH62)&amp;""))</f>
        <v/>
      </c>
      <c r="BJ62" s="1" t="str">
        <f>IF($AF62=0,"",CHOOSE($AF62,INDEX(nINT_Messages,$AH62)&amp;"",INDEX(nQ1_Messages,$AH62)&amp;"",INDEX(nQ2_Messages,$AH62)&amp;"",INDEX(nQ3_Messages,$AH62)&amp;"",INDEX(nQ4_Messages,$AH62)&amp;"",INDEX(nQ5_Messages,$AH62)&amp;"",INDEX(nQ6_Messages,$AH62)&amp;"",INDEX(nQ7_Messages,$AH62)&amp;"",INDEX(nQ8_Messages,$AH62)&amp;"",INDEX(nQ9_Messages,$AH62)&amp;"",INDEX(nQ10_Messages,$AH62)&amp;"",INDEX(nQ11_Messages,$AH62)&amp;""))</f>
        <v/>
      </c>
      <c r="BK62" s="1" t="str">
        <f>IF($AF62=0,"",CHOOSE($AF62,INDEX(nINT_Limitations,$AH62)&amp;"",INDEX(nQ1_Mandatory_Text,$AH62)&amp;"",INDEX(nQ2_Mandatory_Text,$AH62)&amp;"",INDEX(nQ3_Mandatory_Text,$AH62)&amp;"",INDEX(nQ4_Mandatory_Text,$AH62)&amp;"",INDEX(nQ5_Mandatory_Text,$AH62)&amp;"",INDEX(nQ6_Mandatory_Text,$AH62)&amp;"",INDEX(nQ7_Mandatory_Text,$AH62)&amp;"",INDEX(nQ8_Mandatory_Text,$AH62)&amp;"",INDEX(nQ9_Mandatory_Text,$AH62)&amp;"",INDEX(nQ10_Mandatory_Text,$AH62)&amp;"",INDEX(nQ11_Mandatory_Text,$AH62)&amp;""))</f>
        <v/>
      </c>
      <c r="BL62" s="1" t="str">
        <f t="shared" si="33"/>
        <v/>
      </c>
      <c r="BM62" s="1" t="str">
        <f t="shared" si="34"/>
        <v/>
      </c>
    </row>
    <row r="63" spans="1:65" x14ac:dyDescent="0.2">
      <c r="A63" s="21" t="str">
        <f t="shared" si="0"/>
        <v/>
      </c>
      <c r="B63" s="21" t="str">
        <f t="shared" si="1"/>
        <v/>
      </c>
      <c r="C63" s="21" t="str">
        <f t="shared" si="2"/>
        <v/>
      </c>
      <c r="D63" s="21" t="str">
        <f t="shared" si="3"/>
        <v/>
      </c>
      <c r="E63" s="21" t="str">
        <f t="shared" si="4"/>
        <v/>
      </c>
      <c r="F63" s="21" t="str">
        <f t="shared" si="5"/>
        <v/>
      </c>
      <c r="G63" s="21" t="str">
        <f t="shared" si="6"/>
        <v/>
      </c>
      <c r="H63" s="21" t="str">
        <f t="shared" si="7"/>
        <v/>
      </c>
      <c r="I63" s="21" t="str">
        <f t="shared" si="8"/>
        <v/>
      </c>
      <c r="J63" s="21" t="str">
        <f t="shared" si="9"/>
        <v/>
      </c>
      <c r="K63" s="21" t="str">
        <f t="shared" si="10"/>
        <v/>
      </c>
      <c r="L63" s="21" t="str">
        <f t="shared" si="11"/>
        <v/>
      </c>
      <c r="M63" s="21" t="str">
        <f t="shared" si="12"/>
        <v/>
      </c>
      <c r="N63" s="21" t="str">
        <f t="shared" si="13"/>
        <v/>
      </c>
      <c r="O63" s="21" t="str">
        <f t="shared" si="14"/>
        <v/>
      </c>
      <c r="P63" s="21" t="str">
        <f t="shared" si="15"/>
        <v/>
      </c>
      <c r="Q63" s="21" t="str">
        <f t="shared" si="16"/>
        <v/>
      </c>
      <c r="R63" s="21" t="str">
        <f t="shared" si="17"/>
        <v/>
      </c>
      <c r="S63" s="21" t="str">
        <f t="shared" si="18"/>
        <v/>
      </c>
      <c r="T63" s="21" t="str">
        <f t="shared" si="19"/>
        <v/>
      </c>
      <c r="U63" s="21" t="str">
        <f t="shared" si="20"/>
        <v/>
      </c>
      <c r="V63" s="21" t="str">
        <f t="shared" si="21"/>
        <v/>
      </c>
      <c r="W63" s="21" t="str">
        <f t="shared" si="22"/>
        <v/>
      </c>
      <c r="X63" s="21" t="str">
        <f t="shared" si="23"/>
        <v/>
      </c>
      <c r="Y63" s="21" t="str">
        <f t="shared" si="24"/>
        <v/>
      </c>
      <c r="Z63" s="21" t="str">
        <f t="shared" si="25"/>
        <v/>
      </c>
      <c r="AA63" s="21" t="str">
        <f t="shared" si="26"/>
        <v/>
      </c>
      <c r="AB63" s="21" t="str">
        <f t="shared" si="27"/>
        <v/>
      </c>
      <c r="AC63" s="21" t="str">
        <f t="shared" si="28"/>
        <v/>
      </c>
      <c r="AD63" s="21" t="str">
        <f t="shared" si="29"/>
        <v/>
      </c>
      <c r="AE63" s="1">
        <f t="shared" si="30"/>
        <v>56</v>
      </c>
      <c r="AF63" s="1">
        <f t="shared" si="31"/>
        <v>0</v>
      </c>
      <c r="AG63" s="1">
        <f t="shared" si="32"/>
        <v>0</v>
      </c>
      <c r="AH63" s="1">
        <f>IF(AF63=0,0,CHOOSE(AF63,IFERROR(_xlfn.AGGREGATE(15,6,(ROW(nINT_CaseKey)-ROW(INDEX(nINT_CaseKey,1,1))+1)/((nINT_CaseKey=$H$4)*(nINT_RowEmpty=0)),AG63),0),IFERROR(_xlfn.AGGREGATE(15,6,(ROW(nQ1_CaseKey)-ROW(INDEX(nQ1_CaseKey,1,1))+1)/((nQ1_CaseKey=$H$4)),AG63),0),IFERROR(_xlfn.AGGREGATE(15,6,(ROW(nQ2_CaseKey)-ROW(INDEX(nQ2_CaseKey,1,1))+1)/((nQ2_CaseKey=$H$4)),AG63),0),IFERROR(_xlfn.AGGREGATE(15,6,(ROW(nQ3_CaseKey)-ROW(INDEX(nQ3_CaseKey,1,1))+1)/((nQ3_CaseKey=$H$4)),AG63),0),IFERROR(_xlfn.AGGREGATE(15,6,(ROW(nQ4_CaseKey)-ROW(INDEX(nQ4_CaseKey,1,1))+1)/((nQ4_CaseKey=$H$4)),AG63),0),IFERROR(_xlfn.AGGREGATE(15,6,(ROW(nQ5_CaseKey)-ROW(INDEX(nQ5_CaseKey,1,1))+1)/((nQ5_CaseKey=$H$4)),AG63),0),IFERROR(_xlfn.AGGREGATE(15,6,(ROW(nQ6_CaseKey)-ROW(INDEX(nQ6_CaseKey,1,1))+1)/((nQ6_CaseKey=$H$4)),AG63),0),IFERROR(_xlfn.AGGREGATE(15,6,(ROW(nQ7_CaseKey)-ROW(INDEX(nQ7_CaseKey,1,1))+1)/((nQ7_CaseKey=$H$4)),AG63),0),IFERROR(_xlfn.AGGREGATE(15,6,(ROW(nQ8_CaseKey)-ROW(INDEX(nQ8_CaseKey,1,1))+1)/((nQ8_CaseKey=$H$4)),AG63),0),IFERROR(_xlfn.AGGREGATE(15,6,(ROW(nQ9_CaseKey)-ROW(INDEX(nQ9_CaseKey,1,1))+1)/((nQ9_CaseKey=$H$4)),AG63),0),IFERROR(_xlfn.AGGREGATE(15,6,(ROW(nQ10_CaseKey)-ROW(INDEX(nQ10_CaseKey,1,1))+1)/((nQ10_CaseKey=$H$4)),AG63),0),IFERROR(_xlfn.AGGREGATE(15,6,(ROW(nQ11_CaseKey)-ROW(INDEX(nQ11_CaseKey,1,1))+1)/((nQ11_CaseKey=$H$4)),AG63),0)))</f>
        <v>0</v>
      </c>
      <c r="AJ63" s="1" t="str">
        <f>IF($AF63=0,"",CHOOSE($AF63,INDEX(nINT_Case_ID,$AH63)&amp;"",INDEX(nQ1_Case_ID,$AH63)&amp;"",INDEX(nQ2_Case_ID,$AH63)&amp;"",INDEX(nQ3_Case_ID,$AH63)&amp;"",INDEX(nQ4_Case_ID,$AH63)&amp;"",INDEX(nQ5_Case_ID,$AH63)&amp;"",INDEX(nQ6_Case_ID,$AH63)&amp;"",INDEX(nQ7_Case_ID,$AH63)&amp;"",INDEX(nQ8_Case_ID,$AH63)&amp;"",INDEX(nQ9_Case_ID,$AH63)&amp;"",INDEX(nQ10_Case_ID,$AH63)&amp;"",INDEX(nQ11_Case_ID,$AH63)&amp;""))</f>
        <v/>
      </c>
      <c r="AK63" s="1" t="str">
        <f>IF($AF63=0,"",CHOOSE($AF63,INDEX(nINT_Case_Version,$AH63),INDEX(nQ1_Case_Version,$AH63),INDEX(nQ2_Case_Version,$AH63),INDEX(nQ3_Case_Version,$AH63),INDEX(nQ4_Case_Version,$AH63),INDEX(nQ5_Case_Version,$AH63),INDEX(nQ6_Case_Version,$AH63),INDEX(nQ7_Case_Version,$AH63),INDEX(nQ8_Case_Version,$AH63),INDEX(nQ9_Case_Version,$AH63),INDEX(nQ10_Case_Version,$AH63),INDEX(nQ11_Case_Version,$AH63)))</f>
        <v/>
      </c>
      <c r="AL63" s="1" t="str">
        <f>IF($AF63=0,"",CHOOSE($AF63,INDEX(nINT_Interval_ID,$AH63)&amp;"",INDEX(nQ1_Calc_ID,$AH63)&amp;"",INDEX(nQ2_Calc_ID,$AH63)&amp;"",INDEX(nQ3_Calc_ID,$AH63)&amp;"",INDEX(nQ4_Calc_ID,$AH63)&amp;"",INDEX(nQ5_Calc_ID,$AH63)&amp;"",INDEX(nQ6_Calc_ID,$AH63)&amp;"",INDEX(nQ7_Calc_ID,$AH63)&amp;"",INDEX(nQ8_Calc_ID,$AH63)&amp;"",INDEX(nQ9_Calc_ID,$AH63)&amp;"",INDEX(nQ10_Calc_ID,$AH63)&amp;"",INDEX(nQ11_Calc_ID,$AH63)&amp;""))</f>
        <v/>
      </c>
      <c r="AM63" s="1" t="str">
        <f>IF($AF63=0,"",CHOOSE($AF63,INDEX(nINT_Label,$AH63)&amp;"",INDEX(nQ1_Label_Out,$AH63)&amp;"",INDEX(nQ2_Label_Out,$AH63)&amp;"",INDEX(nQ3_Label_Out,$AH63)&amp;"",INDEX(nQ4_Label_Out,$AH63)&amp;"",INDEX(nQ5_Label_Out,$AH63)&amp;"",INDEX(nQ6_Label_Out,$AH63)&amp;"",INDEX(nQ7_Label_Out,$AH63)&amp;"",INDEX(nQ8_Label_Out,$AH63)&amp;"",INDEX(nQ9_Label_Out,$AH63)&amp;"",INDEX(nQ10_Label_Out,$AH63)&amp;"",INDEX(nQ11_Label_Out,$AH63)&amp;""))</f>
        <v/>
      </c>
      <c r="AN63" s="1" t="str">
        <f>IF($AF63=0,"",CHOOSE($AF63,IF(INDEX(nINT_LinkRow,$AH63)=0,"",INDEX(nINT_Link_ID,$AH63)&amp;""),"","","","","","","","","","",""))</f>
        <v/>
      </c>
      <c r="AO63" s="1" t="str">
        <f>IF($AF63=0,"",CHOOSE($AF63,INDEX(nINT_Exposure_Episode_ID,$AH63)&amp;"","","","","","","","","","","",""))</f>
        <v/>
      </c>
      <c r="AP63" s="1" t="str">
        <f>IF($AF63=0,"",CHOOSE($AF63,INDEX(nINT_Event_Episode_ID,$AH63)&amp;"","","","","","","","","","","",""))</f>
        <v/>
      </c>
      <c r="AQ63" s="1" t="str">
        <f>IF($AF63=0,"",CHOOSE($AF63,INDEX(nINT_End_Record_ID_Used,$AH63)&amp;"","","","","","","","","","","",""))</f>
        <v/>
      </c>
      <c r="AR63" s="1" t="str">
        <f>IF($AF63=0,"",CHOOSE($AF63,INDEX(nINT_Interval_Value,$AH63),"","","","","","","","","","",""))</f>
        <v/>
      </c>
      <c r="AS63" s="1" t="str">
        <f>IF($AF63=0,"",CHOOSE($AF63,INDEX(nINT_Interval_Minimum,$AH63),"","","","","","","","","","",""))</f>
        <v/>
      </c>
      <c r="AT63" s="1" t="str">
        <f>IF($AF63=0,"",CHOOSE($AF63,INDEX(nINT_Interval_Maximum,$AH63),"","","","","","","","","","",""))</f>
        <v/>
      </c>
      <c r="AU63" s="1" t="str">
        <f>IF($AF63=0,"",CHOOSE($AF63,INDEX(nINT_Unit,$AH63)&amp;"",INDEX(nQ1_Unit_Out,$AH63)&amp;"",INDEX(nQ2_Unit_Out,$AH63)&amp;"",INDEX(nQ3_Unit_Out,$AH63)&amp;"",INDEX(nQ4_Unit_Out,$AH63)&amp;"",INDEX(nQ5_Unit_Out,$AH63)&amp;"",INDEX(nQ6_Unit_Out,$AH63)&amp;"",INDEX(nQ7_Unit_Out,$AH63)&amp;"",INDEX(nQ8_Unit_Out,$AH63)&amp;"",INDEX(nQ9_Unit_Out,$AH63)&amp;"",INDEX(nQ10_Unit_Out,$AH63)&amp;"",INDEX(nQ11_Unit_Out,$AH63)&amp;""))</f>
        <v/>
      </c>
      <c r="AV63" s="1" t="str">
        <f>IF($AF63=0,"",CHOOSE($AF63,INDEX(nINT_Displayed_Value,$AH63)&amp;"",INDEX(nQ1_Displayed_Value,$AH63)&amp;"",INDEX(nQ2_Displayed_Value,$AH63)&amp;"",INDEX(nQ3_Displayed_Value,$AH63)&amp;"",INDEX(nQ4_Displayed_Value,$AH63)&amp;"",INDEX(nQ5_Displayed_Value,$AH63)&amp;"",INDEX(nQ6_Displayed_Value,$AH63)&amp;"",INDEX(nQ7_Displayed_Value,$AH63)&amp;"",INDEX(nQ8_Displayed_Value,$AH63)&amp;"",INDEX(nQ9_Displayed_Value,$AH63)&amp;"",INDEX(nQ10_Displayed_Value,$AH63)&amp;"",INDEX(nQ11_Displayed_Value,$AH63)&amp;""))</f>
        <v/>
      </c>
      <c r="AW63" s="1" t="str">
        <f>IF($AF63=0,"",CHOOSE($AF63,INDEX(nINT_Calculation_Mode_Used,$AH63)&amp;"","Q1","Q2","Q3","Q4","Q5","Q6","Q7","Q8","Q9","Q10","Q11"))</f>
        <v/>
      </c>
      <c r="AX63" s="1" t="str">
        <f>IF($AF63=0,"",CHOOSE($AF63,INDEX(nINT_Anchor_Type,$AH63)&amp;"","","","","","","","","","","",""))</f>
        <v/>
      </c>
      <c r="AY63" s="1" t="str">
        <f>IF($AF63=0,"",CHOOSE($AF63,IF(INDEX(nINT_K_Ok,$AH63)=1,INDEX(nINT_Anchor_Record_ID_Used,$AH63)&amp;"",""),"","","","","","","","","","",""))</f>
        <v/>
      </c>
      <c r="AZ63" s="1" t="str">
        <f>IF($AF63=0,"",CHOOSE($AF63,INDEX(nINT_Anchor_Description,$AH63)&amp;"","","","","","","","","","","",""))</f>
        <v/>
      </c>
      <c r="BA63" s="1" t="str">
        <f>IF($AF63=0,"",CHOOSE($AF63,INDEX(nINT_Sequence_Status,$AH63)&amp;"","","","","","","","","","","",""))</f>
        <v/>
      </c>
      <c r="BB63" s="1" t="str">
        <f>IF($AF63=0,"",CHOOSE($AF63,INDEX(nINT_Treatment_Day,$AH63),"","","","","","","","","","",""))</f>
        <v/>
      </c>
      <c r="BC63" s="1" t="str">
        <f>IF($AF63=0,"",CHOOSE($AF63,INDEX(nINT_Reported_Timing_Result,$AH63)&amp;"","","","","","","","","","","",""))</f>
        <v/>
      </c>
      <c r="BD63" s="1" t="str">
        <f>IF($AF63=0,"",CHOOSE($AF63,IF(INDEX(nINT_K_HasC,$AH63)=1,INDEX(nINT_Constraint_Source,$AH63)&amp;"",""),"","","","","","","","","","",""))</f>
        <v/>
      </c>
      <c r="BE63" s="1" t="str">
        <f>IF($AF63=0,"",CHOOSE($AF63,"",INDEX(nQ1_Results_Text,$AH63)&amp;"",INDEX(nQ2_Results_Text,$AH63)&amp;"",INDEX(nQ3_Results_Text,$AH63)&amp;"",INDEX(nQ4_Results_Text,$AH63)&amp;"",INDEX(nQ5_Results_Text,$AH63)&amp;"",INDEX(nQ6_Results_Text,$AH63)&amp;"",INDEX(nQ7_Results_Text,$AH63)&amp;"",INDEX(nQ8_Results_Text,$AH63)&amp;"",INDEX(nQ9_Results_Text,$AH63)&amp;"",INDEX(nQ10_Results_Text,$AH63)&amp;"",INDEX(nQ11_Results_Text,$AH63)&amp;""))</f>
        <v/>
      </c>
      <c r="BF63" s="1" t="str">
        <f>IF($AF63=0,"",CHOOSE($AF63,INDEX(nINT_Parameter_Set,$AH63)&amp;"",INDEX(nQ1_Parameter_Set,$AH63)&amp;"",INDEX(nQ2_Parameter_Set,$AH63)&amp;"",INDEX(nQ3_Parameter_Set,$AH63)&amp;"",INDEX(nQ4_Parameter_Set,$AH63)&amp;"",INDEX(nQ5_Parameter_Set,$AH63)&amp;"",INDEX(nQ6_Parameter_Set,$AH63)&amp;"",INDEX(nQ7_Parameter_Set,$AH63)&amp;"",INDEX(nQ8_Parameter_Set,$AH63)&amp;"",INDEX(nQ9_Parameter_Set,$AH63)&amp;"",INDEX(nQ10_Parameter_Set,$AH63)&amp;"",INDEX(nQ11_Parameter_Set,$AH63)&amp;""))</f>
        <v/>
      </c>
      <c r="BG63" s="1" t="str">
        <f>IF($AF63=0,"",CHOOSE($AF63,INDEX(nINT_Assumptions,$AH63)&amp;"",INDEX(nQ1_Assumptions,$AH63)&amp;"",INDEX(nQ2_Assumptions,$AH63)&amp;"",INDEX(nQ3_Assumptions,$AH63)&amp;"",INDEX(nQ4_Assumptions,$AH63)&amp;"",INDEX(nQ5_Assumptions,$AH63)&amp;"",INDEX(nQ6_Assumptions,$AH63)&amp;"",INDEX(nQ7_Assumptions,$AH63)&amp;"",INDEX(nQ8_Assumptions,$AH63)&amp;"",INDEX(nQ9_Assumptions,$AH63)&amp;"",INDEX(nQ10_Assumptions,$AH63)&amp;"",INDEX(nQ11_Assumptions,$AH63)&amp;""))</f>
        <v/>
      </c>
      <c r="BH63" s="1" t="str">
        <f>IF($AF63=0,"",CHOOSE($AF63,INDEX(nINT_Calculation_Version,$AH63)&amp;"",INDEX(nQ1_Calculation_Version,$AH63)&amp;"",INDEX(nQ2_Calculation_Version,$AH63)&amp;"",INDEX(nQ3_Calculation_Version,$AH63)&amp;"",INDEX(nQ4_Calculation_Version,$AH63)&amp;"",INDEX(nQ5_Calculation_Version,$AH63)&amp;"",INDEX(nQ6_Calculation_Version,$AH63)&amp;"",INDEX(nQ7_Calculation_Version,$AH63)&amp;"",INDEX(nQ8_Calculation_Version,$AH63)&amp;"",INDEX(nQ9_Calculation_Version,$AH63)&amp;"",INDEX(nQ10_Calculation_Version,$AH63)&amp;"",INDEX(nQ11_Calculation_Version,$AH63)&amp;""))</f>
        <v/>
      </c>
      <c r="BI63" s="1" t="str">
        <f>IF($AF63=0,"",CHOOSE($AF63,INDEX(nINT_QC_Flags,$AH63)&amp;"",INDEX(nQ1_QC_Flags,$AH63)&amp;"",INDEX(nQ2_QC_Flags,$AH63)&amp;"",INDEX(nQ3_QC_Flags,$AH63)&amp;"",INDEX(nQ4_QC_Flags,$AH63)&amp;"",INDEX(nQ5_QC_Flags,$AH63)&amp;"",INDEX(nQ6_QC_Flags,$AH63)&amp;"",INDEX(nQ7_QC_Flags,$AH63)&amp;"",INDEX(nQ8_QC_Flags,$AH63)&amp;"",INDEX(nQ9_QC_Flags,$AH63)&amp;"",INDEX(nQ10_QC_Flags,$AH63)&amp;"",INDEX(nQ11_QC_Flags,$AH63)&amp;""))</f>
        <v/>
      </c>
      <c r="BJ63" s="1" t="str">
        <f>IF($AF63=0,"",CHOOSE($AF63,INDEX(nINT_Messages,$AH63)&amp;"",INDEX(nQ1_Messages,$AH63)&amp;"",INDEX(nQ2_Messages,$AH63)&amp;"",INDEX(nQ3_Messages,$AH63)&amp;"",INDEX(nQ4_Messages,$AH63)&amp;"",INDEX(nQ5_Messages,$AH63)&amp;"",INDEX(nQ6_Messages,$AH63)&amp;"",INDEX(nQ7_Messages,$AH63)&amp;"",INDEX(nQ8_Messages,$AH63)&amp;"",INDEX(nQ9_Messages,$AH63)&amp;"",INDEX(nQ10_Messages,$AH63)&amp;"",INDEX(nQ11_Messages,$AH63)&amp;""))</f>
        <v/>
      </c>
      <c r="BK63" s="1" t="str">
        <f>IF($AF63=0,"",CHOOSE($AF63,INDEX(nINT_Limitations,$AH63)&amp;"",INDEX(nQ1_Mandatory_Text,$AH63)&amp;"",INDEX(nQ2_Mandatory_Text,$AH63)&amp;"",INDEX(nQ3_Mandatory_Text,$AH63)&amp;"",INDEX(nQ4_Mandatory_Text,$AH63)&amp;"",INDEX(nQ5_Mandatory_Text,$AH63)&amp;"",INDEX(nQ6_Mandatory_Text,$AH63)&amp;"",INDEX(nQ7_Mandatory_Text,$AH63)&amp;"",INDEX(nQ8_Mandatory_Text,$AH63)&amp;"",INDEX(nQ9_Mandatory_Text,$AH63)&amp;"",INDEX(nQ10_Mandatory_Text,$AH63)&amp;"",INDEX(nQ11_Mandatory_Text,$AH63)&amp;""))</f>
        <v/>
      </c>
      <c r="BL63" s="1" t="str">
        <f t="shared" si="33"/>
        <v/>
      </c>
      <c r="BM63" s="1" t="str">
        <f t="shared" si="34"/>
        <v/>
      </c>
    </row>
    <row r="64" spans="1:65" x14ac:dyDescent="0.2">
      <c r="A64" s="21" t="str">
        <f t="shared" si="0"/>
        <v/>
      </c>
      <c r="B64" s="21" t="str">
        <f t="shared" si="1"/>
        <v/>
      </c>
      <c r="C64" s="21" t="str">
        <f t="shared" si="2"/>
        <v/>
      </c>
      <c r="D64" s="21" t="str">
        <f t="shared" si="3"/>
        <v/>
      </c>
      <c r="E64" s="21" t="str">
        <f t="shared" si="4"/>
        <v/>
      </c>
      <c r="F64" s="21" t="str">
        <f t="shared" si="5"/>
        <v/>
      </c>
      <c r="G64" s="21" t="str">
        <f t="shared" si="6"/>
        <v/>
      </c>
      <c r="H64" s="21" t="str">
        <f t="shared" si="7"/>
        <v/>
      </c>
      <c r="I64" s="21" t="str">
        <f t="shared" si="8"/>
        <v/>
      </c>
      <c r="J64" s="21" t="str">
        <f t="shared" si="9"/>
        <v/>
      </c>
      <c r="K64" s="21" t="str">
        <f t="shared" si="10"/>
        <v/>
      </c>
      <c r="L64" s="21" t="str">
        <f t="shared" si="11"/>
        <v/>
      </c>
      <c r="M64" s="21" t="str">
        <f t="shared" si="12"/>
        <v/>
      </c>
      <c r="N64" s="21" t="str">
        <f t="shared" si="13"/>
        <v/>
      </c>
      <c r="O64" s="21" t="str">
        <f t="shared" si="14"/>
        <v/>
      </c>
      <c r="P64" s="21" t="str">
        <f t="shared" si="15"/>
        <v/>
      </c>
      <c r="Q64" s="21" t="str">
        <f t="shared" si="16"/>
        <v/>
      </c>
      <c r="R64" s="21" t="str">
        <f t="shared" si="17"/>
        <v/>
      </c>
      <c r="S64" s="21" t="str">
        <f t="shared" si="18"/>
        <v/>
      </c>
      <c r="T64" s="21" t="str">
        <f t="shared" si="19"/>
        <v/>
      </c>
      <c r="U64" s="21" t="str">
        <f t="shared" si="20"/>
        <v/>
      </c>
      <c r="V64" s="21" t="str">
        <f t="shared" si="21"/>
        <v/>
      </c>
      <c r="W64" s="21" t="str">
        <f t="shared" si="22"/>
        <v/>
      </c>
      <c r="X64" s="21" t="str">
        <f t="shared" si="23"/>
        <v/>
      </c>
      <c r="Y64" s="21" t="str">
        <f t="shared" si="24"/>
        <v/>
      </c>
      <c r="Z64" s="21" t="str">
        <f t="shared" si="25"/>
        <v/>
      </c>
      <c r="AA64" s="21" t="str">
        <f t="shared" si="26"/>
        <v/>
      </c>
      <c r="AB64" s="21" t="str">
        <f t="shared" si="27"/>
        <v/>
      </c>
      <c r="AC64" s="21" t="str">
        <f t="shared" si="28"/>
        <v/>
      </c>
      <c r="AD64" s="21" t="str">
        <f t="shared" si="29"/>
        <v/>
      </c>
      <c r="AE64" s="1">
        <f t="shared" si="30"/>
        <v>57</v>
      </c>
      <c r="AF64" s="1">
        <f t="shared" si="31"/>
        <v>0</v>
      </c>
      <c r="AG64" s="1">
        <f t="shared" si="32"/>
        <v>0</v>
      </c>
      <c r="AH64" s="1">
        <f>IF(AF64=0,0,CHOOSE(AF64,IFERROR(_xlfn.AGGREGATE(15,6,(ROW(nINT_CaseKey)-ROW(INDEX(nINT_CaseKey,1,1))+1)/((nINT_CaseKey=$H$4)*(nINT_RowEmpty=0)),AG64),0),IFERROR(_xlfn.AGGREGATE(15,6,(ROW(nQ1_CaseKey)-ROW(INDEX(nQ1_CaseKey,1,1))+1)/((nQ1_CaseKey=$H$4)),AG64),0),IFERROR(_xlfn.AGGREGATE(15,6,(ROW(nQ2_CaseKey)-ROW(INDEX(nQ2_CaseKey,1,1))+1)/((nQ2_CaseKey=$H$4)),AG64),0),IFERROR(_xlfn.AGGREGATE(15,6,(ROW(nQ3_CaseKey)-ROW(INDEX(nQ3_CaseKey,1,1))+1)/((nQ3_CaseKey=$H$4)),AG64),0),IFERROR(_xlfn.AGGREGATE(15,6,(ROW(nQ4_CaseKey)-ROW(INDEX(nQ4_CaseKey,1,1))+1)/((nQ4_CaseKey=$H$4)),AG64),0),IFERROR(_xlfn.AGGREGATE(15,6,(ROW(nQ5_CaseKey)-ROW(INDEX(nQ5_CaseKey,1,1))+1)/((nQ5_CaseKey=$H$4)),AG64),0),IFERROR(_xlfn.AGGREGATE(15,6,(ROW(nQ6_CaseKey)-ROW(INDEX(nQ6_CaseKey,1,1))+1)/((nQ6_CaseKey=$H$4)),AG64),0),IFERROR(_xlfn.AGGREGATE(15,6,(ROW(nQ7_CaseKey)-ROW(INDEX(nQ7_CaseKey,1,1))+1)/((nQ7_CaseKey=$H$4)),AG64),0),IFERROR(_xlfn.AGGREGATE(15,6,(ROW(nQ8_CaseKey)-ROW(INDEX(nQ8_CaseKey,1,1))+1)/((nQ8_CaseKey=$H$4)),AG64),0),IFERROR(_xlfn.AGGREGATE(15,6,(ROW(nQ9_CaseKey)-ROW(INDEX(nQ9_CaseKey,1,1))+1)/((nQ9_CaseKey=$H$4)),AG64),0),IFERROR(_xlfn.AGGREGATE(15,6,(ROW(nQ10_CaseKey)-ROW(INDEX(nQ10_CaseKey,1,1))+1)/((nQ10_CaseKey=$H$4)),AG64),0),IFERROR(_xlfn.AGGREGATE(15,6,(ROW(nQ11_CaseKey)-ROW(INDEX(nQ11_CaseKey,1,1))+1)/((nQ11_CaseKey=$H$4)),AG64),0)))</f>
        <v>0</v>
      </c>
      <c r="AJ64" s="1" t="str">
        <f>IF($AF64=0,"",CHOOSE($AF64,INDEX(nINT_Case_ID,$AH64)&amp;"",INDEX(nQ1_Case_ID,$AH64)&amp;"",INDEX(nQ2_Case_ID,$AH64)&amp;"",INDEX(nQ3_Case_ID,$AH64)&amp;"",INDEX(nQ4_Case_ID,$AH64)&amp;"",INDEX(nQ5_Case_ID,$AH64)&amp;"",INDEX(nQ6_Case_ID,$AH64)&amp;"",INDEX(nQ7_Case_ID,$AH64)&amp;"",INDEX(nQ8_Case_ID,$AH64)&amp;"",INDEX(nQ9_Case_ID,$AH64)&amp;"",INDEX(nQ10_Case_ID,$AH64)&amp;"",INDEX(nQ11_Case_ID,$AH64)&amp;""))</f>
        <v/>
      </c>
      <c r="AK64" s="1" t="str">
        <f>IF($AF64=0,"",CHOOSE($AF64,INDEX(nINT_Case_Version,$AH64),INDEX(nQ1_Case_Version,$AH64),INDEX(nQ2_Case_Version,$AH64),INDEX(nQ3_Case_Version,$AH64),INDEX(nQ4_Case_Version,$AH64),INDEX(nQ5_Case_Version,$AH64),INDEX(nQ6_Case_Version,$AH64),INDEX(nQ7_Case_Version,$AH64),INDEX(nQ8_Case_Version,$AH64),INDEX(nQ9_Case_Version,$AH64),INDEX(nQ10_Case_Version,$AH64),INDEX(nQ11_Case_Version,$AH64)))</f>
        <v/>
      </c>
      <c r="AL64" s="1" t="str">
        <f>IF($AF64=0,"",CHOOSE($AF64,INDEX(nINT_Interval_ID,$AH64)&amp;"",INDEX(nQ1_Calc_ID,$AH64)&amp;"",INDEX(nQ2_Calc_ID,$AH64)&amp;"",INDEX(nQ3_Calc_ID,$AH64)&amp;"",INDEX(nQ4_Calc_ID,$AH64)&amp;"",INDEX(nQ5_Calc_ID,$AH64)&amp;"",INDEX(nQ6_Calc_ID,$AH64)&amp;"",INDEX(nQ7_Calc_ID,$AH64)&amp;"",INDEX(nQ8_Calc_ID,$AH64)&amp;"",INDEX(nQ9_Calc_ID,$AH64)&amp;"",INDEX(nQ10_Calc_ID,$AH64)&amp;"",INDEX(nQ11_Calc_ID,$AH64)&amp;""))</f>
        <v/>
      </c>
      <c r="AM64" s="1" t="str">
        <f>IF($AF64=0,"",CHOOSE($AF64,INDEX(nINT_Label,$AH64)&amp;"",INDEX(nQ1_Label_Out,$AH64)&amp;"",INDEX(nQ2_Label_Out,$AH64)&amp;"",INDEX(nQ3_Label_Out,$AH64)&amp;"",INDEX(nQ4_Label_Out,$AH64)&amp;"",INDEX(nQ5_Label_Out,$AH64)&amp;"",INDEX(nQ6_Label_Out,$AH64)&amp;"",INDEX(nQ7_Label_Out,$AH64)&amp;"",INDEX(nQ8_Label_Out,$AH64)&amp;"",INDEX(nQ9_Label_Out,$AH64)&amp;"",INDEX(nQ10_Label_Out,$AH64)&amp;"",INDEX(nQ11_Label_Out,$AH64)&amp;""))</f>
        <v/>
      </c>
      <c r="AN64" s="1" t="str">
        <f>IF($AF64=0,"",CHOOSE($AF64,IF(INDEX(nINT_LinkRow,$AH64)=0,"",INDEX(nINT_Link_ID,$AH64)&amp;""),"","","","","","","","","","",""))</f>
        <v/>
      </c>
      <c r="AO64" s="1" t="str">
        <f>IF($AF64=0,"",CHOOSE($AF64,INDEX(nINT_Exposure_Episode_ID,$AH64)&amp;"","","","","","","","","","","",""))</f>
        <v/>
      </c>
      <c r="AP64" s="1" t="str">
        <f>IF($AF64=0,"",CHOOSE($AF64,INDEX(nINT_Event_Episode_ID,$AH64)&amp;"","","","","","","","","","","",""))</f>
        <v/>
      </c>
      <c r="AQ64" s="1" t="str">
        <f>IF($AF64=0,"",CHOOSE($AF64,INDEX(nINT_End_Record_ID_Used,$AH64)&amp;"","","","","","","","","","","",""))</f>
        <v/>
      </c>
      <c r="AR64" s="1" t="str">
        <f>IF($AF64=0,"",CHOOSE($AF64,INDEX(nINT_Interval_Value,$AH64),"","","","","","","","","","",""))</f>
        <v/>
      </c>
      <c r="AS64" s="1" t="str">
        <f>IF($AF64=0,"",CHOOSE($AF64,INDEX(nINT_Interval_Minimum,$AH64),"","","","","","","","","","",""))</f>
        <v/>
      </c>
      <c r="AT64" s="1" t="str">
        <f>IF($AF64=0,"",CHOOSE($AF64,INDEX(nINT_Interval_Maximum,$AH64),"","","","","","","","","","",""))</f>
        <v/>
      </c>
      <c r="AU64" s="1" t="str">
        <f>IF($AF64=0,"",CHOOSE($AF64,INDEX(nINT_Unit,$AH64)&amp;"",INDEX(nQ1_Unit_Out,$AH64)&amp;"",INDEX(nQ2_Unit_Out,$AH64)&amp;"",INDEX(nQ3_Unit_Out,$AH64)&amp;"",INDEX(nQ4_Unit_Out,$AH64)&amp;"",INDEX(nQ5_Unit_Out,$AH64)&amp;"",INDEX(nQ6_Unit_Out,$AH64)&amp;"",INDEX(nQ7_Unit_Out,$AH64)&amp;"",INDEX(nQ8_Unit_Out,$AH64)&amp;"",INDEX(nQ9_Unit_Out,$AH64)&amp;"",INDEX(nQ10_Unit_Out,$AH64)&amp;"",INDEX(nQ11_Unit_Out,$AH64)&amp;""))</f>
        <v/>
      </c>
      <c r="AV64" s="1" t="str">
        <f>IF($AF64=0,"",CHOOSE($AF64,INDEX(nINT_Displayed_Value,$AH64)&amp;"",INDEX(nQ1_Displayed_Value,$AH64)&amp;"",INDEX(nQ2_Displayed_Value,$AH64)&amp;"",INDEX(nQ3_Displayed_Value,$AH64)&amp;"",INDEX(nQ4_Displayed_Value,$AH64)&amp;"",INDEX(nQ5_Displayed_Value,$AH64)&amp;"",INDEX(nQ6_Displayed_Value,$AH64)&amp;"",INDEX(nQ7_Displayed_Value,$AH64)&amp;"",INDEX(nQ8_Displayed_Value,$AH64)&amp;"",INDEX(nQ9_Displayed_Value,$AH64)&amp;"",INDEX(nQ10_Displayed_Value,$AH64)&amp;"",INDEX(nQ11_Displayed_Value,$AH64)&amp;""))</f>
        <v/>
      </c>
      <c r="AW64" s="1" t="str">
        <f>IF($AF64=0,"",CHOOSE($AF64,INDEX(nINT_Calculation_Mode_Used,$AH64)&amp;"","Q1","Q2","Q3","Q4","Q5","Q6","Q7","Q8","Q9","Q10","Q11"))</f>
        <v/>
      </c>
      <c r="AX64" s="1" t="str">
        <f>IF($AF64=0,"",CHOOSE($AF64,INDEX(nINT_Anchor_Type,$AH64)&amp;"","","","","","","","","","","",""))</f>
        <v/>
      </c>
      <c r="AY64" s="1" t="str">
        <f>IF($AF64=0,"",CHOOSE($AF64,IF(INDEX(nINT_K_Ok,$AH64)=1,INDEX(nINT_Anchor_Record_ID_Used,$AH64)&amp;"",""),"","","","","","","","","","",""))</f>
        <v/>
      </c>
      <c r="AZ64" s="1" t="str">
        <f>IF($AF64=0,"",CHOOSE($AF64,INDEX(nINT_Anchor_Description,$AH64)&amp;"","","","","","","","","","","",""))</f>
        <v/>
      </c>
      <c r="BA64" s="1" t="str">
        <f>IF($AF64=0,"",CHOOSE($AF64,INDEX(nINT_Sequence_Status,$AH64)&amp;"","","","","","","","","","","",""))</f>
        <v/>
      </c>
      <c r="BB64" s="1" t="str">
        <f>IF($AF64=0,"",CHOOSE($AF64,INDEX(nINT_Treatment_Day,$AH64),"","","","","","","","","","",""))</f>
        <v/>
      </c>
      <c r="BC64" s="1" t="str">
        <f>IF($AF64=0,"",CHOOSE($AF64,INDEX(nINT_Reported_Timing_Result,$AH64)&amp;"","","","","","","","","","","",""))</f>
        <v/>
      </c>
      <c r="BD64" s="1" t="str">
        <f>IF($AF64=0,"",CHOOSE($AF64,IF(INDEX(nINT_K_HasC,$AH64)=1,INDEX(nINT_Constraint_Source,$AH64)&amp;"",""),"","","","","","","","","","",""))</f>
        <v/>
      </c>
      <c r="BE64" s="1" t="str">
        <f>IF($AF64=0,"",CHOOSE($AF64,"",INDEX(nQ1_Results_Text,$AH64)&amp;"",INDEX(nQ2_Results_Text,$AH64)&amp;"",INDEX(nQ3_Results_Text,$AH64)&amp;"",INDEX(nQ4_Results_Text,$AH64)&amp;"",INDEX(nQ5_Results_Text,$AH64)&amp;"",INDEX(nQ6_Results_Text,$AH64)&amp;"",INDEX(nQ7_Results_Text,$AH64)&amp;"",INDEX(nQ8_Results_Text,$AH64)&amp;"",INDEX(nQ9_Results_Text,$AH64)&amp;"",INDEX(nQ10_Results_Text,$AH64)&amp;"",INDEX(nQ11_Results_Text,$AH64)&amp;""))</f>
        <v/>
      </c>
      <c r="BF64" s="1" t="str">
        <f>IF($AF64=0,"",CHOOSE($AF64,INDEX(nINT_Parameter_Set,$AH64)&amp;"",INDEX(nQ1_Parameter_Set,$AH64)&amp;"",INDEX(nQ2_Parameter_Set,$AH64)&amp;"",INDEX(nQ3_Parameter_Set,$AH64)&amp;"",INDEX(nQ4_Parameter_Set,$AH64)&amp;"",INDEX(nQ5_Parameter_Set,$AH64)&amp;"",INDEX(nQ6_Parameter_Set,$AH64)&amp;"",INDEX(nQ7_Parameter_Set,$AH64)&amp;"",INDEX(nQ8_Parameter_Set,$AH64)&amp;"",INDEX(nQ9_Parameter_Set,$AH64)&amp;"",INDEX(nQ10_Parameter_Set,$AH64)&amp;"",INDEX(nQ11_Parameter_Set,$AH64)&amp;""))</f>
        <v/>
      </c>
      <c r="BG64" s="1" t="str">
        <f>IF($AF64=0,"",CHOOSE($AF64,INDEX(nINT_Assumptions,$AH64)&amp;"",INDEX(nQ1_Assumptions,$AH64)&amp;"",INDEX(nQ2_Assumptions,$AH64)&amp;"",INDEX(nQ3_Assumptions,$AH64)&amp;"",INDEX(nQ4_Assumptions,$AH64)&amp;"",INDEX(nQ5_Assumptions,$AH64)&amp;"",INDEX(nQ6_Assumptions,$AH64)&amp;"",INDEX(nQ7_Assumptions,$AH64)&amp;"",INDEX(nQ8_Assumptions,$AH64)&amp;"",INDEX(nQ9_Assumptions,$AH64)&amp;"",INDEX(nQ10_Assumptions,$AH64)&amp;"",INDEX(nQ11_Assumptions,$AH64)&amp;""))</f>
        <v/>
      </c>
      <c r="BH64" s="1" t="str">
        <f>IF($AF64=0,"",CHOOSE($AF64,INDEX(nINT_Calculation_Version,$AH64)&amp;"",INDEX(nQ1_Calculation_Version,$AH64)&amp;"",INDEX(nQ2_Calculation_Version,$AH64)&amp;"",INDEX(nQ3_Calculation_Version,$AH64)&amp;"",INDEX(nQ4_Calculation_Version,$AH64)&amp;"",INDEX(nQ5_Calculation_Version,$AH64)&amp;"",INDEX(nQ6_Calculation_Version,$AH64)&amp;"",INDEX(nQ7_Calculation_Version,$AH64)&amp;"",INDEX(nQ8_Calculation_Version,$AH64)&amp;"",INDEX(nQ9_Calculation_Version,$AH64)&amp;"",INDEX(nQ10_Calculation_Version,$AH64)&amp;"",INDEX(nQ11_Calculation_Version,$AH64)&amp;""))</f>
        <v/>
      </c>
      <c r="BI64" s="1" t="str">
        <f>IF($AF64=0,"",CHOOSE($AF64,INDEX(nINT_QC_Flags,$AH64)&amp;"",INDEX(nQ1_QC_Flags,$AH64)&amp;"",INDEX(nQ2_QC_Flags,$AH64)&amp;"",INDEX(nQ3_QC_Flags,$AH64)&amp;"",INDEX(nQ4_QC_Flags,$AH64)&amp;"",INDEX(nQ5_QC_Flags,$AH64)&amp;"",INDEX(nQ6_QC_Flags,$AH64)&amp;"",INDEX(nQ7_QC_Flags,$AH64)&amp;"",INDEX(nQ8_QC_Flags,$AH64)&amp;"",INDEX(nQ9_QC_Flags,$AH64)&amp;"",INDEX(nQ10_QC_Flags,$AH64)&amp;"",INDEX(nQ11_QC_Flags,$AH64)&amp;""))</f>
        <v/>
      </c>
      <c r="BJ64" s="1" t="str">
        <f>IF($AF64=0,"",CHOOSE($AF64,INDEX(nINT_Messages,$AH64)&amp;"",INDEX(nQ1_Messages,$AH64)&amp;"",INDEX(nQ2_Messages,$AH64)&amp;"",INDEX(nQ3_Messages,$AH64)&amp;"",INDEX(nQ4_Messages,$AH64)&amp;"",INDEX(nQ5_Messages,$AH64)&amp;"",INDEX(nQ6_Messages,$AH64)&amp;"",INDEX(nQ7_Messages,$AH64)&amp;"",INDEX(nQ8_Messages,$AH64)&amp;"",INDEX(nQ9_Messages,$AH64)&amp;"",INDEX(nQ10_Messages,$AH64)&amp;"",INDEX(nQ11_Messages,$AH64)&amp;""))</f>
        <v/>
      </c>
      <c r="BK64" s="1" t="str">
        <f>IF($AF64=0,"",CHOOSE($AF64,INDEX(nINT_Limitations,$AH64)&amp;"",INDEX(nQ1_Mandatory_Text,$AH64)&amp;"",INDEX(nQ2_Mandatory_Text,$AH64)&amp;"",INDEX(nQ3_Mandatory_Text,$AH64)&amp;"",INDEX(nQ4_Mandatory_Text,$AH64)&amp;"",INDEX(nQ5_Mandatory_Text,$AH64)&amp;"",INDEX(nQ6_Mandatory_Text,$AH64)&amp;"",INDEX(nQ7_Mandatory_Text,$AH64)&amp;"",INDEX(nQ8_Mandatory_Text,$AH64)&amp;"",INDEX(nQ9_Mandatory_Text,$AH64)&amp;"",INDEX(nQ10_Mandatory_Text,$AH64)&amp;"",INDEX(nQ11_Mandatory_Text,$AH64)&amp;""))</f>
        <v/>
      </c>
      <c r="BL64" s="1" t="str">
        <f t="shared" si="33"/>
        <v/>
      </c>
      <c r="BM64" s="1" t="str">
        <f t="shared" si="34"/>
        <v/>
      </c>
    </row>
    <row r="65" spans="1:65" x14ac:dyDescent="0.2">
      <c r="A65" s="21" t="str">
        <f t="shared" si="0"/>
        <v/>
      </c>
      <c r="B65" s="21" t="str">
        <f t="shared" si="1"/>
        <v/>
      </c>
      <c r="C65" s="21" t="str">
        <f t="shared" si="2"/>
        <v/>
      </c>
      <c r="D65" s="21" t="str">
        <f t="shared" si="3"/>
        <v/>
      </c>
      <c r="E65" s="21" t="str">
        <f t="shared" si="4"/>
        <v/>
      </c>
      <c r="F65" s="21" t="str">
        <f t="shared" si="5"/>
        <v/>
      </c>
      <c r="G65" s="21" t="str">
        <f t="shared" si="6"/>
        <v/>
      </c>
      <c r="H65" s="21" t="str">
        <f t="shared" si="7"/>
        <v/>
      </c>
      <c r="I65" s="21" t="str">
        <f t="shared" si="8"/>
        <v/>
      </c>
      <c r="J65" s="21" t="str">
        <f t="shared" si="9"/>
        <v/>
      </c>
      <c r="K65" s="21" t="str">
        <f t="shared" si="10"/>
        <v/>
      </c>
      <c r="L65" s="21" t="str">
        <f t="shared" si="11"/>
        <v/>
      </c>
      <c r="M65" s="21" t="str">
        <f t="shared" si="12"/>
        <v/>
      </c>
      <c r="N65" s="21" t="str">
        <f t="shared" si="13"/>
        <v/>
      </c>
      <c r="O65" s="21" t="str">
        <f t="shared" si="14"/>
        <v/>
      </c>
      <c r="P65" s="21" t="str">
        <f t="shared" si="15"/>
        <v/>
      </c>
      <c r="Q65" s="21" t="str">
        <f t="shared" si="16"/>
        <v/>
      </c>
      <c r="R65" s="21" t="str">
        <f t="shared" si="17"/>
        <v/>
      </c>
      <c r="S65" s="21" t="str">
        <f t="shared" si="18"/>
        <v/>
      </c>
      <c r="T65" s="21" t="str">
        <f t="shared" si="19"/>
        <v/>
      </c>
      <c r="U65" s="21" t="str">
        <f t="shared" si="20"/>
        <v/>
      </c>
      <c r="V65" s="21" t="str">
        <f t="shared" si="21"/>
        <v/>
      </c>
      <c r="W65" s="21" t="str">
        <f t="shared" si="22"/>
        <v/>
      </c>
      <c r="X65" s="21" t="str">
        <f t="shared" si="23"/>
        <v/>
      </c>
      <c r="Y65" s="21" t="str">
        <f t="shared" si="24"/>
        <v/>
      </c>
      <c r="Z65" s="21" t="str">
        <f t="shared" si="25"/>
        <v/>
      </c>
      <c r="AA65" s="21" t="str">
        <f t="shared" si="26"/>
        <v/>
      </c>
      <c r="AB65" s="21" t="str">
        <f t="shared" si="27"/>
        <v/>
      </c>
      <c r="AC65" s="21" t="str">
        <f t="shared" si="28"/>
        <v/>
      </c>
      <c r="AD65" s="21" t="str">
        <f t="shared" si="29"/>
        <v/>
      </c>
      <c r="AE65" s="1">
        <f t="shared" si="30"/>
        <v>58</v>
      </c>
      <c r="AF65" s="1">
        <f t="shared" si="31"/>
        <v>0</v>
      </c>
      <c r="AG65" s="1">
        <f t="shared" si="32"/>
        <v>0</v>
      </c>
      <c r="AH65" s="1">
        <f>IF(AF65=0,0,CHOOSE(AF65,IFERROR(_xlfn.AGGREGATE(15,6,(ROW(nINT_CaseKey)-ROW(INDEX(nINT_CaseKey,1,1))+1)/((nINT_CaseKey=$H$4)*(nINT_RowEmpty=0)),AG65),0),IFERROR(_xlfn.AGGREGATE(15,6,(ROW(nQ1_CaseKey)-ROW(INDEX(nQ1_CaseKey,1,1))+1)/((nQ1_CaseKey=$H$4)),AG65),0),IFERROR(_xlfn.AGGREGATE(15,6,(ROW(nQ2_CaseKey)-ROW(INDEX(nQ2_CaseKey,1,1))+1)/((nQ2_CaseKey=$H$4)),AG65),0),IFERROR(_xlfn.AGGREGATE(15,6,(ROW(nQ3_CaseKey)-ROW(INDEX(nQ3_CaseKey,1,1))+1)/((nQ3_CaseKey=$H$4)),AG65),0),IFERROR(_xlfn.AGGREGATE(15,6,(ROW(nQ4_CaseKey)-ROW(INDEX(nQ4_CaseKey,1,1))+1)/((nQ4_CaseKey=$H$4)),AG65),0),IFERROR(_xlfn.AGGREGATE(15,6,(ROW(nQ5_CaseKey)-ROW(INDEX(nQ5_CaseKey,1,1))+1)/((nQ5_CaseKey=$H$4)),AG65),0),IFERROR(_xlfn.AGGREGATE(15,6,(ROW(nQ6_CaseKey)-ROW(INDEX(nQ6_CaseKey,1,1))+1)/((nQ6_CaseKey=$H$4)),AG65),0),IFERROR(_xlfn.AGGREGATE(15,6,(ROW(nQ7_CaseKey)-ROW(INDEX(nQ7_CaseKey,1,1))+1)/((nQ7_CaseKey=$H$4)),AG65),0),IFERROR(_xlfn.AGGREGATE(15,6,(ROW(nQ8_CaseKey)-ROW(INDEX(nQ8_CaseKey,1,1))+1)/((nQ8_CaseKey=$H$4)),AG65),0),IFERROR(_xlfn.AGGREGATE(15,6,(ROW(nQ9_CaseKey)-ROW(INDEX(nQ9_CaseKey,1,1))+1)/((nQ9_CaseKey=$H$4)),AG65),0),IFERROR(_xlfn.AGGREGATE(15,6,(ROW(nQ10_CaseKey)-ROW(INDEX(nQ10_CaseKey,1,1))+1)/((nQ10_CaseKey=$H$4)),AG65),0),IFERROR(_xlfn.AGGREGATE(15,6,(ROW(nQ11_CaseKey)-ROW(INDEX(nQ11_CaseKey,1,1))+1)/((nQ11_CaseKey=$H$4)),AG65),0)))</f>
        <v>0</v>
      </c>
      <c r="AJ65" s="1" t="str">
        <f>IF($AF65=0,"",CHOOSE($AF65,INDEX(nINT_Case_ID,$AH65)&amp;"",INDEX(nQ1_Case_ID,$AH65)&amp;"",INDEX(nQ2_Case_ID,$AH65)&amp;"",INDEX(nQ3_Case_ID,$AH65)&amp;"",INDEX(nQ4_Case_ID,$AH65)&amp;"",INDEX(nQ5_Case_ID,$AH65)&amp;"",INDEX(nQ6_Case_ID,$AH65)&amp;"",INDEX(nQ7_Case_ID,$AH65)&amp;"",INDEX(nQ8_Case_ID,$AH65)&amp;"",INDEX(nQ9_Case_ID,$AH65)&amp;"",INDEX(nQ10_Case_ID,$AH65)&amp;"",INDEX(nQ11_Case_ID,$AH65)&amp;""))</f>
        <v/>
      </c>
      <c r="AK65" s="1" t="str">
        <f>IF($AF65=0,"",CHOOSE($AF65,INDEX(nINT_Case_Version,$AH65),INDEX(nQ1_Case_Version,$AH65),INDEX(nQ2_Case_Version,$AH65),INDEX(nQ3_Case_Version,$AH65),INDEX(nQ4_Case_Version,$AH65),INDEX(nQ5_Case_Version,$AH65),INDEX(nQ6_Case_Version,$AH65),INDEX(nQ7_Case_Version,$AH65),INDEX(nQ8_Case_Version,$AH65),INDEX(nQ9_Case_Version,$AH65),INDEX(nQ10_Case_Version,$AH65),INDEX(nQ11_Case_Version,$AH65)))</f>
        <v/>
      </c>
      <c r="AL65" s="1" t="str">
        <f>IF($AF65=0,"",CHOOSE($AF65,INDEX(nINT_Interval_ID,$AH65)&amp;"",INDEX(nQ1_Calc_ID,$AH65)&amp;"",INDEX(nQ2_Calc_ID,$AH65)&amp;"",INDEX(nQ3_Calc_ID,$AH65)&amp;"",INDEX(nQ4_Calc_ID,$AH65)&amp;"",INDEX(nQ5_Calc_ID,$AH65)&amp;"",INDEX(nQ6_Calc_ID,$AH65)&amp;"",INDEX(nQ7_Calc_ID,$AH65)&amp;"",INDEX(nQ8_Calc_ID,$AH65)&amp;"",INDEX(nQ9_Calc_ID,$AH65)&amp;"",INDEX(nQ10_Calc_ID,$AH65)&amp;"",INDEX(nQ11_Calc_ID,$AH65)&amp;""))</f>
        <v/>
      </c>
      <c r="AM65" s="1" t="str">
        <f>IF($AF65=0,"",CHOOSE($AF65,INDEX(nINT_Label,$AH65)&amp;"",INDEX(nQ1_Label_Out,$AH65)&amp;"",INDEX(nQ2_Label_Out,$AH65)&amp;"",INDEX(nQ3_Label_Out,$AH65)&amp;"",INDEX(nQ4_Label_Out,$AH65)&amp;"",INDEX(nQ5_Label_Out,$AH65)&amp;"",INDEX(nQ6_Label_Out,$AH65)&amp;"",INDEX(nQ7_Label_Out,$AH65)&amp;"",INDEX(nQ8_Label_Out,$AH65)&amp;"",INDEX(nQ9_Label_Out,$AH65)&amp;"",INDEX(nQ10_Label_Out,$AH65)&amp;"",INDEX(nQ11_Label_Out,$AH65)&amp;""))</f>
        <v/>
      </c>
      <c r="AN65" s="1" t="str">
        <f>IF($AF65=0,"",CHOOSE($AF65,IF(INDEX(nINT_LinkRow,$AH65)=0,"",INDEX(nINT_Link_ID,$AH65)&amp;""),"","","","","","","","","","",""))</f>
        <v/>
      </c>
      <c r="AO65" s="1" t="str">
        <f>IF($AF65=0,"",CHOOSE($AF65,INDEX(nINT_Exposure_Episode_ID,$AH65)&amp;"","","","","","","","","","","",""))</f>
        <v/>
      </c>
      <c r="AP65" s="1" t="str">
        <f>IF($AF65=0,"",CHOOSE($AF65,INDEX(nINT_Event_Episode_ID,$AH65)&amp;"","","","","","","","","","","",""))</f>
        <v/>
      </c>
      <c r="AQ65" s="1" t="str">
        <f>IF($AF65=0,"",CHOOSE($AF65,INDEX(nINT_End_Record_ID_Used,$AH65)&amp;"","","","","","","","","","","",""))</f>
        <v/>
      </c>
      <c r="AR65" s="1" t="str">
        <f>IF($AF65=0,"",CHOOSE($AF65,INDEX(nINT_Interval_Value,$AH65),"","","","","","","","","","",""))</f>
        <v/>
      </c>
      <c r="AS65" s="1" t="str">
        <f>IF($AF65=0,"",CHOOSE($AF65,INDEX(nINT_Interval_Minimum,$AH65),"","","","","","","","","","",""))</f>
        <v/>
      </c>
      <c r="AT65" s="1" t="str">
        <f>IF($AF65=0,"",CHOOSE($AF65,INDEX(nINT_Interval_Maximum,$AH65),"","","","","","","","","","",""))</f>
        <v/>
      </c>
      <c r="AU65" s="1" t="str">
        <f>IF($AF65=0,"",CHOOSE($AF65,INDEX(nINT_Unit,$AH65)&amp;"",INDEX(nQ1_Unit_Out,$AH65)&amp;"",INDEX(nQ2_Unit_Out,$AH65)&amp;"",INDEX(nQ3_Unit_Out,$AH65)&amp;"",INDEX(nQ4_Unit_Out,$AH65)&amp;"",INDEX(nQ5_Unit_Out,$AH65)&amp;"",INDEX(nQ6_Unit_Out,$AH65)&amp;"",INDEX(nQ7_Unit_Out,$AH65)&amp;"",INDEX(nQ8_Unit_Out,$AH65)&amp;"",INDEX(nQ9_Unit_Out,$AH65)&amp;"",INDEX(nQ10_Unit_Out,$AH65)&amp;"",INDEX(nQ11_Unit_Out,$AH65)&amp;""))</f>
        <v/>
      </c>
      <c r="AV65" s="1" t="str">
        <f>IF($AF65=0,"",CHOOSE($AF65,INDEX(nINT_Displayed_Value,$AH65)&amp;"",INDEX(nQ1_Displayed_Value,$AH65)&amp;"",INDEX(nQ2_Displayed_Value,$AH65)&amp;"",INDEX(nQ3_Displayed_Value,$AH65)&amp;"",INDEX(nQ4_Displayed_Value,$AH65)&amp;"",INDEX(nQ5_Displayed_Value,$AH65)&amp;"",INDEX(nQ6_Displayed_Value,$AH65)&amp;"",INDEX(nQ7_Displayed_Value,$AH65)&amp;"",INDEX(nQ8_Displayed_Value,$AH65)&amp;"",INDEX(nQ9_Displayed_Value,$AH65)&amp;"",INDEX(nQ10_Displayed_Value,$AH65)&amp;"",INDEX(nQ11_Displayed_Value,$AH65)&amp;""))</f>
        <v/>
      </c>
      <c r="AW65" s="1" t="str">
        <f>IF($AF65=0,"",CHOOSE($AF65,INDEX(nINT_Calculation_Mode_Used,$AH65)&amp;"","Q1","Q2","Q3","Q4","Q5","Q6","Q7","Q8","Q9","Q10","Q11"))</f>
        <v/>
      </c>
      <c r="AX65" s="1" t="str">
        <f>IF($AF65=0,"",CHOOSE($AF65,INDEX(nINT_Anchor_Type,$AH65)&amp;"","","","","","","","","","","",""))</f>
        <v/>
      </c>
      <c r="AY65" s="1" t="str">
        <f>IF($AF65=0,"",CHOOSE($AF65,IF(INDEX(nINT_K_Ok,$AH65)=1,INDEX(nINT_Anchor_Record_ID_Used,$AH65)&amp;"",""),"","","","","","","","","","",""))</f>
        <v/>
      </c>
      <c r="AZ65" s="1" t="str">
        <f>IF($AF65=0,"",CHOOSE($AF65,INDEX(nINT_Anchor_Description,$AH65)&amp;"","","","","","","","","","","",""))</f>
        <v/>
      </c>
      <c r="BA65" s="1" t="str">
        <f>IF($AF65=0,"",CHOOSE($AF65,INDEX(nINT_Sequence_Status,$AH65)&amp;"","","","","","","","","","","",""))</f>
        <v/>
      </c>
      <c r="BB65" s="1" t="str">
        <f>IF($AF65=0,"",CHOOSE($AF65,INDEX(nINT_Treatment_Day,$AH65),"","","","","","","","","","",""))</f>
        <v/>
      </c>
      <c r="BC65" s="1" t="str">
        <f>IF($AF65=0,"",CHOOSE($AF65,INDEX(nINT_Reported_Timing_Result,$AH65)&amp;"","","","","","","","","","","",""))</f>
        <v/>
      </c>
      <c r="BD65" s="1" t="str">
        <f>IF($AF65=0,"",CHOOSE($AF65,IF(INDEX(nINT_K_HasC,$AH65)=1,INDEX(nINT_Constraint_Source,$AH65)&amp;"",""),"","","","","","","","","","",""))</f>
        <v/>
      </c>
      <c r="BE65" s="1" t="str">
        <f>IF($AF65=0,"",CHOOSE($AF65,"",INDEX(nQ1_Results_Text,$AH65)&amp;"",INDEX(nQ2_Results_Text,$AH65)&amp;"",INDEX(nQ3_Results_Text,$AH65)&amp;"",INDEX(nQ4_Results_Text,$AH65)&amp;"",INDEX(nQ5_Results_Text,$AH65)&amp;"",INDEX(nQ6_Results_Text,$AH65)&amp;"",INDEX(nQ7_Results_Text,$AH65)&amp;"",INDEX(nQ8_Results_Text,$AH65)&amp;"",INDEX(nQ9_Results_Text,$AH65)&amp;"",INDEX(nQ10_Results_Text,$AH65)&amp;"",INDEX(nQ11_Results_Text,$AH65)&amp;""))</f>
        <v/>
      </c>
      <c r="BF65" s="1" t="str">
        <f>IF($AF65=0,"",CHOOSE($AF65,INDEX(nINT_Parameter_Set,$AH65)&amp;"",INDEX(nQ1_Parameter_Set,$AH65)&amp;"",INDEX(nQ2_Parameter_Set,$AH65)&amp;"",INDEX(nQ3_Parameter_Set,$AH65)&amp;"",INDEX(nQ4_Parameter_Set,$AH65)&amp;"",INDEX(nQ5_Parameter_Set,$AH65)&amp;"",INDEX(nQ6_Parameter_Set,$AH65)&amp;"",INDEX(nQ7_Parameter_Set,$AH65)&amp;"",INDEX(nQ8_Parameter_Set,$AH65)&amp;"",INDEX(nQ9_Parameter_Set,$AH65)&amp;"",INDEX(nQ10_Parameter_Set,$AH65)&amp;"",INDEX(nQ11_Parameter_Set,$AH65)&amp;""))</f>
        <v/>
      </c>
      <c r="BG65" s="1" t="str">
        <f>IF($AF65=0,"",CHOOSE($AF65,INDEX(nINT_Assumptions,$AH65)&amp;"",INDEX(nQ1_Assumptions,$AH65)&amp;"",INDEX(nQ2_Assumptions,$AH65)&amp;"",INDEX(nQ3_Assumptions,$AH65)&amp;"",INDEX(nQ4_Assumptions,$AH65)&amp;"",INDEX(nQ5_Assumptions,$AH65)&amp;"",INDEX(nQ6_Assumptions,$AH65)&amp;"",INDEX(nQ7_Assumptions,$AH65)&amp;"",INDEX(nQ8_Assumptions,$AH65)&amp;"",INDEX(nQ9_Assumptions,$AH65)&amp;"",INDEX(nQ10_Assumptions,$AH65)&amp;"",INDEX(nQ11_Assumptions,$AH65)&amp;""))</f>
        <v/>
      </c>
      <c r="BH65" s="1" t="str">
        <f>IF($AF65=0,"",CHOOSE($AF65,INDEX(nINT_Calculation_Version,$AH65)&amp;"",INDEX(nQ1_Calculation_Version,$AH65)&amp;"",INDEX(nQ2_Calculation_Version,$AH65)&amp;"",INDEX(nQ3_Calculation_Version,$AH65)&amp;"",INDEX(nQ4_Calculation_Version,$AH65)&amp;"",INDEX(nQ5_Calculation_Version,$AH65)&amp;"",INDEX(nQ6_Calculation_Version,$AH65)&amp;"",INDEX(nQ7_Calculation_Version,$AH65)&amp;"",INDEX(nQ8_Calculation_Version,$AH65)&amp;"",INDEX(nQ9_Calculation_Version,$AH65)&amp;"",INDEX(nQ10_Calculation_Version,$AH65)&amp;"",INDEX(nQ11_Calculation_Version,$AH65)&amp;""))</f>
        <v/>
      </c>
      <c r="BI65" s="1" t="str">
        <f>IF($AF65=0,"",CHOOSE($AF65,INDEX(nINT_QC_Flags,$AH65)&amp;"",INDEX(nQ1_QC_Flags,$AH65)&amp;"",INDEX(nQ2_QC_Flags,$AH65)&amp;"",INDEX(nQ3_QC_Flags,$AH65)&amp;"",INDEX(nQ4_QC_Flags,$AH65)&amp;"",INDEX(nQ5_QC_Flags,$AH65)&amp;"",INDEX(nQ6_QC_Flags,$AH65)&amp;"",INDEX(nQ7_QC_Flags,$AH65)&amp;"",INDEX(nQ8_QC_Flags,$AH65)&amp;"",INDEX(nQ9_QC_Flags,$AH65)&amp;"",INDEX(nQ10_QC_Flags,$AH65)&amp;"",INDEX(nQ11_QC_Flags,$AH65)&amp;""))</f>
        <v/>
      </c>
      <c r="BJ65" s="1" t="str">
        <f>IF($AF65=0,"",CHOOSE($AF65,INDEX(nINT_Messages,$AH65)&amp;"",INDEX(nQ1_Messages,$AH65)&amp;"",INDEX(nQ2_Messages,$AH65)&amp;"",INDEX(nQ3_Messages,$AH65)&amp;"",INDEX(nQ4_Messages,$AH65)&amp;"",INDEX(nQ5_Messages,$AH65)&amp;"",INDEX(nQ6_Messages,$AH65)&amp;"",INDEX(nQ7_Messages,$AH65)&amp;"",INDEX(nQ8_Messages,$AH65)&amp;"",INDEX(nQ9_Messages,$AH65)&amp;"",INDEX(nQ10_Messages,$AH65)&amp;"",INDEX(nQ11_Messages,$AH65)&amp;""))</f>
        <v/>
      </c>
      <c r="BK65" s="1" t="str">
        <f>IF($AF65=0,"",CHOOSE($AF65,INDEX(nINT_Limitations,$AH65)&amp;"",INDEX(nQ1_Mandatory_Text,$AH65)&amp;"",INDEX(nQ2_Mandatory_Text,$AH65)&amp;"",INDEX(nQ3_Mandatory_Text,$AH65)&amp;"",INDEX(nQ4_Mandatory_Text,$AH65)&amp;"",INDEX(nQ5_Mandatory_Text,$AH65)&amp;"",INDEX(nQ6_Mandatory_Text,$AH65)&amp;"",INDEX(nQ7_Mandatory_Text,$AH65)&amp;"",INDEX(nQ8_Mandatory_Text,$AH65)&amp;"",INDEX(nQ9_Mandatory_Text,$AH65)&amp;"",INDEX(nQ10_Mandatory_Text,$AH65)&amp;"",INDEX(nQ11_Mandatory_Text,$AH65)&amp;""))</f>
        <v/>
      </c>
      <c r="BL65" s="1" t="str">
        <f t="shared" si="33"/>
        <v/>
      </c>
      <c r="BM65" s="1" t="str">
        <f t="shared" si="34"/>
        <v/>
      </c>
    </row>
    <row r="66" spans="1:65" x14ac:dyDescent="0.2">
      <c r="A66" s="21" t="str">
        <f t="shared" si="0"/>
        <v/>
      </c>
      <c r="B66" s="21" t="str">
        <f t="shared" si="1"/>
        <v/>
      </c>
      <c r="C66" s="21" t="str">
        <f t="shared" si="2"/>
        <v/>
      </c>
      <c r="D66" s="21" t="str">
        <f t="shared" si="3"/>
        <v/>
      </c>
      <c r="E66" s="21" t="str">
        <f t="shared" si="4"/>
        <v/>
      </c>
      <c r="F66" s="21" t="str">
        <f t="shared" si="5"/>
        <v/>
      </c>
      <c r="G66" s="21" t="str">
        <f t="shared" si="6"/>
        <v/>
      </c>
      <c r="H66" s="21" t="str">
        <f t="shared" si="7"/>
        <v/>
      </c>
      <c r="I66" s="21" t="str">
        <f t="shared" si="8"/>
        <v/>
      </c>
      <c r="J66" s="21" t="str">
        <f t="shared" si="9"/>
        <v/>
      </c>
      <c r="K66" s="21" t="str">
        <f t="shared" si="10"/>
        <v/>
      </c>
      <c r="L66" s="21" t="str">
        <f t="shared" si="11"/>
        <v/>
      </c>
      <c r="M66" s="21" t="str">
        <f t="shared" si="12"/>
        <v/>
      </c>
      <c r="N66" s="21" t="str">
        <f t="shared" si="13"/>
        <v/>
      </c>
      <c r="O66" s="21" t="str">
        <f t="shared" si="14"/>
        <v/>
      </c>
      <c r="P66" s="21" t="str">
        <f t="shared" si="15"/>
        <v/>
      </c>
      <c r="Q66" s="21" t="str">
        <f t="shared" si="16"/>
        <v/>
      </c>
      <c r="R66" s="21" t="str">
        <f t="shared" si="17"/>
        <v/>
      </c>
      <c r="S66" s="21" t="str">
        <f t="shared" si="18"/>
        <v/>
      </c>
      <c r="T66" s="21" t="str">
        <f t="shared" si="19"/>
        <v/>
      </c>
      <c r="U66" s="21" t="str">
        <f t="shared" si="20"/>
        <v/>
      </c>
      <c r="V66" s="21" t="str">
        <f t="shared" si="21"/>
        <v/>
      </c>
      <c r="W66" s="21" t="str">
        <f t="shared" si="22"/>
        <v/>
      </c>
      <c r="X66" s="21" t="str">
        <f t="shared" si="23"/>
        <v/>
      </c>
      <c r="Y66" s="21" t="str">
        <f t="shared" si="24"/>
        <v/>
      </c>
      <c r="Z66" s="21" t="str">
        <f t="shared" si="25"/>
        <v/>
      </c>
      <c r="AA66" s="21" t="str">
        <f t="shared" si="26"/>
        <v/>
      </c>
      <c r="AB66" s="21" t="str">
        <f t="shared" si="27"/>
        <v/>
      </c>
      <c r="AC66" s="21" t="str">
        <f t="shared" si="28"/>
        <v/>
      </c>
      <c r="AD66" s="21" t="str">
        <f t="shared" si="29"/>
        <v/>
      </c>
      <c r="AE66" s="1">
        <f t="shared" si="30"/>
        <v>59</v>
      </c>
      <c r="AF66" s="1">
        <f t="shared" si="31"/>
        <v>0</v>
      </c>
      <c r="AG66" s="1">
        <f t="shared" si="32"/>
        <v>0</v>
      </c>
      <c r="AH66" s="1">
        <f>IF(AF66=0,0,CHOOSE(AF66,IFERROR(_xlfn.AGGREGATE(15,6,(ROW(nINT_CaseKey)-ROW(INDEX(nINT_CaseKey,1,1))+1)/((nINT_CaseKey=$H$4)*(nINT_RowEmpty=0)),AG66),0),IFERROR(_xlfn.AGGREGATE(15,6,(ROW(nQ1_CaseKey)-ROW(INDEX(nQ1_CaseKey,1,1))+1)/((nQ1_CaseKey=$H$4)),AG66),0),IFERROR(_xlfn.AGGREGATE(15,6,(ROW(nQ2_CaseKey)-ROW(INDEX(nQ2_CaseKey,1,1))+1)/((nQ2_CaseKey=$H$4)),AG66),0),IFERROR(_xlfn.AGGREGATE(15,6,(ROW(nQ3_CaseKey)-ROW(INDEX(nQ3_CaseKey,1,1))+1)/((nQ3_CaseKey=$H$4)),AG66),0),IFERROR(_xlfn.AGGREGATE(15,6,(ROW(nQ4_CaseKey)-ROW(INDEX(nQ4_CaseKey,1,1))+1)/((nQ4_CaseKey=$H$4)),AG66),0),IFERROR(_xlfn.AGGREGATE(15,6,(ROW(nQ5_CaseKey)-ROW(INDEX(nQ5_CaseKey,1,1))+1)/((nQ5_CaseKey=$H$4)),AG66),0),IFERROR(_xlfn.AGGREGATE(15,6,(ROW(nQ6_CaseKey)-ROW(INDEX(nQ6_CaseKey,1,1))+1)/((nQ6_CaseKey=$H$4)),AG66),0),IFERROR(_xlfn.AGGREGATE(15,6,(ROW(nQ7_CaseKey)-ROW(INDEX(nQ7_CaseKey,1,1))+1)/((nQ7_CaseKey=$H$4)),AG66),0),IFERROR(_xlfn.AGGREGATE(15,6,(ROW(nQ8_CaseKey)-ROW(INDEX(nQ8_CaseKey,1,1))+1)/((nQ8_CaseKey=$H$4)),AG66),0),IFERROR(_xlfn.AGGREGATE(15,6,(ROW(nQ9_CaseKey)-ROW(INDEX(nQ9_CaseKey,1,1))+1)/((nQ9_CaseKey=$H$4)),AG66),0),IFERROR(_xlfn.AGGREGATE(15,6,(ROW(nQ10_CaseKey)-ROW(INDEX(nQ10_CaseKey,1,1))+1)/((nQ10_CaseKey=$H$4)),AG66),0),IFERROR(_xlfn.AGGREGATE(15,6,(ROW(nQ11_CaseKey)-ROW(INDEX(nQ11_CaseKey,1,1))+1)/((nQ11_CaseKey=$H$4)),AG66),0)))</f>
        <v>0</v>
      </c>
      <c r="AJ66" s="1" t="str">
        <f>IF($AF66=0,"",CHOOSE($AF66,INDEX(nINT_Case_ID,$AH66)&amp;"",INDEX(nQ1_Case_ID,$AH66)&amp;"",INDEX(nQ2_Case_ID,$AH66)&amp;"",INDEX(nQ3_Case_ID,$AH66)&amp;"",INDEX(nQ4_Case_ID,$AH66)&amp;"",INDEX(nQ5_Case_ID,$AH66)&amp;"",INDEX(nQ6_Case_ID,$AH66)&amp;"",INDEX(nQ7_Case_ID,$AH66)&amp;"",INDEX(nQ8_Case_ID,$AH66)&amp;"",INDEX(nQ9_Case_ID,$AH66)&amp;"",INDEX(nQ10_Case_ID,$AH66)&amp;"",INDEX(nQ11_Case_ID,$AH66)&amp;""))</f>
        <v/>
      </c>
      <c r="AK66" s="1" t="str">
        <f>IF($AF66=0,"",CHOOSE($AF66,INDEX(nINT_Case_Version,$AH66),INDEX(nQ1_Case_Version,$AH66),INDEX(nQ2_Case_Version,$AH66),INDEX(nQ3_Case_Version,$AH66),INDEX(nQ4_Case_Version,$AH66),INDEX(nQ5_Case_Version,$AH66),INDEX(nQ6_Case_Version,$AH66),INDEX(nQ7_Case_Version,$AH66),INDEX(nQ8_Case_Version,$AH66),INDEX(nQ9_Case_Version,$AH66),INDEX(nQ10_Case_Version,$AH66),INDEX(nQ11_Case_Version,$AH66)))</f>
        <v/>
      </c>
      <c r="AL66" s="1" t="str">
        <f>IF($AF66=0,"",CHOOSE($AF66,INDEX(nINT_Interval_ID,$AH66)&amp;"",INDEX(nQ1_Calc_ID,$AH66)&amp;"",INDEX(nQ2_Calc_ID,$AH66)&amp;"",INDEX(nQ3_Calc_ID,$AH66)&amp;"",INDEX(nQ4_Calc_ID,$AH66)&amp;"",INDEX(nQ5_Calc_ID,$AH66)&amp;"",INDEX(nQ6_Calc_ID,$AH66)&amp;"",INDEX(nQ7_Calc_ID,$AH66)&amp;"",INDEX(nQ8_Calc_ID,$AH66)&amp;"",INDEX(nQ9_Calc_ID,$AH66)&amp;"",INDEX(nQ10_Calc_ID,$AH66)&amp;"",INDEX(nQ11_Calc_ID,$AH66)&amp;""))</f>
        <v/>
      </c>
      <c r="AM66" s="1" t="str">
        <f>IF($AF66=0,"",CHOOSE($AF66,INDEX(nINT_Label,$AH66)&amp;"",INDEX(nQ1_Label_Out,$AH66)&amp;"",INDEX(nQ2_Label_Out,$AH66)&amp;"",INDEX(nQ3_Label_Out,$AH66)&amp;"",INDEX(nQ4_Label_Out,$AH66)&amp;"",INDEX(nQ5_Label_Out,$AH66)&amp;"",INDEX(nQ6_Label_Out,$AH66)&amp;"",INDEX(nQ7_Label_Out,$AH66)&amp;"",INDEX(nQ8_Label_Out,$AH66)&amp;"",INDEX(nQ9_Label_Out,$AH66)&amp;"",INDEX(nQ10_Label_Out,$AH66)&amp;"",INDEX(nQ11_Label_Out,$AH66)&amp;""))</f>
        <v/>
      </c>
      <c r="AN66" s="1" t="str">
        <f>IF($AF66=0,"",CHOOSE($AF66,IF(INDEX(nINT_LinkRow,$AH66)=0,"",INDEX(nINT_Link_ID,$AH66)&amp;""),"","","","","","","","","","",""))</f>
        <v/>
      </c>
      <c r="AO66" s="1" t="str">
        <f>IF($AF66=0,"",CHOOSE($AF66,INDEX(nINT_Exposure_Episode_ID,$AH66)&amp;"","","","","","","","","","","",""))</f>
        <v/>
      </c>
      <c r="AP66" s="1" t="str">
        <f>IF($AF66=0,"",CHOOSE($AF66,INDEX(nINT_Event_Episode_ID,$AH66)&amp;"","","","","","","","","","","",""))</f>
        <v/>
      </c>
      <c r="AQ66" s="1" t="str">
        <f>IF($AF66=0,"",CHOOSE($AF66,INDEX(nINT_End_Record_ID_Used,$AH66)&amp;"","","","","","","","","","","",""))</f>
        <v/>
      </c>
      <c r="AR66" s="1" t="str">
        <f>IF($AF66=0,"",CHOOSE($AF66,INDEX(nINT_Interval_Value,$AH66),"","","","","","","","","","",""))</f>
        <v/>
      </c>
      <c r="AS66" s="1" t="str">
        <f>IF($AF66=0,"",CHOOSE($AF66,INDEX(nINT_Interval_Minimum,$AH66),"","","","","","","","","","",""))</f>
        <v/>
      </c>
      <c r="AT66" s="1" t="str">
        <f>IF($AF66=0,"",CHOOSE($AF66,INDEX(nINT_Interval_Maximum,$AH66),"","","","","","","","","","",""))</f>
        <v/>
      </c>
      <c r="AU66" s="1" t="str">
        <f>IF($AF66=0,"",CHOOSE($AF66,INDEX(nINT_Unit,$AH66)&amp;"",INDEX(nQ1_Unit_Out,$AH66)&amp;"",INDEX(nQ2_Unit_Out,$AH66)&amp;"",INDEX(nQ3_Unit_Out,$AH66)&amp;"",INDEX(nQ4_Unit_Out,$AH66)&amp;"",INDEX(nQ5_Unit_Out,$AH66)&amp;"",INDEX(nQ6_Unit_Out,$AH66)&amp;"",INDEX(nQ7_Unit_Out,$AH66)&amp;"",INDEX(nQ8_Unit_Out,$AH66)&amp;"",INDEX(nQ9_Unit_Out,$AH66)&amp;"",INDEX(nQ10_Unit_Out,$AH66)&amp;"",INDEX(nQ11_Unit_Out,$AH66)&amp;""))</f>
        <v/>
      </c>
      <c r="AV66" s="1" t="str">
        <f>IF($AF66=0,"",CHOOSE($AF66,INDEX(nINT_Displayed_Value,$AH66)&amp;"",INDEX(nQ1_Displayed_Value,$AH66)&amp;"",INDEX(nQ2_Displayed_Value,$AH66)&amp;"",INDEX(nQ3_Displayed_Value,$AH66)&amp;"",INDEX(nQ4_Displayed_Value,$AH66)&amp;"",INDEX(nQ5_Displayed_Value,$AH66)&amp;"",INDEX(nQ6_Displayed_Value,$AH66)&amp;"",INDEX(nQ7_Displayed_Value,$AH66)&amp;"",INDEX(nQ8_Displayed_Value,$AH66)&amp;"",INDEX(nQ9_Displayed_Value,$AH66)&amp;"",INDEX(nQ10_Displayed_Value,$AH66)&amp;"",INDEX(nQ11_Displayed_Value,$AH66)&amp;""))</f>
        <v/>
      </c>
      <c r="AW66" s="1" t="str">
        <f>IF($AF66=0,"",CHOOSE($AF66,INDEX(nINT_Calculation_Mode_Used,$AH66)&amp;"","Q1","Q2","Q3","Q4","Q5","Q6","Q7","Q8","Q9","Q10","Q11"))</f>
        <v/>
      </c>
      <c r="AX66" s="1" t="str">
        <f>IF($AF66=0,"",CHOOSE($AF66,INDEX(nINT_Anchor_Type,$AH66)&amp;"","","","","","","","","","","",""))</f>
        <v/>
      </c>
      <c r="AY66" s="1" t="str">
        <f>IF($AF66=0,"",CHOOSE($AF66,IF(INDEX(nINT_K_Ok,$AH66)=1,INDEX(nINT_Anchor_Record_ID_Used,$AH66)&amp;"",""),"","","","","","","","","","",""))</f>
        <v/>
      </c>
      <c r="AZ66" s="1" t="str">
        <f>IF($AF66=0,"",CHOOSE($AF66,INDEX(nINT_Anchor_Description,$AH66)&amp;"","","","","","","","","","","",""))</f>
        <v/>
      </c>
      <c r="BA66" s="1" t="str">
        <f>IF($AF66=0,"",CHOOSE($AF66,INDEX(nINT_Sequence_Status,$AH66)&amp;"","","","","","","","","","","",""))</f>
        <v/>
      </c>
      <c r="BB66" s="1" t="str">
        <f>IF($AF66=0,"",CHOOSE($AF66,INDEX(nINT_Treatment_Day,$AH66),"","","","","","","","","","",""))</f>
        <v/>
      </c>
      <c r="BC66" s="1" t="str">
        <f>IF($AF66=0,"",CHOOSE($AF66,INDEX(nINT_Reported_Timing_Result,$AH66)&amp;"","","","","","","","","","","",""))</f>
        <v/>
      </c>
      <c r="BD66" s="1" t="str">
        <f>IF($AF66=0,"",CHOOSE($AF66,IF(INDEX(nINT_K_HasC,$AH66)=1,INDEX(nINT_Constraint_Source,$AH66)&amp;"",""),"","","","","","","","","","",""))</f>
        <v/>
      </c>
      <c r="BE66" s="1" t="str">
        <f>IF($AF66=0,"",CHOOSE($AF66,"",INDEX(nQ1_Results_Text,$AH66)&amp;"",INDEX(nQ2_Results_Text,$AH66)&amp;"",INDEX(nQ3_Results_Text,$AH66)&amp;"",INDEX(nQ4_Results_Text,$AH66)&amp;"",INDEX(nQ5_Results_Text,$AH66)&amp;"",INDEX(nQ6_Results_Text,$AH66)&amp;"",INDEX(nQ7_Results_Text,$AH66)&amp;"",INDEX(nQ8_Results_Text,$AH66)&amp;"",INDEX(nQ9_Results_Text,$AH66)&amp;"",INDEX(nQ10_Results_Text,$AH66)&amp;"",INDEX(nQ11_Results_Text,$AH66)&amp;""))</f>
        <v/>
      </c>
      <c r="BF66" s="1" t="str">
        <f>IF($AF66=0,"",CHOOSE($AF66,INDEX(nINT_Parameter_Set,$AH66)&amp;"",INDEX(nQ1_Parameter_Set,$AH66)&amp;"",INDEX(nQ2_Parameter_Set,$AH66)&amp;"",INDEX(nQ3_Parameter_Set,$AH66)&amp;"",INDEX(nQ4_Parameter_Set,$AH66)&amp;"",INDEX(nQ5_Parameter_Set,$AH66)&amp;"",INDEX(nQ6_Parameter_Set,$AH66)&amp;"",INDEX(nQ7_Parameter_Set,$AH66)&amp;"",INDEX(nQ8_Parameter_Set,$AH66)&amp;"",INDEX(nQ9_Parameter_Set,$AH66)&amp;"",INDEX(nQ10_Parameter_Set,$AH66)&amp;"",INDEX(nQ11_Parameter_Set,$AH66)&amp;""))</f>
        <v/>
      </c>
      <c r="BG66" s="1" t="str">
        <f>IF($AF66=0,"",CHOOSE($AF66,INDEX(nINT_Assumptions,$AH66)&amp;"",INDEX(nQ1_Assumptions,$AH66)&amp;"",INDEX(nQ2_Assumptions,$AH66)&amp;"",INDEX(nQ3_Assumptions,$AH66)&amp;"",INDEX(nQ4_Assumptions,$AH66)&amp;"",INDEX(nQ5_Assumptions,$AH66)&amp;"",INDEX(nQ6_Assumptions,$AH66)&amp;"",INDEX(nQ7_Assumptions,$AH66)&amp;"",INDEX(nQ8_Assumptions,$AH66)&amp;"",INDEX(nQ9_Assumptions,$AH66)&amp;"",INDEX(nQ10_Assumptions,$AH66)&amp;"",INDEX(nQ11_Assumptions,$AH66)&amp;""))</f>
        <v/>
      </c>
      <c r="BH66" s="1" t="str">
        <f>IF($AF66=0,"",CHOOSE($AF66,INDEX(nINT_Calculation_Version,$AH66)&amp;"",INDEX(nQ1_Calculation_Version,$AH66)&amp;"",INDEX(nQ2_Calculation_Version,$AH66)&amp;"",INDEX(nQ3_Calculation_Version,$AH66)&amp;"",INDEX(nQ4_Calculation_Version,$AH66)&amp;"",INDEX(nQ5_Calculation_Version,$AH66)&amp;"",INDEX(nQ6_Calculation_Version,$AH66)&amp;"",INDEX(nQ7_Calculation_Version,$AH66)&amp;"",INDEX(nQ8_Calculation_Version,$AH66)&amp;"",INDEX(nQ9_Calculation_Version,$AH66)&amp;"",INDEX(nQ10_Calculation_Version,$AH66)&amp;"",INDEX(nQ11_Calculation_Version,$AH66)&amp;""))</f>
        <v/>
      </c>
      <c r="BI66" s="1" t="str">
        <f>IF($AF66=0,"",CHOOSE($AF66,INDEX(nINT_QC_Flags,$AH66)&amp;"",INDEX(nQ1_QC_Flags,$AH66)&amp;"",INDEX(nQ2_QC_Flags,$AH66)&amp;"",INDEX(nQ3_QC_Flags,$AH66)&amp;"",INDEX(nQ4_QC_Flags,$AH66)&amp;"",INDEX(nQ5_QC_Flags,$AH66)&amp;"",INDEX(nQ6_QC_Flags,$AH66)&amp;"",INDEX(nQ7_QC_Flags,$AH66)&amp;"",INDEX(nQ8_QC_Flags,$AH66)&amp;"",INDEX(nQ9_QC_Flags,$AH66)&amp;"",INDEX(nQ10_QC_Flags,$AH66)&amp;"",INDEX(nQ11_QC_Flags,$AH66)&amp;""))</f>
        <v/>
      </c>
      <c r="BJ66" s="1" t="str">
        <f>IF($AF66=0,"",CHOOSE($AF66,INDEX(nINT_Messages,$AH66)&amp;"",INDEX(nQ1_Messages,$AH66)&amp;"",INDEX(nQ2_Messages,$AH66)&amp;"",INDEX(nQ3_Messages,$AH66)&amp;"",INDEX(nQ4_Messages,$AH66)&amp;"",INDEX(nQ5_Messages,$AH66)&amp;"",INDEX(nQ6_Messages,$AH66)&amp;"",INDEX(nQ7_Messages,$AH66)&amp;"",INDEX(nQ8_Messages,$AH66)&amp;"",INDEX(nQ9_Messages,$AH66)&amp;"",INDEX(nQ10_Messages,$AH66)&amp;"",INDEX(nQ11_Messages,$AH66)&amp;""))</f>
        <v/>
      </c>
      <c r="BK66" s="1" t="str">
        <f>IF($AF66=0,"",CHOOSE($AF66,INDEX(nINT_Limitations,$AH66)&amp;"",INDEX(nQ1_Mandatory_Text,$AH66)&amp;"",INDEX(nQ2_Mandatory_Text,$AH66)&amp;"",INDEX(nQ3_Mandatory_Text,$AH66)&amp;"",INDEX(nQ4_Mandatory_Text,$AH66)&amp;"",INDEX(nQ5_Mandatory_Text,$AH66)&amp;"",INDEX(nQ6_Mandatory_Text,$AH66)&amp;"",INDEX(nQ7_Mandatory_Text,$AH66)&amp;"",INDEX(nQ8_Mandatory_Text,$AH66)&amp;"",INDEX(nQ9_Mandatory_Text,$AH66)&amp;"",INDEX(nQ10_Mandatory_Text,$AH66)&amp;"",INDEX(nQ11_Mandatory_Text,$AH66)&amp;""))</f>
        <v/>
      </c>
      <c r="BL66" s="1" t="str">
        <f t="shared" si="33"/>
        <v/>
      </c>
      <c r="BM66" s="1" t="str">
        <f t="shared" si="34"/>
        <v/>
      </c>
    </row>
    <row r="67" spans="1:65" x14ac:dyDescent="0.2">
      <c r="A67" s="21" t="str">
        <f t="shared" si="0"/>
        <v/>
      </c>
      <c r="B67" s="21" t="str">
        <f t="shared" si="1"/>
        <v/>
      </c>
      <c r="C67" s="21" t="str">
        <f t="shared" si="2"/>
        <v/>
      </c>
      <c r="D67" s="21" t="str">
        <f t="shared" si="3"/>
        <v/>
      </c>
      <c r="E67" s="21" t="str">
        <f t="shared" si="4"/>
        <v/>
      </c>
      <c r="F67" s="21" t="str">
        <f t="shared" si="5"/>
        <v/>
      </c>
      <c r="G67" s="21" t="str">
        <f t="shared" si="6"/>
        <v/>
      </c>
      <c r="H67" s="21" t="str">
        <f t="shared" si="7"/>
        <v/>
      </c>
      <c r="I67" s="21" t="str">
        <f t="shared" si="8"/>
        <v/>
      </c>
      <c r="J67" s="21" t="str">
        <f t="shared" si="9"/>
        <v/>
      </c>
      <c r="K67" s="21" t="str">
        <f t="shared" si="10"/>
        <v/>
      </c>
      <c r="L67" s="21" t="str">
        <f t="shared" si="11"/>
        <v/>
      </c>
      <c r="M67" s="21" t="str">
        <f t="shared" si="12"/>
        <v/>
      </c>
      <c r="N67" s="21" t="str">
        <f t="shared" si="13"/>
        <v/>
      </c>
      <c r="O67" s="21" t="str">
        <f t="shared" si="14"/>
        <v/>
      </c>
      <c r="P67" s="21" t="str">
        <f t="shared" si="15"/>
        <v/>
      </c>
      <c r="Q67" s="21" t="str">
        <f t="shared" si="16"/>
        <v/>
      </c>
      <c r="R67" s="21" t="str">
        <f t="shared" si="17"/>
        <v/>
      </c>
      <c r="S67" s="21" t="str">
        <f t="shared" si="18"/>
        <v/>
      </c>
      <c r="T67" s="21" t="str">
        <f t="shared" si="19"/>
        <v/>
      </c>
      <c r="U67" s="21" t="str">
        <f t="shared" si="20"/>
        <v/>
      </c>
      <c r="V67" s="21" t="str">
        <f t="shared" si="21"/>
        <v/>
      </c>
      <c r="W67" s="21" t="str">
        <f t="shared" si="22"/>
        <v/>
      </c>
      <c r="X67" s="21" t="str">
        <f t="shared" si="23"/>
        <v/>
      </c>
      <c r="Y67" s="21" t="str">
        <f t="shared" si="24"/>
        <v/>
      </c>
      <c r="Z67" s="21" t="str">
        <f t="shared" si="25"/>
        <v/>
      </c>
      <c r="AA67" s="21" t="str">
        <f t="shared" si="26"/>
        <v/>
      </c>
      <c r="AB67" s="21" t="str">
        <f t="shared" si="27"/>
        <v/>
      </c>
      <c r="AC67" s="21" t="str">
        <f t="shared" si="28"/>
        <v/>
      </c>
      <c r="AD67" s="21" t="str">
        <f t="shared" si="29"/>
        <v/>
      </c>
      <c r="AE67" s="1">
        <f t="shared" si="30"/>
        <v>60</v>
      </c>
      <c r="AF67" s="1">
        <f t="shared" si="31"/>
        <v>0</v>
      </c>
      <c r="AG67" s="1">
        <f t="shared" si="32"/>
        <v>0</v>
      </c>
      <c r="AH67" s="1">
        <f>IF(AF67=0,0,CHOOSE(AF67,IFERROR(_xlfn.AGGREGATE(15,6,(ROW(nINT_CaseKey)-ROW(INDEX(nINT_CaseKey,1,1))+1)/((nINT_CaseKey=$H$4)*(nINT_RowEmpty=0)),AG67),0),IFERROR(_xlfn.AGGREGATE(15,6,(ROW(nQ1_CaseKey)-ROW(INDEX(nQ1_CaseKey,1,1))+1)/((nQ1_CaseKey=$H$4)),AG67),0),IFERROR(_xlfn.AGGREGATE(15,6,(ROW(nQ2_CaseKey)-ROW(INDEX(nQ2_CaseKey,1,1))+1)/((nQ2_CaseKey=$H$4)),AG67),0),IFERROR(_xlfn.AGGREGATE(15,6,(ROW(nQ3_CaseKey)-ROW(INDEX(nQ3_CaseKey,1,1))+1)/((nQ3_CaseKey=$H$4)),AG67),0),IFERROR(_xlfn.AGGREGATE(15,6,(ROW(nQ4_CaseKey)-ROW(INDEX(nQ4_CaseKey,1,1))+1)/((nQ4_CaseKey=$H$4)),AG67),0),IFERROR(_xlfn.AGGREGATE(15,6,(ROW(nQ5_CaseKey)-ROW(INDEX(nQ5_CaseKey,1,1))+1)/((nQ5_CaseKey=$H$4)),AG67),0),IFERROR(_xlfn.AGGREGATE(15,6,(ROW(nQ6_CaseKey)-ROW(INDEX(nQ6_CaseKey,1,1))+1)/((nQ6_CaseKey=$H$4)),AG67),0),IFERROR(_xlfn.AGGREGATE(15,6,(ROW(nQ7_CaseKey)-ROW(INDEX(nQ7_CaseKey,1,1))+1)/((nQ7_CaseKey=$H$4)),AG67),0),IFERROR(_xlfn.AGGREGATE(15,6,(ROW(nQ8_CaseKey)-ROW(INDEX(nQ8_CaseKey,1,1))+1)/((nQ8_CaseKey=$H$4)),AG67),0),IFERROR(_xlfn.AGGREGATE(15,6,(ROW(nQ9_CaseKey)-ROW(INDEX(nQ9_CaseKey,1,1))+1)/((nQ9_CaseKey=$H$4)),AG67),0),IFERROR(_xlfn.AGGREGATE(15,6,(ROW(nQ10_CaseKey)-ROW(INDEX(nQ10_CaseKey,1,1))+1)/((nQ10_CaseKey=$H$4)),AG67),0),IFERROR(_xlfn.AGGREGATE(15,6,(ROW(nQ11_CaseKey)-ROW(INDEX(nQ11_CaseKey,1,1))+1)/((nQ11_CaseKey=$H$4)),AG67),0)))</f>
        <v>0</v>
      </c>
      <c r="AJ67" s="1" t="str">
        <f>IF($AF67=0,"",CHOOSE($AF67,INDEX(nINT_Case_ID,$AH67)&amp;"",INDEX(nQ1_Case_ID,$AH67)&amp;"",INDEX(nQ2_Case_ID,$AH67)&amp;"",INDEX(nQ3_Case_ID,$AH67)&amp;"",INDEX(nQ4_Case_ID,$AH67)&amp;"",INDEX(nQ5_Case_ID,$AH67)&amp;"",INDEX(nQ6_Case_ID,$AH67)&amp;"",INDEX(nQ7_Case_ID,$AH67)&amp;"",INDEX(nQ8_Case_ID,$AH67)&amp;"",INDEX(nQ9_Case_ID,$AH67)&amp;"",INDEX(nQ10_Case_ID,$AH67)&amp;"",INDEX(nQ11_Case_ID,$AH67)&amp;""))</f>
        <v/>
      </c>
      <c r="AK67" s="1" t="str">
        <f>IF($AF67=0,"",CHOOSE($AF67,INDEX(nINT_Case_Version,$AH67),INDEX(nQ1_Case_Version,$AH67),INDEX(nQ2_Case_Version,$AH67),INDEX(nQ3_Case_Version,$AH67),INDEX(nQ4_Case_Version,$AH67),INDEX(nQ5_Case_Version,$AH67),INDEX(nQ6_Case_Version,$AH67),INDEX(nQ7_Case_Version,$AH67),INDEX(nQ8_Case_Version,$AH67),INDEX(nQ9_Case_Version,$AH67),INDEX(nQ10_Case_Version,$AH67),INDEX(nQ11_Case_Version,$AH67)))</f>
        <v/>
      </c>
      <c r="AL67" s="1" t="str">
        <f>IF($AF67=0,"",CHOOSE($AF67,INDEX(nINT_Interval_ID,$AH67)&amp;"",INDEX(nQ1_Calc_ID,$AH67)&amp;"",INDEX(nQ2_Calc_ID,$AH67)&amp;"",INDEX(nQ3_Calc_ID,$AH67)&amp;"",INDEX(nQ4_Calc_ID,$AH67)&amp;"",INDEX(nQ5_Calc_ID,$AH67)&amp;"",INDEX(nQ6_Calc_ID,$AH67)&amp;"",INDEX(nQ7_Calc_ID,$AH67)&amp;"",INDEX(nQ8_Calc_ID,$AH67)&amp;"",INDEX(nQ9_Calc_ID,$AH67)&amp;"",INDEX(nQ10_Calc_ID,$AH67)&amp;"",INDEX(nQ11_Calc_ID,$AH67)&amp;""))</f>
        <v/>
      </c>
      <c r="AM67" s="1" t="str">
        <f>IF($AF67=0,"",CHOOSE($AF67,INDEX(nINT_Label,$AH67)&amp;"",INDEX(nQ1_Label_Out,$AH67)&amp;"",INDEX(nQ2_Label_Out,$AH67)&amp;"",INDEX(nQ3_Label_Out,$AH67)&amp;"",INDEX(nQ4_Label_Out,$AH67)&amp;"",INDEX(nQ5_Label_Out,$AH67)&amp;"",INDEX(nQ6_Label_Out,$AH67)&amp;"",INDEX(nQ7_Label_Out,$AH67)&amp;"",INDEX(nQ8_Label_Out,$AH67)&amp;"",INDEX(nQ9_Label_Out,$AH67)&amp;"",INDEX(nQ10_Label_Out,$AH67)&amp;"",INDEX(nQ11_Label_Out,$AH67)&amp;""))</f>
        <v/>
      </c>
      <c r="AN67" s="1" t="str">
        <f>IF($AF67=0,"",CHOOSE($AF67,IF(INDEX(nINT_LinkRow,$AH67)=0,"",INDEX(nINT_Link_ID,$AH67)&amp;""),"","","","","","","","","","",""))</f>
        <v/>
      </c>
      <c r="AO67" s="1" t="str">
        <f>IF($AF67=0,"",CHOOSE($AF67,INDEX(nINT_Exposure_Episode_ID,$AH67)&amp;"","","","","","","","","","","",""))</f>
        <v/>
      </c>
      <c r="AP67" s="1" t="str">
        <f>IF($AF67=0,"",CHOOSE($AF67,INDEX(nINT_Event_Episode_ID,$AH67)&amp;"","","","","","","","","","","",""))</f>
        <v/>
      </c>
      <c r="AQ67" s="1" t="str">
        <f>IF($AF67=0,"",CHOOSE($AF67,INDEX(nINT_End_Record_ID_Used,$AH67)&amp;"","","","","","","","","","","",""))</f>
        <v/>
      </c>
      <c r="AR67" s="1" t="str">
        <f>IF($AF67=0,"",CHOOSE($AF67,INDEX(nINT_Interval_Value,$AH67),"","","","","","","","","","",""))</f>
        <v/>
      </c>
      <c r="AS67" s="1" t="str">
        <f>IF($AF67=0,"",CHOOSE($AF67,INDEX(nINT_Interval_Minimum,$AH67),"","","","","","","","","","",""))</f>
        <v/>
      </c>
      <c r="AT67" s="1" t="str">
        <f>IF($AF67=0,"",CHOOSE($AF67,INDEX(nINT_Interval_Maximum,$AH67),"","","","","","","","","","",""))</f>
        <v/>
      </c>
      <c r="AU67" s="1" t="str">
        <f>IF($AF67=0,"",CHOOSE($AF67,INDEX(nINT_Unit,$AH67)&amp;"",INDEX(nQ1_Unit_Out,$AH67)&amp;"",INDEX(nQ2_Unit_Out,$AH67)&amp;"",INDEX(nQ3_Unit_Out,$AH67)&amp;"",INDEX(nQ4_Unit_Out,$AH67)&amp;"",INDEX(nQ5_Unit_Out,$AH67)&amp;"",INDEX(nQ6_Unit_Out,$AH67)&amp;"",INDEX(nQ7_Unit_Out,$AH67)&amp;"",INDEX(nQ8_Unit_Out,$AH67)&amp;"",INDEX(nQ9_Unit_Out,$AH67)&amp;"",INDEX(nQ10_Unit_Out,$AH67)&amp;"",INDEX(nQ11_Unit_Out,$AH67)&amp;""))</f>
        <v/>
      </c>
      <c r="AV67" s="1" t="str">
        <f>IF($AF67=0,"",CHOOSE($AF67,INDEX(nINT_Displayed_Value,$AH67)&amp;"",INDEX(nQ1_Displayed_Value,$AH67)&amp;"",INDEX(nQ2_Displayed_Value,$AH67)&amp;"",INDEX(nQ3_Displayed_Value,$AH67)&amp;"",INDEX(nQ4_Displayed_Value,$AH67)&amp;"",INDEX(nQ5_Displayed_Value,$AH67)&amp;"",INDEX(nQ6_Displayed_Value,$AH67)&amp;"",INDEX(nQ7_Displayed_Value,$AH67)&amp;"",INDEX(nQ8_Displayed_Value,$AH67)&amp;"",INDEX(nQ9_Displayed_Value,$AH67)&amp;"",INDEX(nQ10_Displayed_Value,$AH67)&amp;"",INDEX(nQ11_Displayed_Value,$AH67)&amp;""))</f>
        <v/>
      </c>
      <c r="AW67" s="1" t="str">
        <f>IF($AF67=0,"",CHOOSE($AF67,INDEX(nINT_Calculation_Mode_Used,$AH67)&amp;"","Q1","Q2","Q3","Q4","Q5","Q6","Q7","Q8","Q9","Q10","Q11"))</f>
        <v/>
      </c>
      <c r="AX67" s="1" t="str">
        <f>IF($AF67=0,"",CHOOSE($AF67,INDEX(nINT_Anchor_Type,$AH67)&amp;"","","","","","","","","","","",""))</f>
        <v/>
      </c>
      <c r="AY67" s="1" t="str">
        <f>IF($AF67=0,"",CHOOSE($AF67,IF(INDEX(nINT_K_Ok,$AH67)=1,INDEX(nINT_Anchor_Record_ID_Used,$AH67)&amp;"",""),"","","","","","","","","","",""))</f>
        <v/>
      </c>
      <c r="AZ67" s="1" t="str">
        <f>IF($AF67=0,"",CHOOSE($AF67,INDEX(nINT_Anchor_Description,$AH67)&amp;"","","","","","","","","","","",""))</f>
        <v/>
      </c>
      <c r="BA67" s="1" t="str">
        <f>IF($AF67=0,"",CHOOSE($AF67,INDEX(nINT_Sequence_Status,$AH67)&amp;"","","","","","","","","","","",""))</f>
        <v/>
      </c>
      <c r="BB67" s="1" t="str">
        <f>IF($AF67=0,"",CHOOSE($AF67,INDEX(nINT_Treatment_Day,$AH67),"","","","","","","","","","",""))</f>
        <v/>
      </c>
      <c r="BC67" s="1" t="str">
        <f>IF($AF67=0,"",CHOOSE($AF67,INDEX(nINT_Reported_Timing_Result,$AH67)&amp;"","","","","","","","","","","",""))</f>
        <v/>
      </c>
      <c r="BD67" s="1" t="str">
        <f>IF($AF67=0,"",CHOOSE($AF67,IF(INDEX(nINT_K_HasC,$AH67)=1,INDEX(nINT_Constraint_Source,$AH67)&amp;"",""),"","","","","","","","","","",""))</f>
        <v/>
      </c>
      <c r="BE67" s="1" t="str">
        <f>IF($AF67=0,"",CHOOSE($AF67,"",INDEX(nQ1_Results_Text,$AH67)&amp;"",INDEX(nQ2_Results_Text,$AH67)&amp;"",INDEX(nQ3_Results_Text,$AH67)&amp;"",INDEX(nQ4_Results_Text,$AH67)&amp;"",INDEX(nQ5_Results_Text,$AH67)&amp;"",INDEX(nQ6_Results_Text,$AH67)&amp;"",INDEX(nQ7_Results_Text,$AH67)&amp;"",INDEX(nQ8_Results_Text,$AH67)&amp;"",INDEX(nQ9_Results_Text,$AH67)&amp;"",INDEX(nQ10_Results_Text,$AH67)&amp;"",INDEX(nQ11_Results_Text,$AH67)&amp;""))</f>
        <v/>
      </c>
      <c r="BF67" s="1" t="str">
        <f>IF($AF67=0,"",CHOOSE($AF67,INDEX(nINT_Parameter_Set,$AH67)&amp;"",INDEX(nQ1_Parameter_Set,$AH67)&amp;"",INDEX(nQ2_Parameter_Set,$AH67)&amp;"",INDEX(nQ3_Parameter_Set,$AH67)&amp;"",INDEX(nQ4_Parameter_Set,$AH67)&amp;"",INDEX(nQ5_Parameter_Set,$AH67)&amp;"",INDEX(nQ6_Parameter_Set,$AH67)&amp;"",INDEX(nQ7_Parameter_Set,$AH67)&amp;"",INDEX(nQ8_Parameter_Set,$AH67)&amp;"",INDEX(nQ9_Parameter_Set,$AH67)&amp;"",INDEX(nQ10_Parameter_Set,$AH67)&amp;"",INDEX(nQ11_Parameter_Set,$AH67)&amp;""))</f>
        <v/>
      </c>
      <c r="BG67" s="1" t="str">
        <f>IF($AF67=0,"",CHOOSE($AF67,INDEX(nINT_Assumptions,$AH67)&amp;"",INDEX(nQ1_Assumptions,$AH67)&amp;"",INDEX(nQ2_Assumptions,$AH67)&amp;"",INDEX(nQ3_Assumptions,$AH67)&amp;"",INDEX(nQ4_Assumptions,$AH67)&amp;"",INDEX(nQ5_Assumptions,$AH67)&amp;"",INDEX(nQ6_Assumptions,$AH67)&amp;"",INDEX(nQ7_Assumptions,$AH67)&amp;"",INDEX(nQ8_Assumptions,$AH67)&amp;"",INDEX(nQ9_Assumptions,$AH67)&amp;"",INDEX(nQ10_Assumptions,$AH67)&amp;"",INDEX(nQ11_Assumptions,$AH67)&amp;""))</f>
        <v/>
      </c>
      <c r="BH67" s="1" t="str">
        <f>IF($AF67=0,"",CHOOSE($AF67,INDEX(nINT_Calculation_Version,$AH67)&amp;"",INDEX(nQ1_Calculation_Version,$AH67)&amp;"",INDEX(nQ2_Calculation_Version,$AH67)&amp;"",INDEX(nQ3_Calculation_Version,$AH67)&amp;"",INDEX(nQ4_Calculation_Version,$AH67)&amp;"",INDEX(nQ5_Calculation_Version,$AH67)&amp;"",INDEX(nQ6_Calculation_Version,$AH67)&amp;"",INDEX(nQ7_Calculation_Version,$AH67)&amp;"",INDEX(nQ8_Calculation_Version,$AH67)&amp;"",INDEX(nQ9_Calculation_Version,$AH67)&amp;"",INDEX(nQ10_Calculation_Version,$AH67)&amp;"",INDEX(nQ11_Calculation_Version,$AH67)&amp;""))</f>
        <v/>
      </c>
      <c r="BI67" s="1" t="str">
        <f>IF($AF67=0,"",CHOOSE($AF67,INDEX(nINT_QC_Flags,$AH67)&amp;"",INDEX(nQ1_QC_Flags,$AH67)&amp;"",INDEX(nQ2_QC_Flags,$AH67)&amp;"",INDEX(nQ3_QC_Flags,$AH67)&amp;"",INDEX(nQ4_QC_Flags,$AH67)&amp;"",INDEX(nQ5_QC_Flags,$AH67)&amp;"",INDEX(nQ6_QC_Flags,$AH67)&amp;"",INDEX(nQ7_QC_Flags,$AH67)&amp;"",INDEX(nQ8_QC_Flags,$AH67)&amp;"",INDEX(nQ9_QC_Flags,$AH67)&amp;"",INDEX(nQ10_QC_Flags,$AH67)&amp;"",INDEX(nQ11_QC_Flags,$AH67)&amp;""))</f>
        <v/>
      </c>
      <c r="BJ67" s="1" t="str">
        <f>IF($AF67=0,"",CHOOSE($AF67,INDEX(nINT_Messages,$AH67)&amp;"",INDEX(nQ1_Messages,$AH67)&amp;"",INDEX(nQ2_Messages,$AH67)&amp;"",INDEX(nQ3_Messages,$AH67)&amp;"",INDEX(nQ4_Messages,$AH67)&amp;"",INDEX(nQ5_Messages,$AH67)&amp;"",INDEX(nQ6_Messages,$AH67)&amp;"",INDEX(nQ7_Messages,$AH67)&amp;"",INDEX(nQ8_Messages,$AH67)&amp;"",INDEX(nQ9_Messages,$AH67)&amp;"",INDEX(nQ10_Messages,$AH67)&amp;"",INDEX(nQ11_Messages,$AH67)&amp;""))</f>
        <v/>
      </c>
      <c r="BK67" s="1" t="str">
        <f>IF($AF67=0,"",CHOOSE($AF67,INDEX(nINT_Limitations,$AH67)&amp;"",INDEX(nQ1_Mandatory_Text,$AH67)&amp;"",INDEX(nQ2_Mandatory_Text,$AH67)&amp;"",INDEX(nQ3_Mandatory_Text,$AH67)&amp;"",INDEX(nQ4_Mandatory_Text,$AH67)&amp;"",INDEX(nQ5_Mandatory_Text,$AH67)&amp;"",INDEX(nQ6_Mandatory_Text,$AH67)&amp;"",INDEX(nQ7_Mandatory_Text,$AH67)&amp;"",INDEX(nQ8_Mandatory_Text,$AH67)&amp;"",INDEX(nQ9_Mandatory_Text,$AH67)&amp;"",INDEX(nQ10_Mandatory_Text,$AH67)&amp;"",INDEX(nQ11_Mandatory_Text,$AH67)&amp;""))</f>
        <v/>
      </c>
      <c r="BL67" s="1" t="str">
        <f t="shared" si="33"/>
        <v/>
      </c>
      <c r="BM67" s="1" t="str">
        <f t="shared" si="34"/>
        <v/>
      </c>
    </row>
    <row r="68" spans="1:65" x14ac:dyDescent="0.2">
      <c r="A68" s="21" t="str">
        <f t="shared" si="0"/>
        <v/>
      </c>
      <c r="B68" s="21" t="str">
        <f t="shared" si="1"/>
        <v/>
      </c>
      <c r="C68" s="21" t="str">
        <f t="shared" si="2"/>
        <v/>
      </c>
      <c r="D68" s="21" t="str">
        <f t="shared" si="3"/>
        <v/>
      </c>
      <c r="E68" s="21" t="str">
        <f t="shared" si="4"/>
        <v/>
      </c>
      <c r="F68" s="21" t="str">
        <f t="shared" si="5"/>
        <v/>
      </c>
      <c r="G68" s="21" t="str">
        <f t="shared" si="6"/>
        <v/>
      </c>
      <c r="H68" s="21" t="str">
        <f t="shared" si="7"/>
        <v/>
      </c>
      <c r="I68" s="21" t="str">
        <f t="shared" si="8"/>
        <v/>
      </c>
      <c r="J68" s="21" t="str">
        <f t="shared" si="9"/>
        <v/>
      </c>
      <c r="K68" s="21" t="str">
        <f t="shared" si="10"/>
        <v/>
      </c>
      <c r="L68" s="21" t="str">
        <f t="shared" si="11"/>
        <v/>
      </c>
      <c r="M68" s="21" t="str">
        <f t="shared" si="12"/>
        <v/>
      </c>
      <c r="N68" s="21" t="str">
        <f t="shared" si="13"/>
        <v/>
      </c>
      <c r="O68" s="21" t="str">
        <f t="shared" si="14"/>
        <v/>
      </c>
      <c r="P68" s="21" t="str">
        <f t="shared" si="15"/>
        <v/>
      </c>
      <c r="Q68" s="21" t="str">
        <f t="shared" si="16"/>
        <v/>
      </c>
      <c r="R68" s="21" t="str">
        <f t="shared" si="17"/>
        <v/>
      </c>
      <c r="S68" s="21" t="str">
        <f t="shared" si="18"/>
        <v/>
      </c>
      <c r="T68" s="21" t="str">
        <f t="shared" si="19"/>
        <v/>
      </c>
      <c r="U68" s="21" t="str">
        <f t="shared" si="20"/>
        <v/>
      </c>
      <c r="V68" s="21" t="str">
        <f t="shared" si="21"/>
        <v/>
      </c>
      <c r="W68" s="21" t="str">
        <f t="shared" si="22"/>
        <v/>
      </c>
      <c r="X68" s="21" t="str">
        <f t="shared" si="23"/>
        <v/>
      </c>
      <c r="Y68" s="21" t="str">
        <f t="shared" si="24"/>
        <v/>
      </c>
      <c r="Z68" s="21" t="str">
        <f t="shared" si="25"/>
        <v/>
      </c>
      <c r="AA68" s="21" t="str">
        <f t="shared" si="26"/>
        <v/>
      </c>
      <c r="AB68" s="21" t="str">
        <f t="shared" si="27"/>
        <v/>
      </c>
      <c r="AC68" s="21" t="str">
        <f t="shared" si="28"/>
        <v/>
      </c>
      <c r="AD68" s="21" t="str">
        <f t="shared" si="29"/>
        <v/>
      </c>
      <c r="AE68" s="1">
        <f t="shared" si="30"/>
        <v>61</v>
      </c>
      <c r="AF68" s="1">
        <f t="shared" si="31"/>
        <v>0</v>
      </c>
      <c r="AG68" s="1">
        <f t="shared" si="32"/>
        <v>0</v>
      </c>
      <c r="AH68" s="1">
        <f>IF(AF68=0,0,CHOOSE(AF68,IFERROR(_xlfn.AGGREGATE(15,6,(ROW(nINT_CaseKey)-ROW(INDEX(nINT_CaseKey,1,1))+1)/((nINT_CaseKey=$H$4)*(nINT_RowEmpty=0)),AG68),0),IFERROR(_xlfn.AGGREGATE(15,6,(ROW(nQ1_CaseKey)-ROW(INDEX(nQ1_CaseKey,1,1))+1)/((nQ1_CaseKey=$H$4)),AG68),0),IFERROR(_xlfn.AGGREGATE(15,6,(ROW(nQ2_CaseKey)-ROW(INDEX(nQ2_CaseKey,1,1))+1)/((nQ2_CaseKey=$H$4)),AG68),0),IFERROR(_xlfn.AGGREGATE(15,6,(ROW(nQ3_CaseKey)-ROW(INDEX(nQ3_CaseKey,1,1))+1)/((nQ3_CaseKey=$H$4)),AG68),0),IFERROR(_xlfn.AGGREGATE(15,6,(ROW(nQ4_CaseKey)-ROW(INDEX(nQ4_CaseKey,1,1))+1)/((nQ4_CaseKey=$H$4)),AG68),0),IFERROR(_xlfn.AGGREGATE(15,6,(ROW(nQ5_CaseKey)-ROW(INDEX(nQ5_CaseKey,1,1))+1)/((nQ5_CaseKey=$H$4)),AG68),0),IFERROR(_xlfn.AGGREGATE(15,6,(ROW(nQ6_CaseKey)-ROW(INDEX(nQ6_CaseKey,1,1))+1)/((nQ6_CaseKey=$H$4)),AG68),0),IFERROR(_xlfn.AGGREGATE(15,6,(ROW(nQ7_CaseKey)-ROW(INDEX(nQ7_CaseKey,1,1))+1)/((nQ7_CaseKey=$H$4)),AG68),0),IFERROR(_xlfn.AGGREGATE(15,6,(ROW(nQ8_CaseKey)-ROW(INDEX(nQ8_CaseKey,1,1))+1)/((nQ8_CaseKey=$H$4)),AG68),0),IFERROR(_xlfn.AGGREGATE(15,6,(ROW(nQ9_CaseKey)-ROW(INDEX(nQ9_CaseKey,1,1))+1)/((nQ9_CaseKey=$H$4)),AG68),0),IFERROR(_xlfn.AGGREGATE(15,6,(ROW(nQ10_CaseKey)-ROW(INDEX(nQ10_CaseKey,1,1))+1)/((nQ10_CaseKey=$H$4)),AG68),0),IFERROR(_xlfn.AGGREGATE(15,6,(ROW(nQ11_CaseKey)-ROW(INDEX(nQ11_CaseKey,1,1))+1)/((nQ11_CaseKey=$H$4)),AG68),0)))</f>
        <v>0</v>
      </c>
      <c r="AJ68" s="1" t="str">
        <f>IF($AF68=0,"",CHOOSE($AF68,INDEX(nINT_Case_ID,$AH68)&amp;"",INDEX(nQ1_Case_ID,$AH68)&amp;"",INDEX(nQ2_Case_ID,$AH68)&amp;"",INDEX(nQ3_Case_ID,$AH68)&amp;"",INDEX(nQ4_Case_ID,$AH68)&amp;"",INDEX(nQ5_Case_ID,$AH68)&amp;"",INDEX(nQ6_Case_ID,$AH68)&amp;"",INDEX(nQ7_Case_ID,$AH68)&amp;"",INDEX(nQ8_Case_ID,$AH68)&amp;"",INDEX(nQ9_Case_ID,$AH68)&amp;"",INDEX(nQ10_Case_ID,$AH68)&amp;"",INDEX(nQ11_Case_ID,$AH68)&amp;""))</f>
        <v/>
      </c>
      <c r="AK68" s="1" t="str">
        <f>IF($AF68=0,"",CHOOSE($AF68,INDEX(nINT_Case_Version,$AH68),INDEX(nQ1_Case_Version,$AH68),INDEX(nQ2_Case_Version,$AH68),INDEX(nQ3_Case_Version,$AH68),INDEX(nQ4_Case_Version,$AH68),INDEX(nQ5_Case_Version,$AH68),INDEX(nQ6_Case_Version,$AH68),INDEX(nQ7_Case_Version,$AH68),INDEX(nQ8_Case_Version,$AH68),INDEX(nQ9_Case_Version,$AH68),INDEX(nQ10_Case_Version,$AH68),INDEX(nQ11_Case_Version,$AH68)))</f>
        <v/>
      </c>
      <c r="AL68" s="1" t="str">
        <f>IF($AF68=0,"",CHOOSE($AF68,INDEX(nINT_Interval_ID,$AH68)&amp;"",INDEX(nQ1_Calc_ID,$AH68)&amp;"",INDEX(nQ2_Calc_ID,$AH68)&amp;"",INDEX(nQ3_Calc_ID,$AH68)&amp;"",INDEX(nQ4_Calc_ID,$AH68)&amp;"",INDEX(nQ5_Calc_ID,$AH68)&amp;"",INDEX(nQ6_Calc_ID,$AH68)&amp;"",INDEX(nQ7_Calc_ID,$AH68)&amp;"",INDEX(nQ8_Calc_ID,$AH68)&amp;"",INDEX(nQ9_Calc_ID,$AH68)&amp;"",INDEX(nQ10_Calc_ID,$AH68)&amp;"",INDEX(nQ11_Calc_ID,$AH68)&amp;""))</f>
        <v/>
      </c>
      <c r="AM68" s="1" t="str">
        <f>IF($AF68=0,"",CHOOSE($AF68,INDEX(nINT_Label,$AH68)&amp;"",INDEX(nQ1_Label_Out,$AH68)&amp;"",INDEX(nQ2_Label_Out,$AH68)&amp;"",INDEX(nQ3_Label_Out,$AH68)&amp;"",INDEX(nQ4_Label_Out,$AH68)&amp;"",INDEX(nQ5_Label_Out,$AH68)&amp;"",INDEX(nQ6_Label_Out,$AH68)&amp;"",INDEX(nQ7_Label_Out,$AH68)&amp;"",INDEX(nQ8_Label_Out,$AH68)&amp;"",INDEX(nQ9_Label_Out,$AH68)&amp;"",INDEX(nQ10_Label_Out,$AH68)&amp;"",INDEX(nQ11_Label_Out,$AH68)&amp;""))</f>
        <v/>
      </c>
      <c r="AN68" s="1" t="str">
        <f>IF($AF68=0,"",CHOOSE($AF68,IF(INDEX(nINT_LinkRow,$AH68)=0,"",INDEX(nINT_Link_ID,$AH68)&amp;""),"","","","","","","","","","",""))</f>
        <v/>
      </c>
      <c r="AO68" s="1" t="str">
        <f>IF($AF68=0,"",CHOOSE($AF68,INDEX(nINT_Exposure_Episode_ID,$AH68)&amp;"","","","","","","","","","","",""))</f>
        <v/>
      </c>
      <c r="AP68" s="1" t="str">
        <f>IF($AF68=0,"",CHOOSE($AF68,INDEX(nINT_Event_Episode_ID,$AH68)&amp;"","","","","","","","","","","",""))</f>
        <v/>
      </c>
      <c r="AQ68" s="1" t="str">
        <f>IF($AF68=0,"",CHOOSE($AF68,INDEX(nINT_End_Record_ID_Used,$AH68)&amp;"","","","","","","","","","","",""))</f>
        <v/>
      </c>
      <c r="AR68" s="1" t="str">
        <f>IF($AF68=0,"",CHOOSE($AF68,INDEX(nINT_Interval_Value,$AH68),"","","","","","","","","","",""))</f>
        <v/>
      </c>
      <c r="AS68" s="1" t="str">
        <f>IF($AF68=0,"",CHOOSE($AF68,INDEX(nINT_Interval_Minimum,$AH68),"","","","","","","","","","",""))</f>
        <v/>
      </c>
      <c r="AT68" s="1" t="str">
        <f>IF($AF68=0,"",CHOOSE($AF68,INDEX(nINT_Interval_Maximum,$AH68),"","","","","","","","","","",""))</f>
        <v/>
      </c>
      <c r="AU68" s="1" t="str">
        <f>IF($AF68=0,"",CHOOSE($AF68,INDEX(nINT_Unit,$AH68)&amp;"",INDEX(nQ1_Unit_Out,$AH68)&amp;"",INDEX(nQ2_Unit_Out,$AH68)&amp;"",INDEX(nQ3_Unit_Out,$AH68)&amp;"",INDEX(nQ4_Unit_Out,$AH68)&amp;"",INDEX(nQ5_Unit_Out,$AH68)&amp;"",INDEX(nQ6_Unit_Out,$AH68)&amp;"",INDEX(nQ7_Unit_Out,$AH68)&amp;"",INDEX(nQ8_Unit_Out,$AH68)&amp;"",INDEX(nQ9_Unit_Out,$AH68)&amp;"",INDEX(nQ10_Unit_Out,$AH68)&amp;"",INDEX(nQ11_Unit_Out,$AH68)&amp;""))</f>
        <v/>
      </c>
      <c r="AV68" s="1" t="str">
        <f>IF($AF68=0,"",CHOOSE($AF68,INDEX(nINT_Displayed_Value,$AH68)&amp;"",INDEX(nQ1_Displayed_Value,$AH68)&amp;"",INDEX(nQ2_Displayed_Value,$AH68)&amp;"",INDEX(nQ3_Displayed_Value,$AH68)&amp;"",INDEX(nQ4_Displayed_Value,$AH68)&amp;"",INDEX(nQ5_Displayed_Value,$AH68)&amp;"",INDEX(nQ6_Displayed_Value,$AH68)&amp;"",INDEX(nQ7_Displayed_Value,$AH68)&amp;"",INDEX(nQ8_Displayed_Value,$AH68)&amp;"",INDEX(nQ9_Displayed_Value,$AH68)&amp;"",INDEX(nQ10_Displayed_Value,$AH68)&amp;"",INDEX(nQ11_Displayed_Value,$AH68)&amp;""))</f>
        <v/>
      </c>
      <c r="AW68" s="1" t="str">
        <f>IF($AF68=0,"",CHOOSE($AF68,INDEX(nINT_Calculation_Mode_Used,$AH68)&amp;"","Q1","Q2","Q3","Q4","Q5","Q6","Q7","Q8","Q9","Q10","Q11"))</f>
        <v/>
      </c>
      <c r="AX68" s="1" t="str">
        <f>IF($AF68=0,"",CHOOSE($AF68,INDEX(nINT_Anchor_Type,$AH68)&amp;"","","","","","","","","","","",""))</f>
        <v/>
      </c>
      <c r="AY68" s="1" t="str">
        <f>IF($AF68=0,"",CHOOSE($AF68,IF(INDEX(nINT_K_Ok,$AH68)=1,INDEX(nINT_Anchor_Record_ID_Used,$AH68)&amp;"",""),"","","","","","","","","","",""))</f>
        <v/>
      </c>
      <c r="AZ68" s="1" t="str">
        <f>IF($AF68=0,"",CHOOSE($AF68,INDEX(nINT_Anchor_Description,$AH68)&amp;"","","","","","","","","","","",""))</f>
        <v/>
      </c>
      <c r="BA68" s="1" t="str">
        <f>IF($AF68=0,"",CHOOSE($AF68,INDEX(nINT_Sequence_Status,$AH68)&amp;"","","","","","","","","","","",""))</f>
        <v/>
      </c>
      <c r="BB68" s="1" t="str">
        <f>IF($AF68=0,"",CHOOSE($AF68,INDEX(nINT_Treatment_Day,$AH68),"","","","","","","","","","",""))</f>
        <v/>
      </c>
      <c r="BC68" s="1" t="str">
        <f>IF($AF68=0,"",CHOOSE($AF68,INDEX(nINT_Reported_Timing_Result,$AH68)&amp;"","","","","","","","","","","",""))</f>
        <v/>
      </c>
      <c r="BD68" s="1" t="str">
        <f>IF($AF68=0,"",CHOOSE($AF68,IF(INDEX(nINT_K_HasC,$AH68)=1,INDEX(nINT_Constraint_Source,$AH68)&amp;"",""),"","","","","","","","","","",""))</f>
        <v/>
      </c>
      <c r="BE68" s="1" t="str">
        <f>IF($AF68=0,"",CHOOSE($AF68,"",INDEX(nQ1_Results_Text,$AH68)&amp;"",INDEX(nQ2_Results_Text,$AH68)&amp;"",INDEX(nQ3_Results_Text,$AH68)&amp;"",INDEX(nQ4_Results_Text,$AH68)&amp;"",INDEX(nQ5_Results_Text,$AH68)&amp;"",INDEX(nQ6_Results_Text,$AH68)&amp;"",INDEX(nQ7_Results_Text,$AH68)&amp;"",INDEX(nQ8_Results_Text,$AH68)&amp;"",INDEX(nQ9_Results_Text,$AH68)&amp;"",INDEX(nQ10_Results_Text,$AH68)&amp;"",INDEX(nQ11_Results_Text,$AH68)&amp;""))</f>
        <v/>
      </c>
      <c r="BF68" s="1" t="str">
        <f>IF($AF68=0,"",CHOOSE($AF68,INDEX(nINT_Parameter_Set,$AH68)&amp;"",INDEX(nQ1_Parameter_Set,$AH68)&amp;"",INDEX(nQ2_Parameter_Set,$AH68)&amp;"",INDEX(nQ3_Parameter_Set,$AH68)&amp;"",INDEX(nQ4_Parameter_Set,$AH68)&amp;"",INDEX(nQ5_Parameter_Set,$AH68)&amp;"",INDEX(nQ6_Parameter_Set,$AH68)&amp;"",INDEX(nQ7_Parameter_Set,$AH68)&amp;"",INDEX(nQ8_Parameter_Set,$AH68)&amp;"",INDEX(nQ9_Parameter_Set,$AH68)&amp;"",INDEX(nQ10_Parameter_Set,$AH68)&amp;"",INDEX(nQ11_Parameter_Set,$AH68)&amp;""))</f>
        <v/>
      </c>
      <c r="BG68" s="1" t="str">
        <f>IF($AF68=0,"",CHOOSE($AF68,INDEX(nINT_Assumptions,$AH68)&amp;"",INDEX(nQ1_Assumptions,$AH68)&amp;"",INDEX(nQ2_Assumptions,$AH68)&amp;"",INDEX(nQ3_Assumptions,$AH68)&amp;"",INDEX(nQ4_Assumptions,$AH68)&amp;"",INDEX(nQ5_Assumptions,$AH68)&amp;"",INDEX(nQ6_Assumptions,$AH68)&amp;"",INDEX(nQ7_Assumptions,$AH68)&amp;"",INDEX(nQ8_Assumptions,$AH68)&amp;"",INDEX(nQ9_Assumptions,$AH68)&amp;"",INDEX(nQ10_Assumptions,$AH68)&amp;"",INDEX(nQ11_Assumptions,$AH68)&amp;""))</f>
        <v/>
      </c>
      <c r="BH68" s="1" t="str">
        <f>IF($AF68=0,"",CHOOSE($AF68,INDEX(nINT_Calculation_Version,$AH68)&amp;"",INDEX(nQ1_Calculation_Version,$AH68)&amp;"",INDEX(nQ2_Calculation_Version,$AH68)&amp;"",INDEX(nQ3_Calculation_Version,$AH68)&amp;"",INDEX(nQ4_Calculation_Version,$AH68)&amp;"",INDEX(nQ5_Calculation_Version,$AH68)&amp;"",INDEX(nQ6_Calculation_Version,$AH68)&amp;"",INDEX(nQ7_Calculation_Version,$AH68)&amp;"",INDEX(nQ8_Calculation_Version,$AH68)&amp;"",INDEX(nQ9_Calculation_Version,$AH68)&amp;"",INDEX(nQ10_Calculation_Version,$AH68)&amp;"",INDEX(nQ11_Calculation_Version,$AH68)&amp;""))</f>
        <v/>
      </c>
      <c r="BI68" s="1" t="str">
        <f>IF($AF68=0,"",CHOOSE($AF68,INDEX(nINT_QC_Flags,$AH68)&amp;"",INDEX(nQ1_QC_Flags,$AH68)&amp;"",INDEX(nQ2_QC_Flags,$AH68)&amp;"",INDEX(nQ3_QC_Flags,$AH68)&amp;"",INDEX(nQ4_QC_Flags,$AH68)&amp;"",INDEX(nQ5_QC_Flags,$AH68)&amp;"",INDEX(nQ6_QC_Flags,$AH68)&amp;"",INDEX(nQ7_QC_Flags,$AH68)&amp;"",INDEX(nQ8_QC_Flags,$AH68)&amp;"",INDEX(nQ9_QC_Flags,$AH68)&amp;"",INDEX(nQ10_QC_Flags,$AH68)&amp;"",INDEX(nQ11_QC_Flags,$AH68)&amp;""))</f>
        <v/>
      </c>
      <c r="BJ68" s="1" t="str">
        <f>IF($AF68=0,"",CHOOSE($AF68,INDEX(nINT_Messages,$AH68)&amp;"",INDEX(nQ1_Messages,$AH68)&amp;"",INDEX(nQ2_Messages,$AH68)&amp;"",INDEX(nQ3_Messages,$AH68)&amp;"",INDEX(nQ4_Messages,$AH68)&amp;"",INDEX(nQ5_Messages,$AH68)&amp;"",INDEX(nQ6_Messages,$AH68)&amp;"",INDEX(nQ7_Messages,$AH68)&amp;"",INDEX(nQ8_Messages,$AH68)&amp;"",INDEX(nQ9_Messages,$AH68)&amp;"",INDEX(nQ10_Messages,$AH68)&amp;"",INDEX(nQ11_Messages,$AH68)&amp;""))</f>
        <v/>
      </c>
      <c r="BK68" s="1" t="str">
        <f>IF($AF68=0,"",CHOOSE($AF68,INDEX(nINT_Limitations,$AH68)&amp;"",INDEX(nQ1_Mandatory_Text,$AH68)&amp;"",INDEX(nQ2_Mandatory_Text,$AH68)&amp;"",INDEX(nQ3_Mandatory_Text,$AH68)&amp;"",INDEX(nQ4_Mandatory_Text,$AH68)&amp;"",INDEX(nQ5_Mandatory_Text,$AH68)&amp;"",INDEX(nQ6_Mandatory_Text,$AH68)&amp;"",INDEX(nQ7_Mandatory_Text,$AH68)&amp;"",INDEX(nQ8_Mandatory_Text,$AH68)&amp;"",INDEX(nQ9_Mandatory_Text,$AH68)&amp;"",INDEX(nQ10_Mandatory_Text,$AH68)&amp;"",INDEX(nQ11_Mandatory_Text,$AH68)&amp;""))</f>
        <v/>
      </c>
      <c r="BL68" s="1" t="str">
        <f t="shared" si="33"/>
        <v/>
      </c>
      <c r="BM68" s="1" t="str">
        <f t="shared" si="34"/>
        <v/>
      </c>
    </row>
    <row r="69" spans="1:65" x14ac:dyDescent="0.2">
      <c r="A69" s="21" t="str">
        <f t="shared" si="0"/>
        <v/>
      </c>
      <c r="B69" s="21" t="str">
        <f t="shared" si="1"/>
        <v/>
      </c>
      <c r="C69" s="21" t="str">
        <f t="shared" si="2"/>
        <v/>
      </c>
      <c r="D69" s="21" t="str">
        <f t="shared" si="3"/>
        <v/>
      </c>
      <c r="E69" s="21" t="str">
        <f t="shared" si="4"/>
        <v/>
      </c>
      <c r="F69" s="21" t="str">
        <f t="shared" si="5"/>
        <v/>
      </c>
      <c r="G69" s="21" t="str">
        <f t="shared" si="6"/>
        <v/>
      </c>
      <c r="H69" s="21" t="str">
        <f t="shared" si="7"/>
        <v/>
      </c>
      <c r="I69" s="21" t="str">
        <f t="shared" si="8"/>
        <v/>
      </c>
      <c r="J69" s="21" t="str">
        <f t="shared" si="9"/>
        <v/>
      </c>
      <c r="K69" s="21" t="str">
        <f t="shared" si="10"/>
        <v/>
      </c>
      <c r="L69" s="21" t="str">
        <f t="shared" si="11"/>
        <v/>
      </c>
      <c r="M69" s="21" t="str">
        <f t="shared" si="12"/>
        <v/>
      </c>
      <c r="N69" s="21" t="str">
        <f t="shared" si="13"/>
        <v/>
      </c>
      <c r="O69" s="21" t="str">
        <f t="shared" si="14"/>
        <v/>
      </c>
      <c r="P69" s="21" t="str">
        <f t="shared" si="15"/>
        <v/>
      </c>
      <c r="Q69" s="21" t="str">
        <f t="shared" si="16"/>
        <v/>
      </c>
      <c r="R69" s="21" t="str">
        <f t="shared" si="17"/>
        <v/>
      </c>
      <c r="S69" s="21" t="str">
        <f t="shared" si="18"/>
        <v/>
      </c>
      <c r="T69" s="21" t="str">
        <f t="shared" si="19"/>
        <v/>
      </c>
      <c r="U69" s="21" t="str">
        <f t="shared" si="20"/>
        <v/>
      </c>
      <c r="V69" s="21" t="str">
        <f t="shared" si="21"/>
        <v/>
      </c>
      <c r="W69" s="21" t="str">
        <f t="shared" si="22"/>
        <v/>
      </c>
      <c r="X69" s="21" t="str">
        <f t="shared" si="23"/>
        <v/>
      </c>
      <c r="Y69" s="21" t="str">
        <f t="shared" si="24"/>
        <v/>
      </c>
      <c r="Z69" s="21" t="str">
        <f t="shared" si="25"/>
        <v/>
      </c>
      <c r="AA69" s="21" t="str">
        <f t="shared" si="26"/>
        <v/>
      </c>
      <c r="AB69" s="21" t="str">
        <f t="shared" si="27"/>
        <v/>
      </c>
      <c r="AC69" s="21" t="str">
        <f t="shared" si="28"/>
        <v/>
      </c>
      <c r="AD69" s="21" t="str">
        <f t="shared" si="29"/>
        <v/>
      </c>
      <c r="AE69" s="1">
        <f t="shared" si="30"/>
        <v>62</v>
      </c>
      <c r="AF69" s="1">
        <f t="shared" si="31"/>
        <v>0</v>
      </c>
      <c r="AG69" s="1">
        <f t="shared" si="32"/>
        <v>0</v>
      </c>
      <c r="AH69" s="1">
        <f>IF(AF69=0,0,CHOOSE(AF69,IFERROR(_xlfn.AGGREGATE(15,6,(ROW(nINT_CaseKey)-ROW(INDEX(nINT_CaseKey,1,1))+1)/((nINT_CaseKey=$H$4)*(nINT_RowEmpty=0)),AG69),0),IFERROR(_xlfn.AGGREGATE(15,6,(ROW(nQ1_CaseKey)-ROW(INDEX(nQ1_CaseKey,1,1))+1)/((nQ1_CaseKey=$H$4)),AG69),0),IFERROR(_xlfn.AGGREGATE(15,6,(ROW(nQ2_CaseKey)-ROW(INDEX(nQ2_CaseKey,1,1))+1)/((nQ2_CaseKey=$H$4)),AG69),0),IFERROR(_xlfn.AGGREGATE(15,6,(ROW(nQ3_CaseKey)-ROW(INDEX(nQ3_CaseKey,1,1))+1)/((nQ3_CaseKey=$H$4)),AG69),0),IFERROR(_xlfn.AGGREGATE(15,6,(ROW(nQ4_CaseKey)-ROW(INDEX(nQ4_CaseKey,1,1))+1)/((nQ4_CaseKey=$H$4)),AG69),0),IFERROR(_xlfn.AGGREGATE(15,6,(ROW(nQ5_CaseKey)-ROW(INDEX(nQ5_CaseKey,1,1))+1)/((nQ5_CaseKey=$H$4)),AG69),0),IFERROR(_xlfn.AGGREGATE(15,6,(ROW(nQ6_CaseKey)-ROW(INDEX(nQ6_CaseKey,1,1))+1)/((nQ6_CaseKey=$H$4)),AG69),0),IFERROR(_xlfn.AGGREGATE(15,6,(ROW(nQ7_CaseKey)-ROW(INDEX(nQ7_CaseKey,1,1))+1)/((nQ7_CaseKey=$H$4)),AG69),0),IFERROR(_xlfn.AGGREGATE(15,6,(ROW(nQ8_CaseKey)-ROW(INDEX(nQ8_CaseKey,1,1))+1)/((nQ8_CaseKey=$H$4)),AG69),0),IFERROR(_xlfn.AGGREGATE(15,6,(ROW(nQ9_CaseKey)-ROW(INDEX(nQ9_CaseKey,1,1))+1)/((nQ9_CaseKey=$H$4)),AG69),0),IFERROR(_xlfn.AGGREGATE(15,6,(ROW(nQ10_CaseKey)-ROW(INDEX(nQ10_CaseKey,1,1))+1)/((nQ10_CaseKey=$H$4)),AG69),0),IFERROR(_xlfn.AGGREGATE(15,6,(ROW(nQ11_CaseKey)-ROW(INDEX(nQ11_CaseKey,1,1))+1)/((nQ11_CaseKey=$H$4)),AG69),0)))</f>
        <v>0</v>
      </c>
      <c r="AJ69" s="1" t="str">
        <f>IF($AF69=0,"",CHOOSE($AF69,INDEX(nINT_Case_ID,$AH69)&amp;"",INDEX(nQ1_Case_ID,$AH69)&amp;"",INDEX(nQ2_Case_ID,$AH69)&amp;"",INDEX(nQ3_Case_ID,$AH69)&amp;"",INDEX(nQ4_Case_ID,$AH69)&amp;"",INDEX(nQ5_Case_ID,$AH69)&amp;"",INDEX(nQ6_Case_ID,$AH69)&amp;"",INDEX(nQ7_Case_ID,$AH69)&amp;"",INDEX(nQ8_Case_ID,$AH69)&amp;"",INDEX(nQ9_Case_ID,$AH69)&amp;"",INDEX(nQ10_Case_ID,$AH69)&amp;"",INDEX(nQ11_Case_ID,$AH69)&amp;""))</f>
        <v/>
      </c>
      <c r="AK69" s="1" t="str">
        <f>IF($AF69=0,"",CHOOSE($AF69,INDEX(nINT_Case_Version,$AH69),INDEX(nQ1_Case_Version,$AH69),INDEX(nQ2_Case_Version,$AH69),INDEX(nQ3_Case_Version,$AH69),INDEX(nQ4_Case_Version,$AH69),INDEX(nQ5_Case_Version,$AH69),INDEX(nQ6_Case_Version,$AH69),INDEX(nQ7_Case_Version,$AH69),INDEX(nQ8_Case_Version,$AH69),INDEX(nQ9_Case_Version,$AH69),INDEX(nQ10_Case_Version,$AH69),INDEX(nQ11_Case_Version,$AH69)))</f>
        <v/>
      </c>
      <c r="AL69" s="1" t="str">
        <f>IF($AF69=0,"",CHOOSE($AF69,INDEX(nINT_Interval_ID,$AH69)&amp;"",INDEX(nQ1_Calc_ID,$AH69)&amp;"",INDEX(nQ2_Calc_ID,$AH69)&amp;"",INDEX(nQ3_Calc_ID,$AH69)&amp;"",INDEX(nQ4_Calc_ID,$AH69)&amp;"",INDEX(nQ5_Calc_ID,$AH69)&amp;"",INDEX(nQ6_Calc_ID,$AH69)&amp;"",INDEX(nQ7_Calc_ID,$AH69)&amp;"",INDEX(nQ8_Calc_ID,$AH69)&amp;"",INDEX(nQ9_Calc_ID,$AH69)&amp;"",INDEX(nQ10_Calc_ID,$AH69)&amp;"",INDEX(nQ11_Calc_ID,$AH69)&amp;""))</f>
        <v/>
      </c>
      <c r="AM69" s="1" t="str">
        <f>IF($AF69=0,"",CHOOSE($AF69,INDEX(nINT_Label,$AH69)&amp;"",INDEX(nQ1_Label_Out,$AH69)&amp;"",INDEX(nQ2_Label_Out,$AH69)&amp;"",INDEX(nQ3_Label_Out,$AH69)&amp;"",INDEX(nQ4_Label_Out,$AH69)&amp;"",INDEX(nQ5_Label_Out,$AH69)&amp;"",INDEX(nQ6_Label_Out,$AH69)&amp;"",INDEX(nQ7_Label_Out,$AH69)&amp;"",INDEX(nQ8_Label_Out,$AH69)&amp;"",INDEX(nQ9_Label_Out,$AH69)&amp;"",INDEX(nQ10_Label_Out,$AH69)&amp;"",INDEX(nQ11_Label_Out,$AH69)&amp;""))</f>
        <v/>
      </c>
      <c r="AN69" s="1" t="str">
        <f>IF($AF69=0,"",CHOOSE($AF69,IF(INDEX(nINT_LinkRow,$AH69)=0,"",INDEX(nINT_Link_ID,$AH69)&amp;""),"","","","","","","","","","",""))</f>
        <v/>
      </c>
      <c r="AO69" s="1" t="str">
        <f>IF($AF69=0,"",CHOOSE($AF69,INDEX(nINT_Exposure_Episode_ID,$AH69)&amp;"","","","","","","","","","","",""))</f>
        <v/>
      </c>
      <c r="AP69" s="1" t="str">
        <f>IF($AF69=0,"",CHOOSE($AF69,INDEX(nINT_Event_Episode_ID,$AH69)&amp;"","","","","","","","","","","",""))</f>
        <v/>
      </c>
      <c r="AQ69" s="1" t="str">
        <f>IF($AF69=0,"",CHOOSE($AF69,INDEX(nINT_End_Record_ID_Used,$AH69)&amp;"","","","","","","","","","","",""))</f>
        <v/>
      </c>
      <c r="AR69" s="1" t="str">
        <f>IF($AF69=0,"",CHOOSE($AF69,INDEX(nINT_Interval_Value,$AH69),"","","","","","","","","","",""))</f>
        <v/>
      </c>
      <c r="AS69" s="1" t="str">
        <f>IF($AF69=0,"",CHOOSE($AF69,INDEX(nINT_Interval_Minimum,$AH69),"","","","","","","","","","",""))</f>
        <v/>
      </c>
      <c r="AT69" s="1" t="str">
        <f>IF($AF69=0,"",CHOOSE($AF69,INDEX(nINT_Interval_Maximum,$AH69),"","","","","","","","","","",""))</f>
        <v/>
      </c>
      <c r="AU69" s="1" t="str">
        <f>IF($AF69=0,"",CHOOSE($AF69,INDEX(nINT_Unit,$AH69)&amp;"",INDEX(nQ1_Unit_Out,$AH69)&amp;"",INDEX(nQ2_Unit_Out,$AH69)&amp;"",INDEX(nQ3_Unit_Out,$AH69)&amp;"",INDEX(nQ4_Unit_Out,$AH69)&amp;"",INDEX(nQ5_Unit_Out,$AH69)&amp;"",INDEX(nQ6_Unit_Out,$AH69)&amp;"",INDEX(nQ7_Unit_Out,$AH69)&amp;"",INDEX(nQ8_Unit_Out,$AH69)&amp;"",INDEX(nQ9_Unit_Out,$AH69)&amp;"",INDEX(nQ10_Unit_Out,$AH69)&amp;"",INDEX(nQ11_Unit_Out,$AH69)&amp;""))</f>
        <v/>
      </c>
      <c r="AV69" s="1" t="str">
        <f>IF($AF69=0,"",CHOOSE($AF69,INDEX(nINT_Displayed_Value,$AH69)&amp;"",INDEX(nQ1_Displayed_Value,$AH69)&amp;"",INDEX(nQ2_Displayed_Value,$AH69)&amp;"",INDEX(nQ3_Displayed_Value,$AH69)&amp;"",INDEX(nQ4_Displayed_Value,$AH69)&amp;"",INDEX(nQ5_Displayed_Value,$AH69)&amp;"",INDEX(nQ6_Displayed_Value,$AH69)&amp;"",INDEX(nQ7_Displayed_Value,$AH69)&amp;"",INDEX(nQ8_Displayed_Value,$AH69)&amp;"",INDEX(nQ9_Displayed_Value,$AH69)&amp;"",INDEX(nQ10_Displayed_Value,$AH69)&amp;"",INDEX(nQ11_Displayed_Value,$AH69)&amp;""))</f>
        <v/>
      </c>
      <c r="AW69" s="1" t="str">
        <f>IF($AF69=0,"",CHOOSE($AF69,INDEX(nINT_Calculation_Mode_Used,$AH69)&amp;"","Q1","Q2","Q3","Q4","Q5","Q6","Q7","Q8","Q9","Q10","Q11"))</f>
        <v/>
      </c>
      <c r="AX69" s="1" t="str">
        <f>IF($AF69=0,"",CHOOSE($AF69,INDEX(nINT_Anchor_Type,$AH69)&amp;"","","","","","","","","","","",""))</f>
        <v/>
      </c>
      <c r="AY69" s="1" t="str">
        <f>IF($AF69=0,"",CHOOSE($AF69,IF(INDEX(nINT_K_Ok,$AH69)=1,INDEX(nINT_Anchor_Record_ID_Used,$AH69)&amp;"",""),"","","","","","","","","","",""))</f>
        <v/>
      </c>
      <c r="AZ69" s="1" t="str">
        <f>IF($AF69=0,"",CHOOSE($AF69,INDEX(nINT_Anchor_Description,$AH69)&amp;"","","","","","","","","","","",""))</f>
        <v/>
      </c>
      <c r="BA69" s="1" t="str">
        <f>IF($AF69=0,"",CHOOSE($AF69,INDEX(nINT_Sequence_Status,$AH69)&amp;"","","","","","","","","","","",""))</f>
        <v/>
      </c>
      <c r="BB69" s="1" t="str">
        <f>IF($AF69=0,"",CHOOSE($AF69,INDEX(nINT_Treatment_Day,$AH69),"","","","","","","","","","",""))</f>
        <v/>
      </c>
      <c r="BC69" s="1" t="str">
        <f>IF($AF69=0,"",CHOOSE($AF69,INDEX(nINT_Reported_Timing_Result,$AH69)&amp;"","","","","","","","","","","",""))</f>
        <v/>
      </c>
      <c r="BD69" s="1" t="str">
        <f>IF($AF69=0,"",CHOOSE($AF69,IF(INDEX(nINT_K_HasC,$AH69)=1,INDEX(nINT_Constraint_Source,$AH69)&amp;"",""),"","","","","","","","","","",""))</f>
        <v/>
      </c>
      <c r="BE69" s="1" t="str">
        <f>IF($AF69=0,"",CHOOSE($AF69,"",INDEX(nQ1_Results_Text,$AH69)&amp;"",INDEX(nQ2_Results_Text,$AH69)&amp;"",INDEX(nQ3_Results_Text,$AH69)&amp;"",INDEX(nQ4_Results_Text,$AH69)&amp;"",INDEX(nQ5_Results_Text,$AH69)&amp;"",INDEX(nQ6_Results_Text,$AH69)&amp;"",INDEX(nQ7_Results_Text,$AH69)&amp;"",INDEX(nQ8_Results_Text,$AH69)&amp;"",INDEX(nQ9_Results_Text,$AH69)&amp;"",INDEX(nQ10_Results_Text,$AH69)&amp;"",INDEX(nQ11_Results_Text,$AH69)&amp;""))</f>
        <v/>
      </c>
      <c r="BF69" s="1" t="str">
        <f>IF($AF69=0,"",CHOOSE($AF69,INDEX(nINT_Parameter_Set,$AH69)&amp;"",INDEX(nQ1_Parameter_Set,$AH69)&amp;"",INDEX(nQ2_Parameter_Set,$AH69)&amp;"",INDEX(nQ3_Parameter_Set,$AH69)&amp;"",INDEX(nQ4_Parameter_Set,$AH69)&amp;"",INDEX(nQ5_Parameter_Set,$AH69)&amp;"",INDEX(nQ6_Parameter_Set,$AH69)&amp;"",INDEX(nQ7_Parameter_Set,$AH69)&amp;"",INDEX(nQ8_Parameter_Set,$AH69)&amp;"",INDEX(nQ9_Parameter_Set,$AH69)&amp;"",INDEX(nQ10_Parameter_Set,$AH69)&amp;"",INDEX(nQ11_Parameter_Set,$AH69)&amp;""))</f>
        <v/>
      </c>
      <c r="BG69" s="1" t="str">
        <f>IF($AF69=0,"",CHOOSE($AF69,INDEX(nINT_Assumptions,$AH69)&amp;"",INDEX(nQ1_Assumptions,$AH69)&amp;"",INDEX(nQ2_Assumptions,$AH69)&amp;"",INDEX(nQ3_Assumptions,$AH69)&amp;"",INDEX(nQ4_Assumptions,$AH69)&amp;"",INDEX(nQ5_Assumptions,$AH69)&amp;"",INDEX(nQ6_Assumptions,$AH69)&amp;"",INDEX(nQ7_Assumptions,$AH69)&amp;"",INDEX(nQ8_Assumptions,$AH69)&amp;"",INDEX(nQ9_Assumptions,$AH69)&amp;"",INDEX(nQ10_Assumptions,$AH69)&amp;"",INDEX(nQ11_Assumptions,$AH69)&amp;""))</f>
        <v/>
      </c>
      <c r="BH69" s="1" t="str">
        <f>IF($AF69=0,"",CHOOSE($AF69,INDEX(nINT_Calculation_Version,$AH69)&amp;"",INDEX(nQ1_Calculation_Version,$AH69)&amp;"",INDEX(nQ2_Calculation_Version,$AH69)&amp;"",INDEX(nQ3_Calculation_Version,$AH69)&amp;"",INDEX(nQ4_Calculation_Version,$AH69)&amp;"",INDEX(nQ5_Calculation_Version,$AH69)&amp;"",INDEX(nQ6_Calculation_Version,$AH69)&amp;"",INDEX(nQ7_Calculation_Version,$AH69)&amp;"",INDEX(nQ8_Calculation_Version,$AH69)&amp;"",INDEX(nQ9_Calculation_Version,$AH69)&amp;"",INDEX(nQ10_Calculation_Version,$AH69)&amp;"",INDEX(nQ11_Calculation_Version,$AH69)&amp;""))</f>
        <v/>
      </c>
      <c r="BI69" s="1" t="str">
        <f>IF($AF69=0,"",CHOOSE($AF69,INDEX(nINT_QC_Flags,$AH69)&amp;"",INDEX(nQ1_QC_Flags,$AH69)&amp;"",INDEX(nQ2_QC_Flags,$AH69)&amp;"",INDEX(nQ3_QC_Flags,$AH69)&amp;"",INDEX(nQ4_QC_Flags,$AH69)&amp;"",INDEX(nQ5_QC_Flags,$AH69)&amp;"",INDEX(nQ6_QC_Flags,$AH69)&amp;"",INDEX(nQ7_QC_Flags,$AH69)&amp;"",INDEX(nQ8_QC_Flags,$AH69)&amp;"",INDEX(nQ9_QC_Flags,$AH69)&amp;"",INDEX(nQ10_QC_Flags,$AH69)&amp;"",INDEX(nQ11_QC_Flags,$AH69)&amp;""))</f>
        <v/>
      </c>
      <c r="BJ69" s="1" t="str">
        <f>IF($AF69=0,"",CHOOSE($AF69,INDEX(nINT_Messages,$AH69)&amp;"",INDEX(nQ1_Messages,$AH69)&amp;"",INDEX(nQ2_Messages,$AH69)&amp;"",INDEX(nQ3_Messages,$AH69)&amp;"",INDEX(nQ4_Messages,$AH69)&amp;"",INDEX(nQ5_Messages,$AH69)&amp;"",INDEX(nQ6_Messages,$AH69)&amp;"",INDEX(nQ7_Messages,$AH69)&amp;"",INDEX(nQ8_Messages,$AH69)&amp;"",INDEX(nQ9_Messages,$AH69)&amp;"",INDEX(nQ10_Messages,$AH69)&amp;"",INDEX(nQ11_Messages,$AH69)&amp;""))</f>
        <v/>
      </c>
      <c r="BK69" s="1" t="str">
        <f>IF($AF69=0,"",CHOOSE($AF69,INDEX(nINT_Limitations,$AH69)&amp;"",INDEX(nQ1_Mandatory_Text,$AH69)&amp;"",INDEX(nQ2_Mandatory_Text,$AH69)&amp;"",INDEX(nQ3_Mandatory_Text,$AH69)&amp;"",INDEX(nQ4_Mandatory_Text,$AH69)&amp;"",INDEX(nQ5_Mandatory_Text,$AH69)&amp;"",INDEX(nQ6_Mandatory_Text,$AH69)&amp;"",INDEX(nQ7_Mandatory_Text,$AH69)&amp;"",INDEX(nQ8_Mandatory_Text,$AH69)&amp;"",INDEX(nQ9_Mandatory_Text,$AH69)&amp;"",INDEX(nQ10_Mandatory_Text,$AH69)&amp;"",INDEX(nQ11_Mandatory_Text,$AH69)&amp;""))</f>
        <v/>
      </c>
      <c r="BL69" s="1" t="str">
        <f t="shared" si="33"/>
        <v/>
      </c>
      <c r="BM69" s="1" t="str">
        <f t="shared" si="34"/>
        <v/>
      </c>
    </row>
    <row r="70" spans="1:65" x14ac:dyDescent="0.2">
      <c r="A70" s="21" t="str">
        <f t="shared" si="0"/>
        <v/>
      </c>
      <c r="B70" s="21" t="str">
        <f t="shared" si="1"/>
        <v/>
      </c>
      <c r="C70" s="21" t="str">
        <f t="shared" si="2"/>
        <v/>
      </c>
      <c r="D70" s="21" t="str">
        <f t="shared" si="3"/>
        <v/>
      </c>
      <c r="E70" s="21" t="str">
        <f t="shared" si="4"/>
        <v/>
      </c>
      <c r="F70" s="21" t="str">
        <f t="shared" si="5"/>
        <v/>
      </c>
      <c r="G70" s="21" t="str">
        <f t="shared" si="6"/>
        <v/>
      </c>
      <c r="H70" s="21" t="str">
        <f t="shared" si="7"/>
        <v/>
      </c>
      <c r="I70" s="21" t="str">
        <f t="shared" si="8"/>
        <v/>
      </c>
      <c r="J70" s="21" t="str">
        <f t="shared" si="9"/>
        <v/>
      </c>
      <c r="K70" s="21" t="str">
        <f t="shared" si="10"/>
        <v/>
      </c>
      <c r="L70" s="21" t="str">
        <f t="shared" si="11"/>
        <v/>
      </c>
      <c r="M70" s="21" t="str">
        <f t="shared" si="12"/>
        <v/>
      </c>
      <c r="N70" s="21" t="str">
        <f t="shared" si="13"/>
        <v/>
      </c>
      <c r="O70" s="21" t="str">
        <f t="shared" si="14"/>
        <v/>
      </c>
      <c r="P70" s="21" t="str">
        <f t="shared" si="15"/>
        <v/>
      </c>
      <c r="Q70" s="21" t="str">
        <f t="shared" si="16"/>
        <v/>
      </c>
      <c r="R70" s="21" t="str">
        <f t="shared" si="17"/>
        <v/>
      </c>
      <c r="S70" s="21" t="str">
        <f t="shared" si="18"/>
        <v/>
      </c>
      <c r="T70" s="21" t="str">
        <f t="shared" si="19"/>
        <v/>
      </c>
      <c r="U70" s="21" t="str">
        <f t="shared" si="20"/>
        <v/>
      </c>
      <c r="V70" s="21" t="str">
        <f t="shared" si="21"/>
        <v/>
      </c>
      <c r="W70" s="21" t="str">
        <f t="shared" si="22"/>
        <v/>
      </c>
      <c r="X70" s="21" t="str">
        <f t="shared" si="23"/>
        <v/>
      </c>
      <c r="Y70" s="21" t="str">
        <f t="shared" si="24"/>
        <v/>
      </c>
      <c r="Z70" s="21" t="str">
        <f t="shared" si="25"/>
        <v/>
      </c>
      <c r="AA70" s="21" t="str">
        <f t="shared" si="26"/>
        <v/>
      </c>
      <c r="AB70" s="21" t="str">
        <f t="shared" si="27"/>
        <v/>
      </c>
      <c r="AC70" s="21" t="str">
        <f t="shared" si="28"/>
        <v/>
      </c>
      <c r="AD70" s="21" t="str">
        <f t="shared" si="29"/>
        <v/>
      </c>
      <c r="AE70" s="1">
        <f t="shared" si="30"/>
        <v>63</v>
      </c>
      <c r="AF70" s="1">
        <f t="shared" si="31"/>
        <v>0</v>
      </c>
      <c r="AG70" s="1">
        <f t="shared" si="32"/>
        <v>0</v>
      </c>
      <c r="AH70" s="1">
        <f>IF(AF70=0,0,CHOOSE(AF70,IFERROR(_xlfn.AGGREGATE(15,6,(ROW(nINT_CaseKey)-ROW(INDEX(nINT_CaseKey,1,1))+1)/((nINT_CaseKey=$H$4)*(nINT_RowEmpty=0)),AG70),0),IFERROR(_xlfn.AGGREGATE(15,6,(ROW(nQ1_CaseKey)-ROW(INDEX(nQ1_CaseKey,1,1))+1)/((nQ1_CaseKey=$H$4)),AG70),0),IFERROR(_xlfn.AGGREGATE(15,6,(ROW(nQ2_CaseKey)-ROW(INDEX(nQ2_CaseKey,1,1))+1)/((nQ2_CaseKey=$H$4)),AG70),0),IFERROR(_xlfn.AGGREGATE(15,6,(ROW(nQ3_CaseKey)-ROW(INDEX(nQ3_CaseKey,1,1))+1)/((nQ3_CaseKey=$H$4)),AG70),0),IFERROR(_xlfn.AGGREGATE(15,6,(ROW(nQ4_CaseKey)-ROW(INDEX(nQ4_CaseKey,1,1))+1)/((nQ4_CaseKey=$H$4)),AG70),0),IFERROR(_xlfn.AGGREGATE(15,6,(ROW(nQ5_CaseKey)-ROW(INDEX(nQ5_CaseKey,1,1))+1)/((nQ5_CaseKey=$H$4)),AG70),0),IFERROR(_xlfn.AGGREGATE(15,6,(ROW(nQ6_CaseKey)-ROW(INDEX(nQ6_CaseKey,1,1))+1)/((nQ6_CaseKey=$H$4)),AG70),0),IFERROR(_xlfn.AGGREGATE(15,6,(ROW(nQ7_CaseKey)-ROW(INDEX(nQ7_CaseKey,1,1))+1)/((nQ7_CaseKey=$H$4)),AG70),0),IFERROR(_xlfn.AGGREGATE(15,6,(ROW(nQ8_CaseKey)-ROW(INDEX(nQ8_CaseKey,1,1))+1)/((nQ8_CaseKey=$H$4)),AG70),0),IFERROR(_xlfn.AGGREGATE(15,6,(ROW(nQ9_CaseKey)-ROW(INDEX(nQ9_CaseKey,1,1))+1)/((nQ9_CaseKey=$H$4)),AG70),0),IFERROR(_xlfn.AGGREGATE(15,6,(ROW(nQ10_CaseKey)-ROW(INDEX(nQ10_CaseKey,1,1))+1)/((nQ10_CaseKey=$H$4)),AG70),0),IFERROR(_xlfn.AGGREGATE(15,6,(ROW(nQ11_CaseKey)-ROW(INDEX(nQ11_CaseKey,1,1))+1)/((nQ11_CaseKey=$H$4)),AG70),0)))</f>
        <v>0</v>
      </c>
      <c r="AJ70" s="1" t="str">
        <f>IF($AF70=0,"",CHOOSE($AF70,INDEX(nINT_Case_ID,$AH70)&amp;"",INDEX(nQ1_Case_ID,$AH70)&amp;"",INDEX(nQ2_Case_ID,$AH70)&amp;"",INDEX(nQ3_Case_ID,$AH70)&amp;"",INDEX(nQ4_Case_ID,$AH70)&amp;"",INDEX(nQ5_Case_ID,$AH70)&amp;"",INDEX(nQ6_Case_ID,$AH70)&amp;"",INDEX(nQ7_Case_ID,$AH70)&amp;"",INDEX(nQ8_Case_ID,$AH70)&amp;"",INDEX(nQ9_Case_ID,$AH70)&amp;"",INDEX(nQ10_Case_ID,$AH70)&amp;"",INDEX(nQ11_Case_ID,$AH70)&amp;""))</f>
        <v/>
      </c>
      <c r="AK70" s="1" t="str">
        <f>IF($AF70=0,"",CHOOSE($AF70,INDEX(nINT_Case_Version,$AH70),INDEX(nQ1_Case_Version,$AH70),INDEX(nQ2_Case_Version,$AH70),INDEX(nQ3_Case_Version,$AH70),INDEX(nQ4_Case_Version,$AH70),INDEX(nQ5_Case_Version,$AH70),INDEX(nQ6_Case_Version,$AH70),INDEX(nQ7_Case_Version,$AH70),INDEX(nQ8_Case_Version,$AH70),INDEX(nQ9_Case_Version,$AH70),INDEX(nQ10_Case_Version,$AH70),INDEX(nQ11_Case_Version,$AH70)))</f>
        <v/>
      </c>
      <c r="AL70" s="1" t="str">
        <f>IF($AF70=0,"",CHOOSE($AF70,INDEX(nINT_Interval_ID,$AH70)&amp;"",INDEX(nQ1_Calc_ID,$AH70)&amp;"",INDEX(nQ2_Calc_ID,$AH70)&amp;"",INDEX(nQ3_Calc_ID,$AH70)&amp;"",INDEX(nQ4_Calc_ID,$AH70)&amp;"",INDEX(nQ5_Calc_ID,$AH70)&amp;"",INDEX(nQ6_Calc_ID,$AH70)&amp;"",INDEX(nQ7_Calc_ID,$AH70)&amp;"",INDEX(nQ8_Calc_ID,$AH70)&amp;"",INDEX(nQ9_Calc_ID,$AH70)&amp;"",INDEX(nQ10_Calc_ID,$AH70)&amp;"",INDEX(nQ11_Calc_ID,$AH70)&amp;""))</f>
        <v/>
      </c>
      <c r="AM70" s="1" t="str">
        <f>IF($AF70=0,"",CHOOSE($AF70,INDEX(nINT_Label,$AH70)&amp;"",INDEX(nQ1_Label_Out,$AH70)&amp;"",INDEX(nQ2_Label_Out,$AH70)&amp;"",INDEX(nQ3_Label_Out,$AH70)&amp;"",INDEX(nQ4_Label_Out,$AH70)&amp;"",INDEX(nQ5_Label_Out,$AH70)&amp;"",INDEX(nQ6_Label_Out,$AH70)&amp;"",INDEX(nQ7_Label_Out,$AH70)&amp;"",INDEX(nQ8_Label_Out,$AH70)&amp;"",INDEX(nQ9_Label_Out,$AH70)&amp;"",INDEX(nQ10_Label_Out,$AH70)&amp;"",INDEX(nQ11_Label_Out,$AH70)&amp;""))</f>
        <v/>
      </c>
      <c r="AN70" s="1" t="str">
        <f>IF($AF70=0,"",CHOOSE($AF70,IF(INDEX(nINT_LinkRow,$AH70)=0,"",INDEX(nINT_Link_ID,$AH70)&amp;""),"","","","","","","","","","",""))</f>
        <v/>
      </c>
      <c r="AO70" s="1" t="str">
        <f>IF($AF70=0,"",CHOOSE($AF70,INDEX(nINT_Exposure_Episode_ID,$AH70)&amp;"","","","","","","","","","","",""))</f>
        <v/>
      </c>
      <c r="AP70" s="1" t="str">
        <f>IF($AF70=0,"",CHOOSE($AF70,INDEX(nINT_Event_Episode_ID,$AH70)&amp;"","","","","","","","","","","",""))</f>
        <v/>
      </c>
      <c r="AQ70" s="1" t="str">
        <f>IF($AF70=0,"",CHOOSE($AF70,INDEX(nINT_End_Record_ID_Used,$AH70)&amp;"","","","","","","","","","","",""))</f>
        <v/>
      </c>
      <c r="AR70" s="1" t="str">
        <f>IF($AF70=0,"",CHOOSE($AF70,INDEX(nINT_Interval_Value,$AH70),"","","","","","","","","","",""))</f>
        <v/>
      </c>
      <c r="AS70" s="1" t="str">
        <f>IF($AF70=0,"",CHOOSE($AF70,INDEX(nINT_Interval_Minimum,$AH70),"","","","","","","","","","",""))</f>
        <v/>
      </c>
      <c r="AT70" s="1" t="str">
        <f>IF($AF70=0,"",CHOOSE($AF70,INDEX(nINT_Interval_Maximum,$AH70),"","","","","","","","","","",""))</f>
        <v/>
      </c>
      <c r="AU70" s="1" t="str">
        <f>IF($AF70=0,"",CHOOSE($AF70,INDEX(nINT_Unit,$AH70)&amp;"",INDEX(nQ1_Unit_Out,$AH70)&amp;"",INDEX(nQ2_Unit_Out,$AH70)&amp;"",INDEX(nQ3_Unit_Out,$AH70)&amp;"",INDEX(nQ4_Unit_Out,$AH70)&amp;"",INDEX(nQ5_Unit_Out,$AH70)&amp;"",INDEX(nQ6_Unit_Out,$AH70)&amp;"",INDEX(nQ7_Unit_Out,$AH70)&amp;"",INDEX(nQ8_Unit_Out,$AH70)&amp;"",INDEX(nQ9_Unit_Out,$AH70)&amp;"",INDEX(nQ10_Unit_Out,$AH70)&amp;"",INDEX(nQ11_Unit_Out,$AH70)&amp;""))</f>
        <v/>
      </c>
      <c r="AV70" s="1" t="str">
        <f>IF($AF70=0,"",CHOOSE($AF70,INDEX(nINT_Displayed_Value,$AH70)&amp;"",INDEX(nQ1_Displayed_Value,$AH70)&amp;"",INDEX(nQ2_Displayed_Value,$AH70)&amp;"",INDEX(nQ3_Displayed_Value,$AH70)&amp;"",INDEX(nQ4_Displayed_Value,$AH70)&amp;"",INDEX(nQ5_Displayed_Value,$AH70)&amp;"",INDEX(nQ6_Displayed_Value,$AH70)&amp;"",INDEX(nQ7_Displayed_Value,$AH70)&amp;"",INDEX(nQ8_Displayed_Value,$AH70)&amp;"",INDEX(nQ9_Displayed_Value,$AH70)&amp;"",INDEX(nQ10_Displayed_Value,$AH70)&amp;"",INDEX(nQ11_Displayed_Value,$AH70)&amp;""))</f>
        <v/>
      </c>
      <c r="AW70" s="1" t="str">
        <f>IF($AF70=0,"",CHOOSE($AF70,INDEX(nINT_Calculation_Mode_Used,$AH70)&amp;"","Q1","Q2","Q3","Q4","Q5","Q6","Q7","Q8","Q9","Q10","Q11"))</f>
        <v/>
      </c>
      <c r="AX70" s="1" t="str">
        <f>IF($AF70=0,"",CHOOSE($AF70,INDEX(nINT_Anchor_Type,$AH70)&amp;"","","","","","","","","","","",""))</f>
        <v/>
      </c>
      <c r="AY70" s="1" t="str">
        <f>IF($AF70=0,"",CHOOSE($AF70,IF(INDEX(nINT_K_Ok,$AH70)=1,INDEX(nINT_Anchor_Record_ID_Used,$AH70)&amp;"",""),"","","","","","","","","","",""))</f>
        <v/>
      </c>
      <c r="AZ70" s="1" t="str">
        <f>IF($AF70=0,"",CHOOSE($AF70,INDEX(nINT_Anchor_Description,$AH70)&amp;"","","","","","","","","","","",""))</f>
        <v/>
      </c>
      <c r="BA70" s="1" t="str">
        <f>IF($AF70=0,"",CHOOSE($AF70,INDEX(nINT_Sequence_Status,$AH70)&amp;"","","","","","","","","","","",""))</f>
        <v/>
      </c>
      <c r="BB70" s="1" t="str">
        <f>IF($AF70=0,"",CHOOSE($AF70,INDEX(nINT_Treatment_Day,$AH70),"","","","","","","","","","",""))</f>
        <v/>
      </c>
      <c r="BC70" s="1" t="str">
        <f>IF($AF70=0,"",CHOOSE($AF70,INDEX(nINT_Reported_Timing_Result,$AH70)&amp;"","","","","","","","","","","",""))</f>
        <v/>
      </c>
      <c r="BD70" s="1" t="str">
        <f>IF($AF70=0,"",CHOOSE($AF70,IF(INDEX(nINT_K_HasC,$AH70)=1,INDEX(nINT_Constraint_Source,$AH70)&amp;"",""),"","","","","","","","","","",""))</f>
        <v/>
      </c>
      <c r="BE70" s="1" t="str">
        <f>IF($AF70=0,"",CHOOSE($AF70,"",INDEX(nQ1_Results_Text,$AH70)&amp;"",INDEX(nQ2_Results_Text,$AH70)&amp;"",INDEX(nQ3_Results_Text,$AH70)&amp;"",INDEX(nQ4_Results_Text,$AH70)&amp;"",INDEX(nQ5_Results_Text,$AH70)&amp;"",INDEX(nQ6_Results_Text,$AH70)&amp;"",INDEX(nQ7_Results_Text,$AH70)&amp;"",INDEX(nQ8_Results_Text,$AH70)&amp;"",INDEX(nQ9_Results_Text,$AH70)&amp;"",INDEX(nQ10_Results_Text,$AH70)&amp;"",INDEX(nQ11_Results_Text,$AH70)&amp;""))</f>
        <v/>
      </c>
      <c r="BF70" s="1" t="str">
        <f>IF($AF70=0,"",CHOOSE($AF70,INDEX(nINT_Parameter_Set,$AH70)&amp;"",INDEX(nQ1_Parameter_Set,$AH70)&amp;"",INDEX(nQ2_Parameter_Set,$AH70)&amp;"",INDEX(nQ3_Parameter_Set,$AH70)&amp;"",INDEX(nQ4_Parameter_Set,$AH70)&amp;"",INDEX(nQ5_Parameter_Set,$AH70)&amp;"",INDEX(nQ6_Parameter_Set,$AH70)&amp;"",INDEX(nQ7_Parameter_Set,$AH70)&amp;"",INDEX(nQ8_Parameter_Set,$AH70)&amp;"",INDEX(nQ9_Parameter_Set,$AH70)&amp;"",INDEX(nQ10_Parameter_Set,$AH70)&amp;"",INDEX(nQ11_Parameter_Set,$AH70)&amp;""))</f>
        <v/>
      </c>
      <c r="BG70" s="1" t="str">
        <f>IF($AF70=0,"",CHOOSE($AF70,INDEX(nINT_Assumptions,$AH70)&amp;"",INDEX(nQ1_Assumptions,$AH70)&amp;"",INDEX(nQ2_Assumptions,$AH70)&amp;"",INDEX(nQ3_Assumptions,$AH70)&amp;"",INDEX(nQ4_Assumptions,$AH70)&amp;"",INDEX(nQ5_Assumptions,$AH70)&amp;"",INDEX(nQ6_Assumptions,$AH70)&amp;"",INDEX(nQ7_Assumptions,$AH70)&amp;"",INDEX(nQ8_Assumptions,$AH70)&amp;"",INDEX(nQ9_Assumptions,$AH70)&amp;"",INDEX(nQ10_Assumptions,$AH70)&amp;"",INDEX(nQ11_Assumptions,$AH70)&amp;""))</f>
        <v/>
      </c>
      <c r="BH70" s="1" t="str">
        <f>IF($AF70=0,"",CHOOSE($AF70,INDEX(nINT_Calculation_Version,$AH70)&amp;"",INDEX(nQ1_Calculation_Version,$AH70)&amp;"",INDEX(nQ2_Calculation_Version,$AH70)&amp;"",INDEX(nQ3_Calculation_Version,$AH70)&amp;"",INDEX(nQ4_Calculation_Version,$AH70)&amp;"",INDEX(nQ5_Calculation_Version,$AH70)&amp;"",INDEX(nQ6_Calculation_Version,$AH70)&amp;"",INDEX(nQ7_Calculation_Version,$AH70)&amp;"",INDEX(nQ8_Calculation_Version,$AH70)&amp;"",INDEX(nQ9_Calculation_Version,$AH70)&amp;"",INDEX(nQ10_Calculation_Version,$AH70)&amp;"",INDEX(nQ11_Calculation_Version,$AH70)&amp;""))</f>
        <v/>
      </c>
      <c r="BI70" s="1" t="str">
        <f>IF($AF70=0,"",CHOOSE($AF70,INDEX(nINT_QC_Flags,$AH70)&amp;"",INDEX(nQ1_QC_Flags,$AH70)&amp;"",INDEX(nQ2_QC_Flags,$AH70)&amp;"",INDEX(nQ3_QC_Flags,$AH70)&amp;"",INDEX(nQ4_QC_Flags,$AH70)&amp;"",INDEX(nQ5_QC_Flags,$AH70)&amp;"",INDEX(nQ6_QC_Flags,$AH70)&amp;"",INDEX(nQ7_QC_Flags,$AH70)&amp;"",INDEX(nQ8_QC_Flags,$AH70)&amp;"",INDEX(nQ9_QC_Flags,$AH70)&amp;"",INDEX(nQ10_QC_Flags,$AH70)&amp;"",INDEX(nQ11_QC_Flags,$AH70)&amp;""))</f>
        <v/>
      </c>
      <c r="BJ70" s="1" t="str">
        <f>IF($AF70=0,"",CHOOSE($AF70,INDEX(nINT_Messages,$AH70)&amp;"",INDEX(nQ1_Messages,$AH70)&amp;"",INDEX(nQ2_Messages,$AH70)&amp;"",INDEX(nQ3_Messages,$AH70)&amp;"",INDEX(nQ4_Messages,$AH70)&amp;"",INDEX(nQ5_Messages,$AH70)&amp;"",INDEX(nQ6_Messages,$AH70)&amp;"",INDEX(nQ7_Messages,$AH70)&amp;"",INDEX(nQ8_Messages,$AH70)&amp;"",INDEX(nQ9_Messages,$AH70)&amp;"",INDEX(nQ10_Messages,$AH70)&amp;"",INDEX(nQ11_Messages,$AH70)&amp;""))</f>
        <v/>
      </c>
      <c r="BK70" s="1" t="str">
        <f>IF($AF70=0,"",CHOOSE($AF70,INDEX(nINT_Limitations,$AH70)&amp;"",INDEX(nQ1_Mandatory_Text,$AH70)&amp;"",INDEX(nQ2_Mandatory_Text,$AH70)&amp;"",INDEX(nQ3_Mandatory_Text,$AH70)&amp;"",INDEX(nQ4_Mandatory_Text,$AH70)&amp;"",INDEX(nQ5_Mandatory_Text,$AH70)&amp;"",INDEX(nQ6_Mandatory_Text,$AH70)&amp;"",INDEX(nQ7_Mandatory_Text,$AH70)&amp;"",INDEX(nQ8_Mandatory_Text,$AH70)&amp;"",INDEX(nQ9_Mandatory_Text,$AH70)&amp;"",INDEX(nQ10_Mandatory_Text,$AH70)&amp;"",INDEX(nQ11_Mandatory_Text,$AH70)&amp;""))</f>
        <v/>
      </c>
      <c r="BL70" s="1" t="str">
        <f t="shared" si="33"/>
        <v/>
      </c>
      <c r="BM70" s="1" t="str">
        <f t="shared" si="34"/>
        <v/>
      </c>
    </row>
    <row r="71" spans="1:65" x14ac:dyDescent="0.2">
      <c r="A71" s="21" t="str">
        <f t="shared" si="0"/>
        <v/>
      </c>
      <c r="B71" s="21" t="str">
        <f t="shared" si="1"/>
        <v/>
      </c>
      <c r="C71" s="21" t="str">
        <f t="shared" si="2"/>
        <v/>
      </c>
      <c r="D71" s="21" t="str">
        <f t="shared" si="3"/>
        <v/>
      </c>
      <c r="E71" s="21" t="str">
        <f t="shared" si="4"/>
        <v/>
      </c>
      <c r="F71" s="21" t="str">
        <f t="shared" si="5"/>
        <v/>
      </c>
      <c r="G71" s="21" t="str">
        <f t="shared" si="6"/>
        <v/>
      </c>
      <c r="H71" s="21" t="str">
        <f t="shared" si="7"/>
        <v/>
      </c>
      <c r="I71" s="21" t="str">
        <f t="shared" si="8"/>
        <v/>
      </c>
      <c r="J71" s="21" t="str">
        <f t="shared" si="9"/>
        <v/>
      </c>
      <c r="K71" s="21" t="str">
        <f t="shared" si="10"/>
        <v/>
      </c>
      <c r="L71" s="21" t="str">
        <f t="shared" si="11"/>
        <v/>
      </c>
      <c r="M71" s="21" t="str">
        <f t="shared" si="12"/>
        <v/>
      </c>
      <c r="N71" s="21" t="str">
        <f t="shared" si="13"/>
        <v/>
      </c>
      <c r="O71" s="21" t="str">
        <f t="shared" si="14"/>
        <v/>
      </c>
      <c r="P71" s="21" t="str">
        <f t="shared" si="15"/>
        <v/>
      </c>
      <c r="Q71" s="21" t="str">
        <f t="shared" si="16"/>
        <v/>
      </c>
      <c r="R71" s="21" t="str">
        <f t="shared" si="17"/>
        <v/>
      </c>
      <c r="S71" s="21" t="str">
        <f t="shared" si="18"/>
        <v/>
      </c>
      <c r="T71" s="21" t="str">
        <f t="shared" si="19"/>
        <v/>
      </c>
      <c r="U71" s="21" t="str">
        <f t="shared" si="20"/>
        <v/>
      </c>
      <c r="V71" s="21" t="str">
        <f t="shared" si="21"/>
        <v/>
      </c>
      <c r="W71" s="21" t="str">
        <f t="shared" si="22"/>
        <v/>
      </c>
      <c r="X71" s="21" t="str">
        <f t="shared" si="23"/>
        <v/>
      </c>
      <c r="Y71" s="21" t="str">
        <f t="shared" si="24"/>
        <v/>
      </c>
      <c r="Z71" s="21" t="str">
        <f t="shared" si="25"/>
        <v/>
      </c>
      <c r="AA71" s="21" t="str">
        <f t="shared" si="26"/>
        <v/>
      </c>
      <c r="AB71" s="21" t="str">
        <f t="shared" si="27"/>
        <v/>
      </c>
      <c r="AC71" s="21" t="str">
        <f t="shared" si="28"/>
        <v/>
      </c>
      <c r="AD71" s="21" t="str">
        <f t="shared" si="29"/>
        <v/>
      </c>
      <c r="AE71" s="1">
        <f t="shared" si="30"/>
        <v>64</v>
      </c>
      <c r="AF71" s="1">
        <f t="shared" si="31"/>
        <v>0</v>
      </c>
      <c r="AG71" s="1">
        <f t="shared" si="32"/>
        <v>0</v>
      </c>
      <c r="AH71" s="1">
        <f>IF(AF71=0,0,CHOOSE(AF71,IFERROR(_xlfn.AGGREGATE(15,6,(ROW(nINT_CaseKey)-ROW(INDEX(nINT_CaseKey,1,1))+1)/((nINT_CaseKey=$H$4)*(nINT_RowEmpty=0)),AG71),0),IFERROR(_xlfn.AGGREGATE(15,6,(ROW(nQ1_CaseKey)-ROW(INDEX(nQ1_CaseKey,1,1))+1)/((nQ1_CaseKey=$H$4)),AG71),0),IFERROR(_xlfn.AGGREGATE(15,6,(ROW(nQ2_CaseKey)-ROW(INDEX(nQ2_CaseKey,1,1))+1)/((nQ2_CaseKey=$H$4)),AG71),0),IFERROR(_xlfn.AGGREGATE(15,6,(ROW(nQ3_CaseKey)-ROW(INDEX(nQ3_CaseKey,1,1))+1)/((nQ3_CaseKey=$H$4)),AG71),0),IFERROR(_xlfn.AGGREGATE(15,6,(ROW(nQ4_CaseKey)-ROW(INDEX(nQ4_CaseKey,1,1))+1)/((nQ4_CaseKey=$H$4)),AG71),0),IFERROR(_xlfn.AGGREGATE(15,6,(ROW(nQ5_CaseKey)-ROW(INDEX(nQ5_CaseKey,1,1))+1)/((nQ5_CaseKey=$H$4)),AG71),0),IFERROR(_xlfn.AGGREGATE(15,6,(ROW(nQ6_CaseKey)-ROW(INDEX(nQ6_CaseKey,1,1))+1)/((nQ6_CaseKey=$H$4)),AG71),0),IFERROR(_xlfn.AGGREGATE(15,6,(ROW(nQ7_CaseKey)-ROW(INDEX(nQ7_CaseKey,1,1))+1)/((nQ7_CaseKey=$H$4)),AG71),0),IFERROR(_xlfn.AGGREGATE(15,6,(ROW(nQ8_CaseKey)-ROW(INDEX(nQ8_CaseKey,1,1))+1)/((nQ8_CaseKey=$H$4)),AG71),0),IFERROR(_xlfn.AGGREGATE(15,6,(ROW(nQ9_CaseKey)-ROW(INDEX(nQ9_CaseKey,1,1))+1)/((nQ9_CaseKey=$H$4)),AG71),0),IFERROR(_xlfn.AGGREGATE(15,6,(ROW(nQ10_CaseKey)-ROW(INDEX(nQ10_CaseKey,1,1))+1)/((nQ10_CaseKey=$H$4)),AG71),0),IFERROR(_xlfn.AGGREGATE(15,6,(ROW(nQ11_CaseKey)-ROW(INDEX(nQ11_CaseKey,1,1))+1)/((nQ11_CaseKey=$H$4)),AG71),0)))</f>
        <v>0</v>
      </c>
      <c r="AJ71" s="1" t="str">
        <f>IF($AF71=0,"",CHOOSE($AF71,INDEX(nINT_Case_ID,$AH71)&amp;"",INDEX(nQ1_Case_ID,$AH71)&amp;"",INDEX(nQ2_Case_ID,$AH71)&amp;"",INDEX(nQ3_Case_ID,$AH71)&amp;"",INDEX(nQ4_Case_ID,$AH71)&amp;"",INDEX(nQ5_Case_ID,$AH71)&amp;"",INDEX(nQ6_Case_ID,$AH71)&amp;"",INDEX(nQ7_Case_ID,$AH71)&amp;"",INDEX(nQ8_Case_ID,$AH71)&amp;"",INDEX(nQ9_Case_ID,$AH71)&amp;"",INDEX(nQ10_Case_ID,$AH71)&amp;"",INDEX(nQ11_Case_ID,$AH71)&amp;""))</f>
        <v/>
      </c>
      <c r="AK71" s="1" t="str">
        <f>IF($AF71=0,"",CHOOSE($AF71,INDEX(nINT_Case_Version,$AH71),INDEX(nQ1_Case_Version,$AH71),INDEX(nQ2_Case_Version,$AH71),INDEX(nQ3_Case_Version,$AH71),INDEX(nQ4_Case_Version,$AH71),INDEX(nQ5_Case_Version,$AH71),INDEX(nQ6_Case_Version,$AH71),INDEX(nQ7_Case_Version,$AH71),INDEX(nQ8_Case_Version,$AH71),INDEX(nQ9_Case_Version,$AH71),INDEX(nQ10_Case_Version,$AH71),INDEX(nQ11_Case_Version,$AH71)))</f>
        <v/>
      </c>
      <c r="AL71" s="1" t="str">
        <f>IF($AF71=0,"",CHOOSE($AF71,INDEX(nINT_Interval_ID,$AH71)&amp;"",INDEX(nQ1_Calc_ID,$AH71)&amp;"",INDEX(nQ2_Calc_ID,$AH71)&amp;"",INDEX(nQ3_Calc_ID,$AH71)&amp;"",INDEX(nQ4_Calc_ID,$AH71)&amp;"",INDEX(nQ5_Calc_ID,$AH71)&amp;"",INDEX(nQ6_Calc_ID,$AH71)&amp;"",INDEX(nQ7_Calc_ID,$AH71)&amp;"",INDEX(nQ8_Calc_ID,$AH71)&amp;"",INDEX(nQ9_Calc_ID,$AH71)&amp;"",INDEX(nQ10_Calc_ID,$AH71)&amp;"",INDEX(nQ11_Calc_ID,$AH71)&amp;""))</f>
        <v/>
      </c>
      <c r="AM71" s="1" t="str">
        <f>IF($AF71=0,"",CHOOSE($AF71,INDEX(nINT_Label,$AH71)&amp;"",INDEX(nQ1_Label_Out,$AH71)&amp;"",INDEX(nQ2_Label_Out,$AH71)&amp;"",INDEX(nQ3_Label_Out,$AH71)&amp;"",INDEX(nQ4_Label_Out,$AH71)&amp;"",INDEX(nQ5_Label_Out,$AH71)&amp;"",INDEX(nQ6_Label_Out,$AH71)&amp;"",INDEX(nQ7_Label_Out,$AH71)&amp;"",INDEX(nQ8_Label_Out,$AH71)&amp;"",INDEX(nQ9_Label_Out,$AH71)&amp;"",INDEX(nQ10_Label_Out,$AH71)&amp;"",INDEX(nQ11_Label_Out,$AH71)&amp;""))</f>
        <v/>
      </c>
      <c r="AN71" s="1" t="str">
        <f>IF($AF71=0,"",CHOOSE($AF71,IF(INDEX(nINT_LinkRow,$AH71)=0,"",INDEX(nINT_Link_ID,$AH71)&amp;""),"","","","","","","","","","",""))</f>
        <v/>
      </c>
      <c r="AO71" s="1" t="str">
        <f>IF($AF71=0,"",CHOOSE($AF71,INDEX(nINT_Exposure_Episode_ID,$AH71)&amp;"","","","","","","","","","","",""))</f>
        <v/>
      </c>
      <c r="AP71" s="1" t="str">
        <f>IF($AF71=0,"",CHOOSE($AF71,INDEX(nINT_Event_Episode_ID,$AH71)&amp;"","","","","","","","","","","",""))</f>
        <v/>
      </c>
      <c r="AQ71" s="1" t="str">
        <f>IF($AF71=0,"",CHOOSE($AF71,INDEX(nINT_End_Record_ID_Used,$AH71)&amp;"","","","","","","","","","","",""))</f>
        <v/>
      </c>
      <c r="AR71" s="1" t="str">
        <f>IF($AF71=0,"",CHOOSE($AF71,INDEX(nINT_Interval_Value,$AH71),"","","","","","","","","","",""))</f>
        <v/>
      </c>
      <c r="AS71" s="1" t="str">
        <f>IF($AF71=0,"",CHOOSE($AF71,INDEX(nINT_Interval_Minimum,$AH71),"","","","","","","","","","",""))</f>
        <v/>
      </c>
      <c r="AT71" s="1" t="str">
        <f>IF($AF71=0,"",CHOOSE($AF71,INDEX(nINT_Interval_Maximum,$AH71),"","","","","","","","","","",""))</f>
        <v/>
      </c>
      <c r="AU71" s="1" t="str">
        <f>IF($AF71=0,"",CHOOSE($AF71,INDEX(nINT_Unit,$AH71)&amp;"",INDEX(nQ1_Unit_Out,$AH71)&amp;"",INDEX(nQ2_Unit_Out,$AH71)&amp;"",INDEX(nQ3_Unit_Out,$AH71)&amp;"",INDEX(nQ4_Unit_Out,$AH71)&amp;"",INDEX(nQ5_Unit_Out,$AH71)&amp;"",INDEX(nQ6_Unit_Out,$AH71)&amp;"",INDEX(nQ7_Unit_Out,$AH71)&amp;"",INDEX(nQ8_Unit_Out,$AH71)&amp;"",INDEX(nQ9_Unit_Out,$AH71)&amp;"",INDEX(nQ10_Unit_Out,$AH71)&amp;"",INDEX(nQ11_Unit_Out,$AH71)&amp;""))</f>
        <v/>
      </c>
      <c r="AV71" s="1" t="str">
        <f>IF($AF71=0,"",CHOOSE($AF71,INDEX(nINT_Displayed_Value,$AH71)&amp;"",INDEX(nQ1_Displayed_Value,$AH71)&amp;"",INDEX(nQ2_Displayed_Value,$AH71)&amp;"",INDEX(nQ3_Displayed_Value,$AH71)&amp;"",INDEX(nQ4_Displayed_Value,$AH71)&amp;"",INDEX(nQ5_Displayed_Value,$AH71)&amp;"",INDEX(nQ6_Displayed_Value,$AH71)&amp;"",INDEX(nQ7_Displayed_Value,$AH71)&amp;"",INDEX(nQ8_Displayed_Value,$AH71)&amp;"",INDEX(nQ9_Displayed_Value,$AH71)&amp;"",INDEX(nQ10_Displayed_Value,$AH71)&amp;"",INDEX(nQ11_Displayed_Value,$AH71)&amp;""))</f>
        <v/>
      </c>
      <c r="AW71" s="1" t="str">
        <f>IF($AF71=0,"",CHOOSE($AF71,INDEX(nINT_Calculation_Mode_Used,$AH71)&amp;"","Q1","Q2","Q3","Q4","Q5","Q6","Q7","Q8","Q9","Q10","Q11"))</f>
        <v/>
      </c>
      <c r="AX71" s="1" t="str">
        <f>IF($AF71=0,"",CHOOSE($AF71,INDEX(nINT_Anchor_Type,$AH71)&amp;"","","","","","","","","","","",""))</f>
        <v/>
      </c>
      <c r="AY71" s="1" t="str">
        <f>IF($AF71=0,"",CHOOSE($AF71,IF(INDEX(nINT_K_Ok,$AH71)=1,INDEX(nINT_Anchor_Record_ID_Used,$AH71)&amp;"",""),"","","","","","","","","","",""))</f>
        <v/>
      </c>
      <c r="AZ71" s="1" t="str">
        <f>IF($AF71=0,"",CHOOSE($AF71,INDEX(nINT_Anchor_Description,$AH71)&amp;"","","","","","","","","","","",""))</f>
        <v/>
      </c>
      <c r="BA71" s="1" t="str">
        <f>IF($AF71=0,"",CHOOSE($AF71,INDEX(nINT_Sequence_Status,$AH71)&amp;"","","","","","","","","","","",""))</f>
        <v/>
      </c>
      <c r="BB71" s="1" t="str">
        <f>IF($AF71=0,"",CHOOSE($AF71,INDEX(nINT_Treatment_Day,$AH71),"","","","","","","","","","",""))</f>
        <v/>
      </c>
      <c r="BC71" s="1" t="str">
        <f>IF($AF71=0,"",CHOOSE($AF71,INDEX(nINT_Reported_Timing_Result,$AH71)&amp;"","","","","","","","","","","",""))</f>
        <v/>
      </c>
      <c r="BD71" s="1" t="str">
        <f>IF($AF71=0,"",CHOOSE($AF71,IF(INDEX(nINT_K_HasC,$AH71)=1,INDEX(nINT_Constraint_Source,$AH71)&amp;"",""),"","","","","","","","","","",""))</f>
        <v/>
      </c>
      <c r="BE71" s="1" t="str">
        <f>IF($AF71=0,"",CHOOSE($AF71,"",INDEX(nQ1_Results_Text,$AH71)&amp;"",INDEX(nQ2_Results_Text,$AH71)&amp;"",INDEX(nQ3_Results_Text,$AH71)&amp;"",INDEX(nQ4_Results_Text,$AH71)&amp;"",INDEX(nQ5_Results_Text,$AH71)&amp;"",INDEX(nQ6_Results_Text,$AH71)&amp;"",INDEX(nQ7_Results_Text,$AH71)&amp;"",INDEX(nQ8_Results_Text,$AH71)&amp;"",INDEX(nQ9_Results_Text,$AH71)&amp;"",INDEX(nQ10_Results_Text,$AH71)&amp;"",INDEX(nQ11_Results_Text,$AH71)&amp;""))</f>
        <v/>
      </c>
      <c r="BF71" s="1" t="str">
        <f>IF($AF71=0,"",CHOOSE($AF71,INDEX(nINT_Parameter_Set,$AH71)&amp;"",INDEX(nQ1_Parameter_Set,$AH71)&amp;"",INDEX(nQ2_Parameter_Set,$AH71)&amp;"",INDEX(nQ3_Parameter_Set,$AH71)&amp;"",INDEX(nQ4_Parameter_Set,$AH71)&amp;"",INDEX(nQ5_Parameter_Set,$AH71)&amp;"",INDEX(nQ6_Parameter_Set,$AH71)&amp;"",INDEX(nQ7_Parameter_Set,$AH71)&amp;"",INDEX(nQ8_Parameter_Set,$AH71)&amp;"",INDEX(nQ9_Parameter_Set,$AH71)&amp;"",INDEX(nQ10_Parameter_Set,$AH71)&amp;"",INDEX(nQ11_Parameter_Set,$AH71)&amp;""))</f>
        <v/>
      </c>
      <c r="BG71" s="1" t="str">
        <f>IF($AF71=0,"",CHOOSE($AF71,INDEX(nINT_Assumptions,$AH71)&amp;"",INDEX(nQ1_Assumptions,$AH71)&amp;"",INDEX(nQ2_Assumptions,$AH71)&amp;"",INDEX(nQ3_Assumptions,$AH71)&amp;"",INDEX(nQ4_Assumptions,$AH71)&amp;"",INDEX(nQ5_Assumptions,$AH71)&amp;"",INDEX(nQ6_Assumptions,$AH71)&amp;"",INDEX(nQ7_Assumptions,$AH71)&amp;"",INDEX(nQ8_Assumptions,$AH71)&amp;"",INDEX(nQ9_Assumptions,$AH71)&amp;"",INDEX(nQ10_Assumptions,$AH71)&amp;"",INDEX(nQ11_Assumptions,$AH71)&amp;""))</f>
        <v/>
      </c>
      <c r="BH71" s="1" t="str">
        <f>IF($AF71=0,"",CHOOSE($AF71,INDEX(nINT_Calculation_Version,$AH71)&amp;"",INDEX(nQ1_Calculation_Version,$AH71)&amp;"",INDEX(nQ2_Calculation_Version,$AH71)&amp;"",INDEX(nQ3_Calculation_Version,$AH71)&amp;"",INDEX(nQ4_Calculation_Version,$AH71)&amp;"",INDEX(nQ5_Calculation_Version,$AH71)&amp;"",INDEX(nQ6_Calculation_Version,$AH71)&amp;"",INDEX(nQ7_Calculation_Version,$AH71)&amp;"",INDEX(nQ8_Calculation_Version,$AH71)&amp;"",INDEX(nQ9_Calculation_Version,$AH71)&amp;"",INDEX(nQ10_Calculation_Version,$AH71)&amp;"",INDEX(nQ11_Calculation_Version,$AH71)&amp;""))</f>
        <v/>
      </c>
      <c r="BI71" s="1" t="str">
        <f>IF($AF71=0,"",CHOOSE($AF71,INDEX(nINT_QC_Flags,$AH71)&amp;"",INDEX(nQ1_QC_Flags,$AH71)&amp;"",INDEX(nQ2_QC_Flags,$AH71)&amp;"",INDEX(nQ3_QC_Flags,$AH71)&amp;"",INDEX(nQ4_QC_Flags,$AH71)&amp;"",INDEX(nQ5_QC_Flags,$AH71)&amp;"",INDEX(nQ6_QC_Flags,$AH71)&amp;"",INDEX(nQ7_QC_Flags,$AH71)&amp;"",INDEX(nQ8_QC_Flags,$AH71)&amp;"",INDEX(nQ9_QC_Flags,$AH71)&amp;"",INDEX(nQ10_QC_Flags,$AH71)&amp;"",INDEX(nQ11_QC_Flags,$AH71)&amp;""))</f>
        <v/>
      </c>
      <c r="BJ71" s="1" t="str">
        <f>IF($AF71=0,"",CHOOSE($AF71,INDEX(nINT_Messages,$AH71)&amp;"",INDEX(nQ1_Messages,$AH71)&amp;"",INDEX(nQ2_Messages,$AH71)&amp;"",INDEX(nQ3_Messages,$AH71)&amp;"",INDEX(nQ4_Messages,$AH71)&amp;"",INDEX(nQ5_Messages,$AH71)&amp;"",INDEX(nQ6_Messages,$AH71)&amp;"",INDEX(nQ7_Messages,$AH71)&amp;"",INDEX(nQ8_Messages,$AH71)&amp;"",INDEX(nQ9_Messages,$AH71)&amp;"",INDEX(nQ10_Messages,$AH71)&amp;"",INDEX(nQ11_Messages,$AH71)&amp;""))</f>
        <v/>
      </c>
      <c r="BK71" s="1" t="str">
        <f>IF($AF71=0,"",CHOOSE($AF71,INDEX(nINT_Limitations,$AH71)&amp;"",INDEX(nQ1_Mandatory_Text,$AH71)&amp;"",INDEX(nQ2_Mandatory_Text,$AH71)&amp;"",INDEX(nQ3_Mandatory_Text,$AH71)&amp;"",INDEX(nQ4_Mandatory_Text,$AH71)&amp;"",INDEX(nQ5_Mandatory_Text,$AH71)&amp;"",INDEX(nQ6_Mandatory_Text,$AH71)&amp;"",INDEX(nQ7_Mandatory_Text,$AH71)&amp;"",INDEX(nQ8_Mandatory_Text,$AH71)&amp;"",INDEX(nQ9_Mandatory_Text,$AH71)&amp;"",INDEX(nQ10_Mandatory_Text,$AH71)&amp;"",INDEX(nQ11_Mandatory_Text,$AH71)&amp;""))</f>
        <v/>
      </c>
      <c r="BL71" s="1" t="str">
        <f t="shared" si="33"/>
        <v/>
      </c>
      <c r="BM71" s="1" t="str">
        <f t="shared" si="34"/>
        <v/>
      </c>
    </row>
    <row r="72" spans="1:65" x14ac:dyDescent="0.2">
      <c r="A72" s="21" t="str">
        <f t="shared" si="0"/>
        <v/>
      </c>
      <c r="B72" s="21" t="str">
        <f t="shared" si="1"/>
        <v/>
      </c>
      <c r="C72" s="21" t="str">
        <f t="shared" si="2"/>
        <v/>
      </c>
      <c r="D72" s="21" t="str">
        <f t="shared" si="3"/>
        <v/>
      </c>
      <c r="E72" s="21" t="str">
        <f t="shared" si="4"/>
        <v/>
      </c>
      <c r="F72" s="21" t="str">
        <f t="shared" si="5"/>
        <v/>
      </c>
      <c r="G72" s="21" t="str">
        <f t="shared" si="6"/>
        <v/>
      </c>
      <c r="H72" s="21" t="str">
        <f t="shared" si="7"/>
        <v/>
      </c>
      <c r="I72" s="21" t="str">
        <f t="shared" si="8"/>
        <v/>
      </c>
      <c r="J72" s="21" t="str">
        <f t="shared" si="9"/>
        <v/>
      </c>
      <c r="K72" s="21" t="str">
        <f t="shared" si="10"/>
        <v/>
      </c>
      <c r="L72" s="21" t="str">
        <f t="shared" si="11"/>
        <v/>
      </c>
      <c r="M72" s="21" t="str">
        <f t="shared" si="12"/>
        <v/>
      </c>
      <c r="N72" s="21" t="str">
        <f t="shared" si="13"/>
        <v/>
      </c>
      <c r="O72" s="21" t="str">
        <f t="shared" si="14"/>
        <v/>
      </c>
      <c r="P72" s="21" t="str">
        <f t="shared" si="15"/>
        <v/>
      </c>
      <c r="Q72" s="21" t="str">
        <f t="shared" si="16"/>
        <v/>
      </c>
      <c r="R72" s="21" t="str">
        <f t="shared" si="17"/>
        <v/>
      </c>
      <c r="S72" s="21" t="str">
        <f t="shared" si="18"/>
        <v/>
      </c>
      <c r="T72" s="21" t="str">
        <f t="shared" si="19"/>
        <v/>
      </c>
      <c r="U72" s="21" t="str">
        <f t="shared" si="20"/>
        <v/>
      </c>
      <c r="V72" s="21" t="str">
        <f t="shared" si="21"/>
        <v/>
      </c>
      <c r="W72" s="21" t="str">
        <f t="shared" si="22"/>
        <v/>
      </c>
      <c r="X72" s="21" t="str">
        <f t="shared" si="23"/>
        <v/>
      </c>
      <c r="Y72" s="21" t="str">
        <f t="shared" si="24"/>
        <v/>
      </c>
      <c r="Z72" s="21" t="str">
        <f t="shared" si="25"/>
        <v/>
      </c>
      <c r="AA72" s="21" t="str">
        <f t="shared" si="26"/>
        <v/>
      </c>
      <c r="AB72" s="21" t="str">
        <f t="shared" si="27"/>
        <v/>
      </c>
      <c r="AC72" s="21" t="str">
        <f t="shared" si="28"/>
        <v/>
      </c>
      <c r="AD72" s="21" t="str">
        <f t="shared" si="29"/>
        <v/>
      </c>
      <c r="AE72" s="1">
        <f t="shared" si="30"/>
        <v>65</v>
      </c>
      <c r="AF72" s="1">
        <f t="shared" si="31"/>
        <v>0</v>
      </c>
      <c r="AG72" s="1">
        <f t="shared" si="32"/>
        <v>0</v>
      </c>
      <c r="AH72" s="1">
        <f>IF(AF72=0,0,CHOOSE(AF72,IFERROR(_xlfn.AGGREGATE(15,6,(ROW(nINT_CaseKey)-ROW(INDEX(nINT_CaseKey,1,1))+1)/((nINT_CaseKey=$H$4)*(nINT_RowEmpty=0)),AG72),0),IFERROR(_xlfn.AGGREGATE(15,6,(ROW(nQ1_CaseKey)-ROW(INDEX(nQ1_CaseKey,1,1))+1)/((nQ1_CaseKey=$H$4)),AG72),0),IFERROR(_xlfn.AGGREGATE(15,6,(ROW(nQ2_CaseKey)-ROW(INDEX(nQ2_CaseKey,1,1))+1)/((nQ2_CaseKey=$H$4)),AG72),0),IFERROR(_xlfn.AGGREGATE(15,6,(ROW(nQ3_CaseKey)-ROW(INDEX(nQ3_CaseKey,1,1))+1)/((nQ3_CaseKey=$H$4)),AG72),0),IFERROR(_xlfn.AGGREGATE(15,6,(ROW(nQ4_CaseKey)-ROW(INDEX(nQ4_CaseKey,1,1))+1)/((nQ4_CaseKey=$H$4)),AG72),0),IFERROR(_xlfn.AGGREGATE(15,6,(ROW(nQ5_CaseKey)-ROW(INDEX(nQ5_CaseKey,1,1))+1)/((nQ5_CaseKey=$H$4)),AG72),0),IFERROR(_xlfn.AGGREGATE(15,6,(ROW(nQ6_CaseKey)-ROW(INDEX(nQ6_CaseKey,1,1))+1)/((nQ6_CaseKey=$H$4)),AG72),0),IFERROR(_xlfn.AGGREGATE(15,6,(ROW(nQ7_CaseKey)-ROW(INDEX(nQ7_CaseKey,1,1))+1)/((nQ7_CaseKey=$H$4)),AG72),0),IFERROR(_xlfn.AGGREGATE(15,6,(ROW(nQ8_CaseKey)-ROW(INDEX(nQ8_CaseKey,1,1))+1)/((nQ8_CaseKey=$H$4)),AG72),0),IFERROR(_xlfn.AGGREGATE(15,6,(ROW(nQ9_CaseKey)-ROW(INDEX(nQ9_CaseKey,1,1))+1)/((nQ9_CaseKey=$H$4)),AG72),0),IFERROR(_xlfn.AGGREGATE(15,6,(ROW(nQ10_CaseKey)-ROW(INDEX(nQ10_CaseKey,1,1))+1)/((nQ10_CaseKey=$H$4)),AG72),0),IFERROR(_xlfn.AGGREGATE(15,6,(ROW(nQ11_CaseKey)-ROW(INDEX(nQ11_CaseKey,1,1))+1)/((nQ11_CaseKey=$H$4)),AG72),0)))</f>
        <v>0</v>
      </c>
      <c r="AJ72" s="1" t="str">
        <f>IF($AF72=0,"",CHOOSE($AF72,INDEX(nINT_Case_ID,$AH72)&amp;"",INDEX(nQ1_Case_ID,$AH72)&amp;"",INDEX(nQ2_Case_ID,$AH72)&amp;"",INDEX(nQ3_Case_ID,$AH72)&amp;"",INDEX(nQ4_Case_ID,$AH72)&amp;"",INDEX(nQ5_Case_ID,$AH72)&amp;"",INDEX(nQ6_Case_ID,$AH72)&amp;"",INDEX(nQ7_Case_ID,$AH72)&amp;"",INDEX(nQ8_Case_ID,$AH72)&amp;"",INDEX(nQ9_Case_ID,$AH72)&amp;"",INDEX(nQ10_Case_ID,$AH72)&amp;"",INDEX(nQ11_Case_ID,$AH72)&amp;""))</f>
        <v/>
      </c>
      <c r="AK72" s="1" t="str">
        <f>IF($AF72=0,"",CHOOSE($AF72,INDEX(nINT_Case_Version,$AH72),INDEX(nQ1_Case_Version,$AH72),INDEX(nQ2_Case_Version,$AH72),INDEX(nQ3_Case_Version,$AH72),INDEX(nQ4_Case_Version,$AH72),INDEX(nQ5_Case_Version,$AH72),INDEX(nQ6_Case_Version,$AH72),INDEX(nQ7_Case_Version,$AH72),INDEX(nQ8_Case_Version,$AH72),INDEX(nQ9_Case_Version,$AH72),INDEX(nQ10_Case_Version,$AH72),INDEX(nQ11_Case_Version,$AH72)))</f>
        <v/>
      </c>
      <c r="AL72" s="1" t="str">
        <f>IF($AF72=0,"",CHOOSE($AF72,INDEX(nINT_Interval_ID,$AH72)&amp;"",INDEX(nQ1_Calc_ID,$AH72)&amp;"",INDEX(nQ2_Calc_ID,$AH72)&amp;"",INDEX(nQ3_Calc_ID,$AH72)&amp;"",INDEX(nQ4_Calc_ID,$AH72)&amp;"",INDEX(nQ5_Calc_ID,$AH72)&amp;"",INDEX(nQ6_Calc_ID,$AH72)&amp;"",INDEX(nQ7_Calc_ID,$AH72)&amp;"",INDEX(nQ8_Calc_ID,$AH72)&amp;"",INDEX(nQ9_Calc_ID,$AH72)&amp;"",INDEX(nQ10_Calc_ID,$AH72)&amp;"",INDEX(nQ11_Calc_ID,$AH72)&amp;""))</f>
        <v/>
      </c>
      <c r="AM72" s="1" t="str">
        <f>IF($AF72=0,"",CHOOSE($AF72,INDEX(nINT_Label,$AH72)&amp;"",INDEX(nQ1_Label_Out,$AH72)&amp;"",INDEX(nQ2_Label_Out,$AH72)&amp;"",INDEX(nQ3_Label_Out,$AH72)&amp;"",INDEX(nQ4_Label_Out,$AH72)&amp;"",INDEX(nQ5_Label_Out,$AH72)&amp;"",INDEX(nQ6_Label_Out,$AH72)&amp;"",INDEX(nQ7_Label_Out,$AH72)&amp;"",INDEX(nQ8_Label_Out,$AH72)&amp;"",INDEX(nQ9_Label_Out,$AH72)&amp;"",INDEX(nQ10_Label_Out,$AH72)&amp;"",INDEX(nQ11_Label_Out,$AH72)&amp;""))</f>
        <v/>
      </c>
      <c r="AN72" s="1" t="str">
        <f>IF($AF72=0,"",CHOOSE($AF72,IF(INDEX(nINT_LinkRow,$AH72)=0,"",INDEX(nINT_Link_ID,$AH72)&amp;""),"","","","","","","","","","",""))</f>
        <v/>
      </c>
      <c r="AO72" s="1" t="str">
        <f>IF($AF72=0,"",CHOOSE($AF72,INDEX(nINT_Exposure_Episode_ID,$AH72)&amp;"","","","","","","","","","","",""))</f>
        <v/>
      </c>
      <c r="AP72" s="1" t="str">
        <f>IF($AF72=0,"",CHOOSE($AF72,INDEX(nINT_Event_Episode_ID,$AH72)&amp;"","","","","","","","","","","",""))</f>
        <v/>
      </c>
      <c r="AQ72" s="1" t="str">
        <f>IF($AF72=0,"",CHOOSE($AF72,INDEX(nINT_End_Record_ID_Used,$AH72)&amp;"","","","","","","","","","","",""))</f>
        <v/>
      </c>
      <c r="AR72" s="1" t="str">
        <f>IF($AF72=0,"",CHOOSE($AF72,INDEX(nINT_Interval_Value,$AH72),"","","","","","","","","","",""))</f>
        <v/>
      </c>
      <c r="AS72" s="1" t="str">
        <f>IF($AF72=0,"",CHOOSE($AF72,INDEX(nINT_Interval_Minimum,$AH72),"","","","","","","","","","",""))</f>
        <v/>
      </c>
      <c r="AT72" s="1" t="str">
        <f>IF($AF72=0,"",CHOOSE($AF72,INDEX(nINT_Interval_Maximum,$AH72),"","","","","","","","","","",""))</f>
        <v/>
      </c>
      <c r="AU72" s="1" t="str">
        <f>IF($AF72=0,"",CHOOSE($AF72,INDEX(nINT_Unit,$AH72)&amp;"",INDEX(nQ1_Unit_Out,$AH72)&amp;"",INDEX(nQ2_Unit_Out,$AH72)&amp;"",INDEX(nQ3_Unit_Out,$AH72)&amp;"",INDEX(nQ4_Unit_Out,$AH72)&amp;"",INDEX(nQ5_Unit_Out,$AH72)&amp;"",INDEX(nQ6_Unit_Out,$AH72)&amp;"",INDEX(nQ7_Unit_Out,$AH72)&amp;"",INDEX(nQ8_Unit_Out,$AH72)&amp;"",INDEX(nQ9_Unit_Out,$AH72)&amp;"",INDEX(nQ10_Unit_Out,$AH72)&amp;"",INDEX(nQ11_Unit_Out,$AH72)&amp;""))</f>
        <v/>
      </c>
      <c r="AV72" s="1" t="str">
        <f>IF($AF72=0,"",CHOOSE($AF72,INDEX(nINT_Displayed_Value,$AH72)&amp;"",INDEX(nQ1_Displayed_Value,$AH72)&amp;"",INDEX(nQ2_Displayed_Value,$AH72)&amp;"",INDEX(nQ3_Displayed_Value,$AH72)&amp;"",INDEX(nQ4_Displayed_Value,$AH72)&amp;"",INDEX(nQ5_Displayed_Value,$AH72)&amp;"",INDEX(nQ6_Displayed_Value,$AH72)&amp;"",INDEX(nQ7_Displayed_Value,$AH72)&amp;"",INDEX(nQ8_Displayed_Value,$AH72)&amp;"",INDEX(nQ9_Displayed_Value,$AH72)&amp;"",INDEX(nQ10_Displayed_Value,$AH72)&amp;"",INDEX(nQ11_Displayed_Value,$AH72)&amp;""))</f>
        <v/>
      </c>
      <c r="AW72" s="1" t="str">
        <f>IF($AF72=0,"",CHOOSE($AF72,INDEX(nINT_Calculation_Mode_Used,$AH72)&amp;"","Q1","Q2","Q3","Q4","Q5","Q6","Q7","Q8","Q9","Q10","Q11"))</f>
        <v/>
      </c>
      <c r="AX72" s="1" t="str">
        <f>IF($AF72=0,"",CHOOSE($AF72,INDEX(nINT_Anchor_Type,$AH72)&amp;"","","","","","","","","","","",""))</f>
        <v/>
      </c>
      <c r="AY72" s="1" t="str">
        <f>IF($AF72=0,"",CHOOSE($AF72,IF(INDEX(nINT_K_Ok,$AH72)=1,INDEX(nINT_Anchor_Record_ID_Used,$AH72)&amp;"",""),"","","","","","","","","","",""))</f>
        <v/>
      </c>
      <c r="AZ72" s="1" t="str">
        <f>IF($AF72=0,"",CHOOSE($AF72,INDEX(nINT_Anchor_Description,$AH72)&amp;"","","","","","","","","","","",""))</f>
        <v/>
      </c>
      <c r="BA72" s="1" t="str">
        <f>IF($AF72=0,"",CHOOSE($AF72,INDEX(nINT_Sequence_Status,$AH72)&amp;"","","","","","","","","","","",""))</f>
        <v/>
      </c>
      <c r="BB72" s="1" t="str">
        <f>IF($AF72=0,"",CHOOSE($AF72,INDEX(nINT_Treatment_Day,$AH72),"","","","","","","","","","",""))</f>
        <v/>
      </c>
      <c r="BC72" s="1" t="str">
        <f>IF($AF72=0,"",CHOOSE($AF72,INDEX(nINT_Reported_Timing_Result,$AH72)&amp;"","","","","","","","","","","",""))</f>
        <v/>
      </c>
      <c r="BD72" s="1" t="str">
        <f>IF($AF72=0,"",CHOOSE($AF72,IF(INDEX(nINT_K_HasC,$AH72)=1,INDEX(nINT_Constraint_Source,$AH72)&amp;"",""),"","","","","","","","","","",""))</f>
        <v/>
      </c>
      <c r="BE72" s="1" t="str">
        <f>IF($AF72=0,"",CHOOSE($AF72,"",INDEX(nQ1_Results_Text,$AH72)&amp;"",INDEX(nQ2_Results_Text,$AH72)&amp;"",INDEX(nQ3_Results_Text,$AH72)&amp;"",INDEX(nQ4_Results_Text,$AH72)&amp;"",INDEX(nQ5_Results_Text,$AH72)&amp;"",INDEX(nQ6_Results_Text,$AH72)&amp;"",INDEX(nQ7_Results_Text,$AH72)&amp;"",INDEX(nQ8_Results_Text,$AH72)&amp;"",INDEX(nQ9_Results_Text,$AH72)&amp;"",INDEX(nQ10_Results_Text,$AH72)&amp;"",INDEX(nQ11_Results_Text,$AH72)&amp;""))</f>
        <v/>
      </c>
      <c r="BF72" s="1" t="str">
        <f>IF($AF72=0,"",CHOOSE($AF72,INDEX(nINT_Parameter_Set,$AH72)&amp;"",INDEX(nQ1_Parameter_Set,$AH72)&amp;"",INDEX(nQ2_Parameter_Set,$AH72)&amp;"",INDEX(nQ3_Parameter_Set,$AH72)&amp;"",INDEX(nQ4_Parameter_Set,$AH72)&amp;"",INDEX(nQ5_Parameter_Set,$AH72)&amp;"",INDEX(nQ6_Parameter_Set,$AH72)&amp;"",INDEX(nQ7_Parameter_Set,$AH72)&amp;"",INDEX(nQ8_Parameter_Set,$AH72)&amp;"",INDEX(nQ9_Parameter_Set,$AH72)&amp;"",INDEX(nQ10_Parameter_Set,$AH72)&amp;"",INDEX(nQ11_Parameter_Set,$AH72)&amp;""))</f>
        <v/>
      </c>
      <c r="BG72" s="1" t="str">
        <f>IF($AF72=0,"",CHOOSE($AF72,INDEX(nINT_Assumptions,$AH72)&amp;"",INDEX(nQ1_Assumptions,$AH72)&amp;"",INDEX(nQ2_Assumptions,$AH72)&amp;"",INDEX(nQ3_Assumptions,$AH72)&amp;"",INDEX(nQ4_Assumptions,$AH72)&amp;"",INDEX(nQ5_Assumptions,$AH72)&amp;"",INDEX(nQ6_Assumptions,$AH72)&amp;"",INDEX(nQ7_Assumptions,$AH72)&amp;"",INDEX(nQ8_Assumptions,$AH72)&amp;"",INDEX(nQ9_Assumptions,$AH72)&amp;"",INDEX(nQ10_Assumptions,$AH72)&amp;"",INDEX(nQ11_Assumptions,$AH72)&amp;""))</f>
        <v/>
      </c>
      <c r="BH72" s="1" t="str">
        <f>IF($AF72=0,"",CHOOSE($AF72,INDEX(nINT_Calculation_Version,$AH72)&amp;"",INDEX(nQ1_Calculation_Version,$AH72)&amp;"",INDEX(nQ2_Calculation_Version,$AH72)&amp;"",INDEX(nQ3_Calculation_Version,$AH72)&amp;"",INDEX(nQ4_Calculation_Version,$AH72)&amp;"",INDEX(nQ5_Calculation_Version,$AH72)&amp;"",INDEX(nQ6_Calculation_Version,$AH72)&amp;"",INDEX(nQ7_Calculation_Version,$AH72)&amp;"",INDEX(nQ8_Calculation_Version,$AH72)&amp;"",INDEX(nQ9_Calculation_Version,$AH72)&amp;"",INDEX(nQ10_Calculation_Version,$AH72)&amp;"",INDEX(nQ11_Calculation_Version,$AH72)&amp;""))</f>
        <v/>
      </c>
      <c r="BI72" s="1" t="str">
        <f>IF($AF72=0,"",CHOOSE($AF72,INDEX(nINT_QC_Flags,$AH72)&amp;"",INDEX(nQ1_QC_Flags,$AH72)&amp;"",INDEX(nQ2_QC_Flags,$AH72)&amp;"",INDEX(nQ3_QC_Flags,$AH72)&amp;"",INDEX(nQ4_QC_Flags,$AH72)&amp;"",INDEX(nQ5_QC_Flags,$AH72)&amp;"",INDEX(nQ6_QC_Flags,$AH72)&amp;"",INDEX(nQ7_QC_Flags,$AH72)&amp;"",INDEX(nQ8_QC_Flags,$AH72)&amp;"",INDEX(nQ9_QC_Flags,$AH72)&amp;"",INDEX(nQ10_QC_Flags,$AH72)&amp;"",INDEX(nQ11_QC_Flags,$AH72)&amp;""))</f>
        <v/>
      </c>
      <c r="BJ72" s="1" t="str">
        <f>IF($AF72=0,"",CHOOSE($AF72,INDEX(nINT_Messages,$AH72)&amp;"",INDEX(nQ1_Messages,$AH72)&amp;"",INDEX(nQ2_Messages,$AH72)&amp;"",INDEX(nQ3_Messages,$AH72)&amp;"",INDEX(nQ4_Messages,$AH72)&amp;"",INDEX(nQ5_Messages,$AH72)&amp;"",INDEX(nQ6_Messages,$AH72)&amp;"",INDEX(nQ7_Messages,$AH72)&amp;"",INDEX(nQ8_Messages,$AH72)&amp;"",INDEX(nQ9_Messages,$AH72)&amp;"",INDEX(nQ10_Messages,$AH72)&amp;"",INDEX(nQ11_Messages,$AH72)&amp;""))</f>
        <v/>
      </c>
      <c r="BK72" s="1" t="str">
        <f>IF($AF72=0,"",CHOOSE($AF72,INDEX(nINT_Limitations,$AH72)&amp;"",INDEX(nQ1_Mandatory_Text,$AH72)&amp;"",INDEX(nQ2_Mandatory_Text,$AH72)&amp;"",INDEX(nQ3_Mandatory_Text,$AH72)&amp;"",INDEX(nQ4_Mandatory_Text,$AH72)&amp;"",INDEX(nQ5_Mandatory_Text,$AH72)&amp;"",INDEX(nQ6_Mandatory_Text,$AH72)&amp;"",INDEX(nQ7_Mandatory_Text,$AH72)&amp;"",INDEX(nQ8_Mandatory_Text,$AH72)&amp;"",INDEX(nQ9_Mandatory_Text,$AH72)&amp;"",INDEX(nQ10_Mandatory_Text,$AH72)&amp;"",INDEX(nQ11_Mandatory_Text,$AH72)&amp;""))</f>
        <v/>
      </c>
      <c r="BL72" s="1" t="str">
        <f t="shared" si="33"/>
        <v/>
      </c>
      <c r="BM72" s="1" t="str">
        <f t="shared" si="34"/>
        <v/>
      </c>
    </row>
    <row r="73" spans="1:65" x14ac:dyDescent="0.2">
      <c r="A73" s="21" t="str">
        <f t="shared" ref="A73:A136" si="35">IF(ISNUMBER($AJ73),$AJ73,IF($AJ73="","",IF(OR(LEFT($AJ73,1)="=",LEFT($AJ73,1)="+",LEFT($AJ73,1)="-",LEFT($AJ73,1)="@",LEFT($AJ73,1)=CHAR(9),LEFT($AJ73,1)=CHAR(13)),"'"&amp;$AJ73,$AJ73)))</f>
        <v/>
      </c>
      <c r="B73" s="21" t="str">
        <f t="shared" ref="B73:B136" si="36">IF(ISNUMBER($AK73),$AK73,IF($AK73="","",IF(OR(LEFT($AK73,1)="=",LEFT($AK73,1)="+",LEFT($AK73,1)="-",LEFT($AK73,1)="@",LEFT($AK73,1)=CHAR(9),LEFT($AK73,1)=CHAR(13)),"'"&amp;$AK73,$AK73)))</f>
        <v/>
      </c>
      <c r="C73" s="21" t="str">
        <f t="shared" ref="C73:C136" si="37">IF(ISNUMBER($AL73),$AL73,IF($AL73="","",IF(OR(LEFT($AL73,1)="=",LEFT($AL73,1)="+",LEFT($AL73,1)="-",LEFT($AL73,1)="@",LEFT($AL73,1)=CHAR(9),LEFT($AL73,1)=CHAR(13)),"'"&amp;$AL73,$AL73)))</f>
        <v/>
      </c>
      <c r="D73" s="21" t="str">
        <f t="shared" ref="D73:D136" si="38">IF(ISNUMBER($AM73),$AM73,IF($AM73="","",IF(OR(LEFT($AM73,1)="=",LEFT($AM73,1)="+",LEFT($AM73,1)="-",LEFT($AM73,1)="@",LEFT($AM73,1)=CHAR(9),LEFT($AM73,1)=CHAR(13)),"'"&amp;$AM73,$AM73)))</f>
        <v/>
      </c>
      <c r="E73" s="21" t="str">
        <f t="shared" ref="E73:E136" si="39">IF(ISNUMBER($AN73),$AN73,IF($AN73="","",IF(OR(LEFT($AN73,1)="=",LEFT($AN73,1)="+",LEFT($AN73,1)="-",LEFT($AN73,1)="@",LEFT($AN73,1)=CHAR(9),LEFT($AN73,1)=CHAR(13)),"'"&amp;$AN73,$AN73)))</f>
        <v/>
      </c>
      <c r="F73" s="21" t="str">
        <f t="shared" ref="F73:F136" si="40">IF(ISNUMBER($AO73),$AO73,IF($AO73="","",IF(OR(LEFT($AO73,1)="=",LEFT($AO73,1)="+",LEFT($AO73,1)="-",LEFT($AO73,1)="@",LEFT($AO73,1)=CHAR(9),LEFT($AO73,1)=CHAR(13)),"'"&amp;$AO73,$AO73)))</f>
        <v/>
      </c>
      <c r="G73" s="21" t="str">
        <f t="shared" ref="G73:G136" si="41">IF(ISNUMBER($AP73),$AP73,IF($AP73="","",IF(OR(LEFT($AP73,1)="=",LEFT($AP73,1)="+",LEFT($AP73,1)="-",LEFT($AP73,1)="@",LEFT($AP73,1)=CHAR(9),LEFT($AP73,1)=CHAR(13)),"'"&amp;$AP73,$AP73)))</f>
        <v/>
      </c>
      <c r="H73" s="21" t="str">
        <f t="shared" ref="H73:H136" si="42">IF(ISNUMBER($AQ73),$AQ73,IF($AQ73="","",IF(OR(LEFT($AQ73,1)="=",LEFT($AQ73,1)="+",LEFT($AQ73,1)="-",LEFT($AQ73,1)="@",LEFT($AQ73,1)=CHAR(9),LEFT($AQ73,1)=CHAR(13)),"'"&amp;$AQ73,$AQ73)))</f>
        <v/>
      </c>
      <c r="I73" s="21" t="str">
        <f t="shared" ref="I73:I136" si="43">IF(ISNUMBER($AR73),$AR73,IF($AR73="","",IF(OR(LEFT($AR73,1)="=",LEFT($AR73,1)="+",LEFT($AR73,1)="-",LEFT($AR73,1)="@",LEFT($AR73,1)=CHAR(9),LEFT($AR73,1)=CHAR(13)),"'"&amp;$AR73,$AR73)))</f>
        <v/>
      </c>
      <c r="J73" s="21" t="str">
        <f t="shared" ref="J73:J136" si="44">IF(ISNUMBER($AS73),$AS73,IF($AS73="","",IF(OR(LEFT($AS73,1)="=",LEFT($AS73,1)="+",LEFT($AS73,1)="-",LEFT($AS73,1)="@",LEFT($AS73,1)=CHAR(9),LEFT($AS73,1)=CHAR(13)),"'"&amp;$AS73,$AS73)))</f>
        <v/>
      </c>
      <c r="K73" s="21" t="str">
        <f t="shared" ref="K73:K136" si="45">IF(ISNUMBER($AT73),$AT73,IF($AT73="","",IF(OR(LEFT($AT73,1)="=",LEFT($AT73,1)="+",LEFT($AT73,1)="-",LEFT($AT73,1)="@",LEFT($AT73,1)=CHAR(9),LEFT($AT73,1)=CHAR(13)),"'"&amp;$AT73,$AT73)))</f>
        <v/>
      </c>
      <c r="L73" s="21" t="str">
        <f t="shared" ref="L73:L136" si="46">IF(ISNUMBER($AU73),$AU73,IF($AU73="","",IF(OR(LEFT($AU73,1)="=",LEFT($AU73,1)="+",LEFT($AU73,1)="-",LEFT($AU73,1)="@",LEFT($AU73,1)=CHAR(9),LEFT($AU73,1)=CHAR(13)),"'"&amp;$AU73,$AU73)))</f>
        <v/>
      </c>
      <c r="M73" s="21" t="str">
        <f t="shared" ref="M73:M136" si="47">IF(ISNUMBER($AV73),$AV73,IF($AV73="","",IF(OR(LEFT($AV73,1)="=",LEFT($AV73,1)="+",LEFT($AV73,1)="-",LEFT($AV73,1)="@",LEFT($AV73,1)=CHAR(9),LEFT($AV73,1)=CHAR(13)),"'"&amp;$AV73,$AV73)))</f>
        <v/>
      </c>
      <c r="N73" s="21" t="str">
        <f t="shared" ref="N73:N136" si="48">IF(ISNUMBER($AW73),$AW73,IF($AW73="","",IF(OR(LEFT($AW73,1)="=",LEFT($AW73,1)="+",LEFT($AW73,1)="-",LEFT($AW73,1)="@",LEFT($AW73,1)=CHAR(9),LEFT($AW73,1)=CHAR(13)),"'"&amp;$AW73,$AW73)))</f>
        <v/>
      </c>
      <c r="O73" s="21" t="str">
        <f t="shared" ref="O73:O136" si="49">IF(ISNUMBER($AX73),$AX73,IF($AX73="","",IF(OR(LEFT($AX73,1)="=",LEFT($AX73,1)="+",LEFT($AX73,1)="-",LEFT($AX73,1)="@",LEFT($AX73,1)=CHAR(9),LEFT($AX73,1)=CHAR(13)),"'"&amp;$AX73,$AX73)))</f>
        <v/>
      </c>
      <c r="P73" s="21" t="str">
        <f t="shared" ref="P73:P136" si="50">IF(ISNUMBER($AY73),$AY73,IF($AY73="","",IF(OR(LEFT($AY73,1)="=",LEFT($AY73,1)="+",LEFT($AY73,1)="-",LEFT($AY73,1)="@",LEFT($AY73,1)=CHAR(9),LEFT($AY73,1)=CHAR(13)),"'"&amp;$AY73,$AY73)))</f>
        <v/>
      </c>
      <c r="Q73" s="21" t="str">
        <f t="shared" ref="Q73:Q136" si="51">IF(ISNUMBER($AZ73),$AZ73,IF($AZ73="","",IF(OR(LEFT($AZ73,1)="=",LEFT($AZ73,1)="+",LEFT($AZ73,1)="-",LEFT($AZ73,1)="@",LEFT($AZ73,1)=CHAR(9),LEFT($AZ73,1)=CHAR(13)),"'"&amp;$AZ73,$AZ73)))</f>
        <v/>
      </c>
      <c r="R73" s="21" t="str">
        <f t="shared" ref="R73:R136" si="52">IF(ISNUMBER($BA73),$BA73,IF($BA73="","",IF(OR(LEFT($BA73,1)="=",LEFT($BA73,1)="+",LEFT($BA73,1)="-",LEFT($BA73,1)="@",LEFT($BA73,1)=CHAR(9),LEFT($BA73,1)=CHAR(13)),"'"&amp;$BA73,$BA73)))</f>
        <v/>
      </c>
      <c r="S73" s="21" t="str">
        <f t="shared" ref="S73:S136" si="53">IF(ISNUMBER($BB73),$BB73,IF($BB73="","",IF(OR(LEFT($BB73,1)="=",LEFT($BB73,1)="+",LEFT($BB73,1)="-",LEFT($BB73,1)="@",LEFT($BB73,1)=CHAR(9),LEFT($BB73,1)=CHAR(13)),"'"&amp;$BB73,$BB73)))</f>
        <v/>
      </c>
      <c r="T73" s="21" t="str">
        <f t="shared" ref="T73:T136" si="54">IF(ISNUMBER($BC73),$BC73,IF($BC73="","",IF(OR(LEFT($BC73,1)="=",LEFT($BC73,1)="+",LEFT($BC73,1)="-",LEFT($BC73,1)="@",LEFT($BC73,1)=CHAR(9),LEFT($BC73,1)=CHAR(13)),"'"&amp;$BC73,$BC73)))</f>
        <v/>
      </c>
      <c r="U73" s="21" t="str">
        <f t="shared" ref="U73:U136" si="55">IF(ISNUMBER($BD73),$BD73,IF($BD73="","",IF(OR(LEFT($BD73,1)="=",LEFT($BD73,1)="+",LEFT($BD73,1)="-",LEFT($BD73,1)="@",LEFT($BD73,1)=CHAR(9),LEFT($BD73,1)=CHAR(13)),"'"&amp;$BD73,$BD73)))</f>
        <v/>
      </c>
      <c r="V73" s="21" t="str">
        <f t="shared" ref="V73:V136" si="56">IF(ISNUMBER($BE73),$BE73,IF($BE73="","",IF(OR(LEFT($BE73,1)="=",LEFT($BE73,1)="+",LEFT($BE73,1)="-",LEFT($BE73,1)="@",LEFT($BE73,1)=CHAR(9),LEFT($BE73,1)=CHAR(13)),"'"&amp;$BE73,$BE73)))</f>
        <v/>
      </c>
      <c r="W73" s="21" t="str">
        <f t="shared" ref="W73:W136" si="57">IF(ISNUMBER($BF73),$BF73,IF($BF73="","",IF(OR(LEFT($BF73,1)="=",LEFT($BF73,1)="+",LEFT($BF73,1)="-",LEFT($BF73,1)="@",LEFT($BF73,1)=CHAR(9),LEFT($BF73,1)=CHAR(13)),"'"&amp;$BF73,$BF73)))</f>
        <v/>
      </c>
      <c r="X73" s="21" t="str">
        <f t="shared" ref="X73:X136" si="58">IF(ISNUMBER($BG73),$BG73,IF($BG73="","",IF(OR(LEFT($BG73,1)="=",LEFT($BG73,1)="+",LEFT($BG73,1)="-",LEFT($BG73,1)="@",LEFT($BG73,1)=CHAR(9),LEFT($BG73,1)=CHAR(13)),"'"&amp;$BG73,$BG73)))</f>
        <v/>
      </c>
      <c r="Y73" s="21" t="str">
        <f t="shared" ref="Y73:Y136" si="59">IF(ISNUMBER($BH73),$BH73,IF($BH73="","",IF(OR(LEFT($BH73,1)="=",LEFT($BH73,1)="+",LEFT($BH73,1)="-",LEFT($BH73,1)="@",LEFT($BH73,1)=CHAR(9),LEFT($BH73,1)=CHAR(13)),"'"&amp;$BH73,$BH73)))</f>
        <v/>
      </c>
      <c r="Z73" s="21" t="str">
        <f t="shared" ref="Z73:Z136" si="60">IF(ISNUMBER($BI73),$BI73,IF($BI73="","",IF(OR(LEFT($BI73,1)="=",LEFT($BI73,1)="+",LEFT($BI73,1)="-",LEFT($BI73,1)="@",LEFT($BI73,1)=CHAR(9),LEFT($BI73,1)=CHAR(13)),"'"&amp;$BI73,$BI73)))</f>
        <v/>
      </c>
      <c r="AA73" s="21" t="str">
        <f t="shared" ref="AA73:AA136" si="61">IF(ISNUMBER($BJ73),$BJ73,IF($BJ73="","",IF(OR(LEFT($BJ73,1)="=",LEFT($BJ73,1)="+",LEFT($BJ73,1)="-",LEFT($BJ73,1)="@",LEFT($BJ73,1)=CHAR(9),LEFT($BJ73,1)=CHAR(13)),"'"&amp;$BJ73,$BJ73)))</f>
        <v/>
      </c>
      <c r="AB73" s="21" t="str">
        <f t="shared" ref="AB73:AB136" si="62">IF(ISNUMBER($BK73),$BK73,IF($BK73="","",IF(OR(LEFT($BK73,1)="=",LEFT($BK73,1)="+",LEFT($BK73,1)="-",LEFT($BK73,1)="@",LEFT($BK73,1)=CHAR(9),LEFT($BK73,1)=CHAR(13)),"'"&amp;$BK73,$BK73)))</f>
        <v/>
      </c>
      <c r="AC73" s="21" t="str">
        <f t="shared" ref="AC73:AC136" si="63">IF(ISNUMBER($BL73),$BL73,IF($BL73="","",IF(OR(LEFT($BL73,1)="=",LEFT($BL73,1)="+",LEFT($BL73,1)="-",LEFT($BL73,1)="@",LEFT($BL73,1)=CHAR(9),LEFT($BL73,1)=CHAR(13)),"'"&amp;$BL73,$BL73)))</f>
        <v/>
      </c>
      <c r="AD73" s="21" t="str">
        <f t="shared" ref="AD73:AD136" si="64">IF(ISNUMBER($BM73),$BM73,IF($BM73="","",IF(OR(LEFT($BM73,1)="=",LEFT($BM73,1)="+",LEFT($BM73,1)="-",LEFT($BM73,1)="@",LEFT($BM73,1)=CHAR(9),LEFT($BM73,1)=CHAR(13)),"'"&amp;$BM73,$BM73)))</f>
        <v/>
      </c>
      <c r="AE73" s="1">
        <f t="shared" ref="AE73:AE136" si="65">ROW()-7</f>
        <v>66</v>
      </c>
      <c r="AF73" s="1">
        <f t="shared" ref="AF73:AF136" si="66">IF(AE73&gt;SUM($CB$8:$CB$19),0,MATCH(AE73-1,$CC$8:$CC$19,1))</f>
        <v>0</v>
      </c>
      <c r="AG73" s="1">
        <f t="shared" ref="AG73:AG136" si="67">IF(AF73=0,0,AE73-INDEX($CC$8:$CC$19,AF73))</f>
        <v>0</v>
      </c>
      <c r="AH73" s="1">
        <f>IF(AF73=0,0,CHOOSE(AF73,IFERROR(_xlfn.AGGREGATE(15,6,(ROW(nINT_CaseKey)-ROW(INDEX(nINT_CaseKey,1,1))+1)/((nINT_CaseKey=$H$4)*(nINT_RowEmpty=0)),AG73),0),IFERROR(_xlfn.AGGREGATE(15,6,(ROW(nQ1_CaseKey)-ROW(INDEX(nQ1_CaseKey,1,1))+1)/((nQ1_CaseKey=$H$4)),AG73),0),IFERROR(_xlfn.AGGREGATE(15,6,(ROW(nQ2_CaseKey)-ROW(INDEX(nQ2_CaseKey,1,1))+1)/((nQ2_CaseKey=$H$4)),AG73),0),IFERROR(_xlfn.AGGREGATE(15,6,(ROW(nQ3_CaseKey)-ROW(INDEX(nQ3_CaseKey,1,1))+1)/((nQ3_CaseKey=$H$4)),AG73),0),IFERROR(_xlfn.AGGREGATE(15,6,(ROW(nQ4_CaseKey)-ROW(INDEX(nQ4_CaseKey,1,1))+1)/((nQ4_CaseKey=$H$4)),AG73),0),IFERROR(_xlfn.AGGREGATE(15,6,(ROW(nQ5_CaseKey)-ROW(INDEX(nQ5_CaseKey,1,1))+1)/((nQ5_CaseKey=$H$4)),AG73),0),IFERROR(_xlfn.AGGREGATE(15,6,(ROW(nQ6_CaseKey)-ROW(INDEX(nQ6_CaseKey,1,1))+1)/((nQ6_CaseKey=$H$4)),AG73),0),IFERROR(_xlfn.AGGREGATE(15,6,(ROW(nQ7_CaseKey)-ROW(INDEX(nQ7_CaseKey,1,1))+1)/((nQ7_CaseKey=$H$4)),AG73),0),IFERROR(_xlfn.AGGREGATE(15,6,(ROW(nQ8_CaseKey)-ROW(INDEX(nQ8_CaseKey,1,1))+1)/((nQ8_CaseKey=$H$4)),AG73),0),IFERROR(_xlfn.AGGREGATE(15,6,(ROW(nQ9_CaseKey)-ROW(INDEX(nQ9_CaseKey,1,1))+1)/((nQ9_CaseKey=$H$4)),AG73),0),IFERROR(_xlfn.AGGREGATE(15,6,(ROW(nQ10_CaseKey)-ROW(INDEX(nQ10_CaseKey,1,1))+1)/((nQ10_CaseKey=$H$4)),AG73),0),IFERROR(_xlfn.AGGREGATE(15,6,(ROW(nQ11_CaseKey)-ROW(INDEX(nQ11_CaseKey,1,1))+1)/((nQ11_CaseKey=$H$4)),AG73),0)))</f>
        <v>0</v>
      </c>
      <c r="AJ73" s="1" t="str">
        <f>IF($AF73=0,"",CHOOSE($AF73,INDEX(nINT_Case_ID,$AH73)&amp;"",INDEX(nQ1_Case_ID,$AH73)&amp;"",INDEX(nQ2_Case_ID,$AH73)&amp;"",INDEX(nQ3_Case_ID,$AH73)&amp;"",INDEX(nQ4_Case_ID,$AH73)&amp;"",INDEX(nQ5_Case_ID,$AH73)&amp;"",INDEX(nQ6_Case_ID,$AH73)&amp;"",INDEX(nQ7_Case_ID,$AH73)&amp;"",INDEX(nQ8_Case_ID,$AH73)&amp;"",INDEX(nQ9_Case_ID,$AH73)&amp;"",INDEX(nQ10_Case_ID,$AH73)&amp;"",INDEX(nQ11_Case_ID,$AH73)&amp;""))</f>
        <v/>
      </c>
      <c r="AK73" s="1" t="str">
        <f>IF($AF73=0,"",CHOOSE($AF73,INDEX(nINT_Case_Version,$AH73),INDEX(nQ1_Case_Version,$AH73),INDEX(nQ2_Case_Version,$AH73),INDEX(nQ3_Case_Version,$AH73),INDEX(nQ4_Case_Version,$AH73),INDEX(nQ5_Case_Version,$AH73),INDEX(nQ6_Case_Version,$AH73),INDEX(nQ7_Case_Version,$AH73),INDEX(nQ8_Case_Version,$AH73),INDEX(nQ9_Case_Version,$AH73),INDEX(nQ10_Case_Version,$AH73),INDEX(nQ11_Case_Version,$AH73)))</f>
        <v/>
      </c>
      <c r="AL73" s="1" t="str">
        <f>IF($AF73=0,"",CHOOSE($AF73,INDEX(nINT_Interval_ID,$AH73)&amp;"",INDEX(nQ1_Calc_ID,$AH73)&amp;"",INDEX(nQ2_Calc_ID,$AH73)&amp;"",INDEX(nQ3_Calc_ID,$AH73)&amp;"",INDEX(nQ4_Calc_ID,$AH73)&amp;"",INDEX(nQ5_Calc_ID,$AH73)&amp;"",INDEX(nQ6_Calc_ID,$AH73)&amp;"",INDEX(nQ7_Calc_ID,$AH73)&amp;"",INDEX(nQ8_Calc_ID,$AH73)&amp;"",INDEX(nQ9_Calc_ID,$AH73)&amp;"",INDEX(nQ10_Calc_ID,$AH73)&amp;"",INDEX(nQ11_Calc_ID,$AH73)&amp;""))</f>
        <v/>
      </c>
      <c r="AM73" s="1" t="str">
        <f>IF($AF73=0,"",CHOOSE($AF73,INDEX(nINT_Label,$AH73)&amp;"",INDEX(nQ1_Label_Out,$AH73)&amp;"",INDEX(nQ2_Label_Out,$AH73)&amp;"",INDEX(nQ3_Label_Out,$AH73)&amp;"",INDEX(nQ4_Label_Out,$AH73)&amp;"",INDEX(nQ5_Label_Out,$AH73)&amp;"",INDEX(nQ6_Label_Out,$AH73)&amp;"",INDEX(nQ7_Label_Out,$AH73)&amp;"",INDEX(nQ8_Label_Out,$AH73)&amp;"",INDEX(nQ9_Label_Out,$AH73)&amp;"",INDEX(nQ10_Label_Out,$AH73)&amp;"",INDEX(nQ11_Label_Out,$AH73)&amp;""))</f>
        <v/>
      </c>
      <c r="AN73" s="1" t="str">
        <f>IF($AF73=0,"",CHOOSE($AF73,IF(INDEX(nINT_LinkRow,$AH73)=0,"",INDEX(nINT_Link_ID,$AH73)&amp;""),"","","","","","","","","","",""))</f>
        <v/>
      </c>
      <c r="AO73" s="1" t="str">
        <f>IF($AF73=0,"",CHOOSE($AF73,INDEX(nINT_Exposure_Episode_ID,$AH73)&amp;"","","","","","","","","","","",""))</f>
        <v/>
      </c>
      <c r="AP73" s="1" t="str">
        <f>IF($AF73=0,"",CHOOSE($AF73,INDEX(nINT_Event_Episode_ID,$AH73)&amp;"","","","","","","","","","","",""))</f>
        <v/>
      </c>
      <c r="AQ73" s="1" t="str">
        <f>IF($AF73=0,"",CHOOSE($AF73,INDEX(nINT_End_Record_ID_Used,$AH73)&amp;"","","","","","","","","","","",""))</f>
        <v/>
      </c>
      <c r="AR73" s="1" t="str">
        <f>IF($AF73=0,"",CHOOSE($AF73,INDEX(nINT_Interval_Value,$AH73),"","","","","","","","","","",""))</f>
        <v/>
      </c>
      <c r="AS73" s="1" t="str">
        <f>IF($AF73=0,"",CHOOSE($AF73,INDEX(nINT_Interval_Minimum,$AH73),"","","","","","","","","","",""))</f>
        <v/>
      </c>
      <c r="AT73" s="1" t="str">
        <f>IF($AF73=0,"",CHOOSE($AF73,INDEX(nINT_Interval_Maximum,$AH73),"","","","","","","","","","",""))</f>
        <v/>
      </c>
      <c r="AU73" s="1" t="str">
        <f>IF($AF73=0,"",CHOOSE($AF73,INDEX(nINT_Unit,$AH73)&amp;"",INDEX(nQ1_Unit_Out,$AH73)&amp;"",INDEX(nQ2_Unit_Out,$AH73)&amp;"",INDEX(nQ3_Unit_Out,$AH73)&amp;"",INDEX(nQ4_Unit_Out,$AH73)&amp;"",INDEX(nQ5_Unit_Out,$AH73)&amp;"",INDEX(nQ6_Unit_Out,$AH73)&amp;"",INDEX(nQ7_Unit_Out,$AH73)&amp;"",INDEX(nQ8_Unit_Out,$AH73)&amp;"",INDEX(nQ9_Unit_Out,$AH73)&amp;"",INDEX(nQ10_Unit_Out,$AH73)&amp;"",INDEX(nQ11_Unit_Out,$AH73)&amp;""))</f>
        <v/>
      </c>
      <c r="AV73" s="1" t="str">
        <f>IF($AF73=0,"",CHOOSE($AF73,INDEX(nINT_Displayed_Value,$AH73)&amp;"",INDEX(nQ1_Displayed_Value,$AH73)&amp;"",INDEX(nQ2_Displayed_Value,$AH73)&amp;"",INDEX(nQ3_Displayed_Value,$AH73)&amp;"",INDEX(nQ4_Displayed_Value,$AH73)&amp;"",INDEX(nQ5_Displayed_Value,$AH73)&amp;"",INDEX(nQ6_Displayed_Value,$AH73)&amp;"",INDEX(nQ7_Displayed_Value,$AH73)&amp;"",INDEX(nQ8_Displayed_Value,$AH73)&amp;"",INDEX(nQ9_Displayed_Value,$AH73)&amp;"",INDEX(nQ10_Displayed_Value,$AH73)&amp;"",INDEX(nQ11_Displayed_Value,$AH73)&amp;""))</f>
        <v/>
      </c>
      <c r="AW73" s="1" t="str">
        <f>IF($AF73=0,"",CHOOSE($AF73,INDEX(nINT_Calculation_Mode_Used,$AH73)&amp;"","Q1","Q2","Q3","Q4","Q5","Q6","Q7","Q8","Q9","Q10","Q11"))</f>
        <v/>
      </c>
      <c r="AX73" s="1" t="str">
        <f>IF($AF73=0,"",CHOOSE($AF73,INDEX(nINT_Anchor_Type,$AH73)&amp;"","","","","","","","","","","",""))</f>
        <v/>
      </c>
      <c r="AY73" s="1" t="str">
        <f>IF($AF73=0,"",CHOOSE($AF73,IF(INDEX(nINT_K_Ok,$AH73)=1,INDEX(nINT_Anchor_Record_ID_Used,$AH73)&amp;"",""),"","","","","","","","","","",""))</f>
        <v/>
      </c>
      <c r="AZ73" s="1" t="str">
        <f>IF($AF73=0,"",CHOOSE($AF73,INDEX(nINT_Anchor_Description,$AH73)&amp;"","","","","","","","","","","",""))</f>
        <v/>
      </c>
      <c r="BA73" s="1" t="str">
        <f>IF($AF73=0,"",CHOOSE($AF73,INDEX(nINT_Sequence_Status,$AH73)&amp;"","","","","","","","","","","",""))</f>
        <v/>
      </c>
      <c r="BB73" s="1" t="str">
        <f>IF($AF73=0,"",CHOOSE($AF73,INDEX(nINT_Treatment_Day,$AH73),"","","","","","","","","","",""))</f>
        <v/>
      </c>
      <c r="BC73" s="1" t="str">
        <f>IF($AF73=0,"",CHOOSE($AF73,INDEX(nINT_Reported_Timing_Result,$AH73)&amp;"","","","","","","","","","","",""))</f>
        <v/>
      </c>
      <c r="BD73" s="1" t="str">
        <f>IF($AF73=0,"",CHOOSE($AF73,IF(INDEX(nINT_K_HasC,$AH73)=1,INDEX(nINT_Constraint_Source,$AH73)&amp;"",""),"","","","","","","","","","",""))</f>
        <v/>
      </c>
      <c r="BE73" s="1" t="str">
        <f>IF($AF73=0,"",CHOOSE($AF73,"",INDEX(nQ1_Results_Text,$AH73)&amp;"",INDEX(nQ2_Results_Text,$AH73)&amp;"",INDEX(nQ3_Results_Text,$AH73)&amp;"",INDEX(nQ4_Results_Text,$AH73)&amp;"",INDEX(nQ5_Results_Text,$AH73)&amp;"",INDEX(nQ6_Results_Text,$AH73)&amp;"",INDEX(nQ7_Results_Text,$AH73)&amp;"",INDEX(nQ8_Results_Text,$AH73)&amp;"",INDEX(nQ9_Results_Text,$AH73)&amp;"",INDEX(nQ10_Results_Text,$AH73)&amp;"",INDEX(nQ11_Results_Text,$AH73)&amp;""))</f>
        <v/>
      </c>
      <c r="BF73" s="1" t="str">
        <f>IF($AF73=0,"",CHOOSE($AF73,INDEX(nINT_Parameter_Set,$AH73)&amp;"",INDEX(nQ1_Parameter_Set,$AH73)&amp;"",INDEX(nQ2_Parameter_Set,$AH73)&amp;"",INDEX(nQ3_Parameter_Set,$AH73)&amp;"",INDEX(nQ4_Parameter_Set,$AH73)&amp;"",INDEX(nQ5_Parameter_Set,$AH73)&amp;"",INDEX(nQ6_Parameter_Set,$AH73)&amp;"",INDEX(nQ7_Parameter_Set,$AH73)&amp;"",INDEX(nQ8_Parameter_Set,$AH73)&amp;"",INDEX(nQ9_Parameter_Set,$AH73)&amp;"",INDEX(nQ10_Parameter_Set,$AH73)&amp;"",INDEX(nQ11_Parameter_Set,$AH73)&amp;""))</f>
        <v/>
      </c>
      <c r="BG73" s="1" t="str">
        <f>IF($AF73=0,"",CHOOSE($AF73,INDEX(nINT_Assumptions,$AH73)&amp;"",INDEX(nQ1_Assumptions,$AH73)&amp;"",INDEX(nQ2_Assumptions,$AH73)&amp;"",INDEX(nQ3_Assumptions,$AH73)&amp;"",INDEX(nQ4_Assumptions,$AH73)&amp;"",INDEX(nQ5_Assumptions,$AH73)&amp;"",INDEX(nQ6_Assumptions,$AH73)&amp;"",INDEX(nQ7_Assumptions,$AH73)&amp;"",INDEX(nQ8_Assumptions,$AH73)&amp;"",INDEX(nQ9_Assumptions,$AH73)&amp;"",INDEX(nQ10_Assumptions,$AH73)&amp;"",INDEX(nQ11_Assumptions,$AH73)&amp;""))</f>
        <v/>
      </c>
      <c r="BH73" s="1" t="str">
        <f>IF($AF73=0,"",CHOOSE($AF73,INDEX(nINT_Calculation_Version,$AH73)&amp;"",INDEX(nQ1_Calculation_Version,$AH73)&amp;"",INDEX(nQ2_Calculation_Version,$AH73)&amp;"",INDEX(nQ3_Calculation_Version,$AH73)&amp;"",INDEX(nQ4_Calculation_Version,$AH73)&amp;"",INDEX(nQ5_Calculation_Version,$AH73)&amp;"",INDEX(nQ6_Calculation_Version,$AH73)&amp;"",INDEX(nQ7_Calculation_Version,$AH73)&amp;"",INDEX(nQ8_Calculation_Version,$AH73)&amp;"",INDEX(nQ9_Calculation_Version,$AH73)&amp;"",INDEX(nQ10_Calculation_Version,$AH73)&amp;"",INDEX(nQ11_Calculation_Version,$AH73)&amp;""))</f>
        <v/>
      </c>
      <c r="BI73" s="1" t="str">
        <f>IF($AF73=0,"",CHOOSE($AF73,INDEX(nINT_QC_Flags,$AH73)&amp;"",INDEX(nQ1_QC_Flags,$AH73)&amp;"",INDEX(nQ2_QC_Flags,$AH73)&amp;"",INDEX(nQ3_QC_Flags,$AH73)&amp;"",INDEX(nQ4_QC_Flags,$AH73)&amp;"",INDEX(nQ5_QC_Flags,$AH73)&amp;"",INDEX(nQ6_QC_Flags,$AH73)&amp;"",INDEX(nQ7_QC_Flags,$AH73)&amp;"",INDEX(nQ8_QC_Flags,$AH73)&amp;"",INDEX(nQ9_QC_Flags,$AH73)&amp;"",INDEX(nQ10_QC_Flags,$AH73)&amp;"",INDEX(nQ11_QC_Flags,$AH73)&amp;""))</f>
        <v/>
      </c>
      <c r="BJ73" s="1" t="str">
        <f>IF($AF73=0,"",CHOOSE($AF73,INDEX(nINT_Messages,$AH73)&amp;"",INDEX(nQ1_Messages,$AH73)&amp;"",INDEX(nQ2_Messages,$AH73)&amp;"",INDEX(nQ3_Messages,$AH73)&amp;"",INDEX(nQ4_Messages,$AH73)&amp;"",INDEX(nQ5_Messages,$AH73)&amp;"",INDEX(nQ6_Messages,$AH73)&amp;"",INDEX(nQ7_Messages,$AH73)&amp;"",INDEX(nQ8_Messages,$AH73)&amp;"",INDEX(nQ9_Messages,$AH73)&amp;"",INDEX(nQ10_Messages,$AH73)&amp;"",INDEX(nQ11_Messages,$AH73)&amp;""))</f>
        <v/>
      </c>
      <c r="BK73" s="1" t="str">
        <f>IF($AF73=0,"",CHOOSE($AF73,INDEX(nINT_Limitations,$AH73)&amp;"",INDEX(nQ1_Mandatory_Text,$AH73)&amp;"",INDEX(nQ2_Mandatory_Text,$AH73)&amp;"",INDEX(nQ3_Mandatory_Text,$AH73)&amp;"",INDEX(nQ4_Mandatory_Text,$AH73)&amp;"",INDEX(nQ5_Mandatory_Text,$AH73)&amp;"",INDEX(nQ6_Mandatory_Text,$AH73)&amp;"",INDEX(nQ7_Mandatory_Text,$AH73)&amp;"",INDEX(nQ8_Mandatory_Text,$AH73)&amp;"",INDEX(nQ9_Mandatory_Text,$AH73)&amp;"",INDEX(nQ10_Mandatory_Text,$AH73)&amp;"",INDEX(nQ11_Mandatory_Text,$AH73)&amp;""))</f>
        <v/>
      </c>
      <c r="BL73" s="1" t="str">
        <f t="shared" ref="BL73:BL136" si="68">IF($AF73=0,"",IF(ISNUMBER($F$4),TEXT($F$4,"yyyy-mm-dd")&amp;"T"&amp;TEXT($F$4,"hh:mm")&amp;":00","not stamped"))</f>
        <v/>
      </c>
      <c r="BM73" s="1" t="str">
        <f t="shared" ref="BM73:BM136" si="69">IF($AF73=0,"","TTO Companion Tools v1.1")</f>
        <v/>
      </c>
    </row>
    <row r="74" spans="1:65" x14ac:dyDescent="0.2">
      <c r="A74" s="21" t="str">
        <f t="shared" si="35"/>
        <v/>
      </c>
      <c r="B74" s="21" t="str">
        <f t="shared" si="36"/>
        <v/>
      </c>
      <c r="C74" s="21" t="str">
        <f t="shared" si="37"/>
        <v/>
      </c>
      <c r="D74" s="21" t="str">
        <f t="shared" si="38"/>
        <v/>
      </c>
      <c r="E74" s="21" t="str">
        <f t="shared" si="39"/>
        <v/>
      </c>
      <c r="F74" s="21" t="str">
        <f t="shared" si="40"/>
        <v/>
      </c>
      <c r="G74" s="21" t="str">
        <f t="shared" si="41"/>
        <v/>
      </c>
      <c r="H74" s="21" t="str">
        <f t="shared" si="42"/>
        <v/>
      </c>
      <c r="I74" s="21" t="str">
        <f t="shared" si="43"/>
        <v/>
      </c>
      <c r="J74" s="21" t="str">
        <f t="shared" si="44"/>
        <v/>
      </c>
      <c r="K74" s="21" t="str">
        <f t="shared" si="45"/>
        <v/>
      </c>
      <c r="L74" s="21" t="str">
        <f t="shared" si="46"/>
        <v/>
      </c>
      <c r="M74" s="21" t="str">
        <f t="shared" si="47"/>
        <v/>
      </c>
      <c r="N74" s="21" t="str">
        <f t="shared" si="48"/>
        <v/>
      </c>
      <c r="O74" s="21" t="str">
        <f t="shared" si="49"/>
        <v/>
      </c>
      <c r="P74" s="21" t="str">
        <f t="shared" si="50"/>
        <v/>
      </c>
      <c r="Q74" s="21" t="str">
        <f t="shared" si="51"/>
        <v/>
      </c>
      <c r="R74" s="21" t="str">
        <f t="shared" si="52"/>
        <v/>
      </c>
      <c r="S74" s="21" t="str">
        <f t="shared" si="53"/>
        <v/>
      </c>
      <c r="T74" s="21" t="str">
        <f t="shared" si="54"/>
        <v/>
      </c>
      <c r="U74" s="21" t="str">
        <f t="shared" si="55"/>
        <v/>
      </c>
      <c r="V74" s="21" t="str">
        <f t="shared" si="56"/>
        <v/>
      </c>
      <c r="W74" s="21" t="str">
        <f t="shared" si="57"/>
        <v/>
      </c>
      <c r="X74" s="21" t="str">
        <f t="shared" si="58"/>
        <v/>
      </c>
      <c r="Y74" s="21" t="str">
        <f t="shared" si="59"/>
        <v/>
      </c>
      <c r="Z74" s="21" t="str">
        <f t="shared" si="60"/>
        <v/>
      </c>
      <c r="AA74" s="21" t="str">
        <f t="shared" si="61"/>
        <v/>
      </c>
      <c r="AB74" s="21" t="str">
        <f t="shared" si="62"/>
        <v/>
      </c>
      <c r="AC74" s="21" t="str">
        <f t="shared" si="63"/>
        <v/>
      </c>
      <c r="AD74" s="21" t="str">
        <f t="shared" si="64"/>
        <v/>
      </c>
      <c r="AE74" s="1">
        <f t="shared" si="65"/>
        <v>67</v>
      </c>
      <c r="AF74" s="1">
        <f t="shared" si="66"/>
        <v>0</v>
      </c>
      <c r="AG74" s="1">
        <f t="shared" si="67"/>
        <v>0</v>
      </c>
      <c r="AH74" s="1">
        <f>IF(AF74=0,0,CHOOSE(AF74,IFERROR(_xlfn.AGGREGATE(15,6,(ROW(nINT_CaseKey)-ROW(INDEX(nINT_CaseKey,1,1))+1)/((nINT_CaseKey=$H$4)*(nINT_RowEmpty=0)),AG74),0),IFERROR(_xlfn.AGGREGATE(15,6,(ROW(nQ1_CaseKey)-ROW(INDEX(nQ1_CaseKey,1,1))+1)/((nQ1_CaseKey=$H$4)),AG74),0),IFERROR(_xlfn.AGGREGATE(15,6,(ROW(nQ2_CaseKey)-ROW(INDEX(nQ2_CaseKey,1,1))+1)/((nQ2_CaseKey=$H$4)),AG74),0),IFERROR(_xlfn.AGGREGATE(15,6,(ROW(nQ3_CaseKey)-ROW(INDEX(nQ3_CaseKey,1,1))+1)/((nQ3_CaseKey=$H$4)),AG74),0),IFERROR(_xlfn.AGGREGATE(15,6,(ROW(nQ4_CaseKey)-ROW(INDEX(nQ4_CaseKey,1,1))+1)/((nQ4_CaseKey=$H$4)),AG74),0),IFERROR(_xlfn.AGGREGATE(15,6,(ROW(nQ5_CaseKey)-ROW(INDEX(nQ5_CaseKey,1,1))+1)/((nQ5_CaseKey=$H$4)),AG74),0),IFERROR(_xlfn.AGGREGATE(15,6,(ROW(nQ6_CaseKey)-ROW(INDEX(nQ6_CaseKey,1,1))+1)/((nQ6_CaseKey=$H$4)),AG74),0),IFERROR(_xlfn.AGGREGATE(15,6,(ROW(nQ7_CaseKey)-ROW(INDEX(nQ7_CaseKey,1,1))+1)/((nQ7_CaseKey=$H$4)),AG74),0),IFERROR(_xlfn.AGGREGATE(15,6,(ROW(nQ8_CaseKey)-ROW(INDEX(nQ8_CaseKey,1,1))+1)/((nQ8_CaseKey=$H$4)),AG74),0),IFERROR(_xlfn.AGGREGATE(15,6,(ROW(nQ9_CaseKey)-ROW(INDEX(nQ9_CaseKey,1,1))+1)/((nQ9_CaseKey=$H$4)),AG74),0),IFERROR(_xlfn.AGGREGATE(15,6,(ROW(nQ10_CaseKey)-ROW(INDEX(nQ10_CaseKey,1,1))+1)/((nQ10_CaseKey=$H$4)),AG74),0),IFERROR(_xlfn.AGGREGATE(15,6,(ROW(nQ11_CaseKey)-ROW(INDEX(nQ11_CaseKey,1,1))+1)/((nQ11_CaseKey=$H$4)),AG74),0)))</f>
        <v>0</v>
      </c>
      <c r="AJ74" s="1" t="str">
        <f>IF($AF74=0,"",CHOOSE($AF74,INDEX(nINT_Case_ID,$AH74)&amp;"",INDEX(nQ1_Case_ID,$AH74)&amp;"",INDEX(nQ2_Case_ID,$AH74)&amp;"",INDEX(nQ3_Case_ID,$AH74)&amp;"",INDEX(nQ4_Case_ID,$AH74)&amp;"",INDEX(nQ5_Case_ID,$AH74)&amp;"",INDEX(nQ6_Case_ID,$AH74)&amp;"",INDEX(nQ7_Case_ID,$AH74)&amp;"",INDEX(nQ8_Case_ID,$AH74)&amp;"",INDEX(nQ9_Case_ID,$AH74)&amp;"",INDEX(nQ10_Case_ID,$AH74)&amp;"",INDEX(nQ11_Case_ID,$AH74)&amp;""))</f>
        <v/>
      </c>
      <c r="AK74" s="1" t="str">
        <f>IF($AF74=0,"",CHOOSE($AF74,INDEX(nINT_Case_Version,$AH74),INDEX(nQ1_Case_Version,$AH74),INDEX(nQ2_Case_Version,$AH74),INDEX(nQ3_Case_Version,$AH74),INDEX(nQ4_Case_Version,$AH74),INDEX(nQ5_Case_Version,$AH74),INDEX(nQ6_Case_Version,$AH74),INDEX(nQ7_Case_Version,$AH74),INDEX(nQ8_Case_Version,$AH74),INDEX(nQ9_Case_Version,$AH74),INDEX(nQ10_Case_Version,$AH74),INDEX(nQ11_Case_Version,$AH74)))</f>
        <v/>
      </c>
      <c r="AL74" s="1" t="str">
        <f>IF($AF74=0,"",CHOOSE($AF74,INDEX(nINT_Interval_ID,$AH74)&amp;"",INDEX(nQ1_Calc_ID,$AH74)&amp;"",INDEX(nQ2_Calc_ID,$AH74)&amp;"",INDEX(nQ3_Calc_ID,$AH74)&amp;"",INDEX(nQ4_Calc_ID,$AH74)&amp;"",INDEX(nQ5_Calc_ID,$AH74)&amp;"",INDEX(nQ6_Calc_ID,$AH74)&amp;"",INDEX(nQ7_Calc_ID,$AH74)&amp;"",INDEX(nQ8_Calc_ID,$AH74)&amp;"",INDEX(nQ9_Calc_ID,$AH74)&amp;"",INDEX(nQ10_Calc_ID,$AH74)&amp;"",INDEX(nQ11_Calc_ID,$AH74)&amp;""))</f>
        <v/>
      </c>
      <c r="AM74" s="1" t="str">
        <f>IF($AF74=0,"",CHOOSE($AF74,INDEX(nINT_Label,$AH74)&amp;"",INDEX(nQ1_Label_Out,$AH74)&amp;"",INDEX(nQ2_Label_Out,$AH74)&amp;"",INDEX(nQ3_Label_Out,$AH74)&amp;"",INDEX(nQ4_Label_Out,$AH74)&amp;"",INDEX(nQ5_Label_Out,$AH74)&amp;"",INDEX(nQ6_Label_Out,$AH74)&amp;"",INDEX(nQ7_Label_Out,$AH74)&amp;"",INDEX(nQ8_Label_Out,$AH74)&amp;"",INDEX(nQ9_Label_Out,$AH74)&amp;"",INDEX(nQ10_Label_Out,$AH74)&amp;"",INDEX(nQ11_Label_Out,$AH74)&amp;""))</f>
        <v/>
      </c>
      <c r="AN74" s="1" t="str">
        <f>IF($AF74=0,"",CHOOSE($AF74,IF(INDEX(nINT_LinkRow,$AH74)=0,"",INDEX(nINT_Link_ID,$AH74)&amp;""),"","","","","","","","","","",""))</f>
        <v/>
      </c>
      <c r="AO74" s="1" t="str">
        <f>IF($AF74=0,"",CHOOSE($AF74,INDEX(nINT_Exposure_Episode_ID,$AH74)&amp;"","","","","","","","","","","",""))</f>
        <v/>
      </c>
      <c r="AP74" s="1" t="str">
        <f>IF($AF74=0,"",CHOOSE($AF74,INDEX(nINT_Event_Episode_ID,$AH74)&amp;"","","","","","","","","","","",""))</f>
        <v/>
      </c>
      <c r="AQ74" s="1" t="str">
        <f>IF($AF74=0,"",CHOOSE($AF74,INDEX(nINT_End_Record_ID_Used,$AH74)&amp;"","","","","","","","","","","",""))</f>
        <v/>
      </c>
      <c r="AR74" s="1" t="str">
        <f>IF($AF74=0,"",CHOOSE($AF74,INDEX(nINT_Interval_Value,$AH74),"","","","","","","","","","",""))</f>
        <v/>
      </c>
      <c r="AS74" s="1" t="str">
        <f>IF($AF74=0,"",CHOOSE($AF74,INDEX(nINT_Interval_Minimum,$AH74),"","","","","","","","","","",""))</f>
        <v/>
      </c>
      <c r="AT74" s="1" t="str">
        <f>IF($AF74=0,"",CHOOSE($AF74,INDEX(nINT_Interval_Maximum,$AH74),"","","","","","","","","","",""))</f>
        <v/>
      </c>
      <c r="AU74" s="1" t="str">
        <f>IF($AF74=0,"",CHOOSE($AF74,INDEX(nINT_Unit,$AH74)&amp;"",INDEX(nQ1_Unit_Out,$AH74)&amp;"",INDEX(nQ2_Unit_Out,$AH74)&amp;"",INDEX(nQ3_Unit_Out,$AH74)&amp;"",INDEX(nQ4_Unit_Out,$AH74)&amp;"",INDEX(nQ5_Unit_Out,$AH74)&amp;"",INDEX(nQ6_Unit_Out,$AH74)&amp;"",INDEX(nQ7_Unit_Out,$AH74)&amp;"",INDEX(nQ8_Unit_Out,$AH74)&amp;"",INDEX(nQ9_Unit_Out,$AH74)&amp;"",INDEX(nQ10_Unit_Out,$AH74)&amp;"",INDEX(nQ11_Unit_Out,$AH74)&amp;""))</f>
        <v/>
      </c>
      <c r="AV74" s="1" t="str">
        <f>IF($AF74=0,"",CHOOSE($AF74,INDEX(nINT_Displayed_Value,$AH74)&amp;"",INDEX(nQ1_Displayed_Value,$AH74)&amp;"",INDEX(nQ2_Displayed_Value,$AH74)&amp;"",INDEX(nQ3_Displayed_Value,$AH74)&amp;"",INDEX(nQ4_Displayed_Value,$AH74)&amp;"",INDEX(nQ5_Displayed_Value,$AH74)&amp;"",INDEX(nQ6_Displayed_Value,$AH74)&amp;"",INDEX(nQ7_Displayed_Value,$AH74)&amp;"",INDEX(nQ8_Displayed_Value,$AH74)&amp;"",INDEX(nQ9_Displayed_Value,$AH74)&amp;"",INDEX(nQ10_Displayed_Value,$AH74)&amp;"",INDEX(nQ11_Displayed_Value,$AH74)&amp;""))</f>
        <v/>
      </c>
      <c r="AW74" s="1" t="str">
        <f>IF($AF74=0,"",CHOOSE($AF74,INDEX(nINT_Calculation_Mode_Used,$AH74)&amp;"","Q1","Q2","Q3","Q4","Q5","Q6","Q7","Q8","Q9","Q10","Q11"))</f>
        <v/>
      </c>
      <c r="AX74" s="1" t="str">
        <f>IF($AF74=0,"",CHOOSE($AF74,INDEX(nINT_Anchor_Type,$AH74)&amp;"","","","","","","","","","","",""))</f>
        <v/>
      </c>
      <c r="AY74" s="1" t="str">
        <f>IF($AF74=0,"",CHOOSE($AF74,IF(INDEX(nINT_K_Ok,$AH74)=1,INDEX(nINT_Anchor_Record_ID_Used,$AH74)&amp;"",""),"","","","","","","","","","",""))</f>
        <v/>
      </c>
      <c r="AZ74" s="1" t="str">
        <f>IF($AF74=0,"",CHOOSE($AF74,INDEX(nINT_Anchor_Description,$AH74)&amp;"","","","","","","","","","","",""))</f>
        <v/>
      </c>
      <c r="BA74" s="1" t="str">
        <f>IF($AF74=0,"",CHOOSE($AF74,INDEX(nINT_Sequence_Status,$AH74)&amp;"","","","","","","","","","","",""))</f>
        <v/>
      </c>
      <c r="BB74" s="1" t="str">
        <f>IF($AF74=0,"",CHOOSE($AF74,INDEX(nINT_Treatment_Day,$AH74),"","","","","","","","","","",""))</f>
        <v/>
      </c>
      <c r="BC74" s="1" t="str">
        <f>IF($AF74=0,"",CHOOSE($AF74,INDEX(nINT_Reported_Timing_Result,$AH74)&amp;"","","","","","","","","","","",""))</f>
        <v/>
      </c>
      <c r="BD74" s="1" t="str">
        <f>IF($AF74=0,"",CHOOSE($AF74,IF(INDEX(nINT_K_HasC,$AH74)=1,INDEX(nINT_Constraint_Source,$AH74)&amp;"",""),"","","","","","","","","","",""))</f>
        <v/>
      </c>
      <c r="BE74" s="1" t="str">
        <f>IF($AF74=0,"",CHOOSE($AF74,"",INDEX(nQ1_Results_Text,$AH74)&amp;"",INDEX(nQ2_Results_Text,$AH74)&amp;"",INDEX(nQ3_Results_Text,$AH74)&amp;"",INDEX(nQ4_Results_Text,$AH74)&amp;"",INDEX(nQ5_Results_Text,$AH74)&amp;"",INDEX(nQ6_Results_Text,$AH74)&amp;"",INDEX(nQ7_Results_Text,$AH74)&amp;"",INDEX(nQ8_Results_Text,$AH74)&amp;"",INDEX(nQ9_Results_Text,$AH74)&amp;"",INDEX(nQ10_Results_Text,$AH74)&amp;"",INDEX(nQ11_Results_Text,$AH74)&amp;""))</f>
        <v/>
      </c>
      <c r="BF74" s="1" t="str">
        <f>IF($AF74=0,"",CHOOSE($AF74,INDEX(nINT_Parameter_Set,$AH74)&amp;"",INDEX(nQ1_Parameter_Set,$AH74)&amp;"",INDEX(nQ2_Parameter_Set,$AH74)&amp;"",INDEX(nQ3_Parameter_Set,$AH74)&amp;"",INDEX(nQ4_Parameter_Set,$AH74)&amp;"",INDEX(nQ5_Parameter_Set,$AH74)&amp;"",INDEX(nQ6_Parameter_Set,$AH74)&amp;"",INDEX(nQ7_Parameter_Set,$AH74)&amp;"",INDEX(nQ8_Parameter_Set,$AH74)&amp;"",INDEX(nQ9_Parameter_Set,$AH74)&amp;"",INDEX(nQ10_Parameter_Set,$AH74)&amp;"",INDEX(nQ11_Parameter_Set,$AH74)&amp;""))</f>
        <v/>
      </c>
      <c r="BG74" s="1" t="str">
        <f>IF($AF74=0,"",CHOOSE($AF74,INDEX(nINT_Assumptions,$AH74)&amp;"",INDEX(nQ1_Assumptions,$AH74)&amp;"",INDEX(nQ2_Assumptions,$AH74)&amp;"",INDEX(nQ3_Assumptions,$AH74)&amp;"",INDEX(nQ4_Assumptions,$AH74)&amp;"",INDEX(nQ5_Assumptions,$AH74)&amp;"",INDEX(nQ6_Assumptions,$AH74)&amp;"",INDEX(nQ7_Assumptions,$AH74)&amp;"",INDEX(nQ8_Assumptions,$AH74)&amp;"",INDEX(nQ9_Assumptions,$AH74)&amp;"",INDEX(nQ10_Assumptions,$AH74)&amp;"",INDEX(nQ11_Assumptions,$AH74)&amp;""))</f>
        <v/>
      </c>
      <c r="BH74" s="1" t="str">
        <f>IF($AF74=0,"",CHOOSE($AF74,INDEX(nINT_Calculation_Version,$AH74)&amp;"",INDEX(nQ1_Calculation_Version,$AH74)&amp;"",INDEX(nQ2_Calculation_Version,$AH74)&amp;"",INDEX(nQ3_Calculation_Version,$AH74)&amp;"",INDEX(nQ4_Calculation_Version,$AH74)&amp;"",INDEX(nQ5_Calculation_Version,$AH74)&amp;"",INDEX(nQ6_Calculation_Version,$AH74)&amp;"",INDEX(nQ7_Calculation_Version,$AH74)&amp;"",INDEX(nQ8_Calculation_Version,$AH74)&amp;"",INDEX(nQ9_Calculation_Version,$AH74)&amp;"",INDEX(nQ10_Calculation_Version,$AH74)&amp;"",INDEX(nQ11_Calculation_Version,$AH74)&amp;""))</f>
        <v/>
      </c>
      <c r="BI74" s="1" t="str">
        <f>IF($AF74=0,"",CHOOSE($AF74,INDEX(nINT_QC_Flags,$AH74)&amp;"",INDEX(nQ1_QC_Flags,$AH74)&amp;"",INDEX(nQ2_QC_Flags,$AH74)&amp;"",INDEX(nQ3_QC_Flags,$AH74)&amp;"",INDEX(nQ4_QC_Flags,$AH74)&amp;"",INDEX(nQ5_QC_Flags,$AH74)&amp;"",INDEX(nQ6_QC_Flags,$AH74)&amp;"",INDEX(nQ7_QC_Flags,$AH74)&amp;"",INDEX(nQ8_QC_Flags,$AH74)&amp;"",INDEX(nQ9_QC_Flags,$AH74)&amp;"",INDEX(nQ10_QC_Flags,$AH74)&amp;"",INDEX(nQ11_QC_Flags,$AH74)&amp;""))</f>
        <v/>
      </c>
      <c r="BJ74" s="1" t="str">
        <f>IF($AF74=0,"",CHOOSE($AF74,INDEX(nINT_Messages,$AH74)&amp;"",INDEX(nQ1_Messages,$AH74)&amp;"",INDEX(nQ2_Messages,$AH74)&amp;"",INDEX(nQ3_Messages,$AH74)&amp;"",INDEX(nQ4_Messages,$AH74)&amp;"",INDEX(nQ5_Messages,$AH74)&amp;"",INDEX(nQ6_Messages,$AH74)&amp;"",INDEX(nQ7_Messages,$AH74)&amp;"",INDEX(nQ8_Messages,$AH74)&amp;"",INDEX(nQ9_Messages,$AH74)&amp;"",INDEX(nQ10_Messages,$AH74)&amp;"",INDEX(nQ11_Messages,$AH74)&amp;""))</f>
        <v/>
      </c>
      <c r="BK74" s="1" t="str">
        <f>IF($AF74=0,"",CHOOSE($AF74,INDEX(nINT_Limitations,$AH74)&amp;"",INDEX(nQ1_Mandatory_Text,$AH74)&amp;"",INDEX(nQ2_Mandatory_Text,$AH74)&amp;"",INDEX(nQ3_Mandatory_Text,$AH74)&amp;"",INDEX(nQ4_Mandatory_Text,$AH74)&amp;"",INDEX(nQ5_Mandatory_Text,$AH74)&amp;"",INDEX(nQ6_Mandatory_Text,$AH74)&amp;"",INDEX(nQ7_Mandatory_Text,$AH74)&amp;"",INDEX(nQ8_Mandatory_Text,$AH74)&amp;"",INDEX(nQ9_Mandatory_Text,$AH74)&amp;"",INDEX(nQ10_Mandatory_Text,$AH74)&amp;"",INDEX(nQ11_Mandatory_Text,$AH74)&amp;""))</f>
        <v/>
      </c>
      <c r="BL74" s="1" t="str">
        <f t="shared" si="68"/>
        <v/>
      </c>
      <c r="BM74" s="1" t="str">
        <f t="shared" si="69"/>
        <v/>
      </c>
    </row>
    <row r="75" spans="1:65" x14ac:dyDescent="0.2">
      <c r="A75" s="21" t="str">
        <f t="shared" si="35"/>
        <v/>
      </c>
      <c r="B75" s="21" t="str">
        <f t="shared" si="36"/>
        <v/>
      </c>
      <c r="C75" s="21" t="str">
        <f t="shared" si="37"/>
        <v/>
      </c>
      <c r="D75" s="21" t="str">
        <f t="shared" si="38"/>
        <v/>
      </c>
      <c r="E75" s="21" t="str">
        <f t="shared" si="39"/>
        <v/>
      </c>
      <c r="F75" s="21" t="str">
        <f t="shared" si="40"/>
        <v/>
      </c>
      <c r="G75" s="21" t="str">
        <f t="shared" si="41"/>
        <v/>
      </c>
      <c r="H75" s="21" t="str">
        <f t="shared" si="42"/>
        <v/>
      </c>
      <c r="I75" s="21" t="str">
        <f t="shared" si="43"/>
        <v/>
      </c>
      <c r="J75" s="21" t="str">
        <f t="shared" si="44"/>
        <v/>
      </c>
      <c r="K75" s="21" t="str">
        <f t="shared" si="45"/>
        <v/>
      </c>
      <c r="L75" s="21" t="str">
        <f t="shared" si="46"/>
        <v/>
      </c>
      <c r="M75" s="21" t="str">
        <f t="shared" si="47"/>
        <v/>
      </c>
      <c r="N75" s="21" t="str">
        <f t="shared" si="48"/>
        <v/>
      </c>
      <c r="O75" s="21" t="str">
        <f t="shared" si="49"/>
        <v/>
      </c>
      <c r="P75" s="21" t="str">
        <f t="shared" si="50"/>
        <v/>
      </c>
      <c r="Q75" s="21" t="str">
        <f t="shared" si="51"/>
        <v/>
      </c>
      <c r="R75" s="21" t="str">
        <f t="shared" si="52"/>
        <v/>
      </c>
      <c r="S75" s="21" t="str">
        <f t="shared" si="53"/>
        <v/>
      </c>
      <c r="T75" s="21" t="str">
        <f t="shared" si="54"/>
        <v/>
      </c>
      <c r="U75" s="21" t="str">
        <f t="shared" si="55"/>
        <v/>
      </c>
      <c r="V75" s="21" t="str">
        <f t="shared" si="56"/>
        <v/>
      </c>
      <c r="W75" s="21" t="str">
        <f t="shared" si="57"/>
        <v/>
      </c>
      <c r="X75" s="21" t="str">
        <f t="shared" si="58"/>
        <v/>
      </c>
      <c r="Y75" s="21" t="str">
        <f t="shared" si="59"/>
        <v/>
      </c>
      <c r="Z75" s="21" t="str">
        <f t="shared" si="60"/>
        <v/>
      </c>
      <c r="AA75" s="21" t="str">
        <f t="shared" si="61"/>
        <v/>
      </c>
      <c r="AB75" s="21" t="str">
        <f t="shared" si="62"/>
        <v/>
      </c>
      <c r="AC75" s="21" t="str">
        <f t="shared" si="63"/>
        <v/>
      </c>
      <c r="AD75" s="21" t="str">
        <f t="shared" si="64"/>
        <v/>
      </c>
      <c r="AE75" s="1">
        <f t="shared" si="65"/>
        <v>68</v>
      </c>
      <c r="AF75" s="1">
        <f t="shared" si="66"/>
        <v>0</v>
      </c>
      <c r="AG75" s="1">
        <f t="shared" si="67"/>
        <v>0</v>
      </c>
      <c r="AH75" s="1">
        <f>IF(AF75=0,0,CHOOSE(AF75,IFERROR(_xlfn.AGGREGATE(15,6,(ROW(nINT_CaseKey)-ROW(INDEX(nINT_CaseKey,1,1))+1)/((nINT_CaseKey=$H$4)*(nINT_RowEmpty=0)),AG75),0),IFERROR(_xlfn.AGGREGATE(15,6,(ROW(nQ1_CaseKey)-ROW(INDEX(nQ1_CaseKey,1,1))+1)/((nQ1_CaseKey=$H$4)),AG75),0),IFERROR(_xlfn.AGGREGATE(15,6,(ROW(nQ2_CaseKey)-ROW(INDEX(nQ2_CaseKey,1,1))+1)/((nQ2_CaseKey=$H$4)),AG75),0),IFERROR(_xlfn.AGGREGATE(15,6,(ROW(nQ3_CaseKey)-ROW(INDEX(nQ3_CaseKey,1,1))+1)/((nQ3_CaseKey=$H$4)),AG75),0),IFERROR(_xlfn.AGGREGATE(15,6,(ROW(nQ4_CaseKey)-ROW(INDEX(nQ4_CaseKey,1,1))+1)/((nQ4_CaseKey=$H$4)),AG75),0),IFERROR(_xlfn.AGGREGATE(15,6,(ROW(nQ5_CaseKey)-ROW(INDEX(nQ5_CaseKey,1,1))+1)/((nQ5_CaseKey=$H$4)),AG75),0),IFERROR(_xlfn.AGGREGATE(15,6,(ROW(nQ6_CaseKey)-ROW(INDEX(nQ6_CaseKey,1,1))+1)/((nQ6_CaseKey=$H$4)),AG75),0),IFERROR(_xlfn.AGGREGATE(15,6,(ROW(nQ7_CaseKey)-ROW(INDEX(nQ7_CaseKey,1,1))+1)/((nQ7_CaseKey=$H$4)),AG75),0),IFERROR(_xlfn.AGGREGATE(15,6,(ROW(nQ8_CaseKey)-ROW(INDEX(nQ8_CaseKey,1,1))+1)/((nQ8_CaseKey=$H$4)),AG75),0),IFERROR(_xlfn.AGGREGATE(15,6,(ROW(nQ9_CaseKey)-ROW(INDEX(nQ9_CaseKey,1,1))+1)/((nQ9_CaseKey=$H$4)),AG75),0),IFERROR(_xlfn.AGGREGATE(15,6,(ROW(nQ10_CaseKey)-ROW(INDEX(nQ10_CaseKey,1,1))+1)/((nQ10_CaseKey=$H$4)),AG75),0),IFERROR(_xlfn.AGGREGATE(15,6,(ROW(nQ11_CaseKey)-ROW(INDEX(nQ11_CaseKey,1,1))+1)/((nQ11_CaseKey=$H$4)),AG75),0)))</f>
        <v>0</v>
      </c>
      <c r="AJ75" s="1" t="str">
        <f>IF($AF75=0,"",CHOOSE($AF75,INDEX(nINT_Case_ID,$AH75)&amp;"",INDEX(nQ1_Case_ID,$AH75)&amp;"",INDEX(nQ2_Case_ID,$AH75)&amp;"",INDEX(nQ3_Case_ID,$AH75)&amp;"",INDEX(nQ4_Case_ID,$AH75)&amp;"",INDEX(nQ5_Case_ID,$AH75)&amp;"",INDEX(nQ6_Case_ID,$AH75)&amp;"",INDEX(nQ7_Case_ID,$AH75)&amp;"",INDEX(nQ8_Case_ID,$AH75)&amp;"",INDEX(nQ9_Case_ID,$AH75)&amp;"",INDEX(nQ10_Case_ID,$AH75)&amp;"",INDEX(nQ11_Case_ID,$AH75)&amp;""))</f>
        <v/>
      </c>
      <c r="AK75" s="1" t="str">
        <f>IF($AF75=0,"",CHOOSE($AF75,INDEX(nINT_Case_Version,$AH75),INDEX(nQ1_Case_Version,$AH75),INDEX(nQ2_Case_Version,$AH75),INDEX(nQ3_Case_Version,$AH75),INDEX(nQ4_Case_Version,$AH75),INDEX(nQ5_Case_Version,$AH75),INDEX(nQ6_Case_Version,$AH75),INDEX(nQ7_Case_Version,$AH75),INDEX(nQ8_Case_Version,$AH75),INDEX(nQ9_Case_Version,$AH75),INDEX(nQ10_Case_Version,$AH75),INDEX(nQ11_Case_Version,$AH75)))</f>
        <v/>
      </c>
      <c r="AL75" s="1" t="str">
        <f>IF($AF75=0,"",CHOOSE($AF75,INDEX(nINT_Interval_ID,$AH75)&amp;"",INDEX(nQ1_Calc_ID,$AH75)&amp;"",INDEX(nQ2_Calc_ID,$AH75)&amp;"",INDEX(nQ3_Calc_ID,$AH75)&amp;"",INDEX(nQ4_Calc_ID,$AH75)&amp;"",INDEX(nQ5_Calc_ID,$AH75)&amp;"",INDEX(nQ6_Calc_ID,$AH75)&amp;"",INDEX(nQ7_Calc_ID,$AH75)&amp;"",INDEX(nQ8_Calc_ID,$AH75)&amp;"",INDEX(nQ9_Calc_ID,$AH75)&amp;"",INDEX(nQ10_Calc_ID,$AH75)&amp;"",INDEX(nQ11_Calc_ID,$AH75)&amp;""))</f>
        <v/>
      </c>
      <c r="AM75" s="1" t="str">
        <f>IF($AF75=0,"",CHOOSE($AF75,INDEX(nINT_Label,$AH75)&amp;"",INDEX(nQ1_Label_Out,$AH75)&amp;"",INDEX(nQ2_Label_Out,$AH75)&amp;"",INDEX(nQ3_Label_Out,$AH75)&amp;"",INDEX(nQ4_Label_Out,$AH75)&amp;"",INDEX(nQ5_Label_Out,$AH75)&amp;"",INDEX(nQ6_Label_Out,$AH75)&amp;"",INDEX(nQ7_Label_Out,$AH75)&amp;"",INDEX(nQ8_Label_Out,$AH75)&amp;"",INDEX(nQ9_Label_Out,$AH75)&amp;"",INDEX(nQ10_Label_Out,$AH75)&amp;"",INDEX(nQ11_Label_Out,$AH75)&amp;""))</f>
        <v/>
      </c>
      <c r="AN75" s="1" t="str">
        <f>IF($AF75=0,"",CHOOSE($AF75,IF(INDEX(nINT_LinkRow,$AH75)=0,"",INDEX(nINT_Link_ID,$AH75)&amp;""),"","","","","","","","","","",""))</f>
        <v/>
      </c>
      <c r="AO75" s="1" t="str">
        <f>IF($AF75=0,"",CHOOSE($AF75,INDEX(nINT_Exposure_Episode_ID,$AH75)&amp;"","","","","","","","","","","",""))</f>
        <v/>
      </c>
      <c r="AP75" s="1" t="str">
        <f>IF($AF75=0,"",CHOOSE($AF75,INDEX(nINT_Event_Episode_ID,$AH75)&amp;"","","","","","","","","","","",""))</f>
        <v/>
      </c>
      <c r="AQ75" s="1" t="str">
        <f>IF($AF75=0,"",CHOOSE($AF75,INDEX(nINT_End_Record_ID_Used,$AH75)&amp;"","","","","","","","","","","",""))</f>
        <v/>
      </c>
      <c r="AR75" s="1" t="str">
        <f>IF($AF75=0,"",CHOOSE($AF75,INDEX(nINT_Interval_Value,$AH75),"","","","","","","","","","",""))</f>
        <v/>
      </c>
      <c r="AS75" s="1" t="str">
        <f>IF($AF75=0,"",CHOOSE($AF75,INDEX(nINT_Interval_Minimum,$AH75),"","","","","","","","","","",""))</f>
        <v/>
      </c>
      <c r="AT75" s="1" t="str">
        <f>IF($AF75=0,"",CHOOSE($AF75,INDEX(nINT_Interval_Maximum,$AH75),"","","","","","","","","","",""))</f>
        <v/>
      </c>
      <c r="AU75" s="1" t="str">
        <f>IF($AF75=0,"",CHOOSE($AF75,INDEX(nINT_Unit,$AH75)&amp;"",INDEX(nQ1_Unit_Out,$AH75)&amp;"",INDEX(nQ2_Unit_Out,$AH75)&amp;"",INDEX(nQ3_Unit_Out,$AH75)&amp;"",INDEX(nQ4_Unit_Out,$AH75)&amp;"",INDEX(nQ5_Unit_Out,$AH75)&amp;"",INDEX(nQ6_Unit_Out,$AH75)&amp;"",INDEX(nQ7_Unit_Out,$AH75)&amp;"",INDEX(nQ8_Unit_Out,$AH75)&amp;"",INDEX(nQ9_Unit_Out,$AH75)&amp;"",INDEX(nQ10_Unit_Out,$AH75)&amp;"",INDEX(nQ11_Unit_Out,$AH75)&amp;""))</f>
        <v/>
      </c>
      <c r="AV75" s="1" t="str">
        <f>IF($AF75=0,"",CHOOSE($AF75,INDEX(nINT_Displayed_Value,$AH75)&amp;"",INDEX(nQ1_Displayed_Value,$AH75)&amp;"",INDEX(nQ2_Displayed_Value,$AH75)&amp;"",INDEX(nQ3_Displayed_Value,$AH75)&amp;"",INDEX(nQ4_Displayed_Value,$AH75)&amp;"",INDEX(nQ5_Displayed_Value,$AH75)&amp;"",INDEX(nQ6_Displayed_Value,$AH75)&amp;"",INDEX(nQ7_Displayed_Value,$AH75)&amp;"",INDEX(nQ8_Displayed_Value,$AH75)&amp;"",INDEX(nQ9_Displayed_Value,$AH75)&amp;"",INDEX(nQ10_Displayed_Value,$AH75)&amp;"",INDEX(nQ11_Displayed_Value,$AH75)&amp;""))</f>
        <v/>
      </c>
      <c r="AW75" s="1" t="str">
        <f>IF($AF75=0,"",CHOOSE($AF75,INDEX(nINT_Calculation_Mode_Used,$AH75)&amp;"","Q1","Q2","Q3","Q4","Q5","Q6","Q7","Q8","Q9","Q10","Q11"))</f>
        <v/>
      </c>
      <c r="AX75" s="1" t="str">
        <f>IF($AF75=0,"",CHOOSE($AF75,INDEX(nINT_Anchor_Type,$AH75)&amp;"","","","","","","","","","","",""))</f>
        <v/>
      </c>
      <c r="AY75" s="1" t="str">
        <f>IF($AF75=0,"",CHOOSE($AF75,IF(INDEX(nINT_K_Ok,$AH75)=1,INDEX(nINT_Anchor_Record_ID_Used,$AH75)&amp;"",""),"","","","","","","","","","",""))</f>
        <v/>
      </c>
      <c r="AZ75" s="1" t="str">
        <f>IF($AF75=0,"",CHOOSE($AF75,INDEX(nINT_Anchor_Description,$AH75)&amp;"","","","","","","","","","","",""))</f>
        <v/>
      </c>
      <c r="BA75" s="1" t="str">
        <f>IF($AF75=0,"",CHOOSE($AF75,INDEX(nINT_Sequence_Status,$AH75)&amp;"","","","","","","","","","","",""))</f>
        <v/>
      </c>
      <c r="BB75" s="1" t="str">
        <f>IF($AF75=0,"",CHOOSE($AF75,INDEX(nINT_Treatment_Day,$AH75),"","","","","","","","","","",""))</f>
        <v/>
      </c>
      <c r="BC75" s="1" t="str">
        <f>IF($AF75=0,"",CHOOSE($AF75,INDEX(nINT_Reported_Timing_Result,$AH75)&amp;"","","","","","","","","","","",""))</f>
        <v/>
      </c>
      <c r="BD75" s="1" t="str">
        <f>IF($AF75=0,"",CHOOSE($AF75,IF(INDEX(nINT_K_HasC,$AH75)=1,INDEX(nINT_Constraint_Source,$AH75)&amp;"",""),"","","","","","","","","","",""))</f>
        <v/>
      </c>
      <c r="BE75" s="1" t="str">
        <f>IF($AF75=0,"",CHOOSE($AF75,"",INDEX(nQ1_Results_Text,$AH75)&amp;"",INDEX(nQ2_Results_Text,$AH75)&amp;"",INDEX(nQ3_Results_Text,$AH75)&amp;"",INDEX(nQ4_Results_Text,$AH75)&amp;"",INDEX(nQ5_Results_Text,$AH75)&amp;"",INDEX(nQ6_Results_Text,$AH75)&amp;"",INDEX(nQ7_Results_Text,$AH75)&amp;"",INDEX(nQ8_Results_Text,$AH75)&amp;"",INDEX(nQ9_Results_Text,$AH75)&amp;"",INDEX(nQ10_Results_Text,$AH75)&amp;"",INDEX(nQ11_Results_Text,$AH75)&amp;""))</f>
        <v/>
      </c>
      <c r="BF75" s="1" t="str">
        <f>IF($AF75=0,"",CHOOSE($AF75,INDEX(nINT_Parameter_Set,$AH75)&amp;"",INDEX(nQ1_Parameter_Set,$AH75)&amp;"",INDEX(nQ2_Parameter_Set,$AH75)&amp;"",INDEX(nQ3_Parameter_Set,$AH75)&amp;"",INDEX(nQ4_Parameter_Set,$AH75)&amp;"",INDEX(nQ5_Parameter_Set,$AH75)&amp;"",INDEX(nQ6_Parameter_Set,$AH75)&amp;"",INDEX(nQ7_Parameter_Set,$AH75)&amp;"",INDEX(nQ8_Parameter_Set,$AH75)&amp;"",INDEX(nQ9_Parameter_Set,$AH75)&amp;"",INDEX(nQ10_Parameter_Set,$AH75)&amp;"",INDEX(nQ11_Parameter_Set,$AH75)&amp;""))</f>
        <v/>
      </c>
      <c r="BG75" s="1" t="str">
        <f>IF($AF75=0,"",CHOOSE($AF75,INDEX(nINT_Assumptions,$AH75)&amp;"",INDEX(nQ1_Assumptions,$AH75)&amp;"",INDEX(nQ2_Assumptions,$AH75)&amp;"",INDEX(nQ3_Assumptions,$AH75)&amp;"",INDEX(nQ4_Assumptions,$AH75)&amp;"",INDEX(nQ5_Assumptions,$AH75)&amp;"",INDEX(nQ6_Assumptions,$AH75)&amp;"",INDEX(nQ7_Assumptions,$AH75)&amp;"",INDEX(nQ8_Assumptions,$AH75)&amp;"",INDEX(nQ9_Assumptions,$AH75)&amp;"",INDEX(nQ10_Assumptions,$AH75)&amp;"",INDEX(nQ11_Assumptions,$AH75)&amp;""))</f>
        <v/>
      </c>
      <c r="BH75" s="1" t="str">
        <f>IF($AF75=0,"",CHOOSE($AF75,INDEX(nINT_Calculation_Version,$AH75)&amp;"",INDEX(nQ1_Calculation_Version,$AH75)&amp;"",INDEX(nQ2_Calculation_Version,$AH75)&amp;"",INDEX(nQ3_Calculation_Version,$AH75)&amp;"",INDEX(nQ4_Calculation_Version,$AH75)&amp;"",INDEX(nQ5_Calculation_Version,$AH75)&amp;"",INDEX(nQ6_Calculation_Version,$AH75)&amp;"",INDEX(nQ7_Calculation_Version,$AH75)&amp;"",INDEX(nQ8_Calculation_Version,$AH75)&amp;"",INDEX(nQ9_Calculation_Version,$AH75)&amp;"",INDEX(nQ10_Calculation_Version,$AH75)&amp;"",INDEX(nQ11_Calculation_Version,$AH75)&amp;""))</f>
        <v/>
      </c>
      <c r="BI75" s="1" t="str">
        <f>IF($AF75=0,"",CHOOSE($AF75,INDEX(nINT_QC_Flags,$AH75)&amp;"",INDEX(nQ1_QC_Flags,$AH75)&amp;"",INDEX(nQ2_QC_Flags,$AH75)&amp;"",INDEX(nQ3_QC_Flags,$AH75)&amp;"",INDEX(nQ4_QC_Flags,$AH75)&amp;"",INDEX(nQ5_QC_Flags,$AH75)&amp;"",INDEX(nQ6_QC_Flags,$AH75)&amp;"",INDEX(nQ7_QC_Flags,$AH75)&amp;"",INDEX(nQ8_QC_Flags,$AH75)&amp;"",INDEX(nQ9_QC_Flags,$AH75)&amp;"",INDEX(nQ10_QC_Flags,$AH75)&amp;"",INDEX(nQ11_QC_Flags,$AH75)&amp;""))</f>
        <v/>
      </c>
      <c r="BJ75" s="1" t="str">
        <f>IF($AF75=0,"",CHOOSE($AF75,INDEX(nINT_Messages,$AH75)&amp;"",INDEX(nQ1_Messages,$AH75)&amp;"",INDEX(nQ2_Messages,$AH75)&amp;"",INDEX(nQ3_Messages,$AH75)&amp;"",INDEX(nQ4_Messages,$AH75)&amp;"",INDEX(nQ5_Messages,$AH75)&amp;"",INDEX(nQ6_Messages,$AH75)&amp;"",INDEX(nQ7_Messages,$AH75)&amp;"",INDEX(nQ8_Messages,$AH75)&amp;"",INDEX(nQ9_Messages,$AH75)&amp;"",INDEX(nQ10_Messages,$AH75)&amp;"",INDEX(nQ11_Messages,$AH75)&amp;""))</f>
        <v/>
      </c>
      <c r="BK75" s="1" t="str">
        <f>IF($AF75=0,"",CHOOSE($AF75,INDEX(nINT_Limitations,$AH75)&amp;"",INDEX(nQ1_Mandatory_Text,$AH75)&amp;"",INDEX(nQ2_Mandatory_Text,$AH75)&amp;"",INDEX(nQ3_Mandatory_Text,$AH75)&amp;"",INDEX(nQ4_Mandatory_Text,$AH75)&amp;"",INDEX(nQ5_Mandatory_Text,$AH75)&amp;"",INDEX(nQ6_Mandatory_Text,$AH75)&amp;"",INDEX(nQ7_Mandatory_Text,$AH75)&amp;"",INDEX(nQ8_Mandatory_Text,$AH75)&amp;"",INDEX(nQ9_Mandatory_Text,$AH75)&amp;"",INDEX(nQ10_Mandatory_Text,$AH75)&amp;"",INDEX(nQ11_Mandatory_Text,$AH75)&amp;""))</f>
        <v/>
      </c>
      <c r="BL75" s="1" t="str">
        <f t="shared" si="68"/>
        <v/>
      </c>
      <c r="BM75" s="1" t="str">
        <f t="shared" si="69"/>
        <v/>
      </c>
    </row>
    <row r="76" spans="1:65" x14ac:dyDescent="0.2">
      <c r="A76" s="21" t="str">
        <f t="shared" si="35"/>
        <v/>
      </c>
      <c r="B76" s="21" t="str">
        <f t="shared" si="36"/>
        <v/>
      </c>
      <c r="C76" s="21" t="str">
        <f t="shared" si="37"/>
        <v/>
      </c>
      <c r="D76" s="21" t="str">
        <f t="shared" si="38"/>
        <v/>
      </c>
      <c r="E76" s="21" t="str">
        <f t="shared" si="39"/>
        <v/>
      </c>
      <c r="F76" s="21" t="str">
        <f t="shared" si="40"/>
        <v/>
      </c>
      <c r="G76" s="21" t="str">
        <f t="shared" si="41"/>
        <v/>
      </c>
      <c r="H76" s="21" t="str">
        <f t="shared" si="42"/>
        <v/>
      </c>
      <c r="I76" s="21" t="str">
        <f t="shared" si="43"/>
        <v/>
      </c>
      <c r="J76" s="21" t="str">
        <f t="shared" si="44"/>
        <v/>
      </c>
      <c r="K76" s="21" t="str">
        <f t="shared" si="45"/>
        <v/>
      </c>
      <c r="L76" s="21" t="str">
        <f t="shared" si="46"/>
        <v/>
      </c>
      <c r="M76" s="21" t="str">
        <f t="shared" si="47"/>
        <v/>
      </c>
      <c r="N76" s="21" t="str">
        <f t="shared" si="48"/>
        <v/>
      </c>
      <c r="O76" s="21" t="str">
        <f t="shared" si="49"/>
        <v/>
      </c>
      <c r="P76" s="21" t="str">
        <f t="shared" si="50"/>
        <v/>
      </c>
      <c r="Q76" s="21" t="str">
        <f t="shared" si="51"/>
        <v/>
      </c>
      <c r="R76" s="21" t="str">
        <f t="shared" si="52"/>
        <v/>
      </c>
      <c r="S76" s="21" t="str">
        <f t="shared" si="53"/>
        <v/>
      </c>
      <c r="T76" s="21" t="str">
        <f t="shared" si="54"/>
        <v/>
      </c>
      <c r="U76" s="21" t="str">
        <f t="shared" si="55"/>
        <v/>
      </c>
      <c r="V76" s="21" t="str">
        <f t="shared" si="56"/>
        <v/>
      </c>
      <c r="W76" s="21" t="str">
        <f t="shared" si="57"/>
        <v/>
      </c>
      <c r="X76" s="21" t="str">
        <f t="shared" si="58"/>
        <v/>
      </c>
      <c r="Y76" s="21" t="str">
        <f t="shared" si="59"/>
        <v/>
      </c>
      <c r="Z76" s="21" t="str">
        <f t="shared" si="60"/>
        <v/>
      </c>
      <c r="AA76" s="21" t="str">
        <f t="shared" si="61"/>
        <v/>
      </c>
      <c r="AB76" s="21" t="str">
        <f t="shared" si="62"/>
        <v/>
      </c>
      <c r="AC76" s="21" t="str">
        <f t="shared" si="63"/>
        <v/>
      </c>
      <c r="AD76" s="21" t="str">
        <f t="shared" si="64"/>
        <v/>
      </c>
      <c r="AE76" s="1">
        <f t="shared" si="65"/>
        <v>69</v>
      </c>
      <c r="AF76" s="1">
        <f t="shared" si="66"/>
        <v>0</v>
      </c>
      <c r="AG76" s="1">
        <f t="shared" si="67"/>
        <v>0</v>
      </c>
      <c r="AH76" s="1">
        <f>IF(AF76=0,0,CHOOSE(AF76,IFERROR(_xlfn.AGGREGATE(15,6,(ROW(nINT_CaseKey)-ROW(INDEX(nINT_CaseKey,1,1))+1)/((nINT_CaseKey=$H$4)*(nINT_RowEmpty=0)),AG76),0),IFERROR(_xlfn.AGGREGATE(15,6,(ROW(nQ1_CaseKey)-ROW(INDEX(nQ1_CaseKey,1,1))+1)/((nQ1_CaseKey=$H$4)),AG76),0),IFERROR(_xlfn.AGGREGATE(15,6,(ROW(nQ2_CaseKey)-ROW(INDEX(nQ2_CaseKey,1,1))+1)/((nQ2_CaseKey=$H$4)),AG76),0),IFERROR(_xlfn.AGGREGATE(15,6,(ROW(nQ3_CaseKey)-ROW(INDEX(nQ3_CaseKey,1,1))+1)/((nQ3_CaseKey=$H$4)),AG76),0),IFERROR(_xlfn.AGGREGATE(15,6,(ROW(nQ4_CaseKey)-ROW(INDEX(nQ4_CaseKey,1,1))+1)/((nQ4_CaseKey=$H$4)),AG76),0),IFERROR(_xlfn.AGGREGATE(15,6,(ROW(nQ5_CaseKey)-ROW(INDEX(nQ5_CaseKey,1,1))+1)/((nQ5_CaseKey=$H$4)),AG76),0),IFERROR(_xlfn.AGGREGATE(15,6,(ROW(nQ6_CaseKey)-ROW(INDEX(nQ6_CaseKey,1,1))+1)/((nQ6_CaseKey=$H$4)),AG76),0),IFERROR(_xlfn.AGGREGATE(15,6,(ROW(nQ7_CaseKey)-ROW(INDEX(nQ7_CaseKey,1,1))+1)/((nQ7_CaseKey=$H$4)),AG76),0),IFERROR(_xlfn.AGGREGATE(15,6,(ROW(nQ8_CaseKey)-ROW(INDEX(nQ8_CaseKey,1,1))+1)/((nQ8_CaseKey=$H$4)),AG76),0),IFERROR(_xlfn.AGGREGATE(15,6,(ROW(nQ9_CaseKey)-ROW(INDEX(nQ9_CaseKey,1,1))+1)/((nQ9_CaseKey=$H$4)),AG76),0),IFERROR(_xlfn.AGGREGATE(15,6,(ROW(nQ10_CaseKey)-ROW(INDEX(nQ10_CaseKey,1,1))+1)/((nQ10_CaseKey=$H$4)),AG76),0),IFERROR(_xlfn.AGGREGATE(15,6,(ROW(nQ11_CaseKey)-ROW(INDEX(nQ11_CaseKey,1,1))+1)/((nQ11_CaseKey=$H$4)),AG76),0)))</f>
        <v>0</v>
      </c>
      <c r="AJ76" s="1" t="str">
        <f>IF($AF76=0,"",CHOOSE($AF76,INDEX(nINT_Case_ID,$AH76)&amp;"",INDEX(nQ1_Case_ID,$AH76)&amp;"",INDEX(nQ2_Case_ID,$AH76)&amp;"",INDEX(nQ3_Case_ID,$AH76)&amp;"",INDEX(nQ4_Case_ID,$AH76)&amp;"",INDEX(nQ5_Case_ID,$AH76)&amp;"",INDEX(nQ6_Case_ID,$AH76)&amp;"",INDEX(nQ7_Case_ID,$AH76)&amp;"",INDEX(nQ8_Case_ID,$AH76)&amp;"",INDEX(nQ9_Case_ID,$AH76)&amp;"",INDEX(nQ10_Case_ID,$AH76)&amp;"",INDEX(nQ11_Case_ID,$AH76)&amp;""))</f>
        <v/>
      </c>
      <c r="AK76" s="1" t="str">
        <f>IF($AF76=0,"",CHOOSE($AF76,INDEX(nINT_Case_Version,$AH76),INDEX(nQ1_Case_Version,$AH76),INDEX(nQ2_Case_Version,$AH76),INDEX(nQ3_Case_Version,$AH76),INDEX(nQ4_Case_Version,$AH76),INDEX(nQ5_Case_Version,$AH76),INDEX(nQ6_Case_Version,$AH76),INDEX(nQ7_Case_Version,$AH76),INDEX(nQ8_Case_Version,$AH76),INDEX(nQ9_Case_Version,$AH76),INDEX(nQ10_Case_Version,$AH76),INDEX(nQ11_Case_Version,$AH76)))</f>
        <v/>
      </c>
      <c r="AL76" s="1" t="str">
        <f>IF($AF76=0,"",CHOOSE($AF76,INDEX(nINT_Interval_ID,$AH76)&amp;"",INDEX(nQ1_Calc_ID,$AH76)&amp;"",INDEX(nQ2_Calc_ID,$AH76)&amp;"",INDEX(nQ3_Calc_ID,$AH76)&amp;"",INDEX(nQ4_Calc_ID,$AH76)&amp;"",INDEX(nQ5_Calc_ID,$AH76)&amp;"",INDEX(nQ6_Calc_ID,$AH76)&amp;"",INDEX(nQ7_Calc_ID,$AH76)&amp;"",INDEX(nQ8_Calc_ID,$AH76)&amp;"",INDEX(nQ9_Calc_ID,$AH76)&amp;"",INDEX(nQ10_Calc_ID,$AH76)&amp;"",INDEX(nQ11_Calc_ID,$AH76)&amp;""))</f>
        <v/>
      </c>
      <c r="AM76" s="1" t="str">
        <f>IF($AF76=0,"",CHOOSE($AF76,INDEX(nINT_Label,$AH76)&amp;"",INDEX(nQ1_Label_Out,$AH76)&amp;"",INDEX(nQ2_Label_Out,$AH76)&amp;"",INDEX(nQ3_Label_Out,$AH76)&amp;"",INDEX(nQ4_Label_Out,$AH76)&amp;"",INDEX(nQ5_Label_Out,$AH76)&amp;"",INDEX(nQ6_Label_Out,$AH76)&amp;"",INDEX(nQ7_Label_Out,$AH76)&amp;"",INDEX(nQ8_Label_Out,$AH76)&amp;"",INDEX(nQ9_Label_Out,$AH76)&amp;"",INDEX(nQ10_Label_Out,$AH76)&amp;"",INDEX(nQ11_Label_Out,$AH76)&amp;""))</f>
        <v/>
      </c>
      <c r="AN76" s="1" t="str">
        <f>IF($AF76=0,"",CHOOSE($AF76,IF(INDEX(nINT_LinkRow,$AH76)=0,"",INDEX(nINT_Link_ID,$AH76)&amp;""),"","","","","","","","","","",""))</f>
        <v/>
      </c>
      <c r="AO76" s="1" t="str">
        <f>IF($AF76=0,"",CHOOSE($AF76,INDEX(nINT_Exposure_Episode_ID,$AH76)&amp;"","","","","","","","","","","",""))</f>
        <v/>
      </c>
      <c r="AP76" s="1" t="str">
        <f>IF($AF76=0,"",CHOOSE($AF76,INDEX(nINT_Event_Episode_ID,$AH76)&amp;"","","","","","","","","","","",""))</f>
        <v/>
      </c>
      <c r="AQ76" s="1" t="str">
        <f>IF($AF76=0,"",CHOOSE($AF76,INDEX(nINT_End_Record_ID_Used,$AH76)&amp;"","","","","","","","","","","",""))</f>
        <v/>
      </c>
      <c r="AR76" s="1" t="str">
        <f>IF($AF76=0,"",CHOOSE($AF76,INDEX(nINT_Interval_Value,$AH76),"","","","","","","","","","",""))</f>
        <v/>
      </c>
      <c r="AS76" s="1" t="str">
        <f>IF($AF76=0,"",CHOOSE($AF76,INDEX(nINT_Interval_Minimum,$AH76),"","","","","","","","","","",""))</f>
        <v/>
      </c>
      <c r="AT76" s="1" t="str">
        <f>IF($AF76=0,"",CHOOSE($AF76,INDEX(nINT_Interval_Maximum,$AH76),"","","","","","","","","","",""))</f>
        <v/>
      </c>
      <c r="AU76" s="1" t="str">
        <f>IF($AF76=0,"",CHOOSE($AF76,INDEX(nINT_Unit,$AH76)&amp;"",INDEX(nQ1_Unit_Out,$AH76)&amp;"",INDEX(nQ2_Unit_Out,$AH76)&amp;"",INDEX(nQ3_Unit_Out,$AH76)&amp;"",INDEX(nQ4_Unit_Out,$AH76)&amp;"",INDEX(nQ5_Unit_Out,$AH76)&amp;"",INDEX(nQ6_Unit_Out,$AH76)&amp;"",INDEX(nQ7_Unit_Out,$AH76)&amp;"",INDEX(nQ8_Unit_Out,$AH76)&amp;"",INDEX(nQ9_Unit_Out,$AH76)&amp;"",INDEX(nQ10_Unit_Out,$AH76)&amp;"",INDEX(nQ11_Unit_Out,$AH76)&amp;""))</f>
        <v/>
      </c>
      <c r="AV76" s="1" t="str">
        <f>IF($AF76=0,"",CHOOSE($AF76,INDEX(nINT_Displayed_Value,$AH76)&amp;"",INDEX(nQ1_Displayed_Value,$AH76)&amp;"",INDEX(nQ2_Displayed_Value,$AH76)&amp;"",INDEX(nQ3_Displayed_Value,$AH76)&amp;"",INDEX(nQ4_Displayed_Value,$AH76)&amp;"",INDEX(nQ5_Displayed_Value,$AH76)&amp;"",INDEX(nQ6_Displayed_Value,$AH76)&amp;"",INDEX(nQ7_Displayed_Value,$AH76)&amp;"",INDEX(nQ8_Displayed_Value,$AH76)&amp;"",INDEX(nQ9_Displayed_Value,$AH76)&amp;"",INDEX(nQ10_Displayed_Value,$AH76)&amp;"",INDEX(nQ11_Displayed_Value,$AH76)&amp;""))</f>
        <v/>
      </c>
      <c r="AW76" s="1" t="str">
        <f>IF($AF76=0,"",CHOOSE($AF76,INDEX(nINT_Calculation_Mode_Used,$AH76)&amp;"","Q1","Q2","Q3","Q4","Q5","Q6","Q7","Q8","Q9","Q10","Q11"))</f>
        <v/>
      </c>
      <c r="AX76" s="1" t="str">
        <f>IF($AF76=0,"",CHOOSE($AF76,INDEX(nINT_Anchor_Type,$AH76)&amp;"","","","","","","","","","","",""))</f>
        <v/>
      </c>
      <c r="AY76" s="1" t="str">
        <f>IF($AF76=0,"",CHOOSE($AF76,IF(INDEX(nINT_K_Ok,$AH76)=1,INDEX(nINT_Anchor_Record_ID_Used,$AH76)&amp;"",""),"","","","","","","","","","",""))</f>
        <v/>
      </c>
      <c r="AZ76" s="1" t="str">
        <f>IF($AF76=0,"",CHOOSE($AF76,INDEX(nINT_Anchor_Description,$AH76)&amp;"","","","","","","","","","","",""))</f>
        <v/>
      </c>
      <c r="BA76" s="1" t="str">
        <f>IF($AF76=0,"",CHOOSE($AF76,INDEX(nINT_Sequence_Status,$AH76)&amp;"","","","","","","","","","","",""))</f>
        <v/>
      </c>
      <c r="BB76" s="1" t="str">
        <f>IF($AF76=0,"",CHOOSE($AF76,INDEX(nINT_Treatment_Day,$AH76),"","","","","","","","","","",""))</f>
        <v/>
      </c>
      <c r="BC76" s="1" t="str">
        <f>IF($AF76=0,"",CHOOSE($AF76,INDEX(nINT_Reported_Timing_Result,$AH76)&amp;"","","","","","","","","","","",""))</f>
        <v/>
      </c>
      <c r="BD76" s="1" t="str">
        <f>IF($AF76=0,"",CHOOSE($AF76,IF(INDEX(nINT_K_HasC,$AH76)=1,INDEX(nINT_Constraint_Source,$AH76)&amp;"",""),"","","","","","","","","","",""))</f>
        <v/>
      </c>
      <c r="BE76" s="1" t="str">
        <f>IF($AF76=0,"",CHOOSE($AF76,"",INDEX(nQ1_Results_Text,$AH76)&amp;"",INDEX(nQ2_Results_Text,$AH76)&amp;"",INDEX(nQ3_Results_Text,$AH76)&amp;"",INDEX(nQ4_Results_Text,$AH76)&amp;"",INDEX(nQ5_Results_Text,$AH76)&amp;"",INDEX(nQ6_Results_Text,$AH76)&amp;"",INDEX(nQ7_Results_Text,$AH76)&amp;"",INDEX(nQ8_Results_Text,$AH76)&amp;"",INDEX(nQ9_Results_Text,$AH76)&amp;"",INDEX(nQ10_Results_Text,$AH76)&amp;"",INDEX(nQ11_Results_Text,$AH76)&amp;""))</f>
        <v/>
      </c>
      <c r="BF76" s="1" t="str">
        <f>IF($AF76=0,"",CHOOSE($AF76,INDEX(nINT_Parameter_Set,$AH76)&amp;"",INDEX(nQ1_Parameter_Set,$AH76)&amp;"",INDEX(nQ2_Parameter_Set,$AH76)&amp;"",INDEX(nQ3_Parameter_Set,$AH76)&amp;"",INDEX(nQ4_Parameter_Set,$AH76)&amp;"",INDEX(nQ5_Parameter_Set,$AH76)&amp;"",INDEX(nQ6_Parameter_Set,$AH76)&amp;"",INDEX(nQ7_Parameter_Set,$AH76)&amp;"",INDEX(nQ8_Parameter_Set,$AH76)&amp;"",INDEX(nQ9_Parameter_Set,$AH76)&amp;"",INDEX(nQ10_Parameter_Set,$AH76)&amp;"",INDEX(nQ11_Parameter_Set,$AH76)&amp;""))</f>
        <v/>
      </c>
      <c r="BG76" s="1" t="str">
        <f>IF($AF76=0,"",CHOOSE($AF76,INDEX(nINT_Assumptions,$AH76)&amp;"",INDEX(nQ1_Assumptions,$AH76)&amp;"",INDEX(nQ2_Assumptions,$AH76)&amp;"",INDEX(nQ3_Assumptions,$AH76)&amp;"",INDEX(nQ4_Assumptions,$AH76)&amp;"",INDEX(nQ5_Assumptions,$AH76)&amp;"",INDEX(nQ6_Assumptions,$AH76)&amp;"",INDEX(nQ7_Assumptions,$AH76)&amp;"",INDEX(nQ8_Assumptions,$AH76)&amp;"",INDEX(nQ9_Assumptions,$AH76)&amp;"",INDEX(nQ10_Assumptions,$AH76)&amp;"",INDEX(nQ11_Assumptions,$AH76)&amp;""))</f>
        <v/>
      </c>
      <c r="BH76" s="1" t="str">
        <f>IF($AF76=0,"",CHOOSE($AF76,INDEX(nINT_Calculation_Version,$AH76)&amp;"",INDEX(nQ1_Calculation_Version,$AH76)&amp;"",INDEX(nQ2_Calculation_Version,$AH76)&amp;"",INDEX(nQ3_Calculation_Version,$AH76)&amp;"",INDEX(nQ4_Calculation_Version,$AH76)&amp;"",INDEX(nQ5_Calculation_Version,$AH76)&amp;"",INDEX(nQ6_Calculation_Version,$AH76)&amp;"",INDEX(nQ7_Calculation_Version,$AH76)&amp;"",INDEX(nQ8_Calculation_Version,$AH76)&amp;"",INDEX(nQ9_Calculation_Version,$AH76)&amp;"",INDEX(nQ10_Calculation_Version,$AH76)&amp;"",INDEX(nQ11_Calculation_Version,$AH76)&amp;""))</f>
        <v/>
      </c>
      <c r="BI76" s="1" t="str">
        <f>IF($AF76=0,"",CHOOSE($AF76,INDEX(nINT_QC_Flags,$AH76)&amp;"",INDEX(nQ1_QC_Flags,$AH76)&amp;"",INDEX(nQ2_QC_Flags,$AH76)&amp;"",INDEX(nQ3_QC_Flags,$AH76)&amp;"",INDEX(nQ4_QC_Flags,$AH76)&amp;"",INDEX(nQ5_QC_Flags,$AH76)&amp;"",INDEX(nQ6_QC_Flags,$AH76)&amp;"",INDEX(nQ7_QC_Flags,$AH76)&amp;"",INDEX(nQ8_QC_Flags,$AH76)&amp;"",INDEX(nQ9_QC_Flags,$AH76)&amp;"",INDEX(nQ10_QC_Flags,$AH76)&amp;"",INDEX(nQ11_QC_Flags,$AH76)&amp;""))</f>
        <v/>
      </c>
      <c r="BJ76" s="1" t="str">
        <f>IF($AF76=0,"",CHOOSE($AF76,INDEX(nINT_Messages,$AH76)&amp;"",INDEX(nQ1_Messages,$AH76)&amp;"",INDEX(nQ2_Messages,$AH76)&amp;"",INDEX(nQ3_Messages,$AH76)&amp;"",INDEX(nQ4_Messages,$AH76)&amp;"",INDEX(nQ5_Messages,$AH76)&amp;"",INDEX(nQ6_Messages,$AH76)&amp;"",INDEX(nQ7_Messages,$AH76)&amp;"",INDEX(nQ8_Messages,$AH76)&amp;"",INDEX(nQ9_Messages,$AH76)&amp;"",INDEX(nQ10_Messages,$AH76)&amp;"",INDEX(nQ11_Messages,$AH76)&amp;""))</f>
        <v/>
      </c>
      <c r="BK76" s="1" t="str">
        <f>IF($AF76=0,"",CHOOSE($AF76,INDEX(nINT_Limitations,$AH76)&amp;"",INDEX(nQ1_Mandatory_Text,$AH76)&amp;"",INDEX(nQ2_Mandatory_Text,$AH76)&amp;"",INDEX(nQ3_Mandatory_Text,$AH76)&amp;"",INDEX(nQ4_Mandatory_Text,$AH76)&amp;"",INDEX(nQ5_Mandatory_Text,$AH76)&amp;"",INDEX(nQ6_Mandatory_Text,$AH76)&amp;"",INDEX(nQ7_Mandatory_Text,$AH76)&amp;"",INDEX(nQ8_Mandatory_Text,$AH76)&amp;"",INDEX(nQ9_Mandatory_Text,$AH76)&amp;"",INDEX(nQ10_Mandatory_Text,$AH76)&amp;"",INDEX(nQ11_Mandatory_Text,$AH76)&amp;""))</f>
        <v/>
      </c>
      <c r="BL76" s="1" t="str">
        <f t="shared" si="68"/>
        <v/>
      </c>
      <c r="BM76" s="1" t="str">
        <f t="shared" si="69"/>
        <v/>
      </c>
    </row>
    <row r="77" spans="1:65" x14ac:dyDescent="0.2">
      <c r="A77" s="21" t="str">
        <f t="shared" si="35"/>
        <v/>
      </c>
      <c r="B77" s="21" t="str">
        <f t="shared" si="36"/>
        <v/>
      </c>
      <c r="C77" s="21" t="str">
        <f t="shared" si="37"/>
        <v/>
      </c>
      <c r="D77" s="21" t="str">
        <f t="shared" si="38"/>
        <v/>
      </c>
      <c r="E77" s="21" t="str">
        <f t="shared" si="39"/>
        <v/>
      </c>
      <c r="F77" s="21" t="str">
        <f t="shared" si="40"/>
        <v/>
      </c>
      <c r="G77" s="21" t="str">
        <f t="shared" si="41"/>
        <v/>
      </c>
      <c r="H77" s="21" t="str">
        <f t="shared" si="42"/>
        <v/>
      </c>
      <c r="I77" s="21" t="str">
        <f t="shared" si="43"/>
        <v/>
      </c>
      <c r="J77" s="21" t="str">
        <f t="shared" si="44"/>
        <v/>
      </c>
      <c r="K77" s="21" t="str">
        <f t="shared" si="45"/>
        <v/>
      </c>
      <c r="L77" s="21" t="str">
        <f t="shared" si="46"/>
        <v/>
      </c>
      <c r="M77" s="21" t="str">
        <f t="shared" si="47"/>
        <v/>
      </c>
      <c r="N77" s="21" t="str">
        <f t="shared" si="48"/>
        <v/>
      </c>
      <c r="O77" s="21" t="str">
        <f t="shared" si="49"/>
        <v/>
      </c>
      <c r="P77" s="21" t="str">
        <f t="shared" si="50"/>
        <v/>
      </c>
      <c r="Q77" s="21" t="str">
        <f t="shared" si="51"/>
        <v/>
      </c>
      <c r="R77" s="21" t="str">
        <f t="shared" si="52"/>
        <v/>
      </c>
      <c r="S77" s="21" t="str">
        <f t="shared" si="53"/>
        <v/>
      </c>
      <c r="T77" s="21" t="str">
        <f t="shared" si="54"/>
        <v/>
      </c>
      <c r="U77" s="21" t="str">
        <f t="shared" si="55"/>
        <v/>
      </c>
      <c r="V77" s="21" t="str">
        <f t="shared" si="56"/>
        <v/>
      </c>
      <c r="W77" s="21" t="str">
        <f t="shared" si="57"/>
        <v/>
      </c>
      <c r="X77" s="21" t="str">
        <f t="shared" si="58"/>
        <v/>
      </c>
      <c r="Y77" s="21" t="str">
        <f t="shared" si="59"/>
        <v/>
      </c>
      <c r="Z77" s="21" t="str">
        <f t="shared" si="60"/>
        <v/>
      </c>
      <c r="AA77" s="21" t="str">
        <f t="shared" si="61"/>
        <v/>
      </c>
      <c r="AB77" s="21" t="str">
        <f t="shared" si="62"/>
        <v/>
      </c>
      <c r="AC77" s="21" t="str">
        <f t="shared" si="63"/>
        <v/>
      </c>
      <c r="AD77" s="21" t="str">
        <f t="shared" si="64"/>
        <v/>
      </c>
      <c r="AE77" s="1">
        <f t="shared" si="65"/>
        <v>70</v>
      </c>
      <c r="AF77" s="1">
        <f t="shared" si="66"/>
        <v>0</v>
      </c>
      <c r="AG77" s="1">
        <f t="shared" si="67"/>
        <v>0</v>
      </c>
      <c r="AH77" s="1">
        <f>IF(AF77=0,0,CHOOSE(AF77,IFERROR(_xlfn.AGGREGATE(15,6,(ROW(nINT_CaseKey)-ROW(INDEX(nINT_CaseKey,1,1))+1)/((nINT_CaseKey=$H$4)*(nINT_RowEmpty=0)),AG77),0),IFERROR(_xlfn.AGGREGATE(15,6,(ROW(nQ1_CaseKey)-ROW(INDEX(nQ1_CaseKey,1,1))+1)/((nQ1_CaseKey=$H$4)),AG77),0),IFERROR(_xlfn.AGGREGATE(15,6,(ROW(nQ2_CaseKey)-ROW(INDEX(nQ2_CaseKey,1,1))+1)/((nQ2_CaseKey=$H$4)),AG77),0),IFERROR(_xlfn.AGGREGATE(15,6,(ROW(nQ3_CaseKey)-ROW(INDEX(nQ3_CaseKey,1,1))+1)/((nQ3_CaseKey=$H$4)),AG77),0),IFERROR(_xlfn.AGGREGATE(15,6,(ROW(nQ4_CaseKey)-ROW(INDEX(nQ4_CaseKey,1,1))+1)/((nQ4_CaseKey=$H$4)),AG77),0),IFERROR(_xlfn.AGGREGATE(15,6,(ROW(nQ5_CaseKey)-ROW(INDEX(nQ5_CaseKey,1,1))+1)/((nQ5_CaseKey=$H$4)),AG77),0),IFERROR(_xlfn.AGGREGATE(15,6,(ROW(nQ6_CaseKey)-ROW(INDEX(nQ6_CaseKey,1,1))+1)/((nQ6_CaseKey=$H$4)),AG77),0),IFERROR(_xlfn.AGGREGATE(15,6,(ROW(nQ7_CaseKey)-ROW(INDEX(nQ7_CaseKey,1,1))+1)/((nQ7_CaseKey=$H$4)),AG77),0),IFERROR(_xlfn.AGGREGATE(15,6,(ROW(nQ8_CaseKey)-ROW(INDEX(nQ8_CaseKey,1,1))+1)/((nQ8_CaseKey=$H$4)),AG77),0),IFERROR(_xlfn.AGGREGATE(15,6,(ROW(nQ9_CaseKey)-ROW(INDEX(nQ9_CaseKey,1,1))+1)/((nQ9_CaseKey=$H$4)),AG77),0),IFERROR(_xlfn.AGGREGATE(15,6,(ROW(nQ10_CaseKey)-ROW(INDEX(nQ10_CaseKey,1,1))+1)/((nQ10_CaseKey=$H$4)),AG77),0),IFERROR(_xlfn.AGGREGATE(15,6,(ROW(nQ11_CaseKey)-ROW(INDEX(nQ11_CaseKey,1,1))+1)/((nQ11_CaseKey=$H$4)),AG77),0)))</f>
        <v>0</v>
      </c>
      <c r="AJ77" s="1" t="str">
        <f>IF($AF77=0,"",CHOOSE($AF77,INDEX(nINT_Case_ID,$AH77)&amp;"",INDEX(nQ1_Case_ID,$AH77)&amp;"",INDEX(nQ2_Case_ID,$AH77)&amp;"",INDEX(nQ3_Case_ID,$AH77)&amp;"",INDEX(nQ4_Case_ID,$AH77)&amp;"",INDEX(nQ5_Case_ID,$AH77)&amp;"",INDEX(nQ6_Case_ID,$AH77)&amp;"",INDEX(nQ7_Case_ID,$AH77)&amp;"",INDEX(nQ8_Case_ID,$AH77)&amp;"",INDEX(nQ9_Case_ID,$AH77)&amp;"",INDEX(nQ10_Case_ID,$AH77)&amp;"",INDEX(nQ11_Case_ID,$AH77)&amp;""))</f>
        <v/>
      </c>
      <c r="AK77" s="1" t="str">
        <f>IF($AF77=0,"",CHOOSE($AF77,INDEX(nINT_Case_Version,$AH77),INDEX(nQ1_Case_Version,$AH77),INDEX(nQ2_Case_Version,$AH77),INDEX(nQ3_Case_Version,$AH77),INDEX(nQ4_Case_Version,$AH77),INDEX(nQ5_Case_Version,$AH77),INDEX(nQ6_Case_Version,$AH77),INDEX(nQ7_Case_Version,$AH77),INDEX(nQ8_Case_Version,$AH77),INDEX(nQ9_Case_Version,$AH77),INDEX(nQ10_Case_Version,$AH77),INDEX(nQ11_Case_Version,$AH77)))</f>
        <v/>
      </c>
      <c r="AL77" s="1" t="str">
        <f>IF($AF77=0,"",CHOOSE($AF77,INDEX(nINT_Interval_ID,$AH77)&amp;"",INDEX(nQ1_Calc_ID,$AH77)&amp;"",INDEX(nQ2_Calc_ID,$AH77)&amp;"",INDEX(nQ3_Calc_ID,$AH77)&amp;"",INDEX(nQ4_Calc_ID,$AH77)&amp;"",INDEX(nQ5_Calc_ID,$AH77)&amp;"",INDEX(nQ6_Calc_ID,$AH77)&amp;"",INDEX(nQ7_Calc_ID,$AH77)&amp;"",INDEX(nQ8_Calc_ID,$AH77)&amp;"",INDEX(nQ9_Calc_ID,$AH77)&amp;"",INDEX(nQ10_Calc_ID,$AH77)&amp;"",INDEX(nQ11_Calc_ID,$AH77)&amp;""))</f>
        <v/>
      </c>
      <c r="AM77" s="1" t="str">
        <f>IF($AF77=0,"",CHOOSE($AF77,INDEX(nINT_Label,$AH77)&amp;"",INDEX(nQ1_Label_Out,$AH77)&amp;"",INDEX(nQ2_Label_Out,$AH77)&amp;"",INDEX(nQ3_Label_Out,$AH77)&amp;"",INDEX(nQ4_Label_Out,$AH77)&amp;"",INDEX(nQ5_Label_Out,$AH77)&amp;"",INDEX(nQ6_Label_Out,$AH77)&amp;"",INDEX(nQ7_Label_Out,$AH77)&amp;"",INDEX(nQ8_Label_Out,$AH77)&amp;"",INDEX(nQ9_Label_Out,$AH77)&amp;"",INDEX(nQ10_Label_Out,$AH77)&amp;"",INDEX(nQ11_Label_Out,$AH77)&amp;""))</f>
        <v/>
      </c>
      <c r="AN77" s="1" t="str">
        <f>IF($AF77=0,"",CHOOSE($AF77,IF(INDEX(nINT_LinkRow,$AH77)=0,"",INDEX(nINT_Link_ID,$AH77)&amp;""),"","","","","","","","","","",""))</f>
        <v/>
      </c>
      <c r="AO77" s="1" t="str">
        <f>IF($AF77=0,"",CHOOSE($AF77,INDEX(nINT_Exposure_Episode_ID,$AH77)&amp;"","","","","","","","","","","",""))</f>
        <v/>
      </c>
      <c r="AP77" s="1" t="str">
        <f>IF($AF77=0,"",CHOOSE($AF77,INDEX(nINT_Event_Episode_ID,$AH77)&amp;"","","","","","","","","","","",""))</f>
        <v/>
      </c>
      <c r="AQ77" s="1" t="str">
        <f>IF($AF77=0,"",CHOOSE($AF77,INDEX(nINT_End_Record_ID_Used,$AH77)&amp;"","","","","","","","","","","",""))</f>
        <v/>
      </c>
      <c r="AR77" s="1" t="str">
        <f>IF($AF77=0,"",CHOOSE($AF77,INDEX(nINT_Interval_Value,$AH77),"","","","","","","","","","",""))</f>
        <v/>
      </c>
      <c r="AS77" s="1" t="str">
        <f>IF($AF77=0,"",CHOOSE($AF77,INDEX(nINT_Interval_Minimum,$AH77),"","","","","","","","","","",""))</f>
        <v/>
      </c>
      <c r="AT77" s="1" t="str">
        <f>IF($AF77=0,"",CHOOSE($AF77,INDEX(nINT_Interval_Maximum,$AH77),"","","","","","","","","","",""))</f>
        <v/>
      </c>
      <c r="AU77" s="1" t="str">
        <f>IF($AF77=0,"",CHOOSE($AF77,INDEX(nINT_Unit,$AH77)&amp;"",INDEX(nQ1_Unit_Out,$AH77)&amp;"",INDEX(nQ2_Unit_Out,$AH77)&amp;"",INDEX(nQ3_Unit_Out,$AH77)&amp;"",INDEX(nQ4_Unit_Out,$AH77)&amp;"",INDEX(nQ5_Unit_Out,$AH77)&amp;"",INDEX(nQ6_Unit_Out,$AH77)&amp;"",INDEX(nQ7_Unit_Out,$AH77)&amp;"",INDEX(nQ8_Unit_Out,$AH77)&amp;"",INDEX(nQ9_Unit_Out,$AH77)&amp;"",INDEX(nQ10_Unit_Out,$AH77)&amp;"",INDEX(nQ11_Unit_Out,$AH77)&amp;""))</f>
        <v/>
      </c>
      <c r="AV77" s="1" t="str">
        <f>IF($AF77=0,"",CHOOSE($AF77,INDEX(nINT_Displayed_Value,$AH77)&amp;"",INDEX(nQ1_Displayed_Value,$AH77)&amp;"",INDEX(nQ2_Displayed_Value,$AH77)&amp;"",INDEX(nQ3_Displayed_Value,$AH77)&amp;"",INDEX(nQ4_Displayed_Value,$AH77)&amp;"",INDEX(nQ5_Displayed_Value,$AH77)&amp;"",INDEX(nQ6_Displayed_Value,$AH77)&amp;"",INDEX(nQ7_Displayed_Value,$AH77)&amp;"",INDEX(nQ8_Displayed_Value,$AH77)&amp;"",INDEX(nQ9_Displayed_Value,$AH77)&amp;"",INDEX(nQ10_Displayed_Value,$AH77)&amp;"",INDEX(nQ11_Displayed_Value,$AH77)&amp;""))</f>
        <v/>
      </c>
      <c r="AW77" s="1" t="str">
        <f>IF($AF77=0,"",CHOOSE($AF77,INDEX(nINT_Calculation_Mode_Used,$AH77)&amp;"","Q1","Q2","Q3","Q4","Q5","Q6","Q7","Q8","Q9","Q10","Q11"))</f>
        <v/>
      </c>
      <c r="AX77" s="1" t="str">
        <f>IF($AF77=0,"",CHOOSE($AF77,INDEX(nINT_Anchor_Type,$AH77)&amp;"","","","","","","","","","","",""))</f>
        <v/>
      </c>
      <c r="AY77" s="1" t="str">
        <f>IF($AF77=0,"",CHOOSE($AF77,IF(INDEX(nINT_K_Ok,$AH77)=1,INDEX(nINT_Anchor_Record_ID_Used,$AH77)&amp;"",""),"","","","","","","","","","",""))</f>
        <v/>
      </c>
      <c r="AZ77" s="1" t="str">
        <f>IF($AF77=0,"",CHOOSE($AF77,INDEX(nINT_Anchor_Description,$AH77)&amp;"","","","","","","","","","","",""))</f>
        <v/>
      </c>
      <c r="BA77" s="1" t="str">
        <f>IF($AF77=0,"",CHOOSE($AF77,INDEX(nINT_Sequence_Status,$AH77)&amp;"","","","","","","","","","","",""))</f>
        <v/>
      </c>
      <c r="BB77" s="1" t="str">
        <f>IF($AF77=0,"",CHOOSE($AF77,INDEX(nINT_Treatment_Day,$AH77),"","","","","","","","","","",""))</f>
        <v/>
      </c>
      <c r="BC77" s="1" t="str">
        <f>IF($AF77=0,"",CHOOSE($AF77,INDEX(nINT_Reported_Timing_Result,$AH77)&amp;"","","","","","","","","","","",""))</f>
        <v/>
      </c>
      <c r="BD77" s="1" t="str">
        <f>IF($AF77=0,"",CHOOSE($AF77,IF(INDEX(nINT_K_HasC,$AH77)=1,INDEX(nINT_Constraint_Source,$AH77)&amp;"",""),"","","","","","","","","","",""))</f>
        <v/>
      </c>
      <c r="BE77" s="1" t="str">
        <f>IF($AF77=0,"",CHOOSE($AF77,"",INDEX(nQ1_Results_Text,$AH77)&amp;"",INDEX(nQ2_Results_Text,$AH77)&amp;"",INDEX(nQ3_Results_Text,$AH77)&amp;"",INDEX(nQ4_Results_Text,$AH77)&amp;"",INDEX(nQ5_Results_Text,$AH77)&amp;"",INDEX(nQ6_Results_Text,$AH77)&amp;"",INDEX(nQ7_Results_Text,$AH77)&amp;"",INDEX(nQ8_Results_Text,$AH77)&amp;"",INDEX(nQ9_Results_Text,$AH77)&amp;"",INDEX(nQ10_Results_Text,$AH77)&amp;"",INDEX(nQ11_Results_Text,$AH77)&amp;""))</f>
        <v/>
      </c>
      <c r="BF77" s="1" t="str">
        <f>IF($AF77=0,"",CHOOSE($AF77,INDEX(nINT_Parameter_Set,$AH77)&amp;"",INDEX(nQ1_Parameter_Set,$AH77)&amp;"",INDEX(nQ2_Parameter_Set,$AH77)&amp;"",INDEX(nQ3_Parameter_Set,$AH77)&amp;"",INDEX(nQ4_Parameter_Set,$AH77)&amp;"",INDEX(nQ5_Parameter_Set,$AH77)&amp;"",INDEX(nQ6_Parameter_Set,$AH77)&amp;"",INDEX(nQ7_Parameter_Set,$AH77)&amp;"",INDEX(nQ8_Parameter_Set,$AH77)&amp;"",INDEX(nQ9_Parameter_Set,$AH77)&amp;"",INDEX(nQ10_Parameter_Set,$AH77)&amp;"",INDEX(nQ11_Parameter_Set,$AH77)&amp;""))</f>
        <v/>
      </c>
      <c r="BG77" s="1" t="str">
        <f>IF($AF77=0,"",CHOOSE($AF77,INDEX(nINT_Assumptions,$AH77)&amp;"",INDEX(nQ1_Assumptions,$AH77)&amp;"",INDEX(nQ2_Assumptions,$AH77)&amp;"",INDEX(nQ3_Assumptions,$AH77)&amp;"",INDEX(nQ4_Assumptions,$AH77)&amp;"",INDEX(nQ5_Assumptions,$AH77)&amp;"",INDEX(nQ6_Assumptions,$AH77)&amp;"",INDEX(nQ7_Assumptions,$AH77)&amp;"",INDEX(nQ8_Assumptions,$AH77)&amp;"",INDEX(nQ9_Assumptions,$AH77)&amp;"",INDEX(nQ10_Assumptions,$AH77)&amp;"",INDEX(nQ11_Assumptions,$AH77)&amp;""))</f>
        <v/>
      </c>
      <c r="BH77" s="1" t="str">
        <f>IF($AF77=0,"",CHOOSE($AF77,INDEX(nINT_Calculation_Version,$AH77)&amp;"",INDEX(nQ1_Calculation_Version,$AH77)&amp;"",INDEX(nQ2_Calculation_Version,$AH77)&amp;"",INDEX(nQ3_Calculation_Version,$AH77)&amp;"",INDEX(nQ4_Calculation_Version,$AH77)&amp;"",INDEX(nQ5_Calculation_Version,$AH77)&amp;"",INDEX(nQ6_Calculation_Version,$AH77)&amp;"",INDEX(nQ7_Calculation_Version,$AH77)&amp;"",INDEX(nQ8_Calculation_Version,$AH77)&amp;"",INDEX(nQ9_Calculation_Version,$AH77)&amp;"",INDEX(nQ10_Calculation_Version,$AH77)&amp;"",INDEX(nQ11_Calculation_Version,$AH77)&amp;""))</f>
        <v/>
      </c>
      <c r="BI77" s="1" t="str">
        <f>IF($AF77=0,"",CHOOSE($AF77,INDEX(nINT_QC_Flags,$AH77)&amp;"",INDEX(nQ1_QC_Flags,$AH77)&amp;"",INDEX(nQ2_QC_Flags,$AH77)&amp;"",INDEX(nQ3_QC_Flags,$AH77)&amp;"",INDEX(nQ4_QC_Flags,$AH77)&amp;"",INDEX(nQ5_QC_Flags,$AH77)&amp;"",INDEX(nQ6_QC_Flags,$AH77)&amp;"",INDEX(nQ7_QC_Flags,$AH77)&amp;"",INDEX(nQ8_QC_Flags,$AH77)&amp;"",INDEX(nQ9_QC_Flags,$AH77)&amp;"",INDEX(nQ10_QC_Flags,$AH77)&amp;"",INDEX(nQ11_QC_Flags,$AH77)&amp;""))</f>
        <v/>
      </c>
      <c r="BJ77" s="1" t="str">
        <f>IF($AF77=0,"",CHOOSE($AF77,INDEX(nINT_Messages,$AH77)&amp;"",INDEX(nQ1_Messages,$AH77)&amp;"",INDEX(nQ2_Messages,$AH77)&amp;"",INDEX(nQ3_Messages,$AH77)&amp;"",INDEX(nQ4_Messages,$AH77)&amp;"",INDEX(nQ5_Messages,$AH77)&amp;"",INDEX(nQ6_Messages,$AH77)&amp;"",INDEX(nQ7_Messages,$AH77)&amp;"",INDEX(nQ8_Messages,$AH77)&amp;"",INDEX(nQ9_Messages,$AH77)&amp;"",INDEX(nQ10_Messages,$AH77)&amp;"",INDEX(nQ11_Messages,$AH77)&amp;""))</f>
        <v/>
      </c>
      <c r="BK77" s="1" t="str">
        <f>IF($AF77=0,"",CHOOSE($AF77,INDEX(nINT_Limitations,$AH77)&amp;"",INDEX(nQ1_Mandatory_Text,$AH77)&amp;"",INDEX(nQ2_Mandatory_Text,$AH77)&amp;"",INDEX(nQ3_Mandatory_Text,$AH77)&amp;"",INDEX(nQ4_Mandatory_Text,$AH77)&amp;"",INDEX(nQ5_Mandatory_Text,$AH77)&amp;"",INDEX(nQ6_Mandatory_Text,$AH77)&amp;"",INDEX(nQ7_Mandatory_Text,$AH77)&amp;"",INDEX(nQ8_Mandatory_Text,$AH77)&amp;"",INDEX(nQ9_Mandatory_Text,$AH77)&amp;"",INDEX(nQ10_Mandatory_Text,$AH77)&amp;"",INDEX(nQ11_Mandatory_Text,$AH77)&amp;""))</f>
        <v/>
      </c>
      <c r="BL77" s="1" t="str">
        <f t="shared" si="68"/>
        <v/>
      </c>
      <c r="BM77" s="1" t="str">
        <f t="shared" si="69"/>
        <v/>
      </c>
    </row>
    <row r="78" spans="1:65" x14ac:dyDescent="0.2">
      <c r="A78" s="21" t="str">
        <f t="shared" si="35"/>
        <v/>
      </c>
      <c r="B78" s="21" t="str">
        <f t="shared" si="36"/>
        <v/>
      </c>
      <c r="C78" s="21" t="str">
        <f t="shared" si="37"/>
        <v/>
      </c>
      <c r="D78" s="21" t="str">
        <f t="shared" si="38"/>
        <v/>
      </c>
      <c r="E78" s="21" t="str">
        <f t="shared" si="39"/>
        <v/>
      </c>
      <c r="F78" s="21" t="str">
        <f t="shared" si="40"/>
        <v/>
      </c>
      <c r="G78" s="21" t="str">
        <f t="shared" si="41"/>
        <v/>
      </c>
      <c r="H78" s="21" t="str">
        <f t="shared" si="42"/>
        <v/>
      </c>
      <c r="I78" s="21" t="str">
        <f t="shared" si="43"/>
        <v/>
      </c>
      <c r="J78" s="21" t="str">
        <f t="shared" si="44"/>
        <v/>
      </c>
      <c r="K78" s="21" t="str">
        <f t="shared" si="45"/>
        <v/>
      </c>
      <c r="L78" s="21" t="str">
        <f t="shared" si="46"/>
        <v/>
      </c>
      <c r="M78" s="21" t="str">
        <f t="shared" si="47"/>
        <v/>
      </c>
      <c r="N78" s="21" t="str">
        <f t="shared" si="48"/>
        <v/>
      </c>
      <c r="O78" s="21" t="str">
        <f t="shared" si="49"/>
        <v/>
      </c>
      <c r="P78" s="21" t="str">
        <f t="shared" si="50"/>
        <v/>
      </c>
      <c r="Q78" s="21" t="str">
        <f t="shared" si="51"/>
        <v/>
      </c>
      <c r="R78" s="21" t="str">
        <f t="shared" si="52"/>
        <v/>
      </c>
      <c r="S78" s="21" t="str">
        <f t="shared" si="53"/>
        <v/>
      </c>
      <c r="T78" s="21" t="str">
        <f t="shared" si="54"/>
        <v/>
      </c>
      <c r="U78" s="21" t="str">
        <f t="shared" si="55"/>
        <v/>
      </c>
      <c r="V78" s="21" t="str">
        <f t="shared" si="56"/>
        <v/>
      </c>
      <c r="W78" s="21" t="str">
        <f t="shared" si="57"/>
        <v/>
      </c>
      <c r="X78" s="21" t="str">
        <f t="shared" si="58"/>
        <v/>
      </c>
      <c r="Y78" s="21" t="str">
        <f t="shared" si="59"/>
        <v/>
      </c>
      <c r="Z78" s="21" t="str">
        <f t="shared" si="60"/>
        <v/>
      </c>
      <c r="AA78" s="21" t="str">
        <f t="shared" si="61"/>
        <v/>
      </c>
      <c r="AB78" s="21" t="str">
        <f t="shared" si="62"/>
        <v/>
      </c>
      <c r="AC78" s="21" t="str">
        <f t="shared" si="63"/>
        <v/>
      </c>
      <c r="AD78" s="21" t="str">
        <f t="shared" si="64"/>
        <v/>
      </c>
      <c r="AE78" s="1">
        <f t="shared" si="65"/>
        <v>71</v>
      </c>
      <c r="AF78" s="1">
        <f t="shared" si="66"/>
        <v>0</v>
      </c>
      <c r="AG78" s="1">
        <f t="shared" si="67"/>
        <v>0</v>
      </c>
      <c r="AH78" s="1">
        <f>IF(AF78=0,0,CHOOSE(AF78,IFERROR(_xlfn.AGGREGATE(15,6,(ROW(nINT_CaseKey)-ROW(INDEX(nINT_CaseKey,1,1))+1)/((nINT_CaseKey=$H$4)*(nINT_RowEmpty=0)),AG78),0),IFERROR(_xlfn.AGGREGATE(15,6,(ROW(nQ1_CaseKey)-ROW(INDEX(nQ1_CaseKey,1,1))+1)/((nQ1_CaseKey=$H$4)),AG78),0),IFERROR(_xlfn.AGGREGATE(15,6,(ROW(nQ2_CaseKey)-ROW(INDEX(nQ2_CaseKey,1,1))+1)/((nQ2_CaseKey=$H$4)),AG78),0),IFERROR(_xlfn.AGGREGATE(15,6,(ROW(nQ3_CaseKey)-ROW(INDEX(nQ3_CaseKey,1,1))+1)/((nQ3_CaseKey=$H$4)),AG78),0),IFERROR(_xlfn.AGGREGATE(15,6,(ROW(nQ4_CaseKey)-ROW(INDEX(nQ4_CaseKey,1,1))+1)/((nQ4_CaseKey=$H$4)),AG78),0),IFERROR(_xlfn.AGGREGATE(15,6,(ROW(nQ5_CaseKey)-ROW(INDEX(nQ5_CaseKey,1,1))+1)/((nQ5_CaseKey=$H$4)),AG78),0),IFERROR(_xlfn.AGGREGATE(15,6,(ROW(nQ6_CaseKey)-ROW(INDEX(nQ6_CaseKey,1,1))+1)/((nQ6_CaseKey=$H$4)),AG78),0),IFERROR(_xlfn.AGGREGATE(15,6,(ROW(nQ7_CaseKey)-ROW(INDEX(nQ7_CaseKey,1,1))+1)/((nQ7_CaseKey=$H$4)),AG78),0),IFERROR(_xlfn.AGGREGATE(15,6,(ROW(nQ8_CaseKey)-ROW(INDEX(nQ8_CaseKey,1,1))+1)/((nQ8_CaseKey=$H$4)),AG78),0),IFERROR(_xlfn.AGGREGATE(15,6,(ROW(nQ9_CaseKey)-ROW(INDEX(nQ9_CaseKey,1,1))+1)/((nQ9_CaseKey=$H$4)),AG78),0),IFERROR(_xlfn.AGGREGATE(15,6,(ROW(nQ10_CaseKey)-ROW(INDEX(nQ10_CaseKey,1,1))+1)/((nQ10_CaseKey=$H$4)),AG78),0),IFERROR(_xlfn.AGGREGATE(15,6,(ROW(nQ11_CaseKey)-ROW(INDEX(nQ11_CaseKey,1,1))+1)/((nQ11_CaseKey=$H$4)),AG78),0)))</f>
        <v>0</v>
      </c>
      <c r="AJ78" s="1" t="str">
        <f>IF($AF78=0,"",CHOOSE($AF78,INDEX(nINT_Case_ID,$AH78)&amp;"",INDEX(nQ1_Case_ID,$AH78)&amp;"",INDEX(nQ2_Case_ID,$AH78)&amp;"",INDEX(nQ3_Case_ID,$AH78)&amp;"",INDEX(nQ4_Case_ID,$AH78)&amp;"",INDEX(nQ5_Case_ID,$AH78)&amp;"",INDEX(nQ6_Case_ID,$AH78)&amp;"",INDEX(nQ7_Case_ID,$AH78)&amp;"",INDEX(nQ8_Case_ID,$AH78)&amp;"",INDEX(nQ9_Case_ID,$AH78)&amp;"",INDEX(nQ10_Case_ID,$AH78)&amp;"",INDEX(nQ11_Case_ID,$AH78)&amp;""))</f>
        <v/>
      </c>
      <c r="AK78" s="1" t="str">
        <f>IF($AF78=0,"",CHOOSE($AF78,INDEX(nINT_Case_Version,$AH78),INDEX(nQ1_Case_Version,$AH78),INDEX(nQ2_Case_Version,$AH78),INDEX(nQ3_Case_Version,$AH78),INDEX(nQ4_Case_Version,$AH78),INDEX(nQ5_Case_Version,$AH78),INDEX(nQ6_Case_Version,$AH78),INDEX(nQ7_Case_Version,$AH78),INDEX(nQ8_Case_Version,$AH78),INDEX(nQ9_Case_Version,$AH78),INDEX(nQ10_Case_Version,$AH78),INDEX(nQ11_Case_Version,$AH78)))</f>
        <v/>
      </c>
      <c r="AL78" s="1" t="str">
        <f>IF($AF78=0,"",CHOOSE($AF78,INDEX(nINT_Interval_ID,$AH78)&amp;"",INDEX(nQ1_Calc_ID,$AH78)&amp;"",INDEX(nQ2_Calc_ID,$AH78)&amp;"",INDEX(nQ3_Calc_ID,$AH78)&amp;"",INDEX(nQ4_Calc_ID,$AH78)&amp;"",INDEX(nQ5_Calc_ID,$AH78)&amp;"",INDEX(nQ6_Calc_ID,$AH78)&amp;"",INDEX(nQ7_Calc_ID,$AH78)&amp;"",INDEX(nQ8_Calc_ID,$AH78)&amp;"",INDEX(nQ9_Calc_ID,$AH78)&amp;"",INDEX(nQ10_Calc_ID,$AH78)&amp;"",INDEX(nQ11_Calc_ID,$AH78)&amp;""))</f>
        <v/>
      </c>
      <c r="AM78" s="1" t="str">
        <f>IF($AF78=0,"",CHOOSE($AF78,INDEX(nINT_Label,$AH78)&amp;"",INDEX(nQ1_Label_Out,$AH78)&amp;"",INDEX(nQ2_Label_Out,$AH78)&amp;"",INDEX(nQ3_Label_Out,$AH78)&amp;"",INDEX(nQ4_Label_Out,$AH78)&amp;"",INDEX(nQ5_Label_Out,$AH78)&amp;"",INDEX(nQ6_Label_Out,$AH78)&amp;"",INDEX(nQ7_Label_Out,$AH78)&amp;"",INDEX(nQ8_Label_Out,$AH78)&amp;"",INDEX(nQ9_Label_Out,$AH78)&amp;"",INDEX(nQ10_Label_Out,$AH78)&amp;"",INDEX(nQ11_Label_Out,$AH78)&amp;""))</f>
        <v/>
      </c>
      <c r="AN78" s="1" t="str">
        <f>IF($AF78=0,"",CHOOSE($AF78,IF(INDEX(nINT_LinkRow,$AH78)=0,"",INDEX(nINT_Link_ID,$AH78)&amp;""),"","","","","","","","","","",""))</f>
        <v/>
      </c>
      <c r="AO78" s="1" t="str">
        <f>IF($AF78=0,"",CHOOSE($AF78,INDEX(nINT_Exposure_Episode_ID,$AH78)&amp;"","","","","","","","","","","",""))</f>
        <v/>
      </c>
      <c r="AP78" s="1" t="str">
        <f>IF($AF78=0,"",CHOOSE($AF78,INDEX(nINT_Event_Episode_ID,$AH78)&amp;"","","","","","","","","","","",""))</f>
        <v/>
      </c>
      <c r="AQ78" s="1" t="str">
        <f>IF($AF78=0,"",CHOOSE($AF78,INDEX(nINT_End_Record_ID_Used,$AH78)&amp;"","","","","","","","","","","",""))</f>
        <v/>
      </c>
      <c r="AR78" s="1" t="str">
        <f>IF($AF78=0,"",CHOOSE($AF78,INDEX(nINT_Interval_Value,$AH78),"","","","","","","","","","",""))</f>
        <v/>
      </c>
      <c r="AS78" s="1" t="str">
        <f>IF($AF78=0,"",CHOOSE($AF78,INDEX(nINT_Interval_Minimum,$AH78),"","","","","","","","","","",""))</f>
        <v/>
      </c>
      <c r="AT78" s="1" t="str">
        <f>IF($AF78=0,"",CHOOSE($AF78,INDEX(nINT_Interval_Maximum,$AH78),"","","","","","","","","","",""))</f>
        <v/>
      </c>
      <c r="AU78" s="1" t="str">
        <f>IF($AF78=0,"",CHOOSE($AF78,INDEX(nINT_Unit,$AH78)&amp;"",INDEX(nQ1_Unit_Out,$AH78)&amp;"",INDEX(nQ2_Unit_Out,$AH78)&amp;"",INDEX(nQ3_Unit_Out,$AH78)&amp;"",INDEX(nQ4_Unit_Out,$AH78)&amp;"",INDEX(nQ5_Unit_Out,$AH78)&amp;"",INDEX(nQ6_Unit_Out,$AH78)&amp;"",INDEX(nQ7_Unit_Out,$AH78)&amp;"",INDEX(nQ8_Unit_Out,$AH78)&amp;"",INDEX(nQ9_Unit_Out,$AH78)&amp;"",INDEX(nQ10_Unit_Out,$AH78)&amp;"",INDEX(nQ11_Unit_Out,$AH78)&amp;""))</f>
        <v/>
      </c>
      <c r="AV78" s="1" t="str">
        <f>IF($AF78=0,"",CHOOSE($AF78,INDEX(nINT_Displayed_Value,$AH78)&amp;"",INDEX(nQ1_Displayed_Value,$AH78)&amp;"",INDEX(nQ2_Displayed_Value,$AH78)&amp;"",INDEX(nQ3_Displayed_Value,$AH78)&amp;"",INDEX(nQ4_Displayed_Value,$AH78)&amp;"",INDEX(nQ5_Displayed_Value,$AH78)&amp;"",INDEX(nQ6_Displayed_Value,$AH78)&amp;"",INDEX(nQ7_Displayed_Value,$AH78)&amp;"",INDEX(nQ8_Displayed_Value,$AH78)&amp;"",INDEX(nQ9_Displayed_Value,$AH78)&amp;"",INDEX(nQ10_Displayed_Value,$AH78)&amp;"",INDEX(nQ11_Displayed_Value,$AH78)&amp;""))</f>
        <v/>
      </c>
      <c r="AW78" s="1" t="str">
        <f>IF($AF78=0,"",CHOOSE($AF78,INDEX(nINT_Calculation_Mode_Used,$AH78)&amp;"","Q1","Q2","Q3","Q4","Q5","Q6","Q7","Q8","Q9","Q10","Q11"))</f>
        <v/>
      </c>
      <c r="AX78" s="1" t="str">
        <f>IF($AF78=0,"",CHOOSE($AF78,INDEX(nINT_Anchor_Type,$AH78)&amp;"","","","","","","","","","","",""))</f>
        <v/>
      </c>
      <c r="AY78" s="1" t="str">
        <f>IF($AF78=0,"",CHOOSE($AF78,IF(INDEX(nINT_K_Ok,$AH78)=1,INDEX(nINT_Anchor_Record_ID_Used,$AH78)&amp;"",""),"","","","","","","","","","",""))</f>
        <v/>
      </c>
      <c r="AZ78" s="1" t="str">
        <f>IF($AF78=0,"",CHOOSE($AF78,INDEX(nINT_Anchor_Description,$AH78)&amp;"","","","","","","","","","","",""))</f>
        <v/>
      </c>
      <c r="BA78" s="1" t="str">
        <f>IF($AF78=0,"",CHOOSE($AF78,INDEX(nINT_Sequence_Status,$AH78)&amp;"","","","","","","","","","","",""))</f>
        <v/>
      </c>
      <c r="BB78" s="1" t="str">
        <f>IF($AF78=0,"",CHOOSE($AF78,INDEX(nINT_Treatment_Day,$AH78),"","","","","","","","","","",""))</f>
        <v/>
      </c>
      <c r="BC78" s="1" t="str">
        <f>IF($AF78=0,"",CHOOSE($AF78,INDEX(nINT_Reported_Timing_Result,$AH78)&amp;"","","","","","","","","","","",""))</f>
        <v/>
      </c>
      <c r="BD78" s="1" t="str">
        <f>IF($AF78=0,"",CHOOSE($AF78,IF(INDEX(nINT_K_HasC,$AH78)=1,INDEX(nINT_Constraint_Source,$AH78)&amp;"",""),"","","","","","","","","","",""))</f>
        <v/>
      </c>
      <c r="BE78" s="1" t="str">
        <f>IF($AF78=0,"",CHOOSE($AF78,"",INDEX(nQ1_Results_Text,$AH78)&amp;"",INDEX(nQ2_Results_Text,$AH78)&amp;"",INDEX(nQ3_Results_Text,$AH78)&amp;"",INDEX(nQ4_Results_Text,$AH78)&amp;"",INDEX(nQ5_Results_Text,$AH78)&amp;"",INDEX(nQ6_Results_Text,$AH78)&amp;"",INDEX(nQ7_Results_Text,$AH78)&amp;"",INDEX(nQ8_Results_Text,$AH78)&amp;"",INDEX(nQ9_Results_Text,$AH78)&amp;"",INDEX(nQ10_Results_Text,$AH78)&amp;"",INDEX(nQ11_Results_Text,$AH78)&amp;""))</f>
        <v/>
      </c>
      <c r="BF78" s="1" t="str">
        <f>IF($AF78=0,"",CHOOSE($AF78,INDEX(nINT_Parameter_Set,$AH78)&amp;"",INDEX(nQ1_Parameter_Set,$AH78)&amp;"",INDEX(nQ2_Parameter_Set,$AH78)&amp;"",INDEX(nQ3_Parameter_Set,$AH78)&amp;"",INDEX(nQ4_Parameter_Set,$AH78)&amp;"",INDEX(nQ5_Parameter_Set,$AH78)&amp;"",INDEX(nQ6_Parameter_Set,$AH78)&amp;"",INDEX(nQ7_Parameter_Set,$AH78)&amp;"",INDEX(nQ8_Parameter_Set,$AH78)&amp;"",INDEX(nQ9_Parameter_Set,$AH78)&amp;"",INDEX(nQ10_Parameter_Set,$AH78)&amp;"",INDEX(nQ11_Parameter_Set,$AH78)&amp;""))</f>
        <v/>
      </c>
      <c r="BG78" s="1" t="str">
        <f>IF($AF78=0,"",CHOOSE($AF78,INDEX(nINT_Assumptions,$AH78)&amp;"",INDEX(nQ1_Assumptions,$AH78)&amp;"",INDEX(nQ2_Assumptions,$AH78)&amp;"",INDEX(nQ3_Assumptions,$AH78)&amp;"",INDEX(nQ4_Assumptions,$AH78)&amp;"",INDEX(nQ5_Assumptions,$AH78)&amp;"",INDEX(nQ6_Assumptions,$AH78)&amp;"",INDEX(nQ7_Assumptions,$AH78)&amp;"",INDEX(nQ8_Assumptions,$AH78)&amp;"",INDEX(nQ9_Assumptions,$AH78)&amp;"",INDEX(nQ10_Assumptions,$AH78)&amp;"",INDEX(nQ11_Assumptions,$AH78)&amp;""))</f>
        <v/>
      </c>
      <c r="BH78" s="1" t="str">
        <f>IF($AF78=0,"",CHOOSE($AF78,INDEX(nINT_Calculation_Version,$AH78)&amp;"",INDEX(nQ1_Calculation_Version,$AH78)&amp;"",INDEX(nQ2_Calculation_Version,$AH78)&amp;"",INDEX(nQ3_Calculation_Version,$AH78)&amp;"",INDEX(nQ4_Calculation_Version,$AH78)&amp;"",INDEX(nQ5_Calculation_Version,$AH78)&amp;"",INDEX(nQ6_Calculation_Version,$AH78)&amp;"",INDEX(nQ7_Calculation_Version,$AH78)&amp;"",INDEX(nQ8_Calculation_Version,$AH78)&amp;"",INDEX(nQ9_Calculation_Version,$AH78)&amp;"",INDEX(nQ10_Calculation_Version,$AH78)&amp;"",INDEX(nQ11_Calculation_Version,$AH78)&amp;""))</f>
        <v/>
      </c>
      <c r="BI78" s="1" t="str">
        <f>IF($AF78=0,"",CHOOSE($AF78,INDEX(nINT_QC_Flags,$AH78)&amp;"",INDEX(nQ1_QC_Flags,$AH78)&amp;"",INDEX(nQ2_QC_Flags,$AH78)&amp;"",INDEX(nQ3_QC_Flags,$AH78)&amp;"",INDEX(nQ4_QC_Flags,$AH78)&amp;"",INDEX(nQ5_QC_Flags,$AH78)&amp;"",INDEX(nQ6_QC_Flags,$AH78)&amp;"",INDEX(nQ7_QC_Flags,$AH78)&amp;"",INDEX(nQ8_QC_Flags,$AH78)&amp;"",INDEX(nQ9_QC_Flags,$AH78)&amp;"",INDEX(nQ10_QC_Flags,$AH78)&amp;"",INDEX(nQ11_QC_Flags,$AH78)&amp;""))</f>
        <v/>
      </c>
      <c r="BJ78" s="1" t="str">
        <f>IF($AF78=0,"",CHOOSE($AF78,INDEX(nINT_Messages,$AH78)&amp;"",INDEX(nQ1_Messages,$AH78)&amp;"",INDEX(nQ2_Messages,$AH78)&amp;"",INDEX(nQ3_Messages,$AH78)&amp;"",INDEX(nQ4_Messages,$AH78)&amp;"",INDEX(nQ5_Messages,$AH78)&amp;"",INDEX(nQ6_Messages,$AH78)&amp;"",INDEX(nQ7_Messages,$AH78)&amp;"",INDEX(nQ8_Messages,$AH78)&amp;"",INDEX(nQ9_Messages,$AH78)&amp;"",INDEX(nQ10_Messages,$AH78)&amp;"",INDEX(nQ11_Messages,$AH78)&amp;""))</f>
        <v/>
      </c>
      <c r="BK78" s="1" t="str">
        <f>IF($AF78=0,"",CHOOSE($AF78,INDEX(nINT_Limitations,$AH78)&amp;"",INDEX(nQ1_Mandatory_Text,$AH78)&amp;"",INDEX(nQ2_Mandatory_Text,$AH78)&amp;"",INDEX(nQ3_Mandatory_Text,$AH78)&amp;"",INDEX(nQ4_Mandatory_Text,$AH78)&amp;"",INDEX(nQ5_Mandatory_Text,$AH78)&amp;"",INDEX(nQ6_Mandatory_Text,$AH78)&amp;"",INDEX(nQ7_Mandatory_Text,$AH78)&amp;"",INDEX(nQ8_Mandatory_Text,$AH78)&amp;"",INDEX(nQ9_Mandatory_Text,$AH78)&amp;"",INDEX(nQ10_Mandatory_Text,$AH78)&amp;"",INDEX(nQ11_Mandatory_Text,$AH78)&amp;""))</f>
        <v/>
      </c>
      <c r="BL78" s="1" t="str">
        <f t="shared" si="68"/>
        <v/>
      </c>
      <c r="BM78" s="1" t="str">
        <f t="shared" si="69"/>
        <v/>
      </c>
    </row>
    <row r="79" spans="1:65" x14ac:dyDescent="0.2">
      <c r="A79" s="21" t="str">
        <f t="shared" si="35"/>
        <v/>
      </c>
      <c r="B79" s="21" t="str">
        <f t="shared" si="36"/>
        <v/>
      </c>
      <c r="C79" s="21" t="str">
        <f t="shared" si="37"/>
        <v/>
      </c>
      <c r="D79" s="21" t="str">
        <f t="shared" si="38"/>
        <v/>
      </c>
      <c r="E79" s="21" t="str">
        <f t="shared" si="39"/>
        <v/>
      </c>
      <c r="F79" s="21" t="str">
        <f t="shared" si="40"/>
        <v/>
      </c>
      <c r="G79" s="21" t="str">
        <f t="shared" si="41"/>
        <v/>
      </c>
      <c r="H79" s="21" t="str">
        <f t="shared" si="42"/>
        <v/>
      </c>
      <c r="I79" s="21" t="str">
        <f t="shared" si="43"/>
        <v/>
      </c>
      <c r="J79" s="21" t="str">
        <f t="shared" si="44"/>
        <v/>
      </c>
      <c r="K79" s="21" t="str">
        <f t="shared" si="45"/>
        <v/>
      </c>
      <c r="L79" s="21" t="str">
        <f t="shared" si="46"/>
        <v/>
      </c>
      <c r="M79" s="21" t="str">
        <f t="shared" si="47"/>
        <v/>
      </c>
      <c r="N79" s="21" t="str">
        <f t="shared" si="48"/>
        <v/>
      </c>
      <c r="O79" s="21" t="str">
        <f t="shared" si="49"/>
        <v/>
      </c>
      <c r="P79" s="21" t="str">
        <f t="shared" si="50"/>
        <v/>
      </c>
      <c r="Q79" s="21" t="str">
        <f t="shared" si="51"/>
        <v/>
      </c>
      <c r="R79" s="21" t="str">
        <f t="shared" si="52"/>
        <v/>
      </c>
      <c r="S79" s="21" t="str">
        <f t="shared" si="53"/>
        <v/>
      </c>
      <c r="T79" s="21" t="str">
        <f t="shared" si="54"/>
        <v/>
      </c>
      <c r="U79" s="21" t="str">
        <f t="shared" si="55"/>
        <v/>
      </c>
      <c r="V79" s="21" t="str">
        <f t="shared" si="56"/>
        <v/>
      </c>
      <c r="W79" s="21" t="str">
        <f t="shared" si="57"/>
        <v/>
      </c>
      <c r="X79" s="21" t="str">
        <f t="shared" si="58"/>
        <v/>
      </c>
      <c r="Y79" s="21" t="str">
        <f t="shared" si="59"/>
        <v/>
      </c>
      <c r="Z79" s="21" t="str">
        <f t="shared" si="60"/>
        <v/>
      </c>
      <c r="AA79" s="21" t="str">
        <f t="shared" si="61"/>
        <v/>
      </c>
      <c r="AB79" s="21" t="str">
        <f t="shared" si="62"/>
        <v/>
      </c>
      <c r="AC79" s="21" t="str">
        <f t="shared" si="63"/>
        <v/>
      </c>
      <c r="AD79" s="21" t="str">
        <f t="shared" si="64"/>
        <v/>
      </c>
      <c r="AE79" s="1">
        <f t="shared" si="65"/>
        <v>72</v>
      </c>
      <c r="AF79" s="1">
        <f t="shared" si="66"/>
        <v>0</v>
      </c>
      <c r="AG79" s="1">
        <f t="shared" si="67"/>
        <v>0</v>
      </c>
      <c r="AH79" s="1">
        <f>IF(AF79=0,0,CHOOSE(AF79,IFERROR(_xlfn.AGGREGATE(15,6,(ROW(nINT_CaseKey)-ROW(INDEX(nINT_CaseKey,1,1))+1)/((nINT_CaseKey=$H$4)*(nINT_RowEmpty=0)),AG79),0),IFERROR(_xlfn.AGGREGATE(15,6,(ROW(nQ1_CaseKey)-ROW(INDEX(nQ1_CaseKey,1,1))+1)/((nQ1_CaseKey=$H$4)),AG79),0),IFERROR(_xlfn.AGGREGATE(15,6,(ROW(nQ2_CaseKey)-ROW(INDEX(nQ2_CaseKey,1,1))+1)/((nQ2_CaseKey=$H$4)),AG79),0),IFERROR(_xlfn.AGGREGATE(15,6,(ROW(nQ3_CaseKey)-ROW(INDEX(nQ3_CaseKey,1,1))+1)/((nQ3_CaseKey=$H$4)),AG79),0),IFERROR(_xlfn.AGGREGATE(15,6,(ROW(nQ4_CaseKey)-ROW(INDEX(nQ4_CaseKey,1,1))+1)/((nQ4_CaseKey=$H$4)),AG79),0),IFERROR(_xlfn.AGGREGATE(15,6,(ROW(nQ5_CaseKey)-ROW(INDEX(nQ5_CaseKey,1,1))+1)/((nQ5_CaseKey=$H$4)),AG79),0),IFERROR(_xlfn.AGGREGATE(15,6,(ROW(nQ6_CaseKey)-ROW(INDEX(nQ6_CaseKey,1,1))+1)/((nQ6_CaseKey=$H$4)),AG79),0),IFERROR(_xlfn.AGGREGATE(15,6,(ROW(nQ7_CaseKey)-ROW(INDEX(nQ7_CaseKey,1,1))+1)/((nQ7_CaseKey=$H$4)),AG79),0),IFERROR(_xlfn.AGGREGATE(15,6,(ROW(nQ8_CaseKey)-ROW(INDEX(nQ8_CaseKey,1,1))+1)/((nQ8_CaseKey=$H$4)),AG79),0),IFERROR(_xlfn.AGGREGATE(15,6,(ROW(nQ9_CaseKey)-ROW(INDEX(nQ9_CaseKey,1,1))+1)/((nQ9_CaseKey=$H$4)),AG79),0),IFERROR(_xlfn.AGGREGATE(15,6,(ROW(nQ10_CaseKey)-ROW(INDEX(nQ10_CaseKey,1,1))+1)/((nQ10_CaseKey=$H$4)),AG79),0),IFERROR(_xlfn.AGGREGATE(15,6,(ROW(nQ11_CaseKey)-ROW(INDEX(nQ11_CaseKey,1,1))+1)/((nQ11_CaseKey=$H$4)),AG79),0)))</f>
        <v>0</v>
      </c>
      <c r="AJ79" s="1" t="str">
        <f>IF($AF79=0,"",CHOOSE($AF79,INDEX(nINT_Case_ID,$AH79)&amp;"",INDEX(nQ1_Case_ID,$AH79)&amp;"",INDEX(nQ2_Case_ID,$AH79)&amp;"",INDEX(nQ3_Case_ID,$AH79)&amp;"",INDEX(nQ4_Case_ID,$AH79)&amp;"",INDEX(nQ5_Case_ID,$AH79)&amp;"",INDEX(nQ6_Case_ID,$AH79)&amp;"",INDEX(nQ7_Case_ID,$AH79)&amp;"",INDEX(nQ8_Case_ID,$AH79)&amp;"",INDEX(nQ9_Case_ID,$AH79)&amp;"",INDEX(nQ10_Case_ID,$AH79)&amp;"",INDEX(nQ11_Case_ID,$AH79)&amp;""))</f>
        <v/>
      </c>
      <c r="AK79" s="1" t="str">
        <f>IF($AF79=0,"",CHOOSE($AF79,INDEX(nINT_Case_Version,$AH79),INDEX(nQ1_Case_Version,$AH79),INDEX(nQ2_Case_Version,$AH79),INDEX(nQ3_Case_Version,$AH79),INDEX(nQ4_Case_Version,$AH79),INDEX(nQ5_Case_Version,$AH79),INDEX(nQ6_Case_Version,$AH79),INDEX(nQ7_Case_Version,$AH79),INDEX(nQ8_Case_Version,$AH79),INDEX(nQ9_Case_Version,$AH79),INDEX(nQ10_Case_Version,$AH79),INDEX(nQ11_Case_Version,$AH79)))</f>
        <v/>
      </c>
      <c r="AL79" s="1" t="str">
        <f>IF($AF79=0,"",CHOOSE($AF79,INDEX(nINT_Interval_ID,$AH79)&amp;"",INDEX(nQ1_Calc_ID,$AH79)&amp;"",INDEX(nQ2_Calc_ID,$AH79)&amp;"",INDEX(nQ3_Calc_ID,$AH79)&amp;"",INDEX(nQ4_Calc_ID,$AH79)&amp;"",INDEX(nQ5_Calc_ID,$AH79)&amp;"",INDEX(nQ6_Calc_ID,$AH79)&amp;"",INDEX(nQ7_Calc_ID,$AH79)&amp;"",INDEX(nQ8_Calc_ID,$AH79)&amp;"",INDEX(nQ9_Calc_ID,$AH79)&amp;"",INDEX(nQ10_Calc_ID,$AH79)&amp;"",INDEX(nQ11_Calc_ID,$AH79)&amp;""))</f>
        <v/>
      </c>
      <c r="AM79" s="1" t="str">
        <f>IF($AF79=0,"",CHOOSE($AF79,INDEX(nINT_Label,$AH79)&amp;"",INDEX(nQ1_Label_Out,$AH79)&amp;"",INDEX(nQ2_Label_Out,$AH79)&amp;"",INDEX(nQ3_Label_Out,$AH79)&amp;"",INDEX(nQ4_Label_Out,$AH79)&amp;"",INDEX(nQ5_Label_Out,$AH79)&amp;"",INDEX(nQ6_Label_Out,$AH79)&amp;"",INDEX(nQ7_Label_Out,$AH79)&amp;"",INDEX(nQ8_Label_Out,$AH79)&amp;"",INDEX(nQ9_Label_Out,$AH79)&amp;"",INDEX(nQ10_Label_Out,$AH79)&amp;"",INDEX(nQ11_Label_Out,$AH79)&amp;""))</f>
        <v/>
      </c>
      <c r="AN79" s="1" t="str">
        <f>IF($AF79=0,"",CHOOSE($AF79,IF(INDEX(nINT_LinkRow,$AH79)=0,"",INDEX(nINT_Link_ID,$AH79)&amp;""),"","","","","","","","","","",""))</f>
        <v/>
      </c>
      <c r="AO79" s="1" t="str">
        <f>IF($AF79=0,"",CHOOSE($AF79,INDEX(nINT_Exposure_Episode_ID,$AH79)&amp;"","","","","","","","","","","",""))</f>
        <v/>
      </c>
      <c r="AP79" s="1" t="str">
        <f>IF($AF79=0,"",CHOOSE($AF79,INDEX(nINT_Event_Episode_ID,$AH79)&amp;"","","","","","","","","","","",""))</f>
        <v/>
      </c>
      <c r="AQ79" s="1" t="str">
        <f>IF($AF79=0,"",CHOOSE($AF79,INDEX(nINT_End_Record_ID_Used,$AH79)&amp;"","","","","","","","","","","",""))</f>
        <v/>
      </c>
      <c r="AR79" s="1" t="str">
        <f>IF($AF79=0,"",CHOOSE($AF79,INDEX(nINT_Interval_Value,$AH79),"","","","","","","","","","",""))</f>
        <v/>
      </c>
      <c r="AS79" s="1" t="str">
        <f>IF($AF79=0,"",CHOOSE($AF79,INDEX(nINT_Interval_Minimum,$AH79),"","","","","","","","","","",""))</f>
        <v/>
      </c>
      <c r="AT79" s="1" t="str">
        <f>IF($AF79=0,"",CHOOSE($AF79,INDEX(nINT_Interval_Maximum,$AH79),"","","","","","","","","","",""))</f>
        <v/>
      </c>
      <c r="AU79" s="1" t="str">
        <f>IF($AF79=0,"",CHOOSE($AF79,INDEX(nINT_Unit,$AH79)&amp;"",INDEX(nQ1_Unit_Out,$AH79)&amp;"",INDEX(nQ2_Unit_Out,$AH79)&amp;"",INDEX(nQ3_Unit_Out,$AH79)&amp;"",INDEX(nQ4_Unit_Out,$AH79)&amp;"",INDEX(nQ5_Unit_Out,$AH79)&amp;"",INDEX(nQ6_Unit_Out,$AH79)&amp;"",INDEX(nQ7_Unit_Out,$AH79)&amp;"",INDEX(nQ8_Unit_Out,$AH79)&amp;"",INDEX(nQ9_Unit_Out,$AH79)&amp;"",INDEX(nQ10_Unit_Out,$AH79)&amp;"",INDEX(nQ11_Unit_Out,$AH79)&amp;""))</f>
        <v/>
      </c>
      <c r="AV79" s="1" t="str">
        <f>IF($AF79=0,"",CHOOSE($AF79,INDEX(nINT_Displayed_Value,$AH79)&amp;"",INDEX(nQ1_Displayed_Value,$AH79)&amp;"",INDEX(nQ2_Displayed_Value,$AH79)&amp;"",INDEX(nQ3_Displayed_Value,$AH79)&amp;"",INDEX(nQ4_Displayed_Value,$AH79)&amp;"",INDEX(nQ5_Displayed_Value,$AH79)&amp;"",INDEX(nQ6_Displayed_Value,$AH79)&amp;"",INDEX(nQ7_Displayed_Value,$AH79)&amp;"",INDEX(nQ8_Displayed_Value,$AH79)&amp;"",INDEX(nQ9_Displayed_Value,$AH79)&amp;"",INDEX(nQ10_Displayed_Value,$AH79)&amp;"",INDEX(nQ11_Displayed_Value,$AH79)&amp;""))</f>
        <v/>
      </c>
      <c r="AW79" s="1" t="str">
        <f>IF($AF79=0,"",CHOOSE($AF79,INDEX(nINT_Calculation_Mode_Used,$AH79)&amp;"","Q1","Q2","Q3","Q4","Q5","Q6","Q7","Q8","Q9","Q10","Q11"))</f>
        <v/>
      </c>
      <c r="AX79" s="1" t="str">
        <f>IF($AF79=0,"",CHOOSE($AF79,INDEX(nINT_Anchor_Type,$AH79)&amp;"","","","","","","","","","","",""))</f>
        <v/>
      </c>
      <c r="AY79" s="1" t="str">
        <f>IF($AF79=0,"",CHOOSE($AF79,IF(INDEX(nINT_K_Ok,$AH79)=1,INDEX(nINT_Anchor_Record_ID_Used,$AH79)&amp;"",""),"","","","","","","","","","",""))</f>
        <v/>
      </c>
      <c r="AZ79" s="1" t="str">
        <f>IF($AF79=0,"",CHOOSE($AF79,INDEX(nINT_Anchor_Description,$AH79)&amp;"","","","","","","","","","","",""))</f>
        <v/>
      </c>
      <c r="BA79" s="1" t="str">
        <f>IF($AF79=0,"",CHOOSE($AF79,INDEX(nINT_Sequence_Status,$AH79)&amp;"","","","","","","","","","","",""))</f>
        <v/>
      </c>
      <c r="BB79" s="1" t="str">
        <f>IF($AF79=0,"",CHOOSE($AF79,INDEX(nINT_Treatment_Day,$AH79),"","","","","","","","","","",""))</f>
        <v/>
      </c>
      <c r="BC79" s="1" t="str">
        <f>IF($AF79=0,"",CHOOSE($AF79,INDEX(nINT_Reported_Timing_Result,$AH79)&amp;"","","","","","","","","","","",""))</f>
        <v/>
      </c>
      <c r="BD79" s="1" t="str">
        <f>IF($AF79=0,"",CHOOSE($AF79,IF(INDEX(nINT_K_HasC,$AH79)=1,INDEX(nINT_Constraint_Source,$AH79)&amp;"",""),"","","","","","","","","","",""))</f>
        <v/>
      </c>
      <c r="BE79" s="1" t="str">
        <f>IF($AF79=0,"",CHOOSE($AF79,"",INDEX(nQ1_Results_Text,$AH79)&amp;"",INDEX(nQ2_Results_Text,$AH79)&amp;"",INDEX(nQ3_Results_Text,$AH79)&amp;"",INDEX(nQ4_Results_Text,$AH79)&amp;"",INDEX(nQ5_Results_Text,$AH79)&amp;"",INDEX(nQ6_Results_Text,$AH79)&amp;"",INDEX(nQ7_Results_Text,$AH79)&amp;"",INDEX(nQ8_Results_Text,$AH79)&amp;"",INDEX(nQ9_Results_Text,$AH79)&amp;"",INDEX(nQ10_Results_Text,$AH79)&amp;"",INDEX(nQ11_Results_Text,$AH79)&amp;""))</f>
        <v/>
      </c>
      <c r="BF79" s="1" t="str">
        <f>IF($AF79=0,"",CHOOSE($AF79,INDEX(nINT_Parameter_Set,$AH79)&amp;"",INDEX(nQ1_Parameter_Set,$AH79)&amp;"",INDEX(nQ2_Parameter_Set,$AH79)&amp;"",INDEX(nQ3_Parameter_Set,$AH79)&amp;"",INDEX(nQ4_Parameter_Set,$AH79)&amp;"",INDEX(nQ5_Parameter_Set,$AH79)&amp;"",INDEX(nQ6_Parameter_Set,$AH79)&amp;"",INDEX(nQ7_Parameter_Set,$AH79)&amp;"",INDEX(nQ8_Parameter_Set,$AH79)&amp;"",INDEX(nQ9_Parameter_Set,$AH79)&amp;"",INDEX(nQ10_Parameter_Set,$AH79)&amp;"",INDEX(nQ11_Parameter_Set,$AH79)&amp;""))</f>
        <v/>
      </c>
      <c r="BG79" s="1" t="str">
        <f>IF($AF79=0,"",CHOOSE($AF79,INDEX(nINT_Assumptions,$AH79)&amp;"",INDEX(nQ1_Assumptions,$AH79)&amp;"",INDEX(nQ2_Assumptions,$AH79)&amp;"",INDEX(nQ3_Assumptions,$AH79)&amp;"",INDEX(nQ4_Assumptions,$AH79)&amp;"",INDEX(nQ5_Assumptions,$AH79)&amp;"",INDEX(nQ6_Assumptions,$AH79)&amp;"",INDEX(nQ7_Assumptions,$AH79)&amp;"",INDEX(nQ8_Assumptions,$AH79)&amp;"",INDEX(nQ9_Assumptions,$AH79)&amp;"",INDEX(nQ10_Assumptions,$AH79)&amp;"",INDEX(nQ11_Assumptions,$AH79)&amp;""))</f>
        <v/>
      </c>
      <c r="BH79" s="1" t="str">
        <f>IF($AF79=0,"",CHOOSE($AF79,INDEX(nINT_Calculation_Version,$AH79)&amp;"",INDEX(nQ1_Calculation_Version,$AH79)&amp;"",INDEX(nQ2_Calculation_Version,$AH79)&amp;"",INDEX(nQ3_Calculation_Version,$AH79)&amp;"",INDEX(nQ4_Calculation_Version,$AH79)&amp;"",INDEX(nQ5_Calculation_Version,$AH79)&amp;"",INDEX(nQ6_Calculation_Version,$AH79)&amp;"",INDEX(nQ7_Calculation_Version,$AH79)&amp;"",INDEX(nQ8_Calculation_Version,$AH79)&amp;"",INDEX(nQ9_Calculation_Version,$AH79)&amp;"",INDEX(nQ10_Calculation_Version,$AH79)&amp;"",INDEX(nQ11_Calculation_Version,$AH79)&amp;""))</f>
        <v/>
      </c>
      <c r="BI79" s="1" t="str">
        <f>IF($AF79=0,"",CHOOSE($AF79,INDEX(nINT_QC_Flags,$AH79)&amp;"",INDEX(nQ1_QC_Flags,$AH79)&amp;"",INDEX(nQ2_QC_Flags,$AH79)&amp;"",INDEX(nQ3_QC_Flags,$AH79)&amp;"",INDEX(nQ4_QC_Flags,$AH79)&amp;"",INDEX(nQ5_QC_Flags,$AH79)&amp;"",INDEX(nQ6_QC_Flags,$AH79)&amp;"",INDEX(nQ7_QC_Flags,$AH79)&amp;"",INDEX(nQ8_QC_Flags,$AH79)&amp;"",INDEX(nQ9_QC_Flags,$AH79)&amp;"",INDEX(nQ10_QC_Flags,$AH79)&amp;"",INDEX(nQ11_QC_Flags,$AH79)&amp;""))</f>
        <v/>
      </c>
      <c r="BJ79" s="1" t="str">
        <f>IF($AF79=0,"",CHOOSE($AF79,INDEX(nINT_Messages,$AH79)&amp;"",INDEX(nQ1_Messages,$AH79)&amp;"",INDEX(nQ2_Messages,$AH79)&amp;"",INDEX(nQ3_Messages,$AH79)&amp;"",INDEX(nQ4_Messages,$AH79)&amp;"",INDEX(nQ5_Messages,$AH79)&amp;"",INDEX(nQ6_Messages,$AH79)&amp;"",INDEX(nQ7_Messages,$AH79)&amp;"",INDEX(nQ8_Messages,$AH79)&amp;"",INDEX(nQ9_Messages,$AH79)&amp;"",INDEX(nQ10_Messages,$AH79)&amp;"",INDEX(nQ11_Messages,$AH79)&amp;""))</f>
        <v/>
      </c>
      <c r="BK79" s="1" t="str">
        <f>IF($AF79=0,"",CHOOSE($AF79,INDEX(nINT_Limitations,$AH79)&amp;"",INDEX(nQ1_Mandatory_Text,$AH79)&amp;"",INDEX(nQ2_Mandatory_Text,$AH79)&amp;"",INDEX(nQ3_Mandatory_Text,$AH79)&amp;"",INDEX(nQ4_Mandatory_Text,$AH79)&amp;"",INDEX(nQ5_Mandatory_Text,$AH79)&amp;"",INDEX(nQ6_Mandatory_Text,$AH79)&amp;"",INDEX(nQ7_Mandatory_Text,$AH79)&amp;"",INDEX(nQ8_Mandatory_Text,$AH79)&amp;"",INDEX(nQ9_Mandatory_Text,$AH79)&amp;"",INDEX(nQ10_Mandatory_Text,$AH79)&amp;"",INDEX(nQ11_Mandatory_Text,$AH79)&amp;""))</f>
        <v/>
      </c>
      <c r="BL79" s="1" t="str">
        <f t="shared" si="68"/>
        <v/>
      </c>
      <c r="BM79" s="1" t="str">
        <f t="shared" si="69"/>
        <v/>
      </c>
    </row>
    <row r="80" spans="1:65" x14ac:dyDescent="0.2">
      <c r="A80" s="21" t="str">
        <f t="shared" si="35"/>
        <v/>
      </c>
      <c r="B80" s="21" t="str">
        <f t="shared" si="36"/>
        <v/>
      </c>
      <c r="C80" s="21" t="str">
        <f t="shared" si="37"/>
        <v/>
      </c>
      <c r="D80" s="21" t="str">
        <f t="shared" si="38"/>
        <v/>
      </c>
      <c r="E80" s="21" t="str">
        <f t="shared" si="39"/>
        <v/>
      </c>
      <c r="F80" s="21" t="str">
        <f t="shared" si="40"/>
        <v/>
      </c>
      <c r="G80" s="21" t="str">
        <f t="shared" si="41"/>
        <v/>
      </c>
      <c r="H80" s="21" t="str">
        <f t="shared" si="42"/>
        <v/>
      </c>
      <c r="I80" s="21" t="str">
        <f t="shared" si="43"/>
        <v/>
      </c>
      <c r="J80" s="21" t="str">
        <f t="shared" si="44"/>
        <v/>
      </c>
      <c r="K80" s="21" t="str">
        <f t="shared" si="45"/>
        <v/>
      </c>
      <c r="L80" s="21" t="str">
        <f t="shared" si="46"/>
        <v/>
      </c>
      <c r="M80" s="21" t="str">
        <f t="shared" si="47"/>
        <v/>
      </c>
      <c r="N80" s="21" t="str">
        <f t="shared" si="48"/>
        <v/>
      </c>
      <c r="O80" s="21" t="str">
        <f t="shared" si="49"/>
        <v/>
      </c>
      <c r="P80" s="21" t="str">
        <f t="shared" si="50"/>
        <v/>
      </c>
      <c r="Q80" s="21" t="str">
        <f t="shared" si="51"/>
        <v/>
      </c>
      <c r="R80" s="21" t="str">
        <f t="shared" si="52"/>
        <v/>
      </c>
      <c r="S80" s="21" t="str">
        <f t="shared" si="53"/>
        <v/>
      </c>
      <c r="T80" s="21" t="str">
        <f t="shared" si="54"/>
        <v/>
      </c>
      <c r="U80" s="21" t="str">
        <f t="shared" si="55"/>
        <v/>
      </c>
      <c r="V80" s="21" t="str">
        <f t="shared" si="56"/>
        <v/>
      </c>
      <c r="W80" s="21" t="str">
        <f t="shared" si="57"/>
        <v/>
      </c>
      <c r="X80" s="21" t="str">
        <f t="shared" si="58"/>
        <v/>
      </c>
      <c r="Y80" s="21" t="str">
        <f t="shared" si="59"/>
        <v/>
      </c>
      <c r="Z80" s="21" t="str">
        <f t="shared" si="60"/>
        <v/>
      </c>
      <c r="AA80" s="21" t="str">
        <f t="shared" si="61"/>
        <v/>
      </c>
      <c r="AB80" s="21" t="str">
        <f t="shared" si="62"/>
        <v/>
      </c>
      <c r="AC80" s="21" t="str">
        <f t="shared" si="63"/>
        <v/>
      </c>
      <c r="AD80" s="21" t="str">
        <f t="shared" si="64"/>
        <v/>
      </c>
      <c r="AE80" s="1">
        <f t="shared" si="65"/>
        <v>73</v>
      </c>
      <c r="AF80" s="1">
        <f t="shared" si="66"/>
        <v>0</v>
      </c>
      <c r="AG80" s="1">
        <f t="shared" si="67"/>
        <v>0</v>
      </c>
      <c r="AH80" s="1">
        <f>IF(AF80=0,0,CHOOSE(AF80,IFERROR(_xlfn.AGGREGATE(15,6,(ROW(nINT_CaseKey)-ROW(INDEX(nINT_CaseKey,1,1))+1)/((nINT_CaseKey=$H$4)*(nINT_RowEmpty=0)),AG80),0),IFERROR(_xlfn.AGGREGATE(15,6,(ROW(nQ1_CaseKey)-ROW(INDEX(nQ1_CaseKey,1,1))+1)/((nQ1_CaseKey=$H$4)),AG80),0),IFERROR(_xlfn.AGGREGATE(15,6,(ROW(nQ2_CaseKey)-ROW(INDEX(nQ2_CaseKey,1,1))+1)/((nQ2_CaseKey=$H$4)),AG80),0),IFERROR(_xlfn.AGGREGATE(15,6,(ROW(nQ3_CaseKey)-ROW(INDEX(nQ3_CaseKey,1,1))+1)/((nQ3_CaseKey=$H$4)),AG80),0),IFERROR(_xlfn.AGGREGATE(15,6,(ROW(nQ4_CaseKey)-ROW(INDEX(nQ4_CaseKey,1,1))+1)/((nQ4_CaseKey=$H$4)),AG80),0),IFERROR(_xlfn.AGGREGATE(15,6,(ROW(nQ5_CaseKey)-ROW(INDEX(nQ5_CaseKey,1,1))+1)/((nQ5_CaseKey=$H$4)),AG80),0),IFERROR(_xlfn.AGGREGATE(15,6,(ROW(nQ6_CaseKey)-ROW(INDEX(nQ6_CaseKey,1,1))+1)/((nQ6_CaseKey=$H$4)),AG80),0),IFERROR(_xlfn.AGGREGATE(15,6,(ROW(nQ7_CaseKey)-ROW(INDEX(nQ7_CaseKey,1,1))+1)/((nQ7_CaseKey=$H$4)),AG80),0),IFERROR(_xlfn.AGGREGATE(15,6,(ROW(nQ8_CaseKey)-ROW(INDEX(nQ8_CaseKey,1,1))+1)/((nQ8_CaseKey=$H$4)),AG80),0),IFERROR(_xlfn.AGGREGATE(15,6,(ROW(nQ9_CaseKey)-ROW(INDEX(nQ9_CaseKey,1,1))+1)/((nQ9_CaseKey=$H$4)),AG80),0),IFERROR(_xlfn.AGGREGATE(15,6,(ROW(nQ10_CaseKey)-ROW(INDEX(nQ10_CaseKey,1,1))+1)/((nQ10_CaseKey=$H$4)),AG80),0),IFERROR(_xlfn.AGGREGATE(15,6,(ROW(nQ11_CaseKey)-ROW(INDEX(nQ11_CaseKey,1,1))+1)/((nQ11_CaseKey=$H$4)),AG80),0)))</f>
        <v>0</v>
      </c>
      <c r="AJ80" s="1" t="str">
        <f>IF($AF80=0,"",CHOOSE($AF80,INDEX(nINT_Case_ID,$AH80)&amp;"",INDEX(nQ1_Case_ID,$AH80)&amp;"",INDEX(nQ2_Case_ID,$AH80)&amp;"",INDEX(nQ3_Case_ID,$AH80)&amp;"",INDEX(nQ4_Case_ID,$AH80)&amp;"",INDEX(nQ5_Case_ID,$AH80)&amp;"",INDEX(nQ6_Case_ID,$AH80)&amp;"",INDEX(nQ7_Case_ID,$AH80)&amp;"",INDEX(nQ8_Case_ID,$AH80)&amp;"",INDEX(nQ9_Case_ID,$AH80)&amp;"",INDEX(nQ10_Case_ID,$AH80)&amp;"",INDEX(nQ11_Case_ID,$AH80)&amp;""))</f>
        <v/>
      </c>
      <c r="AK80" s="1" t="str">
        <f>IF($AF80=0,"",CHOOSE($AF80,INDEX(nINT_Case_Version,$AH80),INDEX(nQ1_Case_Version,$AH80),INDEX(nQ2_Case_Version,$AH80),INDEX(nQ3_Case_Version,$AH80),INDEX(nQ4_Case_Version,$AH80),INDEX(nQ5_Case_Version,$AH80),INDEX(nQ6_Case_Version,$AH80),INDEX(nQ7_Case_Version,$AH80),INDEX(nQ8_Case_Version,$AH80),INDEX(nQ9_Case_Version,$AH80),INDEX(nQ10_Case_Version,$AH80),INDEX(nQ11_Case_Version,$AH80)))</f>
        <v/>
      </c>
      <c r="AL80" s="1" t="str">
        <f>IF($AF80=0,"",CHOOSE($AF80,INDEX(nINT_Interval_ID,$AH80)&amp;"",INDEX(nQ1_Calc_ID,$AH80)&amp;"",INDEX(nQ2_Calc_ID,$AH80)&amp;"",INDEX(nQ3_Calc_ID,$AH80)&amp;"",INDEX(nQ4_Calc_ID,$AH80)&amp;"",INDEX(nQ5_Calc_ID,$AH80)&amp;"",INDEX(nQ6_Calc_ID,$AH80)&amp;"",INDEX(nQ7_Calc_ID,$AH80)&amp;"",INDEX(nQ8_Calc_ID,$AH80)&amp;"",INDEX(nQ9_Calc_ID,$AH80)&amp;"",INDEX(nQ10_Calc_ID,$AH80)&amp;"",INDEX(nQ11_Calc_ID,$AH80)&amp;""))</f>
        <v/>
      </c>
      <c r="AM80" s="1" t="str">
        <f>IF($AF80=0,"",CHOOSE($AF80,INDEX(nINT_Label,$AH80)&amp;"",INDEX(nQ1_Label_Out,$AH80)&amp;"",INDEX(nQ2_Label_Out,$AH80)&amp;"",INDEX(nQ3_Label_Out,$AH80)&amp;"",INDEX(nQ4_Label_Out,$AH80)&amp;"",INDEX(nQ5_Label_Out,$AH80)&amp;"",INDEX(nQ6_Label_Out,$AH80)&amp;"",INDEX(nQ7_Label_Out,$AH80)&amp;"",INDEX(nQ8_Label_Out,$AH80)&amp;"",INDEX(nQ9_Label_Out,$AH80)&amp;"",INDEX(nQ10_Label_Out,$AH80)&amp;"",INDEX(nQ11_Label_Out,$AH80)&amp;""))</f>
        <v/>
      </c>
      <c r="AN80" s="1" t="str">
        <f>IF($AF80=0,"",CHOOSE($AF80,IF(INDEX(nINT_LinkRow,$AH80)=0,"",INDEX(nINT_Link_ID,$AH80)&amp;""),"","","","","","","","","","",""))</f>
        <v/>
      </c>
      <c r="AO80" s="1" t="str">
        <f>IF($AF80=0,"",CHOOSE($AF80,INDEX(nINT_Exposure_Episode_ID,$AH80)&amp;"","","","","","","","","","","",""))</f>
        <v/>
      </c>
      <c r="AP80" s="1" t="str">
        <f>IF($AF80=0,"",CHOOSE($AF80,INDEX(nINT_Event_Episode_ID,$AH80)&amp;"","","","","","","","","","","",""))</f>
        <v/>
      </c>
      <c r="AQ80" s="1" t="str">
        <f>IF($AF80=0,"",CHOOSE($AF80,INDEX(nINT_End_Record_ID_Used,$AH80)&amp;"","","","","","","","","","","",""))</f>
        <v/>
      </c>
      <c r="AR80" s="1" t="str">
        <f>IF($AF80=0,"",CHOOSE($AF80,INDEX(nINT_Interval_Value,$AH80),"","","","","","","","","","",""))</f>
        <v/>
      </c>
      <c r="AS80" s="1" t="str">
        <f>IF($AF80=0,"",CHOOSE($AF80,INDEX(nINT_Interval_Minimum,$AH80),"","","","","","","","","","",""))</f>
        <v/>
      </c>
      <c r="AT80" s="1" t="str">
        <f>IF($AF80=0,"",CHOOSE($AF80,INDEX(nINT_Interval_Maximum,$AH80),"","","","","","","","","","",""))</f>
        <v/>
      </c>
      <c r="AU80" s="1" t="str">
        <f>IF($AF80=0,"",CHOOSE($AF80,INDEX(nINT_Unit,$AH80)&amp;"",INDEX(nQ1_Unit_Out,$AH80)&amp;"",INDEX(nQ2_Unit_Out,$AH80)&amp;"",INDEX(nQ3_Unit_Out,$AH80)&amp;"",INDEX(nQ4_Unit_Out,$AH80)&amp;"",INDEX(nQ5_Unit_Out,$AH80)&amp;"",INDEX(nQ6_Unit_Out,$AH80)&amp;"",INDEX(nQ7_Unit_Out,$AH80)&amp;"",INDEX(nQ8_Unit_Out,$AH80)&amp;"",INDEX(nQ9_Unit_Out,$AH80)&amp;"",INDEX(nQ10_Unit_Out,$AH80)&amp;"",INDEX(nQ11_Unit_Out,$AH80)&amp;""))</f>
        <v/>
      </c>
      <c r="AV80" s="1" t="str">
        <f>IF($AF80=0,"",CHOOSE($AF80,INDEX(nINT_Displayed_Value,$AH80)&amp;"",INDEX(nQ1_Displayed_Value,$AH80)&amp;"",INDEX(nQ2_Displayed_Value,$AH80)&amp;"",INDEX(nQ3_Displayed_Value,$AH80)&amp;"",INDEX(nQ4_Displayed_Value,$AH80)&amp;"",INDEX(nQ5_Displayed_Value,$AH80)&amp;"",INDEX(nQ6_Displayed_Value,$AH80)&amp;"",INDEX(nQ7_Displayed_Value,$AH80)&amp;"",INDEX(nQ8_Displayed_Value,$AH80)&amp;"",INDEX(nQ9_Displayed_Value,$AH80)&amp;"",INDEX(nQ10_Displayed_Value,$AH80)&amp;"",INDEX(nQ11_Displayed_Value,$AH80)&amp;""))</f>
        <v/>
      </c>
      <c r="AW80" s="1" t="str">
        <f>IF($AF80=0,"",CHOOSE($AF80,INDEX(nINT_Calculation_Mode_Used,$AH80)&amp;"","Q1","Q2","Q3","Q4","Q5","Q6","Q7","Q8","Q9","Q10","Q11"))</f>
        <v/>
      </c>
      <c r="AX80" s="1" t="str">
        <f>IF($AF80=0,"",CHOOSE($AF80,INDEX(nINT_Anchor_Type,$AH80)&amp;"","","","","","","","","","","",""))</f>
        <v/>
      </c>
      <c r="AY80" s="1" t="str">
        <f>IF($AF80=0,"",CHOOSE($AF80,IF(INDEX(nINT_K_Ok,$AH80)=1,INDEX(nINT_Anchor_Record_ID_Used,$AH80)&amp;"",""),"","","","","","","","","","",""))</f>
        <v/>
      </c>
      <c r="AZ80" s="1" t="str">
        <f>IF($AF80=0,"",CHOOSE($AF80,INDEX(nINT_Anchor_Description,$AH80)&amp;"","","","","","","","","","","",""))</f>
        <v/>
      </c>
      <c r="BA80" s="1" t="str">
        <f>IF($AF80=0,"",CHOOSE($AF80,INDEX(nINT_Sequence_Status,$AH80)&amp;"","","","","","","","","","","",""))</f>
        <v/>
      </c>
      <c r="BB80" s="1" t="str">
        <f>IF($AF80=0,"",CHOOSE($AF80,INDEX(nINT_Treatment_Day,$AH80),"","","","","","","","","","",""))</f>
        <v/>
      </c>
      <c r="BC80" s="1" t="str">
        <f>IF($AF80=0,"",CHOOSE($AF80,INDEX(nINT_Reported_Timing_Result,$AH80)&amp;"","","","","","","","","","","",""))</f>
        <v/>
      </c>
      <c r="BD80" s="1" t="str">
        <f>IF($AF80=0,"",CHOOSE($AF80,IF(INDEX(nINT_K_HasC,$AH80)=1,INDEX(nINT_Constraint_Source,$AH80)&amp;"",""),"","","","","","","","","","",""))</f>
        <v/>
      </c>
      <c r="BE80" s="1" t="str">
        <f>IF($AF80=0,"",CHOOSE($AF80,"",INDEX(nQ1_Results_Text,$AH80)&amp;"",INDEX(nQ2_Results_Text,$AH80)&amp;"",INDEX(nQ3_Results_Text,$AH80)&amp;"",INDEX(nQ4_Results_Text,$AH80)&amp;"",INDEX(nQ5_Results_Text,$AH80)&amp;"",INDEX(nQ6_Results_Text,$AH80)&amp;"",INDEX(nQ7_Results_Text,$AH80)&amp;"",INDEX(nQ8_Results_Text,$AH80)&amp;"",INDEX(nQ9_Results_Text,$AH80)&amp;"",INDEX(nQ10_Results_Text,$AH80)&amp;"",INDEX(nQ11_Results_Text,$AH80)&amp;""))</f>
        <v/>
      </c>
      <c r="BF80" s="1" t="str">
        <f>IF($AF80=0,"",CHOOSE($AF80,INDEX(nINT_Parameter_Set,$AH80)&amp;"",INDEX(nQ1_Parameter_Set,$AH80)&amp;"",INDEX(nQ2_Parameter_Set,$AH80)&amp;"",INDEX(nQ3_Parameter_Set,$AH80)&amp;"",INDEX(nQ4_Parameter_Set,$AH80)&amp;"",INDEX(nQ5_Parameter_Set,$AH80)&amp;"",INDEX(nQ6_Parameter_Set,$AH80)&amp;"",INDEX(nQ7_Parameter_Set,$AH80)&amp;"",INDEX(nQ8_Parameter_Set,$AH80)&amp;"",INDEX(nQ9_Parameter_Set,$AH80)&amp;"",INDEX(nQ10_Parameter_Set,$AH80)&amp;"",INDEX(nQ11_Parameter_Set,$AH80)&amp;""))</f>
        <v/>
      </c>
      <c r="BG80" s="1" t="str">
        <f>IF($AF80=0,"",CHOOSE($AF80,INDEX(nINT_Assumptions,$AH80)&amp;"",INDEX(nQ1_Assumptions,$AH80)&amp;"",INDEX(nQ2_Assumptions,$AH80)&amp;"",INDEX(nQ3_Assumptions,$AH80)&amp;"",INDEX(nQ4_Assumptions,$AH80)&amp;"",INDEX(nQ5_Assumptions,$AH80)&amp;"",INDEX(nQ6_Assumptions,$AH80)&amp;"",INDEX(nQ7_Assumptions,$AH80)&amp;"",INDEX(nQ8_Assumptions,$AH80)&amp;"",INDEX(nQ9_Assumptions,$AH80)&amp;"",INDEX(nQ10_Assumptions,$AH80)&amp;"",INDEX(nQ11_Assumptions,$AH80)&amp;""))</f>
        <v/>
      </c>
      <c r="BH80" s="1" t="str">
        <f>IF($AF80=0,"",CHOOSE($AF80,INDEX(nINT_Calculation_Version,$AH80)&amp;"",INDEX(nQ1_Calculation_Version,$AH80)&amp;"",INDEX(nQ2_Calculation_Version,$AH80)&amp;"",INDEX(nQ3_Calculation_Version,$AH80)&amp;"",INDEX(nQ4_Calculation_Version,$AH80)&amp;"",INDEX(nQ5_Calculation_Version,$AH80)&amp;"",INDEX(nQ6_Calculation_Version,$AH80)&amp;"",INDEX(nQ7_Calculation_Version,$AH80)&amp;"",INDEX(nQ8_Calculation_Version,$AH80)&amp;"",INDEX(nQ9_Calculation_Version,$AH80)&amp;"",INDEX(nQ10_Calculation_Version,$AH80)&amp;"",INDEX(nQ11_Calculation_Version,$AH80)&amp;""))</f>
        <v/>
      </c>
      <c r="BI80" s="1" t="str">
        <f>IF($AF80=0,"",CHOOSE($AF80,INDEX(nINT_QC_Flags,$AH80)&amp;"",INDEX(nQ1_QC_Flags,$AH80)&amp;"",INDEX(nQ2_QC_Flags,$AH80)&amp;"",INDEX(nQ3_QC_Flags,$AH80)&amp;"",INDEX(nQ4_QC_Flags,$AH80)&amp;"",INDEX(nQ5_QC_Flags,$AH80)&amp;"",INDEX(nQ6_QC_Flags,$AH80)&amp;"",INDEX(nQ7_QC_Flags,$AH80)&amp;"",INDEX(nQ8_QC_Flags,$AH80)&amp;"",INDEX(nQ9_QC_Flags,$AH80)&amp;"",INDEX(nQ10_QC_Flags,$AH80)&amp;"",INDEX(nQ11_QC_Flags,$AH80)&amp;""))</f>
        <v/>
      </c>
      <c r="BJ80" s="1" t="str">
        <f>IF($AF80=0,"",CHOOSE($AF80,INDEX(nINT_Messages,$AH80)&amp;"",INDEX(nQ1_Messages,$AH80)&amp;"",INDEX(nQ2_Messages,$AH80)&amp;"",INDEX(nQ3_Messages,$AH80)&amp;"",INDEX(nQ4_Messages,$AH80)&amp;"",INDEX(nQ5_Messages,$AH80)&amp;"",INDEX(nQ6_Messages,$AH80)&amp;"",INDEX(nQ7_Messages,$AH80)&amp;"",INDEX(nQ8_Messages,$AH80)&amp;"",INDEX(nQ9_Messages,$AH80)&amp;"",INDEX(nQ10_Messages,$AH80)&amp;"",INDEX(nQ11_Messages,$AH80)&amp;""))</f>
        <v/>
      </c>
      <c r="BK80" s="1" t="str">
        <f>IF($AF80=0,"",CHOOSE($AF80,INDEX(nINT_Limitations,$AH80)&amp;"",INDEX(nQ1_Mandatory_Text,$AH80)&amp;"",INDEX(nQ2_Mandatory_Text,$AH80)&amp;"",INDEX(nQ3_Mandatory_Text,$AH80)&amp;"",INDEX(nQ4_Mandatory_Text,$AH80)&amp;"",INDEX(nQ5_Mandatory_Text,$AH80)&amp;"",INDEX(nQ6_Mandatory_Text,$AH80)&amp;"",INDEX(nQ7_Mandatory_Text,$AH80)&amp;"",INDEX(nQ8_Mandatory_Text,$AH80)&amp;"",INDEX(nQ9_Mandatory_Text,$AH80)&amp;"",INDEX(nQ10_Mandatory_Text,$AH80)&amp;"",INDEX(nQ11_Mandatory_Text,$AH80)&amp;""))</f>
        <v/>
      </c>
      <c r="BL80" s="1" t="str">
        <f t="shared" si="68"/>
        <v/>
      </c>
      <c r="BM80" s="1" t="str">
        <f t="shared" si="69"/>
        <v/>
      </c>
    </row>
    <row r="81" spans="1:65" x14ac:dyDescent="0.2">
      <c r="A81" s="21" t="str">
        <f t="shared" si="35"/>
        <v/>
      </c>
      <c r="B81" s="21" t="str">
        <f t="shared" si="36"/>
        <v/>
      </c>
      <c r="C81" s="21" t="str">
        <f t="shared" si="37"/>
        <v/>
      </c>
      <c r="D81" s="21" t="str">
        <f t="shared" si="38"/>
        <v/>
      </c>
      <c r="E81" s="21" t="str">
        <f t="shared" si="39"/>
        <v/>
      </c>
      <c r="F81" s="21" t="str">
        <f t="shared" si="40"/>
        <v/>
      </c>
      <c r="G81" s="21" t="str">
        <f t="shared" si="41"/>
        <v/>
      </c>
      <c r="H81" s="21" t="str">
        <f t="shared" si="42"/>
        <v/>
      </c>
      <c r="I81" s="21" t="str">
        <f t="shared" si="43"/>
        <v/>
      </c>
      <c r="J81" s="21" t="str">
        <f t="shared" si="44"/>
        <v/>
      </c>
      <c r="K81" s="21" t="str">
        <f t="shared" si="45"/>
        <v/>
      </c>
      <c r="L81" s="21" t="str">
        <f t="shared" si="46"/>
        <v/>
      </c>
      <c r="M81" s="21" t="str">
        <f t="shared" si="47"/>
        <v/>
      </c>
      <c r="N81" s="21" t="str">
        <f t="shared" si="48"/>
        <v/>
      </c>
      <c r="O81" s="21" t="str">
        <f t="shared" si="49"/>
        <v/>
      </c>
      <c r="P81" s="21" t="str">
        <f t="shared" si="50"/>
        <v/>
      </c>
      <c r="Q81" s="21" t="str">
        <f t="shared" si="51"/>
        <v/>
      </c>
      <c r="R81" s="21" t="str">
        <f t="shared" si="52"/>
        <v/>
      </c>
      <c r="S81" s="21" t="str">
        <f t="shared" si="53"/>
        <v/>
      </c>
      <c r="T81" s="21" t="str">
        <f t="shared" si="54"/>
        <v/>
      </c>
      <c r="U81" s="21" t="str">
        <f t="shared" si="55"/>
        <v/>
      </c>
      <c r="V81" s="21" t="str">
        <f t="shared" si="56"/>
        <v/>
      </c>
      <c r="W81" s="21" t="str">
        <f t="shared" si="57"/>
        <v/>
      </c>
      <c r="X81" s="21" t="str">
        <f t="shared" si="58"/>
        <v/>
      </c>
      <c r="Y81" s="21" t="str">
        <f t="shared" si="59"/>
        <v/>
      </c>
      <c r="Z81" s="21" t="str">
        <f t="shared" si="60"/>
        <v/>
      </c>
      <c r="AA81" s="21" t="str">
        <f t="shared" si="61"/>
        <v/>
      </c>
      <c r="AB81" s="21" t="str">
        <f t="shared" si="62"/>
        <v/>
      </c>
      <c r="AC81" s="21" t="str">
        <f t="shared" si="63"/>
        <v/>
      </c>
      <c r="AD81" s="21" t="str">
        <f t="shared" si="64"/>
        <v/>
      </c>
      <c r="AE81" s="1">
        <f t="shared" si="65"/>
        <v>74</v>
      </c>
      <c r="AF81" s="1">
        <f t="shared" si="66"/>
        <v>0</v>
      </c>
      <c r="AG81" s="1">
        <f t="shared" si="67"/>
        <v>0</v>
      </c>
      <c r="AH81" s="1">
        <f>IF(AF81=0,0,CHOOSE(AF81,IFERROR(_xlfn.AGGREGATE(15,6,(ROW(nINT_CaseKey)-ROW(INDEX(nINT_CaseKey,1,1))+1)/((nINT_CaseKey=$H$4)*(nINT_RowEmpty=0)),AG81),0),IFERROR(_xlfn.AGGREGATE(15,6,(ROW(nQ1_CaseKey)-ROW(INDEX(nQ1_CaseKey,1,1))+1)/((nQ1_CaseKey=$H$4)),AG81),0),IFERROR(_xlfn.AGGREGATE(15,6,(ROW(nQ2_CaseKey)-ROW(INDEX(nQ2_CaseKey,1,1))+1)/((nQ2_CaseKey=$H$4)),AG81),0),IFERROR(_xlfn.AGGREGATE(15,6,(ROW(nQ3_CaseKey)-ROW(INDEX(nQ3_CaseKey,1,1))+1)/((nQ3_CaseKey=$H$4)),AG81),0),IFERROR(_xlfn.AGGREGATE(15,6,(ROW(nQ4_CaseKey)-ROW(INDEX(nQ4_CaseKey,1,1))+1)/((nQ4_CaseKey=$H$4)),AG81),0),IFERROR(_xlfn.AGGREGATE(15,6,(ROW(nQ5_CaseKey)-ROW(INDEX(nQ5_CaseKey,1,1))+1)/((nQ5_CaseKey=$H$4)),AG81),0),IFERROR(_xlfn.AGGREGATE(15,6,(ROW(nQ6_CaseKey)-ROW(INDEX(nQ6_CaseKey,1,1))+1)/((nQ6_CaseKey=$H$4)),AG81),0),IFERROR(_xlfn.AGGREGATE(15,6,(ROW(nQ7_CaseKey)-ROW(INDEX(nQ7_CaseKey,1,1))+1)/((nQ7_CaseKey=$H$4)),AG81),0),IFERROR(_xlfn.AGGREGATE(15,6,(ROW(nQ8_CaseKey)-ROW(INDEX(nQ8_CaseKey,1,1))+1)/((nQ8_CaseKey=$H$4)),AG81),0),IFERROR(_xlfn.AGGREGATE(15,6,(ROW(nQ9_CaseKey)-ROW(INDEX(nQ9_CaseKey,1,1))+1)/((nQ9_CaseKey=$H$4)),AG81),0),IFERROR(_xlfn.AGGREGATE(15,6,(ROW(nQ10_CaseKey)-ROW(INDEX(nQ10_CaseKey,1,1))+1)/((nQ10_CaseKey=$H$4)),AG81),0),IFERROR(_xlfn.AGGREGATE(15,6,(ROW(nQ11_CaseKey)-ROW(INDEX(nQ11_CaseKey,1,1))+1)/((nQ11_CaseKey=$H$4)),AG81),0)))</f>
        <v>0</v>
      </c>
      <c r="AJ81" s="1" t="str">
        <f>IF($AF81=0,"",CHOOSE($AF81,INDEX(nINT_Case_ID,$AH81)&amp;"",INDEX(nQ1_Case_ID,$AH81)&amp;"",INDEX(nQ2_Case_ID,$AH81)&amp;"",INDEX(nQ3_Case_ID,$AH81)&amp;"",INDEX(nQ4_Case_ID,$AH81)&amp;"",INDEX(nQ5_Case_ID,$AH81)&amp;"",INDEX(nQ6_Case_ID,$AH81)&amp;"",INDEX(nQ7_Case_ID,$AH81)&amp;"",INDEX(nQ8_Case_ID,$AH81)&amp;"",INDEX(nQ9_Case_ID,$AH81)&amp;"",INDEX(nQ10_Case_ID,$AH81)&amp;"",INDEX(nQ11_Case_ID,$AH81)&amp;""))</f>
        <v/>
      </c>
      <c r="AK81" s="1" t="str">
        <f>IF($AF81=0,"",CHOOSE($AF81,INDEX(nINT_Case_Version,$AH81),INDEX(nQ1_Case_Version,$AH81),INDEX(nQ2_Case_Version,$AH81),INDEX(nQ3_Case_Version,$AH81),INDEX(nQ4_Case_Version,$AH81),INDEX(nQ5_Case_Version,$AH81),INDEX(nQ6_Case_Version,$AH81),INDEX(nQ7_Case_Version,$AH81),INDEX(nQ8_Case_Version,$AH81),INDEX(nQ9_Case_Version,$AH81),INDEX(nQ10_Case_Version,$AH81),INDEX(nQ11_Case_Version,$AH81)))</f>
        <v/>
      </c>
      <c r="AL81" s="1" t="str">
        <f>IF($AF81=0,"",CHOOSE($AF81,INDEX(nINT_Interval_ID,$AH81)&amp;"",INDEX(nQ1_Calc_ID,$AH81)&amp;"",INDEX(nQ2_Calc_ID,$AH81)&amp;"",INDEX(nQ3_Calc_ID,$AH81)&amp;"",INDEX(nQ4_Calc_ID,$AH81)&amp;"",INDEX(nQ5_Calc_ID,$AH81)&amp;"",INDEX(nQ6_Calc_ID,$AH81)&amp;"",INDEX(nQ7_Calc_ID,$AH81)&amp;"",INDEX(nQ8_Calc_ID,$AH81)&amp;"",INDEX(nQ9_Calc_ID,$AH81)&amp;"",INDEX(nQ10_Calc_ID,$AH81)&amp;"",INDEX(nQ11_Calc_ID,$AH81)&amp;""))</f>
        <v/>
      </c>
      <c r="AM81" s="1" t="str">
        <f>IF($AF81=0,"",CHOOSE($AF81,INDEX(nINT_Label,$AH81)&amp;"",INDEX(nQ1_Label_Out,$AH81)&amp;"",INDEX(nQ2_Label_Out,$AH81)&amp;"",INDEX(nQ3_Label_Out,$AH81)&amp;"",INDEX(nQ4_Label_Out,$AH81)&amp;"",INDEX(nQ5_Label_Out,$AH81)&amp;"",INDEX(nQ6_Label_Out,$AH81)&amp;"",INDEX(nQ7_Label_Out,$AH81)&amp;"",INDEX(nQ8_Label_Out,$AH81)&amp;"",INDEX(nQ9_Label_Out,$AH81)&amp;"",INDEX(nQ10_Label_Out,$AH81)&amp;"",INDEX(nQ11_Label_Out,$AH81)&amp;""))</f>
        <v/>
      </c>
      <c r="AN81" s="1" t="str">
        <f>IF($AF81=0,"",CHOOSE($AF81,IF(INDEX(nINT_LinkRow,$AH81)=0,"",INDEX(nINT_Link_ID,$AH81)&amp;""),"","","","","","","","","","",""))</f>
        <v/>
      </c>
      <c r="AO81" s="1" t="str">
        <f>IF($AF81=0,"",CHOOSE($AF81,INDEX(nINT_Exposure_Episode_ID,$AH81)&amp;"","","","","","","","","","","",""))</f>
        <v/>
      </c>
      <c r="AP81" s="1" t="str">
        <f>IF($AF81=0,"",CHOOSE($AF81,INDEX(nINT_Event_Episode_ID,$AH81)&amp;"","","","","","","","","","","",""))</f>
        <v/>
      </c>
      <c r="AQ81" s="1" t="str">
        <f>IF($AF81=0,"",CHOOSE($AF81,INDEX(nINT_End_Record_ID_Used,$AH81)&amp;"","","","","","","","","","","",""))</f>
        <v/>
      </c>
      <c r="AR81" s="1" t="str">
        <f>IF($AF81=0,"",CHOOSE($AF81,INDEX(nINT_Interval_Value,$AH81),"","","","","","","","","","",""))</f>
        <v/>
      </c>
      <c r="AS81" s="1" t="str">
        <f>IF($AF81=0,"",CHOOSE($AF81,INDEX(nINT_Interval_Minimum,$AH81),"","","","","","","","","","",""))</f>
        <v/>
      </c>
      <c r="AT81" s="1" t="str">
        <f>IF($AF81=0,"",CHOOSE($AF81,INDEX(nINT_Interval_Maximum,$AH81),"","","","","","","","","","",""))</f>
        <v/>
      </c>
      <c r="AU81" s="1" t="str">
        <f>IF($AF81=0,"",CHOOSE($AF81,INDEX(nINT_Unit,$AH81)&amp;"",INDEX(nQ1_Unit_Out,$AH81)&amp;"",INDEX(nQ2_Unit_Out,$AH81)&amp;"",INDEX(nQ3_Unit_Out,$AH81)&amp;"",INDEX(nQ4_Unit_Out,$AH81)&amp;"",INDEX(nQ5_Unit_Out,$AH81)&amp;"",INDEX(nQ6_Unit_Out,$AH81)&amp;"",INDEX(nQ7_Unit_Out,$AH81)&amp;"",INDEX(nQ8_Unit_Out,$AH81)&amp;"",INDEX(nQ9_Unit_Out,$AH81)&amp;"",INDEX(nQ10_Unit_Out,$AH81)&amp;"",INDEX(nQ11_Unit_Out,$AH81)&amp;""))</f>
        <v/>
      </c>
      <c r="AV81" s="1" t="str">
        <f>IF($AF81=0,"",CHOOSE($AF81,INDEX(nINT_Displayed_Value,$AH81)&amp;"",INDEX(nQ1_Displayed_Value,$AH81)&amp;"",INDEX(nQ2_Displayed_Value,$AH81)&amp;"",INDEX(nQ3_Displayed_Value,$AH81)&amp;"",INDEX(nQ4_Displayed_Value,$AH81)&amp;"",INDEX(nQ5_Displayed_Value,$AH81)&amp;"",INDEX(nQ6_Displayed_Value,$AH81)&amp;"",INDEX(nQ7_Displayed_Value,$AH81)&amp;"",INDEX(nQ8_Displayed_Value,$AH81)&amp;"",INDEX(nQ9_Displayed_Value,$AH81)&amp;"",INDEX(nQ10_Displayed_Value,$AH81)&amp;"",INDEX(nQ11_Displayed_Value,$AH81)&amp;""))</f>
        <v/>
      </c>
      <c r="AW81" s="1" t="str">
        <f>IF($AF81=0,"",CHOOSE($AF81,INDEX(nINT_Calculation_Mode_Used,$AH81)&amp;"","Q1","Q2","Q3","Q4","Q5","Q6","Q7","Q8","Q9","Q10","Q11"))</f>
        <v/>
      </c>
      <c r="AX81" s="1" t="str">
        <f>IF($AF81=0,"",CHOOSE($AF81,INDEX(nINT_Anchor_Type,$AH81)&amp;"","","","","","","","","","","",""))</f>
        <v/>
      </c>
      <c r="AY81" s="1" t="str">
        <f>IF($AF81=0,"",CHOOSE($AF81,IF(INDEX(nINT_K_Ok,$AH81)=1,INDEX(nINT_Anchor_Record_ID_Used,$AH81)&amp;"",""),"","","","","","","","","","",""))</f>
        <v/>
      </c>
      <c r="AZ81" s="1" t="str">
        <f>IF($AF81=0,"",CHOOSE($AF81,INDEX(nINT_Anchor_Description,$AH81)&amp;"","","","","","","","","","","",""))</f>
        <v/>
      </c>
      <c r="BA81" s="1" t="str">
        <f>IF($AF81=0,"",CHOOSE($AF81,INDEX(nINT_Sequence_Status,$AH81)&amp;"","","","","","","","","","","",""))</f>
        <v/>
      </c>
      <c r="BB81" s="1" t="str">
        <f>IF($AF81=0,"",CHOOSE($AF81,INDEX(nINT_Treatment_Day,$AH81),"","","","","","","","","","",""))</f>
        <v/>
      </c>
      <c r="BC81" s="1" t="str">
        <f>IF($AF81=0,"",CHOOSE($AF81,INDEX(nINT_Reported_Timing_Result,$AH81)&amp;"","","","","","","","","","","",""))</f>
        <v/>
      </c>
      <c r="BD81" s="1" t="str">
        <f>IF($AF81=0,"",CHOOSE($AF81,IF(INDEX(nINT_K_HasC,$AH81)=1,INDEX(nINT_Constraint_Source,$AH81)&amp;"",""),"","","","","","","","","","",""))</f>
        <v/>
      </c>
      <c r="BE81" s="1" t="str">
        <f>IF($AF81=0,"",CHOOSE($AF81,"",INDEX(nQ1_Results_Text,$AH81)&amp;"",INDEX(nQ2_Results_Text,$AH81)&amp;"",INDEX(nQ3_Results_Text,$AH81)&amp;"",INDEX(nQ4_Results_Text,$AH81)&amp;"",INDEX(nQ5_Results_Text,$AH81)&amp;"",INDEX(nQ6_Results_Text,$AH81)&amp;"",INDEX(nQ7_Results_Text,$AH81)&amp;"",INDEX(nQ8_Results_Text,$AH81)&amp;"",INDEX(nQ9_Results_Text,$AH81)&amp;"",INDEX(nQ10_Results_Text,$AH81)&amp;"",INDEX(nQ11_Results_Text,$AH81)&amp;""))</f>
        <v/>
      </c>
      <c r="BF81" s="1" t="str">
        <f>IF($AF81=0,"",CHOOSE($AF81,INDEX(nINT_Parameter_Set,$AH81)&amp;"",INDEX(nQ1_Parameter_Set,$AH81)&amp;"",INDEX(nQ2_Parameter_Set,$AH81)&amp;"",INDEX(nQ3_Parameter_Set,$AH81)&amp;"",INDEX(nQ4_Parameter_Set,$AH81)&amp;"",INDEX(nQ5_Parameter_Set,$AH81)&amp;"",INDEX(nQ6_Parameter_Set,$AH81)&amp;"",INDEX(nQ7_Parameter_Set,$AH81)&amp;"",INDEX(nQ8_Parameter_Set,$AH81)&amp;"",INDEX(nQ9_Parameter_Set,$AH81)&amp;"",INDEX(nQ10_Parameter_Set,$AH81)&amp;"",INDEX(nQ11_Parameter_Set,$AH81)&amp;""))</f>
        <v/>
      </c>
      <c r="BG81" s="1" t="str">
        <f>IF($AF81=0,"",CHOOSE($AF81,INDEX(nINT_Assumptions,$AH81)&amp;"",INDEX(nQ1_Assumptions,$AH81)&amp;"",INDEX(nQ2_Assumptions,$AH81)&amp;"",INDEX(nQ3_Assumptions,$AH81)&amp;"",INDEX(nQ4_Assumptions,$AH81)&amp;"",INDEX(nQ5_Assumptions,$AH81)&amp;"",INDEX(nQ6_Assumptions,$AH81)&amp;"",INDEX(nQ7_Assumptions,$AH81)&amp;"",INDEX(nQ8_Assumptions,$AH81)&amp;"",INDEX(nQ9_Assumptions,$AH81)&amp;"",INDEX(nQ10_Assumptions,$AH81)&amp;"",INDEX(nQ11_Assumptions,$AH81)&amp;""))</f>
        <v/>
      </c>
      <c r="BH81" s="1" t="str">
        <f>IF($AF81=0,"",CHOOSE($AF81,INDEX(nINT_Calculation_Version,$AH81)&amp;"",INDEX(nQ1_Calculation_Version,$AH81)&amp;"",INDEX(nQ2_Calculation_Version,$AH81)&amp;"",INDEX(nQ3_Calculation_Version,$AH81)&amp;"",INDEX(nQ4_Calculation_Version,$AH81)&amp;"",INDEX(nQ5_Calculation_Version,$AH81)&amp;"",INDEX(nQ6_Calculation_Version,$AH81)&amp;"",INDEX(nQ7_Calculation_Version,$AH81)&amp;"",INDEX(nQ8_Calculation_Version,$AH81)&amp;"",INDEX(nQ9_Calculation_Version,$AH81)&amp;"",INDEX(nQ10_Calculation_Version,$AH81)&amp;"",INDEX(nQ11_Calculation_Version,$AH81)&amp;""))</f>
        <v/>
      </c>
      <c r="BI81" s="1" t="str">
        <f>IF($AF81=0,"",CHOOSE($AF81,INDEX(nINT_QC_Flags,$AH81)&amp;"",INDEX(nQ1_QC_Flags,$AH81)&amp;"",INDEX(nQ2_QC_Flags,$AH81)&amp;"",INDEX(nQ3_QC_Flags,$AH81)&amp;"",INDEX(nQ4_QC_Flags,$AH81)&amp;"",INDEX(nQ5_QC_Flags,$AH81)&amp;"",INDEX(nQ6_QC_Flags,$AH81)&amp;"",INDEX(nQ7_QC_Flags,$AH81)&amp;"",INDEX(nQ8_QC_Flags,$AH81)&amp;"",INDEX(nQ9_QC_Flags,$AH81)&amp;"",INDEX(nQ10_QC_Flags,$AH81)&amp;"",INDEX(nQ11_QC_Flags,$AH81)&amp;""))</f>
        <v/>
      </c>
      <c r="BJ81" s="1" t="str">
        <f>IF($AF81=0,"",CHOOSE($AF81,INDEX(nINT_Messages,$AH81)&amp;"",INDEX(nQ1_Messages,$AH81)&amp;"",INDEX(nQ2_Messages,$AH81)&amp;"",INDEX(nQ3_Messages,$AH81)&amp;"",INDEX(nQ4_Messages,$AH81)&amp;"",INDEX(nQ5_Messages,$AH81)&amp;"",INDEX(nQ6_Messages,$AH81)&amp;"",INDEX(nQ7_Messages,$AH81)&amp;"",INDEX(nQ8_Messages,$AH81)&amp;"",INDEX(nQ9_Messages,$AH81)&amp;"",INDEX(nQ10_Messages,$AH81)&amp;"",INDEX(nQ11_Messages,$AH81)&amp;""))</f>
        <v/>
      </c>
      <c r="BK81" s="1" t="str">
        <f>IF($AF81=0,"",CHOOSE($AF81,INDEX(nINT_Limitations,$AH81)&amp;"",INDEX(nQ1_Mandatory_Text,$AH81)&amp;"",INDEX(nQ2_Mandatory_Text,$AH81)&amp;"",INDEX(nQ3_Mandatory_Text,$AH81)&amp;"",INDEX(nQ4_Mandatory_Text,$AH81)&amp;"",INDEX(nQ5_Mandatory_Text,$AH81)&amp;"",INDEX(nQ6_Mandatory_Text,$AH81)&amp;"",INDEX(nQ7_Mandatory_Text,$AH81)&amp;"",INDEX(nQ8_Mandatory_Text,$AH81)&amp;"",INDEX(nQ9_Mandatory_Text,$AH81)&amp;"",INDEX(nQ10_Mandatory_Text,$AH81)&amp;"",INDEX(nQ11_Mandatory_Text,$AH81)&amp;""))</f>
        <v/>
      </c>
      <c r="BL81" s="1" t="str">
        <f t="shared" si="68"/>
        <v/>
      </c>
      <c r="BM81" s="1" t="str">
        <f t="shared" si="69"/>
        <v/>
      </c>
    </row>
    <row r="82" spans="1:65" x14ac:dyDescent="0.2">
      <c r="A82" s="21" t="str">
        <f t="shared" si="35"/>
        <v/>
      </c>
      <c r="B82" s="21" t="str">
        <f t="shared" si="36"/>
        <v/>
      </c>
      <c r="C82" s="21" t="str">
        <f t="shared" si="37"/>
        <v/>
      </c>
      <c r="D82" s="21" t="str">
        <f t="shared" si="38"/>
        <v/>
      </c>
      <c r="E82" s="21" t="str">
        <f t="shared" si="39"/>
        <v/>
      </c>
      <c r="F82" s="21" t="str">
        <f t="shared" si="40"/>
        <v/>
      </c>
      <c r="G82" s="21" t="str">
        <f t="shared" si="41"/>
        <v/>
      </c>
      <c r="H82" s="21" t="str">
        <f t="shared" si="42"/>
        <v/>
      </c>
      <c r="I82" s="21" t="str">
        <f t="shared" si="43"/>
        <v/>
      </c>
      <c r="J82" s="21" t="str">
        <f t="shared" si="44"/>
        <v/>
      </c>
      <c r="K82" s="21" t="str">
        <f t="shared" si="45"/>
        <v/>
      </c>
      <c r="L82" s="21" t="str">
        <f t="shared" si="46"/>
        <v/>
      </c>
      <c r="M82" s="21" t="str">
        <f t="shared" si="47"/>
        <v/>
      </c>
      <c r="N82" s="21" t="str">
        <f t="shared" si="48"/>
        <v/>
      </c>
      <c r="O82" s="21" t="str">
        <f t="shared" si="49"/>
        <v/>
      </c>
      <c r="P82" s="21" t="str">
        <f t="shared" si="50"/>
        <v/>
      </c>
      <c r="Q82" s="21" t="str">
        <f t="shared" si="51"/>
        <v/>
      </c>
      <c r="R82" s="21" t="str">
        <f t="shared" si="52"/>
        <v/>
      </c>
      <c r="S82" s="21" t="str">
        <f t="shared" si="53"/>
        <v/>
      </c>
      <c r="T82" s="21" t="str">
        <f t="shared" si="54"/>
        <v/>
      </c>
      <c r="U82" s="21" t="str">
        <f t="shared" si="55"/>
        <v/>
      </c>
      <c r="V82" s="21" t="str">
        <f t="shared" si="56"/>
        <v/>
      </c>
      <c r="W82" s="21" t="str">
        <f t="shared" si="57"/>
        <v/>
      </c>
      <c r="X82" s="21" t="str">
        <f t="shared" si="58"/>
        <v/>
      </c>
      <c r="Y82" s="21" t="str">
        <f t="shared" si="59"/>
        <v/>
      </c>
      <c r="Z82" s="21" t="str">
        <f t="shared" si="60"/>
        <v/>
      </c>
      <c r="AA82" s="21" t="str">
        <f t="shared" si="61"/>
        <v/>
      </c>
      <c r="AB82" s="21" t="str">
        <f t="shared" si="62"/>
        <v/>
      </c>
      <c r="AC82" s="21" t="str">
        <f t="shared" si="63"/>
        <v/>
      </c>
      <c r="AD82" s="21" t="str">
        <f t="shared" si="64"/>
        <v/>
      </c>
      <c r="AE82" s="1">
        <f t="shared" si="65"/>
        <v>75</v>
      </c>
      <c r="AF82" s="1">
        <f t="shared" si="66"/>
        <v>0</v>
      </c>
      <c r="AG82" s="1">
        <f t="shared" si="67"/>
        <v>0</v>
      </c>
      <c r="AH82" s="1">
        <f>IF(AF82=0,0,CHOOSE(AF82,IFERROR(_xlfn.AGGREGATE(15,6,(ROW(nINT_CaseKey)-ROW(INDEX(nINT_CaseKey,1,1))+1)/((nINT_CaseKey=$H$4)*(nINT_RowEmpty=0)),AG82),0),IFERROR(_xlfn.AGGREGATE(15,6,(ROW(nQ1_CaseKey)-ROW(INDEX(nQ1_CaseKey,1,1))+1)/((nQ1_CaseKey=$H$4)),AG82),0),IFERROR(_xlfn.AGGREGATE(15,6,(ROW(nQ2_CaseKey)-ROW(INDEX(nQ2_CaseKey,1,1))+1)/((nQ2_CaseKey=$H$4)),AG82),0),IFERROR(_xlfn.AGGREGATE(15,6,(ROW(nQ3_CaseKey)-ROW(INDEX(nQ3_CaseKey,1,1))+1)/((nQ3_CaseKey=$H$4)),AG82),0),IFERROR(_xlfn.AGGREGATE(15,6,(ROW(nQ4_CaseKey)-ROW(INDEX(nQ4_CaseKey,1,1))+1)/((nQ4_CaseKey=$H$4)),AG82),0),IFERROR(_xlfn.AGGREGATE(15,6,(ROW(nQ5_CaseKey)-ROW(INDEX(nQ5_CaseKey,1,1))+1)/((nQ5_CaseKey=$H$4)),AG82),0),IFERROR(_xlfn.AGGREGATE(15,6,(ROW(nQ6_CaseKey)-ROW(INDEX(nQ6_CaseKey,1,1))+1)/((nQ6_CaseKey=$H$4)),AG82),0),IFERROR(_xlfn.AGGREGATE(15,6,(ROW(nQ7_CaseKey)-ROW(INDEX(nQ7_CaseKey,1,1))+1)/((nQ7_CaseKey=$H$4)),AG82),0),IFERROR(_xlfn.AGGREGATE(15,6,(ROW(nQ8_CaseKey)-ROW(INDEX(nQ8_CaseKey,1,1))+1)/((nQ8_CaseKey=$H$4)),AG82),0),IFERROR(_xlfn.AGGREGATE(15,6,(ROW(nQ9_CaseKey)-ROW(INDEX(nQ9_CaseKey,1,1))+1)/((nQ9_CaseKey=$H$4)),AG82),0),IFERROR(_xlfn.AGGREGATE(15,6,(ROW(nQ10_CaseKey)-ROW(INDEX(nQ10_CaseKey,1,1))+1)/((nQ10_CaseKey=$H$4)),AG82),0),IFERROR(_xlfn.AGGREGATE(15,6,(ROW(nQ11_CaseKey)-ROW(INDEX(nQ11_CaseKey,1,1))+1)/((nQ11_CaseKey=$H$4)),AG82),0)))</f>
        <v>0</v>
      </c>
      <c r="AJ82" s="1" t="str">
        <f>IF($AF82=0,"",CHOOSE($AF82,INDEX(nINT_Case_ID,$AH82)&amp;"",INDEX(nQ1_Case_ID,$AH82)&amp;"",INDEX(nQ2_Case_ID,$AH82)&amp;"",INDEX(nQ3_Case_ID,$AH82)&amp;"",INDEX(nQ4_Case_ID,$AH82)&amp;"",INDEX(nQ5_Case_ID,$AH82)&amp;"",INDEX(nQ6_Case_ID,$AH82)&amp;"",INDEX(nQ7_Case_ID,$AH82)&amp;"",INDEX(nQ8_Case_ID,$AH82)&amp;"",INDEX(nQ9_Case_ID,$AH82)&amp;"",INDEX(nQ10_Case_ID,$AH82)&amp;"",INDEX(nQ11_Case_ID,$AH82)&amp;""))</f>
        <v/>
      </c>
      <c r="AK82" s="1" t="str">
        <f>IF($AF82=0,"",CHOOSE($AF82,INDEX(nINT_Case_Version,$AH82),INDEX(nQ1_Case_Version,$AH82),INDEX(nQ2_Case_Version,$AH82),INDEX(nQ3_Case_Version,$AH82),INDEX(nQ4_Case_Version,$AH82),INDEX(nQ5_Case_Version,$AH82),INDEX(nQ6_Case_Version,$AH82),INDEX(nQ7_Case_Version,$AH82),INDEX(nQ8_Case_Version,$AH82),INDEX(nQ9_Case_Version,$AH82),INDEX(nQ10_Case_Version,$AH82),INDEX(nQ11_Case_Version,$AH82)))</f>
        <v/>
      </c>
      <c r="AL82" s="1" t="str">
        <f>IF($AF82=0,"",CHOOSE($AF82,INDEX(nINT_Interval_ID,$AH82)&amp;"",INDEX(nQ1_Calc_ID,$AH82)&amp;"",INDEX(nQ2_Calc_ID,$AH82)&amp;"",INDEX(nQ3_Calc_ID,$AH82)&amp;"",INDEX(nQ4_Calc_ID,$AH82)&amp;"",INDEX(nQ5_Calc_ID,$AH82)&amp;"",INDEX(nQ6_Calc_ID,$AH82)&amp;"",INDEX(nQ7_Calc_ID,$AH82)&amp;"",INDEX(nQ8_Calc_ID,$AH82)&amp;"",INDEX(nQ9_Calc_ID,$AH82)&amp;"",INDEX(nQ10_Calc_ID,$AH82)&amp;"",INDEX(nQ11_Calc_ID,$AH82)&amp;""))</f>
        <v/>
      </c>
      <c r="AM82" s="1" t="str">
        <f>IF($AF82=0,"",CHOOSE($AF82,INDEX(nINT_Label,$AH82)&amp;"",INDEX(nQ1_Label_Out,$AH82)&amp;"",INDEX(nQ2_Label_Out,$AH82)&amp;"",INDEX(nQ3_Label_Out,$AH82)&amp;"",INDEX(nQ4_Label_Out,$AH82)&amp;"",INDEX(nQ5_Label_Out,$AH82)&amp;"",INDEX(nQ6_Label_Out,$AH82)&amp;"",INDEX(nQ7_Label_Out,$AH82)&amp;"",INDEX(nQ8_Label_Out,$AH82)&amp;"",INDEX(nQ9_Label_Out,$AH82)&amp;"",INDEX(nQ10_Label_Out,$AH82)&amp;"",INDEX(nQ11_Label_Out,$AH82)&amp;""))</f>
        <v/>
      </c>
      <c r="AN82" s="1" t="str">
        <f>IF($AF82=0,"",CHOOSE($AF82,IF(INDEX(nINT_LinkRow,$AH82)=0,"",INDEX(nINT_Link_ID,$AH82)&amp;""),"","","","","","","","","","",""))</f>
        <v/>
      </c>
      <c r="AO82" s="1" t="str">
        <f>IF($AF82=0,"",CHOOSE($AF82,INDEX(nINT_Exposure_Episode_ID,$AH82)&amp;"","","","","","","","","","","",""))</f>
        <v/>
      </c>
      <c r="AP82" s="1" t="str">
        <f>IF($AF82=0,"",CHOOSE($AF82,INDEX(nINT_Event_Episode_ID,$AH82)&amp;"","","","","","","","","","","",""))</f>
        <v/>
      </c>
      <c r="AQ82" s="1" t="str">
        <f>IF($AF82=0,"",CHOOSE($AF82,INDEX(nINT_End_Record_ID_Used,$AH82)&amp;"","","","","","","","","","","",""))</f>
        <v/>
      </c>
      <c r="AR82" s="1" t="str">
        <f>IF($AF82=0,"",CHOOSE($AF82,INDEX(nINT_Interval_Value,$AH82),"","","","","","","","","","",""))</f>
        <v/>
      </c>
      <c r="AS82" s="1" t="str">
        <f>IF($AF82=0,"",CHOOSE($AF82,INDEX(nINT_Interval_Minimum,$AH82),"","","","","","","","","","",""))</f>
        <v/>
      </c>
      <c r="AT82" s="1" t="str">
        <f>IF($AF82=0,"",CHOOSE($AF82,INDEX(nINT_Interval_Maximum,$AH82),"","","","","","","","","","",""))</f>
        <v/>
      </c>
      <c r="AU82" s="1" t="str">
        <f>IF($AF82=0,"",CHOOSE($AF82,INDEX(nINT_Unit,$AH82)&amp;"",INDEX(nQ1_Unit_Out,$AH82)&amp;"",INDEX(nQ2_Unit_Out,$AH82)&amp;"",INDEX(nQ3_Unit_Out,$AH82)&amp;"",INDEX(nQ4_Unit_Out,$AH82)&amp;"",INDEX(nQ5_Unit_Out,$AH82)&amp;"",INDEX(nQ6_Unit_Out,$AH82)&amp;"",INDEX(nQ7_Unit_Out,$AH82)&amp;"",INDEX(nQ8_Unit_Out,$AH82)&amp;"",INDEX(nQ9_Unit_Out,$AH82)&amp;"",INDEX(nQ10_Unit_Out,$AH82)&amp;"",INDEX(nQ11_Unit_Out,$AH82)&amp;""))</f>
        <v/>
      </c>
      <c r="AV82" s="1" t="str">
        <f>IF($AF82=0,"",CHOOSE($AF82,INDEX(nINT_Displayed_Value,$AH82)&amp;"",INDEX(nQ1_Displayed_Value,$AH82)&amp;"",INDEX(nQ2_Displayed_Value,$AH82)&amp;"",INDEX(nQ3_Displayed_Value,$AH82)&amp;"",INDEX(nQ4_Displayed_Value,$AH82)&amp;"",INDEX(nQ5_Displayed_Value,$AH82)&amp;"",INDEX(nQ6_Displayed_Value,$AH82)&amp;"",INDEX(nQ7_Displayed_Value,$AH82)&amp;"",INDEX(nQ8_Displayed_Value,$AH82)&amp;"",INDEX(nQ9_Displayed_Value,$AH82)&amp;"",INDEX(nQ10_Displayed_Value,$AH82)&amp;"",INDEX(nQ11_Displayed_Value,$AH82)&amp;""))</f>
        <v/>
      </c>
      <c r="AW82" s="1" t="str">
        <f>IF($AF82=0,"",CHOOSE($AF82,INDEX(nINT_Calculation_Mode_Used,$AH82)&amp;"","Q1","Q2","Q3","Q4","Q5","Q6","Q7","Q8","Q9","Q10","Q11"))</f>
        <v/>
      </c>
      <c r="AX82" s="1" t="str">
        <f>IF($AF82=0,"",CHOOSE($AF82,INDEX(nINT_Anchor_Type,$AH82)&amp;"","","","","","","","","","","",""))</f>
        <v/>
      </c>
      <c r="AY82" s="1" t="str">
        <f>IF($AF82=0,"",CHOOSE($AF82,IF(INDEX(nINT_K_Ok,$AH82)=1,INDEX(nINT_Anchor_Record_ID_Used,$AH82)&amp;"",""),"","","","","","","","","","",""))</f>
        <v/>
      </c>
      <c r="AZ82" s="1" t="str">
        <f>IF($AF82=0,"",CHOOSE($AF82,INDEX(nINT_Anchor_Description,$AH82)&amp;"","","","","","","","","","","",""))</f>
        <v/>
      </c>
      <c r="BA82" s="1" t="str">
        <f>IF($AF82=0,"",CHOOSE($AF82,INDEX(nINT_Sequence_Status,$AH82)&amp;"","","","","","","","","","","",""))</f>
        <v/>
      </c>
      <c r="BB82" s="1" t="str">
        <f>IF($AF82=0,"",CHOOSE($AF82,INDEX(nINT_Treatment_Day,$AH82),"","","","","","","","","","",""))</f>
        <v/>
      </c>
      <c r="BC82" s="1" t="str">
        <f>IF($AF82=0,"",CHOOSE($AF82,INDEX(nINT_Reported_Timing_Result,$AH82)&amp;"","","","","","","","","","","",""))</f>
        <v/>
      </c>
      <c r="BD82" s="1" t="str">
        <f>IF($AF82=0,"",CHOOSE($AF82,IF(INDEX(nINT_K_HasC,$AH82)=1,INDEX(nINT_Constraint_Source,$AH82)&amp;"",""),"","","","","","","","","","",""))</f>
        <v/>
      </c>
      <c r="BE82" s="1" t="str">
        <f>IF($AF82=0,"",CHOOSE($AF82,"",INDEX(nQ1_Results_Text,$AH82)&amp;"",INDEX(nQ2_Results_Text,$AH82)&amp;"",INDEX(nQ3_Results_Text,$AH82)&amp;"",INDEX(nQ4_Results_Text,$AH82)&amp;"",INDEX(nQ5_Results_Text,$AH82)&amp;"",INDEX(nQ6_Results_Text,$AH82)&amp;"",INDEX(nQ7_Results_Text,$AH82)&amp;"",INDEX(nQ8_Results_Text,$AH82)&amp;"",INDEX(nQ9_Results_Text,$AH82)&amp;"",INDEX(nQ10_Results_Text,$AH82)&amp;"",INDEX(nQ11_Results_Text,$AH82)&amp;""))</f>
        <v/>
      </c>
      <c r="BF82" s="1" t="str">
        <f>IF($AF82=0,"",CHOOSE($AF82,INDEX(nINT_Parameter_Set,$AH82)&amp;"",INDEX(nQ1_Parameter_Set,$AH82)&amp;"",INDEX(nQ2_Parameter_Set,$AH82)&amp;"",INDEX(nQ3_Parameter_Set,$AH82)&amp;"",INDEX(nQ4_Parameter_Set,$AH82)&amp;"",INDEX(nQ5_Parameter_Set,$AH82)&amp;"",INDEX(nQ6_Parameter_Set,$AH82)&amp;"",INDEX(nQ7_Parameter_Set,$AH82)&amp;"",INDEX(nQ8_Parameter_Set,$AH82)&amp;"",INDEX(nQ9_Parameter_Set,$AH82)&amp;"",INDEX(nQ10_Parameter_Set,$AH82)&amp;"",INDEX(nQ11_Parameter_Set,$AH82)&amp;""))</f>
        <v/>
      </c>
      <c r="BG82" s="1" t="str">
        <f>IF($AF82=0,"",CHOOSE($AF82,INDEX(nINT_Assumptions,$AH82)&amp;"",INDEX(nQ1_Assumptions,$AH82)&amp;"",INDEX(nQ2_Assumptions,$AH82)&amp;"",INDEX(nQ3_Assumptions,$AH82)&amp;"",INDEX(nQ4_Assumptions,$AH82)&amp;"",INDEX(nQ5_Assumptions,$AH82)&amp;"",INDEX(nQ6_Assumptions,$AH82)&amp;"",INDEX(nQ7_Assumptions,$AH82)&amp;"",INDEX(nQ8_Assumptions,$AH82)&amp;"",INDEX(nQ9_Assumptions,$AH82)&amp;"",INDEX(nQ10_Assumptions,$AH82)&amp;"",INDEX(nQ11_Assumptions,$AH82)&amp;""))</f>
        <v/>
      </c>
      <c r="BH82" s="1" t="str">
        <f>IF($AF82=0,"",CHOOSE($AF82,INDEX(nINT_Calculation_Version,$AH82)&amp;"",INDEX(nQ1_Calculation_Version,$AH82)&amp;"",INDEX(nQ2_Calculation_Version,$AH82)&amp;"",INDEX(nQ3_Calculation_Version,$AH82)&amp;"",INDEX(nQ4_Calculation_Version,$AH82)&amp;"",INDEX(nQ5_Calculation_Version,$AH82)&amp;"",INDEX(nQ6_Calculation_Version,$AH82)&amp;"",INDEX(nQ7_Calculation_Version,$AH82)&amp;"",INDEX(nQ8_Calculation_Version,$AH82)&amp;"",INDEX(nQ9_Calculation_Version,$AH82)&amp;"",INDEX(nQ10_Calculation_Version,$AH82)&amp;"",INDEX(nQ11_Calculation_Version,$AH82)&amp;""))</f>
        <v/>
      </c>
      <c r="BI82" s="1" t="str">
        <f>IF($AF82=0,"",CHOOSE($AF82,INDEX(nINT_QC_Flags,$AH82)&amp;"",INDEX(nQ1_QC_Flags,$AH82)&amp;"",INDEX(nQ2_QC_Flags,$AH82)&amp;"",INDEX(nQ3_QC_Flags,$AH82)&amp;"",INDEX(nQ4_QC_Flags,$AH82)&amp;"",INDEX(nQ5_QC_Flags,$AH82)&amp;"",INDEX(nQ6_QC_Flags,$AH82)&amp;"",INDEX(nQ7_QC_Flags,$AH82)&amp;"",INDEX(nQ8_QC_Flags,$AH82)&amp;"",INDEX(nQ9_QC_Flags,$AH82)&amp;"",INDEX(nQ10_QC_Flags,$AH82)&amp;"",INDEX(nQ11_QC_Flags,$AH82)&amp;""))</f>
        <v/>
      </c>
      <c r="BJ82" s="1" t="str">
        <f>IF($AF82=0,"",CHOOSE($AF82,INDEX(nINT_Messages,$AH82)&amp;"",INDEX(nQ1_Messages,$AH82)&amp;"",INDEX(nQ2_Messages,$AH82)&amp;"",INDEX(nQ3_Messages,$AH82)&amp;"",INDEX(nQ4_Messages,$AH82)&amp;"",INDEX(nQ5_Messages,$AH82)&amp;"",INDEX(nQ6_Messages,$AH82)&amp;"",INDEX(nQ7_Messages,$AH82)&amp;"",INDEX(nQ8_Messages,$AH82)&amp;"",INDEX(nQ9_Messages,$AH82)&amp;"",INDEX(nQ10_Messages,$AH82)&amp;"",INDEX(nQ11_Messages,$AH82)&amp;""))</f>
        <v/>
      </c>
      <c r="BK82" s="1" t="str">
        <f>IF($AF82=0,"",CHOOSE($AF82,INDEX(nINT_Limitations,$AH82)&amp;"",INDEX(nQ1_Mandatory_Text,$AH82)&amp;"",INDEX(nQ2_Mandatory_Text,$AH82)&amp;"",INDEX(nQ3_Mandatory_Text,$AH82)&amp;"",INDEX(nQ4_Mandatory_Text,$AH82)&amp;"",INDEX(nQ5_Mandatory_Text,$AH82)&amp;"",INDEX(nQ6_Mandatory_Text,$AH82)&amp;"",INDEX(nQ7_Mandatory_Text,$AH82)&amp;"",INDEX(nQ8_Mandatory_Text,$AH82)&amp;"",INDEX(nQ9_Mandatory_Text,$AH82)&amp;"",INDEX(nQ10_Mandatory_Text,$AH82)&amp;"",INDEX(nQ11_Mandatory_Text,$AH82)&amp;""))</f>
        <v/>
      </c>
      <c r="BL82" s="1" t="str">
        <f t="shared" si="68"/>
        <v/>
      </c>
      <c r="BM82" s="1" t="str">
        <f t="shared" si="69"/>
        <v/>
      </c>
    </row>
    <row r="83" spans="1:65" x14ac:dyDescent="0.2">
      <c r="A83" s="21" t="str">
        <f t="shared" si="35"/>
        <v/>
      </c>
      <c r="B83" s="21" t="str">
        <f t="shared" si="36"/>
        <v/>
      </c>
      <c r="C83" s="21" t="str">
        <f t="shared" si="37"/>
        <v/>
      </c>
      <c r="D83" s="21" t="str">
        <f t="shared" si="38"/>
        <v/>
      </c>
      <c r="E83" s="21" t="str">
        <f t="shared" si="39"/>
        <v/>
      </c>
      <c r="F83" s="21" t="str">
        <f t="shared" si="40"/>
        <v/>
      </c>
      <c r="G83" s="21" t="str">
        <f t="shared" si="41"/>
        <v/>
      </c>
      <c r="H83" s="21" t="str">
        <f t="shared" si="42"/>
        <v/>
      </c>
      <c r="I83" s="21" t="str">
        <f t="shared" si="43"/>
        <v/>
      </c>
      <c r="J83" s="21" t="str">
        <f t="shared" si="44"/>
        <v/>
      </c>
      <c r="K83" s="21" t="str">
        <f t="shared" si="45"/>
        <v/>
      </c>
      <c r="L83" s="21" t="str">
        <f t="shared" si="46"/>
        <v/>
      </c>
      <c r="M83" s="21" t="str">
        <f t="shared" si="47"/>
        <v/>
      </c>
      <c r="N83" s="21" t="str">
        <f t="shared" si="48"/>
        <v/>
      </c>
      <c r="O83" s="21" t="str">
        <f t="shared" si="49"/>
        <v/>
      </c>
      <c r="P83" s="21" t="str">
        <f t="shared" si="50"/>
        <v/>
      </c>
      <c r="Q83" s="21" t="str">
        <f t="shared" si="51"/>
        <v/>
      </c>
      <c r="R83" s="21" t="str">
        <f t="shared" si="52"/>
        <v/>
      </c>
      <c r="S83" s="21" t="str">
        <f t="shared" si="53"/>
        <v/>
      </c>
      <c r="T83" s="21" t="str">
        <f t="shared" si="54"/>
        <v/>
      </c>
      <c r="U83" s="21" t="str">
        <f t="shared" si="55"/>
        <v/>
      </c>
      <c r="V83" s="21" t="str">
        <f t="shared" si="56"/>
        <v/>
      </c>
      <c r="W83" s="21" t="str">
        <f t="shared" si="57"/>
        <v/>
      </c>
      <c r="X83" s="21" t="str">
        <f t="shared" si="58"/>
        <v/>
      </c>
      <c r="Y83" s="21" t="str">
        <f t="shared" si="59"/>
        <v/>
      </c>
      <c r="Z83" s="21" t="str">
        <f t="shared" si="60"/>
        <v/>
      </c>
      <c r="AA83" s="21" t="str">
        <f t="shared" si="61"/>
        <v/>
      </c>
      <c r="AB83" s="21" t="str">
        <f t="shared" si="62"/>
        <v/>
      </c>
      <c r="AC83" s="21" t="str">
        <f t="shared" si="63"/>
        <v/>
      </c>
      <c r="AD83" s="21" t="str">
        <f t="shared" si="64"/>
        <v/>
      </c>
      <c r="AE83" s="1">
        <f t="shared" si="65"/>
        <v>76</v>
      </c>
      <c r="AF83" s="1">
        <f t="shared" si="66"/>
        <v>0</v>
      </c>
      <c r="AG83" s="1">
        <f t="shared" si="67"/>
        <v>0</v>
      </c>
      <c r="AH83" s="1">
        <f>IF(AF83=0,0,CHOOSE(AF83,IFERROR(_xlfn.AGGREGATE(15,6,(ROW(nINT_CaseKey)-ROW(INDEX(nINT_CaseKey,1,1))+1)/((nINT_CaseKey=$H$4)*(nINT_RowEmpty=0)),AG83),0),IFERROR(_xlfn.AGGREGATE(15,6,(ROW(nQ1_CaseKey)-ROW(INDEX(nQ1_CaseKey,1,1))+1)/((nQ1_CaseKey=$H$4)),AG83),0),IFERROR(_xlfn.AGGREGATE(15,6,(ROW(nQ2_CaseKey)-ROW(INDEX(nQ2_CaseKey,1,1))+1)/((nQ2_CaseKey=$H$4)),AG83),0),IFERROR(_xlfn.AGGREGATE(15,6,(ROW(nQ3_CaseKey)-ROW(INDEX(nQ3_CaseKey,1,1))+1)/((nQ3_CaseKey=$H$4)),AG83),0),IFERROR(_xlfn.AGGREGATE(15,6,(ROW(nQ4_CaseKey)-ROW(INDEX(nQ4_CaseKey,1,1))+1)/((nQ4_CaseKey=$H$4)),AG83),0),IFERROR(_xlfn.AGGREGATE(15,6,(ROW(nQ5_CaseKey)-ROW(INDEX(nQ5_CaseKey,1,1))+1)/((nQ5_CaseKey=$H$4)),AG83),0),IFERROR(_xlfn.AGGREGATE(15,6,(ROW(nQ6_CaseKey)-ROW(INDEX(nQ6_CaseKey,1,1))+1)/((nQ6_CaseKey=$H$4)),AG83),0),IFERROR(_xlfn.AGGREGATE(15,6,(ROW(nQ7_CaseKey)-ROW(INDEX(nQ7_CaseKey,1,1))+1)/((nQ7_CaseKey=$H$4)),AG83),0),IFERROR(_xlfn.AGGREGATE(15,6,(ROW(nQ8_CaseKey)-ROW(INDEX(nQ8_CaseKey,1,1))+1)/((nQ8_CaseKey=$H$4)),AG83),0),IFERROR(_xlfn.AGGREGATE(15,6,(ROW(nQ9_CaseKey)-ROW(INDEX(nQ9_CaseKey,1,1))+1)/((nQ9_CaseKey=$H$4)),AG83),0),IFERROR(_xlfn.AGGREGATE(15,6,(ROW(nQ10_CaseKey)-ROW(INDEX(nQ10_CaseKey,1,1))+1)/((nQ10_CaseKey=$H$4)),AG83),0),IFERROR(_xlfn.AGGREGATE(15,6,(ROW(nQ11_CaseKey)-ROW(INDEX(nQ11_CaseKey,1,1))+1)/((nQ11_CaseKey=$H$4)),AG83),0)))</f>
        <v>0</v>
      </c>
      <c r="AJ83" s="1" t="str">
        <f>IF($AF83=0,"",CHOOSE($AF83,INDEX(nINT_Case_ID,$AH83)&amp;"",INDEX(nQ1_Case_ID,$AH83)&amp;"",INDEX(nQ2_Case_ID,$AH83)&amp;"",INDEX(nQ3_Case_ID,$AH83)&amp;"",INDEX(nQ4_Case_ID,$AH83)&amp;"",INDEX(nQ5_Case_ID,$AH83)&amp;"",INDEX(nQ6_Case_ID,$AH83)&amp;"",INDEX(nQ7_Case_ID,$AH83)&amp;"",INDEX(nQ8_Case_ID,$AH83)&amp;"",INDEX(nQ9_Case_ID,$AH83)&amp;"",INDEX(nQ10_Case_ID,$AH83)&amp;"",INDEX(nQ11_Case_ID,$AH83)&amp;""))</f>
        <v/>
      </c>
      <c r="AK83" s="1" t="str">
        <f>IF($AF83=0,"",CHOOSE($AF83,INDEX(nINT_Case_Version,$AH83),INDEX(nQ1_Case_Version,$AH83),INDEX(nQ2_Case_Version,$AH83),INDEX(nQ3_Case_Version,$AH83),INDEX(nQ4_Case_Version,$AH83),INDEX(nQ5_Case_Version,$AH83),INDEX(nQ6_Case_Version,$AH83),INDEX(nQ7_Case_Version,$AH83),INDEX(nQ8_Case_Version,$AH83),INDEX(nQ9_Case_Version,$AH83),INDEX(nQ10_Case_Version,$AH83),INDEX(nQ11_Case_Version,$AH83)))</f>
        <v/>
      </c>
      <c r="AL83" s="1" t="str">
        <f>IF($AF83=0,"",CHOOSE($AF83,INDEX(nINT_Interval_ID,$AH83)&amp;"",INDEX(nQ1_Calc_ID,$AH83)&amp;"",INDEX(nQ2_Calc_ID,$AH83)&amp;"",INDEX(nQ3_Calc_ID,$AH83)&amp;"",INDEX(nQ4_Calc_ID,$AH83)&amp;"",INDEX(nQ5_Calc_ID,$AH83)&amp;"",INDEX(nQ6_Calc_ID,$AH83)&amp;"",INDEX(nQ7_Calc_ID,$AH83)&amp;"",INDEX(nQ8_Calc_ID,$AH83)&amp;"",INDEX(nQ9_Calc_ID,$AH83)&amp;"",INDEX(nQ10_Calc_ID,$AH83)&amp;"",INDEX(nQ11_Calc_ID,$AH83)&amp;""))</f>
        <v/>
      </c>
      <c r="AM83" s="1" t="str">
        <f>IF($AF83=0,"",CHOOSE($AF83,INDEX(nINT_Label,$AH83)&amp;"",INDEX(nQ1_Label_Out,$AH83)&amp;"",INDEX(nQ2_Label_Out,$AH83)&amp;"",INDEX(nQ3_Label_Out,$AH83)&amp;"",INDEX(nQ4_Label_Out,$AH83)&amp;"",INDEX(nQ5_Label_Out,$AH83)&amp;"",INDEX(nQ6_Label_Out,$AH83)&amp;"",INDEX(nQ7_Label_Out,$AH83)&amp;"",INDEX(nQ8_Label_Out,$AH83)&amp;"",INDEX(nQ9_Label_Out,$AH83)&amp;"",INDEX(nQ10_Label_Out,$AH83)&amp;"",INDEX(nQ11_Label_Out,$AH83)&amp;""))</f>
        <v/>
      </c>
      <c r="AN83" s="1" t="str">
        <f>IF($AF83=0,"",CHOOSE($AF83,IF(INDEX(nINT_LinkRow,$AH83)=0,"",INDEX(nINT_Link_ID,$AH83)&amp;""),"","","","","","","","","","",""))</f>
        <v/>
      </c>
      <c r="AO83" s="1" t="str">
        <f>IF($AF83=0,"",CHOOSE($AF83,INDEX(nINT_Exposure_Episode_ID,$AH83)&amp;"","","","","","","","","","","",""))</f>
        <v/>
      </c>
      <c r="AP83" s="1" t="str">
        <f>IF($AF83=0,"",CHOOSE($AF83,INDEX(nINT_Event_Episode_ID,$AH83)&amp;"","","","","","","","","","","",""))</f>
        <v/>
      </c>
      <c r="AQ83" s="1" t="str">
        <f>IF($AF83=0,"",CHOOSE($AF83,INDEX(nINT_End_Record_ID_Used,$AH83)&amp;"","","","","","","","","","","",""))</f>
        <v/>
      </c>
      <c r="AR83" s="1" t="str">
        <f>IF($AF83=0,"",CHOOSE($AF83,INDEX(nINT_Interval_Value,$AH83),"","","","","","","","","","",""))</f>
        <v/>
      </c>
      <c r="AS83" s="1" t="str">
        <f>IF($AF83=0,"",CHOOSE($AF83,INDEX(nINT_Interval_Minimum,$AH83),"","","","","","","","","","",""))</f>
        <v/>
      </c>
      <c r="AT83" s="1" t="str">
        <f>IF($AF83=0,"",CHOOSE($AF83,INDEX(nINT_Interval_Maximum,$AH83),"","","","","","","","","","",""))</f>
        <v/>
      </c>
      <c r="AU83" s="1" t="str">
        <f>IF($AF83=0,"",CHOOSE($AF83,INDEX(nINT_Unit,$AH83)&amp;"",INDEX(nQ1_Unit_Out,$AH83)&amp;"",INDEX(nQ2_Unit_Out,$AH83)&amp;"",INDEX(nQ3_Unit_Out,$AH83)&amp;"",INDEX(nQ4_Unit_Out,$AH83)&amp;"",INDEX(nQ5_Unit_Out,$AH83)&amp;"",INDEX(nQ6_Unit_Out,$AH83)&amp;"",INDEX(nQ7_Unit_Out,$AH83)&amp;"",INDEX(nQ8_Unit_Out,$AH83)&amp;"",INDEX(nQ9_Unit_Out,$AH83)&amp;"",INDEX(nQ10_Unit_Out,$AH83)&amp;"",INDEX(nQ11_Unit_Out,$AH83)&amp;""))</f>
        <v/>
      </c>
      <c r="AV83" s="1" t="str">
        <f>IF($AF83=0,"",CHOOSE($AF83,INDEX(nINT_Displayed_Value,$AH83)&amp;"",INDEX(nQ1_Displayed_Value,$AH83)&amp;"",INDEX(nQ2_Displayed_Value,$AH83)&amp;"",INDEX(nQ3_Displayed_Value,$AH83)&amp;"",INDEX(nQ4_Displayed_Value,$AH83)&amp;"",INDEX(nQ5_Displayed_Value,$AH83)&amp;"",INDEX(nQ6_Displayed_Value,$AH83)&amp;"",INDEX(nQ7_Displayed_Value,$AH83)&amp;"",INDEX(nQ8_Displayed_Value,$AH83)&amp;"",INDEX(nQ9_Displayed_Value,$AH83)&amp;"",INDEX(nQ10_Displayed_Value,$AH83)&amp;"",INDEX(nQ11_Displayed_Value,$AH83)&amp;""))</f>
        <v/>
      </c>
      <c r="AW83" s="1" t="str">
        <f>IF($AF83=0,"",CHOOSE($AF83,INDEX(nINT_Calculation_Mode_Used,$AH83)&amp;"","Q1","Q2","Q3","Q4","Q5","Q6","Q7","Q8","Q9","Q10","Q11"))</f>
        <v/>
      </c>
      <c r="AX83" s="1" t="str">
        <f>IF($AF83=0,"",CHOOSE($AF83,INDEX(nINT_Anchor_Type,$AH83)&amp;"","","","","","","","","","","",""))</f>
        <v/>
      </c>
      <c r="AY83" s="1" t="str">
        <f>IF($AF83=0,"",CHOOSE($AF83,IF(INDEX(nINT_K_Ok,$AH83)=1,INDEX(nINT_Anchor_Record_ID_Used,$AH83)&amp;"",""),"","","","","","","","","","",""))</f>
        <v/>
      </c>
      <c r="AZ83" s="1" t="str">
        <f>IF($AF83=0,"",CHOOSE($AF83,INDEX(nINT_Anchor_Description,$AH83)&amp;"","","","","","","","","","","",""))</f>
        <v/>
      </c>
      <c r="BA83" s="1" t="str">
        <f>IF($AF83=0,"",CHOOSE($AF83,INDEX(nINT_Sequence_Status,$AH83)&amp;"","","","","","","","","","","",""))</f>
        <v/>
      </c>
      <c r="BB83" s="1" t="str">
        <f>IF($AF83=0,"",CHOOSE($AF83,INDEX(nINT_Treatment_Day,$AH83),"","","","","","","","","","",""))</f>
        <v/>
      </c>
      <c r="BC83" s="1" t="str">
        <f>IF($AF83=0,"",CHOOSE($AF83,INDEX(nINT_Reported_Timing_Result,$AH83)&amp;"","","","","","","","","","","",""))</f>
        <v/>
      </c>
      <c r="BD83" s="1" t="str">
        <f>IF($AF83=0,"",CHOOSE($AF83,IF(INDEX(nINT_K_HasC,$AH83)=1,INDEX(nINT_Constraint_Source,$AH83)&amp;"",""),"","","","","","","","","","",""))</f>
        <v/>
      </c>
      <c r="BE83" s="1" t="str">
        <f>IF($AF83=0,"",CHOOSE($AF83,"",INDEX(nQ1_Results_Text,$AH83)&amp;"",INDEX(nQ2_Results_Text,$AH83)&amp;"",INDEX(nQ3_Results_Text,$AH83)&amp;"",INDEX(nQ4_Results_Text,$AH83)&amp;"",INDEX(nQ5_Results_Text,$AH83)&amp;"",INDEX(nQ6_Results_Text,$AH83)&amp;"",INDEX(nQ7_Results_Text,$AH83)&amp;"",INDEX(nQ8_Results_Text,$AH83)&amp;"",INDEX(nQ9_Results_Text,$AH83)&amp;"",INDEX(nQ10_Results_Text,$AH83)&amp;"",INDEX(nQ11_Results_Text,$AH83)&amp;""))</f>
        <v/>
      </c>
      <c r="BF83" s="1" t="str">
        <f>IF($AF83=0,"",CHOOSE($AF83,INDEX(nINT_Parameter_Set,$AH83)&amp;"",INDEX(nQ1_Parameter_Set,$AH83)&amp;"",INDEX(nQ2_Parameter_Set,$AH83)&amp;"",INDEX(nQ3_Parameter_Set,$AH83)&amp;"",INDEX(nQ4_Parameter_Set,$AH83)&amp;"",INDEX(nQ5_Parameter_Set,$AH83)&amp;"",INDEX(nQ6_Parameter_Set,$AH83)&amp;"",INDEX(nQ7_Parameter_Set,$AH83)&amp;"",INDEX(nQ8_Parameter_Set,$AH83)&amp;"",INDEX(nQ9_Parameter_Set,$AH83)&amp;"",INDEX(nQ10_Parameter_Set,$AH83)&amp;"",INDEX(nQ11_Parameter_Set,$AH83)&amp;""))</f>
        <v/>
      </c>
      <c r="BG83" s="1" t="str">
        <f>IF($AF83=0,"",CHOOSE($AF83,INDEX(nINT_Assumptions,$AH83)&amp;"",INDEX(nQ1_Assumptions,$AH83)&amp;"",INDEX(nQ2_Assumptions,$AH83)&amp;"",INDEX(nQ3_Assumptions,$AH83)&amp;"",INDEX(nQ4_Assumptions,$AH83)&amp;"",INDEX(nQ5_Assumptions,$AH83)&amp;"",INDEX(nQ6_Assumptions,$AH83)&amp;"",INDEX(nQ7_Assumptions,$AH83)&amp;"",INDEX(nQ8_Assumptions,$AH83)&amp;"",INDEX(nQ9_Assumptions,$AH83)&amp;"",INDEX(nQ10_Assumptions,$AH83)&amp;"",INDEX(nQ11_Assumptions,$AH83)&amp;""))</f>
        <v/>
      </c>
      <c r="BH83" s="1" t="str">
        <f>IF($AF83=0,"",CHOOSE($AF83,INDEX(nINT_Calculation_Version,$AH83)&amp;"",INDEX(nQ1_Calculation_Version,$AH83)&amp;"",INDEX(nQ2_Calculation_Version,$AH83)&amp;"",INDEX(nQ3_Calculation_Version,$AH83)&amp;"",INDEX(nQ4_Calculation_Version,$AH83)&amp;"",INDEX(nQ5_Calculation_Version,$AH83)&amp;"",INDEX(nQ6_Calculation_Version,$AH83)&amp;"",INDEX(nQ7_Calculation_Version,$AH83)&amp;"",INDEX(nQ8_Calculation_Version,$AH83)&amp;"",INDEX(nQ9_Calculation_Version,$AH83)&amp;"",INDEX(nQ10_Calculation_Version,$AH83)&amp;"",INDEX(nQ11_Calculation_Version,$AH83)&amp;""))</f>
        <v/>
      </c>
      <c r="BI83" s="1" t="str">
        <f>IF($AF83=0,"",CHOOSE($AF83,INDEX(nINT_QC_Flags,$AH83)&amp;"",INDEX(nQ1_QC_Flags,$AH83)&amp;"",INDEX(nQ2_QC_Flags,$AH83)&amp;"",INDEX(nQ3_QC_Flags,$AH83)&amp;"",INDEX(nQ4_QC_Flags,$AH83)&amp;"",INDEX(nQ5_QC_Flags,$AH83)&amp;"",INDEX(nQ6_QC_Flags,$AH83)&amp;"",INDEX(nQ7_QC_Flags,$AH83)&amp;"",INDEX(nQ8_QC_Flags,$AH83)&amp;"",INDEX(nQ9_QC_Flags,$AH83)&amp;"",INDEX(nQ10_QC_Flags,$AH83)&amp;"",INDEX(nQ11_QC_Flags,$AH83)&amp;""))</f>
        <v/>
      </c>
      <c r="BJ83" s="1" t="str">
        <f>IF($AF83=0,"",CHOOSE($AF83,INDEX(nINT_Messages,$AH83)&amp;"",INDEX(nQ1_Messages,$AH83)&amp;"",INDEX(nQ2_Messages,$AH83)&amp;"",INDEX(nQ3_Messages,$AH83)&amp;"",INDEX(nQ4_Messages,$AH83)&amp;"",INDEX(nQ5_Messages,$AH83)&amp;"",INDEX(nQ6_Messages,$AH83)&amp;"",INDEX(nQ7_Messages,$AH83)&amp;"",INDEX(nQ8_Messages,$AH83)&amp;"",INDEX(nQ9_Messages,$AH83)&amp;"",INDEX(nQ10_Messages,$AH83)&amp;"",INDEX(nQ11_Messages,$AH83)&amp;""))</f>
        <v/>
      </c>
      <c r="BK83" s="1" t="str">
        <f>IF($AF83=0,"",CHOOSE($AF83,INDEX(nINT_Limitations,$AH83)&amp;"",INDEX(nQ1_Mandatory_Text,$AH83)&amp;"",INDEX(nQ2_Mandatory_Text,$AH83)&amp;"",INDEX(nQ3_Mandatory_Text,$AH83)&amp;"",INDEX(nQ4_Mandatory_Text,$AH83)&amp;"",INDEX(nQ5_Mandatory_Text,$AH83)&amp;"",INDEX(nQ6_Mandatory_Text,$AH83)&amp;"",INDEX(nQ7_Mandatory_Text,$AH83)&amp;"",INDEX(nQ8_Mandatory_Text,$AH83)&amp;"",INDEX(nQ9_Mandatory_Text,$AH83)&amp;"",INDEX(nQ10_Mandatory_Text,$AH83)&amp;"",INDEX(nQ11_Mandatory_Text,$AH83)&amp;""))</f>
        <v/>
      </c>
      <c r="BL83" s="1" t="str">
        <f t="shared" si="68"/>
        <v/>
      </c>
      <c r="BM83" s="1" t="str">
        <f t="shared" si="69"/>
        <v/>
      </c>
    </row>
    <row r="84" spans="1:65" x14ac:dyDescent="0.2">
      <c r="A84" s="21" t="str">
        <f t="shared" si="35"/>
        <v/>
      </c>
      <c r="B84" s="21" t="str">
        <f t="shared" si="36"/>
        <v/>
      </c>
      <c r="C84" s="21" t="str">
        <f t="shared" si="37"/>
        <v/>
      </c>
      <c r="D84" s="21" t="str">
        <f t="shared" si="38"/>
        <v/>
      </c>
      <c r="E84" s="21" t="str">
        <f t="shared" si="39"/>
        <v/>
      </c>
      <c r="F84" s="21" t="str">
        <f t="shared" si="40"/>
        <v/>
      </c>
      <c r="G84" s="21" t="str">
        <f t="shared" si="41"/>
        <v/>
      </c>
      <c r="H84" s="21" t="str">
        <f t="shared" si="42"/>
        <v/>
      </c>
      <c r="I84" s="21" t="str">
        <f t="shared" si="43"/>
        <v/>
      </c>
      <c r="J84" s="21" t="str">
        <f t="shared" si="44"/>
        <v/>
      </c>
      <c r="K84" s="21" t="str">
        <f t="shared" si="45"/>
        <v/>
      </c>
      <c r="L84" s="21" t="str">
        <f t="shared" si="46"/>
        <v/>
      </c>
      <c r="M84" s="21" t="str">
        <f t="shared" si="47"/>
        <v/>
      </c>
      <c r="N84" s="21" t="str">
        <f t="shared" si="48"/>
        <v/>
      </c>
      <c r="O84" s="21" t="str">
        <f t="shared" si="49"/>
        <v/>
      </c>
      <c r="P84" s="21" t="str">
        <f t="shared" si="50"/>
        <v/>
      </c>
      <c r="Q84" s="21" t="str">
        <f t="shared" si="51"/>
        <v/>
      </c>
      <c r="R84" s="21" t="str">
        <f t="shared" si="52"/>
        <v/>
      </c>
      <c r="S84" s="21" t="str">
        <f t="shared" si="53"/>
        <v/>
      </c>
      <c r="T84" s="21" t="str">
        <f t="shared" si="54"/>
        <v/>
      </c>
      <c r="U84" s="21" t="str">
        <f t="shared" si="55"/>
        <v/>
      </c>
      <c r="V84" s="21" t="str">
        <f t="shared" si="56"/>
        <v/>
      </c>
      <c r="W84" s="21" t="str">
        <f t="shared" si="57"/>
        <v/>
      </c>
      <c r="X84" s="21" t="str">
        <f t="shared" si="58"/>
        <v/>
      </c>
      <c r="Y84" s="21" t="str">
        <f t="shared" si="59"/>
        <v/>
      </c>
      <c r="Z84" s="21" t="str">
        <f t="shared" si="60"/>
        <v/>
      </c>
      <c r="AA84" s="21" t="str">
        <f t="shared" si="61"/>
        <v/>
      </c>
      <c r="AB84" s="21" t="str">
        <f t="shared" si="62"/>
        <v/>
      </c>
      <c r="AC84" s="21" t="str">
        <f t="shared" si="63"/>
        <v/>
      </c>
      <c r="AD84" s="21" t="str">
        <f t="shared" si="64"/>
        <v/>
      </c>
      <c r="AE84" s="1">
        <f t="shared" si="65"/>
        <v>77</v>
      </c>
      <c r="AF84" s="1">
        <f t="shared" si="66"/>
        <v>0</v>
      </c>
      <c r="AG84" s="1">
        <f t="shared" si="67"/>
        <v>0</v>
      </c>
      <c r="AH84" s="1">
        <f>IF(AF84=0,0,CHOOSE(AF84,IFERROR(_xlfn.AGGREGATE(15,6,(ROW(nINT_CaseKey)-ROW(INDEX(nINT_CaseKey,1,1))+1)/((nINT_CaseKey=$H$4)*(nINT_RowEmpty=0)),AG84),0),IFERROR(_xlfn.AGGREGATE(15,6,(ROW(nQ1_CaseKey)-ROW(INDEX(nQ1_CaseKey,1,1))+1)/((nQ1_CaseKey=$H$4)),AG84),0),IFERROR(_xlfn.AGGREGATE(15,6,(ROW(nQ2_CaseKey)-ROW(INDEX(nQ2_CaseKey,1,1))+1)/((nQ2_CaseKey=$H$4)),AG84),0),IFERROR(_xlfn.AGGREGATE(15,6,(ROW(nQ3_CaseKey)-ROW(INDEX(nQ3_CaseKey,1,1))+1)/((nQ3_CaseKey=$H$4)),AG84),0),IFERROR(_xlfn.AGGREGATE(15,6,(ROW(nQ4_CaseKey)-ROW(INDEX(nQ4_CaseKey,1,1))+1)/((nQ4_CaseKey=$H$4)),AG84),0),IFERROR(_xlfn.AGGREGATE(15,6,(ROW(nQ5_CaseKey)-ROW(INDEX(nQ5_CaseKey,1,1))+1)/((nQ5_CaseKey=$H$4)),AG84),0),IFERROR(_xlfn.AGGREGATE(15,6,(ROW(nQ6_CaseKey)-ROW(INDEX(nQ6_CaseKey,1,1))+1)/((nQ6_CaseKey=$H$4)),AG84),0),IFERROR(_xlfn.AGGREGATE(15,6,(ROW(nQ7_CaseKey)-ROW(INDEX(nQ7_CaseKey,1,1))+1)/((nQ7_CaseKey=$H$4)),AG84),0),IFERROR(_xlfn.AGGREGATE(15,6,(ROW(nQ8_CaseKey)-ROW(INDEX(nQ8_CaseKey,1,1))+1)/((nQ8_CaseKey=$H$4)),AG84),0),IFERROR(_xlfn.AGGREGATE(15,6,(ROW(nQ9_CaseKey)-ROW(INDEX(nQ9_CaseKey,1,1))+1)/((nQ9_CaseKey=$H$4)),AG84),0),IFERROR(_xlfn.AGGREGATE(15,6,(ROW(nQ10_CaseKey)-ROW(INDEX(nQ10_CaseKey,1,1))+1)/((nQ10_CaseKey=$H$4)),AG84),0),IFERROR(_xlfn.AGGREGATE(15,6,(ROW(nQ11_CaseKey)-ROW(INDEX(nQ11_CaseKey,1,1))+1)/((nQ11_CaseKey=$H$4)),AG84),0)))</f>
        <v>0</v>
      </c>
      <c r="AJ84" s="1" t="str">
        <f>IF($AF84=0,"",CHOOSE($AF84,INDEX(nINT_Case_ID,$AH84)&amp;"",INDEX(nQ1_Case_ID,$AH84)&amp;"",INDEX(nQ2_Case_ID,$AH84)&amp;"",INDEX(nQ3_Case_ID,$AH84)&amp;"",INDEX(nQ4_Case_ID,$AH84)&amp;"",INDEX(nQ5_Case_ID,$AH84)&amp;"",INDEX(nQ6_Case_ID,$AH84)&amp;"",INDEX(nQ7_Case_ID,$AH84)&amp;"",INDEX(nQ8_Case_ID,$AH84)&amp;"",INDEX(nQ9_Case_ID,$AH84)&amp;"",INDEX(nQ10_Case_ID,$AH84)&amp;"",INDEX(nQ11_Case_ID,$AH84)&amp;""))</f>
        <v/>
      </c>
      <c r="AK84" s="1" t="str">
        <f>IF($AF84=0,"",CHOOSE($AF84,INDEX(nINT_Case_Version,$AH84),INDEX(nQ1_Case_Version,$AH84),INDEX(nQ2_Case_Version,$AH84),INDEX(nQ3_Case_Version,$AH84),INDEX(nQ4_Case_Version,$AH84),INDEX(nQ5_Case_Version,$AH84),INDEX(nQ6_Case_Version,$AH84),INDEX(nQ7_Case_Version,$AH84),INDEX(nQ8_Case_Version,$AH84),INDEX(nQ9_Case_Version,$AH84),INDEX(nQ10_Case_Version,$AH84),INDEX(nQ11_Case_Version,$AH84)))</f>
        <v/>
      </c>
      <c r="AL84" s="1" t="str">
        <f>IF($AF84=0,"",CHOOSE($AF84,INDEX(nINT_Interval_ID,$AH84)&amp;"",INDEX(nQ1_Calc_ID,$AH84)&amp;"",INDEX(nQ2_Calc_ID,$AH84)&amp;"",INDEX(nQ3_Calc_ID,$AH84)&amp;"",INDEX(nQ4_Calc_ID,$AH84)&amp;"",INDEX(nQ5_Calc_ID,$AH84)&amp;"",INDEX(nQ6_Calc_ID,$AH84)&amp;"",INDEX(nQ7_Calc_ID,$AH84)&amp;"",INDEX(nQ8_Calc_ID,$AH84)&amp;"",INDEX(nQ9_Calc_ID,$AH84)&amp;"",INDEX(nQ10_Calc_ID,$AH84)&amp;"",INDEX(nQ11_Calc_ID,$AH84)&amp;""))</f>
        <v/>
      </c>
      <c r="AM84" s="1" t="str">
        <f>IF($AF84=0,"",CHOOSE($AF84,INDEX(nINT_Label,$AH84)&amp;"",INDEX(nQ1_Label_Out,$AH84)&amp;"",INDEX(nQ2_Label_Out,$AH84)&amp;"",INDEX(nQ3_Label_Out,$AH84)&amp;"",INDEX(nQ4_Label_Out,$AH84)&amp;"",INDEX(nQ5_Label_Out,$AH84)&amp;"",INDEX(nQ6_Label_Out,$AH84)&amp;"",INDEX(nQ7_Label_Out,$AH84)&amp;"",INDEX(nQ8_Label_Out,$AH84)&amp;"",INDEX(nQ9_Label_Out,$AH84)&amp;"",INDEX(nQ10_Label_Out,$AH84)&amp;"",INDEX(nQ11_Label_Out,$AH84)&amp;""))</f>
        <v/>
      </c>
      <c r="AN84" s="1" t="str">
        <f>IF($AF84=0,"",CHOOSE($AF84,IF(INDEX(nINT_LinkRow,$AH84)=0,"",INDEX(nINT_Link_ID,$AH84)&amp;""),"","","","","","","","","","",""))</f>
        <v/>
      </c>
      <c r="AO84" s="1" t="str">
        <f>IF($AF84=0,"",CHOOSE($AF84,INDEX(nINT_Exposure_Episode_ID,$AH84)&amp;"","","","","","","","","","","",""))</f>
        <v/>
      </c>
      <c r="AP84" s="1" t="str">
        <f>IF($AF84=0,"",CHOOSE($AF84,INDEX(nINT_Event_Episode_ID,$AH84)&amp;"","","","","","","","","","","",""))</f>
        <v/>
      </c>
      <c r="AQ84" s="1" t="str">
        <f>IF($AF84=0,"",CHOOSE($AF84,INDEX(nINT_End_Record_ID_Used,$AH84)&amp;"","","","","","","","","","","",""))</f>
        <v/>
      </c>
      <c r="AR84" s="1" t="str">
        <f>IF($AF84=0,"",CHOOSE($AF84,INDEX(nINT_Interval_Value,$AH84),"","","","","","","","","","",""))</f>
        <v/>
      </c>
      <c r="AS84" s="1" t="str">
        <f>IF($AF84=0,"",CHOOSE($AF84,INDEX(nINT_Interval_Minimum,$AH84),"","","","","","","","","","",""))</f>
        <v/>
      </c>
      <c r="AT84" s="1" t="str">
        <f>IF($AF84=0,"",CHOOSE($AF84,INDEX(nINT_Interval_Maximum,$AH84),"","","","","","","","","","",""))</f>
        <v/>
      </c>
      <c r="AU84" s="1" t="str">
        <f>IF($AF84=0,"",CHOOSE($AF84,INDEX(nINT_Unit,$AH84)&amp;"",INDEX(nQ1_Unit_Out,$AH84)&amp;"",INDEX(nQ2_Unit_Out,$AH84)&amp;"",INDEX(nQ3_Unit_Out,$AH84)&amp;"",INDEX(nQ4_Unit_Out,$AH84)&amp;"",INDEX(nQ5_Unit_Out,$AH84)&amp;"",INDEX(nQ6_Unit_Out,$AH84)&amp;"",INDEX(nQ7_Unit_Out,$AH84)&amp;"",INDEX(nQ8_Unit_Out,$AH84)&amp;"",INDEX(nQ9_Unit_Out,$AH84)&amp;"",INDEX(nQ10_Unit_Out,$AH84)&amp;"",INDEX(nQ11_Unit_Out,$AH84)&amp;""))</f>
        <v/>
      </c>
      <c r="AV84" s="1" t="str">
        <f>IF($AF84=0,"",CHOOSE($AF84,INDEX(nINT_Displayed_Value,$AH84)&amp;"",INDEX(nQ1_Displayed_Value,$AH84)&amp;"",INDEX(nQ2_Displayed_Value,$AH84)&amp;"",INDEX(nQ3_Displayed_Value,$AH84)&amp;"",INDEX(nQ4_Displayed_Value,$AH84)&amp;"",INDEX(nQ5_Displayed_Value,$AH84)&amp;"",INDEX(nQ6_Displayed_Value,$AH84)&amp;"",INDEX(nQ7_Displayed_Value,$AH84)&amp;"",INDEX(nQ8_Displayed_Value,$AH84)&amp;"",INDEX(nQ9_Displayed_Value,$AH84)&amp;"",INDEX(nQ10_Displayed_Value,$AH84)&amp;"",INDEX(nQ11_Displayed_Value,$AH84)&amp;""))</f>
        <v/>
      </c>
      <c r="AW84" s="1" t="str">
        <f>IF($AF84=0,"",CHOOSE($AF84,INDEX(nINT_Calculation_Mode_Used,$AH84)&amp;"","Q1","Q2","Q3","Q4","Q5","Q6","Q7","Q8","Q9","Q10","Q11"))</f>
        <v/>
      </c>
      <c r="AX84" s="1" t="str">
        <f>IF($AF84=0,"",CHOOSE($AF84,INDEX(nINT_Anchor_Type,$AH84)&amp;"","","","","","","","","","","",""))</f>
        <v/>
      </c>
      <c r="AY84" s="1" t="str">
        <f>IF($AF84=0,"",CHOOSE($AF84,IF(INDEX(nINT_K_Ok,$AH84)=1,INDEX(nINT_Anchor_Record_ID_Used,$AH84)&amp;"",""),"","","","","","","","","","",""))</f>
        <v/>
      </c>
      <c r="AZ84" s="1" t="str">
        <f>IF($AF84=0,"",CHOOSE($AF84,INDEX(nINT_Anchor_Description,$AH84)&amp;"","","","","","","","","","","",""))</f>
        <v/>
      </c>
      <c r="BA84" s="1" t="str">
        <f>IF($AF84=0,"",CHOOSE($AF84,INDEX(nINT_Sequence_Status,$AH84)&amp;"","","","","","","","","","","",""))</f>
        <v/>
      </c>
      <c r="BB84" s="1" t="str">
        <f>IF($AF84=0,"",CHOOSE($AF84,INDEX(nINT_Treatment_Day,$AH84),"","","","","","","","","","",""))</f>
        <v/>
      </c>
      <c r="BC84" s="1" t="str">
        <f>IF($AF84=0,"",CHOOSE($AF84,INDEX(nINT_Reported_Timing_Result,$AH84)&amp;"","","","","","","","","","","",""))</f>
        <v/>
      </c>
      <c r="BD84" s="1" t="str">
        <f>IF($AF84=0,"",CHOOSE($AF84,IF(INDEX(nINT_K_HasC,$AH84)=1,INDEX(nINT_Constraint_Source,$AH84)&amp;"",""),"","","","","","","","","","",""))</f>
        <v/>
      </c>
      <c r="BE84" s="1" t="str">
        <f>IF($AF84=0,"",CHOOSE($AF84,"",INDEX(nQ1_Results_Text,$AH84)&amp;"",INDEX(nQ2_Results_Text,$AH84)&amp;"",INDEX(nQ3_Results_Text,$AH84)&amp;"",INDEX(nQ4_Results_Text,$AH84)&amp;"",INDEX(nQ5_Results_Text,$AH84)&amp;"",INDEX(nQ6_Results_Text,$AH84)&amp;"",INDEX(nQ7_Results_Text,$AH84)&amp;"",INDEX(nQ8_Results_Text,$AH84)&amp;"",INDEX(nQ9_Results_Text,$AH84)&amp;"",INDEX(nQ10_Results_Text,$AH84)&amp;"",INDEX(nQ11_Results_Text,$AH84)&amp;""))</f>
        <v/>
      </c>
      <c r="BF84" s="1" t="str">
        <f>IF($AF84=0,"",CHOOSE($AF84,INDEX(nINT_Parameter_Set,$AH84)&amp;"",INDEX(nQ1_Parameter_Set,$AH84)&amp;"",INDEX(nQ2_Parameter_Set,$AH84)&amp;"",INDEX(nQ3_Parameter_Set,$AH84)&amp;"",INDEX(nQ4_Parameter_Set,$AH84)&amp;"",INDEX(nQ5_Parameter_Set,$AH84)&amp;"",INDEX(nQ6_Parameter_Set,$AH84)&amp;"",INDEX(nQ7_Parameter_Set,$AH84)&amp;"",INDEX(nQ8_Parameter_Set,$AH84)&amp;"",INDEX(nQ9_Parameter_Set,$AH84)&amp;"",INDEX(nQ10_Parameter_Set,$AH84)&amp;"",INDEX(nQ11_Parameter_Set,$AH84)&amp;""))</f>
        <v/>
      </c>
      <c r="BG84" s="1" t="str">
        <f>IF($AF84=0,"",CHOOSE($AF84,INDEX(nINT_Assumptions,$AH84)&amp;"",INDEX(nQ1_Assumptions,$AH84)&amp;"",INDEX(nQ2_Assumptions,$AH84)&amp;"",INDEX(nQ3_Assumptions,$AH84)&amp;"",INDEX(nQ4_Assumptions,$AH84)&amp;"",INDEX(nQ5_Assumptions,$AH84)&amp;"",INDEX(nQ6_Assumptions,$AH84)&amp;"",INDEX(nQ7_Assumptions,$AH84)&amp;"",INDEX(nQ8_Assumptions,$AH84)&amp;"",INDEX(nQ9_Assumptions,$AH84)&amp;"",INDEX(nQ10_Assumptions,$AH84)&amp;"",INDEX(nQ11_Assumptions,$AH84)&amp;""))</f>
        <v/>
      </c>
      <c r="BH84" s="1" t="str">
        <f>IF($AF84=0,"",CHOOSE($AF84,INDEX(nINT_Calculation_Version,$AH84)&amp;"",INDEX(nQ1_Calculation_Version,$AH84)&amp;"",INDEX(nQ2_Calculation_Version,$AH84)&amp;"",INDEX(nQ3_Calculation_Version,$AH84)&amp;"",INDEX(nQ4_Calculation_Version,$AH84)&amp;"",INDEX(nQ5_Calculation_Version,$AH84)&amp;"",INDEX(nQ6_Calculation_Version,$AH84)&amp;"",INDEX(nQ7_Calculation_Version,$AH84)&amp;"",INDEX(nQ8_Calculation_Version,$AH84)&amp;"",INDEX(nQ9_Calculation_Version,$AH84)&amp;"",INDEX(nQ10_Calculation_Version,$AH84)&amp;"",INDEX(nQ11_Calculation_Version,$AH84)&amp;""))</f>
        <v/>
      </c>
      <c r="BI84" s="1" t="str">
        <f>IF($AF84=0,"",CHOOSE($AF84,INDEX(nINT_QC_Flags,$AH84)&amp;"",INDEX(nQ1_QC_Flags,$AH84)&amp;"",INDEX(nQ2_QC_Flags,$AH84)&amp;"",INDEX(nQ3_QC_Flags,$AH84)&amp;"",INDEX(nQ4_QC_Flags,$AH84)&amp;"",INDEX(nQ5_QC_Flags,$AH84)&amp;"",INDEX(nQ6_QC_Flags,$AH84)&amp;"",INDEX(nQ7_QC_Flags,$AH84)&amp;"",INDEX(nQ8_QC_Flags,$AH84)&amp;"",INDEX(nQ9_QC_Flags,$AH84)&amp;"",INDEX(nQ10_QC_Flags,$AH84)&amp;"",INDEX(nQ11_QC_Flags,$AH84)&amp;""))</f>
        <v/>
      </c>
      <c r="BJ84" s="1" t="str">
        <f>IF($AF84=0,"",CHOOSE($AF84,INDEX(nINT_Messages,$AH84)&amp;"",INDEX(nQ1_Messages,$AH84)&amp;"",INDEX(nQ2_Messages,$AH84)&amp;"",INDEX(nQ3_Messages,$AH84)&amp;"",INDEX(nQ4_Messages,$AH84)&amp;"",INDEX(nQ5_Messages,$AH84)&amp;"",INDEX(nQ6_Messages,$AH84)&amp;"",INDEX(nQ7_Messages,$AH84)&amp;"",INDEX(nQ8_Messages,$AH84)&amp;"",INDEX(nQ9_Messages,$AH84)&amp;"",INDEX(nQ10_Messages,$AH84)&amp;"",INDEX(nQ11_Messages,$AH84)&amp;""))</f>
        <v/>
      </c>
      <c r="BK84" s="1" t="str">
        <f>IF($AF84=0,"",CHOOSE($AF84,INDEX(nINT_Limitations,$AH84)&amp;"",INDEX(nQ1_Mandatory_Text,$AH84)&amp;"",INDEX(nQ2_Mandatory_Text,$AH84)&amp;"",INDEX(nQ3_Mandatory_Text,$AH84)&amp;"",INDEX(nQ4_Mandatory_Text,$AH84)&amp;"",INDEX(nQ5_Mandatory_Text,$AH84)&amp;"",INDEX(nQ6_Mandatory_Text,$AH84)&amp;"",INDEX(nQ7_Mandatory_Text,$AH84)&amp;"",INDEX(nQ8_Mandatory_Text,$AH84)&amp;"",INDEX(nQ9_Mandatory_Text,$AH84)&amp;"",INDEX(nQ10_Mandatory_Text,$AH84)&amp;"",INDEX(nQ11_Mandatory_Text,$AH84)&amp;""))</f>
        <v/>
      </c>
      <c r="BL84" s="1" t="str">
        <f t="shared" si="68"/>
        <v/>
      </c>
      <c r="BM84" s="1" t="str">
        <f t="shared" si="69"/>
        <v/>
      </c>
    </row>
    <row r="85" spans="1:65" x14ac:dyDescent="0.2">
      <c r="A85" s="21" t="str">
        <f t="shared" si="35"/>
        <v/>
      </c>
      <c r="B85" s="21" t="str">
        <f t="shared" si="36"/>
        <v/>
      </c>
      <c r="C85" s="21" t="str">
        <f t="shared" si="37"/>
        <v/>
      </c>
      <c r="D85" s="21" t="str">
        <f t="shared" si="38"/>
        <v/>
      </c>
      <c r="E85" s="21" t="str">
        <f t="shared" si="39"/>
        <v/>
      </c>
      <c r="F85" s="21" t="str">
        <f t="shared" si="40"/>
        <v/>
      </c>
      <c r="G85" s="21" t="str">
        <f t="shared" si="41"/>
        <v/>
      </c>
      <c r="H85" s="21" t="str">
        <f t="shared" si="42"/>
        <v/>
      </c>
      <c r="I85" s="21" t="str">
        <f t="shared" si="43"/>
        <v/>
      </c>
      <c r="J85" s="21" t="str">
        <f t="shared" si="44"/>
        <v/>
      </c>
      <c r="K85" s="21" t="str">
        <f t="shared" si="45"/>
        <v/>
      </c>
      <c r="L85" s="21" t="str">
        <f t="shared" si="46"/>
        <v/>
      </c>
      <c r="M85" s="21" t="str">
        <f t="shared" si="47"/>
        <v/>
      </c>
      <c r="N85" s="21" t="str">
        <f t="shared" si="48"/>
        <v/>
      </c>
      <c r="O85" s="21" t="str">
        <f t="shared" si="49"/>
        <v/>
      </c>
      <c r="P85" s="21" t="str">
        <f t="shared" si="50"/>
        <v/>
      </c>
      <c r="Q85" s="21" t="str">
        <f t="shared" si="51"/>
        <v/>
      </c>
      <c r="R85" s="21" t="str">
        <f t="shared" si="52"/>
        <v/>
      </c>
      <c r="S85" s="21" t="str">
        <f t="shared" si="53"/>
        <v/>
      </c>
      <c r="T85" s="21" t="str">
        <f t="shared" si="54"/>
        <v/>
      </c>
      <c r="U85" s="21" t="str">
        <f t="shared" si="55"/>
        <v/>
      </c>
      <c r="V85" s="21" t="str">
        <f t="shared" si="56"/>
        <v/>
      </c>
      <c r="W85" s="21" t="str">
        <f t="shared" si="57"/>
        <v/>
      </c>
      <c r="X85" s="21" t="str">
        <f t="shared" si="58"/>
        <v/>
      </c>
      <c r="Y85" s="21" t="str">
        <f t="shared" si="59"/>
        <v/>
      </c>
      <c r="Z85" s="21" t="str">
        <f t="shared" si="60"/>
        <v/>
      </c>
      <c r="AA85" s="21" t="str">
        <f t="shared" si="61"/>
        <v/>
      </c>
      <c r="AB85" s="21" t="str">
        <f t="shared" si="62"/>
        <v/>
      </c>
      <c r="AC85" s="21" t="str">
        <f t="shared" si="63"/>
        <v/>
      </c>
      <c r="AD85" s="21" t="str">
        <f t="shared" si="64"/>
        <v/>
      </c>
      <c r="AE85" s="1">
        <f t="shared" si="65"/>
        <v>78</v>
      </c>
      <c r="AF85" s="1">
        <f t="shared" si="66"/>
        <v>0</v>
      </c>
      <c r="AG85" s="1">
        <f t="shared" si="67"/>
        <v>0</v>
      </c>
      <c r="AH85" s="1">
        <f>IF(AF85=0,0,CHOOSE(AF85,IFERROR(_xlfn.AGGREGATE(15,6,(ROW(nINT_CaseKey)-ROW(INDEX(nINT_CaseKey,1,1))+1)/((nINT_CaseKey=$H$4)*(nINT_RowEmpty=0)),AG85),0),IFERROR(_xlfn.AGGREGATE(15,6,(ROW(nQ1_CaseKey)-ROW(INDEX(nQ1_CaseKey,1,1))+1)/((nQ1_CaseKey=$H$4)),AG85),0),IFERROR(_xlfn.AGGREGATE(15,6,(ROW(nQ2_CaseKey)-ROW(INDEX(nQ2_CaseKey,1,1))+1)/((nQ2_CaseKey=$H$4)),AG85),0),IFERROR(_xlfn.AGGREGATE(15,6,(ROW(nQ3_CaseKey)-ROW(INDEX(nQ3_CaseKey,1,1))+1)/((nQ3_CaseKey=$H$4)),AG85),0),IFERROR(_xlfn.AGGREGATE(15,6,(ROW(nQ4_CaseKey)-ROW(INDEX(nQ4_CaseKey,1,1))+1)/((nQ4_CaseKey=$H$4)),AG85),0),IFERROR(_xlfn.AGGREGATE(15,6,(ROW(nQ5_CaseKey)-ROW(INDEX(nQ5_CaseKey,1,1))+1)/((nQ5_CaseKey=$H$4)),AG85),0),IFERROR(_xlfn.AGGREGATE(15,6,(ROW(nQ6_CaseKey)-ROW(INDEX(nQ6_CaseKey,1,1))+1)/((nQ6_CaseKey=$H$4)),AG85),0),IFERROR(_xlfn.AGGREGATE(15,6,(ROW(nQ7_CaseKey)-ROW(INDEX(nQ7_CaseKey,1,1))+1)/((nQ7_CaseKey=$H$4)),AG85),0),IFERROR(_xlfn.AGGREGATE(15,6,(ROW(nQ8_CaseKey)-ROW(INDEX(nQ8_CaseKey,1,1))+1)/((nQ8_CaseKey=$H$4)),AG85),0),IFERROR(_xlfn.AGGREGATE(15,6,(ROW(nQ9_CaseKey)-ROW(INDEX(nQ9_CaseKey,1,1))+1)/((nQ9_CaseKey=$H$4)),AG85),0),IFERROR(_xlfn.AGGREGATE(15,6,(ROW(nQ10_CaseKey)-ROW(INDEX(nQ10_CaseKey,1,1))+1)/((nQ10_CaseKey=$H$4)),AG85),0),IFERROR(_xlfn.AGGREGATE(15,6,(ROW(nQ11_CaseKey)-ROW(INDEX(nQ11_CaseKey,1,1))+1)/((nQ11_CaseKey=$H$4)),AG85),0)))</f>
        <v>0</v>
      </c>
      <c r="AJ85" s="1" t="str">
        <f>IF($AF85=0,"",CHOOSE($AF85,INDEX(nINT_Case_ID,$AH85)&amp;"",INDEX(nQ1_Case_ID,$AH85)&amp;"",INDEX(nQ2_Case_ID,$AH85)&amp;"",INDEX(nQ3_Case_ID,$AH85)&amp;"",INDEX(nQ4_Case_ID,$AH85)&amp;"",INDEX(nQ5_Case_ID,$AH85)&amp;"",INDEX(nQ6_Case_ID,$AH85)&amp;"",INDEX(nQ7_Case_ID,$AH85)&amp;"",INDEX(nQ8_Case_ID,$AH85)&amp;"",INDEX(nQ9_Case_ID,$AH85)&amp;"",INDEX(nQ10_Case_ID,$AH85)&amp;"",INDEX(nQ11_Case_ID,$AH85)&amp;""))</f>
        <v/>
      </c>
      <c r="AK85" s="1" t="str">
        <f>IF($AF85=0,"",CHOOSE($AF85,INDEX(nINT_Case_Version,$AH85),INDEX(nQ1_Case_Version,$AH85),INDEX(nQ2_Case_Version,$AH85),INDEX(nQ3_Case_Version,$AH85),INDEX(nQ4_Case_Version,$AH85),INDEX(nQ5_Case_Version,$AH85),INDEX(nQ6_Case_Version,$AH85),INDEX(nQ7_Case_Version,$AH85),INDEX(nQ8_Case_Version,$AH85),INDEX(nQ9_Case_Version,$AH85),INDEX(nQ10_Case_Version,$AH85),INDEX(nQ11_Case_Version,$AH85)))</f>
        <v/>
      </c>
      <c r="AL85" s="1" t="str">
        <f>IF($AF85=0,"",CHOOSE($AF85,INDEX(nINT_Interval_ID,$AH85)&amp;"",INDEX(nQ1_Calc_ID,$AH85)&amp;"",INDEX(nQ2_Calc_ID,$AH85)&amp;"",INDEX(nQ3_Calc_ID,$AH85)&amp;"",INDEX(nQ4_Calc_ID,$AH85)&amp;"",INDEX(nQ5_Calc_ID,$AH85)&amp;"",INDEX(nQ6_Calc_ID,$AH85)&amp;"",INDEX(nQ7_Calc_ID,$AH85)&amp;"",INDEX(nQ8_Calc_ID,$AH85)&amp;"",INDEX(nQ9_Calc_ID,$AH85)&amp;"",INDEX(nQ10_Calc_ID,$AH85)&amp;"",INDEX(nQ11_Calc_ID,$AH85)&amp;""))</f>
        <v/>
      </c>
      <c r="AM85" s="1" t="str">
        <f>IF($AF85=0,"",CHOOSE($AF85,INDEX(nINT_Label,$AH85)&amp;"",INDEX(nQ1_Label_Out,$AH85)&amp;"",INDEX(nQ2_Label_Out,$AH85)&amp;"",INDEX(nQ3_Label_Out,$AH85)&amp;"",INDEX(nQ4_Label_Out,$AH85)&amp;"",INDEX(nQ5_Label_Out,$AH85)&amp;"",INDEX(nQ6_Label_Out,$AH85)&amp;"",INDEX(nQ7_Label_Out,$AH85)&amp;"",INDEX(nQ8_Label_Out,$AH85)&amp;"",INDEX(nQ9_Label_Out,$AH85)&amp;"",INDEX(nQ10_Label_Out,$AH85)&amp;"",INDEX(nQ11_Label_Out,$AH85)&amp;""))</f>
        <v/>
      </c>
      <c r="AN85" s="1" t="str">
        <f>IF($AF85=0,"",CHOOSE($AF85,IF(INDEX(nINT_LinkRow,$AH85)=0,"",INDEX(nINT_Link_ID,$AH85)&amp;""),"","","","","","","","","","",""))</f>
        <v/>
      </c>
      <c r="AO85" s="1" t="str">
        <f>IF($AF85=0,"",CHOOSE($AF85,INDEX(nINT_Exposure_Episode_ID,$AH85)&amp;"","","","","","","","","","","",""))</f>
        <v/>
      </c>
      <c r="AP85" s="1" t="str">
        <f>IF($AF85=0,"",CHOOSE($AF85,INDEX(nINT_Event_Episode_ID,$AH85)&amp;"","","","","","","","","","","",""))</f>
        <v/>
      </c>
      <c r="AQ85" s="1" t="str">
        <f>IF($AF85=0,"",CHOOSE($AF85,INDEX(nINT_End_Record_ID_Used,$AH85)&amp;"","","","","","","","","","","",""))</f>
        <v/>
      </c>
      <c r="AR85" s="1" t="str">
        <f>IF($AF85=0,"",CHOOSE($AF85,INDEX(nINT_Interval_Value,$AH85),"","","","","","","","","","",""))</f>
        <v/>
      </c>
      <c r="AS85" s="1" t="str">
        <f>IF($AF85=0,"",CHOOSE($AF85,INDEX(nINT_Interval_Minimum,$AH85),"","","","","","","","","","",""))</f>
        <v/>
      </c>
      <c r="AT85" s="1" t="str">
        <f>IF($AF85=0,"",CHOOSE($AF85,INDEX(nINT_Interval_Maximum,$AH85),"","","","","","","","","","",""))</f>
        <v/>
      </c>
      <c r="AU85" s="1" t="str">
        <f>IF($AF85=0,"",CHOOSE($AF85,INDEX(nINT_Unit,$AH85)&amp;"",INDEX(nQ1_Unit_Out,$AH85)&amp;"",INDEX(nQ2_Unit_Out,$AH85)&amp;"",INDEX(nQ3_Unit_Out,$AH85)&amp;"",INDEX(nQ4_Unit_Out,$AH85)&amp;"",INDEX(nQ5_Unit_Out,$AH85)&amp;"",INDEX(nQ6_Unit_Out,$AH85)&amp;"",INDEX(nQ7_Unit_Out,$AH85)&amp;"",INDEX(nQ8_Unit_Out,$AH85)&amp;"",INDEX(nQ9_Unit_Out,$AH85)&amp;"",INDEX(nQ10_Unit_Out,$AH85)&amp;"",INDEX(nQ11_Unit_Out,$AH85)&amp;""))</f>
        <v/>
      </c>
      <c r="AV85" s="1" t="str">
        <f>IF($AF85=0,"",CHOOSE($AF85,INDEX(nINT_Displayed_Value,$AH85)&amp;"",INDEX(nQ1_Displayed_Value,$AH85)&amp;"",INDEX(nQ2_Displayed_Value,$AH85)&amp;"",INDEX(nQ3_Displayed_Value,$AH85)&amp;"",INDEX(nQ4_Displayed_Value,$AH85)&amp;"",INDEX(nQ5_Displayed_Value,$AH85)&amp;"",INDEX(nQ6_Displayed_Value,$AH85)&amp;"",INDEX(nQ7_Displayed_Value,$AH85)&amp;"",INDEX(nQ8_Displayed_Value,$AH85)&amp;"",INDEX(nQ9_Displayed_Value,$AH85)&amp;"",INDEX(nQ10_Displayed_Value,$AH85)&amp;"",INDEX(nQ11_Displayed_Value,$AH85)&amp;""))</f>
        <v/>
      </c>
      <c r="AW85" s="1" t="str">
        <f>IF($AF85=0,"",CHOOSE($AF85,INDEX(nINT_Calculation_Mode_Used,$AH85)&amp;"","Q1","Q2","Q3","Q4","Q5","Q6","Q7","Q8","Q9","Q10","Q11"))</f>
        <v/>
      </c>
      <c r="AX85" s="1" t="str">
        <f>IF($AF85=0,"",CHOOSE($AF85,INDEX(nINT_Anchor_Type,$AH85)&amp;"","","","","","","","","","","",""))</f>
        <v/>
      </c>
      <c r="AY85" s="1" t="str">
        <f>IF($AF85=0,"",CHOOSE($AF85,IF(INDEX(nINT_K_Ok,$AH85)=1,INDEX(nINT_Anchor_Record_ID_Used,$AH85)&amp;"",""),"","","","","","","","","","",""))</f>
        <v/>
      </c>
      <c r="AZ85" s="1" t="str">
        <f>IF($AF85=0,"",CHOOSE($AF85,INDEX(nINT_Anchor_Description,$AH85)&amp;"","","","","","","","","","","",""))</f>
        <v/>
      </c>
      <c r="BA85" s="1" t="str">
        <f>IF($AF85=0,"",CHOOSE($AF85,INDEX(nINT_Sequence_Status,$AH85)&amp;"","","","","","","","","","","",""))</f>
        <v/>
      </c>
      <c r="BB85" s="1" t="str">
        <f>IF($AF85=0,"",CHOOSE($AF85,INDEX(nINT_Treatment_Day,$AH85),"","","","","","","","","","",""))</f>
        <v/>
      </c>
      <c r="BC85" s="1" t="str">
        <f>IF($AF85=0,"",CHOOSE($AF85,INDEX(nINT_Reported_Timing_Result,$AH85)&amp;"","","","","","","","","","","",""))</f>
        <v/>
      </c>
      <c r="BD85" s="1" t="str">
        <f>IF($AF85=0,"",CHOOSE($AF85,IF(INDEX(nINT_K_HasC,$AH85)=1,INDEX(nINT_Constraint_Source,$AH85)&amp;"",""),"","","","","","","","","","",""))</f>
        <v/>
      </c>
      <c r="BE85" s="1" t="str">
        <f>IF($AF85=0,"",CHOOSE($AF85,"",INDEX(nQ1_Results_Text,$AH85)&amp;"",INDEX(nQ2_Results_Text,$AH85)&amp;"",INDEX(nQ3_Results_Text,$AH85)&amp;"",INDEX(nQ4_Results_Text,$AH85)&amp;"",INDEX(nQ5_Results_Text,$AH85)&amp;"",INDEX(nQ6_Results_Text,$AH85)&amp;"",INDEX(nQ7_Results_Text,$AH85)&amp;"",INDEX(nQ8_Results_Text,$AH85)&amp;"",INDEX(nQ9_Results_Text,$AH85)&amp;"",INDEX(nQ10_Results_Text,$AH85)&amp;"",INDEX(nQ11_Results_Text,$AH85)&amp;""))</f>
        <v/>
      </c>
      <c r="BF85" s="1" t="str">
        <f>IF($AF85=0,"",CHOOSE($AF85,INDEX(nINT_Parameter_Set,$AH85)&amp;"",INDEX(nQ1_Parameter_Set,$AH85)&amp;"",INDEX(nQ2_Parameter_Set,$AH85)&amp;"",INDEX(nQ3_Parameter_Set,$AH85)&amp;"",INDEX(nQ4_Parameter_Set,$AH85)&amp;"",INDEX(nQ5_Parameter_Set,$AH85)&amp;"",INDEX(nQ6_Parameter_Set,$AH85)&amp;"",INDEX(nQ7_Parameter_Set,$AH85)&amp;"",INDEX(nQ8_Parameter_Set,$AH85)&amp;"",INDEX(nQ9_Parameter_Set,$AH85)&amp;"",INDEX(nQ10_Parameter_Set,$AH85)&amp;"",INDEX(nQ11_Parameter_Set,$AH85)&amp;""))</f>
        <v/>
      </c>
      <c r="BG85" s="1" t="str">
        <f>IF($AF85=0,"",CHOOSE($AF85,INDEX(nINT_Assumptions,$AH85)&amp;"",INDEX(nQ1_Assumptions,$AH85)&amp;"",INDEX(nQ2_Assumptions,$AH85)&amp;"",INDEX(nQ3_Assumptions,$AH85)&amp;"",INDEX(nQ4_Assumptions,$AH85)&amp;"",INDEX(nQ5_Assumptions,$AH85)&amp;"",INDEX(nQ6_Assumptions,$AH85)&amp;"",INDEX(nQ7_Assumptions,$AH85)&amp;"",INDEX(nQ8_Assumptions,$AH85)&amp;"",INDEX(nQ9_Assumptions,$AH85)&amp;"",INDEX(nQ10_Assumptions,$AH85)&amp;"",INDEX(nQ11_Assumptions,$AH85)&amp;""))</f>
        <v/>
      </c>
      <c r="BH85" s="1" t="str">
        <f>IF($AF85=0,"",CHOOSE($AF85,INDEX(nINT_Calculation_Version,$AH85)&amp;"",INDEX(nQ1_Calculation_Version,$AH85)&amp;"",INDEX(nQ2_Calculation_Version,$AH85)&amp;"",INDEX(nQ3_Calculation_Version,$AH85)&amp;"",INDEX(nQ4_Calculation_Version,$AH85)&amp;"",INDEX(nQ5_Calculation_Version,$AH85)&amp;"",INDEX(nQ6_Calculation_Version,$AH85)&amp;"",INDEX(nQ7_Calculation_Version,$AH85)&amp;"",INDEX(nQ8_Calculation_Version,$AH85)&amp;"",INDEX(nQ9_Calculation_Version,$AH85)&amp;"",INDEX(nQ10_Calculation_Version,$AH85)&amp;"",INDEX(nQ11_Calculation_Version,$AH85)&amp;""))</f>
        <v/>
      </c>
      <c r="BI85" s="1" t="str">
        <f>IF($AF85=0,"",CHOOSE($AF85,INDEX(nINT_QC_Flags,$AH85)&amp;"",INDEX(nQ1_QC_Flags,$AH85)&amp;"",INDEX(nQ2_QC_Flags,$AH85)&amp;"",INDEX(nQ3_QC_Flags,$AH85)&amp;"",INDEX(nQ4_QC_Flags,$AH85)&amp;"",INDEX(nQ5_QC_Flags,$AH85)&amp;"",INDEX(nQ6_QC_Flags,$AH85)&amp;"",INDEX(nQ7_QC_Flags,$AH85)&amp;"",INDEX(nQ8_QC_Flags,$AH85)&amp;"",INDEX(nQ9_QC_Flags,$AH85)&amp;"",INDEX(nQ10_QC_Flags,$AH85)&amp;"",INDEX(nQ11_QC_Flags,$AH85)&amp;""))</f>
        <v/>
      </c>
      <c r="BJ85" s="1" t="str">
        <f>IF($AF85=0,"",CHOOSE($AF85,INDEX(nINT_Messages,$AH85)&amp;"",INDEX(nQ1_Messages,$AH85)&amp;"",INDEX(nQ2_Messages,$AH85)&amp;"",INDEX(nQ3_Messages,$AH85)&amp;"",INDEX(nQ4_Messages,$AH85)&amp;"",INDEX(nQ5_Messages,$AH85)&amp;"",INDEX(nQ6_Messages,$AH85)&amp;"",INDEX(nQ7_Messages,$AH85)&amp;"",INDEX(nQ8_Messages,$AH85)&amp;"",INDEX(nQ9_Messages,$AH85)&amp;"",INDEX(nQ10_Messages,$AH85)&amp;"",INDEX(nQ11_Messages,$AH85)&amp;""))</f>
        <v/>
      </c>
      <c r="BK85" s="1" t="str">
        <f>IF($AF85=0,"",CHOOSE($AF85,INDEX(nINT_Limitations,$AH85)&amp;"",INDEX(nQ1_Mandatory_Text,$AH85)&amp;"",INDEX(nQ2_Mandatory_Text,$AH85)&amp;"",INDEX(nQ3_Mandatory_Text,$AH85)&amp;"",INDEX(nQ4_Mandatory_Text,$AH85)&amp;"",INDEX(nQ5_Mandatory_Text,$AH85)&amp;"",INDEX(nQ6_Mandatory_Text,$AH85)&amp;"",INDEX(nQ7_Mandatory_Text,$AH85)&amp;"",INDEX(nQ8_Mandatory_Text,$AH85)&amp;"",INDEX(nQ9_Mandatory_Text,$AH85)&amp;"",INDEX(nQ10_Mandatory_Text,$AH85)&amp;"",INDEX(nQ11_Mandatory_Text,$AH85)&amp;""))</f>
        <v/>
      </c>
      <c r="BL85" s="1" t="str">
        <f t="shared" si="68"/>
        <v/>
      </c>
      <c r="BM85" s="1" t="str">
        <f t="shared" si="69"/>
        <v/>
      </c>
    </row>
    <row r="86" spans="1:65" x14ac:dyDescent="0.2">
      <c r="A86" s="21" t="str">
        <f t="shared" si="35"/>
        <v/>
      </c>
      <c r="B86" s="21" t="str">
        <f t="shared" si="36"/>
        <v/>
      </c>
      <c r="C86" s="21" t="str">
        <f t="shared" si="37"/>
        <v/>
      </c>
      <c r="D86" s="21" t="str">
        <f t="shared" si="38"/>
        <v/>
      </c>
      <c r="E86" s="21" t="str">
        <f t="shared" si="39"/>
        <v/>
      </c>
      <c r="F86" s="21" t="str">
        <f t="shared" si="40"/>
        <v/>
      </c>
      <c r="G86" s="21" t="str">
        <f t="shared" si="41"/>
        <v/>
      </c>
      <c r="H86" s="21" t="str">
        <f t="shared" si="42"/>
        <v/>
      </c>
      <c r="I86" s="21" t="str">
        <f t="shared" si="43"/>
        <v/>
      </c>
      <c r="J86" s="21" t="str">
        <f t="shared" si="44"/>
        <v/>
      </c>
      <c r="K86" s="21" t="str">
        <f t="shared" si="45"/>
        <v/>
      </c>
      <c r="L86" s="21" t="str">
        <f t="shared" si="46"/>
        <v/>
      </c>
      <c r="M86" s="21" t="str">
        <f t="shared" si="47"/>
        <v/>
      </c>
      <c r="N86" s="21" t="str">
        <f t="shared" si="48"/>
        <v/>
      </c>
      <c r="O86" s="21" t="str">
        <f t="shared" si="49"/>
        <v/>
      </c>
      <c r="P86" s="21" t="str">
        <f t="shared" si="50"/>
        <v/>
      </c>
      <c r="Q86" s="21" t="str">
        <f t="shared" si="51"/>
        <v/>
      </c>
      <c r="R86" s="21" t="str">
        <f t="shared" si="52"/>
        <v/>
      </c>
      <c r="S86" s="21" t="str">
        <f t="shared" si="53"/>
        <v/>
      </c>
      <c r="T86" s="21" t="str">
        <f t="shared" si="54"/>
        <v/>
      </c>
      <c r="U86" s="21" t="str">
        <f t="shared" si="55"/>
        <v/>
      </c>
      <c r="V86" s="21" t="str">
        <f t="shared" si="56"/>
        <v/>
      </c>
      <c r="W86" s="21" t="str">
        <f t="shared" si="57"/>
        <v/>
      </c>
      <c r="X86" s="21" t="str">
        <f t="shared" si="58"/>
        <v/>
      </c>
      <c r="Y86" s="21" t="str">
        <f t="shared" si="59"/>
        <v/>
      </c>
      <c r="Z86" s="21" t="str">
        <f t="shared" si="60"/>
        <v/>
      </c>
      <c r="AA86" s="21" t="str">
        <f t="shared" si="61"/>
        <v/>
      </c>
      <c r="AB86" s="21" t="str">
        <f t="shared" si="62"/>
        <v/>
      </c>
      <c r="AC86" s="21" t="str">
        <f t="shared" si="63"/>
        <v/>
      </c>
      <c r="AD86" s="21" t="str">
        <f t="shared" si="64"/>
        <v/>
      </c>
      <c r="AE86" s="1">
        <f t="shared" si="65"/>
        <v>79</v>
      </c>
      <c r="AF86" s="1">
        <f t="shared" si="66"/>
        <v>0</v>
      </c>
      <c r="AG86" s="1">
        <f t="shared" si="67"/>
        <v>0</v>
      </c>
      <c r="AH86" s="1">
        <f>IF(AF86=0,0,CHOOSE(AF86,IFERROR(_xlfn.AGGREGATE(15,6,(ROW(nINT_CaseKey)-ROW(INDEX(nINT_CaseKey,1,1))+1)/((nINT_CaseKey=$H$4)*(nINT_RowEmpty=0)),AG86),0),IFERROR(_xlfn.AGGREGATE(15,6,(ROW(nQ1_CaseKey)-ROW(INDEX(nQ1_CaseKey,1,1))+1)/((nQ1_CaseKey=$H$4)),AG86),0),IFERROR(_xlfn.AGGREGATE(15,6,(ROW(nQ2_CaseKey)-ROW(INDEX(nQ2_CaseKey,1,1))+1)/((nQ2_CaseKey=$H$4)),AG86),0),IFERROR(_xlfn.AGGREGATE(15,6,(ROW(nQ3_CaseKey)-ROW(INDEX(nQ3_CaseKey,1,1))+1)/((nQ3_CaseKey=$H$4)),AG86),0),IFERROR(_xlfn.AGGREGATE(15,6,(ROW(nQ4_CaseKey)-ROW(INDEX(nQ4_CaseKey,1,1))+1)/((nQ4_CaseKey=$H$4)),AG86),0),IFERROR(_xlfn.AGGREGATE(15,6,(ROW(nQ5_CaseKey)-ROW(INDEX(nQ5_CaseKey,1,1))+1)/((nQ5_CaseKey=$H$4)),AG86),0),IFERROR(_xlfn.AGGREGATE(15,6,(ROW(nQ6_CaseKey)-ROW(INDEX(nQ6_CaseKey,1,1))+1)/((nQ6_CaseKey=$H$4)),AG86),0),IFERROR(_xlfn.AGGREGATE(15,6,(ROW(nQ7_CaseKey)-ROW(INDEX(nQ7_CaseKey,1,1))+1)/((nQ7_CaseKey=$H$4)),AG86),0),IFERROR(_xlfn.AGGREGATE(15,6,(ROW(nQ8_CaseKey)-ROW(INDEX(nQ8_CaseKey,1,1))+1)/((nQ8_CaseKey=$H$4)),AG86),0),IFERROR(_xlfn.AGGREGATE(15,6,(ROW(nQ9_CaseKey)-ROW(INDEX(nQ9_CaseKey,1,1))+1)/((nQ9_CaseKey=$H$4)),AG86),0),IFERROR(_xlfn.AGGREGATE(15,6,(ROW(nQ10_CaseKey)-ROW(INDEX(nQ10_CaseKey,1,1))+1)/((nQ10_CaseKey=$H$4)),AG86),0),IFERROR(_xlfn.AGGREGATE(15,6,(ROW(nQ11_CaseKey)-ROW(INDEX(nQ11_CaseKey,1,1))+1)/((nQ11_CaseKey=$H$4)),AG86),0)))</f>
        <v>0</v>
      </c>
      <c r="AJ86" s="1" t="str">
        <f>IF($AF86=0,"",CHOOSE($AF86,INDEX(nINT_Case_ID,$AH86)&amp;"",INDEX(nQ1_Case_ID,$AH86)&amp;"",INDEX(nQ2_Case_ID,$AH86)&amp;"",INDEX(nQ3_Case_ID,$AH86)&amp;"",INDEX(nQ4_Case_ID,$AH86)&amp;"",INDEX(nQ5_Case_ID,$AH86)&amp;"",INDEX(nQ6_Case_ID,$AH86)&amp;"",INDEX(nQ7_Case_ID,$AH86)&amp;"",INDEX(nQ8_Case_ID,$AH86)&amp;"",INDEX(nQ9_Case_ID,$AH86)&amp;"",INDEX(nQ10_Case_ID,$AH86)&amp;"",INDEX(nQ11_Case_ID,$AH86)&amp;""))</f>
        <v/>
      </c>
      <c r="AK86" s="1" t="str">
        <f>IF($AF86=0,"",CHOOSE($AF86,INDEX(nINT_Case_Version,$AH86),INDEX(nQ1_Case_Version,$AH86),INDEX(nQ2_Case_Version,$AH86),INDEX(nQ3_Case_Version,$AH86),INDEX(nQ4_Case_Version,$AH86),INDEX(nQ5_Case_Version,$AH86),INDEX(nQ6_Case_Version,$AH86),INDEX(nQ7_Case_Version,$AH86),INDEX(nQ8_Case_Version,$AH86),INDEX(nQ9_Case_Version,$AH86),INDEX(nQ10_Case_Version,$AH86),INDEX(nQ11_Case_Version,$AH86)))</f>
        <v/>
      </c>
      <c r="AL86" s="1" t="str">
        <f>IF($AF86=0,"",CHOOSE($AF86,INDEX(nINT_Interval_ID,$AH86)&amp;"",INDEX(nQ1_Calc_ID,$AH86)&amp;"",INDEX(nQ2_Calc_ID,$AH86)&amp;"",INDEX(nQ3_Calc_ID,$AH86)&amp;"",INDEX(nQ4_Calc_ID,$AH86)&amp;"",INDEX(nQ5_Calc_ID,$AH86)&amp;"",INDEX(nQ6_Calc_ID,$AH86)&amp;"",INDEX(nQ7_Calc_ID,$AH86)&amp;"",INDEX(nQ8_Calc_ID,$AH86)&amp;"",INDEX(nQ9_Calc_ID,$AH86)&amp;"",INDEX(nQ10_Calc_ID,$AH86)&amp;"",INDEX(nQ11_Calc_ID,$AH86)&amp;""))</f>
        <v/>
      </c>
      <c r="AM86" s="1" t="str">
        <f>IF($AF86=0,"",CHOOSE($AF86,INDEX(nINT_Label,$AH86)&amp;"",INDEX(nQ1_Label_Out,$AH86)&amp;"",INDEX(nQ2_Label_Out,$AH86)&amp;"",INDEX(nQ3_Label_Out,$AH86)&amp;"",INDEX(nQ4_Label_Out,$AH86)&amp;"",INDEX(nQ5_Label_Out,$AH86)&amp;"",INDEX(nQ6_Label_Out,$AH86)&amp;"",INDEX(nQ7_Label_Out,$AH86)&amp;"",INDEX(nQ8_Label_Out,$AH86)&amp;"",INDEX(nQ9_Label_Out,$AH86)&amp;"",INDEX(nQ10_Label_Out,$AH86)&amp;"",INDEX(nQ11_Label_Out,$AH86)&amp;""))</f>
        <v/>
      </c>
      <c r="AN86" s="1" t="str">
        <f>IF($AF86=0,"",CHOOSE($AF86,IF(INDEX(nINT_LinkRow,$AH86)=0,"",INDEX(nINT_Link_ID,$AH86)&amp;""),"","","","","","","","","","",""))</f>
        <v/>
      </c>
      <c r="AO86" s="1" t="str">
        <f>IF($AF86=0,"",CHOOSE($AF86,INDEX(nINT_Exposure_Episode_ID,$AH86)&amp;"","","","","","","","","","","",""))</f>
        <v/>
      </c>
      <c r="AP86" s="1" t="str">
        <f>IF($AF86=0,"",CHOOSE($AF86,INDEX(nINT_Event_Episode_ID,$AH86)&amp;"","","","","","","","","","","",""))</f>
        <v/>
      </c>
      <c r="AQ86" s="1" t="str">
        <f>IF($AF86=0,"",CHOOSE($AF86,INDEX(nINT_End_Record_ID_Used,$AH86)&amp;"","","","","","","","","","","",""))</f>
        <v/>
      </c>
      <c r="AR86" s="1" t="str">
        <f>IF($AF86=0,"",CHOOSE($AF86,INDEX(nINT_Interval_Value,$AH86),"","","","","","","","","","",""))</f>
        <v/>
      </c>
      <c r="AS86" s="1" t="str">
        <f>IF($AF86=0,"",CHOOSE($AF86,INDEX(nINT_Interval_Minimum,$AH86),"","","","","","","","","","",""))</f>
        <v/>
      </c>
      <c r="AT86" s="1" t="str">
        <f>IF($AF86=0,"",CHOOSE($AF86,INDEX(nINT_Interval_Maximum,$AH86),"","","","","","","","","","",""))</f>
        <v/>
      </c>
      <c r="AU86" s="1" t="str">
        <f>IF($AF86=0,"",CHOOSE($AF86,INDEX(nINT_Unit,$AH86)&amp;"",INDEX(nQ1_Unit_Out,$AH86)&amp;"",INDEX(nQ2_Unit_Out,$AH86)&amp;"",INDEX(nQ3_Unit_Out,$AH86)&amp;"",INDEX(nQ4_Unit_Out,$AH86)&amp;"",INDEX(nQ5_Unit_Out,$AH86)&amp;"",INDEX(nQ6_Unit_Out,$AH86)&amp;"",INDEX(nQ7_Unit_Out,$AH86)&amp;"",INDEX(nQ8_Unit_Out,$AH86)&amp;"",INDEX(nQ9_Unit_Out,$AH86)&amp;"",INDEX(nQ10_Unit_Out,$AH86)&amp;"",INDEX(nQ11_Unit_Out,$AH86)&amp;""))</f>
        <v/>
      </c>
      <c r="AV86" s="1" t="str">
        <f>IF($AF86=0,"",CHOOSE($AF86,INDEX(nINT_Displayed_Value,$AH86)&amp;"",INDEX(nQ1_Displayed_Value,$AH86)&amp;"",INDEX(nQ2_Displayed_Value,$AH86)&amp;"",INDEX(nQ3_Displayed_Value,$AH86)&amp;"",INDEX(nQ4_Displayed_Value,$AH86)&amp;"",INDEX(nQ5_Displayed_Value,$AH86)&amp;"",INDEX(nQ6_Displayed_Value,$AH86)&amp;"",INDEX(nQ7_Displayed_Value,$AH86)&amp;"",INDEX(nQ8_Displayed_Value,$AH86)&amp;"",INDEX(nQ9_Displayed_Value,$AH86)&amp;"",INDEX(nQ10_Displayed_Value,$AH86)&amp;"",INDEX(nQ11_Displayed_Value,$AH86)&amp;""))</f>
        <v/>
      </c>
      <c r="AW86" s="1" t="str">
        <f>IF($AF86=0,"",CHOOSE($AF86,INDEX(nINT_Calculation_Mode_Used,$AH86)&amp;"","Q1","Q2","Q3","Q4","Q5","Q6","Q7","Q8","Q9","Q10","Q11"))</f>
        <v/>
      </c>
      <c r="AX86" s="1" t="str">
        <f>IF($AF86=0,"",CHOOSE($AF86,INDEX(nINT_Anchor_Type,$AH86)&amp;"","","","","","","","","","","",""))</f>
        <v/>
      </c>
      <c r="AY86" s="1" t="str">
        <f>IF($AF86=0,"",CHOOSE($AF86,IF(INDEX(nINT_K_Ok,$AH86)=1,INDEX(nINT_Anchor_Record_ID_Used,$AH86)&amp;"",""),"","","","","","","","","","",""))</f>
        <v/>
      </c>
      <c r="AZ86" s="1" t="str">
        <f>IF($AF86=0,"",CHOOSE($AF86,INDEX(nINT_Anchor_Description,$AH86)&amp;"","","","","","","","","","","",""))</f>
        <v/>
      </c>
      <c r="BA86" s="1" t="str">
        <f>IF($AF86=0,"",CHOOSE($AF86,INDEX(nINT_Sequence_Status,$AH86)&amp;"","","","","","","","","","","",""))</f>
        <v/>
      </c>
      <c r="BB86" s="1" t="str">
        <f>IF($AF86=0,"",CHOOSE($AF86,INDEX(nINT_Treatment_Day,$AH86),"","","","","","","","","","",""))</f>
        <v/>
      </c>
      <c r="BC86" s="1" t="str">
        <f>IF($AF86=0,"",CHOOSE($AF86,INDEX(nINT_Reported_Timing_Result,$AH86)&amp;"","","","","","","","","","","",""))</f>
        <v/>
      </c>
      <c r="BD86" s="1" t="str">
        <f>IF($AF86=0,"",CHOOSE($AF86,IF(INDEX(nINT_K_HasC,$AH86)=1,INDEX(nINT_Constraint_Source,$AH86)&amp;"",""),"","","","","","","","","","",""))</f>
        <v/>
      </c>
      <c r="BE86" s="1" t="str">
        <f>IF($AF86=0,"",CHOOSE($AF86,"",INDEX(nQ1_Results_Text,$AH86)&amp;"",INDEX(nQ2_Results_Text,$AH86)&amp;"",INDEX(nQ3_Results_Text,$AH86)&amp;"",INDEX(nQ4_Results_Text,$AH86)&amp;"",INDEX(nQ5_Results_Text,$AH86)&amp;"",INDEX(nQ6_Results_Text,$AH86)&amp;"",INDEX(nQ7_Results_Text,$AH86)&amp;"",INDEX(nQ8_Results_Text,$AH86)&amp;"",INDEX(nQ9_Results_Text,$AH86)&amp;"",INDEX(nQ10_Results_Text,$AH86)&amp;"",INDEX(nQ11_Results_Text,$AH86)&amp;""))</f>
        <v/>
      </c>
      <c r="BF86" s="1" t="str">
        <f>IF($AF86=0,"",CHOOSE($AF86,INDEX(nINT_Parameter_Set,$AH86)&amp;"",INDEX(nQ1_Parameter_Set,$AH86)&amp;"",INDEX(nQ2_Parameter_Set,$AH86)&amp;"",INDEX(nQ3_Parameter_Set,$AH86)&amp;"",INDEX(nQ4_Parameter_Set,$AH86)&amp;"",INDEX(nQ5_Parameter_Set,$AH86)&amp;"",INDEX(nQ6_Parameter_Set,$AH86)&amp;"",INDEX(nQ7_Parameter_Set,$AH86)&amp;"",INDEX(nQ8_Parameter_Set,$AH86)&amp;"",INDEX(nQ9_Parameter_Set,$AH86)&amp;"",INDEX(nQ10_Parameter_Set,$AH86)&amp;"",INDEX(nQ11_Parameter_Set,$AH86)&amp;""))</f>
        <v/>
      </c>
      <c r="BG86" s="1" t="str">
        <f>IF($AF86=0,"",CHOOSE($AF86,INDEX(nINT_Assumptions,$AH86)&amp;"",INDEX(nQ1_Assumptions,$AH86)&amp;"",INDEX(nQ2_Assumptions,$AH86)&amp;"",INDEX(nQ3_Assumptions,$AH86)&amp;"",INDEX(nQ4_Assumptions,$AH86)&amp;"",INDEX(nQ5_Assumptions,$AH86)&amp;"",INDEX(nQ6_Assumptions,$AH86)&amp;"",INDEX(nQ7_Assumptions,$AH86)&amp;"",INDEX(nQ8_Assumptions,$AH86)&amp;"",INDEX(nQ9_Assumptions,$AH86)&amp;"",INDEX(nQ10_Assumptions,$AH86)&amp;"",INDEX(nQ11_Assumptions,$AH86)&amp;""))</f>
        <v/>
      </c>
      <c r="BH86" s="1" t="str">
        <f>IF($AF86=0,"",CHOOSE($AF86,INDEX(nINT_Calculation_Version,$AH86)&amp;"",INDEX(nQ1_Calculation_Version,$AH86)&amp;"",INDEX(nQ2_Calculation_Version,$AH86)&amp;"",INDEX(nQ3_Calculation_Version,$AH86)&amp;"",INDEX(nQ4_Calculation_Version,$AH86)&amp;"",INDEX(nQ5_Calculation_Version,$AH86)&amp;"",INDEX(nQ6_Calculation_Version,$AH86)&amp;"",INDEX(nQ7_Calculation_Version,$AH86)&amp;"",INDEX(nQ8_Calculation_Version,$AH86)&amp;"",INDEX(nQ9_Calculation_Version,$AH86)&amp;"",INDEX(nQ10_Calculation_Version,$AH86)&amp;"",INDEX(nQ11_Calculation_Version,$AH86)&amp;""))</f>
        <v/>
      </c>
      <c r="BI86" s="1" t="str">
        <f>IF($AF86=0,"",CHOOSE($AF86,INDEX(nINT_QC_Flags,$AH86)&amp;"",INDEX(nQ1_QC_Flags,$AH86)&amp;"",INDEX(nQ2_QC_Flags,$AH86)&amp;"",INDEX(nQ3_QC_Flags,$AH86)&amp;"",INDEX(nQ4_QC_Flags,$AH86)&amp;"",INDEX(nQ5_QC_Flags,$AH86)&amp;"",INDEX(nQ6_QC_Flags,$AH86)&amp;"",INDEX(nQ7_QC_Flags,$AH86)&amp;"",INDEX(nQ8_QC_Flags,$AH86)&amp;"",INDEX(nQ9_QC_Flags,$AH86)&amp;"",INDEX(nQ10_QC_Flags,$AH86)&amp;"",INDEX(nQ11_QC_Flags,$AH86)&amp;""))</f>
        <v/>
      </c>
      <c r="BJ86" s="1" t="str">
        <f>IF($AF86=0,"",CHOOSE($AF86,INDEX(nINT_Messages,$AH86)&amp;"",INDEX(nQ1_Messages,$AH86)&amp;"",INDEX(nQ2_Messages,$AH86)&amp;"",INDEX(nQ3_Messages,$AH86)&amp;"",INDEX(nQ4_Messages,$AH86)&amp;"",INDEX(nQ5_Messages,$AH86)&amp;"",INDEX(nQ6_Messages,$AH86)&amp;"",INDEX(nQ7_Messages,$AH86)&amp;"",INDEX(nQ8_Messages,$AH86)&amp;"",INDEX(nQ9_Messages,$AH86)&amp;"",INDEX(nQ10_Messages,$AH86)&amp;"",INDEX(nQ11_Messages,$AH86)&amp;""))</f>
        <v/>
      </c>
      <c r="BK86" s="1" t="str">
        <f>IF($AF86=0,"",CHOOSE($AF86,INDEX(nINT_Limitations,$AH86)&amp;"",INDEX(nQ1_Mandatory_Text,$AH86)&amp;"",INDEX(nQ2_Mandatory_Text,$AH86)&amp;"",INDEX(nQ3_Mandatory_Text,$AH86)&amp;"",INDEX(nQ4_Mandatory_Text,$AH86)&amp;"",INDEX(nQ5_Mandatory_Text,$AH86)&amp;"",INDEX(nQ6_Mandatory_Text,$AH86)&amp;"",INDEX(nQ7_Mandatory_Text,$AH86)&amp;"",INDEX(nQ8_Mandatory_Text,$AH86)&amp;"",INDEX(nQ9_Mandatory_Text,$AH86)&amp;"",INDEX(nQ10_Mandatory_Text,$AH86)&amp;"",INDEX(nQ11_Mandatory_Text,$AH86)&amp;""))</f>
        <v/>
      </c>
      <c r="BL86" s="1" t="str">
        <f t="shared" si="68"/>
        <v/>
      </c>
      <c r="BM86" s="1" t="str">
        <f t="shared" si="69"/>
        <v/>
      </c>
    </row>
    <row r="87" spans="1:65" x14ac:dyDescent="0.2">
      <c r="A87" s="21" t="str">
        <f t="shared" si="35"/>
        <v/>
      </c>
      <c r="B87" s="21" t="str">
        <f t="shared" si="36"/>
        <v/>
      </c>
      <c r="C87" s="21" t="str">
        <f t="shared" si="37"/>
        <v/>
      </c>
      <c r="D87" s="21" t="str">
        <f t="shared" si="38"/>
        <v/>
      </c>
      <c r="E87" s="21" t="str">
        <f t="shared" si="39"/>
        <v/>
      </c>
      <c r="F87" s="21" t="str">
        <f t="shared" si="40"/>
        <v/>
      </c>
      <c r="G87" s="21" t="str">
        <f t="shared" si="41"/>
        <v/>
      </c>
      <c r="H87" s="21" t="str">
        <f t="shared" si="42"/>
        <v/>
      </c>
      <c r="I87" s="21" t="str">
        <f t="shared" si="43"/>
        <v/>
      </c>
      <c r="J87" s="21" t="str">
        <f t="shared" si="44"/>
        <v/>
      </c>
      <c r="K87" s="21" t="str">
        <f t="shared" si="45"/>
        <v/>
      </c>
      <c r="L87" s="21" t="str">
        <f t="shared" si="46"/>
        <v/>
      </c>
      <c r="M87" s="21" t="str">
        <f t="shared" si="47"/>
        <v/>
      </c>
      <c r="N87" s="21" t="str">
        <f t="shared" si="48"/>
        <v/>
      </c>
      <c r="O87" s="21" t="str">
        <f t="shared" si="49"/>
        <v/>
      </c>
      <c r="P87" s="21" t="str">
        <f t="shared" si="50"/>
        <v/>
      </c>
      <c r="Q87" s="21" t="str">
        <f t="shared" si="51"/>
        <v/>
      </c>
      <c r="R87" s="21" t="str">
        <f t="shared" si="52"/>
        <v/>
      </c>
      <c r="S87" s="21" t="str">
        <f t="shared" si="53"/>
        <v/>
      </c>
      <c r="T87" s="21" t="str">
        <f t="shared" si="54"/>
        <v/>
      </c>
      <c r="U87" s="21" t="str">
        <f t="shared" si="55"/>
        <v/>
      </c>
      <c r="V87" s="21" t="str">
        <f t="shared" si="56"/>
        <v/>
      </c>
      <c r="W87" s="21" t="str">
        <f t="shared" si="57"/>
        <v/>
      </c>
      <c r="X87" s="21" t="str">
        <f t="shared" si="58"/>
        <v/>
      </c>
      <c r="Y87" s="21" t="str">
        <f t="shared" si="59"/>
        <v/>
      </c>
      <c r="Z87" s="21" t="str">
        <f t="shared" si="60"/>
        <v/>
      </c>
      <c r="AA87" s="21" t="str">
        <f t="shared" si="61"/>
        <v/>
      </c>
      <c r="AB87" s="21" t="str">
        <f t="shared" si="62"/>
        <v/>
      </c>
      <c r="AC87" s="21" t="str">
        <f t="shared" si="63"/>
        <v/>
      </c>
      <c r="AD87" s="21" t="str">
        <f t="shared" si="64"/>
        <v/>
      </c>
      <c r="AE87" s="1">
        <f t="shared" si="65"/>
        <v>80</v>
      </c>
      <c r="AF87" s="1">
        <f t="shared" si="66"/>
        <v>0</v>
      </c>
      <c r="AG87" s="1">
        <f t="shared" si="67"/>
        <v>0</v>
      </c>
      <c r="AH87" s="1">
        <f>IF(AF87=0,0,CHOOSE(AF87,IFERROR(_xlfn.AGGREGATE(15,6,(ROW(nINT_CaseKey)-ROW(INDEX(nINT_CaseKey,1,1))+1)/((nINT_CaseKey=$H$4)*(nINT_RowEmpty=0)),AG87),0),IFERROR(_xlfn.AGGREGATE(15,6,(ROW(nQ1_CaseKey)-ROW(INDEX(nQ1_CaseKey,1,1))+1)/((nQ1_CaseKey=$H$4)),AG87),0),IFERROR(_xlfn.AGGREGATE(15,6,(ROW(nQ2_CaseKey)-ROW(INDEX(nQ2_CaseKey,1,1))+1)/((nQ2_CaseKey=$H$4)),AG87),0),IFERROR(_xlfn.AGGREGATE(15,6,(ROW(nQ3_CaseKey)-ROW(INDEX(nQ3_CaseKey,1,1))+1)/((nQ3_CaseKey=$H$4)),AG87),0),IFERROR(_xlfn.AGGREGATE(15,6,(ROW(nQ4_CaseKey)-ROW(INDEX(nQ4_CaseKey,1,1))+1)/((nQ4_CaseKey=$H$4)),AG87),0),IFERROR(_xlfn.AGGREGATE(15,6,(ROW(nQ5_CaseKey)-ROW(INDEX(nQ5_CaseKey,1,1))+1)/((nQ5_CaseKey=$H$4)),AG87),0),IFERROR(_xlfn.AGGREGATE(15,6,(ROW(nQ6_CaseKey)-ROW(INDEX(nQ6_CaseKey,1,1))+1)/((nQ6_CaseKey=$H$4)),AG87),0),IFERROR(_xlfn.AGGREGATE(15,6,(ROW(nQ7_CaseKey)-ROW(INDEX(nQ7_CaseKey,1,1))+1)/((nQ7_CaseKey=$H$4)),AG87),0),IFERROR(_xlfn.AGGREGATE(15,6,(ROW(nQ8_CaseKey)-ROW(INDEX(nQ8_CaseKey,1,1))+1)/((nQ8_CaseKey=$H$4)),AG87),0),IFERROR(_xlfn.AGGREGATE(15,6,(ROW(nQ9_CaseKey)-ROW(INDEX(nQ9_CaseKey,1,1))+1)/((nQ9_CaseKey=$H$4)),AG87),0),IFERROR(_xlfn.AGGREGATE(15,6,(ROW(nQ10_CaseKey)-ROW(INDEX(nQ10_CaseKey,1,1))+1)/((nQ10_CaseKey=$H$4)),AG87),0),IFERROR(_xlfn.AGGREGATE(15,6,(ROW(nQ11_CaseKey)-ROW(INDEX(nQ11_CaseKey,1,1))+1)/((nQ11_CaseKey=$H$4)),AG87),0)))</f>
        <v>0</v>
      </c>
      <c r="AJ87" s="1" t="str">
        <f>IF($AF87=0,"",CHOOSE($AF87,INDEX(nINT_Case_ID,$AH87)&amp;"",INDEX(nQ1_Case_ID,$AH87)&amp;"",INDEX(nQ2_Case_ID,$AH87)&amp;"",INDEX(nQ3_Case_ID,$AH87)&amp;"",INDEX(nQ4_Case_ID,$AH87)&amp;"",INDEX(nQ5_Case_ID,$AH87)&amp;"",INDEX(nQ6_Case_ID,$AH87)&amp;"",INDEX(nQ7_Case_ID,$AH87)&amp;"",INDEX(nQ8_Case_ID,$AH87)&amp;"",INDEX(nQ9_Case_ID,$AH87)&amp;"",INDEX(nQ10_Case_ID,$AH87)&amp;"",INDEX(nQ11_Case_ID,$AH87)&amp;""))</f>
        <v/>
      </c>
      <c r="AK87" s="1" t="str">
        <f>IF($AF87=0,"",CHOOSE($AF87,INDEX(nINT_Case_Version,$AH87),INDEX(nQ1_Case_Version,$AH87),INDEX(nQ2_Case_Version,$AH87),INDEX(nQ3_Case_Version,$AH87),INDEX(nQ4_Case_Version,$AH87),INDEX(nQ5_Case_Version,$AH87),INDEX(nQ6_Case_Version,$AH87),INDEX(nQ7_Case_Version,$AH87),INDEX(nQ8_Case_Version,$AH87),INDEX(nQ9_Case_Version,$AH87),INDEX(nQ10_Case_Version,$AH87),INDEX(nQ11_Case_Version,$AH87)))</f>
        <v/>
      </c>
      <c r="AL87" s="1" t="str">
        <f>IF($AF87=0,"",CHOOSE($AF87,INDEX(nINT_Interval_ID,$AH87)&amp;"",INDEX(nQ1_Calc_ID,$AH87)&amp;"",INDEX(nQ2_Calc_ID,$AH87)&amp;"",INDEX(nQ3_Calc_ID,$AH87)&amp;"",INDEX(nQ4_Calc_ID,$AH87)&amp;"",INDEX(nQ5_Calc_ID,$AH87)&amp;"",INDEX(nQ6_Calc_ID,$AH87)&amp;"",INDEX(nQ7_Calc_ID,$AH87)&amp;"",INDEX(nQ8_Calc_ID,$AH87)&amp;"",INDEX(nQ9_Calc_ID,$AH87)&amp;"",INDEX(nQ10_Calc_ID,$AH87)&amp;"",INDEX(nQ11_Calc_ID,$AH87)&amp;""))</f>
        <v/>
      </c>
      <c r="AM87" s="1" t="str">
        <f>IF($AF87=0,"",CHOOSE($AF87,INDEX(nINT_Label,$AH87)&amp;"",INDEX(nQ1_Label_Out,$AH87)&amp;"",INDEX(nQ2_Label_Out,$AH87)&amp;"",INDEX(nQ3_Label_Out,$AH87)&amp;"",INDEX(nQ4_Label_Out,$AH87)&amp;"",INDEX(nQ5_Label_Out,$AH87)&amp;"",INDEX(nQ6_Label_Out,$AH87)&amp;"",INDEX(nQ7_Label_Out,$AH87)&amp;"",INDEX(nQ8_Label_Out,$AH87)&amp;"",INDEX(nQ9_Label_Out,$AH87)&amp;"",INDEX(nQ10_Label_Out,$AH87)&amp;"",INDEX(nQ11_Label_Out,$AH87)&amp;""))</f>
        <v/>
      </c>
      <c r="AN87" s="1" t="str">
        <f>IF($AF87=0,"",CHOOSE($AF87,IF(INDEX(nINT_LinkRow,$AH87)=0,"",INDEX(nINT_Link_ID,$AH87)&amp;""),"","","","","","","","","","",""))</f>
        <v/>
      </c>
      <c r="AO87" s="1" t="str">
        <f>IF($AF87=0,"",CHOOSE($AF87,INDEX(nINT_Exposure_Episode_ID,$AH87)&amp;"","","","","","","","","","","",""))</f>
        <v/>
      </c>
      <c r="AP87" s="1" t="str">
        <f>IF($AF87=0,"",CHOOSE($AF87,INDEX(nINT_Event_Episode_ID,$AH87)&amp;"","","","","","","","","","","",""))</f>
        <v/>
      </c>
      <c r="AQ87" s="1" t="str">
        <f>IF($AF87=0,"",CHOOSE($AF87,INDEX(nINT_End_Record_ID_Used,$AH87)&amp;"","","","","","","","","","","",""))</f>
        <v/>
      </c>
      <c r="AR87" s="1" t="str">
        <f>IF($AF87=0,"",CHOOSE($AF87,INDEX(nINT_Interval_Value,$AH87),"","","","","","","","","","",""))</f>
        <v/>
      </c>
      <c r="AS87" s="1" t="str">
        <f>IF($AF87=0,"",CHOOSE($AF87,INDEX(nINT_Interval_Minimum,$AH87),"","","","","","","","","","",""))</f>
        <v/>
      </c>
      <c r="AT87" s="1" t="str">
        <f>IF($AF87=0,"",CHOOSE($AF87,INDEX(nINT_Interval_Maximum,$AH87),"","","","","","","","","","",""))</f>
        <v/>
      </c>
      <c r="AU87" s="1" t="str">
        <f>IF($AF87=0,"",CHOOSE($AF87,INDEX(nINT_Unit,$AH87)&amp;"",INDEX(nQ1_Unit_Out,$AH87)&amp;"",INDEX(nQ2_Unit_Out,$AH87)&amp;"",INDEX(nQ3_Unit_Out,$AH87)&amp;"",INDEX(nQ4_Unit_Out,$AH87)&amp;"",INDEX(nQ5_Unit_Out,$AH87)&amp;"",INDEX(nQ6_Unit_Out,$AH87)&amp;"",INDEX(nQ7_Unit_Out,$AH87)&amp;"",INDEX(nQ8_Unit_Out,$AH87)&amp;"",INDEX(nQ9_Unit_Out,$AH87)&amp;"",INDEX(nQ10_Unit_Out,$AH87)&amp;"",INDEX(nQ11_Unit_Out,$AH87)&amp;""))</f>
        <v/>
      </c>
      <c r="AV87" s="1" t="str">
        <f>IF($AF87=0,"",CHOOSE($AF87,INDEX(nINT_Displayed_Value,$AH87)&amp;"",INDEX(nQ1_Displayed_Value,$AH87)&amp;"",INDEX(nQ2_Displayed_Value,$AH87)&amp;"",INDEX(nQ3_Displayed_Value,$AH87)&amp;"",INDEX(nQ4_Displayed_Value,$AH87)&amp;"",INDEX(nQ5_Displayed_Value,$AH87)&amp;"",INDEX(nQ6_Displayed_Value,$AH87)&amp;"",INDEX(nQ7_Displayed_Value,$AH87)&amp;"",INDEX(nQ8_Displayed_Value,$AH87)&amp;"",INDEX(nQ9_Displayed_Value,$AH87)&amp;"",INDEX(nQ10_Displayed_Value,$AH87)&amp;"",INDEX(nQ11_Displayed_Value,$AH87)&amp;""))</f>
        <v/>
      </c>
      <c r="AW87" s="1" t="str">
        <f>IF($AF87=0,"",CHOOSE($AF87,INDEX(nINT_Calculation_Mode_Used,$AH87)&amp;"","Q1","Q2","Q3","Q4","Q5","Q6","Q7","Q8","Q9","Q10","Q11"))</f>
        <v/>
      </c>
      <c r="AX87" s="1" t="str">
        <f>IF($AF87=0,"",CHOOSE($AF87,INDEX(nINT_Anchor_Type,$AH87)&amp;"","","","","","","","","","","",""))</f>
        <v/>
      </c>
      <c r="AY87" s="1" t="str">
        <f>IF($AF87=0,"",CHOOSE($AF87,IF(INDEX(nINT_K_Ok,$AH87)=1,INDEX(nINT_Anchor_Record_ID_Used,$AH87)&amp;"",""),"","","","","","","","","","",""))</f>
        <v/>
      </c>
      <c r="AZ87" s="1" t="str">
        <f>IF($AF87=0,"",CHOOSE($AF87,INDEX(nINT_Anchor_Description,$AH87)&amp;"","","","","","","","","","","",""))</f>
        <v/>
      </c>
      <c r="BA87" s="1" t="str">
        <f>IF($AF87=0,"",CHOOSE($AF87,INDEX(nINT_Sequence_Status,$AH87)&amp;"","","","","","","","","","","",""))</f>
        <v/>
      </c>
      <c r="BB87" s="1" t="str">
        <f>IF($AF87=0,"",CHOOSE($AF87,INDEX(nINT_Treatment_Day,$AH87),"","","","","","","","","","",""))</f>
        <v/>
      </c>
      <c r="BC87" s="1" t="str">
        <f>IF($AF87=0,"",CHOOSE($AF87,INDEX(nINT_Reported_Timing_Result,$AH87)&amp;"","","","","","","","","","","",""))</f>
        <v/>
      </c>
      <c r="BD87" s="1" t="str">
        <f>IF($AF87=0,"",CHOOSE($AF87,IF(INDEX(nINT_K_HasC,$AH87)=1,INDEX(nINT_Constraint_Source,$AH87)&amp;"",""),"","","","","","","","","","",""))</f>
        <v/>
      </c>
      <c r="BE87" s="1" t="str">
        <f>IF($AF87=0,"",CHOOSE($AF87,"",INDEX(nQ1_Results_Text,$AH87)&amp;"",INDEX(nQ2_Results_Text,$AH87)&amp;"",INDEX(nQ3_Results_Text,$AH87)&amp;"",INDEX(nQ4_Results_Text,$AH87)&amp;"",INDEX(nQ5_Results_Text,$AH87)&amp;"",INDEX(nQ6_Results_Text,$AH87)&amp;"",INDEX(nQ7_Results_Text,$AH87)&amp;"",INDEX(nQ8_Results_Text,$AH87)&amp;"",INDEX(nQ9_Results_Text,$AH87)&amp;"",INDEX(nQ10_Results_Text,$AH87)&amp;"",INDEX(nQ11_Results_Text,$AH87)&amp;""))</f>
        <v/>
      </c>
      <c r="BF87" s="1" t="str">
        <f>IF($AF87=0,"",CHOOSE($AF87,INDEX(nINT_Parameter_Set,$AH87)&amp;"",INDEX(nQ1_Parameter_Set,$AH87)&amp;"",INDEX(nQ2_Parameter_Set,$AH87)&amp;"",INDEX(nQ3_Parameter_Set,$AH87)&amp;"",INDEX(nQ4_Parameter_Set,$AH87)&amp;"",INDEX(nQ5_Parameter_Set,$AH87)&amp;"",INDEX(nQ6_Parameter_Set,$AH87)&amp;"",INDEX(nQ7_Parameter_Set,$AH87)&amp;"",INDEX(nQ8_Parameter_Set,$AH87)&amp;"",INDEX(nQ9_Parameter_Set,$AH87)&amp;"",INDEX(nQ10_Parameter_Set,$AH87)&amp;"",INDEX(nQ11_Parameter_Set,$AH87)&amp;""))</f>
        <v/>
      </c>
      <c r="BG87" s="1" t="str">
        <f>IF($AF87=0,"",CHOOSE($AF87,INDEX(nINT_Assumptions,$AH87)&amp;"",INDEX(nQ1_Assumptions,$AH87)&amp;"",INDEX(nQ2_Assumptions,$AH87)&amp;"",INDEX(nQ3_Assumptions,$AH87)&amp;"",INDEX(nQ4_Assumptions,$AH87)&amp;"",INDEX(nQ5_Assumptions,$AH87)&amp;"",INDEX(nQ6_Assumptions,$AH87)&amp;"",INDEX(nQ7_Assumptions,$AH87)&amp;"",INDEX(nQ8_Assumptions,$AH87)&amp;"",INDEX(nQ9_Assumptions,$AH87)&amp;"",INDEX(nQ10_Assumptions,$AH87)&amp;"",INDEX(nQ11_Assumptions,$AH87)&amp;""))</f>
        <v/>
      </c>
      <c r="BH87" s="1" t="str">
        <f>IF($AF87=0,"",CHOOSE($AF87,INDEX(nINT_Calculation_Version,$AH87)&amp;"",INDEX(nQ1_Calculation_Version,$AH87)&amp;"",INDEX(nQ2_Calculation_Version,$AH87)&amp;"",INDEX(nQ3_Calculation_Version,$AH87)&amp;"",INDEX(nQ4_Calculation_Version,$AH87)&amp;"",INDEX(nQ5_Calculation_Version,$AH87)&amp;"",INDEX(nQ6_Calculation_Version,$AH87)&amp;"",INDEX(nQ7_Calculation_Version,$AH87)&amp;"",INDEX(nQ8_Calculation_Version,$AH87)&amp;"",INDEX(nQ9_Calculation_Version,$AH87)&amp;"",INDEX(nQ10_Calculation_Version,$AH87)&amp;"",INDEX(nQ11_Calculation_Version,$AH87)&amp;""))</f>
        <v/>
      </c>
      <c r="BI87" s="1" t="str">
        <f>IF($AF87=0,"",CHOOSE($AF87,INDEX(nINT_QC_Flags,$AH87)&amp;"",INDEX(nQ1_QC_Flags,$AH87)&amp;"",INDEX(nQ2_QC_Flags,$AH87)&amp;"",INDEX(nQ3_QC_Flags,$AH87)&amp;"",INDEX(nQ4_QC_Flags,$AH87)&amp;"",INDEX(nQ5_QC_Flags,$AH87)&amp;"",INDEX(nQ6_QC_Flags,$AH87)&amp;"",INDEX(nQ7_QC_Flags,$AH87)&amp;"",INDEX(nQ8_QC_Flags,$AH87)&amp;"",INDEX(nQ9_QC_Flags,$AH87)&amp;"",INDEX(nQ10_QC_Flags,$AH87)&amp;"",INDEX(nQ11_QC_Flags,$AH87)&amp;""))</f>
        <v/>
      </c>
      <c r="BJ87" s="1" t="str">
        <f>IF($AF87=0,"",CHOOSE($AF87,INDEX(nINT_Messages,$AH87)&amp;"",INDEX(nQ1_Messages,$AH87)&amp;"",INDEX(nQ2_Messages,$AH87)&amp;"",INDEX(nQ3_Messages,$AH87)&amp;"",INDEX(nQ4_Messages,$AH87)&amp;"",INDEX(nQ5_Messages,$AH87)&amp;"",INDEX(nQ6_Messages,$AH87)&amp;"",INDEX(nQ7_Messages,$AH87)&amp;"",INDEX(nQ8_Messages,$AH87)&amp;"",INDEX(nQ9_Messages,$AH87)&amp;"",INDEX(nQ10_Messages,$AH87)&amp;"",INDEX(nQ11_Messages,$AH87)&amp;""))</f>
        <v/>
      </c>
      <c r="BK87" s="1" t="str">
        <f>IF($AF87=0,"",CHOOSE($AF87,INDEX(nINT_Limitations,$AH87)&amp;"",INDEX(nQ1_Mandatory_Text,$AH87)&amp;"",INDEX(nQ2_Mandatory_Text,$AH87)&amp;"",INDEX(nQ3_Mandatory_Text,$AH87)&amp;"",INDEX(nQ4_Mandatory_Text,$AH87)&amp;"",INDEX(nQ5_Mandatory_Text,$AH87)&amp;"",INDEX(nQ6_Mandatory_Text,$AH87)&amp;"",INDEX(nQ7_Mandatory_Text,$AH87)&amp;"",INDEX(nQ8_Mandatory_Text,$AH87)&amp;"",INDEX(nQ9_Mandatory_Text,$AH87)&amp;"",INDEX(nQ10_Mandatory_Text,$AH87)&amp;"",INDEX(nQ11_Mandatory_Text,$AH87)&amp;""))</f>
        <v/>
      </c>
      <c r="BL87" s="1" t="str">
        <f t="shared" si="68"/>
        <v/>
      </c>
      <c r="BM87" s="1" t="str">
        <f t="shared" si="69"/>
        <v/>
      </c>
    </row>
    <row r="88" spans="1:65" x14ac:dyDescent="0.2">
      <c r="A88" s="21" t="str">
        <f t="shared" si="35"/>
        <v/>
      </c>
      <c r="B88" s="21" t="str">
        <f t="shared" si="36"/>
        <v/>
      </c>
      <c r="C88" s="21" t="str">
        <f t="shared" si="37"/>
        <v/>
      </c>
      <c r="D88" s="21" t="str">
        <f t="shared" si="38"/>
        <v/>
      </c>
      <c r="E88" s="21" t="str">
        <f t="shared" si="39"/>
        <v/>
      </c>
      <c r="F88" s="21" t="str">
        <f t="shared" si="40"/>
        <v/>
      </c>
      <c r="G88" s="21" t="str">
        <f t="shared" si="41"/>
        <v/>
      </c>
      <c r="H88" s="21" t="str">
        <f t="shared" si="42"/>
        <v/>
      </c>
      <c r="I88" s="21" t="str">
        <f t="shared" si="43"/>
        <v/>
      </c>
      <c r="J88" s="21" t="str">
        <f t="shared" si="44"/>
        <v/>
      </c>
      <c r="K88" s="21" t="str">
        <f t="shared" si="45"/>
        <v/>
      </c>
      <c r="L88" s="21" t="str">
        <f t="shared" si="46"/>
        <v/>
      </c>
      <c r="M88" s="21" t="str">
        <f t="shared" si="47"/>
        <v/>
      </c>
      <c r="N88" s="21" t="str">
        <f t="shared" si="48"/>
        <v/>
      </c>
      <c r="O88" s="21" t="str">
        <f t="shared" si="49"/>
        <v/>
      </c>
      <c r="P88" s="21" t="str">
        <f t="shared" si="50"/>
        <v/>
      </c>
      <c r="Q88" s="21" t="str">
        <f t="shared" si="51"/>
        <v/>
      </c>
      <c r="R88" s="21" t="str">
        <f t="shared" si="52"/>
        <v/>
      </c>
      <c r="S88" s="21" t="str">
        <f t="shared" si="53"/>
        <v/>
      </c>
      <c r="T88" s="21" t="str">
        <f t="shared" si="54"/>
        <v/>
      </c>
      <c r="U88" s="21" t="str">
        <f t="shared" si="55"/>
        <v/>
      </c>
      <c r="V88" s="21" t="str">
        <f t="shared" si="56"/>
        <v/>
      </c>
      <c r="W88" s="21" t="str">
        <f t="shared" si="57"/>
        <v/>
      </c>
      <c r="X88" s="21" t="str">
        <f t="shared" si="58"/>
        <v/>
      </c>
      <c r="Y88" s="21" t="str">
        <f t="shared" si="59"/>
        <v/>
      </c>
      <c r="Z88" s="21" t="str">
        <f t="shared" si="60"/>
        <v/>
      </c>
      <c r="AA88" s="21" t="str">
        <f t="shared" si="61"/>
        <v/>
      </c>
      <c r="AB88" s="21" t="str">
        <f t="shared" si="62"/>
        <v/>
      </c>
      <c r="AC88" s="21" t="str">
        <f t="shared" si="63"/>
        <v/>
      </c>
      <c r="AD88" s="21" t="str">
        <f t="shared" si="64"/>
        <v/>
      </c>
      <c r="AE88" s="1">
        <f t="shared" si="65"/>
        <v>81</v>
      </c>
      <c r="AF88" s="1">
        <f t="shared" si="66"/>
        <v>0</v>
      </c>
      <c r="AG88" s="1">
        <f t="shared" si="67"/>
        <v>0</v>
      </c>
      <c r="AH88" s="1">
        <f>IF(AF88=0,0,CHOOSE(AF88,IFERROR(_xlfn.AGGREGATE(15,6,(ROW(nINT_CaseKey)-ROW(INDEX(nINT_CaseKey,1,1))+1)/((nINT_CaseKey=$H$4)*(nINT_RowEmpty=0)),AG88),0),IFERROR(_xlfn.AGGREGATE(15,6,(ROW(nQ1_CaseKey)-ROW(INDEX(nQ1_CaseKey,1,1))+1)/((nQ1_CaseKey=$H$4)),AG88),0),IFERROR(_xlfn.AGGREGATE(15,6,(ROW(nQ2_CaseKey)-ROW(INDEX(nQ2_CaseKey,1,1))+1)/((nQ2_CaseKey=$H$4)),AG88),0),IFERROR(_xlfn.AGGREGATE(15,6,(ROW(nQ3_CaseKey)-ROW(INDEX(nQ3_CaseKey,1,1))+1)/((nQ3_CaseKey=$H$4)),AG88),0),IFERROR(_xlfn.AGGREGATE(15,6,(ROW(nQ4_CaseKey)-ROW(INDEX(nQ4_CaseKey,1,1))+1)/((nQ4_CaseKey=$H$4)),AG88),0),IFERROR(_xlfn.AGGREGATE(15,6,(ROW(nQ5_CaseKey)-ROW(INDEX(nQ5_CaseKey,1,1))+1)/((nQ5_CaseKey=$H$4)),AG88),0),IFERROR(_xlfn.AGGREGATE(15,6,(ROW(nQ6_CaseKey)-ROW(INDEX(nQ6_CaseKey,1,1))+1)/((nQ6_CaseKey=$H$4)),AG88),0),IFERROR(_xlfn.AGGREGATE(15,6,(ROW(nQ7_CaseKey)-ROW(INDEX(nQ7_CaseKey,1,1))+1)/((nQ7_CaseKey=$H$4)),AG88),0),IFERROR(_xlfn.AGGREGATE(15,6,(ROW(nQ8_CaseKey)-ROW(INDEX(nQ8_CaseKey,1,1))+1)/((nQ8_CaseKey=$H$4)),AG88),0),IFERROR(_xlfn.AGGREGATE(15,6,(ROW(nQ9_CaseKey)-ROW(INDEX(nQ9_CaseKey,1,1))+1)/((nQ9_CaseKey=$H$4)),AG88),0),IFERROR(_xlfn.AGGREGATE(15,6,(ROW(nQ10_CaseKey)-ROW(INDEX(nQ10_CaseKey,1,1))+1)/((nQ10_CaseKey=$H$4)),AG88),0),IFERROR(_xlfn.AGGREGATE(15,6,(ROW(nQ11_CaseKey)-ROW(INDEX(nQ11_CaseKey,1,1))+1)/((nQ11_CaseKey=$H$4)),AG88),0)))</f>
        <v>0</v>
      </c>
      <c r="AJ88" s="1" t="str">
        <f>IF($AF88=0,"",CHOOSE($AF88,INDEX(nINT_Case_ID,$AH88)&amp;"",INDEX(nQ1_Case_ID,$AH88)&amp;"",INDEX(nQ2_Case_ID,$AH88)&amp;"",INDEX(nQ3_Case_ID,$AH88)&amp;"",INDEX(nQ4_Case_ID,$AH88)&amp;"",INDEX(nQ5_Case_ID,$AH88)&amp;"",INDEX(nQ6_Case_ID,$AH88)&amp;"",INDEX(nQ7_Case_ID,$AH88)&amp;"",INDEX(nQ8_Case_ID,$AH88)&amp;"",INDEX(nQ9_Case_ID,$AH88)&amp;"",INDEX(nQ10_Case_ID,$AH88)&amp;"",INDEX(nQ11_Case_ID,$AH88)&amp;""))</f>
        <v/>
      </c>
      <c r="AK88" s="1" t="str">
        <f>IF($AF88=0,"",CHOOSE($AF88,INDEX(nINT_Case_Version,$AH88),INDEX(nQ1_Case_Version,$AH88),INDEX(nQ2_Case_Version,$AH88),INDEX(nQ3_Case_Version,$AH88),INDEX(nQ4_Case_Version,$AH88),INDEX(nQ5_Case_Version,$AH88),INDEX(nQ6_Case_Version,$AH88),INDEX(nQ7_Case_Version,$AH88),INDEX(nQ8_Case_Version,$AH88),INDEX(nQ9_Case_Version,$AH88),INDEX(nQ10_Case_Version,$AH88),INDEX(nQ11_Case_Version,$AH88)))</f>
        <v/>
      </c>
      <c r="AL88" s="1" t="str">
        <f>IF($AF88=0,"",CHOOSE($AF88,INDEX(nINT_Interval_ID,$AH88)&amp;"",INDEX(nQ1_Calc_ID,$AH88)&amp;"",INDEX(nQ2_Calc_ID,$AH88)&amp;"",INDEX(nQ3_Calc_ID,$AH88)&amp;"",INDEX(nQ4_Calc_ID,$AH88)&amp;"",INDEX(nQ5_Calc_ID,$AH88)&amp;"",INDEX(nQ6_Calc_ID,$AH88)&amp;"",INDEX(nQ7_Calc_ID,$AH88)&amp;"",INDEX(nQ8_Calc_ID,$AH88)&amp;"",INDEX(nQ9_Calc_ID,$AH88)&amp;"",INDEX(nQ10_Calc_ID,$AH88)&amp;"",INDEX(nQ11_Calc_ID,$AH88)&amp;""))</f>
        <v/>
      </c>
      <c r="AM88" s="1" t="str">
        <f>IF($AF88=0,"",CHOOSE($AF88,INDEX(nINT_Label,$AH88)&amp;"",INDEX(nQ1_Label_Out,$AH88)&amp;"",INDEX(nQ2_Label_Out,$AH88)&amp;"",INDEX(nQ3_Label_Out,$AH88)&amp;"",INDEX(nQ4_Label_Out,$AH88)&amp;"",INDEX(nQ5_Label_Out,$AH88)&amp;"",INDEX(nQ6_Label_Out,$AH88)&amp;"",INDEX(nQ7_Label_Out,$AH88)&amp;"",INDEX(nQ8_Label_Out,$AH88)&amp;"",INDEX(nQ9_Label_Out,$AH88)&amp;"",INDEX(nQ10_Label_Out,$AH88)&amp;"",INDEX(nQ11_Label_Out,$AH88)&amp;""))</f>
        <v/>
      </c>
      <c r="AN88" s="1" t="str">
        <f>IF($AF88=0,"",CHOOSE($AF88,IF(INDEX(nINT_LinkRow,$AH88)=0,"",INDEX(nINT_Link_ID,$AH88)&amp;""),"","","","","","","","","","",""))</f>
        <v/>
      </c>
      <c r="AO88" s="1" t="str">
        <f>IF($AF88=0,"",CHOOSE($AF88,INDEX(nINT_Exposure_Episode_ID,$AH88)&amp;"","","","","","","","","","","",""))</f>
        <v/>
      </c>
      <c r="AP88" s="1" t="str">
        <f>IF($AF88=0,"",CHOOSE($AF88,INDEX(nINT_Event_Episode_ID,$AH88)&amp;"","","","","","","","","","","",""))</f>
        <v/>
      </c>
      <c r="AQ88" s="1" t="str">
        <f>IF($AF88=0,"",CHOOSE($AF88,INDEX(nINT_End_Record_ID_Used,$AH88)&amp;"","","","","","","","","","","",""))</f>
        <v/>
      </c>
      <c r="AR88" s="1" t="str">
        <f>IF($AF88=0,"",CHOOSE($AF88,INDEX(nINT_Interval_Value,$AH88),"","","","","","","","","","",""))</f>
        <v/>
      </c>
      <c r="AS88" s="1" t="str">
        <f>IF($AF88=0,"",CHOOSE($AF88,INDEX(nINT_Interval_Minimum,$AH88),"","","","","","","","","","",""))</f>
        <v/>
      </c>
      <c r="AT88" s="1" t="str">
        <f>IF($AF88=0,"",CHOOSE($AF88,INDEX(nINT_Interval_Maximum,$AH88),"","","","","","","","","","",""))</f>
        <v/>
      </c>
      <c r="AU88" s="1" t="str">
        <f>IF($AF88=0,"",CHOOSE($AF88,INDEX(nINT_Unit,$AH88)&amp;"",INDEX(nQ1_Unit_Out,$AH88)&amp;"",INDEX(nQ2_Unit_Out,$AH88)&amp;"",INDEX(nQ3_Unit_Out,$AH88)&amp;"",INDEX(nQ4_Unit_Out,$AH88)&amp;"",INDEX(nQ5_Unit_Out,$AH88)&amp;"",INDEX(nQ6_Unit_Out,$AH88)&amp;"",INDEX(nQ7_Unit_Out,$AH88)&amp;"",INDEX(nQ8_Unit_Out,$AH88)&amp;"",INDEX(nQ9_Unit_Out,$AH88)&amp;"",INDEX(nQ10_Unit_Out,$AH88)&amp;"",INDEX(nQ11_Unit_Out,$AH88)&amp;""))</f>
        <v/>
      </c>
      <c r="AV88" s="1" t="str">
        <f>IF($AF88=0,"",CHOOSE($AF88,INDEX(nINT_Displayed_Value,$AH88)&amp;"",INDEX(nQ1_Displayed_Value,$AH88)&amp;"",INDEX(nQ2_Displayed_Value,$AH88)&amp;"",INDEX(nQ3_Displayed_Value,$AH88)&amp;"",INDEX(nQ4_Displayed_Value,$AH88)&amp;"",INDEX(nQ5_Displayed_Value,$AH88)&amp;"",INDEX(nQ6_Displayed_Value,$AH88)&amp;"",INDEX(nQ7_Displayed_Value,$AH88)&amp;"",INDEX(nQ8_Displayed_Value,$AH88)&amp;"",INDEX(nQ9_Displayed_Value,$AH88)&amp;"",INDEX(nQ10_Displayed_Value,$AH88)&amp;"",INDEX(nQ11_Displayed_Value,$AH88)&amp;""))</f>
        <v/>
      </c>
      <c r="AW88" s="1" t="str">
        <f>IF($AF88=0,"",CHOOSE($AF88,INDEX(nINT_Calculation_Mode_Used,$AH88)&amp;"","Q1","Q2","Q3","Q4","Q5","Q6","Q7","Q8","Q9","Q10","Q11"))</f>
        <v/>
      </c>
      <c r="AX88" s="1" t="str">
        <f>IF($AF88=0,"",CHOOSE($AF88,INDEX(nINT_Anchor_Type,$AH88)&amp;"","","","","","","","","","","",""))</f>
        <v/>
      </c>
      <c r="AY88" s="1" t="str">
        <f>IF($AF88=0,"",CHOOSE($AF88,IF(INDEX(nINT_K_Ok,$AH88)=1,INDEX(nINT_Anchor_Record_ID_Used,$AH88)&amp;"",""),"","","","","","","","","","",""))</f>
        <v/>
      </c>
      <c r="AZ88" s="1" t="str">
        <f>IF($AF88=0,"",CHOOSE($AF88,INDEX(nINT_Anchor_Description,$AH88)&amp;"","","","","","","","","","","",""))</f>
        <v/>
      </c>
      <c r="BA88" s="1" t="str">
        <f>IF($AF88=0,"",CHOOSE($AF88,INDEX(nINT_Sequence_Status,$AH88)&amp;"","","","","","","","","","","",""))</f>
        <v/>
      </c>
      <c r="BB88" s="1" t="str">
        <f>IF($AF88=0,"",CHOOSE($AF88,INDEX(nINT_Treatment_Day,$AH88),"","","","","","","","","","",""))</f>
        <v/>
      </c>
      <c r="BC88" s="1" t="str">
        <f>IF($AF88=0,"",CHOOSE($AF88,INDEX(nINT_Reported_Timing_Result,$AH88)&amp;"","","","","","","","","","","",""))</f>
        <v/>
      </c>
      <c r="BD88" s="1" t="str">
        <f>IF($AF88=0,"",CHOOSE($AF88,IF(INDEX(nINT_K_HasC,$AH88)=1,INDEX(nINT_Constraint_Source,$AH88)&amp;"",""),"","","","","","","","","","",""))</f>
        <v/>
      </c>
      <c r="BE88" s="1" t="str">
        <f>IF($AF88=0,"",CHOOSE($AF88,"",INDEX(nQ1_Results_Text,$AH88)&amp;"",INDEX(nQ2_Results_Text,$AH88)&amp;"",INDEX(nQ3_Results_Text,$AH88)&amp;"",INDEX(nQ4_Results_Text,$AH88)&amp;"",INDEX(nQ5_Results_Text,$AH88)&amp;"",INDEX(nQ6_Results_Text,$AH88)&amp;"",INDEX(nQ7_Results_Text,$AH88)&amp;"",INDEX(nQ8_Results_Text,$AH88)&amp;"",INDEX(nQ9_Results_Text,$AH88)&amp;"",INDEX(nQ10_Results_Text,$AH88)&amp;"",INDEX(nQ11_Results_Text,$AH88)&amp;""))</f>
        <v/>
      </c>
      <c r="BF88" s="1" t="str">
        <f>IF($AF88=0,"",CHOOSE($AF88,INDEX(nINT_Parameter_Set,$AH88)&amp;"",INDEX(nQ1_Parameter_Set,$AH88)&amp;"",INDEX(nQ2_Parameter_Set,$AH88)&amp;"",INDEX(nQ3_Parameter_Set,$AH88)&amp;"",INDEX(nQ4_Parameter_Set,$AH88)&amp;"",INDEX(nQ5_Parameter_Set,$AH88)&amp;"",INDEX(nQ6_Parameter_Set,$AH88)&amp;"",INDEX(nQ7_Parameter_Set,$AH88)&amp;"",INDEX(nQ8_Parameter_Set,$AH88)&amp;"",INDEX(nQ9_Parameter_Set,$AH88)&amp;"",INDEX(nQ10_Parameter_Set,$AH88)&amp;"",INDEX(nQ11_Parameter_Set,$AH88)&amp;""))</f>
        <v/>
      </c>
      <c r="BG88" s="1" t="str">
        <f>IF($AF88=0,"",CHOOSE($AF88,INDEX(nINT_Assumptions,$AH88)&amp;"",INDEX(nQ1_Assumptions,$AH88)&amp;"",INDEX(nQ2_Assumptions,$AH88)&amp;"",INDEX(nQ3_Assumptions,$AH88)&amp;"",INDEX(nQ4_Assumptions,$AH88)&amp;"",INDEX(nQ5_Assumptions,$AH88)&amp;"",INDEX(nQ6_Assumptions,$AH88)&amp;"",INDEX(nQ7_Assumptions,$AH88)&amp;"",INDEX(nQ8_Assumptions,$AH88)&amp;"",INDEX(nQ9_Assumptions,$AH88)&amp;"",INDEX(nQ10_Assumptions,$AH88)&amp;"",INDEX(nQ11_Assumptions,$AH88)&amp;""))</f>
        <v/>
      </c>
      <c r="BH88" s="1" t="str">
        <f>IF($AF88=0,"",CHOOSE($AF88,INDEX(nINT_Calculation_Version,$AH88)&amp;"",INDEX(nQ1_Calculation_Version,$AH88)&amp;"",INDEX(nQ2_Calculation_Version,$AH88)&amp;"",INDEX(nQ3_Calculation_Version,$AH88)&amp;"",INDEX(nQ4_Calculation_Version,$AH88)&amp;"",INDEX(nQ5_Calculation_Version,$AH88)&amp;"",INDEX(nQ6_Calculation_Version,$AH88)&amp;"",INDEX(nQ7_Calculation_Version,$AH88)&amp;"",INDEX(nQ8_Calculation_Version,$AH88)&amp;"",INDEX(nQ9_Calculation_Version,$AH88)&amp;"",INDEX(nQ10_Calculation_Version,$AH88)&amp;"",INDEX(nQ11_Calculation_Version,$AH88)&amp;""))</f>
        <v/>
      </c>
      <c r="BI88" s="1" t="str">
        <f>IF($AF88=0,"",CHOOSE($AF88,INDEX(nINT_QC_Flags,$AH88)&amp;"",INDEX(nQ1_QC_Flags,$AH88)&amp;"",INDEX(nQ2_QC_Flags,$AH88)&amp;"",INDEX(nQ3_QC_Flags,$AH88)&amp;"",INDEX(nQ4_QC_Flags,$AH88)&amp;"",INDEX(nQ5_QC_Flags,$AH88)&amp;"",INDEX(nQ6_QC_Flags,$AH88)&amp;"",INDEX(nQ7_QC_Flags,$AH88)&amp;"",INDEX(nQ8_QC_Flags,$AH88)&amp;"",INDEX(nQ9_QC_Flags,$AH88)&amp;"",INDEX(nQ10_QC_Flags,$AH88)&amp;"",INDEX(nQ11_QC_Flags,$AH88)&amp;""))</f>
        <v/>
      </c>
      <c r="BJ88" s="1" t="str">
        <f>IF($AF88=0,"",CHOOSE($AF88,INDEX(nINT_Messages,$AH88)&amp;"",INDEX(nQ1_Messages,$AH88)&amp;"",INDEX(nQ2_Messages,$AH88)&amp;"",INDEX(nQ3_Messages,$AH88)&amp;"",INDEX(nQ4_Messages,$AH88)&amp;"",INDEX(nQ5_Messages,$AH88)&amp;"",INDEX(nQ6_Messages,$AH88)&amp;"",INDEX(nQ7_Messages,$AH88)&amp;"",INDEX(nQ8_Messages,$AH88)&amp;"",INDEX(nQ9_Messages,$AH88)&amp;"",INDEX(nQ10_Messages,$AH88)&amp;"",INDEX(nQ11_Messages,$AH88)&amp;""))</f>
        <v/>
      </c>
      <c r="BK88" s="1" t="str">
        <f>IF($AF88=0,"",CHOOSE($AF88,INDEX(nINT_Limitations,$AH88)&amp;"",INDEX(nQ1_Mandatory_Text,$AH88)&amp;"",INDEX(nQ2_Mandatory_Text,$AH88)&amp;"",INDEX(nQ3_Mandatory_Text,$AH88)&amp;"",INDEX(nQ4_Mandatory_Text,$AH88)&amp;"",INDEX(nQ5_Mandatory_Text,$AH88)&amp;"",INDEX(nQ6_Mandatory_Text,$AH88)&amp;"",INDEX(nQ7_Mandatory_Text,$AH88)&amp;"",INDEX(nQ8_Mandatory_Text,$AH88)&amp;"",INDEX(nQ9_Mandatory_Text,$AH88)&amp;"",INDEX(nQ10_Mandatory_Text,$AH88)&amp;"",INDEX(nQ11_Mandatory_Text,$AH88)&amp;""))</f>
        <v/>
      </c>
      <c r="BL88" s="1" t="str">
        <f t="shared" si="68"/>
        <v/>
      </c>
      <c r="BM88" s="1" t="str">
        <f t="shared" si="69"/>
        <v/>
      </c>
    </row>
    <row r="89" spans="1:65" x14ac:dyDescent="0.2">
      <c r="A89" s="21" t="str">
        <f t="shared" si="35"/>
        <v/>
      </c>
      <c r="B89" s="21" t="str">
        <f t="shared" si="36"/>
        <v/>
      </c>
      <c r="C89" s="21" t="str">
        <f t="shared" si="37"/>
        <v/>
      </c>
      <c r="D89" s="21" t="str">
        <f t="shared" si="38"/>
        <v/>
      </c>
      <c r="E89" s="21" t="str">
        <f t="shared" si="39"/>
        <v/>
      </c>
      <c r="F89" s="21" t="str">
        <f t="shared" si="40"/>
        <v/>
      </c>
      <c r="G89" s="21" t="str">
        <f t="shared" si="41"/>
        <v/>
      </c>
      <c r="H89" s="21" t="str">
        <f t="shared" si="42"/>
        <v/>
      </c>
      <c r="I89" s="21" t="str">
        <f t="shared" si="43"/>
        <v/>
      </c>
      <c r="J89" s="21" t="str">
        <f t="shared" si="44"/>
        <v/>
      </c>
      <c r="K89" s="21" t="str">
        <f t="shared" si="45"/>
        <v/>
      </c>
      <c r="L89" s="21" t="str">
        <f t="shared" si="46"/>
        <v/>
      </c>
      <c r="M89" s="21" t="str">
        <f t="shared" si="47"/>
        <v/>
      </c>
      <c r="N89" s="21" t="str">
        <f t="shared" si="48"/>
        <v/>
      </c>
      <c r="O89" s="21" t="str">
        <f t="shared" si="49"/>
        <v/>
      </c>
      <c r="P89" s="21" t="str">
        <f t="shared" si="50"/>
        <v/>
      </c>
      <c r="Q89" s="21" t="str">
        <f t="shared" si="51"/>
        <v/>
      </c>
      <c r="R89" s="21" t="str">
        <f t="shared" si="52"/>
        <v/>
      </c>
      <c r="S89" s="21" t="str">
        <f t="shared" si="53"/>
        <v/>
      </c>
      <c r="T89" s="21" t="str">
        <f t="shared" si="54"/>
        <v/>
      </c>
      <c r="U89" s="21" t="str">
        <f t="shared" si="55"/>
        <v/>
      </c>
      <c r="V89" s="21" t="str">
        <f t="shared" si="56"/>
        <v/>
      </c>
      <c r="W89" s="21" t="str">
        <f t="shared" si="57"/>
        <v/>
      </c>
      <c r="X89" s="21" t="str">
        <f t="shared" si="58"/>
        <v/>
      </c>
      <c r="Y89" s="21" t="str">
        <f t="shared" si="59"/>
        <v/>
      </c>
      <c r="Z89" s="21" t="str">
        <f t="shared" si="60"/>
        <v/>
      </c>
      <c r="AA89" s="21" t="str">
        <f t="shared" si="61"/>
        <v/>
      </c>
      <c r="AB89" s="21" t="str">
        <f t="shared" si="62"/>
        <v/>
      </c>
      <c r="AC89" s="21" t="str">
        <f t="shared" si="63"/>
        <v/>
      </c>
      <c r="AD89" s="21" t="str">
        <f t="shared" si="64"/>
        <v/>
      </c>
      <c r="AE89" s="1">
        <f t="shared" si="65"/>
        <v>82</v>
      </c>
      <c r="AF89" s="1">
        <f t="shared" si="66"/>
        <v>0</v>
      </c>
      <c r="AG89" s="1">
        <f t="shared" si="67"/>
        <v>0</v>
      </c>
      <c r="AH89" s="1">
        <f>IF(AF89=0,0,CHOOSE(AF89,IFERROR(_xlfn.AGGREGATE(15,6,(ROW(nINT_CaseKey)-ROW(INDEX(nINT_CaseKey,1,1))+1)/((nINT_CaseKey=$H$4)*(nINT_RowEmpty=0)),AG89),0),IFERROR(_xlfn.AGGREGATE(15,6,(ROW(nQ1_CaseKey)-ROW(INDEX(nQ1_CaseKey,1,1))+1)/((nQ1_CaseKey=$H$4)),AG89),0),IFERROR(_xlfn.AGGREGATE(15,6,(ROW(nQ2_CaseKey)-ROW(INDEX(nQ2_CaseKey,1,1))+1)/((nQ2_CaseKey=$H$4)),AG89),0),IFERROR(_xlfn.AGGREGATE(15,6,(ROW(nQ3_CaseKey)-ROW(INDEX(nQ3_CaseKey,1,1))+1)/((nQ3_CaseKey=$H$4)),AG89),0),IFERROR(_xlfn.AGGREGATE(15,6,(ROW(nQ4_CaseKey)-ROW(INDEX(nQ4_CaseKey,1,1))+1)/((nQ4_CaseKey=$H$4)),AG89),0),IFERROR(_xlfn.AGGREGATE(15,6,(ROW(nQ5_CaseKey)-ROW(INDEX(nQ5_CaseKey,1,1))+1)/((nQ5_CaseKey=$H$4)),AG89),0),IFERROR(_xlfn.AGGREGATE(15,6,(ROW(nQ6_CaseKey)-ROW(INDEX(nQ6_CaseKey,1,1))+1)/((nQ6_CaseKey=$H$4)),AG89),0),IFERROR(_xlfn.AGGREGATE(15,6,(ROW(nQ7_CaseKey)-ROW(INDEX(nQ7_CaseKey,1,1))+1)/((nQ7_CaseKey=$H$4)),AG89),0),IFERROR(_xlfn.AGGREGATE(15,6,(ROW(nQ8_CaseKey)-ROW(INDEX(nQ8_CaseKey,1,1))+1)/((nQ8_CaseKey=$H$4)),AG89),0),IFERROR(_xlfn.AGGREGATE(15,6,(ROW(nQ9_CaseKey)-ROW(INDEX(nQ9_CaseKey,1,1))+1)/((nQ9_CaseKey=$H$4)),AG89),0),IFERROR(_xlfn.AGGREGATE(15,6,(ROW(nQ10_CaseKey)-ROW(INDEX(nQ10_CaseKey,1,1))+1)/((nQ10_CaseKey=$H$4)),AG89),0),IFERROR(_xlfn.AGGREGATE(15,6,(ROW(nQ11_CaseKey)-ROW(INDEX(nQ11_CaseKey,1,1))+1)/((nQ11_CaseKey=$H$4)),AG89),0)))</f>
        <v>0</v>
      </c>
      <c r="AJ89" s="1" t="str">
        <f>IF($AF89=0,"",CHOOSE($AF89,INDEX(nINT_Case_ID,$AH89)&amp;"",INDEX(nQ1_Case_ID,$AH89)&amp;"",INDEX(nQ2_Case_ID,$AH89)&amp;"",INDEX(nQ3_Case_ID,$AH89)&amp;"",INDEX(nQ4_Case_ID,$AH89)&amp;"",INDEX(nQ5_Case_ID,$AH89)&amp;"",INDEX(nQ6_Case_ID,$AH89)&amp;"",INDEX(nQ7_Case_ID,$AH89)&amp;"",INDEX(nQ8_Case_ID,$AH89)&amp;"",INDEX(nQ9_Case_ID,$AH89)&amp;"",INDEX(nQ10_Case_ID,$AH89)&amp;"",INDEX(nQ11_Case_ID,$AH89)&amp;""))</f>
        <v/>
      </c>
      <c r="AK89" s="1" t="str">
        <f>IF($AF89=0,"",CHOOSE($AF89,INDEX(nINT_Case_Version,$AH89),INDEX(nQ1_Case_Version,$AH89),INDEX(nQ2_Case_Version,$AH89),INDEX(nQ3_Case_Version,$AH89),INDEX(nQ4_Case_Version,$AH89),INDEX(nQ5_Case_Version,$AH89),INDEX(nQ6_Case_Version,$AH89),INDEX(nQ7_Case_Version,$AH89),INDEX(nQ8_Case_Version,$AH89),INDEX(nQ9_Case_Version,$AH89),INDEX(nQ10_Case_Version,$AH89),INDEX(nQ11_Case_Version,$AH89)))</f>
        <v/>
      </c>
      <c r="AL89" s="1" t="str">
        <f>IF($AF89=0,"",CHOOSE($AF89,INDEX(nINT_Interval_ID,$AH89)&amp;"",INDEX(nQ1_Calc_ID,$AH89)&amp;"",INDEX(nQ2_Calc_ID,$AH89)&amp;"",INDEX(nQ3_Calc_ID,$AH89)&amp;"",INDEX(nQ4_Calc_ID,$AH89)&amp;"",INDEX(nQ5_Calc_ID,$AH89)&amp;"",INDEX(nQ6_Calc_ID,$AH89)&amp;"",INDEX(nQ7_Calc_ID,$AH89)&amp;"",INDEX(nQ8_Calc_ID,$AH89)&amp;"",INDEX(nQ9_Calc_ID,$AH89)&amp;"",INDEX(nQ10_Calc_ID,$AH89)&amp;"",INDEX(nQ11_Calc_ID,$AH89)&amp;""))</f>
        <v/>
      </c>
      <c r="AM89" s="1" t="str">
        <f>IF($AF89=0,"",CHOOSE($AF89,INDEX(nINT_Label,$AH89)&amp;"",INDEX(nQ1_Label_Out,$AH89)&amp;"",INDEX(nQ2_Label_Out,$AH89)&amp;"",INDEX(nQ3_Label_Out,$AH89)&amp;"",INDEX(nQ4_Label_Out,$AH89)&amp;"",INDEX(nQ5_Label_Out,$AH89)&amp;"",INDEX(nQ6_Label_Out,$AH89)&amp;"",INDEX(nQ7_Label_Out,$AH89)&amp;"",INDEX(nQ8_Label_Out,$AH89)&amp;"",INDEX(nQ9_Label_Out,$AH89)&amp;"",INDEX(nQ10_Label_Out,$AH89)&amp;"",INDEX(nQ11_Label_Out,$AH89)&amp;""))</f>
        <v/>
      </c>
      <c r="AN89" s="1" t="str">
        <f>IF($AF89=0,"",CHOOSE($AF89,IF(INDEX(nINT_LinkRow,$AH89)=0,"",INDEX(nINT_Link_ID,$AH89)&amp;""),"","","","","","","","","","",""))</f>
        <v/>
      </c>
      <c r="AO89" s="1" t="str">
        <f>IF($AF89=0,"",CHOOSE($AF89,INDEX(nINT_Exposure_Episode_ID,$AH89)&amp;"","","","","","","","","","","",""))</f>
        <v/>
      </c>
      <c r="AP89" s="1" t="str">
        <f>IF($AF89=0,"",CHOOSE($AF89,INDEX(nINT_Event_Episode_ID,$AH89)&amp;"","","","","","","","","","","",""))</f>
        <v/>
      </c>
      <c r="AQ89" s="1" t="str">
        <f>IF($AF89=0,"",CHOOSE($AF89,INDEX(nINT_End_Record_ID_Used,$AH89)&amp;"","","","","","","","","","","",""))</f>
        <v/>
      </c>
      <c r="AR89" s="1" t="str">
        <f>IF($AF89=0,"",CHOOSE($AF89,INDEX(nINT_Interval_Value,$AH89),"","","","","","","","","","",""))</f>
        <v/>
      </c>
      <c r="AS89" s="1" t="str">
        <f>IF($AF89=0,"",CHOOSE($AF89,INDEX(nINT_Interval_Minimum,$AH89),"","","","","","","","","","",""))</f>
        <v/>
      </c>
      <c r="AT89" s="1" t="str">
        <f>IF($AF89=0,"",CHOOSE($AF89,INDEX(nINT_Interval_Maximum,$AH89),"","","","","","","","","","",""))</f>
        <v/>
      </c>
      <c r="AU89" s="1" t="str">
        <f>IF($AF89=0,"",CHOOSE($AF89,INDEX(nINT_Unit,$AH89)&amp;"",INDEX(nQ1_Unit_Out,$AH89)&amp;"",INDEX(nQ2_Unit_Out,$AH89)&amp;"",INDEX(nQ3_Unit_Out,$AH89)&amp;"",INDEX(nQ4_Unit_Out,$AH89)&amp;"",INDEX(nQ5_Unit_Out,$AH89)&amp;"",INDEX(nQ6_Unit_Out,$AH89)&amp;"",INDEX(nQ7_Unit_Out,$AH89)&amp;"",INDEX(nQ8_Unit_Out,$AH89)&amp;"",INDEX(nQ9_Unit_Out,$AH89)&amp;"",INDEX(nQ10_Unit_Out,$AH89)&amp;"",INDEX(nQ11_Unit_Out,$AH89)&amp;""))</f>
        <v/>
      </c>
      <c r="AV89" s="1" t="str">
        <f>IF($AF89=0,"",CHOOSE($AF89,INDEX(nINT_Displayed_Value,$AH89)&amp;"",INDEX(nQ1_Displayed_Value,$AH89)&amp;"",INDEX(nQ2_Displayed_Value,$AH89)&amp;"",INDEX(nQ3_Displayed_Value,$AH89)&amp;"",INDEX(nQ4_Displayed_Value,$AH89)&amp;"",INDEX(nQ5_Displayed_Value,$AH89)&amp;"",INDEX(nQ6_Displayed_Value,$AH89)&amp;"",INDEX(nQ7_Displayed_Value,$AH89)&amp;"",INDEX(nQ8_Displayed_Value,$AH89)&amp;"",INDEX(nQ9_Displayed_Value,$AH89)&amp;"",INDEX(nQ10_Displayed_Value,$AH89)&amp;"",INDEX(nQ11_Displayed_Value,$AH89)&amp;""))</f>
        <v/>
      </c>
      <c r="AW89" s="1" t="str">
        <f>IF($AF89=0,"",CHOOSE($AF89,INDEX(nINT_Calculation_Mode_Used,$AH89)&amp;"","Q1","Q2","Q3","Q4","Q5","Q6","Q7","Q8","Q9","Q10","Q11"))</f>
        <v/>
      </c>
      <c r="AX89" s="1" t="str">
        <f>IF($AF89=0,"",CHOOSE($AF89,INDEX(nINT_Anchor_Type,$AH89)&amp;"","","","","","","","","","","",""))</f>
        <v/>
      </c>
      <c r="AY89" s="1" t="str">
        <f>IF($AF89=0,"",CHOOSE($AF89,IF(INDEX(nINT_K_Ok,$AH89)=1,INDEX(nINT_Anchor_Record_ID_Used,$AH89)&amp;"",""),"","","","","","","","","","",""))</f>
        <v/>
      </c>
      <c r="AZ89" s="1" t="str">
        <f>IF($AF89=0,"",CHOOSE($AF89,INDEX(nINT_Anchor_Description,$AH89)&amp;"","","","","","","","","","","",""))</f>
        <v/>
      </c>
      <c r="BA89" s="1" t="str">
        <f>IF($AF89=0,"",CHOOSE($AF89,INDEX(nINT_Sequence_Status,$AH89)&amp;"","","","","","","","","","","",""))</f>
        <v/>
      </c>
      <c r="BB89" s="1" t="str">
        <f>IF($AF89=0,"",CHOOSE($AF89,INDEX(nINT_Treatment_Day,$AH89),"","","","","","","","","","",""))</f>
        <v/>
      </c>
      <c r="BC89" s="1" t="str">
        <f>IF($AF89=0,"",CHOOSE($AF89,INDEX(nINT_Reported_Timing_Result,$AH89)&amp;"","","","","","","","","","","",""))</f>
        <v/>
      </c>
      <c r="BD89" s="1" t="str">
        <f>IF($AF89=0,"",CHOOSE($AF89,IF(INDEX(nINT_K_HasC,$AH89)=1,INDEX(nINT_Constraint_Source,$AH89)&amp;"",""),"","","","","","","","","","",""))</f>
        <v/>
      </c>
      <c r="BE89" s="1" t="str">
        <f>IF($AF89=0,"",CHOOSE($AF89,"",INDEX(nQ1_Results_Text,$AH89)&amp;"",INDEX(nQ2_Results_Text,$AH89)&amp;"",INDEX(nQ3_Results_Text,$AH89)&amp;"",INDEX(nQ4_Results_Text,$AH89)&amp;"",INDEX(nQ5_Results_Text,$AH89)&amp;"",INDEX(nQ6_Results_Text,$AH89)&amp;"",INDEX(nQ7_Results_Text,$AH89)&amp;"",INDEX(nQ8_Results_Text,$AH89)&amp;"",INDEX(nQ9_Results_Text,$AH89)&amp;"",INDEX(nQ10_Results_Text,$AH89)&amp;"",INDEX(nQ11_Results_Text,$AH89)&amp;""))</f>
        <v/>
      </c>
      <c r="BF89" s="1" t="str">
        <f>IF($AF89=0,"",CHOOSE($AF89,INDEX(nINT_Parameter_Set,$AH89)&amp;"",INDEX(nQ1_Parameter_Set,$AH89)&amp;"",INDEX(nQ2_Parameter_Set,$AH89)&amp;"",INDEX(nQ3_Parameter_Set,$AH89)&amp;"",INDEX(nQ4_Parameter_Set,$AH89)&amp;"",INDEX(nQ5_Parameter_Set,$AH89)&amp;"",INDEX(nQ6_Parameter_Set,$AH89)&amp;"",INDEX(nQ7_Parameter_Set,$AH89)&amp;"",INDEX(nQ8_Parameter_Set,$AH89)&amp;"",INDEX(nQ9_Parameter_Set,$AH89)&amp;"",INDEX(nQ10_Parameter_Set,$AH89)&amp;"",INDEX(nQ11_Parameter_Set,$AH89)&amp;""))</f>
        <v/>
      </c>
      <c r="BG89" s="1" t="str">
        <f>IF($AF89=0,"",CHOOSE($AF89,INDEX(nINT_Assumptions,$AH89)&amp;"",INDEX(nQ1_Assumptions,$AH89)&amp;"",INDEX(nQ2_Assumptions,$AH89)&amp;"",INDEX(nQ3_Assumptions,$AH89)&amp;"",INDEX(nQ4_Assumptions,$AH89)&amp;"",INDEX(nQ5_Assumptions,$AH89)&amp;"",INDEX(nQ6_Assumptions,$AH89)&amp;"",INDEX(nQ7_Assumptions,$AH89)&amp;"",INDEX(nQ8_Assumptions,$AH89)&amp;"",INDEX(nQ9_Assumptions,$AH89)&amp;"",INDEX(nQ10_Assumptions,$AH89)&amp;"",INDEX(nQ11_Assumptions,$AH89)&amp;""))</f>
        <v/>
      </c>
      <c r="BH89" s="1" t="str">
        <f>IF($AF89=0,"",CHOOSE($AF89,INDEX(nINT_Calculation_Version,$AH89)&amp;"",INDEX(nQ1_Calculation_Version,$AH89)&amp;"",INDEX(nQ2_Calculation_Version,$AH89)&amp;"",INDEX(nQ3_Calculation_Version,$AH89)&amp;"",INDEX(nQ4_Calculation_Version,$AH89)&amp;"",INDEX(nQ5_Calculation_Version,$AH89)&amp;"",INDEX(nQ6_Calculation_Version,$AH89)&amp;"",INDEX(nQ7_Calculation_Version,$AH89)&amp;"",INDEX(nQ8_Calculation_Version,$AH89)&amp;"",INDEX(nQ9_Calculation_Version,$AH89)&amp;"",INDEX(nQ10_Calculation_Version,$AH89)&amp;"",INDEX(nQ11_Calculation_Version,$AH89)&amp;""))</f>
        <v/>
      </c>
      <c r="BI89" s="1" t="str">
        <f>IF($AF89=0,"",CHOOSE($AF89,INDEX(nINT_QC_Flags,$AH89)&amp;"",INDEX(nQ1_QC_Flags,$AH89)&amp;"",INDEX(nQ2_QC_Flags,$AH89)&amp;"",INDEX(nQ3_QC_Flags,$AH89)&amp;"",INDEX(nQ4_QC_Flags,$AH89)&amp;"",INDEX(nQ5_QC_Flags,$AH89)&amp;"",INDEX(nQ6_QC_Flags,$AH89)&amp;"",INDEX(nQ7_QC_Flags,$AH89)&amp;"",INDEX(nQ8_QC_Flags,$AH89)&amp;"",INDEX(nQ9_QC_Flags,$AH89)&amp;"",INDEX(nQ10_QC_Flags,$AH89)&amp;"",INDEX(nQ11_QC_Flags,$AH89)&amp;""))</f>
        <v/>
      </c>
      <c r="BJ89" s="1" t="str">
        <f>IF($AF89=0,"",CHOOSE($AF89,INDEX(nINT_Messages,$AH89)&amp;"",INDEX(nQ1_Messages,$AH89)&amp;"",INDEX(nQ2_Messages,$AH89)&amp;"",INDEX(nQ3_Messages,$AH89)&amp;"",INDEX(nQ4_Messages,$AH89)&amp;"",INDEX(nQ5_Messages,$AH89)&amp;"",INDEX(nQ6_Messages,$AH89)&amp;"",INDEX(nQ7_Messages,$AH89)&amp;"",INDEX(nQ8_Messages,$AH89)&amp;"",INDEX(nQ9_Messages,$AH89)&amp;"",INDEX(nQ10_Messages,$AH89)&amp;"",INDEX(nQ11_Messages,$AH89)&amp;""))</f>
        <v/>
      </c>
      <c r="BK89" s="1" t="str">
        <f>IF($AF89=0,"",CHOOSE($AF89,INDEX(nINT_Limitations,$AH89)&amp;"",INDEX(nQ1_Mandatory_Text,$AH89)&amp;"",INDEX(nQ2_Mandatory_Text,$AH89)&amp;"",INDEX(nQ3_Mandatory_Text,$AH89)&amp;"",INDEX(nQ4_Mandatory_Text,$AH89)&amp;"",INDEX(nQ5_Mandatory_Text,$AH89)&amp;"",INDEX(nQ6_Mandatory_Text,$AH89)&amp;"",INDEX(nQ7_Mandatory_Text,$AH89)&amp;"",INDEX(nQ8_Mandatory_Text,$AH89)&amp;"",INDEX(nQ9_Mandatory_Text,$AH89)&amp;"",INDEX(nQ10_Mandatory_Text,$AH89)&amp;"",INDEX(nQ11_Mandatory_Text,$AH89)&amp;""))</f>
        <v/>
      </c>
      <c r="BL89" s="1" t="str">
        <f t="shared" si="68"/>
        <v/>
      </c>
      <c r="BM89" s="1" t="str">
        <f t="shared" si="69"/>
        <v/>
      </c>
    </row>
    <row r="90" spans="1:65" x14ac:dyDescent="0.2">
      <c r="A90" s="21" t="str">
        <f t="shared" si="35"/>
        <v/>
      </c>
      <c r="B90" s="21" t="str">
        <f t="shared" si="36"/>
        <v/>
      </c>
      <c r="C90" s="21" t="str">
        <f t="shared" si="37"/>
        <v/>
      </c>
      <c r="D90" s="21" t="str">
        <f t="shared" si="38"/>
        <v/>
      </c>
      <c r="E90" s="21" t="str">
        <f t="shared" si="39"/>
        <v/>
      </c>
      <c r="F90" s="21" t="str">
        <f t="shared" si="40"/>
        <v/>
      </c>
      <c r="G90" s="21" t="str">
        <f t="shared" si="41"/>
        <v/>
      </c>
      <c r="H90" s="21" t="str">
        <f t="shared" si="42"/>
        <v/>
      </c>
      <c r="I90" s="21" t="str">
        <f t="shared" si="43"/>
        <v/>
      </c>
      <c r="J90" s="21" t="str">
        <f t="shared" si="44"/>
        <v/>
      </c>
      <c r="K90" s="21" t="str">
        <f t="shared" si="45"/>
        <v/>
      </c>
      <c r="L90" s="21" t="str">
        <f t="shared" si="46"/>
        <v/>
      </c>
      <c r="M90" s="21" t="str">
        <f t="shared" si="47"/>
        <v/>
      </c>
      <c r="N90" s="21" t="str">
        <f t="shared" si="48"/>
        <v/>
      </c>
      <c r="O90" s="21" t="str">
        <f t="shared" si="49"/>
        <v/>
      </c>
      <c r="P90" s="21" t="str">
        <f t="shared" si="50"/>
        <v/>
      </c>
      <c r="Q90" s="21" t="str">
        <f t="shared" si="51"/>
        <v/>
      </c>
      <c r="R90" s="21" t="str">
        <f t="shared" si="52"/>
        <v/>
      </c>
      <c r="S90" s="21" t="str">
        <f t="shared" si="53"/>
        <v/>
      </c>
      <c r="T90" s="21" t="str">
        <f t="shared" si="54"/>
        <v/>
      </c>
      <c r="U90" s="21" t="str">
        <f t="shared" si="55"/>
        <v/>
      </c>
      <c r="V90" s="21" t="str">
        <f t="shared" si="56"/>
        <v/>
      </c>
      <c r="W90" s="21" t="str">
        <f t="shared" si="57"/>
        <v/>
      </c>
      <c r="X90" s="21" t="str">
        <f t="shared" si="58"/>
        <v/>
      </c>
      <c r="Y90" s="21" t="str">
        <f t="shared" si="59"/>
        <v/>
      </c>
      <c r="Z90" s="21" t="str">
        <f t="shared" si="60"/>
        <v/>
      </c>
      <c r="AA90" s="21" t="str">
        <f t="shared" si="61"/>
        <v/>
      </c>
      <c r="AB90" s="21" t="str">
        <f t="shared" si="62"/>
        <v/>
      </c>
      <c r="AC90" s="21" t="str">
        <f t="shared" si="63"/>
        <v/>
      </c>
      <c r="AD90" s="21" t="str">
        <f t="shared" si="64"/>
        <v/>
      </c>
      <c r="AE90" s="1">
        <f t="shared" si="65"/>
        <v>83</v>
      </c>
      <c r="AF90" s="1">
        <f t="shared" si="66"/>
        <v>0</v>
      </c>
      <c r="AG90" s="1">
        <f t="shared" si="67"/>
        <v>0</v>
      </c>
      <c r="AH90" s="1">
        <f>IF(AF90=0,0,CHOOSE(AF90,IFERROR(_xlfn.AGGREGATE(15,6,(ROW(nINT_CaseKey)-ROW(INDEX(nINT_CaseKey,1,1))+1)/((nINT_CaseKey=$H$4)*(nINT_RowEmpty=0)),AG90),0),IFERROR(_xlfn.AGGREGATE(15,6,(ROW(nQ1_CaseKey)-ROW(INDEX(nQ1_CaseKey,1,1))+1)/((nQ1_CaseKey=$H$4)),AG90),0),IFERROR(_xlfn.AGGREGATE(15,6,(ROW(nQ2_CaseKey)-ROW(INDEX(nQ2_CaseKey,1,1))+1)/((nQ2_CaseKey=$H$4)),AG90),0),IFERROR(_xlfn.AGGREGATE(15,6,(ROW(nQ3_CaseKey)-ROW(INDEX(nQ3_CaseKey,1,1))+1)/((nQ3_CaseKey=$H$4)),AG90),0),IFERROR(_xlfn.AGGREGATE(15,6,(ROW(nQ4_CaseKey)-ROW(INDEX(nQ4_CaseKey,1,1))+1)/((nQ4_CaseKey=$H$4)),AG90),0),IFERROR(_xlfn.AGGREGATE(15,6,(ROW(nQ5_CaseKey)-ROW(INDEX(nQ5_CaseKey,1,1))+1)/((nQ5_CaseKey=$H$4)),AG90),0),IFERROR(_xlfn.AGGREGATE(15,6,(ROW(nQ6_CaseKey)-ROW(INDEX(nQ6_CaseKey,1,1))+1)/((nQ6_CaseKey=$H$4)),AG90),0),IFERROR(_xlfn.AGGREGATE(15,6,(ROW(nQ7_CaseKey)-ROW(INDEX(nQ7_CaseKey,1,1))+1)/((nQ7_CaseKey=$H$4)),AG90),0),IFERROR(_xlfn.AGGREGATE(15,6,(ROW(nQ8_CaseKey)-ROW(INDEX(nQ8_CaseKey,1,1))+1)/((nQ8_CaseKey=$H$4)),AG90),0),IFERROR(_xlfn.AGGREGATE(15,6,(ROW(nQ9_CaseKey)-ROW(INDEX(nQ9_CaseKey,1,1))+1)/((nQ9_CaseKey=$H$4)),AG90),0),IFERROR(_xlfn.AGGREGATE(15,6,(ROW(nQ10_CaseKey)-ROW(INDEX(nQ10_CaseKey,1,1))+1)/((nQ10_CaseKey=$H$4)),AG90),0),IFERROR(_xlfn.AGGREGATE(15,6,(ROW(nQ11_CaseKey)-ROW(INDEX(nQ11_CaseKey,1,1))+1)/((nQ11_CaseKey=$H$4)),AG90),0)))</f>
        <v>0</v>
      </c>
      <c r="AJ90" s="1" t="str">
        <f>IF($AF90=0,"",CHOOSE($AF90,INDEX(nINT_Case_ID,$AH90)&amp;"",INDEX(nQ1_Case_ID,$AH90)&amp;"",INDEX(nQ2_Case_ID,$AH90)&amp;"",INDEX(nQ3_Case_ID,$AH90)&amp;"",INDEX(nQ4_Case_ID,$AH90)&amp;"",INDEX(nQ5_Case_ID,$AH90)&amp;"",INDEX(nQ6_Case_ID,$AH90)&amp;"",INDEX(nQ7_Case_ID,$AH90)&amp;"",INDEX(nQ8_Case_ID,$AH90)&amp;"",INDEX(nQ9_Case_ID,$AH90)&amp;"",INDEX(nQ10_Case_ID,$AH90)&amp;"",INDEX(nQ11_Case_ID,$AH90)&amp;""))</f>
        <v/>
      </c>
      <c r="AK90" s="1" t="str">
        <f>IF($AF90=0,"",CHOOSE($AF90,INDEX(nINT_Case_Version,$AH90),INDEX(nQ1_Case_Version,$AH90),INDEX(nQ2_Case_Version,$AH90),INDEX(nQ3_Case_Version,$AH90),INDEX(nQ4_Case_Version,$AH90),INDEX(nQ5_Case_Version,$AH90),INDEX(nQ6_Case_Version,$AH90),INDEX(nQ7_Case_Version,$AH90),INDEX(nQ8_Case_Version,$AH90),INDEX(nQ9_Case_Version,$AH90),INDEX(nQ10_Case_Version,$AH90),INDEX(nQ11_Case_Version,$AH90)))</f>
        <v/>
      </c>
      <c r="AL90" s="1" t="str">
        <f>IF($AF90=0,"",CHOOSE($AF90,INDEX(nINT_Interval_ID,$AH90)&amp;"",INDEX(nQ1_Calc_ID,$AH90)&amp;"",INDEX(nQ2_Calc_ID,$AH90)&amp;"",INDEX(nQ3_Calc_ID,$AH90)&amp;"",INDEX(nQ4_Calc_ID,$AH90)&amp;"",INDEX(nQ5_Calc_ID,$AH90)&amp;"",INDEX(nQ6_Calc_ID,$AH90)&amp;"",INDEX(nQ7_Calc_ID,$AH90)&amp;"",INDEX(nQ8_Calc_ID,$AH90)&amp;"",INDEX(nQ9_Calc_ID,$AH90)&amp;"",INDEX(nQ10_Calc_ID,$AH90)&amp;"",INDEX(nQ11_Calc_ID,$AH90)&amp;""))</f>
        <v/>
      </c>
      <c r="AM90" s="1" t="str">
        <f>IF($AF90=0,"",CHOOSE($AF90,INDEX(nINT_Label,$AH90)&amp;"",INDEX(nQ1_Label_Out,$AH90)&amp;"",INDEX(nQ2_Label_Out,$AH90)&amp;"",INDEX(nQ3_Label_Out,$AH90)&amp;"",INDEX(nQ4_Label_Out,$AH90)&amp;"",INDEX(nQ5_Label_Out,$AH90)&amp;"",INDEX(nQ6_Label_Out,$AH90)&amp;"",INDEX(nQ7_Label_Out,$AH90)&amp;"",INDEX(nQ8_Label_Out,$AH90)&amp;"",INDEX(nQ9_Label_Out,$AH90)&amp;"",INDEX(nQ10_Label_Out,$AH90)&amp;"",INDEX(nQ11_Label_Out,$AH90)&amp;""))</f>
        <v/>
      </c>
      <c r="AN90" s="1" t="str">
        <f>IF($AF90=0,"",CHOOSE($AF90,IF(INDEX(nINT_LinkRow,$AH90)=0,"",INDEX(nINT_Link_ID,$AH90)&amp;""),"","","","","","","","","","",""))</f>
        <v/>
      </c>
      <c r="AO90" s="1" t="str">
        <f>IF($AF90=0,"",CHOOSE($AF90,INDEX(nINT_Exposure_Episode_ID,$AH90)&amp;"","","","","","","","","","","",""))</f>
        <v/>
      </c>
      <c r="AP90" s="1" t="str">
        <f>IF($AF90=0,"",CHOOSE($AF90,INDEX(nINT_Event_Episode_ID,$AH90)&amp;"","","","","","","","","","","",""))</f>
        <v/>
      </c>
      <c r="AQ90" s="1" t="str">
        <f>IF($AF90=0,"",CHOOSE($AF90,INDEX(nINT_End_Record_ID_Used,$AH90)&amp;"","","","","","","","","","","",""))</f>
        <v/>
      </c>
      <c r="AR90" s="1" t="str">
        <f>IF($AF90=0,"",CHOOSE($AF90,INDEX(nINT_Interval_Value,$AH90),"","","","","","","","","","",""))</f>
        <v/>
      </c>
      <c r="AS90" s="1" t="str">
        <f>IF($AF90=0,"",CHOOSE($AF90,INDEX(nINT_Interval_Minimum,$AH90),"","","","","","","","","","",""))</f>
        <v/>
      </c>
      <c r="AT90" s="1" t="str">
        <f>IF($AF90=0,"",CHOOSE($AF90,INDEX(nINT_Interval_Maximum,$AH90),"","","","","","","","","","",""))</f>
        <v/>
      </c>
      <c r="AU90" s="1" t="str">
        <f>IF($AF90=0,"",CHOOSE($AF90,INDEX(nINT_Unit,$AH90)&amp;"",INDEX(nQ1_Unit_Out,$AH90)&amp;"",INDEX(nQ2_Unit_Out,$AH90)&amp;"",INDEX(nQ3_Unit_Out,$AH90)&amp;"",INDEX(nQ4_Unit_Out,$AH90)&amp;"",INDEX(nQ5_Unit_Out,$AH90)&amp;"",INDEX(nQ6_Unit_Out,$AH90)&amp;"",INDEX(nQ7_Unit_Out,$AH90)&amp;"",INDEX(nQ8_Unit_Out,$AH90)&amp;"",INDEX(nQ9_Unit_Out,$AH90)&amp;"",INDEX(nQ10_Unit_Out,$AH90)&amp;"",INDEX(nQ11_Unit_Out,$AH90)&amp;""))</f>
        <v/>
      </c>
      <c r="AV90" s="1" t="str">
        <f>IF($AF90=0,"",CHOOSE($AF90,INDEX(nINT_Displayed_Value,$AH90)&amp;"",INDEX(nQ1_Displayed_Value,$AH90)&amp;"",INDEX(nQ2_Displayed_Value,$AH90)&amp;"",INDEX(nQ3_Displayed_Value,$AH90)&amp;"",INDEX(nQ4_Displayed_Value,$AH90)&amp;"",INDEX(nQ5_Displayed_Value,$AH90)&amp;"",INDEX(nQ6_Displayed_Value,$AH90)&amp;"",INDEX(nQ7_Displayed_Value,$AH90)&amp;"",INDEX(nQ8_Displayed_Value,$AH90)&amp;"",INDEX(nQ9_Displayed_Value,$AH90)&amp;"",INDEX(nQ10_Displayed_Value,$AH90)&amp;"",INDEX(nQ11_Displayed_Value,$AH90)&amp;""))</f>
        <v/>
      </c>
      <c r="AW90" s="1" t="str">
        <f>IF($AF90=0,"",CHOOSE($AF90,INDEX(nINT_Calculation_Mode_Used,$AH90)&amp;"","Q1","Q2","Q3","Q4","Q5","Q6","Q7","Q8","Q9","Q10","Q11"))</f>
        <v/>
      </c>
      <c r="AX90" s="1" t="str">
        <f>IF($AF90=0,"",CHOOSE($AF90,INDEX(nINT_Anchor_Type,$AH90)&amp;"","","","","","","","","","","",""))</f>
        <v/>
      </c>
      <c r="AY90" s="1" t="str">
        <f>IF($AF90=0,"",CHOOSE($AF90,IF(INDEX(nINT_K_Ok,$AH90)=1,INDEX(nINT_Anchor_Record_ID_Used,$AH90)&amp;"",""),"","","","","","","","","","",""))</f>
        <v/>
      </c>
      <c r="AZ90" s="1" t="str">
        <f>IF($AF90=0,"",CHOOSE($AF90,INDEX(nINT_Anchor_Description,$AH90)&amp;"","","","","","","","","","","",""))</f>
        <v/>
      </c>
      <c r="BA90" s="1" t="str">
        <f>IF($AF90=0,"",CHOOSE($AF90,INDEX(nINT_Sequence_Status,$AH90)&amp;"","","","","","","","","","","",""))</f>
        <v/>
      </c>
      <c r="BB90" s="1" t="str">
        <f>IF($AF90=0,"",CHOOSE($AF90,INDEX(nINT_Treatment_Day,$AH90),"","","","","","","","","","",""))</f>
        <v/>
      </c>
      <c r="BC90" s="1" t="str">
        <f>IF($AF90=0,"",CHOOSE($AF90,INDEX(nINT_Reported_Timing_Result,$AH90)&amp;"","","","","","","","","","","",""))</f>
        <v/>
      </c>
      <c r="BD90" s="1" t="str">
        <f>IF($AF90=0,"",CHOOSE($AF90,IF(INDEX(nINT_K_HasC,$AH90)=1,INDEX(nINT_Constraint_Source,$AH90)&amp;"",""),"","","","","","","","","","",""))</f>
        <v/>
      </c>
      <c r="BE90" s="1" t="str">
        <f>IF($AF90=0,"",CHOOSE($AF90,"",INDEX(nQ1_Results_Text,$AH90)&amp;"",INDEX(nQ2_Results_Text,$AH90)&amp;"",INDEX(nQ3_Results_Text,$AH90)&amp;"",INDEX(nQ4_Results_Text,$AH90)&amp;"",INDEX(nQ5_Results_Text,$AH90)&amp;"",INDEX(nQ6_Results_Text,$AH90)&amp;"",INDEX(nQ7_Results_Text,$AH90)&amp;"",INDEX(nQ8_Results_Text,$AH90)&amp;"",INDEX(nQ9_Results_Text,$AH90)&amp;"",INDEX(nQ10_Results_Text,$AH90)&amp;"",INDEX(nQ11_Results_Text,$AH90)&amp;""))</f>
        <v/>
      </c>
      <c r="BF90" s="1" t="str">
        <f>IF($AF90=0,"",CHOOSE($AF90,INDEX(nINT_Parameter_Set,$AH90)&amp;"",INDEX(nQ1_Parameter_Set,$AH90)&amp;"",INDEX(nQ2_Parameter_Set,$AH90)&amp;"",INDEX(nQ3_Parameter_Set,$AH90)&amp;"",INDEX(nQ4_Parameter_Set,$AH90)&amp;"",INDEX(nQ5_Parameter_Set,$AH90)&amp;"",INDEX(nQ6_Parameter_Set,$AH90)&amp;"",INDEX(nQ7_Parameter_Set,$AH90)&amp;"",INDEX(nQ8_Parameter_Set,$AH90)&amp;"",INDEX(nQ9_Parameter_Set,$AH90)&amp;"",INDEX(nQ10_Parameter_Set,$AH90)&amp;"",INDEX(nQ11_Parameter_Set,$AH90)&amp;""))</f>
        <v/>
      </c>
      <c r="BG90" s="1" t="str">
        <f>IF($AF90=0,"",CHOOSE($AF90,INDEX(nINT_Assumptions,$AH90)&amp;"",INDEX(nQ1_Assumptions,$AH90)&amp;"",INDEX(nQ2_Assumptions,$AH90)&amp;"",INDEX(nQ3_Assumptions,$AH90)&amp;"",INDEX(nQ4_Assumptions,$AH90)&amp;"",INDEX(nQ5_Assumptions,$AH90)&amp;"",INDEX(nQ6_Assumptions,$AH90)&amp;"",INDEX(nQ7_Assumptions,$AH90)&amp;"",INDEX(nQ8_Assumptions,$AH90)&amp;"",INDEX(nQ9_Assumptions,$AH90)&amp;"",INDEX(nQ10_Assumptions,$AH90)&amp;"",INDEX(nQ11_Assumptions,$AH90)&amp;""))</f>
        <v/>
      </c>
      <c r="BH90" s="1" t="str">
        <f>IF($AF90=0,"",CHOOSE($AF90,INDEX(nINT_Calculation_Version,$AH90)&amp;"",INDEX(nQ1_Calculation_Version,$AH90)&amp;"",INDEX(nQ2_Calculation_Version,$AH90)&amp;"",INDEX(nQ3_Calculation_Version,$AH90)&amp;"",INDEX(nQ4_Calculation_Version,$AH90)&amp;"",INDEX(nQ5_Calculation_Version,$AH90)&amp;"",INDEX(nQ6_Calculation_Version,$AH90)&amp;"",INDEX(nQ7_Calculation_Version,$AH90)&amp;"",INDEX(nQ8_Calculation_Version,$AH90)&amp;"",INDEX(nQ9_Calculation_Version,$AH90)&amp;"",INDEX(nQ10_Calculation_Version,$AH90)&amp;"",INDEX(nQ11_Calculation_Version,$AH90)&amp;""))</f>
        <v/>
      </c>
      <c r="BI90" s="1" t="str">
        <f>IF($AF90=0,"",CHOOSE($AF90,INDEX(nINT_QC_Flags,$AH90)&amp;"",INDEX(nQ1_QC_Flags,$AH90)&amp;"",INDEX(nQ2_QC_Flags,$AH90)&amp;"",INDEX(nQ3_QC_Flags,$AH90)&amp;"",INDEX(nQ4_QC_Flags,$AH90)&amp;"",INDEX(nQ5_QC_Flags,$AH90)&amp;"",INDEX(nQ6_QC_Flags,$AH90)&amp;"",INDEX(nQ7_QC_Flags,$AH90)&amp;"",INDEX(nQ8_QC_Flags,$AH90)&amp;"",INDEX(nQ9_QC_Flags,$AH90)&amp;"",INDEX(nQ10_QC_Flags,$AH90)&amp;"",INDEX(nQ11_QC_Flags,$AH90)&amp;""))</f>
        <v/>
      </c>
      <c r="BJ90" s="1" t="str">
        <f>IF($AF90=0,"",CHOOSE($AF90,INDEX(nINT_Messages,$AH90)&amp;"",INDEX(nQ1_Messages,$AH90)&amp;"",INDEX(nQ2_Messages,$AH90)&amp;"",INDEX(nQ3_Messages,$AH90)&amp;"",INDEX(nQ4_Messages,$AH90)&amp;"",INDEX(nQ5_Messages,$AH90)&amp;"",INDEX(nQ6_Messages,$AH90)&amp;"",INDEX(nQ7_Messages,$AH90)&amp;"",INDEX(nQ8_Messages,$AH90)&amp;"",INDEX(nQ9_Messages,$AH90)&amp;"",INDEX(nQ10_Messages,$AH90)&amp;"",INDEX(nQ11_Messages,$AH90)&amp;""))</f>
        <v/>
      </c>
      <c r="BK90" s="1" t="str">
        <f>IF($AF90=0,"",CHOOSE($AF90,INDEX(nINT_Limitations,$AH90)&amp;"",INDEX(nQ1_Mandatory_Text,$AH90)&amp;"",INDEX(nQ2_Mandatory_Text,$AH90)&amp;"",INDEX(nQ3_Mandatory_Text,$AH90)&amp;"",INDEX(nQ4_Mandatory_Text,$AH90)&amp;"",INDEX(nQ5_Mandatory_Text,$AH90)&amp;"",INDEX(nQ6_Mandatory_Text,$AH90)&amp;"",INDEX(nQ7_Mandatory_Text,$AH90)&amp;"",INDEX(nQ8_Mandatory_Text,$AH90)&amp;"",INDEX(nQ9_Mandatory_Text,$AH90)&amp;"",INDEX(nQ10_Mandatory_Text,$AH90)&amp;"",INDEX(nQ11_Mandatory_Text,$AH90)&amp;""))</f>
        <v/>
      </c>
      <c r="BL90" s="1" t="str">
        <f t="shared" si="68"/>
        <v/>
      </c>
      <c r="BM90" s="1" t="str">
        <f t="shared" si="69"/>
        <v/>
      </c>
    </row>
    <row r="91" spans="1:65" x14ac:dyDescent="0.2">
      <c r="A91" s="21" t="str">
        <f t="shared" si="35"/>
        <v/>
      </c>
      <c r="B91" s="21" t="str">
        <f t="shared" si="36"/>
        <v/>
      </c>
      <c r="C91" s="21" t="str">
        <f t="shared" si="37"/>
        <v/>
      </c>
      <c r="D91" s="21" t="str">
        <f t="shared" si="38"/>
        <v/>
      </c>
      <c r="E91" s="21" t="str">
        <f t="shared" si="39"/>
        <v/>
      </c>
      <c r="F91" s="21" t="str">
        <f t="shared" si="40"/>
        <v/>
      </c>
      <c r="G91" s="21" t="str">
        <f t="shared" si="41"/>
        <v/>
      </c>
      <c r="H91" s="21" t="str">
        <f t="shared" si="42"/>
        <v/>
      </c>
      <c r="I91" s="21" t="str">
        <f t="shared" si="43"/>
        <v/>
      </c>
      <c r="J91" s="21" t="str">
        <f t="shared" si="44"/>
        <v/>
      </c>
      <c r="K91" s="21" t="str">
        <f t="shared" si="45"/>
        <v/>
      </c>
      <c r="L91" s="21" t="str">
        <f t="shared" si="46"/>
        <v/>
      </c>
      <c r="M91" s="21" t="str">
        <f t="shared" si="47"/>
        <v/>
      </c>
      <c r="N91" s="21" t="str">
        <f t="shared" si="48"/>
        <v/>
      </c>
      <c r="O91" s="21" t="str">
        <f t="shared" si="49"/>
        <v/>
      </c>
      <c r="P91" s="21" t="str">
        <f t="shared" si="50"/>
        <v/>
      </c>
      <c r="Q91" s="21" t="str">
        <f t="shared" si="51"/>
        <v/>
      </c>
      <c r="R91" s="21" t="str">
        <f t="shared" si="52"/>
        <v/>
      </c>
      <c r="S91" s="21" t="str">
        <f t="shared" si="53"/>
        <v/>
      </c>
      <c r="T91" s="21" t="str">
        <f t="shared" si="54"/>
        <v/>
      </c>
      <c r="U91" s="21" t="str">
        <f t="shared" si="55"/>
        <v/>
      </c>
      <c r="V91" s="21" t="str">
        <f t="shared" si="56"/>
        <v/>
      </c>
      <c r="W91" s="21" t="str">
        <f t="shared" si="57"/>
        <v/>
      </c>
      <c r="X91" s="21" t="str">
        <f t="shared" si="58"/>
        <v/>
      </c>
      <c r="Y91" s="21" t="str">
        <f t="shared" si="59"/>
        <v/>
      </c>
      <c r="Z91" s="21" t="str">
        <f t="shared" si="60"/>
        <v/>
      </c>
      <c r="AA91" s="21" t="str">
        <f t="shared" si="61"/>
        <v/>
      </c>
      <c r="AB91" s="21" t="str">
        <f t="shared" si="62"/>
        <v/>
      </c>
      <c r="AC91" s="21" t="str">
        <f t="shared" si="63"/>
        <v/>
      </c>
      <c r="AD91" s="21" t="str">
        <f t="shared" si="64"/>
        <v/>
      </c>
      <c r="AE91" s="1">
        <f t="shared" si="65"/>
        <v>84</v>
      </c>
      <c r="AF91" s="1">
        <f t="shared" si="66"/>
        <v>0</v>
      </c>
      <c r="AG91" s="1">
        <f t="shared" si="67"/>
        <v>0</v>
      </c>
      <c r="AH91" s="1">
        <f>IF(AF91=0,0,CHOOSE(AF91,IFERROR(_xlfn.AGGREGATE(15,6,(ROW(nINT_CaseKey)-ROW(INDEX(nINT_CaseKey,1,1))+1)/((nINT_CaseKey=$H$4)*(nINT_RowEmpty=0)),AG91),0),IFERROR(_xlfn.AGGREGATE(15,6,(ROW(nQ1_CaseKey)-ROW(INDEX(nQ1_CaseKey,1,1))+1)/((nQ1_CaseKey=$H$4)),AG91),0),IFERROR(_xlfn.AGGREGATE(15,6,(ROW(nQ2_CaseKey)-ROW(INDEX(nQ2_CaseKey,1,1))+1)/((nQ2_CaseKey=$H$4)),AG91),0),IFERROR(_xlfn.AGGREGATE(15,6,(ROW(nQ3_CaseKey)-ROW(INDEX(nQ3_CaseKey,1,1))+1)/((nQ3_CaseKey=$H$4)),AG91),0),IFERROR(_xlfn.AGGREGATE(15,6,(ROW(nQ4_CaseKey)-ROW(INDEX(nQ4_CaseKey,1,1))+1)/((nQ4_CaseKey=$H$4)),AG91),0),IFERROR(_xlfn.AGGREGATE(15,6,(ROW(nQ5_CaseKey)-ROW(INDEX(nQ5_CaseKey,1,1))+1)/((nQ5_CaseKey=$H$4)),AG91),0),IFERROR(_xlfn.AGGREGATE(15,6,(ROW(nQ6_CaseKey)-ROW(INDEX(nQ6_CaseKey,1,1))+1)/((nQ6_CaseKey=$H$4)),AG91),0),IFERROR(_xlfn.AGGREGATE(15,6,(ROW(nQ7_CaseKey)-ROW(INDEX(nQ7_CaseKey,1,1))+1)/((nQ7_CaseKey=$H$4)),AG91),0),IFERROR(_xlfn.AGGREGATE(15,6,(ROW(nQ8_CaseKey)-ROW(INDEX(nQ8_CaseKey,1,1))+1)/((nQ8_CaseKey=$H$4)),AG91),0),IFERROR(_xlfn.AGGREGATE(15,6,(ROW(nQ9_CaseKey)-ROW(INDEX(nQ9_CaseKey,1,1))+1)/((nQ9_CaseKey=$H$4)),AG91),0),IFERROR(_xlfn.AGGREGATE(15,6,(ROW(nQ10_CaseKey)-ROW(INDEX(nQ10_CaseKey,1,1))+1)/((nQ10_CaseKey=$H$4)),AG91),0),IFERROR(_xlfn.AGGREGATE(15,6,(ROW(nQ11_CaseKey)-ROW(INDEX(nQ11_CaseKey,1,1))+1)/((nQ11_CaseKey=$H$4)),AG91),0)))</f>
        <v>0</v>
      </c>
      <c r="AJ91" s="1" t="str">
        <f>IF($AF91=0,"",CHOOSE($AF91,INDEX(nINT_Case_ID,$AH91)&amp;"",INDEX(nQ1_Case_ID,$AH91)&amp;"",INDEX(nQ2_Case_ID,$AH91)&amp;"",INDEX(nQ3_Case_ID,$AH91)&amp;"",INDEX(nQ4_Case_ID,$AH91)&amp;"",INDEX(nQ5_Case_ID,$AH91)&amp;"",INDEX(nQ6_Case_ID,$AH91)&amp;"",INDEX(nQ7_Case_ID,$AH91)&amp;"",INDEX(nQ8_Case_ID,$AH91)&amp;"",INDEX(nQ9_Case_ID,$AH91)&amp;"",INDEX(nQ10_Case_ID,$AH91)&amp;"",INDEX(nQ11_Case_ID,$AH91)&amp;""))</f>
        <v/>
      </c>
      <c r="AK91" s="1" t="str">
        <f>IF($AF91=0,"",CHOOSE($AF91,INDEX(nINT_Case_Version,$AH91),INDEX(nQ1_Case_Version,$AH91),INDEX(nQ2_Case_Version,$AH91),INDEX(nQ3_Case_Version,$AH91),INDEX(nQ4_Case_Version,$AH91),INDEX(nQ5_Case_Version,$AH91),INDEX(nQ6_Case_Version,$AH91),INDEX(nQ7_Case_Version,$AH91),INDEX(nQ8_Case_Version,$AH91),INDEX(nQ9_Case_Version,$AH91),INDEX(nQ10_Case_Version,$AH91),INDEX(nQ11_Case_Version,$AH91)))</f>
        <v/>
      </c>
      <c r="AL91" s="1" t="str">
        <f>IF($AF91=0,"",CHOOSE($AF91,INDEX(nINT_Interval_ID,$AH91)&amp;"",INDEX(nQ1_Calc_ID,$AH91)&amp;"",INDEX(nQ2_Calc_ID,$AH91)&amp;"",INDEX(nQ3_Calc_ID,$AH91)&amp;"",INDEX(nQ4_Calc_ID,$AH91)&amp;"",INDEX(nQ5_Calc_ID,$AH91)&amp;"",INDEX(nQ6_Calc_ID,$AH91)&amp;"",INDEX(nQ7_Calc_ID,$AH91)&amp;"",INDEX(nQ8_Calc_ID,$AH91)&amp;"",INDEX(nQ9_Calc_ID,$AH91)&amp;"",INDEX(nQ10_Calc_ID,$AH91)&amp;"",INDEX(nQ11_Calc_ID,$AH91)&amp;""))</f>
        <v/>
      </c>
      <c r="AM91" s="1" t="str">
        <f>IF($AF91=0,"",CHOOSE($AF91,INDEX(nINT_Label,$AH91)&amp;"",INDEX(nQ1_Label_Out,$AH91)&amp;"",INDEX(nQ2_Label_Out,$AH91)&amp;"",INDEX(nQ3_Label_Out,$AH91)&amp;"",INDEX(nQ4_Label_Out,$AH91)&amp;"",INDEX(nQ5_Label_Out,$AH91)&amp;"",INDEX(nQ6_Label_Out,$AH91)&amp;"",INDEX(nQ7_Label_Out,$AH91)&amp;"",INDEX(nQ8_Label_Out,$AH91)&amp;"",INDEX(nQ9_Label_Out,$AH91)&amp;"",INDEX(nQ10_Label_Out,$AH91)&amp;"",INDEX(nQ11_Label_Out,$AH91)&amp;""))</f>
        <v/>
      </c>
      <c r="AN91" s="1" t="str">
        <f>IF($AF91=0,"",CHOOSE($AF91,IF(INDEX(nINT_LinkRow,$AH91)=0,"",INDEX(nINT_Link_ID,$AH91)&amp;""),"","","","","","","","","","",""))</f>
        <v/>
      </c>
      <c r="AO91" s="1" t="str">
        <f>IF($AF91=0,"",CHOOSE($AF91,INDEX(nINT_Exposure_Episode_ID,$AH91)&amp;"","","","","","","","","","","",""))</f>
        <v/>
      </c>
      <c r="AP91" s="1" t="str">
        <f>IF($AF91=0,"",CHOOSE($AF91,INDEX(nINT_Event_Episode_ID,$AH91)&amp;"","","","","","","","","","","",""))</f>
        <v/>
      </c>
      <c r="AQ91" s="1" t="str">
        <f>IF($AF91=0,"",CHOOSE($AF91,INDEX(nINT_End_Record_ID_Used,$AH91)&amp;"","","","","","","","","","","",""))</f>
        <v/>
      </c>
      <c r="AR91" s="1" t="str">
        <f>IF($AF91=0,"",CHOOSE($AF91,INDEX(nINT_Interval_Value,$AH91),"","","","","","","","","","",""))</f>
        <v/>
      </c>
      <c r="AS91" s="1" t="str">
        <f>IF($AF91=0,"",CHOOSE($AF91,INDEX(nINT_Interval_Minimum,$AH91),"","","","","","","","","","",""))</f>
        <v/>
      </c>
      <c r="AT91" s="1" t="str">
        <f>IF($AF91=0,"",CHOOSE($AF91,INDEX(nINT_Interval_Maximum,$AH91),"","","","","","","","","","",""))</f>
        <v/>
      </c>
      <c r="AU91" s="1" t="str">
        <f>IF($AF91=0,"",CHOOSE($AF91,INDEX(nINT_Unit,$AH91)&amp;"",INDEX(nQ1_Unit_Out,$AH91)&amp;"",INDEX(nQ2_Unit_Out,$AH91)&amp;"",INDEX(nQ3_Unit_Out,$AH91)&amp;"",INDEX(nQ4_Unit_Out,$AH91)&amp;"",INDEX(nQ5_Unit_Out,$AH91)&amp;"",INDEX(nQ6_Unit_Out,$AH91)&amp;"",INDEX(nQ7_Unit_Out,$AH91)&amp;"",INDEX(nQ8_Unit_Out,$AH91)&amp;"",INDEX(nQ9_Unit_Out,$AH91)&amp;"",INDEX(nQ10_Unit_Out,$AH91)&amp;"",INDEX(nQ11_Unit_Out,$AH91)&amp;""))</f>
        <v/>
      </c>
      <c r="AV91" s="1" t="str">
        <f>IF($AF91=0,"",CHOOSE($AF91,INDEX(nINT_Displayed_Value,$AH91)&amp;"",INDEX(nQ1_Displayed_Value,$AH91)&amp;"",INDEX(nQ2_Displayed_Value,$AH91)&amp;"",INDEX(nQ3_Displayed_Value,$AH91)&amp;"",INDEX(nQ4_Displayed_Value,$AH91)&amp;"",INDEX(nQ5_Displayed_Value,$AH91)&amp;"",INDEX(nQ6_Displayed_Value,$AH91)&amp;"",INDEX(nQ7_Displayed_Value,$AH91)&amp;"",INDEX(nQ8_Displayed_Value,$AH91)&amp;"",INDEX(nQ9_Displayed_Value,$AH91)&amp;"",INDEX(nQ10_Displayed_Value,$AH91)&amp;"",INDEX(nQ11_Displayed_Value,$AH91)&amp;""))</f>
        <v/>
      </c>
      <c r="AW91" s="1" t="str">
        <f>IF($AF91=0,"",CHOOSE($AF91,INDEX(nINT_Calculation_Mode_Used,$AH91)&amp;"","Q1","Q2","Q3","Q4","Q5","Q6","Q7","Q8","Q9","Q10","Q11"))</f>
        <v/>
      </c>
      <c r="AX91" s="1" t="str">
        <f>IF($AF91=0,"",CHOOSE($AF91,INDEX(nINT_Anchor_Type,$AH91)&amp;"","","","","","","","","","","",""))</f>
        <v/>
      </c>
      <c r="AY91" s="1" t="str">
        <f>IF($AF91=0,"",CHOOSE($AF91,IF(INDEX(nINT_K_Ok,$AH91)=1,INDEX(nINT_Anchor_Record_ID_Used,$AH91)&amp;"",""),"","","","","","","","","","",""))</f>
        <v/>
      </c>
      <c r="AZ91" s="1" t="str">
        <f>IF($AF91=0,"",CHOOSE($AF91,INDEX(nINT_Anchor_Description,$AH91)&amp;"","","","","","","","","","","",""))</f>
        <v/>
      </c>
      <c r="BA91" s="1" t="str">
        <f>IF($AF91=0,"",CHOOSE($AF91,INDEX(nINT_Sequence_Status,$AH91)&amp;"","","","","","","","","","","",""))</f>
        <v/>
      </c>
      <c r="BB91" s="1" t="str">
        <f>IF($AF91=0,"",CHOOSE($AF91,INDEX(nINT_Treatment_Day,$AH91),"","","","","","","","","","",""))</f>
        <v/>
      </c>
      <c r="BC91" s="1" t="str">
        <f>IF($AF91=0,"",CHOOSE($AF91,INDEX(nINT_Reported_Timing_Result,$AH91)&amp;"","","","","","","","","","","",""))</f>
        <v/>
      </c>
      <c r="BD91" s="1" t="str">
        <f>IF($AF91=0,"",CHOOSE($AF91,IF(INDEX(nINT_K_HasC,$AH91)=1,INDEX(nINT_Constraint_Source,$AH91)&amp;"",""),"","","","","","","","","","",""))</f>
        <v/>
      </c>
      <c r="BE91" s="1" t="str">
        <f>IF($AF91=0,"",CHOOSE($AF91,"",INDEX(nQ1_Results_Text,$AH91)&amp;"",INDEX(nQ2_Results_Text,$AH91)&amp;"",INDEX(nQ3_Results_Text,$AH91)&amp;"",INDEX(nQ4_Results_Text,$AH91)&amp;"",INDEX(nQ5_Results_Text,$AH91)&amp;"",INDEX(nQ6_Results_Text,$AH91)&amp;"",INDEX(nQ7_Results_Text,$AH91)&amp;"",INDEX(nQ8_Results_Text,$AH91)&amp;"",INDEX(nQ9_Results_Text,$AH91)&amp;"",INDEX(nQ10_Results_Text,$AH91)&amp;"",INDEX(nQ11_Results_Text,$AH91)&amp;""))</f>
        <v/>
      </c>
      <c r="BF91" s="1" t="str">
        <f>IF($AF91=0,"",CHOOSE($AF91,INDEX(nINT_Parameter_Set,$AH91)&amp;"",INDEX(nQ1_Parameter_Set,$AH91)&amp;"",INDEX(nQ2_Parameter_Set,$AH91)&amp;"",INDEX(nQ3_Parameter_Set,$AH91)&amp;"",INDEX(nQ4_Parameter_Set,$AH91)&amp;"",INDEX(nQ5_Parameter_Set,$AH91)&amp;"",INDEX(nQ6_Parameter_Set,$AH91)&amp;"",INDEX(nQ7_Parameter_Set,$AH91)&amp;"",INDEX(nQ8_Parameter_Set,$AH91)&amp;"",INDEX(nQ9_Parameter_Set,$AH91)&amp;"",INDEX(nQ10_Parameter_Set,$AH91)&amp;"",INDEX(nQ11_Parameter_Set,$AH91)&amp;""))</f>
        <v/>
      </c>
      <c r="BG91" s="1" t="str">
        <f>IF($AF91=0,"",CHOOSE($AF91,INDEX(nINT_Assumptions,$AH91)&amp;"",INDEX(nQ1_Assumptions,$AH91)&amp;"",INDEX(nQ2_Assumptions,$AH91)&amp;"",INDEX(nQ3_Assumptions,$AH91)&amp;"",INDEX(nQ4_Assumptions,$AH91)&amp;"",INDEX(nQ5_Assumptions,$AH91)&amp;"",INDEX(nQ6_Assumptions,$AH91)&amp;"",INDEX(nQ7_Assumptions,$AH91)&amp;"",INDEX(nQ8_Assumptions,$AH91)&amp;"",INDEX(nQ9_Assumptions,$AH91)&amp;"",INDEX(nQ10_Assumptions,$AH91)&amp;"",INDEX(nQ11_Assumptions,$AH91)&amp;""))</f>
        <v/>
      </c>
      <c r="BH91" s="1" t="str">
        <f>IF($AF91=0,"",CHOOSE($AF91,INDEX(nINT_Calculation_Version,$AH91)&amp;"",INDEX(nQ1_Calculation_Version,$AH91)&amp;"",INDEX(nQ2_Calculation_Version,$AH91)&amp;"",INDEX(nQ3_Calculation_Version,$AH91)&amp;"",INDEX(nQ4_Calculation_Version,$AH91)&amp;"",INDEX(nQ5_Calculation_Version,$AH91)&amp;"",INDEX(nQ6_Calculation_Version,$AH91)&amp;"",INDEX(nQ7_Calculation_Version,$AH91)&amp;"",INDEX(nQ8_Calculation_Version,$AH91)&amp;"",INDEX(nQ9_Calculation_Version,$AH91)&amp;"",INDEX(nQ10_Calculation_Version,$AH91)&amp;"",INDEX(nQ11_Calculation_Version,$AH91)&amp;""))</f>
        <v/>
      </c>
      <c r="BI91" s="1" t="str">
        <f>IF($AF91=0,"",CHOOSE($AF91,INDEX(nINT_QC_Flags,$AH91)&amp;"",INDEX(nQ1_QC_Flags,$AH91)&amp;"",INDEX(nQ2_QC_Flags,$AH91)&amp;"",INDEX(nQ3_QC_Flags,$AH91)&amp;"",INDEX(nQ4_QC_Flags,$AH91)&amp;"",INDEX(nQ5_QC_Flags,$AH91)&amp;"",INDEX(nQ6_QC_Flags,$AH91)&amp;"",INDEX(nQ7_QC_Flags,$AH91)&amp;"",INDEX(nQ8_QC_Flags,$AH91)&amp;"",INDEX(nQ9_QC_Flags,$AH91)&amp;"",INDEX(nQ10_QC_Flags,$AH91)&amp;"",INDEX(nQ11_QC_Flags,$AH91)&amp;""))</f>
        <v/>
      </c>
      <c r="BJ91" s="1" t="str">
        <f>IF($AF91=0,"",CHOOSE($AF91,INDEX(nINT_Messages,$AH91)&amp;"",INDEX(nQ1_Messages,$AH91)&amp;"",INDEX(nQ2_Messages,$AH91)&amp;"",INDEX(nQ3_Messages,$AH91)&amp;"",INDEX(nQ4_Messages,$AH91)&amp;"",INDEX(nQ5_Messages,$AH91)&amp;"",INDEX(nQ6_Messages,$AH91)&amp;"",INDEX(nQ7_Messages,$AH91)&amp;"",INDEX(nQ8_Messages,$AH91)&amp;"",INDEX(nQ9_Messages,$AH91)&amp;"",INDEX(nQ10_Messages,$AH91)&amp;"",INDEX(nQ11_Messages,$AH91)&amp;""))</f>
        <v/>
      </c>
      <c r="BK91" s="1" t="str">
        <f>IF($AF91=0,"",CHOOSE($AF91,INDEX(nINT_Limitations,$AH91)&amp;"",INDEX(nQ1_Mandatory_Text,$AH91)&amp;"",INDEX(nQ2_Mandatory_Text,$AH91)&amp;"",INDEX(nQ3_Mandatory_Text,$AH91)&amp;"",INDEX(nQ4_Mandatory_Text,$AH91)&amp;"",INDEX(nQ5_Mandatory_Text,$AH91)&amp;"",INDEX(nQ6_Mandatory_Text,$AH91)&amp;"",INDEX(nQ7_Mandatory_Text,$AH91)&amp;"",INDEX(nQ8_Mandatory_Text,$AH91)&amp;"",INDEX(nQ9_Mandatory_Text,$AH91)&amp;"",INDEX(nQ10_Mandatory_Text,$AH91)&amp;"",INDEX(nQ11_Mandatory_Text,$AH91)&amp;""))</f>
        <v/>
      </c>
      <c r="BL91" s="1" t="str">
        <f t="shared" si="68"/>
        <v/>
      </c>
      <c r="BM91" s="1" t="str">
        <f t="shared" si="69"/>
        <v/>
      </c>
    </row>
    <row r="92" spans="1:65" x14ac:dyDescent="0.2">
      <c r="A92" s="21" t="str">
        <f t="shared" si="35"/>
        <v/>
      </c>
      <c r="B92" s="21" t="str">
        <f t="shared" si="36"/>
        <v/>
      </c>
      <c r="C92" s="21" t="str">
        <f t="shared" si="37"/>
        <v/>
      </c>
      <c r="D92" s="21" t="str">
        <f t="shared" si="38"/>
        <v/>
      </c>
      <c r="E92" s="21" t="str">
        <f t="shared" si="39"/>
        <v/>
      </c>
      <c r="F92" s="21" t="str">
        <f t="shared" si="40"/>
        <v/>
      </c>
      <c r="G92" s="21" t="str">
        <f t="shared" si="41"/>
        <v/>
      </c>
      <c r="H92" s="21" t="str">
        <f t="shared" si="42"/>
        <v/>
      </c>
      <c r="I92" s="21" t="str">
        <f t="shared" si="43"/>
        <v/>
      </c>
      <c r="J92" s="21" t="str">
        <f t="shared" si="44"/>
        <v/>
      </c>
      <c r="K92" s="21" t="str">
        <f t="shared" si="45"/>
        <v/>
      </c>
      <c r="L92" s="21" t="str">
        <f t="shared" si="46"/>
        <v/>
      </c>
      <c r="M92" s="21" t="str">
        <f t="shared" si="47"/>
        <v/>
      </c>
      <c r="N92" s="21" t="str">
        <f t="shared" si="48"/>
        <v/>
      </c>
      <c r="O92" s="21" t="str">
        <f t="shared" si="49"/>
        <v/>
      </c>
      <c r="P92" s="21" t="str">
        <f t="shared" si="50"/>
        <v/>
      </c>
      <c r="Q92" s="21" t="str">
        <f t="shared" si="51"/>
        <v/>
      </c>
      <c r="R92" s="21" t="str">
        <f t="shared" si="52"/>
        <v/>
      </c>
      <c r="S92" s="21" t="str">
        <f t="shared" si="53"/>
        <v/>
      </c>
      <c r="T92" s="21" t="str">
        <f t="shared" si="54"/>
        <v/>
      </c>
      <c r="U92" s="21" t="str">
        <f t="shared" si="55"/>
        <v/>
      </c>
      <c r="V92" s="21" t="str">
        <f t="shared" si="56"/>
        <v/>
      </c>
      <c r="W92" s="21" t="str">
        <f t="shared" si="57"/>
        <v/>
      </c>
      <c r="X92" s="21" t="str">
        <f t="shared" si="58"/>
        <v/>
      </c>
      <c r="Y92" s="21" t="str">
        <f t="shared" si="59"/>
        <v/>
      </c>
      <c r="Z92" s="21" t="str">
        <f t="shared" si="60"/>
        <v/>
      </c>
      <c r="AA92" s="21" t="str">
        <f t="shared" si="61"/>
        <v/>
      </c>
      <c r="AB92" s="21" t="str">
        <f t="shared" si="62"/>
        <v/>
      </c>
      <c r="AC92" s="21" t="str">
        <f t="shared" si="63"/>
        <v/>
      </c>
      <c r="AD92" s="21" t="str">
        <f t="shared" si="64"/>
        <v/>
      </c>
      <c r="AE92" s="1">
        <f t="shared" si="65"/>
        <v>85</v>
      </c>
      <c r="AF92" s="1">
        <f t="shared" si="66"/>
        <v>0</v>
      </c>
      <c r="AG92" s="1">
        <f t="shared" si="67"/>
        <v>0</v>
      </c>
      <c r="AH92" s="1">
        <f>IF(AF92=0,0,CHOOSE(AF92,IFERROR(_xlfn.AGGREGATE(15,6,(ROW(nINT_CaseKey)-ROW(INDEX(nINT_CaseKey,1,1))+1)/((nINT_CaseKey=$H$4)*(nINT_RowEmpty=0)),AG92),0),IFERROR(_xlfn.AGGREGATE(15,6,(ROW(nQ1_CaseKey)-ROW(INDEX(nQ1_CaseKey,1,1))+1)/((nQ1_CaseKey=$H$4)),AG92),0),IFERROR(_xlfn.AGGREGATE(15,6,(ROW(nQ2_CaseKey)-ROW(INDEX(nQ2_CaseKey,1,1))+1)/((nQ2_CaseKey=$H$4)),AG92),0),IFERROR(_xlfn.AGGREGATE(15,6,(ROW(nQ3_CaseKey)-ROW(INDEX(nQ3_CaseKey,1,1))+1)/((nQ3_CaseKey=$H$4)),AG92),0),IFERROR(_xlfn.AGGREGATE(15,6,(ROW(nQ4_CaseKey)-ROW(INDEX(nQ4_CaseKey,1,1))+1)/((nQ4_CaseKey=$H$4)),AG92),0),IFERROR(_xlfn.AGGREGATE(15,6,(ROW(nQ5_CaseKey)-ROW(INDEX(nQ5_CaseKey,1,1))+1)/((nQ5_CaseKey=$H$4)),AG92),0),IFERROR(_xlfn.AGGREGATE(15,6,(ROW(nQ6_CaseKey)-ROW(INDEX(nQ6_CaseKey,1,1))+1)/((nQ6_CaseKey=$H$4)),AG92),0),IFERROR(_xlfn.AGGREGATE(15,6,(ROW(nQ7_CaseKey)-ROW(INDEX(nQ7_CaseKey,1,1))+1)/((nQ7_CaseKey=$H$4)),AG92),0),IFERROR(_xlfn.AGGREGATE(15,6,(ROW(nQ8_CaseKey)-ROW(INDEX(nQ8_CaseKey,1,1))+1)/((nQ8_CaseKey=$H$4)),AG92),0),IFERROR(_xlfn.AGGREGATE(15,6,(ROW(nQ9_CaseKey)-ROW(INDEX(nQ9_CaseKey,1,1))+1)/((nQ9_CaseKey=$H$4)),AG92),0),IFERROR(_xlfn.AGGREGATE(15,6,(ROW(nQ10_CaseKey)-ROW(INDEX(nQ10_CaseKey,1,1))+1)/((nQ10_CaseKey=$H$4)),AG92),0),IFERROR(_xlfn.AGGREGATE(15,6,(ROW(nQ11_CaseKey)-ROW(INDEX(nQ11_CaseKey,1,1))+1)/((nQ11_CaseKey=$H$4)),AG92),0)))</f>
        <v>0</v>
      </c>
      <c r="AJ92" s="1" t="str">
        <f>IF($AF92=0,"",CHOOSE($AF92,INDEX(nINT_Case_ID,$AH92)&amp;"",INDEX(nQ1_Case_ID,$AH92)&amp;"",INDEX(nQ2_Case_ID,$AH92)&amp;"",INDEX(nQ3_Case_ID,$AH92)&amp;"",INDEX(nQ4_Case_ID,$AH92)&amp;"",INDEX(nQ5_Case_ID,$AH92)&amp;"",INDEX(nQ6_Case_ID,$AH92)&amp;"",INDEX(nQ7_Case_ID,$AH92)&amp;"",INDEX(nQ8_Case_ID,$AH92)&amp;"",INDEX(nQ9_Case_ID,$AH92)&amp;"",INDEX(nQ10_Case_ID,$AH92)&amp;"",INDEX(nQ11_Case_ID,$AH92)&amp;""))</f>
        <v/>
      </c>
      <c r="AK92" s="1" t="str">
        <f>IF($AF92=0,"",CHOOSE($AF92,INDEX(nINT_Case_Version,$AH92),INDEX(nQ1_Case_Version,$AH92),INDEX(nQ2_Case_Version,$AH92),INDEX(nQ3_Case_Version,$AH92),INDEX(nQ4_Case_Version,$AH92),INDEX(nQ5_Case_Version,$AH92),INDEX(nQ6_Case_Version,$AH92),INDEX(nQ7_Case_Version,$AH92),INDEX(nQ8_Case_Version,$AH92),INDEX(nQ9_Case_Version,$AH92),INDEX(nQ10_Case_Version,$AH92),INDEX(nQ11_Case_Version,$AH92)))</f>
        <v/>
      </c>
      <c r="AL92" s="1" t="str">
        <f>IF($AF92=0,"",CHOOSE($AF92,INDEX(nINT_Interval_ID,$AH92)&amp;"",INDEX(nQ1_Calc_ID,$AH92)&amp;"",INDEX(nQ2_Calc_ID,$AH92)&amp;"",INDEX(nQ3_Calc_ID,$AH92)&amp;"",INDEX(nQ4_Calc_ID,$AH92)&amp;"",INDEX(nQ5_Calc_ID,$AH92)&amp;"",INDEX(nQ6_Calc_ID,$AH92)&amp;"",INDEX(nQ7_Calc_ID,$AH92)&amp;"",INDEX(nQ8_Calc_ID,$AH92)&amp;"",INDEX(nQ9_Calc_ID,$AH92)&amp;"",INDEX(nQ10_Calc_ID,$AH92)&amp;"",INDEX(nQ11_Calc_ID,$AH92)&amp;""))</f>
        <v/>
      </c>
      <c r="AM92" s="1" t="str">
        <f>IF($AF92=0,"",CHOOSE($AF92,INDEX(nINT_Label,$AH92)&amp;"",INDEX(nQ1_Label_Out,$AH92)&amp;"",INDEX(nQ2_Label_Out,$AH92)&amp;"",INDEX(nQ3_Label_Out,$AH92)&amp;"",INDEX(nQ4_Label_Out,$AH92)&amp;"",INDEX(nQ5_Label_Out,$AH92)&amp;"",INDEX(nQ6_Label_Out,$AH92)&amp;"",INDEX(nQ7_Label_Out,$AH92)&amp;"",INDEX(nQ8_Label_Out,$AH92)&amp;"",INDEX(nQ9_Label_Out,$AH92)&amp;"",INDEX(nQ10_Label_Out,$AH92)&amp;"",INDEX(nQ11_Label_Out,$AH92)&amp;""))</f>
        <v/>
      </c>
      <c r="AN92" s="1" t="str">
        <f>IF($AF92=0,"",CHOOSE($AF92,IF(INDEX(nINT_LinkRow,$AH92)=0,"",INDEX(nINT_Link_ID,$AH92)&amp;""),"","","","","","","","","","",""))</f>
        <v/>
      </c>
      <c r="AO92" s="1" t="str">
        <f>IF($AF92=0,"",CHOOSE($AF92,INDEX(nINT_Exposure_Episode_ID,$AH92)&amp;"","","","","","","","","","","",""))</f>
        <v/>
      </c>
      <c r="AP92" s="1" t="str">
        <f>IF($AF92=0,"",CHOOSE($AF92,INDEX(nINT_Event_Episode_ID,$AH92)&amp;"","","","","","","","","","","",""))</f>
        <v/>
      </c>
      <c r="AQ92" s="1" t="str">
        <f>IF($AF92=0,"",CHOOSE($AF92,INDEX(nINT_End_Record_ID_Used,$AH92)&amp;"","","","","","","","","","","",""))</f>
        <v/>
      </c>
      <c r="AR92" s="1" t="str">
        <f>IF($AF92=0,"",CHOOSE($AF92,INDEX(nINT_Interval_Value,$AH92),"","","","","","","","","","",""))</f>
        <v/>
      </c>
      <c r="AS92" s="1" t="str">
        <f>IF($AF92=0,"",CHOOSE($AF92,INDEX(nINT_Interval_Minimum,$AH92),"","","","","","","","","","",""))</f>
        <v/>
      </c>
      <c r="AT92" s="1" t="str">
        <f>IF($AF92=0,"",CHOOSE($AF92,INDEX(nINT_Interval_Maximum,$AH92),"","","","","","","","","","",""))</f>
        <v/>
      </c>
      <c r="AU92" s="1" t="str">
        <f>IF($AF92=0,"",CHOOSE($AF92,INDEX(nINT_Unit,$AH92)&amp;"",INDEX(nQ1_Unit_Out,$AH92)&amp;"",INDEX(nQ2_Unit_Out,$AH92)&amp;"",INDEX(nQ3_Unit_Out,$AH92)&amp;"",INDEX(nQ4_Unit_Out,$AH92)&amp;"",INDEX(nQ5_Unit_Out,$AH92)&amp;"",INDEX(nQ6_Unit_Out,$AH92)&amp;"",INDEX(nQ7_Unit_Out,$AH92)&amp;"",INDEX(nQ8_Unit_Out,$AH92)&amp;"",INDEX(nQ9_Unit_Out,$AH92)&amp;"",INDEX(nQ10_Unit_Out,$AH92)&amp;"",INDEX(nQ11_Unit_Out,$AH92)&amp;""))</f>
        <v/>
      </c>
      <c r="AV92" s="1" t="str">
        <f>IF($AF92=0,"",CHOOSE($AF92,INDEX(nINT_Displayed_Value,$AH92)&amp;"",INDEX(nQ1_Displayed_Value,$AH92)&amp;"",INDEX(nQ2_Displayed_Value,$AH92)&amp;"",INDEX(nQ3_Displayed_Value,$AH92)&amp;"",INDEX(nQ4_Displayed_Value,$AH92)&amp;"",INDEX(nQ5_Displayed_Value,$AH92)&amp;"",INDEX(nQ6_Displayed_Value,$AH92)&amp;"",INDEX(nQ7_Displayed_Value,$AH92)&amp;"",INDEX(nQ8_Displayed_Value,$AH92)&amp;"",INDEX(nQ9_Displayed_Value,$AH92)&amp;"",INDEX(nQ10_Displayed_Value,$AH92)&amp;"",INDEX(nQ11_Displayed_Value,$AH92)&amp;""))</f>
        <v/>
      </c>
      <c r="AW92" s="1" t="str">
        <f>IF($AF92=0,"",CHOOSE($AF92,INDEX(nINT_Calculation_Mode_Used,$AH92)&amp;"","Q1","Q2","Q3","Q4","Q5","Q6","Q7","Q8","Q9","Q10","Q11"))</f>
        <v/>
      </c>
      <c r="AX92" s="1" t="str">
        <f>IF($AF92=0,"",CHOOSE($AF92,INDEX(nINT_Anchor_Type,$AH92)&amp;"","","","","","","","","","","",""))</f>
        <v/>
      </c>
      <c r="AY92" s="1" t="str">
        <f>IF($AF92=0,"",CHOOSE($AF92,IF(INDEX(nINT_K_Ok,$AH92)=1,INDEX(nINT_Anchor_Record_ID_Used,$AH92)&amp;"",""),"","","","","","","","","","",""))</f>
        <v/>
      </c>
      <c r="AZ92" s="1" t="str">
        <f>IF($AF92=0,"",CHOOSE($AF92,INDEX(nINT_Anchor_Description,$AH92)&amp;"","","","","","","","","","","",""))</f>
        <v/>
      </c>
      <c r="BA92" s="1" t="str">
        <f>IF($AF92=0,"",CHOOSE($AF92,INDEX(nINT_Sequence_Status,$AH92)&amp;"","","","","","","","","","","",""))</f>
        <v/>
      </c>
      <c r="BB92" s="1" t="str">
        <f>IF($AF92=0,"",CHOOSE($AF92,INDEX(nINT_Treatment_Day,$AH92),"","","","","","","","","","",""))</f>
        <v/>
      </c>
      <c r="BC92" s="1" t="str">
        <f>IF($AF92=0,"",CHOOSE($AF92,INDEX(nINT_Reported_Timing_Result,$AH92)&amp;"","","","","","","","","","","",""))</f>
        <v/>
      </c>
      <c r="BD92" s="1" t="str">
        <f>IF($AF92=0,"",CHOOSE($AF92,IF(INDEX(nINT_K_HasC,$AH92)=1,INDEX(nINT_Constraint_Source,$AH92)&amp;"",""),"","","","","","","","","","",""))</f>
        <v/>
      </c>
      <c r="BE92" s="1" t="str">
        <f>IF($AF92=0,"",CHOOSE($AF92,"",INDEX(nQ1_Results_Text,$AH92)&amp;"",INDEX(nQ2_Results_Text,$AH92)&amp;"",INDEX(nQ3_Results_Text,$AH92)&amp;"",INDEX(nQ4_Results_Text,$AH92)&amp;"",INDEX(nQ5_Results_Text,$AH92)&amp;"",INDEX(nQ6_Results_Text,$AH92)&amp;"",INDEX(nQ7_Results_Text,$AH92)&amp;"",INDEX(nQ8_Results_Text,$AH92)&amp;"",INDEX(nQ9_Results_Text,$AH92)&amp;"",INDEX(nQ10_Results_Text,$AH92)&amp;"",INDEX(nQ11_Results_Text,$AH92)&amp;""))</f>
        <v/>
      </c>
      <c r="BF92" s="1" t="str">
        <f>IF($AF92=0,"",CHOOSE($AF92,INDEX(nINT_Parameter_Set,$AH92)&amp;"",INDEX(nQ1_Parameter_Set,$AH92)&amp;"",INDEX(nQ2_Parameter_Set,$AH92)&amp;"",INDEX(nQ3_Parameter_Set,$AH92)&amp;"",INDEX(nQ4_Parameter_Set,$AH92)&amp;"",INDEX(nQ5_Parameter_Set,$AH92)&amp;"",INDEX(nQ6_Parameter_Set,$AH92)&amp;"",INDEX(nQ7_Parameter_Set,$AH92)&amp;"",INDEX(nQ8_Parameter_Set,$AH92)&amp;"",INDEX(nQ9_Parameter_Set,$AH92)&amp;"",INDEX(nQ10_Parameter_Set,$AH92)&amp;"",INDEX(nQ11_Parameter_Set,$AH92)&amp;""))</f>
        <v/>
      </c>
      <c r="BG92" s="1" t="str">
        <f>IF($AF92=0,"",CHOOSE($AF92,INDEX(nINT_Assumptions,$AH92)&amp;"",INDEX(nQ1_Assumptions,$AH92)&amp;"",INDEX(nQ2_Assumptions,$AH92)&amp;"",INDEX(nQ3_Assumptions,$AH92)&amp;"",INDEX(nQ4_Assumptions,$AH92)&amp;"",INDEX(nQ5_Assumptions,$AH92)&amp;"",INDEX(nQ6_Assumptions,$AH92)&amp;"",INDEX(nQ7_Assumptions,$AH92)&amp;"",INDEX(nQ8_Assumptions,$AH92)&amp;"",INDEX(nQ9_Assumptions,$AH92)&amp;"",INDEX(nQ10_Assumptions,$AH92)&amp;"",INDEX(nQ11_Assumptions,$AH92)&amp;""))</f>
        <v/>
      </c>
      <c r="BH92" s="1" t="str">
        <f>IF($AF92=0,"",CHOOSE($AF92,INDEX(nINT_Calculation_Version,$AH92)&amp;"",INDEX(nQ1_Calculation_Version,$AH92)&amp;"",INDEX(nQ2_Calculation_Version,$AH92)&amp;"",INDEX(nQ3_Calculation_Version,$AH92)&amp;"",INDEX(nQ4_Calculation_Version,$AH92)&amp;"",INDEX(nQ5_Calculation_Version,$AH92)&amp;"",INDEX(nQ6_Calculation_Version,$AH92)&amp;"",INDEX(nQ7_Calculation_Version,$AH92)&amp;"",INDEX(nQ8_Calculation_Version,$AH92)&amp;"",INDEX(nQ9_Calculation_Version,$AH92)&amp;"",INDEX(nQ10_Calculation_Version,$AH92)&amp;"",INDEX(nQ11_Calculation_Version,$AH92)&amp;""))</f>
        <v/>
      </c>
      <c r="BI92" s="1" t="str">
        <f>IF($AF92=0,"",CHOOSE($AF92,INDEX(nINT_QC_Flags,$AH92)&amp;"",INDEX(nQ1_QC_Flags,$AH92)&amp;"",INDEX(nQ2_QC_Flags,$AH92)&amp;"",INDEX(nQ3_QC_Flags,$AH92)&amp;"",INDEX(nQ4_QC_Flags,$AH92)&amp;"",INDEX(nQ5_QC_Flags,$AH92)&amp;"",INDEX(nQ6_QC_Flags,$AH92)&amp;"",INDEX(nQ7_QC_Flags,$AH92)&amp;"",INDEX(nQ8_QC_Flags,$AH92)&amp;"",INDEX(nQ9_QC_Flags,$AH92)&amp;"",INDEX(nQ10_QC_Flags,$AH92)&amp;"",INDEX(nQ11_QC_Flags,$AH92)&amp;""))</f>
        <v/>
      </c>
      <c r="BJ92" s="1" t="str">
        <f>IF($AF92=0,"",CHOOSE($AF92,INDEX(nINT_Messages,$AH92)&amp;"",INDEX(nQ1_Messages,$AH92)&amp;"",INDEX(nQ2_Messages,$AH92)&amp;"",INDEX(nQ3_Messages,$AH92)&amp;"",INDEX(nQ4_Messages,$AH92)&amp;"",INDEX(nQ5_Messages,$AH92)&amp;"",INDEX(nQ6_Messages,$AH92)&amp;"",INDEX(nQ7_Messages,$AH92)&amp;"",INDEX(nQ8_Messages,$AH92)&amp;"",INDEX(nQ9_Messages,$AH92)&amp;"",INDEX(nQ10_Messages,$AH92)&amp;"",INDEX(nQ11_Messages,$AH92)&amp;""))</f>
        <v/>
      </c>
      <c r="BK92" s="1" t="str">
        <f>IF($AF92=0,"",CHOOSE($AF92,INDEX(nINT_Limitations,$AH92)&amp;"",INDEX(nQ1_Mandatory_Text,$AH92)&amp;"",INDEX(nQ2_Mandatory_Text,$AH92)&amp;"",INDEX(nQ3_Mandatory_Text,$AH92)&amp;"",INDEX(nQ4_Mandatory_Text,$AH92)&amp;"",INDEX(nQ5_Mandatory_Text,$AH92)&amp;"",INDEX(nQ6_Mandatory_Text,$AH92)&amp;"",INDEX(nQ7_Mandatory_Text,$AH92)&amp;"",INDEX(nQ8_Mandatory_Text,$AH92)&amp;"",INDEX(nQ9_Mandatory_Text,$AH92)&amp;"",INDEX(nQ10_Mandatory_Text,$AH92)&amp;"",INDEX(nQ11_Mandatory_Text,$AH92)&amp;""))</f>
        <v/>
      </c>
      <c r="BL92" s="1" t="str">
        <f t="shared" si="68"/>
        <v/>
      </c>
      <c r="BM92" s="1" t="str">
        <f t="shared" si="69"/>
        <v/>
      </c>
    </row>
    <row r="93" spans="1:65" x14ac:dyDescent="0.2">
      <c r="A93" s="21" t="str">
        <f t="shared" si="35"/>
        <v/>
      </c>
      <c r="B93" s="21" t="str">
        <f t="shared" si="36"/>
        <v/>
      </c>
      <c r="C93" s="21" t="str">
        <f t="shared" si="37"/>
        <v/>
      </c>
      <c r="D93" s="21" t="str">
        <f t="shared" si="38"/>
        <v/>
      </c>
      <c r="E93" s="21" t="str">
        <f t="shared" si="39"/>
        <v/>
      </c>
      <c r="F93" s="21" t="str">
        <f t="shared" si="40"/>
        <v/>
      </c>
      <c r="G93" s="21" t="str">
        <f t="shared" si="41"/>
        <v/>
      </c>
      <c r="H93" s="21" t="str">
        <f t="shared" si="42"/>
        <v/>
      </c>
      <c r="I93" s="21" t="str">
        <f t="shared" si="43"/>
        <v/>
      </c>
      <c r="J93" s="21" t="str">
        <f t="shared" si="44"/>
        <v/>
      </c>
      <c r="K93" s="21" t="str">
        <f t="shared" si="45"/>
        <v/>
      </c>
      <c r="L93" s="21" t="str">
        <f t="shared" si="46"/>
        <v/>
      </c>
      <c r="M93" s="21" t="str">
        <f t="shared" si="47"/>
        <v/>
      </c>
      <c r="N93" s="21" t="str">
        <f t="shared" si="48"/>
        <v/>
      </c>
      <c r="O93" s="21" t="str">
        <f t="shared" si="49"/>
        <v/>
      </c>
      <c r="P93" s="21" t="str">
        <f t="shared" si="50"/>
        <v/>
      </c>
      <c r="Q93" s="21" t="str">
        <f t="shared" si="51"/>
        <v/>
      </c>
      <c r="R93" s="21" t="str">
        <f t="shared" si="52"/>
        <v/>
      </c>
      <c r="S93" s="21" t="str">
        <f t="shared" si="53"/>
        <v/>
      </c>
      <c r="T93" s="21" t="str">
        <f t="shared" si="54"/>
        <v/>
      </c>
      <c r="U93" s="21" t="str">
        <f t="shared" si="55"/>
        <v/>
      </c>
      <c r="V93" s="21" t="str">
        <f t="shared" si="56"/>
        <v/>
      </c>
      <c r="W93" s="21" t="str">
        <f t="shared" si="57"/>
        <v/>
      </c>
      <c r="X93" s="21" t="str">
        <f t="shared" si="58"/>
        <v/>
      </c>
      <c r="Y93" s="21" t="str">
        <f t="shared" si="59"/>
        <v/>
      </c>
      <c r="Z93" s="21" t="str">
        <f t="shared" si="60"/>
        <v/>
      </c>
      <c r="AA93" s="21" t="str">
        <f t="shared" si="61"/>
        <v/>
      </c>
      <c r="AB93" s="21" t="str">
        <f t="shared" si="62"/>
        <v/>
      </c>
      <c r="AC93" s="21" t="str">
        <f t="shared" si="63"/>
        <v/>
      </c>
      <c r="AD93" s="21" t="str">
        <f t="shared" si="64"/>
        <v/>
      </c>
      <c r="AE93" s="1">
        <f t="shared" si="65"/>
        <v>86</v>
      </c>
      <c r="AF93" s="1">
        <f t="shared" si="66"/>
        <v>0</v>
      </c>
      <c r="AG93" s="1">
        <f t="shared" si="67"/>
        <v>0</v>
      </c>
      <c r="AH93" s="1">
        <f>IF(AF93=0,0,CHOOSE(AF93,IFERROR(_xlfn.AGGREGATE(15,6,(ROW(nINT_CaseKey)-ROW(INDEX(nINT_CaseKey,1,1))+1)/((nINT_CaseKey=$H$4)*(nINT_RowEmpty=0)),AG93),0),IFERROR(_xlfn.AGGREGATE(15,6,(ROW(nQ1_CaseKey)-ROW(INDEX(nQ1_CaseKey,1,1))+1)/((nQ1_CaseKey=$H$4)),AG93),0),IFERROR(_xlfn.AGGREGATE(15,6,(ROW(nQ2_CaseKey)-ROW(INDEX(nQ2_CaseKey,1,1))+1)/((nQ2_CaseKey=$H$4)),AG93),0),IFERROR(_xlfn.AGGREGATE(15,6,(ROW(nQ3_CaseKey)-ROW(INDEX(nQ3_CaseKey,1,1))+1)/((nQ3_CaseKey=$H$4)),AG93),0),IFERROR(_xlfn.AGGREGATE(15,6,(ROW(nQ4_CaseKey)-ROW(INDEX(nQ4_CaseKey,1,1))+1)/((nQ4_CaseKey=$H$4)),AG93),0),IFERROR(_xlfn.AGGREGATE(15,6,(ROW(nQ5_CaseKey)-ROW(INDEX(nQ5_CaseKey,1,1))+1)/((nQ5_CaseKey=$H$4)),AG93),0),IFERROR(_xlfn.AGGREGATE(15,6,(ROW(nQ6_CaseKey)-ROW(INDEX(nQ6_CaseKey,1,1))+1)/((nQ6_CaseKey=$H$4)),AG93),0),IFERROR(_xlfn.AGGREGATE(15,6,(ROW(nQ7_CaseKey)-ROW(INDEX(nQ7_CaseKey,1,1))+1)/((nQ7_CaseKey=$H$4)),AG93),0),IFERROR(_xlfn.AGGREGATE(15,6,(ROW(nQ8_CaseKey)-ROW(INDEX(nQ8_CaseKey,1,1))+1)/((nQ8_CaseKey=$H$4)),AG93),0),IFERROR(_xlfn.AGGREGATE(15,6,(ROW(nQ9_CaseKey)-ROW(INDEX(nQ9_CaseKey,1,1))+1)/((nQ9_CaseKey=$H$4)),AG93),0),IFERROR(_xlfn.AGGREGATE(15,6,(ROW(nQ10_CaseKey)-ROW(INDEX(nQ10_CaseKey,1,1))+1)/((nQ10_CaseKey=$H$4)),AG93),0),IFERROR(_xlfn.AGGREGATE(15,6,(ROW(nQ11_CaseKey)-ROW(INDEX(nQ11_CaseKey,1,1))+1)/((nQ11_CaseKey=$H$4)),AG93),0)))</f>
        <v>0</v>
      </c>
      <c r="AJ93" s="1" t="str">
        <f>IF($AF93=0,"",CHOOSE($AF93,INDEX(nINT_Case_ID,$AH93)&amp;"",INDEX(nQ1_Case_ID,$AH93)&amp;"",INDEX(nQ2_Case_ID,$AH93)&amp;"",INDEX(nQ3_Case_ID,$AH93)&amp;"",INDEX(nQ4_Case_ID,$AH93)&amp;"",INDEX(nQ5_Case_ID,$AH93)&amp;"",INDEX(nQ6_Case_ID,$AH93)&amp;"",INDEX(nQ7_Case_ID,$AH93)&amp;"",INDEX(nQ8_Case_ID,$AH93)&amp;"",INDEX(nQ9_Case_ID,$AH93)&amp;"",INDEX(nQ10_Case_ID,$AH93)&amp;"",INDEX(nQ11_Case_ID,$AH93)&amp;""))</f>
        <v/>
      </c>
      <c r="AK93" s="1" t="str">
        <f>IF($AF93=0,"",CHOOSE($AF93,INDEX(nINT_Case_Version,$AH93),INDEX(nQ1_Case_Version,$AH93),INDEX(nQ2_Case_Version,$AH93),INDEX(nQ3_Case_Version,$AH93),INDEX(nQ4_Case_Version,$AH93),INDEX(nQ5_Case_Version,$AH93),INDEX(nQ6_Case_Version,$AH93),INDEX(nQ7_Case_Version,$AH93),INDEX(nQ8_Case_Version,$AH93),INDEX(nQ9_Case_Version,$AH93),INDEX(nQ10_Case_Version,$AH93),INDEX(nQ11_Case_Version,$AH93)))</f>
        <v/>
      </c>
      <c r="AL93" s="1" t="str">
        <f>IF($AF93=0,"",CHOOSE($AF93,INDEX(nINT_Interval_ID,$AH93)&amp;"",INDEX(nQ1_Calc_ID,$AH93)&amp;"",INDEX(nQ2_Calc_ID,$AH93)&amp;"",INDEX(nQ3_Calc_ID,$AH93)&amp;"",INDEX(nQ4_Calc_ID,$AH93)&amp;"",INDEX(nQ5_Calc_ID,$AH93)&amp;"",INDEX(nQ6_Calc_ID,$AH93)&amp;"",INDEX(nQ7_Calc_ID,$AH93)&amp;"",INDEX(nQ8_Calc_ID,$AH93)&amp;"",INDEX(nQ9_Calc_ID,$AH93)&amp;"",INDEX(nQ10_Calc_ID,$AH93)&amp;"",INDEX(nQ11_Calc_ID,$AH93)&amp;""))</f>
        <v/>
      </c>
      <c r="AM93" s="1" t="str">
        <f>IF($AF93=0,"",CHOOSE($AF93,INDEX(nINT_Label,$AH93)&amp;"",INDEX(nQ1_Label_Out,$AH93)&amp;"",INDEX(nQ2_Label_Out,$AH93)&amp;"",INDEX(nQ3_Label_Out,$AH93)&amp;"",INDEX(nQ4_Label_Out,$AH93)&amp;"",INDEX(nQ5_Label_Out,$AH93)&amp;"",INDEX(nQ6_Label_Out,$AH93)&amp;"",INDEX(nQ7_Label_Out,$AH93)&amp;"",INDEX(nQ8_Label_Out,$AH93)&amp;"",INDEX(nQ9_Label_Out,$AH93)&amp;"",INDEX(nQ10_Label_Out,$AH93)&amp;"",INDEX(nQ11_Label_Out,$AH93)&amp;""))</f>
        <v/>
      </c>
      <c r="AN93" s="1" t="str">
        <f>IF($AF93=0,"",CHOOSE($AF93,IF(INDEX(nINT_LinkRow,$AH93)=0,"",INDEX(nINT_Link_ID,$AH93)&amp;""),"","","","","","","","","","",""))</f>
        <v/>
      </c>
      <c r="AO93" s="1" t="str">
        <f>IF($AF93=0,"",CHOOSE($AF93,INDEX(nINT_Exposure_Episode_ID,$AH93)&amp;"","","","","","","","","","","",""))</f>
        <v/>
      </c>
      <c r="AP93" s="1" t="str">
        <f>IF($AF93=0,"",CHOOSE($AF93,INDEX(nINT_Event_Episode_ID,$AH93)&amp;"","","","","","","","","","","",""))</f>
        <v/>
      </c>
      <c r="AQ93" s="1" t="str">
        <f>IF($AF93=0,"",CHOOSE($AF93,INDEX(nINT_End_Record_ID_Used,$AH93)&amp;"","","","","","","","","","","",""))</f>
        <v/>
      </c>
      <c r="AR93" s="1" t="str">
        <f>IF($AF93=0,"",CHOOSE($AF93,INDEX(nINT_Interval_Value,$AH93),"","","","","","","","","","",""))</f>
        <v/>
      </c>
      <c r="AS93" s="1" t="str">
        <f>IF($AF93=0,"",CHOOSE($AF93,INDEX(nINT_Interval_Minimum,$AH93),"","","","","","","","","","",""))</f>
        <v/>
      </c>
      <c r="AT93" s="1" t="str">
        <f>IF($AF93=0,"",CHOOSE($AF93,INDEX(nINT_Interval_Maximum,$AH93),"","","","","","","","","","",""))</f>
        <v/>
      </c>
      <c r="AU93" s="1" t="str">
        <f>IF($AF93=0,"",CHOOSE($AF93,INDEX(nINT_Unit,$AH93)&amp;"",INDEX(nQ1_Unit_Out,$AH93)&amp;"",INDEX(nQ2_Unit_Out,$AH93)&amp;"",INDEX(nQ3_Unit_Out,$AH93)&amp;"",INDEX(nQ4_Unit_Out,$AH93)&amp;"",INDEX(nQ5_Unit_Out,$AH93)&amp;"",INDEX(nQ6_Unit_Out,$AH93)&amp;"",INDEX(nQ7_Unit_Out,$AH93)&amp;"",INDEX(nQ8_Unit_Out,$AH93)&amp;"",INDEX(nQ9_Unit_Out,$AH93)&amp;"",INDEX(nQ10_Unit_Out,$AH93)&amp;"",INDEX(nQ11_Unit_Out,$AH93)&amp;""))</f>
        <v/>
      </c>
      <c r="AV93" s="1" t="str">
        <f>IF($AF93=0,"",CHOOSE($AF93,INDEX(nINT_Displayed_Value,$AH93)&amp;"",INDEX(nQ1_Displayed_Value,$AH93)&amp;"",INDEX(nQ2_Displayed_Value,$AH93)&amp;"",INDEX(nQ3_Displayed_Value,$AH93)&amp;"",INDEX(nQ4_Displayed_Value,$AH93)&amp;"",INDEX(nQ5_Displayed_Value,$AH93)&amp;"",INDEX(nQ6_Displayed_Value,$AH93)&amp;"",INDEX(nQ7_Displayed_Value,$AH93)&amp;"",INDEX(nQ8_Displayed_Value,$AH93)&amp;"",INDEX(nQ9_Displayed_Value,$AH93)&amp;"",INDEX(nQ10_Displayed_Value,$AH93)&amp;"",INDEX(nQ11_Displayed_Value,$AH93)&amp;""))</f>
        <v/>
      </c>
      <c r="AW93" s="1" t="str">
        <f>IF($AF93=0,"",CHOOSE($AF93,INDEX(nINT_Calculation_Mode_Used,$AH93)&amp;"","Q1","Q2","Q3","Q4","Q5","Q6","Q7","Q8","Q9","Q10","Q11"))</f>
        <v/>
      </c>
      <c r="AX93" s="1" t="str">
        <f>IF($AF93=0,"",CHOOSE($AF93,INDEX(nINT_Anchor_Type,$AH93)&amp;"","","","","","","","","","","",""))</f>
        <v/>
      </c>
      <c r="AY93" s="1" t="str">
        <f>IF($AF93=0,"",CHOOSE($AF93,IF(INDEX(nINT_K_Ok,$AH93)=1,INDEX(nINT_Anchor_Record_ID_Used,$AH93)&amp;"",""),"","","","","","","","","","",""))</f>
        <v/>
      </c>
      <c r="AZ93" s="1" t="str">
        <f>IF($AF93=0,"",CHOOSE($AF93,INDEX(nINT_Anchor_Description,$AH93)&amp;"","","","","","","","","","","",""))</f>
        <v/>
      </c>
      <c r="BA93" s="1" t="str">
        <f>IF($AF93=0,"",CHOOSE($AF93,INDEX(nINT_Sequence_Status,$AH93)&amp;"","","","","","","","","","","",""))</f>
        <v/>
      </c>
      <c r="BB93" s="1" t="str">
        <f>IF($AF93=0,"",CHOOSE($AF93,INDEX(nINT_Treatment_Day,$AH93),"","","","","","","","","","",""))</f>
        <v/>
      </c>
      <c r="BC93" s="1" t="str">
        <f>IF($AF93=0,"",CHOOSE($AF93,INDEX(nINT_Reported_Timing_Result,$AH93)&amp;"","","","","","","","","","","",""))</f>
        <v/>
      </c>
      <c r="BD93" s="1" t="str">
        <f>IF($AF93=0,"",CHOOSE($AF93,IF(INDEX(nINT_K_HasC,$AH93)=1,INDEX(nINT_Constraint_Source,$AH93)&amp;"",""),"","","","","","","","","","",""))</f>
        <v/>
      </c>
      <c r="BE93" s="1" t="str">
        <f>IF($AF93=0,"",CHOOSE($AF93,"",INDEX(nQ1_Results_Text,$AH93)&amp;"",INDEX(nQ2_Results_Text,$AH93)&amp;"",INDEX(nQ3_Results_Text,$AH93)&amp;"",INDEX(nQ4_Results_Text,$AH93)&amp;"",INDEX(nQ5_Results_Text,$AH93)&amp;"",INDEX(nQ6_Results_Text,$AH93)&amp;"",INDEX(nQ7_Results_Text,$AH93)&amp;"",INDEX(nQ8_Results_Text,$AH93)&amp;"",INDEX(nQ9_Results_Text,$AH93)&amp;"",INDEX(nQ10_Results_Text,$AH93)&amp;"",INDEX(nQ11_Results_Text,$AH93)&amp;""))</f>
        <v/>
      </c>
      <c r="BF93" s="1" t="str">
        <f>IF($AF93=0,"",CHOOSE($AF93,INDEX(nINT_Parameter_Set,$AH93)&amp;"",INDEX(nQ1_Parameter_Set,$AH93)&amp;"",INDEX(nQ2_Parameter_Set,$AH93)&amp;"",INDEX(nQ3_Parameter_Set,$AH93)&amp;"",INDEX(nQ4_Parameter_Set,$AH93)&amp;"",INDEX(nQ5_Parameter_Set,$AH93)&amp;"",INDEX(nQ6_Parameter_Set,$AH93)&amp;"",INDEX(nQ7_Parameter_Set,$AH93)&amp;"",INDEX(nQ8_Parameter_Set,$AH93)&amp;"",INDEX(nQ9_Parameter_Set,$AH93)&amp;"",INDEX(nQ10_Parameter_Set,$AH93)&amp;"",INDEX(nQ11_Parameter_Set,$AH93)&amp;""))</f>
        <v/>
      </c>
      <c r="BG93" s="1" t="str">
        <f>IF($AF93=0,"",CHOOSE($AF93,INDEX(nINT_Assumptions,$AH93)&amp;"",INDEX(nQ1_Assumptions,$AH93)&amp;"",INDEX(nQ2_Assumptions,$AH93)&amp;"",INDEX(nQ3_Assumptions,$AH93)&amp;"",INDEX(nQ4_Assumptions,$AH93)&amp;"",INDEX(nQ5_Assumptions,$AH93)&amp;"",INDEX(nQ6_Assumptions,$AH93)&amp;"",INDEX(nQ7_Assumptions,$AH93)&amp;"",INDEX(nQ8_Assumptions,$AH93)&amp;"",INDEX(nQ9_Assumptions,$AH93)&amp;"",INDEX(nQ10_Assumptions,$AH93)&amp;"",INDEX(nQ11_Assumptions,$AH93)&amp;""))</f>
        <v/>
      </c>
      <c r="BH93" s="1" t="str">
        <f>IF($AF93=0,"",CHOOSE($AF93,INDEX(nINT_Calculation_Version,$AH93)&amp;"",INDEX(nQ1_Calculation_Version,$AH93)&amp;"",INDEX(nQ2_Calculation_Version,$AH93)&amp;"",INDEX(nQ3_Calculation_Version,$AH93)&amp;"",INDEX(nQ4_Calculation_Version,$AH93)&amp;"",INDEX(nQ5_Calculation_Version,$AH93)&amp;"",INDEX(nQ6_Calculation_Version,$AH93)&amp;"",INDEX(nQ7_Calculation_Version,$AH93)&amp;"",INDEX(nQ8_Calculation_Version,$AH93)&amp;"",INDEX(nQ9_Calculation_Version,$AH93)&amp;"",INDEX(nQ10_Calculation_Version,$AH93)&amp;"",INDEX(nQ11_Calculation_Version,$AH93)&amp;""))</f>
        <v/>
      </c>
      <c r="BI93" s="1" t="str">
        <f>IF($AF93=0,"",CHOOSE($AF93,INDEX(nINT_QC_Flags,$AH93)&amp;"",INDEX(nQ1_QC_Flags,$AH93)&amp;"",INDEX(nQ2_QC_Flags,$AH93)&amp;"",INDEX(nQ3_QC_Flags,$AH93)&amp;"",INDEX(nQ4_QC_Flags,$AH93)&amp;"",INDEX(nQ5_QC_Flags,$AH93)&amp;"",INDEX(nQ6_QC_Flags,$AH93)&amp;"",INDEX(nQ7_QC_Flags,$AH93)&amp;"",INDEX(nQ8_QC_Flags,$AH93)&amp;"",INDEX(nQ9_QC_Flags,$AH93)&amp;"",INDEX(nQ10_QC_Flags,$AH93)&amp;"",INDEX(nQ11_QC_Flags,$AH93)&amp;""))</f>
        <v/>
      </c>
      <c r="BJ93" s="1" t="str">
        <f>IF($AF93=0,"",CHOOSE($AF93,INDEX(nINT_Messages,$AH93)&amp;"",INDEX(nQ1_Messages,$AH93)&amp;"",INDEX(nQ2_Messages,$AH93)&amp;"",INDEX(nQ3_Messages,$AH93)&amp;"",INDEX(nQ4_Messages,$AH93)&amp;"",INDEX(nQ5_Messages,$AH93)&amp;"",INDEX(nQ6_Messages,$AH93)&amp;"",INDEX(nQ7_Messages,$AH93)&amp;"",INDEX(nQ8_Messages,$AH93)&amp;"",INDEX(nQ9_Messages,$AH93)&amp;"",INDEX(nQ10_Messages,$AH93)&amp;"",INDEX(nQ11_Messages,$AH93)&amp;""))</f>
        <v/>
      </c>
      <c r="BK93" s="1" t="str">
        <f>IF($AF93=0,"",CHOOSE($AF93,INDEX(nINT_Limitations,$AH93)&amp;"",INDEX(nQ1_Mandatory_Text,$AH93)&amp;"",INDEX(nQ2_Mandatory_Text,$AH93)&amp;"",INDEX(nQ3_Mandatory_Text,$AH93)&amp;"",INDEX(nQ4_Mandatory_Text,$AH93)&amp;"",INDEX(nQ5_Mandatory_Text,$AH93)&amp;"",INDEX(nQ6_Mandatory_Text,$AH93)&amp;"",INDEX(nQ7_Mandatory_Text,$AH93)&amp;"",INDEX(nQ8_Mandatory_Text,$AH93)&amp;"",INDEX(nQ9_Mandatory_Text,$AH93)&amp;"",INDEX(nQ10_Mandatory_Text,$AH93)&amp;"",INDEX(nQ11_Mandatory_Text,$AH93)&amp;""))</f>
        <v/>
      </c>
      <c r="BL93" s="1" t="str">
        <f t="shared" si="68"/>
        <v/>
      </c>
      <c r="BM93" s="1" t="str">
        <f t="shared" si="69"/>
        <v/>
      </c>
    </row>
    <row r="94" spans="1:65" x14ac:dyDescent="0.2">
      <c r="A94" s="21" t="str">
        <f t="shared" si="35"/>
        <v/>
      </c>
      <c r="B94" s="21" t="str">
        <f t="shared" si="36"/>
        <v/>
      </c>
      <c r="C94" s="21" t="str">
        <f t="shared" si="37"/>
        <v/>
      </c>
      <c r="D94" s="21" t="str">
        <f t="shared" si="38"/>
        <v/>
      </c>
      <c r="E94" s="21" t="str">
        <f t="shared" si="39"/>
        <v/>
      </c>
      <c r="F94" s="21" t="str">
        <f t="shared" si="40"/>
        <v/>
      </c>
      <c r="G94" s="21" t="str">
        <f t="shared" si="41"/>
        <v/>
      </c>
      <c r="H94" s="21" t="str">
        <f t="shared" si="42"/>
        <v/>
      </c>
      <c r="I94" s="21" t="str">
        <f t="shared" si="43"/>
        <v/>
      </c>
      <c r="J94" s="21" t="str">
        <f t="shared" si="44"/>
        <v/>
      </c>
      <c r="K94" s="21" t="str">
        <f t="shared" si="45"/>
        <v/>
      </c>
      <c r="L94" s="21" t="str">
        <f t="shared" si="46"/>
        <v/>
      </c>
      <c r="M94" s="21" t="str">
        <f t="shared" si="47"/>
        <v/>
      </c>
      <c r="N94" s="21" t="str">
        <f t="shared" si="48"/>
        <v/>
      </c>
      <c r="O94" s="21" t="str">
        <f t="shared" si="49"/>
        <v/>
      </c>
      <c r="P94" s="21" t="str">
        <f t="shared" si="50"/>
        <v/>
      </c>
      <c r="Q94" s="21" t="str">
        <f t="shared" si="51"/>
        <v/>
      </c>
      <c r="R94" s="21" t="str">
        <f t="shared" si="52"/>
        <v/>
      </c>
      <c r="S94" s="21" t="str">
        <f t="shared" si="53"/>
        <v/>
      </c>
      <c r="T94" s="21" t="str">
        <f t="shared" si="54"/>
        <v/>
      </c>
      <c r="U94" s="21" t="str">
        <f t="shared" si="55"/>
        <v/>
      </c>
      <c r="V94" s="21" t="str">
        <f t="shared" si="56"/>
        <v/>
      </c>
      <c r="W94" s="21" t="str">
        <f t="shared" si="57"/>
        <v/>
      </c>
      <c r="X94" s="21" t="str">
        <f t="shared" si="58"/>
        <v/>
      </c>
      <c r="Y94" s="21" t="str">
        <f t="shared" si="59"/>
        <v/>
      </c>
      <c r="Z94" s="21" t="str">
        <f t="shared" si="60"/>
        <v/>
      </c>
      <c r="AA94" s="21" t="str">
        <f t="shared" si="61"/>
        <v/>
      </c>
      <c r="AB94" s="21" t="str">
        <f t="shared" si="62"/>
        <v/>
      </c>
      <c r="AC94" s="21" t="str">
        <f t="shared" si="63"/>
        <v/>
      </c>
      <c r="AD94" s="21" t="str">
        <f t="shared" si="64"/>
        <v/>
      </c>
      <c r="AE94" s="1">
        <f t="shared" si="65"/>
        <v>87</v>
      </c>
      <c r="AF94" s="1">
        <f t="shared" si="66"/>
        <v>0</v>
      </c>
      <c r="AG94" s="1">
        <f t="shared" si="67"/>
        <v>0</v>
      </c>
      <c r="AH94" s="1">
        <f>IF(AF94=0,0,CHOOSE(AF94,IFERROR(_xlfn.AGGREGATE(15,6,(ROW(nINT_CaseKey)-ROW(INDEX(nINT_CaseKey,1,1))+1)/((nINT_CaseKey=$H$4)*(nINT_RowEmpty=0)),AG94),0),IFERROR(_xlfn.AGGREGATE(15,6,(ROW(nQ1_CaseKey)-ROW(INDEX(nQ1_CaseKey,1,1))+1)/((nQ1_CaseKey=$H$4)),AG94),0),IFERROR(_xlfn.AGGREGATE(15,6,(ROW(nQ2_CaseKey)-ROW(INDEX(nQ2_CaseKey,1,1))+1)/((nQ2_CaseKey=$H$4)),AG94),0),IFERROR(_xlfn.AGGREGATE(15,6,(ROW(nQ3_CaseKey)-ROW(INDEX(nQ3_CaseKey,1,1))+1)/((nQ3_CaseKey=$H$4)),AG94),0),IFERROR(_xlfn.AGGREGATE(15,6,(ROW(nQ4_CaseKey)-ROW(INDEX(nQ4_CaseKey,1,1))+1)/((nQ4_CaseKey=$H$4)),AG94),0),IFERROR(_xlfn.AGGREGATE(15,6,(ROW(nQ5_CaseKey)-ROW(INDEX(nQ5_CaseKey,1,1))+1)/((nQ5_CaseKey=$H$4)),AG94),0),IFERROR(_xlfn.AGGREGATE(15,6,(ROW(nQ6_CaseKey)-ROW(INDEX(nQ6_CaseKey,1,1))+1)/((nQ6_CaseKey=$H$4)),AG94),0),IFERROR(_xlfn.AGGREGATE(15,6,(ROW(nQ7_CaseKey)-ROW(INDEX(nQ7_CaseKey,1,1))+1)/((nQ7_CaseKey=$H$4)),AG94),0),IFERROR(_xlfn.AGGREGATE(15,6,(ROW(nQ8_CaseKey)-ROW(INDEX(nQ8_CaseKey,1,1))+1)/((nQ8_CaseKey=$H$4)),AG94),0),IFERROR(_xlfn.AGGREGATE(15,6,(ROW(nQ9_CaseKey)-ROW(INDEX(nQ9_CaseKey,1,1))+1)/((nQ9_CaseKey=$H$4)),AG94),0),IFERROR(_xlfn.AGGREGATE(15,6,(ROW(nQ10_CaseKey)-ROW(INDEX(nQ10_CaseKey,1,1))+1)/((nQ10_CaseKey=$H$4)),AG94),0),IFERROR(_xlfn.AGGREGATE(15,6,(ROW(nQ11_CaseKey)-ROW(INDEX(nQ11_CaseKey,1,1))+1)/((nQ11_CaseKey=$H$4)),AG94),0)))</f>
        <v>0</v>
      </c>
      <c r="AJ94" s="1" t="str">
        <f>IF($AF94=0,"",CHOOSE($AF94,INDEX(nINT_Case_ID,$AH94)&amp;"",INDEX(nQ1_Case_ID,$AH94)&amp;"",INDEX(nQ2_Case_ID,$AH94)&amp;"",INDEX(nQ3_Case_ID,$AH94)&amp;"",INDEX(nQ4_Case_ID,$AH94)&amp;"",INDEX(nQ5_Case_ID,$AH94)&amp;"",INDEX(nQ6_Case_ID,$AH94)&amp;"",INDEX(nQ7_Case_ID,$AH94)&amp;"",INDEX(nQ8_Case_ID,$AH94)&amp;"",INDEX(nQ9_Case_ID,$AH94)&amp;"",INDEX(nQ10_Case_ID,$AH94)&amp;"",INDEX(nQ11_Case_ID,$AH94)&amp;""))</f>
        <v/>
      </c>
      <c r="AK94" s="1" t="str">
        <f>IF($AF94=0,"",CHOOSE($AF94,INDEX(nINT_Case_Version,$AH94),INDEX(nQ1_Case_Version,$AH94),INDEX(nQ2_Case_Version,$AH94),INDEX(nQ3_Case_Version,$AH94),INDEX(nQ4_Case_Version,$AH94),INDEX(nQ5_Case_Version,$AH94),INDEX(nQ6_Case_Version,$AH94),INDEX(nQ7_Case_Version,$AH94),INDEX(nQ8_Case_Version,$AH94),INDEX(nQ9_Case_Version,$AH94),INDEX(nQ10_Case_Version,$AH94),INDEX(nQ11_Case_Version,$AH94)))</f>
        <v/>
      </c>
      <c r="AL94" s="1" t="str">
        <f>IF($AF94=0,"",CHOOSE($AF94,INDEX(nINT_Interval_ID,$AH94)&amp;"",INDEX(nQ1_Calc_ID,$AH94)&amp;"",INDEX(nQ2_Calc_ID,$AH94)&amp;"",INDEX(nQ3_Calc_ID,$AH94)&amp;"",INDEX(nQ4_Calc_ID,$AH94)&amp;"",INDEX(nQ5_Calc_ID,$AH94)&amp;"",INDEX(nQ6_Calc_ID,$AH94)&amp;"",INDEX(nQ7_Calc_ID,$AH94)&amp;"",INDEX(nQ8_Calc_ID,$AH94)&amp;"",INDEX(nQ9_Calc_ID,$AH94)&amp;"",INDEX(nQ10_Calc_ID,$AH94)&amp;"",INDEX(nQ11_Calc_ID,$AH94)&amp;""))</f>
        <v/>
      </c>
      <c r="AM94" s="1" t="str">
        <f>IF($AF94=0,"",CHOOSE($AF94,INDEX(nINT_Label,$AH94)&amp;"",INDEX(nQ1_Label_Out,$AH94)&amp;"",INDEX(nQ2_Label_Out,$AH94)&amp;"",INDEX(nQ3_Label_Out,$AH94)&amp;"",INDEX(nQ4_Label_Out,$AH94)&amp;"",INDEX(nQ5_Label_Out,$AH94)&amp;"",INDEX(nQ6_Label_Out,$AH94)&amp;"",INDEX(nQ7_Label_Out,$AH94)&amp;"",INDEX(nQ8_Label_Out,$AH94)&amp;"",INDEX(nQ9_Label_Out,$AH94)&amp;"",INDEX(nQ10_Label_Out,$AH94)&amp;"",INDEX(nQ11_Label_Out,$AH94)&amp;""))</f>
        <v/>
      </c>
      <c r="AN94" s="1" t="str">
        <f>IF($AF94=0,"",CHOOSE($AF94,IF(INDEX(nINT_LinkRow,$AH94)=0,"",INDEX(nINT_Link_ID,$AH94)&amp;""),"","","","","","","","","","",""))</f>
        <v/>
      </c>
      <c r="AO94" s="1" t="str">
        <f>IF($AF94=0,"",CHOOSE($AF94,INDEX(nINT_Exposure_Episode_ID,$AH94)&amp;"","","","","","","","","","","",""))</f>
        <v/>
      </c>
      <c r="AP94" s="1" t="str">
        <f>IF($AF94=0,"",CHOOSE($AF94,INDEX(nINT_Event_Episode_ID,$AH94)&amp;"","","","","","","","","","","",""))</f>
        <v/>
      </c>
      <c r="AQ94" s="1" t="str">
        <f>IF($AF94=0,"",CHOOSE($AF94,INDEX(nINT_End_Record_ID_Used,$AH94)&amp;"","","","","","","","","","","",""))</f>
        <v/>
      </c>
      <c r="AR94" s="1" t="str">
        <f>IF($AF94=0,"",CHOOSE($AF94,INDEX(nINT_Interval_Value,$AH94),"","","","","","","","","","",""))</f>
        <v/>
      </c>
      <c r="AS94" s="1" t="str">
        <f>IF($AF94=0,"",CHOOSE($AF94,INDEX(nINT_Interval_Minimum,$AH94),"","","","","","","","","","",""))</f>
        <v/>
      </c>
      <c r="AT94" s="1" t="str">
        <f>IF($AF94=0,"",CHOOSE($AF94,INDEX(nINT_Interval_Maximum,$AH94),"","","","","","","","","","",""))</f>
        <v/>
      </c>
      <c r="AU94" s="1" t="str">
        <f>IF($AF94=0,"",CHOOSE($AF94,INDEX(nINT_Unit,$AH94)&amp;"",INDEX(nQ1_Unit_Out,$AH94)&amp;"",INDEX(nQ2_Unit_Out,$AH94)&amp;"",INDEX(nQ3_Unit_Out,$AH94)&amp;"",INDEX(nQ4_Unit_Out,$AH94)&amp;"",INDEX(nQ5_Unit_Out,$AH94)&amp;"",INDEX(nQ6_Unit_Out,$AH94)&amp;"",INDEX(nQ7_Unit_Out,$AH94)&amp;"",INDEX(nQ8_Unit_Out,$AH94)&amp;"",INDEX(nQ9_Unit_Out,$AH94)&amp;"",INDEX(nQ10_Unit_Out,$AH94)&amp;"",INDEX(nQ11_Unit_Out,$AH94)&amp;""))</f>
        <v/>
      </c>
      <c r="AV94" s="1" t="str">
        <f>IF($AF94=0,"",CHOOSE($AF94,INDEX(nINT_Displayed_Value,$AH94)&amp;"",INDEX(nQ1_Displayed_Value,$AH94)&amp;"",INDEX(nQ2_Displayed_Value,$AH94)&amp;"",INDEX(nQ3_Displayed_Value,$AH94)&amp;"",INDEX(nQ4_Displayed_Value,$AH94)&amp;"",INDEX(nQ5_Displayed_Value,$AH94)&amp;"",INDEX(nQ6_Displayed_Value,$AH94)&amp;"",INDEX(nQ7_Displayed_Value,$AH94)&amp;"",INDEX(nQ8_Displayed_Value,$AH94)&amp;"",INDEX(nQ9_Displayed_Value,$AH94)&amp;"",INDEX(nQ10_Displayed_Value,$AH94)&amp;"",INDEX(nQ11_Displayed_Value,$AH94)&amp;""))</f>
        <v/>
      </c>
      <c r="AW94" s="1" t="str">
        <f>IF($AF94=0,"",CHOOSE($AF94,INDEX(nINT_Calculation_Mode_Used,$AH94)&amp;"","Q1","Q2","Q3","Q4","Q5","Q6","Q7","Q8","Q9","Q10","Q11"))</f>
        <v/>
      </c>
      <c r="AX94" s="1" t="str">
        <f>IF($AF94=0,"",CHOOSE($AF94,INDEX(nINT_Anchor_Type,$AH94)&amp;"","","","","","","","","","","",""))</f>
        <v/>
      </c>
      <c r="AY94" s="1" t="str">
        <f>IF($AF94=0,"",CHOOSE($AF94,IF(INDEX(nINT_K_Ok,$AH94)=1,INDEX(nINT_Anchor_Record_ID_Used,$AH94)&amp;"",""),"","","","","","","","","","",""))</f>
        <v/>
      </c>
      <c r="AZ94" s="1" t="str">
        <f>IF($AF94=0,"",CHOOSE($AF94,INDEX(nINT_Anchor_Description,$AH94)&amp;"","","","","","","","","","","",""))</f>
        <v/>
      </c>
      <c r="BA94" s="1" t="str">
        <f>IF($AF94=0,"",CHOOSE($AF94,INDEX(nINT_Sequence_Status,$AH94)&amp;"","","","","","","","","","","",""))</f>
        <v/>
      </c>
      <c r="BB94" s="1" t="str">
        <f>IF($AF94=0,"",CHOOSE($AF94,INDEX(nINT_Treatment_Day,$AH94),"","","","","","","","","","",""))</f>
        <v/>
      </c>
      <c r="BC94" s="1" t="str">
        <f>IF($AF94=0,"",CHOOSE($AF94,INDEX(nINT_Reported_Timing_Result,$AH94)&amp;"","","","","","","","","","","",""))</f>
        <v/>
      </c>
      <c r="BD94" s="1" t="str">
        <f>IF($AF94=0,"",CHOOSE($AF94,IF(INDEX(nINT_K_HasC,$AH94)=1,INDEX(nINT_Constraint_Source,$AH94)&amp;"",""),"","","","","","","","","","",""))</f>
        <v/>
      </c>
      <c r="BE94" s="1" t="str">
        <f>IF($AF94=0,"",CHOOSE($AF94,"",INDEX(nQ1_Results_Text,$AH94)&amp;"",INDEX(nQ2_Results_Text,$AH94)&amp;"",INDEX(nQ3_Results_Text,$AH94)&amp;"",INDEX(nQ4_Results_Text,$AH94)&amp;"",INDEX(nQ5_Results_Text,$AH94)&amp;"",INDEX(nQ6_Results_Text,$AH94)&amp;"",INDEX(nQ7_Results_Text,$AH94)&amp;"",INDEX(nQ8_Results_Text,$AH94)&amp;"",INDEX(nQ9_Results_Text,$AH94)&amp;"",INDEX(nQ10_Results_Text,$AH94)&amp;"",INDEX(nQ11_Results_Text,$AH94)&amp;""))</f>
        <v/>
      </c>
      <c r="BF94" s="1" t="str">
        <f>IF($AF94=0,"",CHOOSE($AF94,INDEX(nINT_Parameter_Set,$AH94)&amp;"",INDEX(nQ1_Parameter_Set,$AH94)&amp;"",INDEX(nQ2_Parameter_Set,$AH94)&amp;"",INDEX(nQ3_Parameter_Set,$AH94)&amp;"",INDEX(nQ4_Parameter_Set,$AH94)&amp;"",INDEX(nQ5_Parameter_Set,$AH94)&amp;"",INDEX(nQ6_Parameter_Set,$AH94)&amp;"",INDEX(nQ7_Parameter_Set,$AH94)&amp;"",INDEX(nQ8_Parameter_Set,$AH94)&amp;"",INDEX(nQ9_Parameter_Set,$AH94)&amp;"",INDEX(nQ10_Parameter_Set,$AH94)&amp;"",INDEX(nQ11_Parameter_Set,$AH94)&amp;""))</f>
        <v/>
      </c>
      <c r="BG94" s="1" t="str">
        <f>IF($AF94=0,"",CHOOSE($AF94,INDEX(nINT_Assumptions,$AH94)&amp;"",INDEX(nQ1_Assumptions,$AH94)&amp;"",INDEX(nQ2_Assumptions,$AH94)&amp;"",INDEX(nQ3_Assumptions,$AH94)&amp;"",INDEX(nQ4_Assumptions,$AH94)&amp;"",INDEX(nQ5_Assumptions,$AH94)&amp;"",INDEX(nQ6_Assumptions,$AH94)&amp;"",INDEX(nQ7_Assumptions,$AH94)&amp;"",INDEX(nQ8_Assumptions,$AH94)&amp;"",INDEX(nQ9_Assumptions,$AH94)&amp;"",INDEX(nQ10_Assumptions,$AH94)&amp;"",INDEX(nQ11_Assumptions,$AH94)&amp;""))</f>
        <v/>
      </c>
      <c r="BH94" s="1" t="str">
        <f>IF($AF94=0,"",CHOOSE($AF94,INDEX(nINT_Calculation_Version,$AH94)&amp;"",INDEX(nQ1_Calculation_Version,$AH94)&amp;"",INDEX(nQ2_Calculation_Version,$AH94)&amp;"",INDEX(nQ3_Calculation_Version,$AH94)&amp;"",INDEX(nQ4_Calculation_Version,$AH94)&amp;"",INDEX(nQ5_Calculation_Version,$AH94)&amp;"",INDEX(nQ6_Calculation_Version,$AH94)&amp;"",INDEX(nQ7_Calculation_Version,$AH94)&amp;"",INDEX(nQ8_Calculation_Version,$AH94)&amp;"",INDEX(nQ9_Calculation_Version,$AH94)&amp;"",INDEX(nQ10_Calculation_Version,$AH94)&amp;"",INDEX(nQ11_Calculation_Version,$AH94)&amp;""))</f>
        <v/>
      </c>
      <c r="BI94" s="1" t="str">
        <f>IF($AF94=0,"",CHOOSE($AF94,INDEX(nINT_QC_Flags,$AH94)&amp;"",INDEX(nQ1_QC_Flags,$AH94)&amp;"",INDEX(nQ2_QC_Flags,$AH94)&amp;"",INDEX(nQ3_QC_Flags,$AH94)&amp;"",INDEX(nQ4_QC_Flags,$AH94)&amp;"",INDEX(nQ5_QC_Flags,$AH94)&amp;"",INDEX(nQ6_QC_Flags,$AH94)&amp;"",INDEX(nQ7_QC_Flags,$AH94)&amp;"",INDEX(nQ8_QC_Flags,$AH94)&amp;"",INDEX(nQ9_QC_Flags,$AH94)&amp;"",INDEX(nQ10_QC_Flags,$AH94)&amp;"",INDEX(nQ11_QC_Flags,$AH94)&amp;""))</f>
        <v/>
      </c>
      <c r="BJ94" s="1" t="str">
        <f>IF($AF94=0,"",CHOOSE($AF94,INDEX(nINT_Messages,$AH94)&amp;"",INDEX(nQ1_Messages,$AH94)&amp;"",INDEX(nQ2_Messages,$AH94)&amp;"",INDEX(nQ3_Messages,$AH94)&amp;"",INDEX(nQ4_Messages,$AH94)&amp;"",INDEX(nQ5_Messages,$AH94)&amp;"",INDEX(nQ6_Messages,$AH94)&amp;"",INDEX(nQ7_Messages,$AH94)&amp;"",INDEX(nQ8_Messages,$AH94)&amp;"",INDEX(nQ9_Messages,$AH94)&amp;"",INDEX(nQ10_Messages,$AH94)&amp;"",INDEX(nQ11_Messages,$AH94)&amp;""))</f>
        <v/>
      </c>
      <c r="BK94" s="1" t="str">
        <f>IF($AF94=0,"",CHOOSE($AF94,INDEX(nINT_Limitations,$AH94)&amp;"",INDEX(nQ1_Mandatory_Text,$AH94)&amp;"",INDEX(nQ2_Mandatory_Text,$AH94)&amp;"",INDEX(nQ3_Mandatory_Text,$AH94)&amp;"",INDEX(nQ4_Mandatory_Text,$AH94)&amp;"",INDEX(nQ5_Mandatory_Text,$AH94)&amp;"",INDEX(nQ6_Mandatory_Text,$AH94)&amp;"",INDEX(nQ7_Mandatory_Text,$AH94)&amp;"",INDEX(nQ8_Mandatory_Text,$AH94)&amp;"",INDEX(nQ9_Mandatory_Text,$AH94)&amp;"",INDEX(nQ10_Mandatory_Text,$AH94)&amp;"",INDEX(nQ11_Mandatory_Text,$AH94)&amp;""))</f>
        <v/>
      </c>
      <c r="BL94" s="1" t="str">
        <f t="shared" si="68"/>
        <v/>
      </c>
      <c r="BM94" s="1" t="str">
        <f t="shared" si="69"/>
        <v/>
      </c>
    </row>
    <row r="95" spans="1:65" x14ac:dyDescent="0.2">
      <c r="A95" s="21" t="str">
        <f t="shared" si="35"/>
        <v/>
      </c>
      <c r="B95" s="21" t="str">
        <f t="shared" si="36"/>
        <v/>
      </c>
      <c r="C95" s="21" t="str">
        <f t="shared" si="37"/>
        <v/>
      </c>
      <c r="D95" s="21" t="str">
        <f t="shared" si="38"/>
        <v/>
      </c>
      <c r="E95" s="21" t="str">
        <f t="shared" si="39"/>
        <v/>
      </c>
      <c r="F95" s="21" t="str">
        <f t="shared" si="40"/>
        <v/>
      </c>
      <c r="G95" s="21" t="str">
        <f t="shared" si="41"/>
        <v/>
      </c>
      <c r="H95" s="21" t="str">
        <f t="shared" si="42"/>
        <v/>
      </c>
      <c r="I95" s="21" t="str">
        <f t="shared" si="43"/>
        <v/>
      </c>
      <c r="J95" s="21" t="str">
        <f t="shared" si="44"/>
        <v/>
      </c>
      <c r="K95" s="21" t="str">
        <f t="shared" si="45"/>
        <v/>
      </c>
      <c r="L95" s="21" t="str">
        <f t="shared" si="46"/>
        <v/>
      </c>
      <c r="M95" s="21" t="str">
        <f t="shared" si="47"/>
        <v/>
      </c>
      <c r="N95" s="21" t="str">
        <f t="shared" si="48"/>
        <v/>
      </c>
      <c r="O95" s="21" t="str">
        <f t="shared" si="49"/>
        <v/>
      </c>
      <c r="P95" s="21" t="str">
        <f t="shared" si="50"/>
        <v/>
      </c>
      <c r="Q95" s="21" t="str">
        <f t="shared" si="51"/>
        <v/>
      </c>
      <c r="R95" s="21" t="str">
        <f t="shared" si="52"/>
        <v/>
      </c>
      <c r="S95" s="21" t="str">
        <f t="shared" si="53"/>
        <v/>
      </c>
      <c r="T95" s="21" t="str">
        <f t="shared" si="54"/>
        <v/>
      </c>
      <c r="U95" s="21" t="str">
        <f t="shared" si="55"/>
        <v/>
      </c>
      <c r="V95" s="21" t="str">
        <f t="shared" si="56"/>
        <v/>
      </c>
      <c r="W95" s="21" t="str">
        <f t="shared" si="57"/>
        <v/>
      </c>
      <c r="X95" s="21" t="str">
        <f t="shared" si="58"/>
        <v/>
      </c>
      <c r="Y95" s="21" t="str">
        <f t="shared" si="59"/>
        <v/>
      </c>
      <c r="Z95" s="21" t="str">
        <f t="shared" si="60"/>
        <v/>
      </c>
      <c r="AA95" s="21" t="str">
        <f t="shared" si="61"/>
        <v/>
      </c>
      <c r="AB95" s="21" t="str">
        <f t="shared" si="62"/>
        <v/>
      </c>
      <c r="AC95" s="21" t="str">
        <f t="shared" si="63"/>
        <v/>
      </c>
      <c r="AD95" s="21" t="str">
        <f t="shared" si="64"/>
        <v/>
      </c>
      <c r="AE95" s="1">
        <f t="shared" si="65"/>
        <v>88</v>
      </c>
      <c r="AF95" s="1">
        <f t="shared" si="66"/>
        <v>0</v>
      </c>
      <c r="AG95" s="1">
        <f t="shared" si="67"/>
        <v>0</v>
      </c>
      <c r="AH95" s="1">
        <f>IF(AF95=0,0,CHOOSE(AF95,IFERROR(_xlfn.AGGREGATE(15,6,(ROW(nINT_CaseKey)-ROW(INDEX(nINT_CaseKey,1,1))+1)/((nINT_CaseKey=$H$4)*(nINT_RowEmpty=0)),AG95),0),IFERROR(_xlfn.AGGREGATE(15,6,(ROW(nQ1_CaseKey)-ROW(INDEX(nQ1_CaseKey,1,1))+1)/((nQ1_CaseKey=$H$4)),AG95),0),IFERROR(_xlfn.AGGREGATE(15,6,(ROW(nQ2_CaseKey)-ROW(INDEX(nQ2_CaseKey,1,1))+1)/((nQ2_CaseKey=$H$4)),AG95),0),IFERROR(_xlfn.AGGREGATE(15,6,(ROW(nQ3_CaseKey)-ROW(INDEX(nQ3_CaseKey,1,1))+1)/((nQ3_CaseKey=$H$4)),AG95),0),IFERROR(_xlfn.AGGREGATE(15,6,(ROW(nQ4_CaseKey)-ROW(INDEX(nQ4_CaseKey,1,1))+1)/((nQ4_CaseKey=$H$4)),AG95),0),IFERROR(_xlfn.AGGREGATE(15,6,(ROW(nQ5_CaseKey)-ROW(INDEX(nQ5_CaseKey,1,1))+1)/((nQ5_CaseKey=$H$4)),AG95),0),IFERROR(_xlfn.AGGREGATE(15,6,(ROW(nQ6_CaseKey)-ROW(INDEX(nQ6_CaseKey,1,1))+1)/((nQ6_CaseKey=$H$4)),AG95),0),IFERROR(_xlfn.AGGREGATE(15,6,(ROW(nQ7_CaseKey)-ROW(INDEX(nQ7_CaseKey,1,1))+1)/((nQ7_CaseKey=$H$4)),AG95),0),IFERROR(_xlfn.AGGREGATE(15,6,(ROW(nQ8_CaseKey)-ROW(INDEX(nQ8_CaseKey,1,1))+1)/((nQ8_CaseKey=$H$4)),AG95),0),IFERROR(_xlfn.AGGREGATE(15,6,(ROW(nQ9_CaseKey)-ROW(INDEX(nQ9_CaseKey,1,1))+1)/((nQ9_CaseKey=$H$4)),AG95),0),IFERROR(_xlfn.AGGREGATE(15,6,(ROW(nQ10_CaseKey)-ROW(INDEX(nQ10_CaseKey,1,1))+1)/((nQ10_CaseKey=$H$4)),AG95),0),IFERROR(_xlfn.AGGREGATE(15,6,(ROW(nQ11_CaseKey)-ROW(INDEX(nQ11_CaseKey,1,1))+1)/((nQ11_CaseKey=$H$4)),AG95),0)))</f>
        <v>0</v>
      </c>
      <c r="AJ95" s="1" t="str">
        <f>IF($AF95=0,"",CHOOSE($AF95,INDEX(nINT_Case_ID,$AH95)&amp;"",INDEX(nQ1_Case_ID,$AH95)&amp;"",INDEX(nQ2_Case_ID,$AH95)&amp;"",INDEX(nQ3_Case_ID,$AH95)&amp;"",INDEX(nQ4_Case_ID,$AH95)&amp;"",INDEX(nQ5_Case_ID,$AH95)&amp;"",INDEX(nQ6_Case_ID,$AH95)&amp;"",INDEX(nQ7_Case_ID,$AH95)&amp;"",INDEX(nQ8_Case_ID,$AH95)&amp;"",INDEX(nQ9_Case_ID,$AH95)&amp;"",INDEX(nQ10_Case_ID,$AH95)&amp;"",INDEX(nQ11_Case_ID,$AH95)&amp;""))</f>
        <v/>
      </c>
      <c r="AK95" s="1" t="str">
        <f>IF($AF95=0,"",CHOOSE($AF95,INDEX(nINT_Case_Version,$AH95),INDEX(nQ1_Case_Version,$AH95),INDEX(nQ2_Case_Version,$AH95),INDEX(nQ3_Case_Version,$AH95),INDEX(nQ4_Case_Version,$AH95),INDEX(nQ5_Case_Version,$AH95),INDEX(nQ6_Case_Version,$AH95),INDEX(nQ7_Case_Version,$AH95),INDEX(nQ8_Case_Version,$AH95),INDEX(nQ9_Case_Version,$AH95),INDEX(nQ10_Case_Version,$AH95),INDEX(nQ11_Case_Version,$AH95)))</f>
        <v/>
      </c>
      <c r="AL95" s="1" t="str">
        <f>IF($AF95=0,"",CHOOSE($AF95,INDEX(nINT_Interval_ID,$AH95)&amp;"",INDEX(nQ1_Calc_ID,$AH95)&amp;"",INDEX(nQ2_Calc_ID,$AH95)&amp;"",INDEX(nQ3_Calc_ID,$AH95)&amp;"",INDEX(nQ4_Calc_ID,$AH95)&amp;"",INDEX(nQ5_Calc_ID,$AH95)&amp;"",INDEX(nQ6_Calc_ID,$AH95)&amp;"",INDEX(nQ7_Calc_ID,$AH95)&amp;"",INDEX(nQ8_Calc_ID,$AH95)&amp;"",INDEX(nQ9_Calc_ID,$AH95)&amp;"",INDEX(nQ10_Calc_ID,$AH95)&amp;"",INDEX(nQ11_Calc_ID,$AH95)&amp;""))</f>
        <v/>
      </c>
      <c r="AM95" s="1" t="str">
        <f>IF($AF95=0,"",CHOOSE($AF95,INDEX(nINT_Label,$AH95)&amp;"",INDEX(nQ1_Label_Out,$AH95)&amp;"",INDEX(nQ2_Label_Out,$AH95)&amp;"",INDEX(nQ3_Label_Out,$AH95)&amp;"",INDEX(nQ4_Label_Out,$AH95)&amp;"",INDEX(nQ5_Label_Out,$AH95)&amp;"",INDEX(nQ6_Label_Out,$AH95)&amp;"",INDEX(nQ7_Label_Out,$AH95)&amp;"",INDEX(nQ8_Label_Out,$AH95)&amp;"",INDEX(nQ9_Label_Out,$AH95)&amp;"",INDEX(nQ10_Label_Out,$AH95)&amp;"",INDEX(nQ11_Label_Out,$AH95)&amp;""))</f>
        <v/>
      </c>
      <c r="AN95" s="1" t="str">
        <f>IF($AF95=0,"",CHOOSE($AF95,IF(INDEX(nINT_LinkRow,$AH95)=0,"",INDEX(nINT_Link_ID,$AH95)&amp;""),"","","","","","","","","","",""))</f>
        <v/>
      </c>
      <c r="AO95" s="1" t="str">
        <f>IF($AF95=0,"",CHOOSE($AF95,INDEX(nINT_Exposure_Episode_ID,$AH95)&amp;"","","","","","","","","","","",""))</f>
        <v/>
      </c>
      <c r="AP95" s="1" t="str">
        <f>IF($AF95=0,"",CHOOSE($AF95,INDEX(nINT_Event_Episode_ID,$AH95)&amp;"","","","","","","","","","","",""))</f>
        <v/>
      </c>
      <c r="AQ95" s="1" t="str">
        <f>IF($AF95=0,"",CHOOSE($AF95,INDEX(nINT_End_Record_ID_Used,$AH95)&amp;"","","","","","","","","","","",""))</f>
        <v/>
      </c>
      <c r="AR95" s="1" t="str">
        <f>IF($AF95=0,"",CHOOSE($AF95,INDEX(nINT_Interval_Value,$AH95),"","","","","","","","","","",""))</f>
        <v/>
      </c>
      <c r="AS95" s="1" t="str">
        <f>IF($AF95=0,"",CHOOSE($AF95,INDEX(nINT_Interval_Minimum,$AH95),"","","","","","","","","","",""))</f>
        <v/>
      </c>
      <c r="AT95" s="1" t="str">
        <f>IF($AF95=0,"",CHOOSE($AF95,INDEX(nINT_Interval_Maximum,$AH95),"","","","","","","","","","",""))</f>
        <v/>
      </c>
      <c r="AU95" s="1" t="str">
        <f>IF($AF95=0,"",CHOOSE($AF95,INDEX(nINT_Unit,$AH95)&amp;"",INDEX(nQ1_Unit_Out,$AH95)&amp;"",INDEX(nQ2_Unit_Out,$AH95)&amp;"",INDEX(nQ3_Unit_Out,$AH95)&amp;"",INDEX(nQ4_Unit_Out,$AH95)&amp;"",INDEX(nQ5_Unit_Out,$AH95)&amp;"",INDEX(nQ6_Unit_Out,$AH95)&amp;"",INDEX(nQ7_Unit_Out,$AH95)&amp;"",INDEX(nQ8_Unit_Out,$AH95)&amp;"",INDEX(nQ9_Unit_Out,$AH95)&amp;"",INDEX(nQ10_Unit_Out,$AH95)&amp;"",INDEX(nQ11_Unit_Out,$AH95)&amp;""))</f>
        <v/>
      </c>
      <c r="AV95" s="1" t="str">
        <f>IF($AF95=0,"",CHOOSE($AF95,INDEX(nINT_Displayed_Value,$AH95)&amp;"",INDEX(nQ1_Displayed_Value,$AH95)&amp;"",INDEX(nQ2_Displayed_Value,$AH95)&amp;"",INDEX(nQ3_Displayed_Value,$AH95)&amp;"",INDEX(nQ4_Displayed_Value,$AH95)&amp;"",INDEX(nQ5_Displayed_Value,$AH95)&amp;"",INDEX(nQ6_Displayed_Value,$AH95)&amp;"",INDEX(nQ7_Displayed_Value,$AH95)&amp;"",INDEX(nQ8_Displayed_Value,$AH95)&amp;"",INDEX(nQ9_Displayed_Value,$AH95)&amp;"",INDEX(nQ10_Displayed_Value,$AH95)&amp;"",INDEX(nQ11_Displayed_Value,$AH95)&amp;""))</f>
        <v/>
      </c>
      <c r="AW95" s="1" t="str">
        <f>IF($AF95=0,"",CHOOSE($AF95,INDEX(nINT_Calculation_Mode_Used,$AH95)&amp;"","Q1","Q2","Q3","Q4","Q5","Q6","Q7","Q8","Q9","Q10","Q11"))</f>
        <v/>
      </c>
      <c r="AX95" s="1" t="str">
        <f>IF($AF95=0,"",CHOOSE($AF95,INDEX(nINT_Anchor_Type,$AH95)&amp;"","","","","","","","","","","",""))</f>
        <v/>
      </c>
      <c r="AY95" s="1" t="str">
        <f>IF($AF95=0,"",CHOOSE($AF95,IF(INDEX(nINT_K_Ok,$AH95)=1,INDEX(nINT_Anchor_Record_ID_Used,$AH95)&amp;"",""),"","","","","","","","","","",""))</f>
        <v/>
      </c>
      <c r="AZ95" s="1" t="str">
        <f>IF($AF95=0,"",CHOOSE($AF95,INDEX(nINT_Anchor_Description,$AH95)&amp;"","","","","","","","","","","",""))</f>
        <v/>
      </c>
      <c r="BA95" s="1" t="str">
        <f>IF($AF95=0,"",CHOOSE($AF95,INDEX(nINT_Sequence_Status,$AH95)&amp;"","","","","","","","","","","",""))</f>
        <v/>
      </c>
      <c r="BB95" s="1" t="str">
        <f>IF($AF95=0,"",CHOOSE($AF95,INDEX(nINT_Treatment_Day,$AH95),"","","","","","","","","","",""))</f>
        <v/>
      </c>
      <c r="BC95" s="1" t="str">
        <f>IF($AF95=0,"",CHOOSE($AF95,INDEX(nINT_Reported_Timing_Result,$AH95)&amp;"","","","","","","","","","","",""))</f>
        <v/>
      </c>
      <c r="BD95" s="1" t="str">
        <f>IF($AF95=0,"",CHOOSE($AF95,IF(INDEX(nINT_K_HasC,$AH95)=1,INDEX(nINT_Constraint_Source,$AH95)&amp;"",""),"","","","","","","","","","",""))</f>
        <v/>
      </c>
      <c r="BE95" s="1" t="str">
        <f>IF($AF95=0,"",CHOOSE($AF95,"",INDEX(nQ1_Results_Text,$AH95)&amp;"",INDEX(nQ2_Results_Text,$AH95)&amp;"",INDEX(nQ3_Results_Text,$AH95)&amp;"",INDEX(nQ4_Results_Text,$AH95)&amp;"",INDEX(nQ5_Results_Text,$AH95)&amp;"",INDEX(nQ6_Results_Text,$AH95)&amp;"",INDEX(nQ7_Results_Text,$AH95)&amp;"",INDEX(nQ8_Results_Text,$AH95)&amp;"",INDEX(nQ9_Results_Text,$AH95)&amp;"",INDEX(nQ10_Results_Text,$AH95)&amp;"",INDEX(nQ11_Results_Text,$AH95)&amp;""))</f>
        <v/>
      </c>
      <c r="BF95" s="1" t="str">
        <f>IF($AF95=0,"",CHOOSE($AF95,INDEX(nINT_Parameter_Set,$AH95)&amp;"",INDEX(nQ1_Parameter_Set,$AH95)&amp;"",INDEX(nQ2_Parameter_Set,$AH95)&amp;"",INDEX(nQ3_Parameter_Set,$AH95)&amp;"",INDEX(nQ4_Parameter_Set,$AH95)&amp;"",INDEX(nQ5_Parameter_Set,$AH95)&amp;"",INDEX(nQ6_Parameter_Set,$AH95)&amp;"",INDEX(nQ7_Parameter_Set,$AH95)&amp;"",INDEX(nQ8_Parameter_Set,$AH95)&amp;"",INDEX(nQ9_Parameter_Set,$AH95)&amp;"",INDEX(nQ10_Parameter_Set,$AH95)&amp;"",INDEX(nQ11_Parameter_Set,$AH95)&amp;""))</f>
        <v/>
      </c>
      <c r="BG95" s="1" t="str">
        <f>IF($AF95=0,"",CHOOSE($AF95,INDEX(nINT_Assumptions,$AH95)&amp;"",INDEX(nQ1_Assumptions,$AH95)&amp;"",INDEX(nQ2_Assumptions,$AH95)&amp;"",INDEX(nQ3_Assumptions,$AH95)&amp;"",INDEX(nQ4_Assumptions,$AH95)&amp;"",INDEX(nQ5_Assumptions,$AH95)&amp;"",INDEX(nQ6_Assumptions,$AH95)&amp;"",INDEX(nQ7_Assumptions,$AH95)&amp;"",INDEX(nQ8_Assumptions,$AH95)&amp;"",INDEX(nQ9_Assumptions,$AH95)&amp;"",INDEX(nQ10_Assumptions,$AH95)&amp;"",INDEX(nQ11_Assumptions,$AH95)&amp;""))</f>
        <v/>
      </c>
      <c r="BH95" s="1" t="str">
        <f>IF($AF95=0,"",CHOOSE($AF95,INDEX(nINT_Calculation_Version,$AH95)&amp;"",INDEX(nQ1_Calculation_Version,$AH95)&amp;"",INDEX(nQ2_Calculation_Version,$AH95)&amp;"",INDEX(nQ3_Calculation_Version,$AH95)&amp;"",INDEX(nQ4_Calculation_Version,$AH95)&amp;"",INDEX(nQ5_Calculation_Version,$AH95)&amp;"",INDEX(nQ6_Calculation_Version,$AH95)&amp;"",INDEX(nQ7_Calculation_Version,$AH95)&amp;"",INDEX(nQ8_Calculation_Version,$AH95)&amp;"",INDEX(nQ9_Calculation_Version,$AH95)&amp;"",INDEX(nQ10_Calculation_Version,$AH95)&amp;"",INDEX(nQ11_Calculation_Version,$AH95)&amp;""))</f>
        <v/>
      </c>
      <c r="BI95" s="1" t="str">
        <f>IF($AF95=0,"",CHOOSE($AF95,INDEX(nINT_QC_Flags,$AH95)&amp;"",INDEX(nQ1_QC_Flags,$AH95)&amp;"",INDEX(nQ2_QC_Flags,$AH95)&amp;"",INDEX(nQ3_QC_Flags,$AH95)&amp;"",INDEX(nQ4_QC_Flags,$AH95)&amp;"",INDEX(nQ5_QC_Flags,$AH95)&amp;"",INDEX(nQ6_QC_Flags,$AH95)&amp;"",INDEX(nQ7_QC_Flags,$AH95)&amp;"",INDEX(nQ8_QC_Flags,$AH95)&amp;"",INDEX(nQ9_QC_Flags,$AH95)&amp;"",INDEX(nQ10_QC_Flags,$AH95)&amp;"",INDEX(nQ11_QC_Flags,$AH95)&amp;""))</f>
        <v/>
      </c>
      <c r="BJ95" s="1" t="str">
        <f>IF($AF95=0,"",CHOOSE($AF95,INDEX(nINT_Messages,$AH95)&amp;"",INDEX(nQ1_Messages,$AH95)&amp;"",INDEX(nQ2_Messages,$AH95)&amp;"",INDEX(nQ3_Messages,$AH95)&amp;"",INDEX(nQ4_Messages,$AH95)&amp;"",INDEX(nQ5_Messages,$AH95)&amp;"",INDEX(nQ6_Messages,$AH95)&amp;"",INDEX(nQ7_Messages,$AH95)&amp;"",INDEX(nQ8_Messages,$AH95)&amp;"",INDEX(nQ9_Messages,$AH95)&amp;"",INDEX(nQ10_Messages,$AH95)&amp;"",INDEX(nQ11_Messages,$AH95)&amp;""))</f>
        <v/>
      </c>
      <c r="BK95" s="1" t="str">
        <f>IF($AF95=0,"",CHOOSE($AF95,INDEX(nINT_Limitations,$AH95)&amp;"",INDEX(nQ1_Mandatory_Text,$AH95)&amp;"",INDEX(nQ2_Mandatory_Text,$AH95)&amp;"",INDEX(nQ3_Mandatory_Text,$AH95)&amp;"",INDEX(nQ4_Mandatory_Text,$AH95)&amp;"",INDEX(nQ5_Mandatory_Text,$AH95)&amp;"",INDEX(nQ6_Mandatory_Text,$AH95)&amp;"",INDEX(nQ7_Mandatory_Text,$AH95)&amp;"",INDEX(nQ8_Mandatory_Text,$AH95)&amp;"",INDEX(nQ9_Mandatory_Text,$AH95)&amp;"",INDEX(nQ10_Mandatory_Text,$AH95)&amp;"",INDEX(nQ11_Mandatory_Text,$AH95)&amp;""))</f>
        <v/>
      </c>
      <c r="BL95" s="1" t="str">
        <f t="shared" si="68"/>
        <v/>
      </c>
      <c r="BM95" s="1" t="str">
        <f t="shared" si="69"/>
        <v/>
      </c>
    </row>
    <row r="96" spans="1:65" x14ac:dyDescent="0.2">
      <c r="A96" s="21" t="str">
        <f t="shared" si="35"/>
        <v/>
      </c>
      <c r="B96" s="21" t="str">
        <f t="shared" si="36"/>
        <v/>
      </c>
      <c r="C96" s="21" t="str">
        <f t="shared" si="37"/>
        <v/>
      </c>
      <c r="D96" s="21" t="str">
        <f t="shared" si="38"/>
        <v/>
      </c>
      <c r="E96" s="21" t="str">
        <f t="shared" si="39"/>
        <v/>
      </c>
      <c r="F96" s="21" t="str">
        <f t="shared" si="40"/>
        <v/>
      </c>
      <c r="G96" s="21" t="str">
        <f t="shared" si="41"/>
        <v/>
      </c>
      <c r="H96" s="21" t="str">
        <f t="shared" si="42"/>
        <v/>
      </c>
      <c r="I96" s="21" t="str">
        <f t="shared" si="43"/>
        <v/>
      </c>
      <c r="J96" s="21" t="str">
        <f t="shared" si="44"/>
        <v/>
      </c>
      <c r="K96" s="21" t="str">
        <f t="shared" si="45"/>
        <v/>
      </c>
      <c r="L96" s="21" t="str">
        <f t="shared" si="46"/>
        <v/>
      </c>
      <c r="M96" s="21" t="str">
        <f t="shared" si="47"/>
        <v/>
      </c>
      <c r="N96" s="21" t="str">
        <f t="shared" si="48"/>
        <v/>
      </c>
      <c r="O96" s="21" t="str">
        <f t="shared" si="49"/>
        <v/>
      </c>
      <c r="P96" s="21" t="str">
        <f t="shared" si="50"/>
        <v/>
      </c>
      <c r="Q96" s="21" t="str">
        <f t="shared" si="51"/>
        <v/>
      </c>
      <c r="R96" s="21" t="str">
        <f t="shared" si="52"/>
        <v/>
      </c>
      <c r="S96" s="21" t="str">
        <f t="shared" si="53"/>
        <v/>
      </c>
      <c r="T96" s="21" t="str">
        <f t="shared" si="54"/>
        <v/>
      </c>
      <c r="U96" s="21" t="str">
        <f t="shared" si="55"/>
        <v/>
      </c>
      <c r="V96" s="21" t="str">
        <f t="shared" si="56"/>
        <v/>
      </c>
      <c r="W96" s="21" t="str">
        <f t="shared" si="57"/>
        <v/>
      </c>
      <c r="X96" s="21" t="str">
        <f t="shared" si="58"/>
        <v/>
      </c>
      <c r="Y96" s="21" t="str">
        <f t="shared" si="59"/>
        <v/>
      </c>
      <c r="Z96" s="21" t="str">
        <f t="shared" si="60"/>
        <v/>
      </c>
      <c r="AA96" s="21" t="str">
        <f t="shared" si="61"/>
        <v/>
      </c>
      <c r="AB96" s="21" t="str">
        <f t="shared" si="62"/>
        <v/>
      </c>
      <c r="AC96" s="21" t="str">
        <f t="shared" si="63"/>
        <v/>
      </c>
      <c r="AD96" s="21" t="str">
        <f t="shared" si="64"/>
        <v/>
      </c>
      <c r="AE96" s="1">
        <f t="shared" si="65"/>
        <v>89</v>
      </c>
      <c r="AF96" s="1">
        <f t="shared" si="66"/>
        <v>0</v>
      </c>
      <c r="AG96" s="1">
        <f t="shared" si="67"/>
        <v>0</v>
      </c>
      <c r="AH96" s="1">
        <f>IF(AF96=0,0,CHOOSE(AF96,IFERROR(_xlfn.AGGREGATE(15,6,(ROW(nINT_CaseKey)-ROW(INDEX(nINT_CaseKey,1,1))+1)/((nINT_CaseKey=$H$4)*(nINT_RowEmpty=0)),AG96),0),IFERROR(_xlfn.AGGREGATE(15,6,(ROW(nQ1_CaseKey)-ROW(INDEX(nQ1_CaseKey,1,1))+1)/((nQ1_CaseKey=$H$4)),AG96),0),IFERROR(_xlfn.AGGREGATE(15,6,(ROW(nQ2_CaseKey)-ROW(INDEX(nQ2_CaseKey,1,1))+1)/((nQ2_CaseKey=$H$4)),AG96),0),IFERROR(_xlfn.AGGREGATE(15,6,(ROW(nQ3_CaseKey)-ROW(INDEX(nQ3_CaseKey,1,1))+1)/((nQ3_CaseKey=$H$4)),AG96),0),IFERROR(_xlfn.AGGREGATE(15,6,(ROW(nQ4_CaseKey)-ROW(INDEX(nQ4_CaseKey,1,1))+1)/((nQ4_CaseKey=$H$4)),AG96),0),IFERROR(_xlfn.AGGREGATE(15,6,(ROW(nQ5_CaseKey)-ROW(INDEX(nQ5_CaseKey,1,1))+1)/((nQ5_CaseKey=$H$4)),AG96),0),IFERROR(_xlfn.AGGREGATE(15,6,(ROW(nQ6_CaseKey)-ROW(INDEX(nQ6_CaseKey,1,1))+1)/((nQ6_CaseKey=$H$4)),AG96),0),IFERROR(_xlfn.AGGREGATE(15,6,(ROW(nQ7_CaseKey)-ROW(INDEX(nQ7_CaseKey,1,1))+1)/((nQ7_CaseKey=$H$4)),AG96),0),IFERROR(_xlfn.AGGREGATE(15,6,(ROW(nQ8_CaseKey)-ROW(INDEX(nQ8_CaseKey,1,1))+1)/((nQ8_CaseKey=$H$4)),AG96),0),IFERROR(_xlfn.AGGREGATE(15,6,(ROW(nQ9_CaseKey)-ROW(INDEX(nQ9_CaseKey,1,1))+1)/((nQ9_CaseKey=$H$4)),AG96),0),IFERROR(_xlfn.AGGREGATE(15,6,(ROW(nQ10_CaseKey)-ROW(INDEX(nQ10_CaseKey,1,1))+1)/((nQ10_CaseKey=$H$4)),AG96),0),IFERROR(_xlfn.AGGREGATE(15,6,(ROW(nQ11_CaseKey)-ROW(INDEX(nQ11_CaseKey,1,1))+1)/((nQ11_CaseKey=$H$4)),AG96),0)))</f>
        <v>0</v>
      </c>
      <c r="AJ96" s="1" t="str">
        <f>IF($AF96=0,"",CHOOSE($AF96,INDEX(nINT_Case_ID,$AH96)&amp;"",INDEX(nQ1_Case_ID,$AH96)&amp;"",INDEX(nQ2_Case_ID,$AH96)&amp;"",INDEX(nQ3_Case_ID,$AH96)&amp;"",INDEX(nQ4_Case_ID,$AH96)&amp;"",INDEX(nQ5_Case_ID,$AH96)&amp;"",INDEX(nQ6_Case_ID,$AH96)&amp;"",INDEX(nQ7_Case_ID,$AH96)&amp;"",INDEX(nQ8_Case_ID,$AH96)&amp;"",INDEX(nQ9_Case_ID,$AH96)&amp;"",INDEX(nQ10_Case_ID,$AH96)&amp;"",INDEX(nQ11_Case_ID,$AH96)&amp;""))</f>
        <v/>
      </c>
      <c r="AK96" s="1" t="str">
        <f>IF($AF96=0,"",CHOOSE($AF96,INDEX(nINT_Case_Version,$AH96),INDEX(nQ1_Case_Version,$AH96),INDEX(nQ2_Case_Version,$AH96),INDEX(nQ3_Case_Version,$AH96),INDEX(nQ4_Case_Version,$AH96),INDEX(nQ5_Case_Version,$AH96),INDEX(nQ6_Case_Version,$AH96),INDEX(nQ7_Case_Version,$AH96),INDEX(nQ8_Case_Version,$AH96),INDEX(nQ9_Case_Version,$AH96),INDEX(nQ10_Case_Version,$AH96),INDEX(nQ11_Case_Version,$AH96)))</f>
        <v/>
      </c>
      <c r="AL96" s="1" t="str">
        <f>IF($AF96=0,"",CHOOSE($AF96,INDEX(nINT_Interval_ID,$AH96)&amp;"",INDEX(nQ1_Calc_ID,$AH96)&amp;"",INDEX(nQ2_Calc_ID,$AH96)&amp;"",INDEX(nQ3_Calc_ID,$AH96)&amp;"",INDEX(nQ4_Calc_ID,$AH96)&amp;"",INDEX(nQ5_Calc_ID,$AH96)&amp;"",INDEX(nQ6_Calc_ID,$AH96)&amp;"",INDEX(nQ7_Calc_ID,$AH96)&amp;"",INDEX(nQ8_Calc_ID,$AH96)&amp;"",INDEX(nQ9_Calc_ID,$AH96)&amp;"",INDEX(nQ10_Calc_ID,$AH96)&amp;"",INDEX(nQ11_Calc_ID,$AH96)&amp;""))</f>
        <v/>
      </c>
      <c r="AM96" s="1" t="str">
        <f>IF($AF96=0,"",CHOOSE($AF96,INDEX(nINT_Label,$AH96)&amp;"",INDEX(nQ1_Label_Out,$AH96)&amp;"",INDEX(nQ2_Label_Out,$AH96)&amp;"",INDEX(nQ3_Label_Out,$AH96)&amp;"",INDEX(nQ4_Label_Out,$AH96)&amp;"",INDEX(nQ5_Label_Out,$AH96)&amp;"",INDEX(nQ6_Label_Out,$AH96)&amp;"",INDEX(nQ7_Label_Out,$AH96)&amp;"",INDEX(nQ8_Label_Out,$AH96)&amp;"",INDEX(nQ9_Label_Out,$AH96)&amp;"",INDEX(nQ10_Label_Out,$AH96)&amp;"",INDEX(nQ11_Label_Out,$AH96)&amp;""))</f>
        <v/>
      </c>
      <c r="AN96" s="1" t="str">
        <f>IF($AF96=0,"",CHOOSE($AF96,IF(INDEX(nINT_LinkRow,$AH96)=0,"",INDEX(nINT_Link_ID,$AH96)&amp;""),"","","","","","","","","","",""))</f>
        <v/>
      </c>
      <c r="AO96" s="1" t="str">
        <f>IF($AF96=0,"",CHOOSE($AF96,INDEX(nINT_Exposure_Episode_ID,$AH96)&amp;"","","","","","","","","","","",""))</f>
        <v/>
      </c>
      <c r="AP96" s="1" t="str">
        <f>IF($AF96=0,"",CHOOSE($AF96,INDEX(nINT_Event_Episode_ID,$AH96)&amp;"","","","","","","","","","","",""))</f>
        <v/>
      </c>
      <c r="AQ96" s="1" t="str">
        <f>IF($AF96=0,"",CHOOSE($AF96,INDEX(nINT_End_Record_ID_Used,$AH96)&amp;"","","","","","","","","","","",""))</f>
        <v/>
      </c>
      <c r="AR96" s="1" t="str">
        <f>IF($AF96=0,"",CHOOSE($AF96,INDEX(nINT_Interval_Value,$AH96),"","","","","","","","","","",""))</f>
        <v/>
      </c>
      <c r="AS96" s="1" t="str">
        <f>IF($AF96=0,"",CHOOSE($AF96,INDEX(nINT_Interval_Minimum,$AH96),"","","","","","","","","","",""))</f>
        <v/>
      </c>
      <c r="AT96" s="1" t="str">
        <f>IF($AF96=0,"",CHOOSE($AF96,INDEX(nINT_Interval_Maximum,$AH96),"","","","","","","","","","",""))</f>
        <v/>
      </c>
      <c r="AU96" s="1" t="str">
        <f>IF($AF96=0,"",CHOOSE($AF96,INDEX(nINT_Unit,$AH96)&amp;"",INDEX(nQ1_Unit_Out,$AH96)&amp;"",INDEX(nQ2_Unit_Out,$AH96)&amp;"",INDEX(nQ3_Unit_Out,$AH96)&amp;"",INDEX(nQ4_Unit_Out,$AH96)&amp;"",INDEX(nQ5_Unit_Out,$AH96)&amp;"",INDEX(nQ6_Unit_Out,$AH96)&amp;"",INDEX(nQ7_Unit_Out,$AH96)&amp;"",INDEX(nQ8_Unit_Out,$AH96)&amp;"",INDEX(nQ9_Unit_Out,$AH96)&amp;"",INDEX(nQ10_Unit_Out,$AH96)&amp;"",INDEX(nQ11_Unit_Out,$AH96)&amp;""))</f>
        <v/>
      </c>
      <c r="AV96" s="1" t="str">
        <f>IF($AF96=0,"",CHOOSE($AF96,INDEX(nINT_Displayed_Value,$AH96)&amp;"",INDEX(nQ1_Displayed_Value,$AH96)&amp;"",INDEX(nQ2_Displayed_Value,$AH96)&amp;"",INDEX(nQ3_Displayed_Value,$AH96)&amp;"",INDEX(nQ4_Displayed_Value,$AH96)&amp;"",INDEX(nQ5_Displayed_Value,$AH96)&amp;"",INDEX(nQ6_Displayed_Value,$AH96)&amp;"",INDEX(nQ7_Displayed_Value,$AH96)&amp;"",INDEX(nQ8_Displayed_Value,$AH96)&amp;"",INDEX(nQ9_Displayed_Value,$AH96)&amp;"",INDEX(nQ10_Displayed_Value,$AH96)&amp;"",INDEX(nQ11_Displayed_Value,$AH96)&amp;""))</f>
        <v/>
      </c>
      <c r="AW96" s="1" t="str">
        <f>IF($AF96=0,"",CHOOSE($AF96,INDEX(nINT_Calculation_Mode_Used,$AH96)&amp;"","Q1","Q2","Q3","Q4","Q5","Q6","Q7","Q8","Q9","Q10","Q11"))</f>
        <v/>
      </c>
      <c r="AX96" s="1" t="str">
        <f>IF($AF96=0,"",CHOOSE($AF96,INDEX(nINT_Anchor_Type,$AH96)&amp;"","","","","","","","","","","",""))</f>
        <v/>
      </c>
      <c r="AY96" s="1" t="str">
        <f>IF($AF96=0,"",CHOOSE($AF96,IF(INDEX(nINT_K_Ok,$AH96)=1,INDEX(nINT_Anchor_Record_ID_Used,$AH96)&amp;"",""),"","","","","","","","","","",""))</f>
        <v/>
      </c>
      <c r="AZ96" s="1" t="str">
        <f>IF($AF96=0,"",CHOOSE($AF96,INDEX(nINT_Anchor_Description,$AH96)&amp;"","","","","","","","","","","",""))</f>
        <v/>
      </c>
      <c r="BA96" s="1" t="str">
        <f>IF($AF96=0,"",CHOOSE($AF96,INDEX(nINT_Sequence_Status,$AH96)&amp;"","","","","","","","","","","",""))</f>
        <v/>
      </c>
      <c r="BB96" s="1" t="str">
        <f>IF($AF96=0,"",CHOOSE($AF96,INDEX(nINT_Treatment_Day,$AH96),"","","","","","","","","","",""))</f>
        <v/>
      </c>
      <c r="BC96" s="1" t="str">
        <f>IF($AF96=0,"",CHOOSE($AF96,INDEX(nINT_Reported_Timing_Result,$AH96)&amp;"","","","","","","","","","","",""))</f>
        <v/>
      </c>
      <c r="BD96" s="1" t="str">
        <f>IF($AF96=0,"",CHOOSE($AF96,IF(INDEX(nINT_K_HasC,$AH96)=1,INDEX(nINT_Constraint_Source,$AH96)&amp;"",""),"","","","","","","","","","",""))</f>
        <v/>
      </c>
      <c r="BE96" s="1" t="str">
        <f>IF($AF96=0,"",CHOOSE($AF96,"",INDEX(nQ1_Results_Text,$AH96)&amp;"",INDEX(nQ2_Results_Text,$AH96)&amp;"",INDEX(nQ3_Results_Text,$AH96)&amp;"",INDEX(nQ4_Results_Text,$AH96)&amp;"",INDEX(nQ5_Results_Text,$AH96)&amp;"",INDEX(nQ6_Results_Text,$AH96)&amp;"",INDEX(nQ7_Results_Text,$AH96)&amp;"",INDEX(nQ8_Results_Text,$AH96)&amp;"",INDEX(nQ9_Results_Text,$AH96)&amp;"",INDEX(nQ10_Results_Text,$AH96)&amp;"",INDEX(nQ11_Results_Text,$AH96)&amp;""))</f>
        <v/>
      </c>
      <c r="BF96" s="1" t="str">
        <f>IF($AF96=0,"",CHOOSE($AF96,INDEX(nINT_Parameter_Set,$AH96)&amp;"",INDEX(nQ1_Parameter_Set,$AH96)&amp;"",INDEX(nQ2_Parameter_Set,$AH96)&amp;"",INDEX(nQ3_Parameter_Set,$AH96)&amp;"",INDEX(nQ4_Parameter_Set,$AH96)&amp;"",INDEX(nQ5_Parameter_Set,$AH96)&amp;"",INDEX(nQ6_Parameter_Set,$AH96)&amp;"",INDEX(nQ7_Parameter_Set,$AH96)&amp;"",INDEX(nQ8_Parameter_Set,$AH96)&amp;"",INDEX(nQ9_Parameter_Set,$AH96)&amp;"",INDEX(nQ10_Parameter_Set,$AH96)&amp;"",INDEX(nQ11_Parameter_Set,$AH96)&amp;""))</f>
        <v/>
      </c>
      <c r="BG96" s="1" t="str">
        <f>IF($AF96=0,"",CHOOSE($AF96,INDEX(nINT_Assumptions,$AH96)&amp;"",INDEX(nQ1_Assumptions,$AH96)&amp;"",INDEX(nQ2_Assumptions,$AH96)&amp;"",INDEX(nQ3_Assumptions,$AH96)&amp;"",INDEX(nQ4_Assumptions,$AH96)&amp;"",INDEX(nQ5_Assumptions,$AH96)&amp;"",INDEX(nQ6_Assumptions,$AH96)&amp;"",INDEX(nQ7_Assumptions,$AH96)&amp;"",INDEX(nQ8_Assumptions,$AH96)&amp;"",INDEX(nQ9_Assumptions,$AH96)&amp;"",INDEX(nQ10_Assumptions,$AH96)&amp;"",INDEX(nQ11_Assumptions,$AH96)&amp;""))</f>
        <v/>
      </c>
      <c r="BH96" s="1" t="str">
        <f>IF($AF96=0,"",CHOOSE($AF96,INDEX(nINT_Calculation_Version,$AH96)&amp;"",INDEX(nQ1_Calculation_Version,$AH96)&amp;"",INDEX(nQ2_Calculation_Version,$AH96)&amp;"",INDEX(nQ3_Calculation_Version,$AH96)&amp;"",INDEX(nQ4_Calculation_Version,$AH96)&amp;"",INDEX(nQ5_Calculation_Version,$AH96)&amp;"",INDEX(nQ6_Calculation_Version,$AH96)&amp;"",INDEX(nQ7_Calculation_Version,$AH96)&amp;"",INDEX(nQ8_Calculation_Version,$AH96)&amp;"",INDEX(nQ9_Calculation_Version,$AH96)&amp;"",INDEX(nQ10_Calculation_Version,$AH96)&amp;"",INDEX(nQ11_Calculation_Version,$AH96)&amp;""))</f>
        <v/>
      </c>
      <c r="BI96" s="1" t="str">
        <f>IF($AF96=0,"",CHOOSE($AF96,INDEX(nINT_QC_Flags,$AH96)&amp;"",INDEX(nQ1_QC_Flags,$AH96)&amp;"",INDEX(nQ2_QC_Flags,$AH96)&amp;"",INDEX(nQ3_QC_Flags,$AH96)&amp;"",INDEX(nQ4_QC_Flags,$AH96)&amp;"",INDEX(nQ5_QC_Flags,$AH96)&amp;"",INDEX(nQ6_QC_Flags,$AH96)&amp;"",INDEX(nQ7_QC_Flags,$AH96)&amp;"",INDEX(nQ8_QC_Flags,$AH96)&amp;"",INDEX(nQ9_QC_Flags,$AH96)&amp;"",INDEX(nQ10_QC_Flags,$AH96)&amp;"",INDEX(nQ11_QC_Flags,$AH96)&amp;""))</f>
        <v/>
      </c>
      <c r="BJ96" s="1" t="str">
        <f>IF($AF96=0,"",CHOOSE($AF96,INDEX(nINT_Messages,$AH96)&amp;"",INDEX(nQ1_Messages,$AH96)&amp;"",INDEX(nQ2_Messages,$AH96)&amp;"",INDEX(nQ3_Messages,$AH96)&amp;"",INDEX(nQ4_Messages,$AH96)&amp;"",INDEX(nQ5_Messages,$AH96)&amp;"",INDEX(nQ6_Messages,$AH96)&amp;"",INDEX(nQ7_Messages,$AH96)&amp;"",INDEX(nQ8_Messages,$AH96)&amp;"",INDEX(nQ9_Messages,$AH96)&amp;"",INDEX(nQ10_Messages,$AH96)&amp;"",INDEX(nQ11_Messages,$AH96)&amp;""))</f>
        <v/>
      </c>
      <c r="BK96" s="1" t="str">
        <f>IF($AF96=0,"",CHOOSE($AF96,INDEX(nINT_Limitations,$AH96)&amp;"",INDEX(nQ1_Mandatory_Text,$AH96)&amp;"",INDEX(nQ2_Mandatory_Text,$AH96)&amp;"",INDEX(nQ3_Mandatory_Text,$AH96)&amp;"",INDEX(nQ4_Mandatory_Text,$AH96)&amp;"",INDEX(nQ5_Mandatory_Text,$AH96)&amp;"",INDEX(nQ6_Mandatory_Text,$AH96)&amp;"",INDEX(nQ7_Mandatory_Text,$AH96)&amp;"",INDEX(nQ8_Mandatory_Text,$AH96)&amp;"",INDEX(nQ9_Mandatory_Text,$AH96)&amp;"",INDEX(nQ10_Mandatory_Text,$AH96)&amp;"",INDEX(nQ11_Mandatory_Text,$AH96)&amp;""))</f>
        <v/>
      </c>
      <c r="BL96" s="1" t="str">
        <f t="shared" si="68"/>
        <v/>
      </c>
      <c r="BM96" s="1" t="str">
        <f t="shared" si="69"/>
        <v/>
      </c>
    </row>
    <row r="97" spans="1:65" x14ac:dyDescent="0.2">
      <c r="A97" s="21" t="str">
        <f t="shared" si="35"/>
        <v/>
      </c>
      <c r="B97" s="21" t="str">
        <f t="shared" si="36"/>
        <v/>
      </c>
      <c r="C97" s="21" t="str">
        <f t="shared" si="37"/>
        <v/>
      </c>
      <c r="D97" s="21" t="str">
        <f t="shared" si="38"/>
        <v/>
      </c>
      <c r="E97" s="21" t="str">
        <f t="shared" si="39"/>
        <v/>
      </c>
      <c r="F97" s="21" t="str">
        <f t="shared" si="40"/>
        <v/>
      </c>
      <c r="G97" s="21" t="str">
        <f t="shared" si="41"/>
        <v/>
      </c>
      <c r="H97" s="21" t="str">
        <f t="shared" si="42"/>
        <v/>
      </c>
      <c r="I97" s="21" t="str">
        <f t="shared" si="43"/>
        <v/>
      </c>
      <c r="J97" s="21" t="str">
        <f t="shared" si="44"/>
        <v/>
      </c>
      <c r="K97" s="21" t="str">
        <f t="shared" si="45"/>
        <v/>
      </c>
      <c r="L97" s="21" t="str">
        <f t="shared" si="46"/>
        <v/>
      </c>
      <c r="M97" s="21" t="str">
        <f t="shared" si="47"/>
        <v/>
      </c>
      <c r="N97" s="21" t="str">
        <f t="shared" si="48"/>
        <v/>
      </c>
      <c r="O97" s="21" t="str">
        <f t="shared" si="49"/>
        <v/>
      </c>
      <c r="P97" s="21" t="str">
        <f t="shared" si="50"/>
        <v/>
      </c>
      <c r="Q97" s="21" t="str">
        <f t="shared" si="51"/>
        <v/>
      </c>
      <c r="R97" s="21" t="str">
        <f t="shared" si="52"/>
        <v/>
      </c>
      <c r="S97" s="21" t="str">
        <f t="shared" si="53"/>
        <v/>
      </c>
      <c r="T97" s="21" t="str">
        <f t="shared" si="54"/>
        <v/>
      </c>
      <c r="U97" s="21" t="str">
        <f t="shared" si="55"/>
        <v/>
      </c>
      <c r="V97" s="21" t="str">
        <f t="shared" si="56"/>
        <v/>
      </c>
      <c r="W97" s="21" t="str">
        <f t="shared" si="57"/>
        <v/>
      </c>
      <c r="X97" s="21" t="str">
        <f t="shared" si="58"/>
        <v/>
      </c>
      <c r="Y97" s="21" t="str">
        <f t="shared" si="59"/>
        <v/>
      </c>
      <c r="Z97" s="21" t="str">
        <f t="shared" si="60"/>
        <v/>
      </c>
      <c r="AA97" s="21" t="str">
        <f t="shared" si="61"/>
        <v/>
      </c>
      <c r="AB97" s="21" t="str">
        <f t="shared" si="62"/>
        <v/>
      </c>
      <c r="AC97" s="21" t="str">
        <f t="shared" si="63"/>
        <v/>
      </c>
      <c r="AD97" s="21" t="str">
        <f t="shared" si="64"/>
        <v/>
      </c>
      <c r="AE97" s="1">
        <f t="shared" si="65"/>
        <v>90</v>
      </c>
      <c r="AF97" s="1">
        <f t="shared" si="66"/>
        <v>0</v>
      </c>
      <c r="AG97" s="1">
        <f t="shared" si="67"/>
        <v>0</v>
      </c>
      <c r="AH97" s="1">
        <f>IF(AF97=0,0,CHOOSE(AF97,IFERROR(_xlfn.AGGREGATE(15,6,(ROW(nINT_CaseKey)-ROW(INDEX(nINT_CaseKey,1,1))+1)/((nINT_CaseKey=$H$4)*(nINT_RowEmpty=0)),AG97),0),IFERROR(_xlfn.AGGREGATE(15,6,(ROW(nQ1_CaseKey)-ROW(INDEX(nQ1_CaseKey,1,1))+1)/((nQ1_CaseKey=$H$4)),AG97),0),IFERROR(_xlfn.AGGREGATE(15,6,(ROW(nQ2_CaseKey)-ROW(INDEX(nQ2_CaseKey,1,1))+1)/((nQ2_CaseKey=$H$4)),AG97),0),IFERROR(_xlfn.AGGREGATE(15,6,(ROW(nQ3_CaseKey)-ROW(INDEX(nQ3_CaseKey,1,1))+1)/((nQ3_CaseKey=$H$4)),AG97),0),IFERROR(_xlfn.AGGREGATE(15,6,(ROW(nQ4_CaseKey)-ROW(INDEX(nQ4_CaseKey,1,1))+1)/((nQ4_CaseKey=$H$4)),AG97),0),IFERROR(_xlfn.AGGREGATE(15,6,(ROW(nQ5_CaseKey)-ROW(INDEX(nQ5_CaseKey,1,1))+1)/((nQ5_CaseKey=$H$4)),AG97),0),IFERROR(_xlfn.AGGREGATE(15,6,(ROW(nQ6_CaseKey)-ROW(INDEX(nQ6_CaseKey,1,1))+1)/((nQ6_CaseKey=$H$4)),AG97),0),IFERROR(_xlfn.AGGREGATE(15,6,(ROW(nQ7_CaseKey)-ROW(INDEX(nQ7_CaseKey,1,1))+1)/((nQ7_CaseKey=$H$4)),AG97),0),IFERROR(_xlfn.AGGREGATE(15,6,(ROW(nQ8_CaseKey)-ROW(INDEX(nQ8_CaseKey,1,1))+1)/((nQ8_CaseKey=$H$4)),AG97),0),IFERROR(_xlfn.AGGREGATE(15,6,(ROW(nQ9_CaseKey)-ROW(INDEX(nQ9_CaseKey,1,1))+1)/((nQ9_CaseKey=$H$4)),AG97),0),IFERROR(_xlfn.AGGREGATE(15,6,(ROW(nQ10_CaseKey)-ROW(INDEX(nQ10_CaseKey,1,1))+1)/((nQ10_CaseKey=$H$4)),AG97),0),IFERROR(_xlfn.AGGREGATE(15,6,(ROW(nQ11_CaseKey)-ROW(INDEX(nQ11_CaseKey,1,1))+1)/((nQ11_CaseKey=$H$4)),AG97),0)))</f>
        <v>0</v>
      </c>
      <c r="AJ97" s="1" t="str">
        <f>IF($AF97=0,"",CHOOSE($AF97,INDEX(nINT_Case_ID,$AH97)&amp;"",INDEX(nQ1_Case_ID,$AH97)&amp;"",INDEX(nQ2_Case_ID,$AH97)&amp;"",INDEX(nQ3_Case_ID,$AH97)&amp;"",INDEX(nQ4_Case_ID,$AH97)&amp;"",INDEX(nQ5_Case_ID,$AH97)&amp;"",INDEX(nQ6_Case_ID,$AH97)&amp;"",INDEX(nQ7_Case_ID,$AH97)&amp;"",INDEX(nQ8_Case_ID,$AH97)&amp;"",INDEX(nQ9_Case_ID,$AH97)&amp;"",INDEX(nQ10_Case_ID,$AH97)&amp;"",INDEX(nQ11_Case_ID,$AH97)&amp;""))</f>
        <v/>
      </c>
      <c r="AK97" s="1" t="str">
        <f>IF($AF97=0,"",CHOOSE($AF97,INDEX(nINT_Case_Version,$AH97),INDEX(nQ1_Case_Version,$AH97),INDEX(nQ2_Case_Version,$AH97),INDEX(nQ3_Case_Version,$AH97),INDEX(nQ4_Case_Version,$AH97),INDEX(nQ5_Case_Version,$AH97),INDEX(nQ6_Case_Version,$AH97),INDEX(nQ7_Case_Version,$AH97),INDEX(nQ8_Case_Version,$AH97),INDEX(nQ9_Case_Version,$AH97),INDEX(nQ10_Case_Version,$AH97),INDEX(nQ11_Case_Version,$AH97)))</f>
        <v/>
      </c>
      <c r="AL97" s="1" t="str">
        <f>IF($AF97=0,"",CHOOSE($AF97,INDEX(nINT_Interval_ID,$AH97)&amp;"",INDEX(nQ1_Calc_ID,$AH97)&amp;"",INDEX(nQ2_Calc_ID,$AH97)&amp;"",INDEX(nQ3_Calc_ID,$AH97)&amp;"",INDEX(nQ4_Calc_ID,$AH97)&amp;"",INDEX(nQ5_Calc_ID,$AH97)&amp;"",INDEX(nQ6_Calc_ID,$AH97)&amp;"",INDEX(nQ7_Calc_ID,$AH97)&amp;"",INDEX(nQ8_Calc_ID,$AH97)&amp;"",INDEX(nQ9_Calc_ID,$AH97)&amp;"",INDEX(nQ10_Calc_ID,$AH97)&amp;"",INDEX(nQ11_Calc_ID,$AH97)&amp;""))</f>
        <v/>
      </c>
      <c r="AM97" s="1" t="str">
        <f>IF($AF97=0,"",CHOOSE($AF97,INDEX(nINT_Label,$AH97)&amp;"",INDEX(nQ1_Label_Out,$AH97)&amp;"",INDEX(nQ2_Label_Out,$AH97)&amp;"",INDEX(nQ3_Label_Out,$AH97)&amp;"",INDEX(nQ4_Label_Out,$AH97)&amp;"",INDEX(nQ5_Label_Out,$AH97)&amp;"",INDEX(nQ6_Label_Out,$AH97)&amp;"",INDEX(nQ7_Label_Out,$AH97)&amp;"",INDEX(nQ8_Label_Out,$AH97)&amp;"",INDEX(nQ9_Label_Out,$AH97)&amp;"",INDEX(nQ10_Label_Out,$AH97)&amp;"",INDEX(nQ11_Label_Out,$AH97)&amp;""))</f>
        <v/>
      </c>
      <c r="AN97" s="1" t="str">
        <f>IF($AF97=0,"",CHOOSE($AF97,IF(INDEX(nINT_LinkRow,$AH97)=0,"",INDEX(nINT_Link_ID,$AH97)&amp;""),"","","","","","","","","","",""))</f>
        <v/>
      </c>
      <c r="AO97" s="1" t="str">
        <f>IF($AF97=0,"",CHOOSE($AF97,INDEX(nINT_Exposure_Episode_ID,$AH97)&amp;"","","","","","","","","","","",""))</f>
        <v/>
      </c>
      <c r="AP97" s="1" t="str">
        <f>IF($AF97=0,"",CHOOSE($AF97,INDEX(nINT_Event_Episode_ID,$AH97)&amp;"","","","","","","","","","","",""))</f>
        <v/>
      </c>
      <c r="AQ97" s="1" t="str">
        <f>IF($AF97=0,"",CHOOSE($AF97,INDEX(nINT_End_Record_ID_Used,$AH97)&amp;"","","","","","","","","","","",""))</f>
        <v/>
      </c>
      <c r="AR97" s="1" t="str">
        <f>IF($AF97=0,"",CHOOSE($AF97,INDEX(nINT_Interval_Value,$AH97),"","","","","","","","","","",""))</f>
        <v/>
      </c>
      <c r="AS97" s="1" t="str">
        <f>IF($AF97=0,"",CHOOSE($AF97,INDEX(nINT_Interval_Minimum,$AH97),"","","","","","","","","","",""))</f>
        <v/>
      </c>
      <c r="AT97" s="1" t="str">
        <f>IF($AF97=0,"",CHOOSE($AF97,INDEX(nINT_Interval_Maximum,$AH97),"","","","","","","","","","",""))</f>
        <v/>
      </c>
      <c r="AU97" s="1" t="str">
        <f>IF($AF97=0,"",CHOOSE($AF97,INDEX(nINT_Unit,$AH97)&amp;"",INDEX(nQ1_Unit_Out,$AH97)&amp;"",INDEX(nQ2_Unit_Out,$AH97)&amp;"",INDEX(nQ3_Unit_Out,$AH97)&amp;"",INDEX(nQ4_Unit_Out,$AH97)&amp;"",INDEX(nQ5_Unit_Out,$AH97)&amp;"",INDEX(nQ6_Unit_Out,$AH97)&amp;"",INDEX(nQ7_Unit_Out,$AH97)&amp;"",INDEX(nQ8_Unit_Out,$AH97)&amp;"",INDEX(nQ9_Unit_Out,$AH97)&amp;"",INDEX(nQ10_Unit_Out,$AH97)&amp;"",INDEX(nQ11_Unit_Out,$AH97)&amp;""))</f>
        <v/>
      </c>
      <c r="AV97" s="1" t="str">
        <f>IF($AF97=0,"",CHOOSE($AF97,INDEX(nINT_Displayed_Value,$AH97)&amp;"",INDEX(nQ1_Displayed_Value,$AH97)&amp;"",INDEX(nQ2_Displayed_Value,$AH97)&amp;"",INDEX(nQ3_Displayed_Value,$AH97)&amp;"",INDEX(nQ4_Displayed_Value,$AH97)&amp;"",INDEX(nQ5_Displayed_Value,$AH97)&amp;"",INDEX(nQ6_Displayed_Value,$AH97)&amp;"",INDEX(nQ7_Displayed_Value,$AH97)&amp;"",INDEX(nQ8_Displayed_Value,$AH97)&amp;"",INDEX(nQ9_Displayed_Value,$AH97)&amp;"",INDEX(nQ10_Displayed_Value,$AH97)&amp;"",INDEX(nQ11_Displayed_Value,$AH97)&amp;""))</f>
        <v/>
      </c>
      <c r="AW97" s="1" t="str">
        <f>IF($AF97=0,"",CHOOSE($AF97,INDEX(nINT_Calculation_Mode_Used,$AH97)&amp;"","Q1","Q2","Q3","Q4","Q5","Q6","Q7","Q8","Q9","Q10","Q11"))</f>
        <v/>
      </c>
      <c r="AX97" s="1" t="str">
        <f>IF($AF97=0,"",CHOOSE($AF97,INDEX(nINT_Anchor_Type,$AH97)&amp;"","","","","","","","","","","",""))</f>
        <v/>
      </c>
      <c r="AY97" s="1" t="str">
        <f>IF($AF97=0,"",CHOOSE($AF97,IF(INDEX(nINT_K_Ok,$AH97)=1,INDEX(nINT_Anchor_Record_ID_Used,$AH97)&amp;"",""),"","","","","","","","","","",""))</f>
        <v/>
      </c>
      <c r="AZ97" s="1" t="str">
        <f>IF($AF97=0,"",CHOOSE($AF97,INDEX(nINT_Anchor_Description,$AH97)&amp;"","","","","","","","","","","",""))</f>
        <v/>
      </c>
      <c r="BA97" s="1" t="str">
        <f>IF($AF97=0,"",CHOOSE($AF97,INDEX(nINT_Sequence_Status,$AH97)&amp;"","","","","","","","","","","",""))</f>
        <v/>
      </c>
      <c r="BB97" s="1" t="str">
        <f>IF($AF97=0,"",CHOOSE($AF97,INDEX(nINT_Treatment_Day,$AH97),"","","","","","","","","","",""))</f>
        <v/>
      </c>
      <c r="BC97" s="1" t="str">
        <f>IF($AF97=0,"",CHOOSE($AF97,INDEX(nINT_Reported_Timing_Result,$AH97)&amp;"","","","","","","","","","","",""))</f>
        <v/>
      </c>
      <c r="BD97" s="1" t="str">
        <f>IF($AF97=0,"",CHOOSE($AF97,IF(INDEX(nINT_K_HasC,$AH97)=1,INDEX(nINT_Constraint_Source,$AH97)&amp;"",""),"","","","","","","","","","",""))</f>
        <v/>
      </c>
      <c r="BE97" s="1" t="str">
        <f>IF($AF97=0,"",CHOOSE($AF97,"",INDEX(nQ1_Results_Text,$AH97)&amp;"",INDEX(nQ2_Results_Text,$AH97)&amp;"",INDEX(nQ3_Results_Text,$AH97)&amp;"",INDEX(nQ4_Results_Text,$AH97)&amp;"",INDEX(nQ5_Results_Text,$AH97)&amp;"",INDEX(nQ6_Results_Text,$AH97)&amp;"",INDEX(nQ7_Results_Text,$AH97)&amp;"",INDEX(nQ8_Results_Text,$AH97)&amp;"",INDEX(nQ9_Results_Text,$AH97)&amp;"",INDEX(nQ10_Results_Text,$AH97)&amp;"",INDEX(nQ11_Results_Text,$AH97)&amp;""))</f>
        <v/>
      </c>
      <c r="BF97" s="1" t="str">
        <f>IF($AF97=0,"",CHOOSE($AF97,INDEX(nINT_Parameter_Set,$AH97)&amp;"",INDEX(nQ1_Parameter_Set,$AH97)&amp;"",INDEX(nQ2_Parameter_Set,$AH97)&amp;"",INDEX(nQ3_Parameter_Set,$AH97)&amp;"",INDEX(nQ4_Parameter_Set,$AH97)&amp;"",INDEX(nQ5_Parameter_Set,$AH97)&amp;"",INDEX(nQ6_Parameter_Set,$AH97)&amp;"",INDEX(nQ7_Parameter_Set,$AH97)&amp;"",INDEX(nQ8_Parameter_Set,$AH97)&amp;"",INDEX(nQ9_Parameter_Set,$AH97)&amp;"",INDEX(nQ10_Parameter_Set,$AH97)&amp;"",INDEX(nQ11_Parameter_Set,$AH97)&amp;""))</f>
        <v/>
      </c>
      <c r="BG97" s="1" t="str">
        <f>IF($AF97=0,"",CHOOSE($AF97,INDEX(nINT_Assumptions,$AH97)&amp;"",INDEX(nQ1_Assumptions,$AH97)&amp;"",INDEX(nQ2_Assumptions,$AH97)&amp;"",INDEX(nQ3_Assumptions,$AH97)&amp;"",INDEX(nQ4_Assumptions,$AH97)&amp;"",INDEX(nQ5_Assumptions,$AH97)&amp;"",INDEX(nQ6_Assumptions,$AH97)&amp;"",INDEX(nQ7_Assumptions,$AH97)&amp;"",INDEX(nQ8_Assumptions,$AH97)&amp;"",INDEX(nQ9_Assumptions,$AH97)&amp;"",INDEX(nQ10_Assumptions,$AH97)&amp;"",INDEX(nQ11_Assumptions,$AH97)&amp;""))</f>
        <v/>
      </c>
      <c r="BH97" s="1" t="str">
        <f>IF($AF97=0,"",CHOOSE($AF97,INDEX(nINT_Calculation_Version,$AH97)&amp;"",INDEX(nQ1_Calculation_Version,$AH97)&amp;"",INDEX(nQ2_Calculation_Version,$AH97)&amp;"",INDEX(nQ3_Calculation_Version,$AH97)&amp;"",INDEX(nQ4_Calculation_Version,$AH97)&amp;"",INDEX(nQ5_Calculation_Version,$AH97)&amp;"",INDEX(nQ6_Calculation_Version,$AH97)&amp;"",INDEX(nQ7_Calculation_Version,$AH97)&amp;"",INDEX(nQ8_Calculation_Version,$AH97)&amp;"",INDEX(nQ9_Calculation_Version,$AH97)&amp;"",INDEX(nQ10_Calculation_Version,$AH97)&amp;"",INDEX(nQ11_Calculation_Version,$AH97)&amp;""))</f>
        <v/>
      </c>
      <c r="BI97" s="1" t="str">
        <f>IF($AF97=0,"",CHOOSE($AF97,INDEX(nINT_QC_Flags,$AH97)&amp;"",INDEX(nQ1_QC_Flags,$AH97)&amp;"",INDEX(nQ2_QC_Flags,$AH97)&amp;"",INDEX(nQ3_QC_Flags,$AH97)&amp;"",INDEX(nQ4_QC_Flags,$AH97)&amp;"",INDEX(nQ5_QC_Flags,$AH97)&amp;"",INDEX(nQ6_QC_Flags,$AH97)&amp;"",INDEX(nQ7_QC_Flags,$AH97)&amp;"",INDEX(nQ8_QC_Flags,$AH97)&amp;"",INDEX(nQ9_QC_Flags,$AH97)&amp;"",INDEX(nQ10_QC_Flags,$AH97)&amp;"",INDEX(nQ11_QC_Flags,$AH97)&amp;""))</f>
        <v/>
      </c>
      <c r="BJ97" s="1" t="str">
        <f>IF($AF97=0,"",CHOOSE($AF97,INDEX(nINT_Messages,$AH97)&amp;"",INDEX(nQ1_Messages,$AH97)&amp;"",INDEX(nQ2_Messages,$AH97)&amp;"",INDEX(nQ3_Messages,$AH97)&amp;"",INDEX(nQ4_Messages,$AH97)&amp;"",INDEX(nQ5_Messages,$AH97)&amp;"",INDEX(nQ6_Messages,$AH97)&amp;"",INDEX(nQ7_Messages,$AH97)&amp;"",INDEX(nQ8_Messages,$AH97)&amp;"",INDEX(nQ9_Messages,$AH97)&amp;"",INDEX(nQ10_Messages,$AH97)&amp;"",INDEX(nQ11_Messages,$AH97)&amp;""))</f>
        <v/>
      </c>
      <c r="BK97" s="1" t="str">
        <f>IF($AF97=0,"",CHOOSE($AF97,INDEX(nINT_Limitations,$AH97)&amp;"",INDEX(nQ1_Mandatory_Text,$AH97)&amp;"",INDEX(nQ2_Mandatory_Text,$AH97)&amp;"",INDEX(nQ3_Mandatory_Text,$AH97)&amp;"",INDEX(nQ4_Mandatory_Text,$AH97)&amp;"",INDEX(nQ5_Mandatory_Text,$AH97)&amp;"",INDEX(nQ6_Mandatory_Text,$AH97)&amp;"",INDEX(nQ7_Mandatory_Text,$AH97)&amp;"",INDEX(nQ8_Mandatory_Text,$AH97)&amp;"",INDEX(nQ9_Mandatory_Text,$AH97)&amp;"",INDEX(nQ10_Mandatory_Text,$AH97)&amp;"",INDEX(nQ11_Mandatory_Text,$AH97)&amp;""))</f>
        <v/>
      </c>
      <c r="BL97" s="1" t="str">
        <f t="shared" si="68"/>
        <v/>
      </c>
      <c r="BM97" s="1" t="str">
        <f t="shared" si="69"/>
        <v/>
      </c>
    </row>
    <row r="98" spans="1:65" x14ac:dyDescent="0.2">
      <c r="A98" s="21" t="str">
        <f t="shared" si="35"/>
        <v/>
      </c>
      <c r="B98" s="21" t="str">
        <f t="shared" si="36"/>
        <v/>
      </c>
      <c r="C98" s="21" t="str">
        <f t="shared" si="37"/>
        <v/>
      </c>
      <c r="D98" s="21" t="str">
        <f t="shared" si="38"/>
        <v/>
      </c>
      <c r="E98" s="21" t="str">
        <f t="shared" si="39"/>
        <v/>
      </c>
      <c r="F98" s="21" t="str">
        <f t="shared" si="40"/>
        <v/>
      </c>
      <c r="G98" s="21" t="str">
        <f t="shared" si="41"/>
        <v/>
      </c>
      <c r="H98" s="21" t="str">
        <f t="shared" si="42"/>
        <v/>
      </c>
      <c r="I98" s="21" t="str">
        <f t="shared" si="43"/>
        <v/>
      </c>
      <c r="J98" s="21" t="str">
        <f t="shared" si="44"/>
        <v/>
      </c>
      <c r="K98" s="21" t="str">
        <f t="shared" si="45"/>
        <v/>
      </c>
      <c r="L98" s="21" t="str">
        <f t="shared" si="46"/>
        <v/>
      </c>
      <c r="M98" s="21" t="str">
        <f t="shared" si="47"/>
        <v/>
      </c>
      <c r="N98" s="21" t="str">
        <f t="shared" si="48"/>
        <v/>
      </c>
      <c r="O98" s="21" t="str">
        <f t="shared" si="49"/>
        <v/>
      </c>
      <c r="P98" s="21" t="str">
        <f t="shared" si="50"/>
        <v/>
      </c>
      <c r="Q98" s="21" t="str">
        <f t="shared" si="51"/>
        <v/>
      </c>
      <c r="R98" s="21" t="str">
        <f t="shared" si="52"/>
        <v/>
      </c>
      <c r="S98" s="21" t="str">
        <f t="shared" si="53"/>
        <v/>
      </c>
      <c r="T98" s="21" t="str">
        <f t="shared" si="54"/>
        <v/>
      </c>
      <c r="U98" s="21" t="str">
        <f t="shared" si="55"/>
        <v/>
      </c>
      <c r="V98" s="21" t="str">
        <f t="shared" si="56"/>
        <v/>
      </c>
      <c r="W98" s="21" t="str">
        <f t="shared" si="57"/>
        <v/>
      </c>
      <c r="X98" s="21" t="str">
        <f t="shared" si="58"/>
        <v/>
      </c>
      <c r="Y98" s="21" t="str">
        <f t="shared" si="59"/>
        <v/>
      </c>
      <c r="Z98" s="21" t="str">
        <f t="shared" si="60"/>
        <v/>
      </c>
      <c r="AA98" s="21" t="str">
        <f t="shared" si="61"/>
        <v/>
      </c>
      <c r="AB98" s="21" t="str">
        <f t="shared" si="62"/>
        <v/>
      </c>
      <c r="AC98" s="21" t="str">
        <f t="shared" si="63"/>
        <v/>
      </c>
      <c r="AD98" s="21" t="str">
        <f t="shared" si="64"/>
        <v/>
      </c>
      <c r="AE98" s="1">
        <f t="shared" si="65"/>
        <v>91</v>
      </c>
      <c r="AF98" s="1">
        <f t="shared" si="66"/>
        <v>0</v>
      </c>
      <c r="AG98" s="1">
        <f t="shared" si="67"/>
        <v>0</v>
      </c>
      <c r="AH98" s="1">
        <f>IF(AF98=0,0,CHOOSE(AF98,IFERROR(_xlfn.AGGREGATE(15,6,(ROW(nINT_CaseKey)-ROW(INDEX(nINT_CaseKey,1,1))+1)/((nINT_CaseKey=$H$4)*(nINT_RowEmpty=0)),AG98),0),IFERROR(_xlfn.AGGREGATE(15,6,(ROW(nQ1_CaseKey)-ROW(INDEX(nQ1_CaseKey,1,1))+1)/((nQ1_CaseKey=$H$4)),AG98),0),IFERROR(_xlfn.AGGREGATE(15,6,(ROW(nQ2_CaseKey)-ROW(INDEX(nQ2_CaseKey,1,1))+1)/((nQ2_CaseKey=$H$4)),AG98),0),IFERROR(_xlfn.AGGREGATE(15,6,(ROW(nQ3_CaseKey)-ROW(INDEX(nQ3_CaseKey,1,1))+1)/((nQ3_CaseKey=$H$4)),AG98),0),IFERROR(_xlfn.AGGREGATE(15,6,(ROW(nQ4_CaseKey)-ROW(INDEX(nQ4_CaseKey,1,1))+1)/((nQ4_CaseKey=$H$4)),AG98),0),IFERROR(_xlfn.AGGREGATE(15,6,(ROW(nQ5_CaseKey)-ROW(INDEX(nQ5_CaseKey,1,1))+1)/((nQ5_CaseKey=$H$4)),AG98),0),IFERROR(_xlfn.AGGREGATE(15,6,(ROW(nQ6_CaseKey)-ROW(INDEX(nQ6_CaseKey,1,1))+1)/((nQ6_CaseKey=$H$4)),AG98),0),IFERROR(_xlfn.AGGREGATE(15,6,(ROW(nQ7_CaseKey)-ROW(INDEX(nQ7_CaseKey,1,1))+1)/((nQ7_CaseKey=$H$4)),AG98),0),IFERROR(_xlfn.AGGREGATE(15,6,(ROW(nQ8_CaseKey)-ROW(INDEX(nQ8_CaseKey,1,1))+1)/((nQ8_CaseKey=$H$4)),AG98),0),IFERROR(_xlfn.AGGREGATE(15,6,(ROW(nQ9_CaseKey)-ROW(INDEX(nQ9_CaseKey,1,1))+1)/((nQ9_CaseKey=$H$4)),AG98),0),IFERROR(_xlfn.AGGREGATE(15,6,(ROW(nQ10_CaseKey)-ROW(INDEX(nQ10_CaseKey,1,1))+1)/((nQ10_CaseKey=$H$4)),AG98),0),IFERROR(_xlfn.AGGREGATE(15,6,(ROW(nQ11_CaseKey)-ROW(INDEX(nQ11_CaseKey,1,1))+1)/((nQ11_CaseKey=$H$4)),AG98),0)))</f>
        <v>0</v>
      </c>
      <c r="AJ98" s="1" t="str">
        <f>IF($AF98=0,"",CHOOSE($AF98,INDEX(nINT_Case_ID,$AH98)&amp;"",INDEX(nQ1_Case_ID,$AH98)&amp;"",INDEX(nQ2_Case_ID,$AH98)&amp;"",INDEX(nQ3_Case_ID,$AH98)&amp;"",INDEX(nQ4_Case_ID,$AH98)&amp;"",INDEX(nQ5_Case_ID,$AH98)&amp;"",INDEX(nQ6_Case_ID,$AH98)&amp;"",INDEX(nQ7_Case_ID,$AH98)&amp;"",INDEX(nQ8_Case_ID,$AH98)&amp;"",INDEX(nQ9_Case_ID,$AH98)&amp;"",INDEX(nQ10_Case_ID,$AH98)&amp;"",INDEX(nQ11_Case_ID,$AH98)&amp;""))</f>
        <v/>
      </c>
      <c r="AK98" s="1" t="str">
        <f>IF($AF98=0,"",CHOOSE($AF98,INDEX(nINT_Case_Version,$AH98),INDEX(nQ1_Case_Version,$AH98),INDEX(nQ2_Case_Version,$AH98),INDEX(nQ3_Case_Version,$AH98),INDEX(nQ4_Case_Version,$AH98),INDEX(nQ5_Case_Version,$AH98),INDEX(nQ6_Case_Version,$AH98),INDEX(nQ7_Case_Version,$AH98),INDEX(nQ8_Case_Version,$AH98),INDEX(nQ9_Case_Version,$AH98),INDEX(nQ10_Case_Version,$AH98),INDEX(nQ11_Case_Version,$AH98)))</f>
        <v/>
      </c>
      <c r="AL98" s="1" t="str">
        <f>IF($AF98=0,"",CHOOSE($AF98,INDEX(nINT_Interval_ID,$AH98)&amp;"",INDEX(nQ1_Calc_ID,$AH98)&amp;"",INDEX(nQ2_Calc_ID,$AH98)&amp;"",INDEX(nQ3_Calc_ID,$AH98)&amp;"",INDEX(nQ4_Calc_ID,$AH98)&amp;"",INDEX(nQ5_Calc_ID,$AH98)&amp;"",INDEX(nQ6_Calc_ID,$AH98)&amp;"",INDEX(nQ7_Calc_ID,$AH98)&amp;"",INDEX(nQ8_Calc_ID,$AH98)&amp;"",INDEX(nQ9_Calc_ID,$AH98)&amp;"",INDEX(nQ10_Calc_ID,$AH98)&amp;"",INDEX(nQ11_Calc_ID,$AH98)&amp;""))</f>
        <v/>
      </c>
      <c r="AM98" s="1" t="str">
        <f>IF($AF98=0,"",CHOOSE($AF98,INDEX(nINT_Label,$AH98)&amp;"",INDEX(nQ1_Label_Out,$AH98)&amp;"",INDEX(nQ2_Label_Out,$AH98)&amp;"",INDEX(nQ3_Label_Out,$AH98)&amp;"",INDEX(nQ4_Label_Out,$AH98)&amp;"",INDEX(nQ5_Label_Out,$AH98)&amp;"",INDEX(nQ6_Label_Out,$AH98)&amp;"",INDEX(nQ7_Label_Out,$AH98)&amp;"",INDEX(nQ8_Label_Out,$AH98)&amp;"",INDEX(nQ9_Label_Out,$AH98)&amp;"",INDEX(nQ10_Label_Out,$AH98)&amp;"",INDEX(nQ11_Label_Out,$AH98)&amp;""))</f>
        <v/>
      </c>
      <c r="AN98" s="1" t="str">
        <f>IF($AF98=0,"",CHOOSE($AF98,IF(INDEX(nINT_LinkRow,$AH98)=0,"",INDEX(nINT_Link_ID,$AH98)&amp;""),"","","","","","","","","","",""))</f>
        <v/>
      </c>
      <c r="AO98" s="1" t="str">
        <f>IF($AF98=0,"",CHOOSE($AF98,INDEX(nINT_Exposure_Episode_ID,$AH98)&amp;"","","","","","","","","","","",""))</f>
        <v/>
      </c>
      <c r="AP98" s="1" t="str">
        <f>IF($AF98=0,"",CHOOSE($AF98,INDEX(nINT_Event_Episode_ID,$AH98)&amp;"","","","","","","","","","","",""))</f>
        <v/>
      </c>
      <c r="AQ98" s="1" t="str">
        <f>IF($AF98=0,"",CHOOSE($AF98,INDEX(nINT_End_Record_ID_Used,$AH98)&amp;"","","","","","","","","","","",""))</f>
        <v/>
      </c>
      <c r="AR98" s="1" t="str">
        <f>IF($AF98=0,"",CHOOSE($AF98,INDEX(nINT_Interval_Value,$AH98),"","","","","","","","","","",""))</f>
        <v/>
      </c>
      <c r="AS98" s="1" t="str">
        <f>IF($AF98=0,"",CHOOSE($AF98,INDEX(nINT_Interval_Minimum,$AH98),"","","","","","","","","","",""))</f>
        <v/>
      </c>
      <c r="AT98" s="1" t="str">
        <f>IF($AF98=0,"",CHOOSE($AF98,INDEX(nINT_Interval_Maximum,$AH98),"","","","","","","","","","",""))</f>
        <v/>
      </c>
      <c r="AU98" s="1" t="str">
        <f>IF($AF98=0,"",CHOOSE($AF98,INDEX(nINT_Unit,$AH98)&amp;"",INDEX(nQ1_Unit_Out,$AH98)&amp;"",INDEX(nQ2_Unit_Out,$AH98)&amp;"",INDEX(nQ3_Unit_Out,$AH98)&amp;"",INDEX(nQ4_Unit_Out,$AH98)&amp;"",INDEX(nQ5_Unit_Out,$AH98)&amp;"",INDEX(nQ6_Unit_Out,$AH98)&amp;"",INDEX(nQ7_Unit_Out,$AH98)&amp;"",INDEX(nQ8_Unit_Out,$AH98)&amp;"",INDEX(nQ9_Unit_Out,$AH98)&amp;"",INDEX(nQ10_Unit_Out,$AH98)&amp;"",INDEX(nQ11_Unit_Out,$AH98)&amp;""))</f>
        <v/>
      </c>
      <c r="AV98" s="1" t="str">
        <f>IF($AF98=0,"",CHOOSE($AF98,INDEX(nINT_Displayed_Value,$AH98)&amp;"",INDEX(nQ1_Displayed_Value,$AH98)&amp;"",INDEX(nQ2_Displayed_Value,$AH98)&amp;"",INDEX(nQ3_Displayed_Value,$AH98)&amp;"",INDEX(nQ4_Displayed_Value,$AH98)&amp;"",INDEX(nQ5_Displayed_Value,$AH98)&amp;"",INDEX(nQ6_Displayed_Value,$AH98)&amp;"",INDEX(nQ7_Displayed_Value,$AH98)&amp;"",INDEX(nQ8_Displayed_Value,$AH98)&amp;"",INDEX(nQ9_Displayed_Value,$AH98)&amp;"",INDEX(nQ10_Displayed_Value,$AH98)&amp;"",INDEX(nQ11_Displayed_Value,$AH98)&amp;""))</f>
        <v/>
      </c>
      <c r="AW98" s="1" t="str">
        <f>IF($AF98=0,"",CHOOSE($AF98,INDEX(nINT_Calculation_Mode_Used,$AH98)&amp;"","Q1","Q2","Q3","Q4","Q5","Q6","Q7","Q8","Q9","Q10","Q11"))</f>
        <v/>
      </c>
      <c r="AX98" s="1" t="str">
        <f>IF($AF98=0,"",CHOOSE($AF98,INDEX(nINT_Anchor_Type,$AH98)&amp;"","","","","","","","","","","",""))</f>
        <v/>
      </c>
      <c r="AY98" s="1" t="str">
        <f>IF($AF98=0,"",CHOOSE($AF98,IF(INDEX(nINT_K_Ok,$AH98)=1,INDEX(nINT_Anchor_Record_ID_Used,$AH98)&amp;"",""),"","","","","","","","","","",""))</f>
        <v/>
      </c>
      <c r="AZ98" s="1" t="str">
        <f>IF($AF98=0,"",CHOOSE($AF98,INDEX(nINT_Anchor_Description,$AH98)&amp;"","","","","","","","","","","",""))</f>
        <v/>
      </c>
      <c r="BA98" s="1" t="str">
        <f>IF($AF98=0,"",CHOOSE($AF98,INDEX(nINT_Sequence_Status,$AH98)&amp;"","","","","","","","","","","",""))</f>
        <v/>
      </c>
      <c r="BB98" s="1" t="str">
        <f>IF($AF98=0,"",CHOOSE($AF98,INDEX(nINT_Treatment_Day,$AH98),"","","","","","","","","","",""))</f>
        <v/>
      </c>
      <c r="BC98" s="1" t="str">
        <f>IF($AF98=0,"",CHOOSE($AF98,INDEX(nINT_Reported_Timing_Result,$AH98)&amp;"","","","","","","","","","","",""))</f>
        <v/>
      </c>
      <c r="BD98" s="1" t="str">
        <f>IF($AF98=0,"",CHOOSE($AF98,IF(INDEX(nINT_K_HasC,$AH98)=1,INDEX(nINT_Constraint_Source,$AH98)&amp;"",""),"","","","","","","","","","",""))</f>
        <v/>
      </c>
      <c r="BE98" s="1" t="str">
        <f>IF($AF98=0,"",CHOOSE($AF98,"",INDEX(nQ1_Results_Text,$AH98)&amp;"",INDEX(nQ2_Results_Text,$AH98)&amp;"",INDEX(nQ3_Results_Text,$AH98)&amp;"",INDEX(nQ4_Results_Text,$AH98)&amp;"",INDEX(nQ5_Results_Text,$AH98)&amp;"",INDEX(nQ6_Results_Text,$AH98)&amp;"",INDEX(nQ7_Results_Text,$AH98)&amp;"",INDEX(nQ8_Results_Text,$AH98)&amp;"",INDEX(nQ9_Results_Text,$AH98)&amp;"",INDEX(nQ10_Results_Text,$AH98)&amp;"",INDEX(nQ11_Results_Text,$AH98)&amp;""))</f>
        <v/>
      </c>
      <c r="BF98" s="1" t="str">
        <f>IF($AF98=0,"",CHOOSE($AF98,INDEX(nINT_Parameter_Set,$AH98)&amp;"",INDEX(nQ1_Parameter_Set,$AH98)&amp;"",INDEX(nQ2_Parameter_Set,$AH98)&amp;"",INDEX(nQ3_Parameter_Set,$AH98)&amp;"",INDEX(nQ4_Parameter_Set,$AH98)&amp;"",INDEX(nQ5_Parameter_Set,$AH98)&amp;"",INDEX(nQ6_Parameter_Set,$AH98)&amp;"",INDEX(nQ7_Parameter_Set,$AH98)&amp;"",INDEX(nQ8_Parameter_Set,$AH98)&amp;"",INDEX(nQ9_Parameter_Set,$AH98)&amp;"",INDEX(nQ10_Parameter_Set,$AH98)&amp;"",INDEX(nQ11_Parameter_Set,$AH98)&amp;""))</f>
        <v/>
      </c>
      <c r="BG98" s="1" t="str">
        <f>IF($AF98=0,"",CHOOSE($AF98,INDEX(nINT_Assumptions,$AH98)&amp;"",INDEX(nQ1_Assumptions,$AH98)&amp;"",INDEX(nQ2_Assumptions,$AH98)&amp;"",INDEX(nQ3_Assumptions,$AH98)&amp;"",INDEX(nQ4_Assumptions,$AH98)&amp;"",INDEX(nQ5_Assumptions,$AH98)&amp;"",INDEX(nQ6_Assumptions,$AH98)&amp;"",INDEX(nQ7_Assumptions,$AH98)&amp;"",INDEX(nQ8_Assumptions,$AH98)&amp;"",INDEX(nQ9_Assumptions,$AH98)&amp;"",INDEX(nQ10_Assumptions,$AH98)&amp;"",INDEX(nQ11_Assumptions,$AH98)&amp;""))</f>
        <v/>
      </c>
      <c r="BH98" s="1" t="str">
        <f>IF($AF98=0,"",CHOOSE($AF98,INDEX(nINT_Calculation_Version,$AH98)&amp;"",INDEX(nQ1_Calculation_Version,$AH98)&amp;"",INDEX(nQ2_Calculation_Version,$AH98)&amp;"",INDEX(nQ3_Calculation_Version,$AH98)&amp;"",INDEX(nQ4_Calculation_Version,$AH98)&amp;"",INDEX(nQ5_Calculation_Version,$AH98)&amp;"",INDEX(nQ6_Calculation_Version,$AH98)&amp;"",INDEX(nQ7_Calculation_Version,$AH98)&amp;"",INDEX(nQ8_Calculation_Version,$AH98)&amp;"",INDEX(nQ9_Calculation_Version,$AH98)&amp;"",INDEX(nQ10_Calculation_Version,$AH98)&amp;"",INDEX(nQ11_Calculation_Version,$AH98)&amp;""))</f>
        <v/>
      </c>
      <c r="BI98" s="1" t="str">
        <f>IF($AF98=0,"",CHOOSE($AF98,INDEX(nINT_QC_Flags,$AH98)&amp;"",INDEX(nQ1_QC_Flags,$AH98)&amp;"",INDEX(nQ2_QC_Flags,$AH98)&amp;"",INDEX(nQ3_QC_Flags,$AH98)&amp;"",INDEX(nQ4_QC_Flags,$AH98)&amp;"",INDEX(nQ5_QC_Flags,$AH98)&amp;"",INDEX(nQ6_QC_Flags,$AH98)&amp;"",INDEX(nQ7_QC_Flags,$AH98)&amp;"",INDEX(nQ8_QC_Flags,$AH98)&amp;"",INDEX(nQ9_QC_Flags,$AH98)&amp;"",INDEX(nQ10_QC_Flags,$AH98)&amp;"",INDEX(nQ11_QC_Flags,$AH98)&amp;""))</f>
        <v/>
      </c>
      <c r="BJ98" s="1" t="str">
        <f>IF($AF98=0,"",CHOOSE($AF98,INDEX(nINT_Messages,$AH98)&amp;"",INDEX(nQ1_Messages,$AH98)&amp;"",INDEX(nQ2_Messages,$AH98)&amp;"",INDEX(nQ3_Messages,$AH98)&amp;"",INDEX(nQ4_Messages,$AH98)&amp;"",INDEX(nQ5_Messages,$AH98)&amp;"",INDEX(nQ6_Messages,$AH98)&amp;"",INDEX(nQ7_Messages,$AH98)&amp;"",INDEX(nQ8_Messages,$AH98)&amp;"",INDEX(nQ9_Messages,$AH98)&amp;"",INDEX(nQ10_Messages,$AH98)&amp;"",INDEX(nQ11_Messages,$AH98)&amp;""))</f>
        <v/>
      </c>
      <c r="BK98" s="1" t="str">
        <f>IF($AF98=0,"",CHOOSE($AF98,INDEX(nINT_Limitations,$AH98)&amp;"",INDEX(nQ1_Mandatory_Text,$AH98)&amp;"",INDEX(nQ2_Mandatory_Text,$AH98)&amp;"",INDEX(nQ3_Mandatory_Text,$AH98)&amp;"",INDEX(nQ4_Mandatory_Text,$AH98)&amp;"",INDEX(nQ5_Mandatory_Text,$AH98)&amp;"",INDEX(nQ6_Mandatory_Text,$AH98)&amp;"",INDEX(nQ7_Mandatory_Text,$AH98)&amp;"",INDEX(nQ8_Mandatory_Text,$AH98)&amp;"",INDEX(nQ9_Mandatory_Text,$AH98)&amp;"",INDEX(nQ10_Mandatory_Text,$AH98)&amp;"",INDEX(nQ11_Mandatory_Text,$AH98)&amp;""))</f>
        <v/>
      </c>
      <c r="BL98" s="1" t="str">
        <f t="shared" si="68"/>
        <v/>
      </c>
      <c r="BM98" s="1" t="str">
        <f t="shared" si="69"/>
        <v/>
      </c>
    </row>
    <row r="99" spans="1:65" x14ac:dyDescent="0.2">
      <c r="A99" s="21" t="str">
        <f t="shared" si="35"/>
        <v/>
      </c>
      <c r="B99" s="21" t="str">
        <f t="shared" si="36"/>
        <v/>
      </c>
      <c r="C99" s="21" t="str">
        <f t="shared" si="37"/>
        <v/>
      </c>
      <c r="D99" s="21" t="str">
        <f t="shared" si="38"/>
        <v/>
      </c>
      <c r="E99" s="21" t="str">
        <f t="shared" si="39"/>
        <v/>
      </c>
      <c r="F99" s="21" t="str">
        <f t="shared" si="40"/>
        <v/>
      </c>
      <c r="G99" s="21" t="str">
        <f t="shared" si="41"/>
        <v/>
      </c>
      <c r="H99" s="21" t="str">
        <f t="shared" si="42"/>
        <v/>
      </c>
      <c r="I99" s="21" t="str">
        <f t="shared" si="43"/>
        <v/>
      </c>
      <c r="J99" s="21" t="str">
        <f t="shared" si="44"/>
        <v/>
      </c>
      <c r="K99" s="21" t="str">
        <f t="shared" si="45"/>
        <v/>
      </c>
      <c r="L99" s="21" t="str">
        <f t="shared" si="46"/>
        <v/>
      </c>
      <c r="M99" s="21" t="str">
        <f t="shared" si="47"/>
        <v/>
      </c>
      <c r="N99" s="21" t="str">
        <f t="shared" si="48"/>
        <v/>
      </c>
      <c r="O99" s="21" t="str">
        <f t="shared" si="49"/>
        <v/>
      </c>
      <c r="P99" s="21" t="str">
        <f t="shared" si="50"/>
        <v/>
      </c>
      <c r="Q99" s="21" t="str">
        <f t="shared" si="51"/>
        <v/>
      </c>
      <c r="R99" s="21" t="str">
        <f t="shared" si="52"/>
        <v/>
      </c>
      <c r="S99" s="21" t="str">
        <f t="shared" si="53"/>
        <v/>
      </c>
      <c r="T99" s="21" t="str">
        <f t="shared" si="54"/>
        <v/>
      </c>
      <c r="U99" s="21" t="str">
        <f t="shared" si="55"/>
        <v/>
      </c>
      <c r="V99" s="21" t="str">
        <f t="shared" si="56"/>
        <v/>
      </c>
      <c r="W99" s="21" t="str">
        <f t="shared" si="57"/>
        <v/>
      </c>
      <c r="X99" s="21" t="str">
        <f t="shared" si="58"/>
        <v/>
      </c>
      <c r="Y99" s="21" t="str">
        <f t="shared" si="59"/>
        <v/>
      </c>
      <c r="Z99" s="21" t="str">
        <f t="shared" si="60"/>
        <v/>
      </c>
      <c r="AA99" s="21" t="str">
        <f t="shared" si="61"/>
        <v/>
      </c>
      <c r="AB99" s="21" t="str">
        <f t="shared" si="62"/>
        <v/>
      </c>
      <c r="AC99" s="21" t="str">
        <f t="shared" si="63"/>
        <v/>
      </c>
      <c r="AD99" s="21" t="str">
        <f t="shared" si="64"/>
        <v/>
      </c>
      <c r="AE99" s="1">
        <f t="shared" si="65"/>
        <v>92</v>
      </c>
      <c r="AF99" s="1">
        <f t="shared" si="66"/>
        <v>0</v>
      </c>
      <c r="AG99" s="1">
        <f t="shared" si="67"/>
        <v>0</v>
      </c>
      <c r="AH99" s="1">
        <f>IF(AF99=0,0,CHOOSE(AF99,IFERROR(_xlfn.AGGREGATE(15,6,(ROW(nINT_CaseKey)-ROW(INDEX(nINT_CaseKey,1,1))+1)/((nINT_CaseKey=$H$4)*(nINT_RowEmpty=0)),AG99),0),IFERROR(_xlfn.AGGREGATE(15,6,(ROW(nQ1_CaseKey)-ROW(INDEX(nQ1_CaseKey,1,1))+1)/((nQ1_CaseKey=$H$4)),AG99),0),IFERROR(_xlfn.AGGREGATE(15,6,(ROW(nQ2_CaseKey)-ROW(INDEX(nQ2_CaseKey,1,1))+1)/((nQ2_CaseKey=$H$4)),AG99),0),IFERROR(_xlfn.AGGREGATE(15,6,(ROW(nQ3_CaseKey)-ROW(INDEX(nQ3_CaseKey,1,1))+1)/((nQ3_CaseKey=$H$4)),AG99),0),IFERROR(_xlfn.AGGREGATE(15,6,(ROW(nQ4_CaseKey)-ROW(INDEX(nQ4_CaseKey,1,1))+1)/((nQ4_CaseKey=$H$4)),AG99),0),IFERROR(_xlfn.AGGREGATE(15,6,(ROW(nQ5_CaseKey)-ROW(INDEX(nQ5_CaseKey,1,1))+1)/((nQ5_CaseKey=$H$4)),AG99),0),IFERROR(_xlfn.AGGREGATE(15,6,(ROW(nQ6_CaseKey)-ROW(INDEX(nQ6_CaseKey,1,1))+1)/((nQ6_CaseKey=$H$4)),AG99),0),IFERROR(_xlfn.AGGREGATE(15,6,(ROW(nQ7_CaseKey)-ROW(INDEX(nQ7_CaseKey,1,1))+1)/((nQ7_CaseKey=$H$4)),AG99),0),IFERROR(_xlfn.AGGREGATE(15,6,(ROW(nQ8_CaseKey)-ROW(INDEX(nQ8_CaseKey,1,1))+1)/((nQ8_CaseKey=$H$4)),AG99),0),IFERROR(_xlfn.AGGREGATE(15,6,(ROW(nQ9_CaseKey)-ROW(INDEX(nQ9_CaseKey,1,1))+1)/((nQ9_CaseKey=$H$4)),AG99),0),IFERROR(_xlfn.AGGREGATE(15,6,(ROW(nQ10_CaseKey)-ROW(INDEX(nQ10_CaseKey,1,1))+1)/((nQ10_CaseKey=$H$4)),AG99),0),IFERROR(_xlfn.AGGREGATE(15,6,(ROW(nQ11_CaseKey)-ROW(INDEX(nQ11_CaseKey,1,1))+1)/((nQ11_CaseKey=$H$4)),AG99),0)))</f>
        <v>0</v>
      </c>
      <c r="AJ99" s="1" t="str">
        <f>IF($AF99=0,"",CHOOSE($AF99,INDEX(nINT_Case_ID,$AH99)&amp;"",INDEX(nQ1_Case_ID,$AH99)&amp;"",INDEX(nQ2_Case_ID,$AH99)&amp;"",INDEX(nQ3_Case_ID,$AH99)&amp;"",INDEX(nQ4_Case_ID,$AH99)&amp;"",INDEX(nQ5_Case_ID,$AH99)&amp;"",INDEX(nQ6_Case_ID,$AH99)&amp;"",INDEX(nQ7_Case_ID,$AH99)&amp;"",INDEX(nQ8_Case_ID,$AH99)&amp;"",INDEX(nQ9_Case_ID,$AH99)&amp;"",INDEX(nQ10_Case_ID,$AH99)&amp;"",INDEX(nQ11_Case_ID,$AH99)&amp;""))</f>
        <v/>
      </c>
      <c r="AK99" s="1" t="str">
        <f>IF($AF99=0,"",CHOOSE($AF99,INDEX(nINT_Case_Version,$AH99),INDEX(nQ1_Case_Version,$AH99),INDEX(nQ2_Case_Version,$AH99),INDEX(nQ3_Case_Version,$AH99),INDEX(nQ4_Case_Version,$AH99),INDEX(nQ5_Case_Version,$AH99),INDEX(nQ6_Case_Version,$AH99),INDEX(nQ7_Case_Version,$AH99),INDEX(nQ8_Case_Version,$AH99),INDEX(nQ9_Case_Version,$AH99),INDEX(nQ10_Case_Version,$AH99),INDEX(nQ11_Case_Version,$AH99)))</f>
        <v/>
      </c>
      <c r="AL99" s="1" t="str">
        <f>IF($AF99=0,"",CHOOSE($AF99,INDEX(nINT_Interval_ID,$AH99)&amp;"",INDEX(nQ1_Calc_ID,$AH99)&amp;"",INDEX(nQ2_Calc_ID,$AH99)&amp;"",INDEX(nQ3_Calc_ID,$AH99)&amp;"",INDEX(nQ4_Calc_ID,$AH99)&amp;"",INDEX(nQ5_Calc_ID,$AH99)&amp;"",INDEX(nQ6_Calc_ID,$AH99)&amp;"",INDEX(nQ7_Calc_ID,$AH99)&amp;"",INDEX(nQ8_Calc_ID,$AH99)&amp;"",INDEX(nQ9_Calc_ID,$AH99)&amp;"",INDEX(nQ10_Calc_ID,$AH99)&amp;"",INDEX(nQ11_Calc_ID,$AH99)&amp;""))</f>
        <v/>
      </c>
      <c r="AM99" s="1" t="str">
        <f>IF($AF99=0,"",CHOOSE($AF99,INDEX(nINT_Label,$AH99)&amp;"",INDEX(nQ1_Label_Out,$AH99)&amp;"",INDEX(nQ2_Label_Out,$AH99)&amp;"",INDEX(nQ3_Label_Out,$AH99)&amp;"",INDEX(nQ4_Label_Out,$AH99)&amp;"",INDEX(nQ5_Label_Out,$AH99)&amp;"",INDEX(nQ6_Label_Out,$AH99)&amp;"",INDEX(nQ7_Label_Out,$AH99)&amp;"",INDEX(nQ8_Label_Out,$AH99)&amp;"",INDEX(nQ9_Label_Out,$AH99)&amp;"",INDEX(nQ10_Label_Out,$AH99)&amp;"",INDEX(nQ11_Label_Out,$AH99)&amp;""))</f>
        <v/>
      </c>
      <c r="AN99" s="1" t="str">
        <f>IF($AF99=0,"",CHOOSE($AF99,IF(INDEX(nINT_LinkRow,$AH99)=0,"",INDEX(nINT_Link_ID,$AH99)&amp;""),"","","","","","","","","","",""))</f>
        <v/>
      </c>
      <c r="AO99" s="1" t="str">
        <f>IF($AF99=0,"",CHOOSE($AF99,INDEX(nINT_Exposure_Episode_ID,$AH99)&amp;"","","","","","","","","","","",""))</f>
        <v/>
      </c>
      <c r="AP99" s="1" t="str">
        <f>IF($AF99=0,"",CHOOSE($AF99,INDEX(nINT_Event_Episode_ID,$AH99)&amp;"","","","","","","","","","","",""))</f>
        <v/>
      </c>
      <c r="AQ99" s="1" t="str">
        <f>IF($AF99=0,"",CHOOSE($AF99,INDEX(nINT_End_Record_ID_Used,$AH99)&amp;"","","","","","","","","","","",""))</f>
        <v/>
      </c>
      <c r="AR99" s="1" t="str">
        <f>IF($AF99=0,"",CHOOSE($AF99,INDEX(nINT_Interval_Value,$AH99),"","","","","","","","","","",""))</f>
        <v/>
      </c>
      <c r="AS99" s="1" t="str">
        <f>IF($AF99=0,"",CHOOSE($AF99,INDEX(nINT_Interval_Minimum,$AH99),"","","","","","","","","","",""))</f>
        <v/>
      </c>
      <c r="AT99" s="1" t="str">
        <f>IF($AF99=0,"",CHOOSE($AF99,INDEX(nINT_Interval_Maximum,$AH99),"","","","","","","","","","",""))</f>
        <v/>
      </c>
      <c r="AU99" s="1" t="str">
        <f>IF($AF99=0,"",CHOOSE($AF99,INDEX(nINT_Unit,$AH99)&amp;"",INDEX(nQ1_Unit_Out,$AH99)&amp;"",INDEX(nQ2_Unit_Out,$AH99)&amp;"",INDEX(nQ3_Unit_Out,$AH99)&amp;"",INDEX(nQ4_Unit_Out,$AH99)&amp;"",INDEX(nQ5_Unit_Out,$AH99)&amp;"",INDEX(nQ6_Unit_Out,$AH99)&amp;"",INDEX(nQ7_Unit_Out,$AH99)&amp;"",INDEX(nQ8_Unit_Out,$AH99)&amp;"",INDEX(nQ9_Unit_Out,$AH99)&amp;"",INDEX(nQ10_Unit_Out,$AH99)&amp;"",INDEX(nQ11_Unit_Out,$AH99)&amp;""))</f>
        <v/>
      </c>
      <c r="AV99" s="1" t="str">
        <f>IF($AF99=0,"",CHOOSE($AF99,INDEX(nINT_Displayed_Value,$AH99)&amp;"",INDEX(nQ1_Displayed_Value,$AH99)&amp;"",INDEX(nQ2_Displayed_Value,$AH99)&amp;"",INDEX(nQ3_Displayed_Value,$AH99)&amp;"",INDEX(nQ4_Displayed_Value,$AH99)&amp;"",INDEX(nQ5_Displayed_Value,$AH99)&amp;"",INDEX(nQ6_Displayed_Value,$AH99)&amp;"",INDEX(nQ7_Displayed_Value,$AH99)&amp;"",INDEX(nQ8_Displayed_Value,$AH99)&amp;"",INDEX(nQ9_Displayed_Value,$AH99)&amp;"",INDEX(nQ10_Displayed_Value,$AH99)&amp;"",INDEX(nQ11_Displayed_Value,$AH99)&amp;""))</f>
        <v/>
      </c>
      <c r="AW99" s="1" t="str">
        <f>IF($AF99=0,"",CHOOSE($AF99,INDEX(nINT_Calculation_Mode_Used,$AH99)&amp;"","Q1","Q2","Q3","Q4","Q5","Q6","Q7","Q8","Q9","Q10","Q11"))</f>
        <v/>
      </c>
      <c r="AX99" s="1" t="str">
        <f>IF($AF99=0,"",CHOOSE($AF99,INDEX(nINT_Anchor_Type,$AH99)&amp;"","","","","","","","","","","",""))</f>
        <v/>
      </c>
      <c r="AY99" s="1" t="str">
        <f>IF($AF99=0,"",CHOOSE($AF99,IF(INDEX(nINT_K_Ok,$AH99)=1,INDEX(nINT_Anchor_Record_ID_Used,$AH99)&amp;"",""),"","","","","","","","","","",""))</f>
        <v/>
      </c>
      <c r="AZ99" s="1" t="str">
        <f>IF($AF99=0,"",CHOOSE($AF99,INDEX(nINT_Anchor_Description,$AH99)&amp;"","","","","","","","","","","",""))</f>
        <v/>
      </c>
      <c r="BA99" s="1" t="str">
        <f>IF($AF99=0,"",CHOOSE($AF99,INDEX(nINT_Sequence_Status,$AH99)&amp;"","","","","","","","","","","",""))</f>
        <v/>
      </c>
      <c r="BB99" s="1" t="str">
        <f>IF($AF99=0,"",CHOOSE($AF99,INDEX(nINT_Treatment_Day,$AH99),"","","","","","","","","","",""))</f>
        <v/>
      </c>
      <c r="BC99" s="1" t="str">
        <f>IF($AF99=0,"",CHOOSE($AF99,INDEX(nINT_Reported_Timing_Result,$AH99)&amp;"","","","","","","","","","","",""))</f>
        <v/>
      </c>
      <c r="BD99" s="1" t="str">
        <f>IF($AF99=0,"",CHOOSE($AF99,IF(INDEX(nINT_K_HasC,$AH99)=1,INDEX(nINT_Constraint_Source,$AH99)&amp;"",""),"","","","","","","","","","",""))</f>
        <v/>
      </c>
      <c r="BE99" s="1" t="str">
        <f>IF($AF99=0,"",CHOOSE($AF99,"",INDEX(nQ1_Results_Text,$AH99)&amp;"",INDEX(nQ2_Results_Text,$AH99)&amp;"",INDEX(nQ3_Results_Text,$AH99)&amp;"",INDEX(nQ4_Results_Text,$AH99)&amp;"",INDEX(nQ5_Results_Text,$AH99)&amp;"",INDEX(nQ6_Results_Text,$AH99)&amp;"",INDEX(nQ7_Results_Text,$AH99)&amp;"",INDEX(nQ8_Results_Text,$AH99)&amp;"",INDEX(nQ9_Results_Text,$AH99)&amp;"",INDEX(nQ10_Results_Text,$AH99)&amp;"",INDEX(nQ11_Results_Text,$AH99)&amp;""))</f>
        <v/>
      </c>
      <c r="BF99" s="1" t="str">
        <f>IF($AF99=0,"",CHOOSE($AF99,INDEX(nINT_Parameter_Set,$AH99)&amp;"",INDEX(nQ1_Parameter_Set,$AH99)&amp;"",INDEX(nQ2_Parameter_Set,$AH99)&amp;"",INDEX(nQ3_Parameter_Set,$AH99)&amp;"",INDEX(nQ4_Parameter_Set,$AH99)&amp;"",INDEX(nQ5_Parameter_Set,$AH99)&amp;"",INDEX(nQ6_Parameter_Set,$AH99)&amp;"",INDEX(nQ7_Parameter_Set,$AH99)&amp;"",INDEX(nQ8_Parameter_Set,$AH99)&amp;"",INDEX(nQ9_Parameter_Set,$AH99)&amp;"",INDEX(nQ10_Parameter_Set,$AH99)&amp;"",INDEX(nQ11_Parameter_Set,$AH99)&amp;""))</f>
        <v/>
      </c>
      <c r="BG99" s="1" t="str">
        <f>IF($AF99=0,"",CHOOSE($AF99,INDEX(nINT_Assumptions,$AH99)&amp;"",INDEX(nQ1_Assumptions,$AH99)&amp;"",INDEX(nQ2_Assumptions,$AH99)&amp;"",INDEX(nQ3_Assumptions,$AH99)&amp;"",INDEX(nQ4_Assumptions,$AH99)&amp;"",INDEX(nQ5_Assumptions,$AH99)&amp;"",INDEX(nQ6_Assumptions,$AH99)&amp;"",INDEX(nQ7_Assumptions,$AH99)&amp;"",INDEX(nQ8_Assumptions,$AH99)&amp;"",INDEX(nQ9_Assumptions,$AH99)&amp;"",INDEX(nQ10_Assumptions,$AH99)&amp;"",INDEX(nQ11_Assumptions,$AH99)&amp;""))</f>
        <v/>
      </c>
      <c r="BH99" s="1" t="str">
        <f>IF($AF99=0,"",CHOOSE($AF99,INDEX(nINT_Calculation_Version,$AH99)&amp;"",INDEX(nQ1_Calculation_Version,$AH99)&amp;"",INDEX(nQ2_Calculation_Version,$AH99)&amp;"",INDEX(nQ3_Calculation_Version,$AH99)&amp;"",INDEX(nQ4_Calculation_Version,$AH99)&amp;"",INDEX(nQ5_Calculation_Version,$AH99)&amp;"",INDEX(nQ6_Calculation_Version,$AH99)&amp;"",INDEX(nQ7_Calculation_Version,$AH99)&amp;"",INDEX(nQ8_Calculation_Version,$AH99)&amp;"",INDEX(nQ9_Calculation_Version,$AH99)&amp;"",INDEX(nQ10_Calculation_Version,$AH99)&amp;"",INDEX(nQ11_Calculation_Version,$AH99)&amp;""))</f>
        <v/>
      </c>
      <c r="BI99" s="1" t="str">
        <f>IF($AF99=0,"",CHOOSE($AF99,INDEX(nINT_QC_Flags,$AH99)&amp;"",INDEX(nQ1_QC_Flags,$AH99)&amp;"",INDEX(nQ2_QC_Flags,$AH99)&amp;"",INDEX(nQ3_QC_Flags,$AH99)&amp;"",INDEX(nQ4_QC_Flags,$AH99)&amp;"",INDEX(nQ5_QC_Flags,$AH99)&amp;"",INDEX(nQ6_QC_Flags,$AH99)&amp;"",INDEX(nQ7_QC_Flags,$AH99)&amp;"",INDEX(nQ8_QC_Flags,$AH99)&amp;"",INDEX(nQ9_QC_Flags,$AH99)&amp;"",INDEX(nQ10_QC_Flags,$AH99)&amp;"",INDEX(nQ11_QC_Flags,$AH99)&amp;""))</f>
        <v/>
      </c>
      <c r="BJ99" s="1" t="str">
        <f>IF($AF99=0,"",CHOOSE($AF99,INDEX(nINT_Messages,$AH99)&amp;"",INDEX(nQ1_Messages,$AH99)&amp;"",INDEX(nQ2_Messages,$AH99)&amp;"",INDEX(nQ3_Messages,$AH99)&amp;"",INDEX(nQ4_Messages,$AH99)&amp;"",INDEX(nQ5_Messages,$AH99)&amp;"",INDEX(nQ6_Messages,$AH99)&amp;"",INDEX(nQ7_Messages,$AH99)&amp;"",INDEX(nQ8_Messages,$AH99)&amp;"",INDEX(nQ9_Messages,$AH99)&amp;"",INDEX(nQ10_Messages,$AH99)&amp;"",INDEX(nQ11_Messages,$AH99)&amp;""))</f>
        <v/>
      </c>
      <c r="BK99" s="1" t="str">
        <f>IF($AF99=0,"",CHOOSE($AF99,INDEX(nINT_Limitations,$AH99)&amp;"",INDEX(nQ1_Mandatory_Text,$AH99)&amp;"",INDEX(nQ2_Mandatory_Text,$AH99)&amp;"",INDEX(nQ3_Mandatory_Text,$AH99)&amp;"",INDEX(nQ4_Mandatory_Text,$AH99)&amp;"",INDEX(nQ5_Mandatory_Text,$AH99)&amp;"",INDEX(nQ6_Mandatory_Text,$AH99)&amp;"",INDEX(nQ7_Mandatory_Text,$AH99)&amp;"",INDEX(nQ8_Mandatory_Text,$AH99)&amp;"",INDEX(nQ9_Mandatory_Text,$AH99)&amp;"",INDEX(nQ10_Mandatory_Text,$AH99)&amp;"",INDEX(nQ11_Mandatory_Text,$AH99)&amp;""))</f>
        <v/>
      </c>
      <c r="BL99" s="1" t="str">
        <f t="shared" si="68"/>
        <v/>
      </c>
      <c r="BM99" s="1" t="str">
        <f t="shared" si="69"/>
        <v/>
      </c>
    </row>
    <row r="100" spans="1:65" x14ac:dyDescent="0.2">
      <c r="A100" s="21" t="str">
        <f t="shared" si="35"/>
        <v/>
      </c>
      <c r="B100" s="21" t="str">
        <f t="shared" si="36"/>
        <v/>
      </c>
      <c r="C100" s="21" t="str">
        <f t="shared" si="37"/>
        <v/>
      </c>
      <c r="D100" s="21" t="str">
        <f t="shared" si="38"/>
        <v/>
      </c>
      <c r="E100" s="21" t="str">
        <f t="shared" si="39"/>
        <v/>
      </c>
      <c r="F100" s="21" t="str">
        <f t="shared" si="40"/>
        <v/>
      </c>
      <c r="G100" s="21" t="str">
        <f t="shared" si="41"/>
        <v/>
      </c>
      <c r="H100" s="21" t="str">
        <f t="shared" si="42"/>
        <v/>
      </c>
      <c r="I100" s="21" t="str">
        <f t="shared" si="43"/>
        <v/>
      </c>
      <c r="J100" s="21" t="str">
        <f t="shared" si="44"/>
        <v/>
      </c>
      <c r="K100" s="21" t="str">
        <f t="shared" si="45"/>
        <v/>
      </c>
      <c r="L100" s="21" t="str">
        <f t="shared" si="46"/>
        <v/>
      </c>
      <c r="M100" s="21" t="str">
        <f t="shared" si="47"/>
        <v/>
      </c>
      <c r="N100" s="21" t="str">
        <f t="shared" si="48"/>
        <v/>
      </c>
      <c r="O100" s="21" t="str">
        <f t="shared" si="49"/>
        <v/>
      </c>
      <c r="P100" s="21" t="str">
        <f t="shared" si="50"/>
        <v/>
      </c>
      <c r="Q100" s="21" t="str">
        <f t="shared" si="51"/>
        <v/>
      </c>
      <c r="R100" s="21" t="str">
        <f t="shared" si="52"/>
        <v/>
      </c>
      <c r="S100" s="21" t="str">
        <f t="shared" si="53"/>
        <v/>
      </c>
      <c r="T100" s="21" t="str">
        <f t="shared" si="54"/>
        <v/>
      </c>
      <c r="U100" s="21" t="str">
        <f t="shared" si="55"/>
        <v/>
      </c>
      <c r="V100" s="21" t="str">
        <f t="shared" si="56"/>
        <v/>
      </c>
      <c r="W100" s="21" t="str">
        <f t="shared" si="57"/>
        <v/>
      </c>
      <c r="X100" s="21" t="str">
        <f t="shared" si="58"/>
        <v/>
      </c>
      <c r="Y100" s="21" t="str">
        <f t="shared" si="59"/>
        <v/>
      </c>
      <c r="Z100" s="21" t="str">
        <f t="shared" si="60"/>
        <v/>
      </c>
      <c r="AA100" s="21" t="str">
        <f t="shared" si="61"/>
        <v/>
      </c>
      <c r="AB100" s="21" t="str">
        <f t="shared" si="62"/>
        <v/>
      </c>
      <c r="AC100" s="21" t="str">
        <f t="shared" si="63"/>
        <v/>
      </c>
      <c r="AD100" s="21" t="str">
        <f t="shared" si="64"/>
        <v/>
      </c>
      <c r="AE100" s="1">
        <f t="shared" si="65"/>
        <v>93</v>
      </c>
      <c r="AF100" s="1">
        <f t="shared" si="66"/>
        <v>0</v>
      </c>
      <c r="AG100" s="1">
        <f t="shared" si="67"/>
        <v>0</v>
      </c>
      <c r="AH100" s="1">
        <f>IF(AF100=0,0,CHOOSE(AF100,IFERROR(_xlfn.AGGREGATE(15,6,(ROW(nINT_CaseKey)-ROW(INDEX(nINT_CaseKey,1,1))+1)/((nINT_CaseKey=$H$4)*(nINT_RowEmpty=0)),AG100),0),IFERROR(_xlfn.AGGREGATE(15,6,(ROW(nQ1_CaseKey)-ROW(INDEX(nQ1_CaseKey,1,1))+1)/((nQ1_CaseKey=$H$4)),AG100),0),IFERROR(_xlfn.AGGREGATE(15,6,(ROW(nQ2_CaseKey)-ROW(INDEX(nQ2_CaseKey,1,1))+1)/((nQ2_CaseKey=$H$4)),AG100),0),IFERROR(_xlfn.AGGREGATE(15,6,(ROW(nQ3_CaseKey)-ROW(INDEX(nQ3_CaseKey,1,1))+1)/((nQ3_CaseKey=$H$4)),AG100),0),IFERROR(_xlfn.AGGREGATE(15,6,(ROW(nQ4_CaseKey)-ROW(INDEX(nQ4_CaseKey,1,1))+1)/((nQ4_CaseKey=$H$4)),AG100),0),IFERROR(_xlfn.AGGREGATE(15,6,(ROW(nQ5_CaseKey)-ROW(INDEX(nQ5_CaseKey,1,1))+1)/((nQ5_CaseKey=$H$4)),AG100),0),IFERROR(_xlfn.AGGREGATE(15,6,(ROW(nQ6_CaseKey)-ROW(INDEX(nQ6_CaseKey,1,1))+1)/((nQ6_CaseKey=$H$4)),AG100),0),IFERROR(_xlfn.AGGREGATE(15,6,(ROW(nQ7_CaseKey)-ROW(INDEX(nQ7_CaseKey,1,1))+1)/((nQ7_CaseKey=$H$4)),AG100),0),IFERROR(_xlfn.AGGREGATE(15,6,(ROW(nQ8_CaseKey)-ROW(INDEX(nQ8_CaseKey,1,1))+1)/((nQ8_CaseKey=$H$4)),AG100),0),IFERROR(_xlfn.AGGREGATE(15,6,(ROW(nQ9_CaseKey)-ROW(INDEX(nQ9_CaseKey,1,1))+1)/((nQ9_CaseKey=$H$4)),AG100),0),IFERROR(_xlfn.AGGREGATE(15,6,(ROW(nQ10_CaseKey)-ROW(INDEX(nQ10_CaseKey,1,1))+1)/((nQ10_CaseKey=$H$4)),AG100),0),IFERROR(_xlfn.AGGREGATE(15,6,(ROW(nQ11_CaseKey)-ROW(INDEX(nQ11_CaseKey,1,1))+1)/((nQ11_CaseKey=$H$4)),AG100),0)))</f>
        <v>0</v>
      </c>
      <c r="AJ100" s="1" t="str">
        <f>IF($AF100=0,"",CHOOSE($AF100,INDEX(nINT_Case_ID,$AH100)&amp;"",INDEX(nQ1_Case_ID,$AH100)&amp;"",INDEX(nQ2_Case_ID,$AH100)&amp;"",INDEX(nQ3_Case_ID,$AH100)&amp;"",INDEX(nQ4_Case_ID,$AH100)&amp;"",INDEX(nQ5_Case_ID,$AH100)&amp;"",INDEX(nQ6_Case_ID,$AH100)&amp;"",INDEX(nQ7_Case_ID,$AH100)&amp;"",INDEX(nQ8_Case_ID,$AH100)&amp;"",INDEX(nQ9_Case_ID,$AH100)&amp;"",INDEX(nQ10_Case_ID,$AH100)&amp;"",INDEX(nQ11_Case_ID,$AH100)&amp;""))</f>
        <v/>
      </c>
      <c r="AK100" s="1" t="str">
        <f>IF($AF100=0,"",CHOOSE($AF100,INDEX(nINT_Case_Version,$AH100),INDEX(nQ1_Case_Version,$AH100),INDEX(nQ2_Case_Version,$AH100),INDEX(nQ3_Case_Version,$AH100),INDEX(nQ4_Case_Version,$AH100),INDEX(nQ5_Case_Version,$AH100),INDEX(nQ6_Case_Version,$AH100),INDEX(nQ7_Case_Version,$AH100),INDEX(nQ8_Case_Version,$AH100),INDEX(nQ9_Case_Version,$AH100),INDEX(nQ10_Case_Version,$AH100),INDEX(nQ11_Case_Version,$AH100)))</f>
        <v/>
      </c>
      <c r="AL100" s="1" t="str">
        <f>IF($AF100=0,"",CHOOSE($AF100,INDEX(nINT_Interval_ID,$AH100)&amp;"",INDEX(nQ1_Calc_ID,$AH100)&amp;"",INDEX(nQ2_Calc_ID,$AH100)&amp;"",INDEX(nQ3_Calc_ID,$AH100)&amp;"",INDEX(nQ4_Calc_ID,$AH100)&amp;"",INDEX(nQ5_Calc_ID,$AH100)&amp;"",INDEX(nQ6_Calc_ID,$AH100)&amp;"",INDEX(nQ7_Calc_ID,$AH100)&amp;"",INDEX(nQ8_Calc_ID,$AH100)&amp;"",INDEX(nQ9_Calc_ID,$AH100)&amp;"",INDEX(nQ10_Calc_ID,$AH100)&amp;"",INDEX(nQ11_Calc_ID,$AH100)&amp;""))</f>
        <v/>
      </c>
      <c r="AM100" s="1" t="str">
        <f>IF($AF100=0,"",CHOOSE($AF100,INDEX(nINT_Label,$AH100)&amp;"",INDEX(nQ1_Label_Out,$AH100)&amp;"",INDEX(nQ2_Label_Out,$AH100)&amp;"",INDEX(nQ3_Label_Out,$AH100)&amp;"",INDEX(nQ4_Label_Out,$AH100)&amp;"",INDEX(nQ5_Label_Out,$AH100)&amp;"",INDEX(nQ6_Label_Out,$AH100)&amp;"",INDEX(nQ7_Label_Out,$AH100)&amp;"",INDEX(nQ8_Label_Out,$AH100)&amp;"",INDEX(nQ9_Label_Out,$AH100)&amp;"",INDEX(nQ10_Label_Out,$AH100)&amp;"",INDEX(nQ11_Label_Out,$AH100)&amp;""))</f>
        <v/>
      </c>
      <c r="AN100" s="1" t="str">
        <f>IF($AF100=0,"",CHOOSE($AF100,IF(INDEX(nINT_LinkRow,$AH100)=0,"",INDEX(nINT_Link_ID,$AH100)&amp;""),"","","","","","","","","","",""))</f>
        <v/>
      </c>
      <c r="AO100" s="1" t="str">
        <f>IF($AF100=0,"",CHOOSE($AF100,INDEX(nINT_Exposure_Episode_ID,$AH100)&amp;"","","","","","","","","","","",""))</f>
        <v/>
      </c>
      <c r="AP100" s="1" t="str">
        <f>IF($AF100=0,"",CHOOSE($AF100,INDEX(nINT_Event_Episode_ID,$AH100)&amp;"","","","","","","","","","","",""))</f>
        <v/>
      </c>
      <c r="AQ100" s="1" t="str">
        <f>IF($AF100=0,"",CHOOSE($AF100,INDEX(nINT_End_Record_ID_Used,$AH100)&amp;"","","","","","","","","","","",""))</f>
        <v/>
      </c>
      <c r="AR100" s="1" t="str">
        <f>IF($AF100=0,"",CHOOSE($AF100,INDEX(nINT_Interval_Value,$AH100),"","","","","","","","","","",""))</f>
        <v/>
      </c>
      <c r="AS100" s="1" t="str">
        <f>IF($AF100=0,"",CHOOSE($AF100,INDEX(nINT_Interval_Minimum,$AH100),"","","","","","","","","","",""))</f>
        <v/>
      </c>
      <c r="AT100" s="1" t="str">
        <f>IF($AF100=0,"",CHOOSE($AF100,INDEX(nINT_Interval_Maximum,$AH100),"","","","","","","","","","",""))</f>
        <v/>
      </c>
      <c r="AU100" s="1" t="str">
        <f>IF($AF100=0,"",CHOOSE($AF100,INDEX(nINT_Unit,$AH100)&amp;"",INDEX(nQ1_Unit_Out,$AH100)&amp;"",INDEX(nQ2_Unit_Out,$AH100)&amp;"",INDEX(nQ3_Unit_Out,$AH100)&amp;"",INDEX(nQ4_Unit_Out,$AH100)&amp;"",INDEX(nQ5_Unit_Out,$AH100)&amp;"",INDEX(nQ6_Unit_Out,$AH100)&amp;"",INDEX(nQ7_Unit_Out,$AH100)&amp;"",INDEX(nQ8_Unit_Out,$AH100)&amp;"",INDEX(nQ9_Unit_Out,$AH100)&amp;"",INDEX(nQ10_Unit_Out,$AH100)&amp;"",INDEX(nQ11_Unit_Out,$AH100)&amp;""))</f>
        <v/>
      </c>
      <c r="AV100" s="1" t="str">
        <f>IF($AF100=0,"",CHOOSE($AF100,INDEX(nINT_Displayed_Value,$AH100)&amp;"",INDEX(nQ1_Displayed_Value,$AH100)&amp;"",INDEX(nQ2_Displayed_Value,$AH100)&amp;"",INDEX(nQ3_Displayed_Value,$AH100)&amp;"",INDEX(nQ4_Displayed_Value,$AH100)&amp;"",INDEX(nQ5_Displayed_Value,$AH100)&amp;"",INDEX(nQ6_Displayed_Value,$AH100)&amp;"",INDEX(nQ7_Displayed_Value,$AH100)&amp;"",INDEX(nQ8_Displayed_Value,$AH100)&amp;"",INDEX(nQ9_Displayed_Value,$AH100)&amp;"",INDEX(nQ10_Displayed_Value,$AH100)&amp;"",INDEX(nQ11_Displayed_Value,$AH100)&amp;""))</f>
        <v/>
      </c>
      <c r="AW100" s="1" t="str">
        <f>IF($AF100=0,"",CHOOSE($AF100,INDEX(nINT_Calculation_Mode_Used,$AH100)&amp;"","Q1","Q2","Q3","Q4","Q5","Q6","Q7","Q8","Q9","Q10","Q11"))</f>
        <v/>
      </c>
      <c r="AX100" s="1" t="str">
        <f>IF($AF100=0,"",CHOOSE($AF100,INDEX(nINT_Anchor_Type,$AH100)&amp;"","","","","","","","","","","",""))</f>
        <v/>
      </c>
      <c r="AY100" s="1" t="str">
        <f>IF($AF100=0,"",CHOOSE($AF100,IF(INDEX(nINT_K_Ok,$AH100)=1,INDEX(nINT_Anchor_Record_ID_Used,$AH100)&amp;"",""),"","","","","","","","","","",""))</f>
        <v/>
      </c>
      <c r="AZ100" s="1" t="str">
        <f>IF($AF100=0,"",CHOOSE($AF100,INDEX(nINT_Anchor_Description,$AH100)&amp;"","","","","","","","","","","",""))</f>
        <v/>
      </c>
      <c r="BA100" s="1" t="str">
        <f>IF($AF100=0,"",CHOOSE($AF100,INDEX(nINT_Sequence_Status,$AH100)&amp;"","","","","","","","","","","",""))</f>
        <v/>
      </c>
      <c r="BB100" s="1" t="str">
        <f>IF($AF100=0,"",CHOOSE($AF100,INDEX(nINT_Treatment_Day,$AH100),"","","","","","","","","","",""))</f>
        <v/>
      </c>
      <c r="BC100" s="1" t="str">
        <f>IF($AF100=0,"",CHOOSE($AF100,INDEX(nINT_Reported_Timing_Result,$AH100)&amp;"","","","","","","","","","","",""))</f>
        <v/>
      </c>
      <c r="BD100" s="1" t="str">
        <f>IF($AF100=0,"",CHOOSE($AF100,IF(INDEX(nINT_K_HasC,$AH100)=1,INDEX(nINT_Constraint_Source,$AH100)&amp;"",""),"","","","","","","","","","",""))</f>
        <v/>
      </c>
      <c r="BE100" s="1" t="str">
        <f>IF($AF100=0,"",CHOOSE($AF100,"",INDEX(nQ1_Results_Text,$AH100)&amp;"",INDEX(nQ2_Results_Text,$AH100)&amp;"",INDEX(nQ3_Results_Text,$AH100)&amp;"",INDEX(nQ4_Results_Text,$AH100)&amp;"",INDEX(nQ5_Results_Text,$AH100)&amp;"",INDEX(nQ6_Results_Text,$AH100)&amp;"",INDEX(nQ7_Results_Text,$AH100)&amp;"",INDEX(nQ8_Results_Text,$AH100)&amp;"",INDEX(nQ9_Results_Text,$AH100)&amp;"",INDEX(nQ10_Results_Text,$AH100)&amp;"",INDEX(nQ11_Results_Text,$AH100)&amp;""))</f>
        <v/>
      </c>
      <c r="BF100" s="1" t="str">
        <f>IF($AF100=0,"",CHOOSE($AF100,INDEX(nINT_Parameter_Set,$AH100)&amp;"",INDEX(nQ1_Parameter_Set,$AH100)&amp;"",INDEX(nQ2_Parameter_Set,$AH100)&amp;"",INDEX(nQ3_Parameter_Set,$AH100)&amp;"",INDEX(nQ4_Parameter_Set,$AH100)&amp;"",INDEX(nQ5_Parameter_Set,$AH100)&amp;"",INDEX(nQ6_Parameter_Set,$AH100)&amp;"",INDEX(nQ7_Parameter_Set,$AH100)&amp;"",INDEX(nQ8_Parameter_Set,$AH100)&amp;"",INDEX(nQ9_Parameter_Set,$AH100)&amp;"",INDEX(nQ10_Parameter_Set,$AH100)&amp;"",INDEX(nQ11_Parameter_Set,$AH100)&amp;""))</f>
        <v/>
      </c>
      <c r="BG100" s="1" t="str">
        <f>IF($AF100=0,"",CHOOSE($AF100,INDEX(nINT_Assumptions,$AH100)&amp;"",INDEX(nQ1_Assumptions,$AH100)&amp;"",INDEX(nQ2_Assumptions,$AH100)&amp;"",INDEX(nQ3_Assumptions,$AH100)&amp;"",INDEX(nQ4_Assumptions,$AH100)&amp;"",INDEX(nQ5_Assumptions,$AH100)&amp;"",INDEX(nQ6_Assumptions,$AH100)&amp;"",INDEX(nQ7_Assumptions,$AH100)&amp;"",INDEX(nQ8_Assumptions,$AH100)&amp;"",INDEX(nQ9_Assumptions,$AH100)&amp;"",INDEX(nQ10_Assumptions,$AH100)&amp;"",INDEX(nQ11_Assumptions,$AH100)&amp;""))</f>
        <v/>
      </c>
      <c r="BH100" s="1" t="str">
        <f>IF($AF100=0,"",CHOOSE($AF100,INDEX(nINT_Calculation_Version,$AH100)&amp;"",INDEX(nQ1_Calculation_Version,$AH100)&amp;"",INDEX(nQ2_Calculation_Version,$AH100)&amp;"",INDEX(nQ3_Calculation_Version,$AH100)&amp;"",INDEX(nQ4_Calculation_Version,$AH100)&amp;"",INDEX(nQ5_Calculation_Version,$AH100)&amp;"",INDEX(nQ6_Calculation_Version,$AH100)&amp;"",INDEX(nQ7_Calculation_Version,$AH100)&amp;"",INDEX(nQ8_Calculation_Version,$AH100)&amp;"",INDEX(nQ9_Calculation_Version,$AH100)&amp;"",INDEX(nQ10_Calculation_Version,$AH100)&amp;"",INDEX(nQ11_Calculation_Version,$AH100)&amp;""))</f>
        <v/>
      </c>
      <c r="BI100" s="1" t="str">
        <f>IF($AF100=0,"",CHOOSE($AF100,INDEX(nINT_QC_Flags,$AH100)&amp;"",INDEX(nQ1_QC_Flags,$AH100)&amp;"",INDEX(nQ2_QC_Flags,$AH100)&amp;"",INDEX(nQ3_QC_Flags,$AH100)&amp;"",INDEX(nQ4_QC_Flags,$AH100)&amp;"",INDEX(nQ5_QC_Flags,$AH100)&amp;"",INDEX(nQ6_QC_Flags,$AH100)&amp;"",INDEX(nQ7_QC_Flags,$AH100)&amp;"",INDEX(nQ8_QC_Flags,$AH100)&amp;"",INDEX(nQ9_QC_Flags,$AH100)&amp;"",INDEX(nQ10_QC_Flags,$AH100)&amp;"",INDEX(nQ11_QC_Flags,$AH100)&amp;""))</f>
        <v/>
      </c>
      <c r="BJ100" s="1" t="str">
        <f>IF($AF100=0,"",CHOOSE($AF100,INDEX(nINT_Messages,$AH100)&amp;"",INDEX(nQ1_Messages,$AH100)&amp;"",INDEX(nQ2_Messages,$AH100)&amp;"",INDEX(nQ3_Messages,$AH100)&amp;"",INDEX(nQ4_Messages,$AH100)&amp;"",INDEX(nQ5_Messages,$AH100)&amp;"",INDEX(nQ6_Messages,$AH100)&amp;"",INDEX(nQ7_Messages,$AH100)&amp;"",INDEX(nQ8_Messages,$AH100)&amp;"",INDEX(nQ9_Messages,$AH100)&amp;"",INDEX(nQ10_Messages,$AH100)&amp;"",INDEX(nQ11_Messages,$AH100)&amp;""))</f>
        <v/>
      </c>
      <c r="BK100" s="1" t="str">
        <f>IF($AF100=0,"",CHOOSE($AF100,INDEX(nINT_Limitations,$AH100)&amp;"",INDEX(nQ1_Mandatory_Text,$AH100)&amp;"",INDEX(nQ2_Mandatory_Text,$AH100)&amp;"",INDEX(nQ3_Mandatory_Text,$AH100)&amp;"",INDEX(nQ4_Mandatory_Text,$AH100)&amp;"",INDEX(nQ5_Mandatory_Text,$AH100)&amp;"",INDEX(nQ6_Mandatory_Text,$AH100)&amp;"",INDEX(nQ7_Mandatory_Text,$AH100)&amp;"",INDEX(nQ8_Mandatory_Text,$AH100)&amp;"",INDEX(nQ9_Mandatory_Text,$AH100)&amp;"",INDEX(nQ10_Mandatory_Text,$AH100)&amp;"",INDEX(nQ11_Mandatory_Text,$AH100)&amp;""))</f>
        <v/>
      </c>
      <c r="BL100" s="1" t="str">
        <f t="shared" si="68"/>
        <v/>
      </c>
      <c r="BM100" s="1" t="str">
        <f t="shared" si="69"/>
        <v/>
      </c>
    </row>
    <row r="101" spans="1:65" x14ac:dyDescent="0.2">
      <c r="A101" s="21" t="str">
        <f t="shared" si="35"/>
        <v/>
      </c>
      <c r="B101" s="21" t="str">
        <f t="shared" si="36"/>
        <v/>
      </c>
      <c r="C101" s="21" t="str">
        <f t="shared" si="37"/>
        <v/>
      </c>
      <c r="D101" s="21" t="str">
        <f t="shared" si="38"/>
        <v/>
      </c>
      <c r="E101" s="21" t="str">
        <f t="shared" si="39"/>
        <v/>
      </c>
      <c r="F101" s="21" t="str">
        <f t="shared" si="40"/>
        <v/>
      </c>
      <c r="G101" s="21" t="str">
        <f t="shared" si="41"/>
        <v/>
      </c>
      <c r="H101" s="21" t="str">
        <f t="shared" si="42"/>
        <v/>
      </c>
      <c r="I101" s="21" t="str">
        <f t="shared" si="43"/>
        <v/>
      </c>
      <c r="J101" s="21" t="str">
        <f t="shared" si="44"/>
        <v/>
      </c>
      <c r="K101" s="21" t="str">
        <f t="shared" si="45"/>
        <v/>
      </c>
      <c r="L101" s="21" t="str">
        <f t="shared" si="46"/>
        <v/>
      </c>
      <c r="M101" s="21" t="str">
        <f t="shared" si="47"/>
        <v/>
      </c>
      <c r="N101" s="21" t="str">
        <f t="shared" si="48"/>
        <v/>
      </c>
      <c r="O101" s="21" t="str">
        <f t="shared" si="49"/>
        <v/>
      </c>
      <c r="P101" s="21" t="str">
        <f t="shared" si="50"/>
        <v/>
      </c>
      <c r="Q101" s="21" t="str">
        <f t="shared" si="51"/>
        <v/>
      </c>
      <c r="R101" s="21" t="str">
        <f t="shared" si="52"/>
        <v/>
      </c>
      <c r="S101" s="21" t="str">
        <f t="shared" si="53"/>
        <v/>
      </c>
      <c r="T101" s="21" t="str">
        <f t="shared" si="54"/>
        <v/>
      </c>
      <c r="U101" s="21" t="str">
        <f t="shared" si="55"/>
        <v/>
      </c>
      <c r="V101" s="21" t="str">
        <f t="shared" si="56"/>
        <v/>
      </c>
      <c r="W101" s="21" t="str">
        <f t="shared" si="57"/>
        <v/>
      </c>
      <c r="X101" s="21" t="str">
        <f t="shared" si="58"/>
        <v/>
      </c>
      <c r="Y101" s="21" t="str">
        <f t="shared" si="59"/>
        <v/>
      </c>
      <c r="Z101" s="21" t="str">
        <f t="shared" si="60"/>
        <v/>
      </c>
      <c r="AA101" s="21" t="str">
        <f t="shared" si="61"/>
        <v/>
      </c>
      <c r="AB101" s="21" t="str">
        <f t="shared" si="62"/>
        <v/>
      </c>
      <c r="AC101" s="21" t="str">
        <f t="shared" si="63"/>
        <v/>
      </c>
      <c r="AD101" s="21" t="str">
        <f t="shared" si="64"/>
        <v/>
      </c>
      <c r="AE101" s="1">
        <f t="shared" si="65"/>
        <v>94</v>
      </c>
      <c r="AF101" s="1">
        <f t="shared" si="66"/>
        <v>0</v>
      </c>
      <c r="AG101" s="1">
        <f t="shared" si="67"/>
        <v>0</v>
      </c>
      <c r="AH101" s="1">
        <f>IF(AF101=0,0,CHOOSE(AF101,IFERROR(_xlfn.AGGREGATE(15,6,(ROW(nINT_CaseKey)-ROW(INDEX(nINT_CaseKey,1,1))+1)/((nINT_CaseKey=$H$4)*(nINT_RowEmpty=0)),AG101),0),IFERROR(_xlfn.AGGREGATE(15,6,(ROW(nQ1_CaseKey)-ROW(INDEX(nQ1_CaseKey,1,1))+1)/((nQ1_CaseKey=$H$4)),AG101),0),IFERROR(_xlfn.AGGREGATE(15,6,(ROW(nQ2_CaseKey)-ROW(INDEX(nQ2_CaseKey,1,1))+1)/((nQ2_CaseKey=$H$4)),AG101),0),IFERROR(_xlfn.AGGREGATE(15,6,(ROW(nQ3_CaseKey)-ROW(INDEX(nQ3_CaseKey,1,1))+1)/((nQ3_CaseKey=$H$4)),AG101),0),IFERROR(_xlfn.AGGREGATE(15,6,(ROW(nQ4_CaseKey)-ROW(INDEX(nQ4_CaseKey,1,1))+1)/((nQ4_CaseKey=$H$4)),AG101),0),IFERROR(_xlfn.AGGREGATE(15,6,(ROW(nQ5_CaseKey)-ROW(INDEX(nQ5_CaseKey,1,1))+1)/((nQ5_CaseKey=$H$4)),AG101),0),IFERROR(_xlfn.AGGREGATE(15,6,(ROW(nQ6_CaseKey)-ROW(INDEX(nQ6_CaseKey,1,1))+1)/((nQ6_CaseKey=$H$4)),AG101),0),IFERROR(_xlfn.AGGREGATE(15,6,(ROW(nQ7_CaseKey)-ROW(INDEX(nQ7_CaseKey,1,1))+1)/((nQ7_CaseKey=$H$4)),AG101),0),IFERROR(_xlfn.AGGREGATE(15,6,(ROW(nQ8_CaseKey)-ROW(INDEX(nQ8_CaseKey,1,1))+1)/((nQ8_CaseKey=$H$4)),AG101),0),IFERROR(_xlfn.AGGREGATE(15,6,(ROW(nQ9_CaseKey)-ROW(INDEX(nQ9_CaseKey,1,1))+1)/((nQ9_CaseKey=$H$4)),AG101),0),IFERROR(_xlfn.AGGREGATE(15,6,(ROW(nQ10_CaseKey)-ROW(INDEX(nQ10_CaseKey,1,1))+1)/((nQ10_CaseKey=$H$4)),AG101),0),IFERROR(_xlfn.AGGREGATE(15,6,(ROW(nQ11_CaseKey)-ROW(INDEX(nQ11_CaseKey,1,1))+1)/((nQ11_CaseKey=$H$4)),AG101),0)))</f>
        <v>0</v>
      </c>
      <c r="AJ101" s="1" t="str">
        <f>IF($AF101=0,"",CHOOSE($AF101,INDEX(nINT_Case_ID,$AH101)&amp;"",INDEX(nQ1_Case_ID,$AH101)&amp;"",INDEX(nQ2_Case_ID,$AH101)&amp;"",INDEX(nQ3_Case_ID,$AH101)&amp;"",INDEX(nQ4_Case_ID,$AH101)&amp;"",INDEX(nQ5_Case_ID,$AH101)&amp;"",INDEX(nQ6_Case_ID,$AH101)&amp;"",INDEX(nQ7_Case_ID,$AH101)&amp;"",INDEX(nQ8_Case_ID,$AH101)&amp;"",INDEX(nQ9_Case_ID,$AH101)&amp;"",INDEX(nQ10_Case_ID,$AH101)&amp;"",INDEX(nQ11_Case_ID,$AH101)&amp;""))</f>
        <v/>
      </c>
      <c r="AK101" s="1" t="str">
        <f>IF($AF101=0,"",CHOOSE($AF101,INDEX(nINT_Case_Version,$AH101),INDEX(nQ1_Case_Version,$AH101),INDEX(nQ2_Case_Version,$AH101),INDEX(nQ3_Case_Version,$AH101),INDEX(nQ4_Case_Version,$AH101),INDEX(nQ5_Case_Version,$AH101),INDEX(nQ6_Case_Version,$AH101),INDEX(nQ7_Case_Version,$AH101),INDEX(nQ8_Case_Version,$AH101),INDEX(nQ9_Case_Version,$AH101),INDEX(nQ10_Case_Version,$AH101),INDEX(nQ11_Case_Version,$AH101)))</f>
        <v/>
      </c>
      <c r="AL101" s="1" t="str">
        <f>IF($AF101=0,"",CHOOSE($AF101,INDEX(nINT_Interval_ID,$AH101)&amp;"",INDEX(nQ1_Calc_ID,$AH101)&amp;"",INDEX(nQ2_Calc_ID,$AH101)&amp;"",INDEX(nQ3_Calc_ID,$AH101)&amp;"",INDEX(nQ4_Calc_ID,$AH101)&amp;"",INDEX(nQ5_Calc_ID,$AH101)&amp;"",INDEX(nQ6_Calc_ID,$AH101)&amp;"",INDEX(nQ7_Calc_ID,$AH101)&amp;"",INDEX(nQ8_Calc_ID,$AH101)&amp;"",INDEX(nQ9_Calc_ID,$AH101)&amp;"",INDEX(nQ10_Calc_ID,$AH101)&amp;"",INDEX(nQ11_Calc_ID,$AH101)&amp;""))</f>
        <v/>
      </c>
      <c r="AM101" s="1" t="str">
        <f>IF($AF101=0,"",CHOOSE($AF101,INDEX(nINT_Label,$AH101)&amp;"",INDEX(nQ1_Label_Out,$AH101)&amp;"",INDEX(nQ2_Label_Out,$AH101)&amp;"",INDEX(nQ3_Label_Out,$AH101)&amp;"",INDEX(nQ4_Label_Out,$AH101)&amp;"",INDEX(nQ5_Label_Out,$AH101)&amp;"",INDEX(nQ6_Label_Out,$AH101)&amp;"",INDEX(nQ7_Label_Out,$AH101)&amp;"",INDEX(nQ8_Label_Out,$AH101)&amp;"",INDEX(nQ9_Label_Out,$AH101)&amp;"",INDEX(nQ10_Label_Out,$AH101)&amp;"",INDEX(nQ11_Label_Out,$AH101)&amp;""))</f>
        <v/>
      </c>
      <c r="AN101" s="1" t="str">
        <f>IF($AF101=0,"",CHOOSE($AF101,IF(INDEX(nINT_LinkRow,$AH101)=0,"",INDEX(nINT_Link_ID,$AH101)&amp;""),"","","","","","","","","","",""))</f>
        <v/>
      </c>
      <c r="AO101" s="1" t="str">
        <f>IF($AF101=0,"",CHOOSE($AF101,INDEX(nINT_Exposure_Episode_ID,$AH101)&amp;"","","","","","","","","","","",""))</f>
        <v/>
      </c>
      <c r="AP101" s="1" t="str">
        <f>IF($AF101=0,"",CHOOSE($AF101,INDEX(nINT_Event_Episode_ID,$AH101)&amp;"","","","","","","","","","","",""))</f>
        <v/>
      </c>
      <c r="AQ101" s="1" t="str">
        <f>IF($AF101=0,"",CHOOSE($AF101,INDEX(nINT_End_Record_ID_Used,$AH101)&amp;"","","","","","","","","","","",""))</f>
        <v/>
      </c>
      <c r="AR101" s="1" t="str">
        <f>IF($AF101=0,"",CHOOSE($AF101,INDEX(nINT_Interval_Value,$AH101),"","","","","","","","","","",""))</f>
        <v/>
      </c>
      <c r="AS101" s="1" t="str">
        <f>IF($AF101=0,"",CHOOSE($AF101,INDEX(nINT_Interval_Minimum,$AH101),"","","","","","","","","","",""))</f>
        <v/>
      </c>
      <c r="AT101" s="1" t="str">
        <f>IF($AF101=0,"",CHOOSE($AF101,INDEX(nINT_Interval_Maximum,$AH101),"","","","","","","","","","",""))</f>
        <v/>
      </c>
      <c r="AU101" s="1" t="str">
        <f>IF($AF101=0,"",CHOOSE($AF101,INDEX(nINT_Unit,$AH101)&amp;"",INDEX(nQ1_Unit_Out,$AH101)&amp;"",INDEX(nQ2_Unit_Out,$AH101)&amp;"",INDEX(nQ3_Unit_Out,$AH101)&amp;"",INDEX(nQ4_Unit_Out,$AH101)&amp;"",INDEX(nQ5_Unit_Out,$AH101)&amp;"",INDEX(nQ6_Unit_Out,$AH101)&amp;"",INDEX(nQ7_Unit_Out,$AH101)&amp;"",INDEX(nQ8_Unit_Out,$AH101)&amp;"",INDEX(nQ9_Unit_Out,$AH101)&amp;"",INDEX(nQ10_Unit_Out,$AH101)&amp;"",INDEX(nQ11_Unit_Out,$AH101)&amp;""))</f>
        <v/>
      </c>
      <c r="AV101" s="1" t="str">
        <f>IF($AF101=0,"",CHOOSE($AF101,INDEX(nINT_Displayed_Value,$AH101)&amp;"",INDEX(nQ1_Displayed_Value,$AH101)&amp;"",INDEX(nQ2_Displayed_Value,$AH101)&amp;"",INDEX(nQ3_Displayed_Value,$AH101)&amp;"",INDEX(nQ4_Displayed_Value,$AH101)&amp;"",INDEX(nQ5_Displayed_Value,$AH101)&amp;"",INDEX(nQ6_Displayed_Value,$AH101)&amp;"",INDEX(nQ7_Displayed_Value,$AH101)&amp;"",INDEX(nQ8_Displayed_Value,$AH101)&amp;"",INDEX(nQ9_Displayed_Value,$AH101)&amp;"",INDEX(nQ10_Displayed_Value,$AH101)&amp;"",INDEX(nQ11_Displayed_Value,$AH101)&amp;""))</f>
        <v/>
      </c>
      <c r="AW101" s="1" t="str">
        <f>IF($AF101=0,"",CHOOSE($AF101,INDEX(nINT_Calculation_Mode_Used,$AH101)&amp;"","Q1","Q2","Q3","Q4","Q5","Q6","Q7","Q8","Q9","Q10","Q11"))</f>
        <v/>
      </c>
      <c r="AX101" s="1" t="str">
        <f>IF($AF101=0,"",CHOOSE($AF101,INDEX(nINT_Anchor_Type,$AH101)&amp;"","","","","","","","","","","",""))</f>
        <v/>
      </c>
      <c r="AY101" s="1" t="str">
        <f>IF($AF101=0,"",CHOOSE($AF101,IF(INDEX(nINT_K_Ok,$AH101)=1,INDEX(nINT_Anchor_Record_ID_Used,$AH101)&amp;"",""),"","","","","","","","","","",""))</f>
        <v/>
      </c>
      <c r="AZ101" s="1" t="str">
        <f>IF($AF101=0,"",CHOOSE($AF101,INDEX(nINT_Anchor_Description,$AH101)&amp;"","","","","","","","","","","",""))</f>
        <v/>
      </c>
      <c r="BA101" s="1" t="str">
        <f>IF($AF101=0,"",CHOOSE($AF101,INDEX(nINT_Sequence_Status,$AH101)&amp;"","","","","","","","","","","",""))</f>
        <v/>
      </c>
      <c r="BB101" s="1" t="str">
        <f>IF($AF101=0,"",CHOOSE($AF101,INDEX(nINT_Treatment_Day,$AH101),"","","","","","","","","","",""))</f>
        <v/>
      </c>
      <c r="BC101" s="1" t="str">
        <f>IF($AF101=0,"",CHOOSE($AF101,INDEX(nINT_Reported_Timing_Result,$AH101)&amp;"","","","","","","","","","","",""))</f>
        <v/>
      </c>
      <c r="BD101" s="1" t="str">
        <f>IF($AF101=0,"",CHOOSE($AF101,IF(INDEX(nINT_K_HasC,$AH101)=1,INDEX(nINT_Constraint_Source,$AH101)&amp;"",""),"","","","","","","","","","",""))</f>
        <v/>
      </c>
      <c r="BE101" s="1" t="str">
        <f>IF($AF101=0,"",CHOOSE($AF101,"",INDEX(nQ1_Results_Text,$AH101)&amp;"",INDEX(nQ2_Results_Text,$AH101)&amp;"",INDEX(nQ3_Results_Text,$AH101)&amp;"",INDEX(nQ4_Results_Text,$AH101)&amp;"",INDEX(nQ5_Results_Text,$AH101)&amp;"",INDEX(nQ6_Results_Text,$AH101)&amp;"",INDEX(nQ7_Results_Text,$AH101)&amp;"",INDEX(nQ8_Results_Text,$AH101)&amp;"",INDEX(nQ9_Results_Text,$AH101)&amp;"",INDEX(nQ10_Results_Text,$AH101)&amp;"",INDEX(nQ11_Results_Text,$AH101)&amp;""))</f>
        <v/>
      </c>
      <c r="BF101" s="1" t="str">
        <f>IF($AF101=0,"",CHOOSE($AF101,INDEX(nINT_Parameter_Set,$AH101)&amp;"",INDEX(nQ1_Parameter_Set,$AH101)&amp;"",INDEX(nQ2_Parameter_Set,$AH101)&amp;"",INDEX(nQ3_Parameter_Set,$AH101)&amp;"",INDEX(nQ4_Parameter_Set,$AH101)&amp;"",INDEX(nQ5_Parameter_Set,$AH101)&amp;"",INDEX(nQ6_Parameter_Set,$AH101)&amp;"",INDEX(nQ7_Parameter_Set,$AH101)&amp;"",INDEX(nQ8_Parameter_Set,$AH101)&amp;"",INDEX(nQ9_Parameter_Set,$AH101)&amp;"",INDEX(nQ10_Parameter_Set,$AH101)&amp;"",INDEX(nQ11_Parameter_Set,$AH101)&amp;""))</f>
        <v/>
      </c>
      <c r="BG101" s="1" t="str">
        <f>IF($AF101=0,"",CHOOSE($AF101,INDEX(nINT_Assumptions,$AH101)&amp;"",INDEX(nQ1_Assumptions,$AH101)&amp;"",INDEX(nQ2_Assumptions,$AH101)&amp;"",INDEX(nQ3_Assumptions,$AH101)&amp;"",INDEX(nQ4_Assumptions,$AH101)&amp;"",INDEX(nQ5_Assumptions,$AH101)&amp;"",INDEX(nQ6_Assumptions,$AH101)&amp;"",INDEX(nQ7_Assumptions,$AH101)&amp;"",INDEX(nQ8_Assumptions,$AH101)&amp;"",INDEX(nQ9_Assumptions,$AH101)&amp;"",INDEX(nQ10_Assumptions,$AH101)&amp;"",INDEX(nQ11_Assumptions,$AH101)&amp;""))</f>
        <v/>
      </c>
      <c r="BH101" s="1" t="str">
        <f>IF($AF101=0,"",CHOOSE($AF101,INDEX(nINT_Calculation_Version,$AH101)&amp;"",INDEX(nQ1_Calculation_Version,$AH101)&amp;"",INDEX(nQ2_Calculation_Version,$AH101)&amp;"",INDEX(nQ3_Calculation_Version,$AH101)&amp;"",INDEX(nQ4_Calculation_Version,$AH101)&amp;"",INDEX(nQ5_Calculation_Version,$AH101)&amp;"",INDEX(nQ6_Calculation_Version,$AH101)&amp;"",INDEX(nQ7_Calculation_Version,$AH101)&amp;"",INDEX(nQ8_Calculation_Version,$AH101)&amp;"",INDEX(nQ9_Calculation_Version,$AH101)&amp;"",INDEX(nQ10_Calculation_Version,$AH101)&amp;"",INDEX(nQ11_Calculation_Version,$AH101)&amp;""))</f>
        <v/>
      </c>
      <c r="BI101" s="1" t="str">
        <f>IF($AF101=0,"",CHOOSE($AF101,INDEX(nINT_QC_Flags,$AH101)&amp;"",INDEX(nQ1_QC_Flags,$AH101)&amp;"",INDEX(nQ2_QC_Flags,$AH101)&amp;"",INDEX(nQ3_QC_Flags,$AH101)&amp;"",INDEX(nQ4_QC_Flags,$AH101)&amp;"",INDEX(nQ5_QC_Flags,$AH101)&amp;"",INDEX(nQ6_QC_Flags,$AH101)&amp;"",INDEX(nQ7_QC_Flags,$AH101)&amp;"",INDEX(nQ8_QC_Flags,$AH101)&amp;"",INDEX(nQ9_QC_Flags,$AH101)&amp;"",INDEX(nQ10_QC_Flags,$AH101)&amp;"",INDEX(nQ11_QC_Flags,$AH101)&amp;""))</f>
        <v/>
      </c>
      <c r="BJ101" s="1" t="str">
        <f>IF($AF101=0,"",CHOOSE($AF101,INDEX(nINT_Messages,$AH101)&amp;"",INDEX(nQ1_Messages,$AH101)&amp;"",INDEX(nQ2_Messages,$AH101)&amp;"",INDEX(nQ3_Messages,$AH101)&amp;"",INDEX(nQ4_Messages,$AH101)&amp;"",INDEX(nQ5_Messages,$AH101)&amp;"",INDEX(nQ6_Messages,$AH101)&amp;"",INDEX(nQ7_Messages,$AH101)&amp;"",INDEX(nQ8_Messages,$AH101)&amp;"",INDEX(nQ9_Messages,$AH101)&amp;"",INDEX(nQ10_Messages,$AH101)&amp;"",INDEX(nQ11_Messages,$AH101)&amp;""))</f>
        <v/>
      </c>
      <c r="BK101" s="1" t="str">
        <f>IF($AF101=0,"",CHOOSE($AF101,INDEX(nINT_Limitations,$AH101)&amp;"",INDEX(nQ1_Mandatory_Text,$AH101)&amp;"",INDEX(nQ2_Mandatory_Text,$AH101)&amp;"",INDEX(nQ3_Mandatory_Text,$AH101)&amp;"",INDEX(nQ4_Mandatory_Text,$AH101)&amp;"",INDEX(nQ5_Mandatory_Text,$AH101)&amp;"",INDEX(nQ6_Mandatory_Text,$AH101)&amp;"",INDEX(nQ7_Mandatory_Text,$AH101)&amp;"",INDEX(nQ8_Mandatory_Text,$AH101)&amp;"",INDEX(nQ9_Mandatory_Text,$AH101)&amp;"",INDEX(nQ10_Mandatory_Text,$AH101)&amp;"",INDEX(nQ11_Mandatory_Text,$AH101)&amp;""))</f>
        <v/>
      </c>
      <c r="BL101" s="1" t="str">
        <f t="shared" si="68"/>
        <v/>
      </c>
      <c r="BM101" s="1" t="str">
        <f t="shared" si="69"/>
        <v/>
      </c>
    </row>
    <row r="102" spans="1:65" x14ac:dyDescent="0.2">
      <c r="A102" s="21" t="str">
        <f t="shared" si="35"/>
        <v/>
      </c>
      <c r="B102" s="21" t="str">
        <f t="shared" si="36"/>
        <v/>
      </c>
      <c r="C102" s="21" t="str">
        <f t="shared" si="37"/>
        <v/>
      </c>
      <c r="D102" s="21" t="str">
        <f t="shared" si="38"/>
        <v/>
      </c>
      <c r="E102" s="21" t="str">
        <f t="shared" si="39"/>
        <v/>
      </c>
      <c r="F102" s="21" t="str">
        <f t="shared" si="40"/>
        <v/>
      </c>
      <c r="G102" s="21" t="str">
        <f t="shared" si="41"/>
        <v/>
      </c>
      <c r="H102" s="21" t="str">
        <f t="shared" si="42"/>
        <v/>
      </c>
      <c r="I102" s="21" t="str">
        <f t="shared" si="43"/>
        <v/>
      </c>
      <c r="J102" s="21" t="str">
        <f t="shared" si="44"/>
        <v/>
      </c>
      <c r="K102" s="21" t="str">
        <f t="shared" si="45"/>
        <v/>
      </c>
      <c r="L102" s="21" t="str">
        <f t="shared" si="46"/>
        <v/>
      </c>
      <c r="M102" s="21" t="str">
        <f t="shared" si="47"/>
        <v/>
      </c>
      <c r="N102" s="21" t="str">
        <f t="shared" si="48"/>
        <v/>
      </c>
      <c r="O102" s="21" t="str">
        <f t="shared" si="49"/>
        <v/>
      </c>
      <c r="P102" s="21" t="str">
        <f t="shared" si="50"/>
        <v/>
      </c>
      <c r="Q102" s="21" t="str">
        <f t="shared" si="51"/>
        <v/>
      </c>
      <c r="R102" s="21" t="str">
        <f t="shared" si="52"/>
        <v/>
      </c>
      <c r="S102" s="21" t="str">
        <f t="shared" si="53"/>
        <v/>
      </c>
      <c r="T102" s="21" t="str">
        <f t="shared" si="54"/>
        <v/>
      </c>
      <c r="U102" s="21" t="str">
        <f t="shared" si="55"/>
        <v/>
      </c>
      <c r="V102" s="21" t="str">
        <f t="shared" si="56"/>
        <v/>
      </c>
      <c r="W102" s="21" t="str">
        <f t="shared" si="57"/>
        <v/>
      </c>
      <c r="X102" s="21" t="str">
        <f t="shared" si="58"/>
        <v/>
      </c>
      <c r="Y102" s="21" t="str">
        <f t="shared" si="59"/>
        <v/>
      </c>
      <c r="Z102" s="21" t="str">
        <f t="shared" si="60"/>
        <v/>
      </c>
      <c r="AA102" s="21" t="str">
        <f t="shared" si="61"/>
        <v/>
      </c>
      <c r="AB102" s="21" t="str">
        <f t="shared" si="62"/>
        <v/>
      </c>
      <c r="AC102" s="21" t="str">
        <f t="shared" si="63"/>
        <v/>
      </c>
      <c r="AD102" s="21" t="str">
        <f t="shared" si="64"/>
        <v/>
      </c>
      <c r="AE102" s="1">
        <f t="shared" si="65"/>
        <v>95</v>
      </c>
      <c r="AF102" s="1">
        <f t="shared" si="66"/>
        <v>0</v>
      </c>
      <c r="AG102" s="1">
        <f t="shared" si="67"/>
        <v>0</v>
      </c>
      <c r="AH102" s="1">
        <f>IF(AF102=0,0,CHOOSE(AF102,IFERROR(_xlfn.AGGREGATE(15,6,(ROW(nINT_CaseKey)-ROW(INDEX(nINT_CaseKey,1,1))+1)/((nINT_CaseKey=$H$4)*(nINT_RowEmpty=0)),AG102),0),IFERROR(_xlfn.AGGREGATE(15,6,(ROW(nQ1_CaseKey)-ROW(INDEX(nQ1_CaseKey,1,1))+1)/((nQ1_CaseKey=$H$4)),AG102),0),IFERROR(_xlfn.AGGREGATE(15,6,(ROW(nQ2_CaseKey)-ROW(INDEX(nQ2_CaseKey,1,1))+1)/((nQ2_CaseKey=$H$4)),AG102),0),IFERROR(_xlfn.AGGREGATE(15,6,(ROW(nQ3_CaseKey)-ROW(INDEX(nQ3_CaseKey,1,1))+1)/((nQ3_CaseKey=$H$4)),AG102),0),IFERROR(_xlfn.AGGREGATE(15,6,(ROW(nQ4_CaseKey)-ROW(INDEX(nQ4_CaseKey,1,1))+1)/((nQ4_CaseKey=$H$4)),AG102),0),IFERROR(_xlfn.AGGREGATE(15,6,(ROW(nQ5_CaseKey)-ROW(INDEX(nQ5_CaseKey,1,1))+1)/((nQ5_CaseKey=$H$4)),AG102),0),IFERROR(_xlfn.AGGREGATE(15,6,(ROW(nQ6_CaseKey)-ROW(INDEX(nQ6_CaseKey,1,1))+1)/((nQ6_CaseKey=$H$4)),AG102),0),IFERROR(_xlfn.AGGREGATE(15,6,(ROW(nQ7_CaseKey)-ROW(INDEX(nQ7_CaseKey,1,1))+1)/((nQ7_CaseKey=$H$4)),AG102),0),IFERROR(_xlfn.AGGREGATE(15,6,(ROW(nQ8_CaseKey)-ROW(INDEX(nQ8_CaseKey,1,1))+1)/((nQ8_CaseKey=$H$4)),AG102),0),IFERROR(_xlfn.AGGREGATE(15,6,(ROW(nQ9_CaseKey)-ROW(INDEX(nQ9_CaseKey,1,1))+1)/((nQ9_CaseKey=$H$4)),AG102),0),IFERROR(_xlfn.AGGREGATE(15,6,(ROW(nQ10_CaseKey)-ROW(INDEX(nQ10_CaseKey,1,1))+1)/((nQ10_CaseKey=$H$4)),AG102),0),IFERROR(_xlfn.AGGREGATE(15,6,(ROW(nQ11_CaseKey)-ROW(INDEX(nQ11_CaseKey,1,1))+1)/((nQ11_CaseKey=$H$4)),AG102),0)))</f>
        <v>0</v>
      </c>
      <c r="AJ102" s="1" t="str">
        <f>IF($AF102=0,"",CHOOSE($AF102,INDEX(nINT_Case_ID,$AH102)&amp;"",INDEX(nQ1_Case_ID,$AH102)&amp;"",INDEX(nQ2_Case_ID,$AH102)&amp;"",INDEX(nQ3_Case_ID,$AH102)&amp;"",INDEX(nQ4_Case_ID,$AH102)&amp;"",INDEX(nQ5_Case_ID,$AH102)&amp;"",INDEX(nQ6_Case_ID,$AH102)&amp;"",INDEX(nQ7_Case_ID,$AH102)&amp;"",INDEX(nQ8_Case_ID,$AH102)&amp;"",INDEX(nQ9_Case_ID,$AH102)&amp;"",INDEX(nQ10_Case_ID,$AH102)&amp;"",INDEX(nQ11_Case_ID,$AH102)&amp;""))</f>
        <v/>
      </c>
      <c r="AK102" s="1" t="str">
        <f>IF($AF102=0,"",CHOOSE($AF102,INDEX(nINT_Case_Version,$AH102),INDEX(nQ1_Case_Version,$AH102),INDEX(nQ2_Case_Version,$AH102),INDEX(nQ3_Case_Version,$AH102),INDEX(nQ4_Case_Version,$AH102),INDEX(nQ5_Case_Version,$AH102),INDEX(nQ6_Case_Version,$AH102),INDEX(nQ7_Case_Version,$AH102),INDEX(nQ8_Case_Version,$AH102),INDEX(nQ9_Case_Version,$AH102),INDEX(nQ10_Case_Version,$AH102),INDEX(nQ11_Case_Version,$AH102)))</f>
        <v/>
      </c>
      <c r="AL102" s="1" t="str">
        <f>IF($AF102=0,"",CHOOSE($AF102,INDEX(nINT_Interval_ID,$AH102)&amp;"",INDEX(nQ1_Calc_ID,$AH102)&amp;"",INDEX(nQ2_Calc_ID,$AH102)&amp;"",INDEX(nQ3_Calc_ID,$AH102)&amp;"",INDEX(nQ4_Calc_ID,$AH102)&amp;"",INDEX(nQ5_Calc_ID,$AH102)&amp;"",INDEX(nQ6_Calc_ID,$AH102)&amp;"",INDEX(nQ7_Calc_ID,$AH102)&amp;"",INDEX(nQ8_Calc_ID,$AH102)&amp;"",INDEX(nQ9_Calc_ID,$AH102)&amp;"",INDEX(nQ10_Calc_ID,$AH102)&amp;"",INDEX(nQ11_Calc_ID,$AH102)&amp;""))</f>
        <v/>
      </c>
      <c r="AM102" s="1" t="str">
        <f>IF($AF102=0,"",CHOOSE($AF102,INDEX(nINT_Label,$AH102)&amp;"",INDEX(nQ1_Label_Out,$AH102)&amp;"",INDEX(nQ2_Label_Out,$AH102)&amp;"",INDEX(nQ3_Label_Out,$AH102)&amp;"",INDEX(nQ4_Label_Out,$AH102)&amp;"",INDEX(nQ5_Label_Out,$AH102)&amp;"",INDEX(nQ6_Label_Out,$AH102)&amp;"",INDEX(nQ7_Label_Out,$AH102)&amp;"",INDEX(nQ8_Label_Out,$AH102)&amp;"",INDEX(nQ9_Label_Out,$AH102)&amp;"",INDEX(nQ10_Label_Out,$AH102)&amp;"",INDEX(nQ11_Label_Out,$AH102)&amp;""))</f>
        <v/>
      </c>
      <c r="AN102" s="1" t="str">
        <f>IF($AF102=0,"",CHOOSE($AF102,IF(INDEX(nINT_LinkRow,$AH102)=0,"",INDEX(nINT_Link_ID,$AH102)&amp;""),"","","","","","","","","","",""))</f>
        <v/>
      </c>
      <c r="AO102" s="1" t="str">
        <f>IF($AF102=0,"",CHOOSE($AF102,INDEX(nINT_Exposure_Episode_ID,$AH102)&amp;"","","","","","","","","","","",""))</f>
        <v/>
      </c>
      <c r="AP102" s="1" t="str">
        <f>IF($AF102=0,"",CHOOSE($AF102,INDEX(nINT_Event_Episode_ID,$AH102)&amp;"","","","","","","","","","","",""))</f>
        <v/>
      </c>
      <c r="AQ102" s="1" t="str">
        <f>IF($AF102=0,"",CHOOSE($AF102,INDEX(nINT_End_Record_ID_Used,$AH102)&amp;"","","","","","","","","","","",""))</f>
        <v/>
      </c>
      <c r="AR102" s="1" t="str">
        <f>IF($AF102=0,"",CHOOSE($AF102,INDEX(nINT_Interval_Value,$AH102),"","","","","","","","","","",""))</f>
        <v/>
      </c>
      <c r="AS102" s="1" t="str">
        <f>IF($AF102=0,"",CHOOSE($AF102,INDEX(nINT_Interval_Minimum,$AH102),"","","","","","","","","","",""))</f>
        <v/>
      </c>
      <c r="AT102" s="1" t="str">
        <f>IF($AF102=0,"",CHOOSE($AF102,INDEX(nINT_Interval_Maximum,$AH102),"","","","","","","","","","",""))</f>
        <v/>
      </c>
      <c r="AU102" s="1" t="str">
        <f>IF($AF102=0,"",CHOOSE($AF102,INDEX(nINT_Unit,$AH102)&amp;"",INDEX(nQ1_Unit_Out,$AH102)&amp;"",INDEX(nQ2_Unit_Out,$AH102)&amp;"",INDEX(nQ3_Unit_Out,$AH102)&amp;"",INDEX(nQ4_Unit_Out,$AH102)&amp;"",INDEX(nQ5_Unit_Out,$AH102)&amp;"",INDEX(nQ6_Unit_Out,$AH102)&amp;"",INDEX(nQ7_Unit_Out,$AH102)&amp;"",INDEX(nQ8_Unit_Out,$AH102)&amp;"",INDEX(nQ9_Unit_Out,$AH102)&amp;"",INDEX(nQ10_Unit_Out,$AH102)&amp;"",INDEX(nQ11_Unit_Out,$AH102)&amp;""))</f>
        <v/>
      </c>
      <c r="AV102" s="1" t="str">
        <f>IF($AF102=0,"",CHOOSE($AF102,INDEX(nINT_Displayed_Value,$AH102)&amp;"",INDEX(nQ1_Displayed_Value,$AH102)&amp;"",INDEX(nQ2_Displayed_Value,$AH102)&amp;"",INDEX(nQ3_Displayed_Value,$AH102)&amp;"",INDEX(nQ4_Displayed_Value,$AH102)&amp;"",INDEX(nQ5_Displayed_Value,$AH102)&amp;"",INDEX(nQ6_Displayed_Value,$AH102)&amp;"",INDEX(nQ7_Displayed_Value,$AH102)&amp;"",INDEX(nQ8_Displayed_Value,$AH102)&amp;"",INDEX(nQ9_Displayed_Value,$AH102)&amp;"",INDEX(nQ10_Displayed_Value,$AH102)&amp;"",INDEX(nQ11_Displayed_Value,$AH102)&amp;""))</f>
        <v/>
      </c>
      <c r="AW102" s="1" t="str">
        <f>IF($AF102=0,"",CHOOSE($AF102,INDEX(nINT_Calculation_Mode_Used,$AH102)&amp;"","Q1","Q2","Q3","Q4","Q5","Q6","Q7","Q8","Q9","Q10","Q11"))</f>
        <v/>
      </c>
      <c r="AX102" s="1" t="str">
        <f>IF($AF102=0,"",CHOOSE($AF102,INDEX(nINT_Anchor_Type,$AH102)&amp;"","","","","","","","","","","",""))</f>
        <v/>
      </c>
      <c r="AY102" s="1" t="str">
        <f>IF($AF102=0,"",CHOOSE($AF102,IF(INDEX(nINT_K_Ok,$AH102)=1,INDEX(nINT_Anchor_Record_ID_Used,$AH102)&amp;"",""),"","","","","","","","","","",""))</f>
        <v/>
      </c>
      <c r="AZ102" s="1" t="str">
        <f>IF($AF102=0,"",CHOOSE($AF102,INDEX(nINT_Anchor_Description,$AH102)&amp;"","","","","","","","","","","",""))</f>
        <v/>
      </c>
      <c r="BA102" s="1" t="str">
        <f>IF($AF102=0,"",CHOOSE($AF102,INDEX(nINT_Sequence_Status,$AH102)&amp;"","","","","","","","","","","",""))</f>
        <v/>
      </c>
      <c r="BB102" s="1" t="str">
        <f>IF($AF102=0,"",CHOOSE($AF102,INDEX(nINT_Treatment_Day,$AH102),"","","","","","","","","","",""))</f>
        <v/>
      </c>
      <c r="BC102" s="1" t="str">
        <f>IF($AF102=0,"",CHOOSE($AF102,INDEX(nINT_Reported_Timing_Result,$AH102)&amp;"","","","","","","","","","","",""))</f>
        <v/>
      </c>
      <c r="BD102" s="1" t="str">
        <f>IF($AF102=0,"",CHOOSE($AF102,IF(INDEX(nINT_K_HasC,$AH102)=1,INDEX(nINT_Constraint_Source,$AH102)&amp;"",""),"","","","","","","","","","",""))</f>
        <v/>
      </c>
      <c r="BE102" s="1" t="str">
        <f>IF($AF102=0,"",CHOOSE($AF102,"",INDEX(nQ1_Results_Text,$AH102)&amp;"",INDEX(nQ2_Results_Text,$AH102)&amp;"",INDEX(nQ3_Results_Text,$AH102)&amp;"",INDEX(nQ4_Results_Text,$AH102)&amp;"",INDEX(nQ5_Results_Text,$AH102)&amp;"",INDEX(nQ6_Results_Text,$AH102)&amp;"",INDEX(nQ7_Results_Text,$AH102)&amp;"",INDEX(nQ8_Results_Text,$AH102)&amp;"",INDEX(nQ9_Results_Text,$AH102)&amp;"",INDEX(nQ10_Results_Text,$AH102)&amp;"",INDEX(nQ11_Results_Text,$AH102)&amp;""))</f>
        <v/>
      </c>
      <c r="BF102" s="1" t="str">
        <f>IF($AF102=0,"",CHOOSE($AF102,INDEX(nINT_Parameter_Set,$AH102)&amp;"",INDEX(nQ1_Parameter_Set,$AH102)&amp;"",INDEX(nQ2_Parameter_Set,$AH102)&amp;"",INDEX(nQ3_Parameter_Set,$AH102)&amp;"",INDEX(nQ4_Parameter_Set,$AH102)&amp;"",INDEX(nQ5_Parameter_Set,$AH102)&amp;"",INDEX(nQ6_Parameter_Set,$AH102)&amp;"",INDEX(nQ7_Parameter_Set,$AH102)&amp;"",INDEX(nQ8_Parameter_Set,$AH102)&amp;"",INDEX(nQ9_Parameter_Set,$AH102)&amp;"",INDEX(nQ10_Parameter_Set,$AH102)&amp;"",INDEX(nQ11_Parameter_Set,$AH102)&amp;""))</f>
        <v/>
      </c>
      <c r="BG102" s="1" t="str">
        <f>IF($AF102=0,"",CHOOSE($AF102,INDEX(nINT_Assumptions,$AH102)&amp;"",INDEX(nQ1_Assumptions,$AH102)&amp;"",INDEX(nQ2_Assumptions,$AH102)&amp;"",INDEX(nQ3_Assumptions,$AH102)&amp;"",INDEX(nQ4_Assumptions,$AH102)&amp;"",INDEX(nQ5_Assumptions,$AH102)&amp;"",INDEX(nQ6_Assumptions,$AH102)&amp;"",INDEX(nQ7_Assumptions,$AH102)&amp;"",INDEX(nQ8_Assumptions,$AH102)&amp;"",INDEX(nQ9_Assumptions,$AH102)&amp;"",INDEX(nQ10_Assumptions,$AH102)&amp;"",INDEX(nQ11_Assumptions,$AH102)&amp;""))</f>
        <v/>
      </c>
      <c r="BH102" s="1" t="str">
        <f>IF($AF102=0,"",CHOOSE($AF102,INDEX(nINT_Calculation_Version,$AH102)&amp;"",INDEX(nQ1_Calculation_Version,$AH102)&amp;"",INDEX(nQ2_Calculation_Version,$AH102)&amp;"",INDEX(nQ3_Calculation_Version,$AH102)&amp;"",INDEX(nQ4_Calculation_Version,$AH102)&amp;"",INDEX(nQ5_Calculation_Version,$AH102)&amp;"",INDEX(nQ6_Calculation_Version,$AH102)&amp;"",INDEX(nQ7_Calculation_Version,$AH102)&amp;"",INDEX(nQ8_Calculation_Version,$AH102)&amp;"",INDEX(nQ9_Calculation_Version,$AH102)&amp;"",INDEX(nQ10_Calculation_Version,$AH102)&amp;"",INDEX(nQ11_Calculation_Version,$AH102)&amp;""))</f>
        <v/>
      </c>
      <c r="BI102" s="1" t="str">
        <f>IF($AF102=0,"",CHOOSE($AF102,INDEX(nINT_QC_Flags,$AH102)&amp;"",INDEX(nQ1_QC_Flags,$AH102)&amp;"",INDEX(nQ2_QC_Flags,$AH102)&amp;"",INDEX(nQ3_QC_Flags,$AH102)&amp;"",INDEX(nQ4_QC_Flags,$AH102)&amp;"",INDEX(nQ5_QC_Flags,$AH102)&amp;"",INDEX(nQ6_QC_Flags,$AH102)&amp;"",INDEX(nQ7_QC_Flags,$AH102)&amp;"",INDEX(nQ8_QC_Flags,$AH102)&amp;"",INDEX(nQ9_QC_Flags,$AH102)&amp;"",INDEX(nQ10_QC_Flags,$AH102)&amp;"",INDEX(nQ11_QC_Flags,$AH102)&amp;""))</f>
        <v/>
      </c>
      <c r="BJ102" s="1" t="str">
        <f>IF($AF102=0,"",CHOOSE($AF102,INDEX(nINT_Messages,$AH102)&amp;"",INDEX(nQ1_Messages,$AH102)&amp;"",INDEX(nQ2_Messages,$AH102)&amp;"",INDEX(nQ3_Messages,$AH102)&amp;"",INDEX(nQ4_Messages,$AH102)&amp;"",INDEX(nQ5_Messages,$AH102)&amp;"",INDEX(nQ6_Messages,$AH102)&amp;"",INDEX(nQ7_Messages,$AH102)&amp;"",INDEX(nQ8_Messages,$AH102)&amp;"",INDEX(nQ9_Messages,$AH102)&amp;"",INDEX(nQ10_Messages,$AH102)&amp;"",INDEX(nQ11_Messages,$AH102)&amp;""))</f>
        <v/>
      </c>
      <c r="BK102" s="1" t="str">
        <f>IF($AF102=0,"",CHOOSE($AF102,INDEX(nINT_Limitations,$AH102)&amp;"",INDEX(nQ1_Mandatory_Text,$AH102)&amp;"",INDEX(nQ2_Mandatory_Text,$AH102)&amp;"",INDEX(nQ3_Mandatory_Text,$AH102)&amp;"",INDEX(nQ4_Mandatory_Text,$AH102)&amp;"",INDEX(nQ5_Mandatory_Text,$AH102)&amp;"",INDEX(nQ6_Mandatory_Text,$AH102)&amp;"",INDEX(nQ7_Mandatory_Text,$AH102)&amp;"",INDEX(nQ8_Mandatory_Text,$AH102)&amp;"",INDEX(nQ9_Mandatory_Text,$AH102)&amp;"",INDEX(nQ10_Mandatory_Text,$AH102)&amp;"",INDEX(nQ11_Mandatory_Text,$AH102)&amp;""))</f>
        <v/>
      </c>
      <c r="BL102" s="1" t="str">
        <f t="shared" si="68"/>
        <v/>
      </c>
      <c r="BM102" s="1" t="str">
        <f t="shared" si="69"/>
        <v/>
      </c>
    </row>
    <row r="103" spans="1:65" x14ac:dyDescent="0.2">
      <c r="A103" s="21" t="str">
        <f t="shared" si="35"/>
        <v/>
      </c>
      <c r="B103" s="21" t="str">
        <f t="shared" si="36"/>
        <v/>
      </c>
      <c r="C103" s="21" t="str">
        <f t="shared" si="37"/>
        <v/>
      </c>
      <c r="D103" s="21" t="str">
        <f t="shared" si="38"/>
        <v/>
      </c>
      <c r="E103" s="21" t="str">
        <f t="shared" si="39"/>
        <v/>
      </c>
      <c r="F103" s="21" t="str">
        <f t="shared" si="40"/>
        <v/>
      </c>
      <c r="G103" s="21" t="str">
        <f t="shared" si="41"/>
        <v/>
      </c>
      <c r="H103" s="21" t="str">
        <f t="shared" si="42"/>
        <v/>
      </c>
      <c r="I103" s="21" t="str">
        <f t="shared" si="43"/>
        <v/>
      </c>
      <c r="J103" s="21" t="str">
        <f t="shared" si="44"/>
        <v/>
      </c>
      <c r="K103" s="21" t="str">
        <f t="shared" si="45"/>
        <v/>
      </c>
      <c r="L103" s="21" t="str">
        <f t="shared" si="46"/>
        <v/>
      </c>
      <c r="M103" s="21" t="str">
        <f t="shared" si="47"/>
        <v/>
      </c>
      <c r="N103" s="21" t="str">
        <f t="shared" si="48"/>
        <v/>
      </c>
      <c r="O103" s="21" t="str">
        <f t="shared" si="49"/>
        <v/>
      </c>
      <c r="P103" s="21" t="str">
        <f t="shared" si="50"/>
        <v/>
      </c>
      <c r="Q103" s="21" t="str">
        <f t="shared" si="51"/>
        <v/>
      </c>
      <c r="R103" s="21" t="str">
        <f t="shared" si="52"/>
        <v/>
      </c>
      <c r="S103" s="21" t="str">
        <f t="shared" si="53"/>
        <v/>
      </c>
      <c r="T103" s="21" t="str">
        <f t="shared" si="54"/>
        <v/>
      </c>
      <c r="U103" s="21" t="str">
        <f t="shared" si="55"/>
        <v/>
      </c>
      <c r="V103" s="21" t="str">
        <f t="shared" si="56"/>
        <v/>
      </c>
      <c r="W103" s="21" t="str">
        <f t="shared" si="57"/>
        <v/>
      </c>
      <c r="X103" s="21" t="str">
        <f t="shared" si="58"/>
        <v/>
      </c>
      <c r="Y103" s="21" t="str">
        <f t="shared" si="59"/>
        <v/>
      </c>
      <c r="Z103" s="21" t="str">
        <f t="shared" si="60"/>
        <v/>
      </c>
      <c r="AA103" s="21" t="str">
        <f t="shared" si="61"/>
        <v/>
      </c>
      <c r="AB103" s="21" t="str">
        <f t="shared" si="62"/>
        <v/>
      </c>
      <c r="AC103" s="21" t="str">
        <f t="shared" si="63"/>
        <v/>
      </c>
      <c r="AD103" s="21" t="str">
        <f t="shared" si="64"/>
        <v/>
      </c>
      <c r="AE103" s="1">
        <f t="shared" si="65"/>
        <v>96</v>
      </c>
      <c r="AF103" s="1">
        <f t="shared" si="66"/>
        <v>0</v>
      </c>
      <c r="AG103" s="1">
        <f t="shared" si="67"/>
        <v>0</v>
      </c>
      <c r="AH103" s="1">
        <f>IF(AF103=0,0,CHOOSE(AF103,IFERROR(_xlfn.AGGREGATE(15,6,(ROW(nINT_CaseKey)-ROW(INDEX(nINT_CaseKey,1,1))+1)/((nINT_CaseKey=$H$4)*(nINT_RowEmpty=0)),AG103),0),IFERROR(_xlfn.AGGREGATE(15,6,(ROW(nQ1_CaseKey)-ROW(INDEX(nQ1_CaseKey,1,1))+1)/((nQ1_CaseKey=$H$4)),AG103),0),IFERROR(_xlfn.AGGREGATE(15,6,(ROW(nQ2_CaseKey)-ROW(INDEX(nQ2_CaseKey,1,1))+1)/((nQ2_CaseKey=$H$4)),AG103),0),IFERROR(_xlfn.AGGREGATE(15,6,(ROW(nQ3_CaseKey)-ROW(INDEX(nQ3_CaseKey,1,1))+1)/((nQ3_CaseKey=$H$4)),AG103),0),IFERROR(_xlfn.AGGREGATE(15,6,(ROW(nQ4_CaseKey)-ROW(INDEX(nQ4_CaseKey,1,1))+1)/((nQ4_CaseKey=$H$4)),AG103),0),IFERROR(_xlfn.AGGREGATE(15,6,(ROW(nQ5_CaseKey)-ROW(INDEX(nQ5_CaseKey,1,1))+1)/((nQ5_CaseKey=$H$4)),AG103),0),IFERROR(_xlfn.AGGREGATE(15,6,(ROW(nQ6_CaseKey)-ROW(INDEX(nQ6_CaseKey,1,1))+1)/((nQ6_CaseKey=$H$4)),AG103),0),IFERROR(_xlfn.AGGREGATE(15,6,(ROW(nQ7_CaseKey)-ROW(INDEX(nQ7_CaseKey,1,1))+1)/((nQ7_CaseKey=$H$4)),AG103),0),IFERROR(_xlfn.AGGREGATE(15,6,(ROW(nQ8_CaseKey)-ROW(INDEX(nQ8_CaseKey,1,1))+1)/((nQ8_CaseKey=$H$4)),AG103),0),IFERROR(_xlfn.AGGREGATE(15,6,(ROW(nQ9_CaseKey)-ROW(INDEX(nQ9_CaseKey,1,1))+1)/((nQ9_CaseKey=$H$4)),AG103),0),IFERROR(_xlfn.AGGREGATE(15,6,(ROW(nQ10_CaseKey)-ROW(INDEX(nQ10_CaseKey,1,1))+1)/((nQ10_CaseKey=$H$4)),AG103),0),IFERROR(_xlfn.AGGREGATE(15,6,(ROW(nQ11_CaseKey)-ROW(INDEX(nQ11_CaseKey,1,1))+1)/((nQ11_CaseKey=$H$4)),AG103),0)))</f>
        <v>0</v>
      </c>
      <c r="AJ103" s="1" t="str">
        <f>IF($AF103=0,"",CHOOSE($AF103,INDEX(nINT_Case_ID,$AH103)&amp;"",INDEX(nQ1_Case_ID,$AH103)&amp;"",INDEX(nQ2_Case_ID,$AH103)&amp;"",INDEX(nQ3_Case_ID,$AH103)&amp;"",INDEX(nQ4_Case_ID,$AH103)&amp;"",INDEX(nQ5_Case_ID,$AH103)&amp;"",INDEX(nQ6_Case_ID,$AH103)&amp;"",INDEX(nQ7_Case_ID,$AH103)&amp;"",INDEX(nQ8_Case_ID,$AH103)&amp;"",INDEX(nQ9_Case_ID,$AH103)&amp;"",INDEX(nQ10_Case_ID,$AH103)&amp;"",INDEX(nQ11_Case_ID,$AH103)&amp;""))</f>
        <v/>
      </c>
      <c r="AK103" s="1" t="str">
        <f>IF($AF103=0,"",CHOOSE($AF103,INDEX(nINT_Case_Version,$AH103),INDEX(nQ1_Case_Version,$AH103),INDEX(nQ2_Case_Version,$AH103),INDEX(nQ3_Case_Version,$AH103),INDEX(nQ4_Case_Version,$AH103),INDEX(nQ5_Case_Version,$AH103),INDEX(nQ6_Case_Version,$AH103),INDEX(nQ7_Case_Version,$AH103),INDEX(nQ8_Case_Version,$AH103),INDEX(nQ9_Case_Version,$AH103),INDEX(nQ10_Case_Version,$AH103),INDEX(nQ11_Case_Version,$AH103)))</f>
        <v/>
      </c>
      <c r="AL103" s="1" t="str">
        <f>IF($AF103=0,"",CHOOSE($AF103,INDEX(nINT_Interval_ID,$AH103)&amp;"",INDEX(nQ1_Calc_ID,$AH103)&amp;"",INDEX(nQ2_Calc_ID,$AH103)&amp;"",INDEX(nQ3_Calc_ID,$AH103)&amp;"",INDEX(nQ4_Calc_ID,$AH103)&amp;"",INDEX(nQ5_Calc_ID,$AH103)&amp;"",INDEX(nQ6_Calc_ID,$AH103)&amp;"",INDEX(nQ7_Calc_ID,$AH103)&amp;"",INDEX(nQ8_Calc_ID,$AH103)&amp;"",INDEX(nQ9_Calc_ID,$AH103)&amp;"",INDEX(nQ10_Calc_ID,$AH103)&amp;"",INDEX(nQ11_Calc_ID,$AH103)&amp;""))</f>
        <v/>
      </c>
      <c r="AM103" s="1" t="str">
        <f>IF($AF103=0,"",CHOOSE($AF103,INDEX(nINT_Label,$AH103)&amp;"",INDEX(nQ1_Label_Out,$AH103)&amp;"",INDEX(nQ2_Label_Out,$AH103)&amp;"",INDEX(nQ3_Label_Out,$AH103)&amp;"",INDEX(nQ4_Label_Out,$AH103)&amp;"",INDEX(nQ5_Label_Out,$AH103)&amp;"",INDEX(nQ6_Label_Out,$AH103)&amp;"",INDEX(nQ7_Label_Out,$AH103)&amp;"",INDEX(nQ8_Label_Out,$AH103)&amp;"",INDEX(nQ9_Label_Out,$AH103)&amp;"",INDEX(nQ10_Label_Out,$AH103)&amp;"",INDEX(nQ11_Label_Out,$AH103)&amp;""))</f>
        <v/>
      </c>
      <c r="AN103" s="1" t="str">
        <f>IF($AF103=0,"",CHOOSE($AF103,IF(INDEX(nINT_LinkRow,$AH103)=0,"",INDEX(nINT_Link_ID,$AH103)&amp;""),"","","","","","","","","","",""))</f>
        <v/>
      </c>
      <c r="AO103" s="1" t="str">
        <f>IF($AF103=0,"",CHOOSE($AF103,INDEX(nINT_Exposure_Episode_ID,$AH103)&amp;"","","","","","","","","","","",""))</f>
        <v/>
      </c>
      <c r="AP103" s="1" t="str">
        <f>IF($AF103=0,"",CHOOSE($AF103,INDEX(nINT_Event_Episode_ID,$AH103)&amp;"","","","","","","","","","","",""))</f>
        <v/>
      </c>
      <c r="AQ103" s="1" t="str">
        <f>IF($AF103=0,"",CHOOSE($AF103,INDEX(nINT_End_Record_ID_Used,$AH103)&amp;"","","","","","","","","","","",""))</f>
        <v/>
      </c>
      <c r="AR103" s="1" t="str">
        <f>IF($AF103=0,"",CHOOSE($AF103,INDEX(nINT_Interval_Value,$AH103),"","","","","","","","","","",""))</f>
        <v/>
      </c>
      <c r="AS103" s="1" t="str">
        <f>IF($AF103=0,"",CHOOSE($AF103,INDEX(nINT_Interval_Minimum,$AH103),"","","","","","","","","","",""))</f>
        <v/>
      </c>
      <c r="AT103" s="1" t="str">
        <f>IF($AF103=0,"",CHOOSE($AF103,INDEX(nINT_Interval_Maximum,$AH103),"","","","","","","","","","",""))</f>
        <v/>
      </c>
      <c r="AU103" s="1" t="str">
        <f>IF($AF103=0,"",CHOOSE($AF103,INDEX(nINT_Unit,$AH103)&amp;"",INDEX(nQ1_Unit_Out,$AH103)&amp;"",INDEX(nQ2_Unit_Out,$AH103)&amp;"",INDEX(nQ3_Unit_Out,$AH103)&amp;"",INDEX(nQ4_Unit_Out,$AH103)&amp;"",INDEX(nQ5_Unit_Out,$AH103)&amp;"",INDEX(nQ6_Unit_Out,$AH103)&amp;"",INDEX(nQ7_Unit_Out,$AH103)&amp;"",INDEX(nQ8_Unit_Out,$AH103)&amp;"",INDEX(nQ9_Unit_Out,$AH103)&amp;"",INDEX(nQ10_Unit_Out,$AH103)&amp;"",INDEX(nQ11_Unit_Out,$AH103)&amp;""))</f>
        <v/>
      </c>
      <c r="AV103" s="1" t="str">
        <f>IF($AF103=0,"",CHOOSE($AF103,INDEX(nINT_Displayed_Value,$AH103)&amp;"",INDEX(nQ1_Displayed_Value,$AH103)&amp;"",INDEX(nQ2_Displayed_Value,$AH103)&amp;"",INDEX(nQ3_Displayed_Value,$AH103)&amp;"",INDEX(nQ4_Displayed_Value,$AH103)&amp;"",INDEX(nQ5_Displayed_Value,$AH103)&amp;"",INDEX(nQ6_Displayed_Value,$AH103)&amp;"",INDEX(nQ7_Displayed_Value,$AH103)&amp;"",INDEX(nQ8_Displayed_Value,$AH103)&amp;"",INDEX(nQ9_Displayed_Value,$AH103)&amp;"",INDEX(nQ10_Displayed_Value,$AH103)&amp;"",INDEX(nQ11_Displayed_Value,$AH103)&amp;""))</f>
        <v/>
      </c>
      <c r="AW103" s="1" t="str">
        <f>IF($AF103=0,"",CHOOSE($AF103,INDEX(nINT_Calculation_Mode_Used,$AH103)&amp;"","Q1","Q2","Q3","Q4","Q5","Q6","Q7","Q8","Q9","Q10","Q11"))</f>
        <v/>
      </c>
      <c r="AX103" s="1" t="str">
        <f>IF($AF103=0,"",CHOOSE($AF103,INDEX(nINT_Anchor_Type,$AH103)&amp;"","","","","","","","","","","",""))</f>
        <v/>
      </c>
      <c r="AY103" s="1" t="str">
        <f>IF($AF103=0,"",CHOOSE($AF103,IF(INDEX(nINT_K_Ok,$AH103)=1,INDEX(nINT_Anchor_Record_ID_Used,$AH103)&amp;"",""),"","","","","","","","","","",""))</f>
        <v/>
      </c>
      <c r="AZ103" s="1" t="str">
        <f>IF($AF103=0,"",CHOOSE($AF103,INDEX(nINT_Anchor_Description,$AH103)&amp;"","","","","","","","","","","",""))</f>
        <v/>
      </c>
      <c r="BA103" s="1" t="str">
        <f>IF($AF103=0,"",CHOOSE($AF103,INDEX(nINT_Sequence_Status,$AH103)&amp;"","","","","","","","","","","",""))</f>
        <v/>
      </c>
      <c r="BB103" s="1" t="str">
        <f>IF($AF103=0,"",CHOOSE($AF103,INDEX(nINT_Treatment_Day,$AH103),"","","","","","","","","","",""))</f>
        <v/>
      </c>
      <c r="BC103" s="1" t="str">
        <f>IF($AF103=0,"",CHOOSE($AF103,INDEX(nINT_Reported_Timing_Result,$AH103)&amp;"","","","","","","","","","","",""))</f>
        <v/>
      </c>
      <c r="BD103" s="1" t="str">
        <f>IF($AF103=0,"",CHOOSE($AF103,IF(INDEX(nINT_K_HasC,$AH103)=1,INDEX(nINT_Constraint_Source,$AH103)&amp;"",""),"","","","","","","","","","",""))</f>
        <v/>
      </c>
      <c r="BE103" s="1" t="str">
        <f>IF($AF103=0,"",CHOOSE($AF103,"",INDEX(nQ1_Results_Text,$AH103)&amp;"",INDEX(nQ2_Results_Text,$AH103)&amp;"",INDEX(nQ3_Results_Text,$AH103)&amp;"",INDEX(nQ4_Results_Text,$AH103)&amp;"",INDEX(nQ5_Results_Text,$AH103)&amp;"",INDEX(nQ6_Results_Text,$AH103)&amp;"",INDEX(nQ7_Results_Text,$AH103)&amp;"",INDEX(nQ8_Results_Text,$AH103)&amp;"",INDEX(nQ9_Results_Text,$AH103)&amp;"",INDEX(nQ10_Results_Text,$AH103)&amp;"",INDEX(nQ11_Results_Text,$AH103)&amp;""))</f>
        <v/>
      </c>
      <c r="BF103" s="1" t="str">
        <f>IF($AF103=0,"",CHOOSE($AF103,INDEX(nINT_Parameter_Set,$AH103)&amp;"",INDEX(nQ1_Parameter_Set,$AH103)&amp;"",INDEX(nQ2_Parameter_Set,$AH103)&amp;"",INDEX(nQ3_Parameter_Set,$AH103)&amp;"",INDEX(nQ4_Parameter_Set,$AH103)&amp;"",INDEX(nQ5_Parameter_Set,$AH103)&amp;"",INDEX(nQ6_Parameter_Set,$AH103)&amp;"",INDEX(nQ7_Parameter_Set,$AH103)&amp;"",INDEX(nQ8_Parameter_Set,$AH103)&amp;"",INDEX(nQ9_Parameter_Set,$AH103)&amp;"",INDEX(nQ10_Parameter_Set,$AH103)&amp;"",INDEX(nQ11_Parameter_Set,$AH103)&amp;""))</f>
        <v/>
      </c>
      <c r="BG103" s="1" t="str">
        <f>IF($AF103=0,"",CHOOSE($AF103,INDEX(nINT_Assumptions,$AH103)&amp;"",INDEX(nQ1_Assumptions,$AH103)&amp;"",INDEX(nQ2_Assumptions,$AH103)&amp;"",INDEX(nQ3_Assumptions,$AH103)&amp;"",INDEX(nQ4_Assumptions,$AH103)&amp;"",INDEX(nQ5_Assumptions,$AH103)&amp;"",INDEX(nQ6_Assumptions,$AH103)&amp;"",INDEX(nQ7_Assumptions,$AH103)&amp;"",INDEX(nQ8_Assumptions,$AH103)&amp;"",INDEX(nQ9_Assumptions,$AH103)&amp;"",INDEX(nQ10_Assumptions,$AH103)&amp;"",INDEX(nQ11_Assumptions,$AH103)&amp;""))</f>
        <v/>
      </c>
      <c r="BH103" s="1" t="str">
        <f>IF($AF103=0,"",CHOOSE($AF103,INDEX(nINT_Calculation_Version,$AH103)&amp;"",INDEX(nQ1_Calculation_Version,$AH103)&amp;"",INDEX(nQ2_Calculation_Version,$AH103)&amp;"",INDEX(nQ3_Calculation_Version,$AH103)&amp;"",INDEX(nQ4_Calculation_Version,$AH103)&amp;"",INDEX(nQ5_Calculation_Version,$AH103)&amp;"",INDEX(nQ6_Calculation_Version,$AH103)&amp;"",INDEX(nQ7_Calculation_Version,$AH103)&amp;"",INDEX(nQ8_Calculation_Version,$AH103)&amp;"",INDEX(nQ9_Calculation_Version,$AH103)&amp;"",INDEX(nQ10_Calculation_Version,$AH103)&amp;"",INDEX(nQ11_Calculation_Version,$AH103)&amp;""))</f>
        <v/>
      </c>
      <c r="BI103" s="1" t="str">
        <f>IF($AF103=0,"",CHOOSE($AF103,INDEX(nINT_QC_Flags,$AH103)&amp;"",INDEX(nQ1_QC_Flags,$AH103)&amp;"",INDEX(nQ2_QC_Flags,$AH103)&amp;"",INDEX(nQ3_QC_Flags,$AH103)&amp;"",INDEX(nQ4_QC_Flags,$AH103)&amp;"",INDEX(nQ5_QC_Flags,$AH103)&amp;"",INDEX(nQ6_QC_Flags,$AH103)&amp;"",INDEX(nQ7_QC_Flags,$AH103)&amp;"",INDEX(nQ8_QC_Flags,$AH103)&amp;"",INDEX(nQ9_QC_Flags,$AH103)&amp;"",INDEX(nQ10_QC_Flags,$AH103)&amp;"",INDEX(nQ11_QC_Flags,$AH103)&amp;""))</f>
        <v/>
      </c>
      <c r="BJ103" s="1" t="str">
        <f>IF($AF103=0,"",CHOOSE($AF103,INDEX(nINT_Messages,$AH103)&amp;"",INDEX(nQ1_Messages,$AH103)&amp;"",INDEX(nQ2_Messages,$AH103)&amp;"",INDEX(nQ3_Messages,$AH103)&amp;"",INDEX(nQ4_Messages,$AH103)&amp;"",INDEX(nQ5_Messages,$AH103)&amp;"",INDEX(nQ6_Messages,$AH103)&amp;"",INDEX(nQ7_Messages,$AH103)&amp;"",INDEX(nQ8_Messages,$AH103)&amp;"",INDEX(nQ9_Messages,$AH103)&amp;"",INDEX(nQ10_Messages,$AH103)&amp;"",INDEX(nQ11_Messages,$AH103)&amp;""))</f>
        <v/>
      </c>
      <c r="BK103" s="1" t="str">
        <f>IF($AF103=0,"",CHOOSE($AF103,INDEX(nINT_Limitations,$AH103)&amp;"",INDEX(nQ1_Mandatory_Text,$AH103)&amp;"",INDEX(nQ2_Mandatory_Text,$AH103)&amp;"",INDEX(nQ3_Mandatory_Text,$AH103)&amp;"",INDEX(nQ4_Mandatory_Text,$AH103)&amp;"",INDEX(nQ5_Mandatory_Text,$AH103)&amp;"",INDEX(nQ6_Mandatory_Text,$AH103)&amp;"",INDEX(nQ7_Mandatory_Text,$AH103)&amp;"",INDEX(nQ8_Mandatory_Text,$AH103)&amp;"",INDEX(nQ9_Mandatory_Text,$AH103)&amp;"",INDEX(nQ10_Mandatory_Text,$AH103)&amp;"",INDEX(nQ11_Mandatory_Text,$AH103)&amp;""))</f>
        <v/>
      </c>
      <c r="BL103" s="1" t="str">
        <f t="shared" si="68"/>
        <v/>
      </c>
      <c r="BM103" s="1" t="str">
        <f t="shared" si="69"/>
        <v/>
      </c>
    </row>
    <row r="104" spans="1:65" x14ac:dyDescent="0.2">
      <c r="A104" s="21" t="str">
        <f t="shared" si="35"/>
        <v/>
      </c>
      <c r="B104" s="21" t="str">
        <f t="shared" si="36"/>
        <v/>
      </c>
      <c r="C104" s="21" t="str">
        <f t="shared" si="37"/>
        <v/>
      </c>
      <c r="D104" s="21" t="str">
        <f t="shared" si="38"/>
        <v/>
      </c>
      <c r="E104" s="21" t="str">
        <f t="shared" si="39"/>
        <v/>
      </c>
      <c r="F104" s="21" t="str">
        <f t="shared" si="40"/>
        <v/>
      </c>
      <c r="G104" s="21" t="str">
        <f t="shared" si="41"/>
        <v/>
      </c>
      <c r="H104" s="21" t="str">
        <f t="shared" si="42"/>
        <v/>
      </c>
      <c r="I104" s="21" t="str">
        <f t="shared" si="43"/>
        <v/>
      </c>
      <c r="J104" s="21" t="str">
        <f t="shared" si="44"/>
        <v/>
      </c>
      <c r="K104" s="21" t="str">
        <f t="shared" si="45"/>
        <v/>
      </c>
      <c r="L104" s="21" t="str">
        <f t="shared" si="46"/>
        <v/>
      </c>
      <c r="M104" s="21" t="str">
        <f t="shared" si="47"/>
        <v/>
      </c>
      <c r="N104" s="21" t="str">
        <f t="shared" si="48"/>
        <v/>
      </c>
      <c r="O104" s="21" t="str">
        <f t="shared" si="49"/>
        <v/>
      </c>
      <c r="P104" s="21" t="str">
        <f t="shared" si="50"/>
        <v/>
      </c>
      <c r="Q104" s="21" t="str">
        <f t="shared" si="51"/>
        <v/>
      </c>
      <c r="R104" s="21" t="str">
        <f t="shared" si="52"/>
        <v/>
      </c>
      <c r="S104" s="21" t="str">
        <f t="shared" si="53"/>
        <v/>
      </c>
      <c r="T104" s="21" t="str">
        <f t="shared" si="54"/>
        <v/>
      </c>
      <c r="U104" s="21" t="str">
        <f t="shared" si="55"/>
        <v/>
      </c>
      <c r="V104" s="21" t="str">
        <f t="shared" si="56"/>
        <v/>
      </c>
      <c r="W104" s="21" t="str">
        <f t="shared" si="57"/>
        <v/>
      </c>
      <c r="X104" s="21" t="str">
        <f t="shared" si="58"/>
        <v/>
      </c>
      <c r="Y104" s="21" t="str">
        <f t="shared" si="59"/>
        <v/>
      </c>
      <c r="Z104" s="21" t="str">
        <f t="shared" si="60"/>
        <v/>
      </c>
      <c r="AA104" s="21" t="str">
        <f t="shared" si="61"/>
        <v/>
      </c>
      <c r="AB104" s="21" t="str">
        <f t="shared" si="62"/>
        <v/>
      </c>
      <c r="AC104" s="21" t="str">
        <f t="shared" si="63"/>
        <v/>
      </c>
      <c r="AD104" s="21" t="str">
        <f t="shared" si="64"/>
        <v/>
      </c>
      <c r="AE104" s="1">
        <f t="shared" si="65"/>
        <v>97</v>
      </c>
      <c r="AF104" s="1">
        <f t="shared" si="66"/>
        <v>0</v>
      </c>
      <c r="AG104" s="1">
        <f t="shared" si="67"/>
        <v>0</v>
      </c>
      <c r="AH104" s="1">
        <f>IF(AF104=0,0,CHOOSE(AF104,IFERROR(_xlfn.AGGREGATE(15,6,(ROW(nINT_CaseKey)-ROW(INDEX(nINT_CaseKey,1,1))+1)/((nINT_CaseKey=$H$4)*(nINT_RowEmpty=0)),AG104),0),IFERROR(_xlfn.AGGREGATE(15,6,(ROW(nQ1_CaseKey)-ROW(INDEX(nQ1_CaseKey,1,1))+1)/((nQ1_CaseKey=$H$4)),AG104),0),IFERROR(_xlfn.AGGREGATE(15,6,(ROW(nQ2_CaseKey)-ROW(INDEX(nQ2_CaseKey,1,1))+1)/((nQ2_CaseKey=$H$4)),AG104),0),IFERROR(_xlfn.AGGREGATE(15,6,(ROW(nQ3_CaseKey)-ROW(INDEX(nQ3_CaseKey,1,1))+1)/((nQ3_CaseKey=$H$4)),AG104),0),IFERROR(_xlfn.AGGREGATE(15,6,(ROW(nQ4_CaseKey)-ROW(INDEX(nQ4_CaseKey,1,1))+1)/((nQ4_CaseKey=$H$4)),AG104),0),IFERROR(_xlfn.AGGREGATE(15,6,(ROW(nQ5_CaseKey)-ROW(INDEX(nQ5_CaseKey,1,1))+1)/((nQ5_CaseKey=$H$4)),AG104),0),IFERROR(_xlfn.AGGREGATE(15,6,(ROW(nQ6_CaseKey)-ROW(INDEX(nQ6_CaseKey,1,1))+1)/((nQ6_CaseKey=$H$4)),AG104),0),IFERROR(_xlfn.AGGREGATE(15,6,(ROW(nQ7_CaseKey)-ROW(INDEX(nQ7_CaseKey,1,1))+1)/((nQ7_CaseKey=$H$4)),AG104),0),IFERROR(_xlfn.AGGREGATE(15,6,(ROW(nQ8_CaseKey)-ROW(INDEX(nQ8_CaseKey,1,1))+1)/((nQ8_CaseKey=$H$4)),AG104),0),IFERROR(_xlfn.AGGREGATE(15,6,(ROW(nQ9_CaseKey)-ROW(INDEX(nQ9_CaseKey,1,1))+1)/((nQ9_CaseKey=$H$4)),AG104),0),IFERROR(_xlfn.AGGREGATE(15,6,(ROW(nQ10_CaseKey)-ROW(INDEX(nQ10_CaseKey,1,1))+1)/((nQ10_CaseKey=$H$4)),AG104),0),IFERROR(_xlfn.AGGREGATE(15,6,(ROW(nQ11_CaseKey)-ROW(INDEX(nQ11_CaseKey,1,1))+1)/((nQ11_CaseKey=$H$4)),AG104),0)))</f>
        <v>0</v>
      </c>
      <c r="AJ104" s="1" t="str">
        <f>IF($AF104=0,"",CHOOSE($AF104,INDEX(nINT_Case_ID,$AH104)&amp;"",INDEX(nQ1_Case_ID,$AH104)&amp;"",INDEX(nQ2_Case_ID,$AH104)&amp;"",INDEX(nQ3_Case_ID,$AH104)&amp;"",INDEX(nQ4_Case_ID,$AH104)&amp;"",INDEX(nQ5_Case_ID,$AH104)&amp;"",INDEX(nQ6_Case_ID,$AH104)&amp;"",INDEX(nQ7_Case_ID,$AH104)&amp;"",INDEX(nQ8_Case_ID,$AH104)&amp;"",INDEX(nQ9_Case_ID,$AH104)&amp;"",INDEX(nQ10_Case_ID,$AH104)&amp;"",INDEX(nQ11_Case_ID,$AH104)&amp;""))</f>
        <v/>
      </c>
      <c r="AK104" s="1" t="str">
        <f>IF($AF104=0,"",CHOOSE($AF104,INDEX(nINT_Case_Version,$AH104),INDEX(nQ1_Case_Version,$AH104),INDEX(nQ2_Case_Version,$AH104),INDEX(nQ3_Case_Version,$AH104),INDEX(nQ4_Case_Version,$AH104),INDEX(nQ5_Case_Version,$AH104),INDEX(nQ6_Case_Version,$AH104),INDEX(nQ7_Case_Version,$AH104),INDEX(nQ8_Case_Version,$AH104),INDEX(nQ9_Case_Version,$AH104),INDEX(nQ10_Case_Version,$AH104),INDEX(nQ11_Case_Version,$AH104)))</f>
        <v/>
      </c>
      <c r="AL104" s="1" t="str">
        <f>IF($AF104=0,"",CHOOSE($AF104,INDEX(nINT_Interval_ID,$AH104)&amp;"",INDEX(nQ1_Calc_ID,$AH104)&amp;"",INDEX(nQ2_Calc_ID,$AH104)&amp;"",INDEX(nQ3_Calc_ID,$AH104)&amp;"",INDEX(nQ4_Calc_ID,$AH104)&amp;"",INDEX(nQ5_Calc_ID,$AH104)&amp;"",INDEX(nQ6_Calc_ID,$AH104)&amp;"",INDEX(nQ7_Calc_ID,$AH104)&amp;"",INDEX(nQ8_Calc_ID,$AH104)&amp;"",INDEX(nQ9_Calc_ID,$AH104)&amp;"",INDEX(nQ10_Calc_ID,$AH104)&amp;"",INDEX(nQ11_Calc_ID,$AH104)&amp;""))</f>
        <v/>
      </c>
      <c r="AM104" s="1" t="str">
        <f>IF($AF104=0,"",CHOOSE($AF104,INDEX(nINT_Label,$AH104)&amp;"",INDEX(nQ1_Label_Out,$AH104)&amp;"",INDEX(nQ2_Label_Out,$AH104)&amp;"",INDEX(nQ3_Label_Out,$AH104)&amp;"",INDEX(nQ4_Label_Out,$AH104)&amp;"",INDEX(nQ5_Label_Out,$AH104)&amp;"",INDEX(nQ6_Label_Out,$AH104)&amp;"",INDEX(nQ7_Label_Out,$AH104)&amp;"",INDEX(nQ8_Label_Out,$AH104)&amp;"",INDEX(nQ9_Label_Out,$AH104)&amp;"",INDEX(nQ10_Label_Out,$AH104)&amp;"",INDEX(nQ11_Label_Out,$AH104)&amp;""))</f>
        <v/>
      </c>
      <c r="AN104" s="1" t="str">
        <f>IF($AF104=0,"",CHOOSE($AF104,IF(INDEX(nINT_LinkRow,$AH104)=0,"",INDEX(nINT_Link_ID,$AH104)&amp;""),"","","","","","","","","","",""))</f>
        <v/>
      </c>
      <c r="AO104" s="1" t="str">
        <f>IF($AF104=0,"",CHOOSE($AF104,INDEX(nINT_Exposure_Episode_ID,$AH104)&amp;"","","","","","","","","","","",""))</f>
        <v/>
      </c>
      <c r="AP104" s="1" t="str">
        <f>IF($AF104=0,"",CHOOSE($AF104,INDEX(nINT_Event_Episode_ID,$AH104)&amp;"","","","","","","","","","","",""))</f>
        <v/>
      </c>
      <c r="AQ104" s="1" t="str">
        <f>IF($AF104=0,"",CHOOSE($AF104,INDEX(nINT_End_Record_ID_Used,$AH104)&amp;"","","","","","","","","","","",""))</f>
        <v/>
      </c>
      <c r="AR104" s="1" t="str">
        <f>IF($AF104=0,"",CHOOSE($AF104,INDEX(nINT_Interval_Value,$AH104),"","","","","","","","","","",""))</f>
        <v/>
      </c>
      <c r="AS104" s="1" t="str">
        <f>IF($AF104=0,"",CHOOSE($AF104,INDEX(nINT_Interval_Minimum,$AH104),"","","","","","","","","","",""))</f>
        <v/>
      </c>
      <c r="AT104" s="1" t="str">
        <f>IF($AF104=0,"",CHOOSE($AF104,INDEX(nINT_Interval_Maximum,$AH104),"","","","","","","","","","",""))</f>
        <v/>
      </c>
      <c r="AU104" s="1" t="str">
        <f>IF($AF104=0,"",CHOOSE($AF104,INDEX(nINT_Unit,$AH104)&amp;"",INDEX(nQ1_Unit_Out,$AH104)&amp;"",INDEX(nQ2_Unit_Out,$AH104)&amp;"",INDEX(nQ3_Unit_Out,$AH104)&amp;"",INDEX(nQ4_Unit_Out,$AH104)&amp;"",INDEX(nQ5_Unit_Out,$AH104)&amp;"",INDEX(nQ6_Unit_Out,$AH104)&amp;"",INDEX(nQ7_Unit_Out,$AH104)&amp;"",INDEX(nQ8_Unit_Out,$AH104)&amp;"",INDEX(nQ9_Unit_Out,$AH104)&amp;"",INDEX(nQ10_Unit_Out,$AH104)&amp;"",INDEX(nQ11_Unit_Out,$AH104)&amp;""))</f>
        <v/>
      </c>
      <c r="AV104" s="1" t="str">
        <f>IF($AF104=0,"",CHOOSE($AF104,INDEX(nINT_Displayed_Value,$AH104)&amp;"",INDEX(nQ1_Displayed_Value,$AH104)&amp;"",INDEX(nQ2_Displayed_Value,$AH104)&amp;"",INDEX(nQ3_Displayed_Value,$AH104)&amp;"",INDEX(nQ4_Displayed_Value,$AH104)&amp;"",INDEX(nQ5_Displayed_Value,$AH104)&amp;"",INDEX(nQ6_Displayed_Value,$AH104)&amp;"",INDEX(nQ7_Displayed_Value,$AH104)&amp;"",INDEX(nQ8_Displayed_Value,$AH104)&amp;"",INDEX(nQ9_Displayed_Value,$AH104)&amp;"",INDEX(nQ10_Displayed_Value,$AH104)&amp;"",INDEX(nQ11_Displayed_Value,$AH104)&amp;""))</f>
        <v/>
      </c>
      <c r="AW104" s="1" t="str">
        <f>IF($AF104=0,"",CHOOSE($AF104,INDEX(nINT_Calculation_Mode_Used,$AH104)&amp;"","Q1","Q2","Q3","Q4","Q5","Q6","Q7","Q8","Q9","Q10","Q11"))</f>
        <v/>
      </c>
      <c r="AX104" s="1" t="str">
        <f>IF($AF104=0,"",CHOOSE($AF104,INDEX(nINT_Anchor_Type,$AH104)&amp;"","","","","","","","","","","",""))</f>
        <v/>
      </c>
      <c r="AY104" s="1" t="str">
        <f>IF($AF104=0,"",CHOOSE($AF104,IF(INDEX(nINT_K_Ok,$AH104)=1,INDEX(nINT_Anchor_Record_ID_Used,$AH104)&amp;"",""),"","","","","","","","","","",""))</f>
        <v/>
      </c>
      <c r="AZ104" s="1" t="str">
        <f>IF($AF104=0,"",CHOOSE($AF104,INDEX(nINT_Anchor_Description,$AH104)&amp;"","","","","","","","","","","",""))</f>
        <v/>
      </c>
      <c r="BA104" s="1" t="str">
        <f>IF($AF104=0,"",CHOOSE($AF104,INDEX(nINT_Sequence_Status,$AH104)&amp;"","","","","","","","","","","",""))</f>
        <v/>
      </c>
      <c r="BB104" s="1" t="str">
        <f>IF($AF104=0,"",CHOOSE($AF104,INDEX(nINT_Treatment_Day,$AH104),"","","","","","","","","","",""))</f>
        <v/>
      </c>
      <c r="BC104" s="1" t="str">
        <f>IF($AF104=0,"",CHOOSE($AF104,INDEX(nINT_Reported_Timing_Result,$AH104)&amp;"","","","","","","","","","","",""))</f>
        <v/>
      </c>
      <c r="BD104" s="1" t="str">
        <f>IF($AF104=0,"",CHOOSE($AF104,IF(INDEX(nINT_K_HasC,$AH104)=1,INDEX(nINT_Constraint_Source,$AH104)&amp;"",""),"","","","","","","","","","",""))</f>
        <v/>
      </c>
      <c r="BE104" s="1" t="str">
        <f>IF($AF104=0,"",CHOOSE($AF104,"",INDEX(nQ1_Results_Text,$AH104)&amp;"",INDEX(nQ2_Results_Text,$AH104)&amp;"",INDEX(nQ3_Results_Text,$AH104)&amp;"",INDEX(nQ4_Results_Text,$AH104)&amp;"",INDEX(nQ5_Results_Text,$AH104)&amp;"",INDEX(nQ6_Results_Text,$AH104)&amp;"",INDEX(nQ7_Results_Text,$AH104)&amp;"",INDEX(nQ8_Results_Text,$AH104)&amp;"",INDEX(nQ9_Results_Text,$AH104)&amp;"",INDEX(nQ10_Results_Text,$AH104)&amp;"",INDEX(nQ11_Results_Text,$AH104)&amp;""))</f>
        <v/>
      </c>
      <c r="BF104" s="1" t="str">
        <f>IF($AF104=0,"",CHOOSE($AF104,INDEX(nINT_Parameter_Set,$AH104)&amp;"",INDEX(nQ1_Parameter_Set,$AH104)&amp;"",INDEX(nQ2_Parameter_Set,$AH104)&amp;"",INDEX(nQ3_Parameter_Set,$AH104)&amp;"",INDEX(nQ4_Parameter_Set,$AH104)&amp;"",INDEX(nQ5_Parameter_Set,$AH104)&amp;"",INDEX(nQ6_Parameter_Set,$AH104)&amp;"",INDEX(nQ7_Parameter_Set,$AH104)&amp;"",INDEX(nQ8_Parameter_Set,$AH104)&amp;"",INDEX(nQ9_Parameter_Set,$AH104)&amp;"",INDEX(nQ10_Parameter_Set,$AH104)&amp;"",INDEX(nQ11_Parameter_Set,$AH104)&amp;""))</f>
        <v/>
      </c>
      <c r="BG104" s="1" t="str">
        <f>IF($AF104=0,"",CHOOSE($AF104,INDEX(nINT_Assumptions,$AH104)&amp;"",INDEX(nQ1_Assumptions,$AH104)&amp;"",INDEX(nQ2_Assumptions,$AH104)&amp;"",INDEX(nQ3_Assumptions,$AH104)&amp;"",INDEX(nQ4_Assumptions,$AH104)&amp;"",INDEX(nQ5_Assumptions,$AH104)&amp;"",INDEX(nQ6_Assumptions,$AH104)&amp;"",INDEX(nQ7_Assumptions,$AH104)&amp;"",INDEX(nQ8_Assumptions,$AH104)&amp;"",INDEX(nQ9_Assumptions,$AH104)&amp;"",INDEX(nQ10_Assumptions,$AH104)&amp;"",INDEX(nQ11_Assumptions,$AH104)&amp;""))</f>
        <v/>
      </c>
      <c r="BH104" s="1" t="str">
        <f>IF($AF104=0,"",CHOOSE($AF104,INDEX(nINT_Calculation_Version,$AH104)&amp;"",INDEX(nQ1_Calculation_Version,$AH104)&amp;"",INDEX(nQ2_Calculation_Version,$AH104)&amp;"",INDEX(nQ3_Calculation_Version,$AH104)&amp;"",INDEX(nQ4_Calculation_Version,$AH104)&amp;"",INDEX(nQ5_Calculation_Version,$AH104)&amp;"",INDEX(nQ6_Calculation_Version,$AH104)&amp;"",INDEX(nQ7_Calculation_Version,$AH104)&amp;"",INDEX(nQ8_Calculation_Version,$AH104)&amp;"",INDEX(nQ9_Calculation_Version,$AH104)&amp;"",INDEX(nQ10_Calculation_Version,$AH104)&amp;"",INDEX(nQ11_Calculation_Version,$AH104)&amp;""))</f>
        <v/>
      </c>
      <c r="BI104" s="1" t="str">
        <f>IF($AF104=0,"",CHOOSE($AF104,INDEX(nINT_QC_Flags,$AH104)&amp;"",INDEX(nQ1_QC_Flags,$AH104)&amp;"",INDEX(nQ2_QC_Flags,$AH104)&amp;"",INDEX(nQ3_QC_Flags,$AH104)&amp;"",INDEX(nQ4_QC_Flags,$AH104)&amp;"",INDEX(nQ5_QC_Flags,$AH104)&amp;"",INDEX(nQ6_QC_Flags,$AH104)&amp;"",INDEX(nQ7_QC_Flags,$AH104)&amp;"",INDEX(nQ8_QC_Flags,$AH104)&amp;"",INDEX(nQ9_QC_Flags,$AH104)&amp;"",INDEX(nQ10_QC_Flags,$AH104)&amp;"",INDEX(nQ11_QC_Flags,$AH104)&amp;""))</f>
        <v/>
      </c>
      <c r="BJ104" s="1" t="str">
        <f>IF($AF104=0,"",CHOOSE($AF104,INDEX(nINT_Messages,$AH104)&amp;"",INDEX(nQ1_Messages,$AH104)&amp;"",INDEX(nQ2_Messages,$AH104)&amp;"",INDEX(nQ3_Messages,$AH104)&amp;"",INDEX(nQ4_Messages,$AH104)&amp;"",INDEX(nQ5_Messages,$AH104)&amp;"",INDEX(nQ6_Messages,$AH104)&amp;"",INDEX(nQ7_Messages,$AH104)&amp;"",INDEX(nQ8_Messages,$AH104)&amp;"",INDEX(nQ9_Messages,$AH104)&amp;"",INDEX(nQ10_Messages,$AH104)&amp;"",INDEX(nQ11_Messages,$AH104)&amp;""))</f>
        <v/>
      </c>
      <c r="BK104" s="1" t="str">
        <f>IF($AF104=0,"",CHOOSE($AF104,INDEX(nINT_Limitations,$AH104)&amp;"",INDEX(nQ1_Mandatory_Text,$AH104)&amp;"",INDEX(nQ2_Mandatory_Text,$AH104)&amp;"",INDEX(nQ3_Mandatory_Text,$AH104)&amp;"",INDEX(nQ4_Mandatory_Text,$AH104)&amp;"",INDEX(nQ5_Mandatory_Text,$AH104)&amp;"",INDEX(nQ6_Mandatory_Text,$AH104)&amp;"",INDEX(nQ7_Mandatory_Text,$AH104)&amp;"",INDEX(nQ8_Mandatory_Text,$AH104)&amp;"",INDEX(nQ9_Mandatory_Text,$AH104)&amp;"",INDEX(nQ10_Mandatory_Text,$AH104)&amp;"",INDEX(nQ11_Mandatory_Text,$AH104)&amp;""))</f>
        <v/>
      </c>
      <c r="BL104" s="1" t="str">
        <f t="shared" si="68"/>
        <v/>
      </c>
      <c r="BM104" s="1" t="str">
        <f t="shared" si="69"/>
        <v/>
      </c>
    </row>
    <row r="105" spans="1:65" x14ac:dyDescent="0.2">
      <c r="A105" s="21" t="str">
        <f t="shared" si="35"/>
        <v/>
      </c>
      <c r="B105" s="21" t="str">
        <f t="shared" si="36"/>
        <v/>
      </c>
      <c r="C105" s="21" t="str">
        <f t="shared" si="37"/>
        <v/>
      </c>
      <c r="D105" s="21" t="str">
        <f t="shared" si="38"/>
        <v/>
      </c>
      <c r="E105" s="21" t="str">
        <f t="shared" si="39"/>
        <v/>
      </c>
      <c r="F105" s="21" t="str">
        <f t="shared" si="40"/>
        <v/>
      </c>
      <c r="G105" s="21" t="str">
        <f t="shared" si="41"/>
        <v/>
      </c>
      <c r="H105" s="21" t="str">
        <f t="shared" si="42"/>
        <v/>
      </c>
      <c r="I105" s="21" t="str">
        <f t="shared" si="43"/>
        <v/>
      </c>
      <c r="J105" s="21" t="str">
        <f t="shared" si="44"/>
        <v/>
      </c>
      <c r="K105" s="21" t="str">
        <f t="shared" si="45"/>
        <v/>
      </c>
      <c r="L105" s="21" t="str">
        <f t="shared" si="46"/>
        <v/>
      </c>
      <c r="M105" s="21" t="str">
        <f t="shared" si="47"/>
        <v/>
      </c>
      <c r="N105" s="21" t="str">
        <f t="shared" si="48"/>
        <v/>
      </c>
      <c r="O105" s="21" t="str">
        <f t="shared" si="49"/>
        <v/>
      </c>
      <c r="P105" s="21" t="str">
        <f t="shared" si="50"/>
        <v/>
      </c>
      <c r="Q105" s="21" t="str">
        <f t="shared" si="51"/>
        <v/>
      </c>
      <c r="R105" s="21" t="str">
        <f t="shared" si="52"/>
        <v/>
      </c>
      <c r="S105" s="21" t="str">
        <f t="shared" si="53"/>
        <v/>
      </c>
      <c r="T105" s="21" t="str">
        <f t="shared" si="54"/>
        <v/>
      </c>
      <c r="U105" s="21" t="str">
        <f t="shared" si="55"/>
        <v/>
      </c>
      <c r="V105" s="21" t="str">
        <f t="shared" si="56"/>
        <v/>
      </c>
      <c r="W105" s="21" t="str">
        <f t="shared" si="57"/>
        <v/>
      </c>
      <c r="X105" s="21" t="str">
        <f t="shared" si="58"/>
        <v/>
      </c>
      <c r="Y105" s="21" t="str">
        <f t="shared" si="59"/>
        <v/>
      </c>
      <c r="Z105" s="21" t="str">
        <f t="shared" si="60"/>
        <v/>
      </c>
      <c r="AA105" s="21" t="str">
        <f t="shared" si="61"/>
        <v/>
      </c>
      <c r="AB105" s="21" t="str">
        <f t="shared" si="62"/>
        <v/>
      </c>
      <c r="AC105" s="21" t="str">
        <f t="shared" si="63"/>
        <v/>
      </c>
      <c r="AD105" s="21" t="str">
        <f t="shared" si="64"/>
        <v/>
      </c>
      <c r="AE105" s="1">
        <f t="shared" si="65"/>
        <v>98</v>
      </c>
      <c r="AF105" s="1">
        <f t="shared" si="66"/>
        <v>0</v>
      </c>
      <c r="AG105" s="1">
        <f t="shared" si="67"/>
        <v>0</v>
      </c>
      <c r="AH105" s="1">
        <f>IF(AF105=0,0,CHOOSE(AF105,IFERROR(_xlfn.AGGREGATE(15,6,(ROW(nINT_CaseKey)-ROW(INDEX(nINT_CaseKey,1,1))+1)/((nINT_CaseKey=$H$4)*(nINT_RowEmpty=0)),AG105),0),IFERROR(_xlfn.AGGREGATE(15,6,(ROW(nQ1_CaseKey)-ROW(INDEX(nQ1_CaseKey,1,1))+1)/((nQ1_CaseKey=$H$4)),AG105),0),IFERROR(_xlfn.AGGREGATE(15,6,(ROW(nQ2_CaseKey)-ROW(INDEX(nQ2_CaseKey,1,1))+1)/((nQ2_CaseKey=$H$4)),AG105),0),IFERROR(_xlfn.AGGREGATE(15,6,(ROW(nQ3_CaseKey)-ROW(INDEX(nQ3_CaseKey,1,1))+1)/((nQ3_CaseKey=$H$4)),AG105),0),IFERROR(_xlfn.AGGREGATE(15,6,(ROW(nQ4_CaseKey)-ROW(INDEX(nQ4_CaseKey,1,1))+1)/((nQ4_CaseKey=$H$4)),AG105),0),IFERROR(_xlfn.AGGREGATE(15,6,(ROW(nQ5_CaseKey)-ROW(INDEX(nQ5_CaseKey,1,1))+1)/((nQ5_CaseKey=$H$4)),AG105),0),IFERROR(_xlfn.AGGREGATE(15,6,(ROW(nQ6_CaseKey)-ROW(INDEX(nQ6_CaseKey,1,1))+1)/((nQ6_CaseKey=$H$4)),AG105),0),IFERROR(_xlfn.AGGREGATE(15,6,(ROW(nQ7_CaseKey)-ROW(INDEX(nQ7_CaseKey,1,1))+1)/((nQ7_CaseKey=$H$4)),AG105),0),IFERROR(_xlfn.AGGREGATE(15,6,(ROW(nQ8_CaseKey)-ROW(INDEX(nQ8_CaseKey,1,1))+1)/((nQ8_CaseKey=$H$4)),AG105),0),IFERROR(_xlfn.AGGREGATE(15,6,(ROW(nQ9_CaseKey)-ROW(INDEX(nQ9_CaseKey,1,1))+1)/((nQ9_CaseKey=$H$4)),AG105),0),IFERROR(_xlfn.AGGREGATE(15,6,(ROW(nQ10_CaseKey)-ROW(INDEX(nQ10_CaseKey,1,1))+1)/((nQ10_CaseKey=$H$4)),AG105),0),IFERROR(_xlfn.AGGREGATE(15,6,(ROW(nQ11_CaseKey)-ROW(INDEX(nQ11_CaseKey,1,1))+1)/((nQ11_CaseKey=$H$4)),AG105),0)))</f>
        <v>0</v>
      </c>
      <c r="AJ105" s="1" t="str">
        <f>IF($AF105=0,"",CHOOSE($AF105,INDEX(nINT_Case_ID,$AH105)&amp;"",INDEX(nQ1_Case_ID,$AH105)&amp;"",INDEX(nQ2_Case_ID,$AH105)&amp;"",INDEX(nQ3_Case_ID,$AH105)&amp;"",INDEX(nQ4_Case_ID,$AH105)&amp;"",INDEX(nQ5_Case_ID,$AH105)&amp;"",INDEX(nQ6_Case_ID,$AH105)&amp;"",INDEX(nQ7_Case_ID,$AH105)&amp;"",INDEX(nQ8_Case_ID,$AH105)&amp;"",INDEX(nQ9_Case_ID,$AH105)&amp;"",INDEX(nQ10_Case_ID,$AH105)&amp;"",INDEX(nQ11_Case_ID,$AH105)&amp;""))</f>
        <v/>
      </c>
      <c r="AK105" s="1" t="str">
        <f>IF($AF105=0,"",CHOOSE($AF105,INDEX(nINT_Case_Version,$AH105),INDEX(nQ1_Case_Version,$AH105),INDEX(nQ2_Case_Version,$AH105),INDEX(nQ3_Case_Version,$AH105),INDEX(nQ4_Case_Version,$AH105),INDEX(nQ5_Case_Version,$AH105),INDEX(nQ6_Case_Version,$AH105),INDEX(nQ7_Case_Version,$AH105),INDEX(nQ8_Case_Version,$AH105),INDEX(nQ9_Case_Version,$AH105),INDEX(nQ10_Case_Version,$AH105),INDEX(nQ11_Case_Version,$AH105)))</f>
        <v/>
      </c>
      <c r="AL105" s="1" t="str">
        <f>IF($AF105=0,"",CHOOSE($AF105,INDEX(nINT_Interval_ID,$AH105)&amp;"",INDEX(nQ1_Calc_ID,$AH105)&amp;"",INDEX(nQ2_Calc_ID,$AH105)&amp;"",INDEX(nQ3_Calc_ID,$AH105)&amp;"",INDEX(nQ4_Calc_ID,$AH105)&amp;"",INDEX(nQ5_Calc_ID,$AH105)&amp;"",INDEX(nQ6_Calc_ID,$AH105)&amp;"",INDEX(nQ7_Calc_ID,$AH105)&amp;"",INDEX(nQ8_Calc_ID,$AH105)&amp;"",INDEX(nQ9_Calc_ID,$AH105)&amp;"",INDEX(nQ10_Calc_ID,$AH105)&amp;"",INDEX(nQ11_Calc_ID,$AH105)&amp;""))</f>
        <v/>
      </c>
      <c r="AM105" s="1" t="str">
        <f>IF($AF105=0,"",CHOOSE($AF105,INDEX(nINT_Label,$AH105)&amp;"",INDEX(nQ1_Label_Out,$AH105)&amp;"",INDEX(nQ2_Label_Out,$AH105)&amp;"",INDEX(nQ3_Label_Out,$AH105)&amp;"",INDEX(nQ4_Label_Out,$AH105)&amp;"",INDEX(nQ5_Label_Out,$AH105)&amp;"",INDEX(nQ6_Label_Out,$AH105)&amp;"",INDEX(nQ7_Label_Out,$AH105)&amp;"",INDEX(nQ8_Label_Out,$AH105)&amp;"",INDEX(nQ9_Label_Out,$AH105)&amp;"",INDEX(nQ10_Label_Out,$AH105)&amp;"",INDEX(nQ11_Label_Out,$AH105)&amp;""))</f>
        <v/>
      </c>
      <c r="AN105" s="1" t="str">
        <f>IF($AF105=0,"",CHOOSE($AF105,IF(INDEX(nINT_LinkRow,$AH105)=0,"",INDEX(nINT_Link_ID,$AH105)&amp;""),"","","","","","","","","","",""))</f>
        <v/>
      </c>
      <c r="AO105" s="1" t="str">
        <f>IF($AF105=0,"",CHOOSE($AF105,INDEX(nINT_Exposure_Episode_ID,$AH105)&amp;"","","","","","","","","","","",""))</f>
        <v/>
      </c>
      <c r="AP105" s="1" t="str">
        <f>IF($AF105=0,"",CHOOSE($AF105,INDEX(nINT_Event_Episode_ID,$AH105)&amp;"","","","","","","","","","","",""))</f>
        <v/>
      </c>
      <c r="AQ105" s="1" t="str">
        <f>IF($AF105=0,"",CHOOSE($AF105,INDEX(nINT_End_Record_ID_Used,$AH105)&amp;"","","","","","","","","","","",""))</f>
        <v/>
      </c>
      <c r="AR105" s="1" t="str">
        <f>IF($AF105=0,"",CHOOSE($AF105,INDEX(nINT_Interval_Value,$AH105),"","","","","","","","","","",""))</f>
        <v/>
      </c>
      <c r="AS105" s="1" t="str">
        <f>IF($AF105=0,"",CHOOSE($AF105,INDEX(nINT_Interval_Minimum,$AH105),"","","","","","","","","","",""))</f>
        <v/>
      </c>
      <c r="AT105" s="1" t="str">
        <f>IF($AF105=0,"",CHOOSE($AF105,INDEX(nINT_Interval_Maximum,$AH105),"","","","","","","","","","",""))</f>
        <v/>
      </c>
      <c r="AU105" s="1" t="str">
        <f>IF($AF105=0,"",CHOOSE($AF105,INDEX(nINT_Unit,$AH105)&amp;"",INDEX(nQ1_Unit_Out,$AH105)&amp;"",INDEX(nQ2_Unit_Out,$AH105)&amp;"",INDEX(nQ3_Unit_Out,$AH105)&amp;"",INDEX(nQ4_Unit_Out,$AH105)&amp;"",INDEX(nQ5_Unit_Out,$AH105)&amp;"",INDEX(nQ6_Unit_Out,$AH105)&amp;"",INDEX(nQ7_Unit_Out,$AH105)&amp;"",INDEX(nQ8_Unit_Out,$AH105)&amp;"",INDEX(nQ9_Unit_Out,$AH105)&amp;"",INDEX(nQ10_Unit_Out,$AH105)&amp;"",INDEX(nQ11_Unit_Out,$AH105)&amp;""))</f>
        <v/>
      </c>
      <c r="AV105" s="1" t="str">
        <f>IF($AF105=0,"",CHOOSE($AF105,INDEX(nINT_Displayed_Value,$AH105)&amp;"",INDEX(nQ1_Displayed_Value,$AH105)&amp;"",INDEX(nQ2_Displayed_Value,$AH105)&amp;"",INDEX(nQ3_Displayed_Value,$AH105)&amp;"",INDEX(nQ4_Displayed_Value,$AH105)&amp;"",INDEX(nQ5_Displayed_Value,$AH105)&amp;"",INDEX(nQ6_Displayed_Value,$AH105)&amp;"",INDEX(nQ7_Displayed_Value,$AH105)&amp;"",INDEX(nQ8_Displayed_Value,$AH105)&amp;"",INDEX(nQ9_Displayed_Value,$AH105)&amp;"",INDEX(nQ10_Displayed_Value,$AH105)&amp;"",INDEX(nQ11_Displayed_Value,$AH105)&amp;""))</f>
        <v/>
      </c>
      <c r="AW105" s="1" t="str">
        <f>IF($AF105=0,"",CHOOSE($AF105,INDEX(nINT_Calculation_Mode_Used,$AH105)&amp;"","Q1","Q2","Q3","Q4","Q5","Q6","Q7","Q8","Q9","Q10","Q11"))</f>
        <v/>
      </c>
      <c r="AX105" s="1" t="str">
        <f>IF($AF105=0,"",CHOOSE($AF105,INDEX(nINT_Anchor_Type,$AH105)&amp;"","","","","","","","","","","",""))</f>
        <v/>
      </c>
      <c r="AY105" s="1" t="str">
        <f>IF($AF105=0,"",CHOOSE($AF105,IF(INDEX(nINT_K_Ok,$AH105)=1,INDEX(nINT_Anchor_Record_ID_Used,$AH105)&amp;"",""),"","","","","","","","","","",""))</f>
        <v/>
      </c>
      <c r="AZ105" s="1" t="str">
        <f>IF($AF105=0,"",CHOOSE($AF105,INDEX(nINT_Anchor_Description,$AH105)&amp;"","","","","","","","","","","",""))</f>
        <v/>
      </c>
      <c r="BA105" s="1" t="str">
        <f>IF($AF105=0,"",CHOOSE($AF105,INDEX(nINT_Sequence_Status,$AH105)&amp;"","","","","","","","","","","",""))</f>
        <v/>
      </c>
      <c r="BB105" s="1" t="str">
        <f>IF($AF105=0,"",CHOOSE($AF105,INDEX(nINT_Treatment_Day,$AH105),"","","","","","","","","","",""))</f>
        <v/>
      </c>
      <c r="BC105" s="1" t="str">
        <f>IF($AF105=0,"",CHOOSE($AF105,INDEX(nINT_Reported_Timing_Result,$AH105)&amp;"","","","","","","","","","","",""))</f>
        <v/>
      </c>
      <c r="BD105" s="1" t="str">
        <f>IF($AF105=0,"",CHOOSE($AF105,IF(INDEX(nINT_K_HasC,$AH105)=1,INDEX(nINT_Constraint_Source,$AH105)&amp;"",""),"","","","","","","","","","",""))</f>
        <v/>
      </c>
      <c r="BE105" s="1" t="str">
        <f>IF($AF105=0,"",CHOOSE($AF105,"",INDEX(nQ1_Results_Text,$AH105)&amp;"",INDEX(nQ2_Results_Text,$AH105)&amp;"",INDEX(nQ3_Results_Text,$AH105)&amp;"",INDEX(nQ4_Results_Text,$AH105)&amp;"",INDEX(nQ5_Results_Text,$AH105)&amp;"",INDEX(nQ6_Results_Text,$AH105)&amp;"",INDEX(nQ7_Results_Text,$AH105)&amp;"",INDEX(nQ8_Results_Text,$AH105)&amp;"",INDEX(nQ9_Results_Text,$AH105)&amp;"",INDEX(nQ10_Results_Text,$AH105)&amp;"",INDEX(nQ11_Results_Text,$AH105)&amp;""))</f>
        <v/>
      </c>
      <c r="BF105" s="1" t="str">
        <f>IF($AF105=0,"",CHOOSE($AF105,INDEX(nINT_Parameter_Set,$AH105)&amp;"",INDEX(nQ1_Parameter_Set,$AH105)&amp;"",INDEX(nQ2_Parameter_Set,$AH105)&amp;"",INDEX(nQ3_Parameter_Set,$AH105)&amp;"",INDEX(nQ4_Parameter_Set,$AH105)&amp;"",INDEX(nQ5_Parameter_Set,$AH105)&amp;"",INDEX(nQ6_Parameter_Set,$AH105)&amp;"",INDEX(nQ7_Parameter_Set,$AH105)&amp;"",INDEX(nQ8_Parameter_Set,$AH105)&amp;"",INDEX(nQ9_Parameter_Set,$AH105)&amp;"",INDEX(nQ10_Parameter_Set,$AH105)&amp;"",INDEX(nQ11_Parameter_Set,$AH105)&amp;""))</f>
        <v/>
      </c>
      <c r="BG105" s="1" t="str">
        <f>IF($AF105=0,"",CHOOSE($AF105,INDEX(nINT_Assumptions,$AH105)&amp;"",INDEX(nQ1_Assumptions,$AH105)&amp;"",INDEX(nQ2_Assumptions,$AH105)&amp;"",INDEX(nQ3_Assumptions,$AH105)&amp;"",INDEX(nQ4_Assumptions,$AH105)&amp;"",INDEX(nQ5_Assumptions,$AH105)&amp;"",INDEX(nQ6_Assumptions,$AH105)&amp;"",INDEX(nQ7_Assumptions,$AH105)&amp;"",INDEX(nQ8_Assumptions,$AH105)&amp;"",INDEX(nQ9_Assumptions,$AH105)&amp;"",INDEX(nQ10_Assumptions,$AH105)&amp;"",INDEX(nQ11_Assumptions,$AH105)&amp;""))</f>
        <v/>
      </c>
      <c r="BH105" s="1" t="str">
        <f>IF($AF105=0,"",CHOOSE($AF105,INDEX(nINT_Calculation_Version,$AH105)&amp;"",INDEX(nQ1_Calculation_Version,$AH105)&amp;"",INDEX(nQ2_Calculation_Version,$AH105)&amp;"",INDEX(nQ3_Calculation_Version,$AH105)&amp;"",INDEX(nQ4_Calculation_Version,$AH105)&amp;"",INDEX(nQ5_Calculation_Version,$AH105)&amp;"",INDEX(nQ6_Calculation_Version,$AH105)&amp;"",INDEX(nQ7_Calculation_Version,$AH105)&amp;"",INDEX(nQ8_Calculation_Version,$AH105)&amp;"",INDEX(nQ9_Calculation_Version,$AH105)&amp;"",INDEX(nQ10_Calculation_Version,$AH105)&amp;"",INDEX(nQ11_Calculation_Version,$AH105)&amp;""))</f>
        <v/>
      </c>
      <c r="BI105" s="1" t="str">
        <f>IF($AF105=0,"",CHOOSE($AF105,INDEX(nINT_QC_Flags,$AH105)&amp;"",INDEX(nQ1_QC_Flags,$AH105)&amp;"",INDEX(nQ2_QC_Flags,$AH105)&amp;"",INDEX(nQ3_QC_Flags,$AH105)&amp;"",INDEX(nQ4_QC_Flags,$AH105)&amp;"",INDEX(nQ5_QC_Flags,$AH105)&amp;"",INDEX(nQ6_QC_Flags,$AH105)&amp;"",INDEX(nQ7_QC_Flags,$AH105)&amp;"",INDEX(nQ8_QC_Flags,$AH105)&amp;"",INDEX(nQ9_QC_Flags,$AH105)&amp;"",INDEX(nQ10_QC_Flags,$AH105)&amp;"",INDEX(nQ11_QC_Flags,$AH105)&amp;""))</f>
        <v/>
      </c>
      <c r="BJ105" s="1" t="str">
        <f>IF($AF105=0,"",CHOOSE($AF105,INDEX(nINT_Messages,$AH105)&amp;"",INDEX(nQ1_Messages,$AH105)&amp;"",INDEX(nQ2_Messages,$AH105)&amp;"",INDEX(nQ3_Messages,$AH105)&amp;"",INDEX(nQ4_Messages,$AH105)&amp;"",INDEX(nQ5_Messages,$AH105)&amp;"",INDEX(nQ6_Messages,$AH105)&amp;"",INDEX(nQ7_Messages,$AH105)&amp;"",INDEX(nQ8_Messages,$AH105)&amp;"",INDEX(nQ9_Messages,$AH105)&amp;"",INDEX(nQ10_Messages,$AH105)&amp;"",INDEX(nQ11_Messages,$AH105)&amp;""))</f>
        <v/>
      </c>
      <c r="BK105" s="1" t="str">
        <f>IF($AF105=0,"",CHOOSE($AF105,INDEX(nINT_Limitations,$AH105)&amp;"",INDEX(nQ1_Mandatory_Text,$AH105)&amp;"",INDEX(nQ2_Mandatory_Text,$AH105)&amp;"",INDEX(nQ3_Mandatory_Text,$AH105)&amp;"",INDEX(nQ4_Mandatory_Text,$AH105)&amp;"",INDEX(nQ5_Mandatory_Text,$AH105)&amp;"",INDEX(nQ6_Mandatory_Text,$AH105)&amp;"",INDEX(nQ7_Mandatory_Text,$AH105)&amp;"",INDEX(nQ8_Mandatory_Text,$AH105)&amp;"",INDEX(nQ9_Mandatory_Text,$AH105)&amp;"",INDEX(nQ10_Mandatory_Text,$AH105)&amp;"",INDEX(nQ11_Mandatory_Text,$AH105)&amp;""))</f>
        <v/>
      </c>
      <c r="BL105" s="1" t="str">
        <f t="shared" si="68"/>
        <v/>
      </c>
      <c r="BM105" s="1" t="str">
        <f t="shared" si="69"/>
        <v/>
      </c>
    </row>
    <row r="106" spans="1:65" x14ac:dyDescent="0.2">
      <c r="A106" s="21" t="str">
        <f t="shared" si="35"/>
        <v/>
      </c>
      <c r="B106" s="21" t="str">
        <f t="shared" si="36"/>
        <v/>
      </c>
      <c r="C106" s="21" t="str">
        <f t="shared" si="37"/>
        <v/>
      </c>
      <c r="D106" s="21" t="str">
        <f t="shared" si="38"/>
        <v/>
      </c>
      <c r="E106" s="21" t="str">
        <f t="shared" si="39"/>
        <v/>
      </c>
      <c r="F106" s="21" t="str">
        <f t="shared" si="40"/>
        <v/>
      </c>
      <c r="G106" s="21" t="str">
        <f t="shared" si="41"/>
        <v/>
      </c>
      <c r="H106" s="21" t="str">
        <f t="shared" si="42"/>
        <v/>
      </c>
      <c r="I106" s="21" t="str">
        <f t="shared" si="43"/>
        <v/>
      </c>
      <c r="J106" s="21" t="str">
        <f t="shared" si="44"/>
        <v/>
      </c>
      <c r="K106" s="21" t="str">
        <f t="shared" si="45"/>
        <v/>
      </c>
      <c r="L106" s="21" t="str">
        <f t="shared" si="46"/>
        <v/>
      </c>
      <c r="M106" s="21" t="str">
        <f t="shared" si="47"/>
        <v/>
      </c>
      <c r="N106" s="21" t="str">
        <f t="shared" si="48"/>
        <v/>
      </c>
      <c r="O106" s="21" t="str">
        <f t="shared" si="49"/>
        <v/>
      </c>
      <c r="P106" s="21" t="str">
        <f t="shared" si="50"/>
        <v/>
      </c>
      <c r="Q106" s="21" t="str">
        <f t="shared" si="51"/>
        <v/>
      </c>
      <c r="R106" s="21" t="str">
        <f t="shared" si="52"/>
        <v/>
      </c>
      <c r="S106" s="21" t="str">
        <f t="shared" si="53"/>
        <v/>
      </c>
      <c r="T106" s="21" t="str">
        <f t="shared" si="54"/>
        <v/>
      </c>
      <c r="U106" s="21" t="str">
        <f t="shared" si="55"/>
        <v/>
      </c>
      <c r="V106" s="21" t="str">
        <f t="shared" si="56"/>
        <v/>
      </c>
      <c r="W106" s="21" t="str">
        <f t="shared" si="57"/>
        <v/>
      </c>
      <c r="X106" s="21" t="str">
        <f t="shared" si="58"/>
        <v/>
      </c>
      <c r="Y106" s="21" t="str">
        <f t="shared" si="59"/>
        <v/>
      </c>
      <c r="Z106" s="21" t="str">
        <f t="shared" si="60"/>
        <v/>
      </c>
      <c r="AA106" s="21" t="str">
        <f t="shared" si="61"/>
        <v/>
      </c>
      <c r="AB106" s="21" t="str">
        <f t="shared" si="62"/>
        <v/>
      </c>
      <c r="AC106" s="21" t="str">
        <f t="shared" si="63"/>
        <v/>
      </c>
      <c r="AD106" s="21" t="str">
        <f t="shared" si="64"/>
        <v/>
      </c>
      <c r="AE106" s="1">
        <f t="shared" si="65"/>
        <v>99</v>
      </c>
      <c r="AF106" s="1">
        <f t="shared" si="66"/>
        <v>0</v>
      </c>
      <c r="AG106" s="1">
        <f t="shared" si="67"/>
        <v>0</v>
      </c>
      <c r="AH106" s="1">
        <f>IF(AF106=0,0,CHOOSE(AF106,IFERROR(_xlfn.AGGREGATE(15,6,(ROW(nINT_CaseKey)-ROW(INDEX(nINT_CaseKey,1,1))+1)/((nINT_CaseKey=$H$4)*(nINT_RowEmpty=0)),AG106),0),IFERROR(_xlfn.AGGREGATE(15,6,(ROW(nQ1_CaseKey)-ROW(INDEX(nQ1_CaseKey,1,1))+1)/((nQ1_CaseKey=$H$4)),AG106),0),IFERROR(_xlfn.AGGREGATE(15,6,(ROW(nQ2_CaseKey)-ROW(INDEX(nQ2_CaseKey,1,1))+1)/((nQ2_CaseKey=$H$4)),AG106),0),IFERROR(_xlfn.AGGREGATE(15,6,(ROW(nQ3_CaseKey)-ROW(INDEX(nQ3_CaseKey,1,1))+1)/((nQ3_CaseKey=$H$4)),AG106),0),IFERROR(_xlfn.AGGREGATE(15,6,(ROW(nQ4_CaseKey)-ROW(INDEX(nQ4_CaseKey,1,1))+1)/((nQ4_CaseKey=$H$4)),AG106),0),IFERROR(_xlfn.AGGREGATE(15,6,(ROW(nQ5_CaseKey)-ROW(INDEX(nQ5_CaseKey,1,1))+1)/((nQ5_CaseKey=$H$4)),AG106),0),IFERROR(_xlfn.AGGREGATE(15,6,(ROW(nQ6_CaseKey)-ROW(INDEX(nQ6_CaseKey,1,1))+1)/((nQ6_CaseKey=$H$4)),AG106),0),IFERROR(_xlfn.AGGREGATE(15,6,(ROW(nQ7_CaseKey)-ROW(INDEX(nQ7_CaseKey,1,1))+1)/((nQ7_CaseKey=$H$4)),AG106),0),IFERROR(_xlfn.AGGREGATE(15,6,(ROW(nQ8_CaseKey)-ROW(INDEX(nQ8_CaseKey,1,1))+1)/((nQ8_CaseKey=$H$4)),AG106),0),IFERROR(_xlfn.AGGREGATE(15,6,(ROW(nQ9_CaseKey)-ROW(INDEX(nQ9_CaseKey,1,1))+1)/((nQ9_CaseKey=$H$4)),AG106),0),IFERROR(_xlfn.AGGREGATE(15,6,(ROW(nQ10_CaseKey)-ROW(INDEX(nQ10_CaseKey,1,1))+1)/((nQ10_CaseKey=$H$4)),AG106),0),IFERROR(_xlfn.AGGREGATE(15,6,(ROW(nQ11_CaseKey)-ROW(INDEX(nQ11_CaseKey,1,1))+1)/((nQ11_CaseKey=$H$4)),AG106),0)))</f>
        <v>0</v>
      </c>
      <c r="AJ106" s="1" t="str">
        <f>IF($AF106=0,"",CHOOSE($AF106,INDEX(nINT_Case_ID,$AH106)&amp;"",INDEX(nQ1_Case_ID,$AH106)&amp;"",INDEX(nQ2_Case_ID,$AH106)&amp;"",INDEX(nQ3_Case_ID,$AH106)&amp;"",INDEX(nQ4_Case_ID,$AH106)&amp;"",INDEX(nQ5_Case_ID,$AH106)&amp;"",INDEX(nQ6_Case_ID,$AH106)&amp;"",INDEX(nQ7_Case_ID,$AH106)&amp;"",INDEX(nQ8_Case_ID,$AH106)&amp;"",INDEX(nQ9_Case_ID,$AH106)&amp;"",INDEX(nQ10_Case_ID,$AH106)&amp;"",INDEX(nQ11_Case_ID,$AH106)&amp;""))</f>
        <v/>
      </c>
      <c r="AK106" s="1" t="str">
        <f>IF($AF106=0,"",CHOOSE($AF106,INDEX(nINT_Case_Version,$AH106),INDEX(nQ1_Case_Version,$AH106),INDEX(nQ2_Case_Version,$AH106),INDEX(nQ3_Case_Version,$AH106),INDEX(nQ4_Case_Version,$AH106),INDEX(nQ5_Case_Version,$AH106),INDEX(nQ6_Case_Version,$AH106),INDEX(nQ7_Case_Version,$AH106),INDEX(nQ8_Case_Version,$AH106),INDEX(nQ9_Case_Version,$AH106),INDEX(nQ10_Case_Version,$AH106),INDEX(nQ11_Case_Version,$AH106)))</f>
        <v/>
      </c>
      <c r="AL106" s="1" t="str">
        <f>IF($AF106=0,"",CHOOSE($AF106,INDEX(nINT_Interval_ID,$AH106)&amp;"",INDEX(nQ1_Calc_ID,$AH106)&amp;"",INDEX(nQ2_Calc_ID,$AH106)&amp;"",INDEX(nQ3_Calc_ID,$AH106)&amp;"",INDEX(nQ4_Calc_ID,$AH106)&amp;"",INDEX(nQ5_Calc_ID,$AH106)&amp;"",INDEX(nQ6_Calc_ID,$AH106)&amp;"",INDEX(nQ7_Calc_ID,$AH106)&amp;"",INDEX(nQ8_Calc_ID,$AH106)&amp;"",INDEX(nQ9_Calc_ID,$AH106)&amp;"",INDEX(nQ10_Calc_ID,$AH106)&amp;"",INDEX(nQ11_Calc_ID,$AH106)&amp;""))</f>
        <v/>
      </c>
      <c r="AM106" s="1" t="str">
        <f>IF($AF106=0,"",CHOOSE($AF106,INDEX(nINT_Label,$AH106)&amp;"",INDEX(nQ1_Label_Out,$AH106)&amp;"",INDEX(nQ2_Label_Out,$AH106)&amp;"",INDEX(nQ3_Label_Out,$AH106)&amp;"",INDEX(nQ4_Label_Out,$AH106)&amp;"",INDEX(nQ5_Label_Out,$AH106)&amp;"",INDEX(nQ6_Label_Out,$AH106)&amp;"",INDEX(nQ7_Label_Out,$AH106)&amp;"",INDEX(nQ8_Label_Out,$AH106)&amp;"",INDEX(nQ9_Label_Out,$AH106)&amp;"",INDEX(nQ10_Label_Out,$AH106)&amp;"",INDEX(nQ11_Label_Out,$AH106)&amp;""))</f>
        <v/>
      </c>
      <c r="AN106" s="1" t="str">
        <f>IF($AF106=0,"",CHOOSE($AF106,IF(INDEX(nINT_LinkRow,$AH106)=0,"",INDEX(nINT_Link_ID,$AH106)&amp;""),"","","","","","","","","","",""))</f>
        <v/>
      </c>
      <c r="AO106" s="1" t="str">
        <f>IF($AF106=0,"",CHOOSE($AF106,INDEX(nINT_Exposure_Episode_ID,$AH106)&amp;"","","","","","","","","","","",""))</f>
        <v/>
      </c>
      <c r="AP106" s="1" t="str">
        <f>IF($AF106=0,"",CHOOSE($AF106,INDEX(nINT_Event_Episode_ID,$AH106)&amp;"","","","","","","","","","","",""))</f>
        <v/>
      </c>
      <c r="AQ106" s="1" t="str">
        <f>IF($AF106=0,"",CHOOSE($AF106,INDEX(nINT_End_Record_ID_Used,$AH106)&amp;"","","","","","","","","","","",""))</f>
        <v/>
      </c>
      <c r="AR106" s="1" t="str">
        <f>IF($AF106=0,"",CHOOSE($AF106,INDEX(nINT_Interval_Value,$AH106),"","","","","","","","","","",""))</f>
        <v/>
      </c>
      <c r="AS106" s="1" t="str">
        <f>IF($AF106=0,"",CHOOSE($AF106,INDEX(nINT_Interval_Minimum,$AH106),"","","","","","","","","","",""))</f>
        <v/>
      </c>
      <c r="AT106" s="1" t="str">
        <f>IF($AF106=0,"",CHOOSE($AF106,INDEX(nINT_Interval_Maximum,$AH106),"","","","","","","","","","",""))</f>
        <v/>
      </c>
      <c r="AU106" s="1" t="str">
        <f>IF($AF106=0,"",CHOOSE($AF106,INDEX(nINT_Unit,$AH106)&amp;"",INDEX(nQ1_Unit_Out,$AH106)&amp;"",INDEX(nQ2_Unit_Out,$AH106)&amp;"",INDEX(nQ3_Unit_Out,$AH106)&amp;"",INDEX(nQ4_Unit_Out,$AH106)&amp;"",INDEX(nQ5_Unit_Out,$AH106)&amp;"",INDEX(nQ6_Unit_Out,$AH106)&amp;"",INDEX(nQ7_Unit_Out,$AH106)&amp;"",INDEX(nQ8_Unit_Out,$AH106)&amp;"",INDEX(nQ9_Unit_Out,$AH106)&amp;"",INDEX(nQ10_Unit_Out,$AH106)&amp;"",INDEX(nQ11_Unit_Out,$AH106)&amp;""))</f>
        <v/>
      </c>
      <c r="AV106" s="1" t="str">
        <f>IF($AF106=0,"",CHOOSE($AF106,INDEX(nINT_Displayed_Value,$AH106)&amp;"",INDEX(nQ1_Displayed_Value,$AH106)&amp;"",INDEX(nQ2_Displayed_Value,$AH106)&amp;"",INDEX(nQ3_Displayed_Value,$AH106)&amp;"",INDEX(nQ4_Displayed_Value,$AH106)&amp;"",INDEX(nQ5_Displayed_Value,$AH106)&amp;"",INDEX(nQ6_Displayed_Value,$AH106)&amp;"",INDEX(nQ7_Displayed_Value,$AH106)&amp;"",INDEX(nQ8_Displayed_Value,$AH106)&amp;"",INDEX(nQ9_Displayed_Value,$AH106)&amp;"",INDEX(nQ10_Displayed_Value,$AH106)&amp;"",INDEX(nQ11_Displayed_Value,$AH106)&amp;""))</f>
        <v/>
      </c>
      <c r="AW106" s="1" t="str">
        <f>IF($AF106=0,"",CHOOSE($AF106,INDEX(nINT_Calculation_Mode_Used,$AH106)&amp;"","Q1","Q2","Q3","Q4","Q5","Q6","Q7","Q8","Q9","Q10","Q11"))</f>
        <v/>
      </c>
      <c r="AX106" s="1" t="str">
        <f>IF($AF106=0,"",CHOOSE($AF106,INDEX(nINT_Anchor_Type,$AH106)&amp;"","","","","","","","","","","",""))</f>
        <v/>
      </c>
      <c r="AY106" s="1" t="str">
        <f>IF($AF106=0,"",CHOOSE($AF106,IF(INDEX(nINT_K_Ok,$AH106)=1,INDEX(nINT_Anchor_Record_ID_Used,$AH106)&amp;"",""),"","","","","","","","","","",""))</f>
        <v/>
      </c>
      <c r="AZ106" s="1" t="str">
        <f>IF($AF106=0,"",CHOOSE($AF106,INDEX(nINT_Anchor_Description,$AH106)&amp;"","","","","","","","","","","",""))</f>
        <v/>
      </c>
      <c r="BA106" s="1" t="str">
        <f>IF($AF106=0,"",CHOOSE($AF106,INDEX(nINT_Sequence_Status,$AH106)&amp;"","","","","","","","","","","",""))</f>
        <v/>
      </c>
      <c r="BB106" s="1" t="str">
        <f>IF($AF106=0,"",CHOOSE($AF106,INDEX(nINT_Treatment_Day,$AH106),"","","","","","","","","","",""))</f>
        <v/>
      </c>
      <c r="BC106" s="1" t="str">
        <f>IF($AF106=0,"",CHOOSE($AF106,INDEX(nINT_Reported_Timing_Result,$AH106)&amp;"","","","","","","","","","","",""))</f>
        <v/>
      </c>
      <c r="BD106" s="1" t="str">
        <f>IF($AF106=0,"",CHOOSE($AF106,IF(INDEX(nINT_K_HasC,$AH106)=1,INDEX(nINT_Constraint_Source,$AH106)&amp;"",""),"","","","","","","","","","",""))</f>
        <v/>
      </c>
      <c r="BE106" s="1" t="str">
        <f>IF($AF106=0,"",CHOOSE($AF106,"",INDEX(nQ1_Results_Text,$AH106)&amp;"",INDEX(nQ2_Results_Text,$AH106)&amp;"",INDEX(nQ3_Results_Text,$AH106)&amp;"",INDEX(nQ4_Results_Text,$AH106)&amp;"",INDEX(nQ5_Results_Text,$AH106)&amp;"",INDEX(nQ6_Results_Text,$AH106)&amp;"",INDEX(nQ7_Results_Text,$AH106)&amp;"",INDEX(nQ8_Results_Text,$AH106)&amp;"",INDEX(nQ9_Results_Text,$AH106)&amp;"",INDEX(nQ10_Results_Text,$AH106)&amp;"",INDEX(nQ11_Results_Text,$AH106)&amp;""))</f>
        <v/>
      </c>
      <c r="BF106" s="1" t="str">
        <f>IF($AF106=0,"",CHOOSE($AF106,INDEX(nINT_Parameter_Set,$AH106)&amp;"",INDEX(nQ1_Parameter_Set,$AH106)&amp;"",INDEX(nQ2_Parameter_Set,$AH106)&amp;"",INDEX(nQ3_Parameter_Set,$AH106)&amp;"",INDEX(nQ4_Parameter_Set,$AH106)&amp;"",INDEX(nQ5_Parameter_Set,$AH106)&amp;"",INDEX(nQ6_Parameter_Set,$AH106)&amp;"",INDEX(nQ7_Parameter_Set,$AH106)&amp;"",INDEX(nQ8_Parameter_Set,$AH106)&amp;"",INDEX(nQ9_Parameter_Set,$AH106)&amp;"",INDEX(nQ10_Parameter_Set,$AH106)&amp;"",INDEX(nQ11_Parameter_Set,$AH106)&amp;""))</f>
        <v/>
      </c>
      <c r="BG106" s="1" t="str">
        <f>IF($AF106=0,"",CHOOSE($AF106,INDEX(nINT_Assumptions,$AH106)&amp;"",INDEX(nQ1_Assumptions,$AH106)&amp;"",INDEX(nQ2_Assumptions,$AH106)&amp;"",INDEX(nQ3_Assumptions,$AH106)&amp;"",INDEX(nQ4_Assumptions,$AH106)&amp;"",INDEX(nQ5_Assumptions,$AH106)&amp;"",INDEX(nQ6_Assumptions,$AH106)&amp;"",INDEX(nQ7_Assumptions,$AH106)&amp;"",INDEX(nQ8_Assumptions,$AH106)&amp;"",INDEX(nQ9_Assumptions,$AH106)&amp;"",INDEX(nQ10_Assumptions,$AH106)&amp;"",INDEX(nQ11_Assumptions,$AH106)&amp;""))</f>
        <v/>
      </c>
      <c r="BH106" s="1" t="str">
        <f>IF($AF106=0,"",CHOOSE($AF106,INDEX(nINT_Calculation_Version,$AH106)&amp;"",INDEX(nQ1_Calculation_Version,$AH106)&amp;"",INDEX(nQ2_Calculation_Version,$AH106)&amp;"",INDEX(nQ3_Calculation_Version,$AH106)&amp;"",INDEX(nQ4_Calculation_Version,$AH106)&amp;"",INDEX(nQ5_Calculation_Version,$AH106)&amp;"",INDEX(nQ6_Calculation_Version,$AH106)&amp;"",INDEX(nQ7_Calculation_Version,$AH106)&amp;"",INDEX(nQ8_Calculation_Version,$AH106)&amp;"",INDEX(nQ9_Calculation_Version,$AH106)&amp;"",INDEX(nQ10_Calculation_Version,$AH106)&amp;"",INDEX(nQ11_Calculation_Version,$AH106)&amp;""))</f>
        <v/>
      </c>
      <c r="BI106" s="1" t="str">
        <f>IF($AF106=0,"",CHOOSE($AF106,INDEX(nINT_QC_Flags,$AH106)&amp;"",INDEX(nQ1_QC_Flags,$AH106)&amp;"",INDEX(nQ2_QC_Flags,$AH106)&amp;"",INDEX(nQ3_QC_Flags,$AH106)&amp;"",INDEX(nQ4_QC_Flags,$AH106)&amp;"",INDEX(nQ5_QC_Flags,$AH106)&amp;"",INDEX(nQ6_QC_Flags,$AH106)&amp;"",INDEX(nQ7_QC_Flags,$AH106)&amp;"",INDEX(nQ8_QC_Flags,$AH106)&amp;"",INDEX(nQ9_QC_Flags,$AH106)&amp;"",INDEX(nQ10_QC_Flags,$AH106)&amp;"",INDEX(nQ11_QC_Flags,$AH106)&amp;""))</f>
        <v/>
      </c>
      <c r="BJ106" s="1" t="str">
        <f>IF($AF106=0,"",CHOOSE($AF106,INDEX(nINT_Messages,$AH106)&amp;"",INDEX(nQ1_Messages,$AH106)&amp;"",INDEX(nQ2_Messages,$AH106)&amp;"",INDEX(nQ3_Messages,$AH106)&amp;"",INDEX(nQ4_Messages,$AH106)&amp;"",INDEX(nQ5_Messages,$AH106)&amp;"",INDEX(nQ6_Messages,$AH106)&amp;"",INDEX(nQ7_Messages,$AH106)&amp;"",INDEX(nQ8_Messages,$AH106)&amp;"",INDEX(nQ9_Messages,$AH106)&amp;"",INDEX(nQ10_Messages,$AH106)&amp;"",INDEX(nQ11_Messages,$AH106)&amp;""))</f>
        <v/>
      </c>
      <c r="BK106" s="1" t="str">
        <f>IF($AF106=0,"",CHOOSE($AF106,INDEX(nINT_Limitations,$AH106)&amp;"",INDEX(nQ1_Mandatory_Text,$AH106)&amp;"",INDEX(nQ2_Mandatory_Text,$AH106)&amp;"",INDEX(nQ3_Mandatory_Text,$AH106)&amp;"",INDEX(nQ4_Mandatory_Text,$AH106)&amp;"",INDEX(nQ5_Mandatory_Text,$AH106)&amp;"",INDEX(nQ6_Mandatory_Text,$AH106)&amp;"",INDEX(nQ7_Mandatory_Text,$AH106)&amp;"",INDEX(nQ8_Mandatory_Text,$AH106)&amp;"",INDEX(nQ9_Mandatory_Text,$AH106)&amp;"",INDEX(nQ10_Mandatory_Text,$AH106)&amp;"",INDEX(nQ11_Mandatory_Text,$AH106)&amp;""))</f>
        <v/>
      </c>
      <c r="BL106" s="1" t="str">
        <f t="shared" si="68"/>
        <v/>
      </c>
      <c r="BM106" s="1" t="str">
        <f t="shared" si="69"/>
        <v/>
      </c>
    </row>
    <row r="107" spans="1:65" x14ac:dyDescent="0.2">
      <c r="A107" s="21" t="str">
        <f t="shared" si="35"/>
        <v/>
      </c>
      <c r="B107" s="21" t="str">
        <f t="shared" si="36"/>
        <v/>
      </c>
      <c r="C107" s="21" t="str">
        <f t="shared" si="37"/>
        <v/>
      </c>
      <c r="D107" s="21" t="str">
        <f t="shared" si="38"/>
        <v/>
      </c>
      <c r="E107" s="21" t="str">
        <f t="shared" si="39"/>
        <v/>
      </c>
      <c r="F107" s="21" t="str">
        <f t="shared" si="40"/>
        <v/>
      </c>
      <c r="G107" s="21" t="str">
        <f t="shared" si="41"/>
        <v/>
      </c>
      <c r="H107" s="21" t="str">
        <f t="shared" si="42"/>
        <v/>
      </c>
      <c r="I107" s="21" t="str">
        <f t="shared" si="43"/>
        <v/>
      </c>
      <c r="J107" s="21" t="str">
        <f t="shared" si="44"/>
        <v/>
      </c>
      <c r="K107" s="21" t="str">
        <f t="shared" si="45"/>
        <v/>
      </c>
      <c r="L107" s="21" t="str">
        <f t="shared" si="46"/>
        <v/>
      </c>
      <c r="M107" s="21" t="str">
        <f t="shared" si="47"/>
        <v/>
      </c>
      <c r="N107" s="21" t="str">
        <f t="shared" si="48"/>
        <v/>
      </c>
      <c r="O107" s="21" t="str">
        <f t="shared" si="49"/>
        <v/>
      </c>
      <c r="P107" s="21" t="str">
        <f t="shared" si="50"/>
        <v/>
      </c>
      <c r="Q107" s="21" t="str">
        <f t="shared" si="51"/>
        <v/>
      </c>
      <c r="R107" s="21" t="str">
        <f t="shared" si="52"/>
        <v/>
      </c>
      <c r="S107" s="21" t="str">
        <f t="shared" si="53"/>
        <v/>
      </c>
      <c r="T107" s="21" t="str">
        <f t="shared" si="54"/>
        <v/>
      </c>
      <c r="U107" s="21" t="str">
        <f t="shared" si="55"/>
        <v/>
      </c>
      <c r="V107" s="21" t="str">
        <f t="shared" si="56"/>
        <v/>
      </c>
      <c r="W107" s="21" t="str">
        <f t="shared" si="57"/>
        <v/>
      </c>
      <c r="X107" s="21" t="str">
        <f t="shared" si="58"/>
        <v/>
      </c>
      <c r="Y107" s="21" t="str">
        <f t="shared" si="59"/>
        <v/>
      </c>
      <c r="Z107" s="21" t="str">
        <f t="shared" si="60"/>
        <v/>
      </c>
      <c r="AA107" s="21" t="str">
        <f t="shared" si="61"/>
        <v/>
      </c>
      <c r="AB107" s="21" t="str">
        <f t="shared" si="62"/>
        <v/>
      </c>
      <c r="AC107" s="21" t="str">
        <f t="shared" si="63"/>
        <v/>
      </c>
      <c r="AD107" s="21" t="str">
        <f t="shared" si="64"/>
        <v/>
      </c>
      <c r="AE107" s="1">
        <f t="shared" si="65"/>
        <v>100</v>
      </c>
      <c r="AF107" s="1">
        <f t="shared" si="66"/>
        <v>0</v>
      </c>
      <c r="AG107" s="1">
        <f t="shared" si="67"/>
        <v>0</v>
      </c>
      <c r="AH107" s="1">
        <f>IF(AF107=0,0,CHOOSE(AF107,IFERROR(_xlfn.AGGREGATE(15,6,(ROW(nINT_CaseKey)-ROW(INDEX(nINT_CaseKey,1,1))+1)/((nINT_CaseKey=$H$4)*(nINT_RowEmpty=0)),AG107),0),IFERROR(_xlfn.AGGREGATE(15,6,(ROW(nQ1_CaseKey)-ROW(INDEX(nQ1_CaseKey,1,1))+1)/((nQ1_CaseKey=$H$4)),AG107),0),IFERROR(_xlfn.AGGREGATE(15,6,(ROW(nQ2_CaseKey)-ROW(INDEX(nQ2_CaseKey,1,1))+1)/((nQ2_CaseKey=$H$4)),AG107),0),IFERROR(_xlfn.AGGREGATE(15,6,(ROW(nQ3_CaseKey)-ROW(INDEX(nQ3_CaseKey,1,1))+1)/((nQ3_CaseKey=$H$4)),AG107),0),IFERROR(_xlfn.AGGREGATE(15,6,(ROW(nQ4_CaseKey)-ROW(INDEX(nQ4_CaseKey,1,1))+1)/((nQ4_CaseKey=$H$4)),AG107),0),IFERROR(_xlfn.AGGREGATE(15,6,(ROW(nQ5_CaseKey)-ROW(INDEX(nQ5_CaseKey,1,1))+1)/((nQ5_CaseKey=$H$4)),AG107),0),IFERROR(_xlfn.AGGREGATE(15,6,(ROW(nQ6_CaseKey)-ROW(INDEX(nQ6_CaseKey,1,1))+1)/((nQ6_CaseKey=$H$4)),AG107),0),IFERROR(_xlfn.AGGREGATE(15,6,(ROW(nQ7_CaseKey)-ROW(INDEX(nQ7_CaseKey,1,1))+1)/((nQ7_CaseKey=$H$4)),AG107),0),IFERROR(_xlfn.AGGREGATE(15,6,(ROW(nQ8_CaseKey)-ROW(INDEX(nQ8_CaseKey,1,1))+1)/((nQ8_CaseKey=$H$4)),AG107),0),IFERROR(_xlfn.AGGREGATE(15,6,(ROW(nQ9_CaseKey)-ROW(INDEX(nQ9_CaseKey,1,1))+1)/((nQ9_CaseKey=$H$4)),AG107),0),IFERROR(_xlfn.AGGREGATE(15,6,(ROW(nQ10_CaseKey)-ROW(INDEX(nQ10_CaseKey,1,1))+1)/((nQ10_CaseKey=$H$4)),AG107),0),IFERROR(_xlfn.AGGREGATE(15,6,(ROW(nQ11_CaseKey)-ROW(INDEX(nQ11_CaseKey,1,1))+1)/((nQ11_CaseKey=$H$4)),AG107),0)))</f>
        <v>0</v>
      </c>
      <c r="AJ107" s="1" t="str">
        <f>IF($AF107=0,"",CHOOSE($AF107,INDEX(nINT_Case_ID,$AH107)&amp;"",INDEX(nQ1_Case_ID,$AH107)&amp;"",INDEX(nQ2_Case_ID,$AH107)&amp;"",INDEX(nQ3_Case_ID,$AH107)&amp;"",INDEX(nQ4_Case_ID,$AH107)&amp;"",INDEX(nQ5_Case_ID,$AH107)&amp;"",INDEX(nQ6_Case_ID,$AH107)&amp;"",INDEX(nQ7_Case_ID,$AH107)&amp;"",INDEX(nQ8_Case_ID,$AH107)&amp;"",INDEX(nQ9_Case_ID,$AH107)&amp;"",INDEX(nQ10_Case_ID,$AH107)&amp;"",INDEX(nQ11_Case_ID,$AH107)&amp;""))</f>
        <v/>
      </c>
      <c r="AK107" s="1" t="str">
        <f>IF($AF107=0,"",CHOOSE($AF107,INDEX(nINT_Case_Version,$AH107),INDEX(nQ1_Case_Version,$AH107),INDEX(nQ2_Case_Version,$AH107),INDEX(nQ3_Case_Version,$AH107),INDEX(nQ4_Case_Version,$AH107),INDEX(nQ5_Case_Version,$AH107),INDEX(nQ6_Case_Version,$AH107),INDEX(nQ7_Case_Version,$AH107),INDEX(nQ8_Case_Version,$AH107),INDEX(nQ9_Case_Version,$AH107),INDEX(nQ10_Case_Version,$AH107),INDEX(nQ11_Case_Version,$AH107)))</f>
        <v/>
      </c>
      <c r="AL107" s="1" t="str">
        <f>IF($AF107=0,"",CHOOSE($AF107,INDEX(nINT_Interval_ID,$AH107)&amp;"",INDEX(nQ1_Calc_ID,$AH107)&amp;"",INDEX(nQ2_Calc_ID,$AH107)&amp;"",INDEX(nQ3_Calc_ID,$AH107)&amp;"",INDEX(nQ4_Calc_ID,$AH107)&amp;"",INDEX(nQ5_Calc_ID,$AH107)&amp;"",INDEX(nQ6_Calc_ID,$AH107)&amp;"",INDEX(nQ7_Calc_ID,$AH107)&amp;"",INDEX(nQ8_Calc_ID,$AH107)&amp;"",INDEX(nQ9_Calc_ID,$AH107)&amp;"",INDEX(nQ10_Calc_ID,$AH107)&amp;"",INDEX(nQ11_Calc_ID,$AH107)&amp;""))</f>
        <v/>
      </c>
      <c r="AM107" s="1" t="str">
        <f>IF($AF107=0,"",CHOOSE($AF107,INDEX(nINT_Label,$AH107)&amp;"",INDEX(nQ1_Label_Out,$AH107)&amp;"",INDEX(nQ2_Label_Out,$AH107)&amp;"",INDEX(nQ3_Label_Out,$AH107)&amp;"",INDEX(nQ4_Label_Out,$AH107)&amp;"",INDEX(nQ5_Label_Out,$AH107)&amp;"",INDEX(nQ6_Label_Out,$AH107)&amp;"",INDEX(nQ7_Label_Out,$AH107)&amp;"",INDEX(nQ8_Label_Out,$AH107)&amp;"",INDEX(nQ9_Label_Out,$AH107)&amp;"",INDEX(nQ10_Label_Out,$AH107)&amp;"",INDEX(nQ11_Label_Out,$AH107)&amp;""))</f>
        <v/>
      </c>
      <c r="AN107" s="1" t="str">
        <f>IF($AF107=0,"",CHOOSE($AF107,IF(INDEX(nINT_LinkRow,$AH107)=0,"",INDEX(nINT_Link_ID,$AH107)&amp;""),"","","","","","","","","","",""))</f>
        <v/>
      </c>
      <c r="AO107" s="1" t="str">
        <f>IF($AF107=0,"",CHOOSE($AF107,INDEX(nINT_Exposure_Episode_ID,$AH107)&amp;"","","","","","","","","","","",""))</f>
        <v/>
      </c>
      <c r="AP107" s="1" t="str">
        <f>IF($AF107=0,"",CHOOSE($AF107,INDEX(nINT_Event_Episode_ID,$AH107)&amp;"","","","","","","","","","","",""))</f>
        <v/>
      </c>
      <c r="AQ107" s="1" t="str">
        <f>IF($AF107=0,"",CHOOSE($AF107,INDEX(nINT_End_Record_ID_Used,$AH107)&amp;"","","","","","","","","","","",""))</f>
        <v/>
      </c>
      <c r="AR107" s="1" t="str">
        <f>IF($AF107=0,"",CHOOSE($AF107,INDEX(nINT_Interval_Value,$AH107),"","","","","","","","","","",""))</f>
        <v/>
      </c>
      <c r="AS107" s="1" t="str">
        <f>IF($AF107=0,"",CHOOSE($AF107,INDEX(nINT_Interval_Minimum,$AH107),"","","","","","","","","","",""))</f>
        <v/>
      </c>
      <c r="AT107" s="1" t="str">
        <f>IF($AF107=0,"",CHOOSE($AF107,INDEX(nINT_Interval_Maximum,$AH107),"","","","","","","","","","",""))</f>
        <v/>
      </c>
      <c r="AU107" s="1" t="str">
        <f>IF($AF107=0,"",CHOOSE($AF107,INDEX(nINT_Unit,$AH107)&amp;"",INDEX(nQ1_Unit_Out,$AH107)&amp;"",INDEX(nQ2_Unit_Out,$AH107)&amp;"",INDEX(nQ3_Unit_Out,$AH107)&amp;"",INDEX(nQ4_Unit_Out,$AH107)&amp;"",INDEX(nQ5_Unit_Out,$AH107)&amp;"",INDEX(nQ6_Unit_Out,$AH107)&amp;"",INDEX(nQ7_Unit_Out,$AH107)&amp;"",INDEX(nQ8_Unit_Out,$AH107)&amp;"",INDEX(nQ9_Unit_Out,$AH107)&amp;"",INDEX(nQ10_Unit_Out,$AH107)&amp;"",INDEX(nQ11_Unit_Out,$AH107)&amp;""))</f>
        <v/>
      </c>
      <c r="AV107" s="1" t="str">
        <f>IF($AF107=0,"",CHOOSE($AF107,INDEX(nINT_Displayed_Value,$AH107)&amp;"",INDEX(nQ1_Displayed_Value,$AH107)&amp;"",INDEX(nQ2_Displayed_Value,$AH107)&amp;"",INDEX(nQ3_Displayed_Value,$AH107)&amp;"",INDEX(nQ4_Displayed_Value,$AH107)&amp;"",INDEX(nQ5_Displayed_Value,$AH107)&amp;"",INDEX(nQ6_Displayed_Value,$AH107)&amp;"",INDEX(nQ7_Displayed_Value,$AH107)&amp;"",INDEX(nQ8_Displayed_Value,$AH107)&amp;"",INDEX(nQ9_Displayed_Value,$AH107)&amp;"",INDEX(nQ10_Displayed_Value,$AH107)&amp;"",INDEX(nQ11_Displayed_Value,$AH107)&amp;""))</f>
        <v/>
      </c>
      <c r="AW107" s="1" t="str">
        <f>IF($AF107=0,"",CHOOSE($AF107,INDEX(nINT_Calculation_Mode_Used,$AH107)&amp;"","Q1","Q2","Q3","Q4","Q5","Q6","Q7","Q8","Q9","Q10","Q11"))</f>
        <v/>
      </c>
      <c r="AX107" s="1" t="str">
        <f>IF($AF107=0,"",CHOOSE($AF107,INDEX(nINT_Anchor_Type,$AH107)&amp;"","","","","","","","","","","",""))</f>
        <v/>
      </c>
      <c r="AY107" s="1" t="str">
        <f>IF($AF107=0,"",CHOOSE($AF107,IF(INDEX(nINT_K_Ok,$AH107)=1,INDEX(nINT_Anchor_Record_ID_Used,$AH107)&amp;"",""),"","","","","","","","","","",""))</f>
        <v/>
      </c>
      <c r="AZ107" s="1" t="str">
        <f>IF($AF107=0,"",CHOOSE($AF107,INDEX(nINT_Anchor_Description,$AH107)&amp;"","","","","","","","","","","",""))</f>
        <v/>
      </c>
      <c r="BA107" s="1" t="str">
        <f>IF($AF107=0,"",CHOOSE($AF107,INDEX(nINT_Sequence_Status,$AH107)&amp;"","","","","","","","","","","",""))</f>
        <v/>
      </c>
      <c r="BB107" s="1" t="str">
        <f>IF($AF107=0,"",CHOOSE($AF107,INDEX(nINT_Treatment_Day,$AH107),"","","","","","","","","","",""))</f>
        <v/>
      </c>
      <c r="BC107" s="1" t="str">
        <f>IF($AF107=0,"",CHOOSE($AF107,INDEX(nINT_Reported_Timing_Result,$AH107)&amp;"","","","","","","","","","","",""))</f>
        <v/>
      </c>
      <c r="BD107" s="1" t="str">
        <f>IF($AF107=0,"",CHOOSE($AF107,IF(INDEX(nINT_K_HasC,$AH107)=1,INDEX(nINT_Constraint_Source,$AH107)&amp;"",""),"","","","","","","","","","",""))</f>
        <v/>
      </c>
      <c r="BE107" s="1" t="str">
        <f>IF($AF107=0,"",CHOOSE($AF107,"",INDEX(nQ1_Results_Text,$AH107)&amp;"",INDEX(nQ2_Results_Text,$AH107)&amp;"",INDEX(nQ3_Results_Text,$AH107)&amp;"",INDEX(nQ4_Results_Text,$AH107)&amp;"",INDEX(nQ5_Results_Text,$AH107)&amp;"",INDEX(nQ6_Results_Text,$AH107)&amp;"",INDEX(nQ7_Results_Text,$AH107)&amp;"",INDEX(nQ8_Results_Text,$AH107)&amp;"",INDEX(nQ9_Results_Text,$AH107)&amp;"",INDEX(nQ10_Results_Text,$AH107)&amp;"",INDEX(nQ11_Results_Text,$AH107)&amp;""))</f>
        <v/>
      </c>
      <c r="BF107" s="1" t="str">
        <f>IF($AF107=0,"",CHOOSE($AF107,INDEX(nINT_Parameter_Set,$AH107)&amp;"",INDEX(nQ1_Parameter_Set,$AH107)&amp;"",INDEX(nQ2_Parameter_Set,$AH107)&amp;"",INDEX(nQ3_Parameter_Set,$AH107)&amp;"",INDEX(nQ4_Parameter_Set,$AH107)&amp;"",INDEX(nQ5_Parameter_Set,$AH107)&amp;"",INDEX(nQ6_Parameter_Set,$AH107)&amp;"",INDEX(nQ7_Parameter_Set,$AH107)&amp;"",INDEX(nQ8_Parameter_Set,$AH107)&amp;"",INDEX(nQ9_Parameter_Set,$AH107)&amp;"",INDEX(nQ10_Parameter_Set,$AH107)&amp;"",INDEX(nQ11_Parameter_Set,$AH107)&amp;""))</f>
        <v/>
      </c>
      <c r="BG107" s="1" t="str">
        <f>IF($AF107=0,"",CHOOSE($AF107,INDEX(nINT_Assumptions,$AH107)&amp;"",INDEX(nQ1_Assumptions,$AH107)&amp;"",INDEX(nQ2_Assumptions,$AH107)&amp;"",INDEX(nQ3_Assumptions,$AH107)&amp;"",INDEX(nQ4_Assumptions,$AH107)&amp;"",INDEX(nQ5_Assumptions,$AH107)&amp;"",INDEX(nQ6_Assumptions,$AH107)&amp;"",INDEX(nQ7_Assumptions,$AH107)&amp;"",INDEX(nQ8_Assumptions,$AH107)&amp;"",INDEX(nQ9_Assumptions,$AH107)&amp;"",INDEX(nQ10_Assumptions,$AH107)&amp;"",INDEX(nQ11_Assumptions,$AH107)&amp;""))</f>
        <v/>
      </c>
      <c r="BH107" s="1" t="str">
        <f>IF($AF107=0,"",CHOOSE($AF107,INDEX(nINT_Calculation_Version,$AH107)&amp;"",INDEX(nQ1_Calculation_Version,$AH107)&amp;"",INDEX(nQ2_Calculation_Version,$AH107)&amp;"",INDEX(nQ3_Calculation_Version,$AH107)&amp;"",INDEX(nQ4_Calculation_Version,$AH107)&amp;"",INDEX(nQ5_Calculation_Version,$AH107)&amp;"",INDEX(nQ6_Calculation_Version,$AH107)&amp;"",INDEX(nQ7_Calculation_Version,$AH107)&amp;"",INDEX(nQ8_Calculation_Version,$AH107)&amp;"",INDEX(nQ9_Calculation_Version,$AH107)&amp;"",INDEX(nQ10_Calculation_Version,$AH107)&amp;"",INDEX(nQ11_Calculation_Version,$AH107)&amp;""))</f>
        <v/>
      </c>
      <c r="BI107" s="1" t="str">
        <f>IF($AF107=0,"",CHOOSE($AF107,INDEX(nINT_QC_Flags,$AH107)&amp;"",INDEX(nQ1_QC_Flags,$AH107)&amp;"",INDEX(nQ2_QC_Flags,$AH107)&amp;"",INDEX(nQ3_QC_Flags,$AH107)&amp;"",INDEX(nQ4_QC_Flags,$AH107)&amp;"",INDEX(nQ5_QC_Flags,$AH107)&amp;"",INDEX(nQ6_QC_Flags,$AH107)&amp;"",INDEX(nQ7_QC_Flags,$AH107)&amp;"",INDEX(nQ8_QC_Flags,$AH107)&amp;"",INDEX(nQ9_QC_Flags,$AH107)&amp;"",INDEX(nQ10_QC_Flags,$AH107)&amp;"",INDEX(nQ11_QC_Flags,$AH107)&amp;""))</f>
        <v/>
      </c>
      <c r="BJ107" s="1" t="str">
        <f>IF($AF107=0,"",CHOOSE($AF107,INDEX(nINT_Messages,$AH107)&amp;"",INDEX(nQ1_Messages,$AH107)&amp;"",INDEX(nQ2_Messages,$AH107)&amp;"",INDEX(nQ3_Messages,$AH107)&amp;"",INDEX(nQ4_Messages,$AH107)&amp;"",INDEX(nQ5_Messages,$AH107)&amp;"",INDEX(nQ6_Messages,$AH107)&amp;"",INDEX(nQ7_Messages,$AH107)&amp;"",INDEX(nQ8_Messages,$AH107)&amp;"",INDEX(nQ9_Messages,$AH107)&amp;"",INDEX(nQ10_Messages,$AH107)&amp;"",INDEX(nQ11_Messages,$AH107)&amp;""))</f>
        <v/>
      </c>
      <c r="BK107" s="1" t="str">
        <f>IF($AF107=0,"",CHOOSE($AF107,INDEX(nINT_Limitations,$AH107)&amp;"",INDEX(nQ1_Mandatory_Text,$AH107)&amp;"",INDEX(nQ2_Mandatory_Text,$AH107)&amp;"",INDEX(nQ3_Mandatory_Text,$AH107)&amp;"",INDEX(nQ4_Mandatory_Text,$AH107)&amp;"",INDEX(nQ5_Mandatory_Text,$AH107)&amp;"",INDEX(nQ6_Mandatory_Text,$AH107)&amp;"",INDEX(nQ7_Mandatory_Text,$AH107)&amp;"",INDEX(nQ8_Mandatory_Text,$AH107)&amp;"",INDEX(nQ9_Mandatory_Text,$AH107)&amp;"",INDEX(nQ10_Mandatory_Text,$AH107)&amp;"",INDEX(nQ11_Mandatory_Text,$AH107)&amp;""))</f>
        <v/>
      </c>
      <c r="BL107" s="1" t="str">
        <f t="shared" si="68"/>
        <v/>
      </c>
      <c r="BM107" s="1" t="str">
        <f t="shared" si="69"/>
        <v/>
      </c>
    </row>
    <row r="108" spans="1:65" x14ac:dyDescent="0.2">
      <c r="A108" s="21" t="str">
        <f t="shared" si="35"/>
        <v/>
      </c>
      <c r="B108" s="21" t="str">
        <f t="shared" si="36"/>
        <v/>
      </c>
      <c r="C108" s="21" t="str">
        <f t="shared" si="37"/>
        <v/>
      </c>
      <c r="D108" s="21" t="str">
        <f t="shared" si="38"/>
        <v/>
      </c>
      <c r="E108" s="21" t="str">
        <f t="shared" si="39"/>
        <v/>
      </c>
      <c r="F108" s="21" t="str">
        <f t="shared" si="40"/>
        <v/>
      </c>
      <c r="G108" s="21" t="str">
        <f t="shared" si="41"/>
        <v/>
      </c>
      <c r="H108" s="21" t="str">
        <f t="shared" si="42"/>
        <v/>
      </c>
      <c r="I108" s="21" t="str">
        <f t="shared" si="43"/>
        <v/>
      </c>
      <c r="J108" s="21" t="str">
        <f t="shared" si="44"/>
        <v/>
      </c>
      <c r="K108" s="21" t="str">
        <f t="shared" si="45"/>
        <v/>
      </c>
      <c r="L108" s="21" t="str">
        <f t="shared" si="46"/>
        <v/>
      </c>
      <c r="M108" s="21" t="str">
        <f t="shared" si="47"/>
        <v/>
      </c>
      <c r="N108" s="21" t="str">
        <f t="shared" si="48"/>
        <v/>
      </c>
      <c r="O108" s="21" t="str">
        <f t="shared" si="49"/>
        <v/>
      </c>
      <c r="P108" s="21" t="str">
        <f t="shared" si="50"/>
        <v/>
      </c>
      <c r="Q108" s="21" t="str">
        <f t="shared" si="51"/>
        <v/>
      </c>
      <c r="R108" s="21" t="str">
        <f t="shared" si="52"/>
        <v/>
      </c>
      <c r="S108" s="21" t="str">
        <f t="shared" si="53"/>
        <v/>
      </c>
      <c r="T108" s="21" t="str">
        <f t="shared" si="54"/>
        <v/>
      </c>
      <c r="U108" s="21" t="str">
        <f t="shared" si="55"/>
        <v/>
      </c>
      <c r="V108" s="21" t="str">
        <f t="shared" si="56"/>
        <v/>
      </c>
      <c r="W108" s="21" t="str">
        <f t="shared" si="57"/>
        <v/>
      </c>
      <c r="X108" s="21" t="str">
        <f t="shared" si="58"/>
        <v/>
      </c>
      <c r="Y108" s="21" t="str">
        <f t="shared" si="59"/>
        <v/>
      </c>
      <c r="Z108" s="21" t="str">
        <f t="shared" si="60"/>
        <v/>
      </c>
      <c r="AA108" s="21" t="str">
        <f t="shared" si="61"/>
        <v/>
      </c>
      <c r="AB108" s="21" t="str">
        <f t="shared" si="62"/>
        <v/>
      </c>
      <c r="AC108" s="21" t="str">
        <f t="shared" si="63"/>
        <v/>
      </c>
      <c r="AD108" s="21" t="str">
        <f t="shared" si="64"/>
        <v/>
      </c>
      <c r="AE108" s="1">
        <f t="shared" si="65"/>
        <v>101</v>
      </c>
      <c r="AF108" s="1">
        <f t="shared" si="66"/>
        <v>0</v>
      </c>
      <c r="AG108" s="1">
        <f t="shared" si="67"/>
        <v>0</v>
      </c>
      <c r="AH108" s="1">
        <f>IF(AF108=0,0,CHOOSE(AF108,IFERROR(_xlfn.AGGREGATE(15,6,(ROW(nINT_CaseKey)-ROW(INDEX(nINT_CaseKey,1,1))+1)/((nINT_CaseKey=$H$4)*(nINT_RowEmpty=0)),AG108),0),IFERROR(_xlfn.AGGREGATE(15,6,(ROW(nQ1_CaseKey)-ROW(INDEX(nQ1_CaseKey,1,1))+1)/((nQ1_CaseKey=$H$4)),AG108),0),IFERROR(_xlfn.AGGREGATE(15,6,(ROW(nQ2_CaseKey)-ROW(INDEX(nQ2_CaseKey,1,1))+1)/((nQ2_CaseKey=$H$4)),AG108),0),IFERROR(_xlfn.AGGREGATE(15,6,(ROW(nQ3_CaseKey)-ROW(INDEX(nQ3_CaseKey,1,1))+1)/((nQ3_CaseKey=$H$4)),AG108),0),IFERROR(_xlfn.AGGREGATE(15,6,(ROW(nQ4_CaseKey)-ROW(INDEX(nQ4_CaseKey,1,1))+1)/((nQ4_CaseKey=$H$4)),AG108),0),IFERROR(_xlfn.AGGREGATE(15,6,(ROW(nQ5_CaseKey)-ROW(INDEX(nQ5_CaseKey,1,1))+1)/((nQ5_CaseKey=$H$4)),AG108),0),IFERROR(_xlfn.AGGREGATE(15,6,(ROW(nQ6_CaseKey)-ROW(INDEX(nQ6_CaseKey,1,1))+1)/((nQ6_CaseKey=$H$4)),AG108),0),IFERROR(_xlfn.AGGREGATE(15,6,(ROW(nQ7_CaseKey)-ROW(INDEX(nQ7_CaseKey,1,1))+1)/((nQ7_CaseKey=$H$4)),AG108),0),IFERROR(_xlfn.AGGREGATE(15,6,(ROW(nQ8_CaseKey)-ROW(INDEX(nQ8_CaseKey,1,1))+1)/((nQ8_CaseKey=$H$4)),AG108),0),IFERROR(_xlfn.AGGREGATE(15,6,(ROW(nQ9_CaseKey)-ROW(INDEX(nQ9_CaseKey,1,1))+1)/((nQ9_CaseKey=$H$4)),AG108),0),IFERROR(_xlfn.AGGREGATE(15,6,(ROW(nQ10_CaseKey)-ROW(INDEX(nQ10_CaseKey,1,1))+1)/((nQ10_CaseKey=$H$4)),AG108),0),IFERROR(_xlfn.AGGREGATE(15,6,(ROW(nQ11_CaseKey)-ROW(INDEX(nQ11_CaseKey,1,1))+1)/((nQ11_CaseKey=$H$4)),AG108),0)))</f>
        <v>0</v>
      </c>
      <c r="AJ108" s="1" t="str">
        <f>IF($AF108=0,"",CHOOSE($AF108,INDEX(nINT_Case_ID,$AH108)&amp;"",INDEX(nQ1_Case_ID,$AH108)&amp;"",INDEX(nQ2_Case_ID,$AH108)&amp;"",INDEX(nQ3_Case_ID,$AH108)&amp;"",INDEX(nQ4_Case_ID,$AH108)&amp;"",INDEX(nQ5_Case_ID,$AH108)&amp;"",INDEX(nQ6_Case_ID,$AH108)&amp;"",INDEX(nQ7_Case_ID,$AH108)&amp;"",INDEX(nQ8_Case_ID,$AH108)&amp;"",INDEX(nQ9_Case_ID,$AH108)&amp;"",INDEX(nQ10_Case_ID,$AH108)&amp;"",INDEX(nQ11_Case_ID,$AH108)&amp;""))</f>
        <v/>
      </c>
      <c r="AK108" s="1" t="str">
        <f>IF($AF108=0,"",CHOOSE($AF108,INDEX(nINT_Case_Version,$AH108),INDEX(nQ1_Case_Version,$AH108),INDEX(nQ2_Case_Version,$AH108),INDEX(nQ3_Case_Version,$AH108),INDEX(nQ4_Case_Version,$AH108),INDEX(nQ5_Case_Version,$AH108),INDEX(nQ6_Case_Version,$AH108),INDEX(nQ7_Case_Version,$AH108),INDEX(nQ8_Case_Version,$AH108),INDEX(nQ9_Case_Version,$AH108),INDEX(nQ10_Case_Version,$AH108),INDEX(nQ11_Case_Version,$AH108)))</f>
        <v/>
      </c>
      <c r="AL108" s="1" t="str">
        <f>IF($AF108=0,"",CHOOSE($AF108,INDEX(nINT_Interval_ID,$AH108)&amp;"",INDEX(nQ1_Calc_ID,$AH108)&amp;"",INDEX(nQ2_Calc_ID,$AH108)&amp;"",INDEX(nQ3_Calc_ID,$AH108)&amp;"",INDEX(nQ4_Calc_ID,$AH108)&amp;"",INDEX(nQ5_Calc_ID,$AH108)&amp;"",INDEX(nQ6_Calc_ID,$AH108)&amp;"",INDEX(nQ7_Calc_ID,$AH108)&amp;"",INDEX(nQ8_Calc_ID,$AH108)&amp;"",INDEX(nQ9_Calc_ID,$AH108)&amp;"",INDEX(nQ10_Calc_ID,$AH108)&amp;"",INDEX(nQ11_Calc_ID,$AH108)&amp;""))</f>
        <v/>
      </c>
      <c r="AM108" s="1" t="str">
        <f>IF($AF108=0,"",CHOOSE($AF108,INDEX(nINT_Label,$AH108)&amp;"",INDEX(nQ1_Label_Out,$AH108)&amp;"",INDEX(nQ2_Label_Out,$AH108)&amp;"",INDEX(nQ3_Label_Out,$AH108)&amp;"",INDEX(nQ4_Label_Out,$AH108)&amp;"",INDEX(nQ5_Label_Out,$AH108)&amp;"",INDEX(nQ6_Label_Out,$AH108)&amp;"",INDEX(nQ7_Label_Out,$AH108)&amp;"",INDEX(nQ8_Label_Out,$AH108)&amp;"",INDEX(nQ9_Label_Out,$AH108)&amp;"",INDEX(nQ10_Label_Out,$AH108)&amp;"",INDEX(nQ11_Label_Out,$AH108)&amp;""))</f>
        <v/>
      </c>
      <c r="AN108" s="1" t="str">
        <f>IF($AF108=0,"",CHOOSE($AF108,IF(INDEX(nINT_LinkRow,$AH108)=0,"",INDEX(nINT_Link_ID,$AH108)&amp;""),"","","","","","","","","","",""))</f>
        <v/>
      </c>
      <c r="AO108" s="1" t="str">
        <f>IF($AF108=0,"",CHOOSE($AF108,INDEX(nINT_Exposure_Episode_ID,$AH108)&amp;"","","","","","","","","","","",""))</f>
        <v/>
      </c>
      <c r="AP108" s="1" t="str">
        <f>IF($AF108=0,"",CHOOSE($AF108,INDEX(nINT_Event_Episode_ID,$AH108)&amp;"","","","","","","","","","","",""))</f>
        <v/>
      </c>
      <c r="AQ108" s="1" t="str">
        <f>IF($AF108=0,"",CHOOSE($AF108,INDEX(nINT_End_Record_ID_Used,$AH108)&amp;"","","","","","","","","","","",""))</f>
        <v/>
      </c>
      <c r="AR108" s="1" t="str">
        <f>IF($AF108=0,"",CHOOSE($AF108,INDEX(nINT_Interval_Value,$AH108),"","","","","","","","","","",""))</f>
        <v/>
      </c>
      <c r="AS108" s="1" t="str">
        <f>IF($AF108=0,"",CHOOSE($AF108,INDEX(nINT_Interval_Minimum,$AH108),"","","","","","","","","","",""))</f>
        <v/>
      </c>
      <c r="AT108" s="1" t="str">
        <f>IF($AF108=0,"",CHOOSE($AF108,INDEX(nINT_Interval_Maximum,$AH108),"","","","","","","","","","",""))</f>
        <v/>
      </c>
      <c r="AU108" s="1" t="str">
        <f>IF($AF108=0,"",CHOOSE($AF108,INDEX(nINT_Unit,$AH108)&amp;"",INDEX(nQ1_Unit_Out,$AH108)&amp;"",INDEX(nQ2_Unit_Out,$AH108)&amp;"",INDEX(nQ3_Unit_Out,$AH108)&amp;"",INDEX(nQ4_Unit_Out,$AH108)&amp;"",INDEX(nQ5_Unit_Out,$AH108)&amp;"",INDEX(nQ6_Unit_Out,$AH108)&amp;"",INDEX(nQ7_Unit_Out,$AH108)&amp;"",INDEX(nQ8_Unit_Out,$AH108)&amp;"",INDEX(nQ9_Unit_Out,$AH108)&amp;"",INDEX(nQ10_Unit_Out,$AH108)&amp;"",INDEX(nQ11_Unit_Out,$AH108)&amp;""))</f>
        <v/>
      </c>
      <c r="AV108" s="1" t="str">
        <f>IF($AF108=0,"",CHOOSE($AF108,INDEX(nINT_Displayed_Value,$AH108)&amp;"",INDEX(nQ1_Displayed_Value,$AH108)&amp;"",INDEX(nQ2_Displayed_Value,$AH108)&amp;"",INDEX(nQ3_Displayed_Value,$AH108)&amp;"",INDEX(nQ4_Displayed_Value,$AH108)&amp;"",INDEX(nQ5_Displayed_Value,$AH108)&amp;"",INDEX(nQ6_Displayed_Value,$AH108)&amp;"",INDEX(nQ7_Displayed_Value,$AH108)&amp;"",INDEX(nQ8_Displayed_Value,$AH108)&amp;"",INDEX(nQ9_Displayed_Value,$AH108)&amp;"",INDEX(nQ10_Displayed_Value,$AH108)&amp;"",INDEX(nQ11_Displayed_Value,$AH108)&amp;""))</f>
        <v/>
      </c>
      <c r="AW108" s="1" t="str">
        <f>IF($AF108=0,"",CHOOSE($AF108,INDEX(nINT_Calculation_Mode_Used,$AH108)&amp;"","Q1","Q2","Q3","Q4","Q5","Q6","Q7","Q8","Q9","Q10","Q11"))</f>
        <v/>
      </c>
      <c r="AX108" s="1" t="str">
        <f>IF($AF108=0,"",CHOOSE($AF108,INDEX(nINT_Anchor_Type,$AH108)&amp;"","","","","","","","","","","",""))</f>
        <v/>
      </c>
      <c r="AY108" s="1" t="str">
        <f>IF($AF108=0,"",CHOOSE($AF108,IF(INDEX(nINT_K_Ok,$AH108)=1,INDEX(nINT_Anchor_Record_ID_Used,$AH108)&amp;"",""),"","","","","","","","","","",""))</f>
        <v/>
      </c>
      <c r="AZ108" s="1" t="str">
        <f>IF($AF108=0,"",CHOOSE($AF108,INDEX(nINT_Anchor_Description,$AH108)&amp;"","","","","","","","","","","",""))</f>
        <v/>
      </c>
      <c r="BA108" s="1" t="str">
        <f>IF($AF108=0,"",CHOOSE($AF108,INDEX(nINT_Sequence_Status,$AH108)&amp;"","","","","","","","","","","",""))</f>
        <v/>
      </c>
      <c r="BB108" s="1" t="str">
        <f>IF($AF108=0,"",CHOOSE($AF108,INDEX(nINT_Treatment_Day,$AH108),"","","","","","","","","","",""))</f>
        <v/>
      </c>
      <c r="BC108" s="1" t="str">
        <f>IF($AF108=0,"",CHOOSE($AF108,INDEX(nINT_Reported_Timing_Result,$AH108)&amp;"","","","","","","","","","","",""))</f>
        <v/>
      </c>
      <c r="BD108" s="1" t="str">
        <f>IF($AF108=0,"",CHOOSE($AF108,IF(INDEX(nINT_K_HasC,$AH108)=1,INDEX(nINT_Constraint_Source,$AH108)&amp;"",""),"","","","","","","","","","",""))</f>
        <v/>
      </c>
      <c r="BE108" s="1" t="str">
        <f>IF($AF108=0,"",CHOOSE($AF108,"",INDEX(nQ1_Results_Text,$AH108)&amp;"",INDEX(nQ2_Results_Text,$AH108)&amp;"",INDEX(nQ3_Results_Text,$AH108)&amp;"",INDEX(nQ4_Results_Text,$AH108)&amp;"",INDEX(nQ5_Results_Text,$AH108)&amp;"",INDEX(nQ6_Results_Text,$AH108)&amp;"",INDEX(nQ7_Results_Text,$AH108)&amp;"",INDEX(nQ8_Results_Text,$AH108)&amp;"",INDEX(nQ9_Results_Text,$AH108)&amp;"",INDEX(nQ10_Results_Text,$AH108)&amp;"",INDEX(nQ11_Results_Text,$AH108)&amp;""))</f>
        <v/>
      </c>
      <c r="BF108" s="1" t="str">
        <f>IF($AF108=0,"",CHOOSE($AF108,INDEX(nINT_Parameter_Set,$AH108)&amp;"",INDEX(nQ1_Parameter_Set,$AH108)&amp;"",INDEX(nQ2_Parameter_Set,$AH108)&amp;"",INDEX(nQ3_Parameter_Set,$AH108)&amp;"",INDEX(nQ4_Parameter_Set,$AH108)&amp;"",INDEX(nQ5_Parameter_Set,$AH108)&amp;"",INDEX(nQ6_Parameter_Set,$AH108)&amp;"",INDEX(nQ7_Parameter_Set,$AH108)&amp;"",INDEX(nQ8_Parameter_Set,$AH108)&amp;"",INDEX(nQ9_Parameter_Set,$AH108)&amp;"",INDEX(nQ10_Parameter_Set,$AH108)&amp;"",INDEX(nQ11_Parameter_Set,$AH108)&amp;""))</f>
        <v/>
      </c>
      <c r="BG108" s="1" t="str">
        <f>IF($AF108=0,"",CHOOSE($AF108,INDEX(nINT_Assumptions,$AH108)&amp;"",INDEX(nQ1_Assumptions,$AH108)&amp;"",INDEX(nQ2_Assumptions,$AH108)&amp;"",INDEX(nQ3_Assumptions,$AH108)&amp;"",INDEX(nQ4_Assumptions,$AH108)&amp;"",INDEX(nQ5_Assumptions,$AH108)&amp;"",INDEX(nQ6_Assumptions,$AH108)&amp;"",INDEX(nQ7_Assumptions,$AH108)&amp;"",INDEX(nQ8_Assumptions,$AH108)&amp;"",INDEX(nQ9_Assumptions,$AH108)&amp;"",INDEX(nQ10_Assumptions,$AH108)&amp;"",INDEX(nQ11_Assumptions,$AH108)&amp;""))</f>
        <v/>
      </c>
      <c r="BH108" s="1" t="str">
        <f>IF($AF108=0,"",CHOOSE($AF108,INDEX(nINT_Calculation_Version,$AH108)&amp;"",INDEX(nQ1_Calculation_Version,$AH108)&amp;"",INDEX(nQ2_Calculation_Version,$AH108)&amp;"",INDEX(nQ3_Calculation_Version,$AH108)&amp;"",INDEX(nQ4_Calculation_Version,$AH108)&amp;"",INDEX(nQ5_Calculation_Version,$AH108)&amp;"",INDEX(nQ6_Calculation_Version,$AH108)&amp;"",INDEX(nQ7_Calculation_Version,$AH108)&amp;"",INDEX(nQ8_Calculation_Version,$AH108)&amp;"",INDEX(nQ9_Calculation_Version,$AH108)&amp;"",INDEX(nQ10_Calculation_Version,$AH108)&amp;"",INDEX(nQ11_Calculation_Version,$AH108)&amp;""))</f>
        <v/>
      </c>
      <c r="BI108" s="1" t="str">
        <f>IF($AF108=0,"",CHOOSE($AF108,INDEX(nINT_QC_Flags,$AH108)&amp;"",INDEX(nQ1_QC_Flags,$AH108)&amp;"",INDEX(nQ2_QC_Flags,$AH108)&amp;"",INDEX(nQ3_QC_Flags,$AH108)&amp;"",INDEX(nQ4_QC_Flags,$AH108)&amp;"",INDEX(nQ5_QC_Flags,$AH108)&amp;"",INDEX(nQ6_QC_Flags,$AH108)&amp;"",INDEX(nQ7_QC_Flags,$AH108)&amp;"",INDEX(nQ8_QC_Flags,$AH108)&amp;"",INDEX(nQ9_QC_Flags,$AH108)&amp;"",INDEX(nQ10_QC_Flags,$AH108)&amp;"",INDEX(nQ11_QC_Flags,$AH108)&amp;""))</f>
        <v/>
      </c>
      <c r="BJ108" s="1" t="str">
        <f>IF($AF108=0,"",CHOOSE($AF108,INDEX(nINT_Messages,$AH108)&amp;"",INDEX(nQ1_Messages,$AH108)&amp;"",INDEX(nQ2_Messages,$AH108)&amp;"",INDEX(nQ3_Messages,$AH108)&amp;"",INDEX(nQ4_Messages,$AH108)&amp;"",INDEX(nQ5_Messages,$AH108)&amp;"",INDEX(nQ6_Messages,$AH108)&amp;"",INDEX(nQ7_Messages,$AH108)&amp;"",INDEX(nQ8_Messages,$AH108)&amp;"",INDEX(nQ9_Messages,$AH108)&amp;"",INDEX(nQ10_Messages,$AH108)&amp;"",INDEX(nQ11_Messages,$AH108)&amp;""))</f>
        <v/>
      </c>
      <c r="BK108" s="1" t="str">
        <f>IF($AF108=0,"",CHOOSE($AF108,INDEX(nINT_Limitations,$AH108)&amp;"",INDEX(nQ1_Mandatory_Text,$AH108)&amp;"",INDEX(nQ2_Mandatory_Text,$AH108)&amp;"",INDEX(nQ3_Mandatory_Text,$AH108)&amp;"",INDEX(nQ4_Mandatory_Text,$AH108)&amp;"",INDEX(nQ5_Mandatory_Text,$AH108)&amp;"",INDEX(nQ6_Mandatory_Text,$AH108)&amp;"",INDEX(nQ7_Mandatory_Text,$AH108)&amp;"",INDEX(nQ8_Mandatory_Text,$AH108)&amp;"",INDEX(nQ9_Mandatory_Text,$AH108)&amp;"",INDEX(nQ10_Mandatory_Text,$AH108)&amp;"",INDEX(nQ11_Mandatory_Text,$AH108)&amp;""))</f>
        <v/>
      </c>
      <c r="BL108" s="1" t="str">
        <f t="shared" si="68"/>
        <v/>
      </c>
      <c r="BM108" s="1" t="str">
        <f t="shared" si="69"/>
        <v/>
      </c>
    </row>
    <row r="109" spans="1:65" x14ac:dyDescent="0.2">
      <c r="A109" s="21" t="str">
        <f t="shared" si="35"/>
        <v/>
      </c>
      <c r="B109" s="21" t="str">
        <f t="shared" si="36"/>
        <v/>
      </c>
      <c r="C109" s="21" t="str">
        <f t="shared" si="37"/>
        <v/>
      </c>
      <c r="D109" s="21" t="str">
        <f t="shared" si="38"/>
        <v/>
      </c>
      <c r="E109" s="21" t="str">
        <f t="shared" si="39"/>
        <v/>
      </c>
      <c r="F109" s="21" t="str">
        <f t="shared" si="40"/>
        <v/>
      </c>
      <c r="G109" s="21" t="str">
        <f t="shared" si="41"/>
        <v/>
      </c>
      <c r="H109" s="21" t="str">
        <f t="shared" si="42"/>
        <v/>
      </c>
      <c r="I109" s="21" t="str">
        <f t="shared" si="43"/>
        <v/>
      </c>
      <c r="J109" s="21" t="str">
        <f t="shared" si="44"/>
        <v/>
      </c>
      <c r="K109" s="21" t="str">
        <f t="shared" si="45"/>
        <v/>
      </c>
      <c r="L109" s="21" t="str">
        <f t="shared" si="46"/>
        <v/>
      </c>
      <c r="M109" s="21" t="str">
        <f t="shared" si="47"/>
        <v/>
      </c>
      <c r="N109" s="21" t="str">
        <f t="shared" si="48"/>
        <v/>
      </c>
      <c r="O109" s="21" t="str">
        <f t="shared" si="49"/>
        <v/>
      </c>
      <c r="P109" s="21" t="str">
        <f t="shared" si="50"/>
        <v/>
      </c>
      <c r="Q109" s="21" t="str">
        <f t="shared" si="51"/>
        <v/>
      </c>
      <c r="R109" s="21" t="str">
        <f t="shared" si="52"/>
        <v/>
      </c>
      <c r="S109" s="21" t="str">
        <f t="shared" si="53"/>
        <v/>
      </c>
      <c r="T109" s="21" t="str">
        <f t="shared" si="54"/>
        <v/>
      </c>
      <c r="U109" s="21" t="str">
        <f t="shared" si="55"/>
        <v/>
      </c>
      <c r="V109" s="21" t="str">
        <f t="shared" si="56"/>
        <v/>
      </c>
      <c r="W109" s="21" t="str">
        <f t="shared" si="57"/>
        <v/>
      </c>
      <c r="X109" s="21" t="str">
        <f t="shared" si="58"/>
        <v/>
      </c>
      <c r="Y109" s="21" t="str">
        <f t="shared" si="59"/>
        <v/>
      </c>
      <c r="Z109" s="21" t="str">
        <f t="shared" si="60"/>
        <v/>
      </c>
      <c r="AA109" s="21" t="str">
        <f t="shared" si="61"/>
        <v/>
      </c>
      <c r="AB109" s="21" t="str">
        <f t="shared" si="62"/>
        <v/>
      </c>
      <c r="AC109" s="21" t="str">
        <f t="shared" si="63"/>
        <v/>
      </c>
      <c r="AD109" s="21" t="str">
        <f t="shared" si="64"/>
        <v/>
      </c>
      <c r="AE109" s="1">
        <f t="shared" si="65"/>
        <v>102</v>
      </c>
      <c r="AF109" s="1">
        <f t="shared" si="66"/>
        <v>0</v>
      </c>
      <c r="AG109" s="1">
        <f t="shared" si="67"/>
        <v>0</v>
      </c>
      <c r="AH109" s="1">
        <f>IF(AF109=0,0,CHOOSE(AF109,IFERROR(_xlfn.AGGREGATE(15,6,(ROW(nINT_CaseKey)-ROW(INDEX(nINT_CaseKey,1,1))+1)/((nINT_CaseKey=$H$4)*(nINT_RowEmpty=0)),AG109),0),IFERROR(_xlfn.AGGREGATE(15,6,(ROW(nQ1_CaseKey)-ROW(INDEX(nQ1_CaseKey,1,1))+1)/((nQ1_CaseKey=$H$4)),AG109),0),IFERROR(_xlfn.AGGREGATE(15,6,(ROW(nQ2_CaseKey)-ROW(INDEX(nQ2_CaseKey,1,1))+1)/((nQ2_CaseKey=$H$4)),AG109),0),IFERROR(_xlfn.AGGREGATE(15,6,(ROW(nQ3_CaseKey)-ROW(INDEX(nQ3_CaseKey,1,1))+1)/((nQ3_CaseKey=$H$4)),AG109),0),IFERROR(_xlfn.AGGREGATE(15,6,(ROW(nQ4_CaseKey)-ROW(INDEX(nQ4_CaseKey,1,1))+1)/((nQ4_CaseKey=$H$4)),AG109),0),IFERROR(_xlfn.AGGREGATE(15,6,(ROW(nQ5_CaseKey)-ROW(INDEX(nQ5_CaseKey,1,1))+1)/((nQ5_CaseKey=$H$4)),AG109),0),IFERROR(_xlfn.AGGREGATE(15,6,(ROW(nQ6_CaseKey)-ROW(INDEX(nQ6_CaseKey,1,1))+1)/((nQ6_CaseKey=$H$4)),AG109),0),IFERROR(_xlfn.AGGREGATE(15,6,(ROW(nQ7_CaseKey)-ROW(INDEX(nQ7_CaseKey,1,1))+1)/((nQ7_CaseKey=$H$4)),AG109),0),IFERROR(_xlfn.AGGREGATE(15,6,(ROW(nQ8_CaseKey)-ROW(INDEX(nQ8_CaseKey,1,1))+1)/((nQ8_CaseKey=$H$4)),AG109),0),IFERROR(_xlfn.AGGREGATE(15,6,(ROW(nQ9_CaseKey)-ROW(INDEX(nQ9_CaseKey,1,1))+1)/((nQ9_CaseKey=$H$4)),AG109),0),IFERROR(_xlfn.AGGREGATE(15,6,(ROW(nQ10_CaseKey)-ROW(INDEX(nQ10_CaseKey,1,1))+1)/((nQ10_CaseKey=$H$4)),AG109),0),IFERROR(_xlfn.AGGREGATE(15,6,(ROW(nQ11_CaseKey)-ROW(INDEX(nQ11_CaseKey,1,1))+1)/((nQ11_CaseKey=$H$4)),AG109),0)))</f>
        <v>0</v>
      </c>
      <c r="AJ109" s="1" t="str">
        <f>IF($AF109=0,"",CHOOSE($AF109,INDEX(nINT_Case_ID,$AH109)&amp;"",INDEX(nQ1_Case_ID,$AH109)&amp;"",INDEX(nQ2_Case_ID,$AH109)&amp;"",INDEX(nQ3_Case_ID,$AH109)&amp;"",INDEX(nQ4_Case_ID,$AH109)&amp;"",INDEX(nQ5_Case_ID,$AH109)&amp;"",INDEX(nQ6_Case_ID,$AH109)&amp;"",INDEX(nQ7_Case_ID,$AH109)&amp;"",INDEX(nQ8_Case_ID,$AH109)&amp;"",INDEX(nQ9_Case_ID,$AH109)&amp;"",INDEX(nQ10_Case_ID,$AH109)&amp;"",INDEX(nQ11_Case_ID,$AH109)&amp;""))</f>
        <v/>
      </c>
      <c r="AK109" s="1" t="str">
        <f>IF($AF109=0,"",CHOOSE($AF109,INDEX(nINT_Case_Version,$AH109),INDEX(nQ1_Case_Version,$AH109),INDEX(nQ2_Case_Version,$AH109),INDEX(nQ3_Case_Version,$AH109),INDEX(nQ4_Case_Version,$AH109),INDEX(nQ5_Case_Version,$AH109),INDEX(nQ6_Case_Version,$AH109),INDEX(nQ7_Case_Version,$AH109),INDEX(nQ8_Case_Version,$AH109),INDEX(nQ9_Case_Version,$AH109),INDEX(nQ10_Case_Version,$AH109),INDEX(nQ11_Case_Version,$AH109)))</f>
        <v/>
      </c>
      <c r="AL109" s="1" t="str">
        <f>IF($AF109=0,"",CHOOSE($AF109,INDEX(nINT_Interval_ID,$AH109)&amp;"",INDEX(nQ1_Calc_ID,$AH109)&amp;"",INDEX(nQ2_Calc_ID,$AH109)&amp;"",INDEX(nQ3_Calc_ID,$AH109)&amp;"",INDEX(nQ4_Calc_ID,$AH109)&amp;"",INDEX(nQ5_Calc_ID,$AH109)&amp;"",INDEX(nQ6_Calc_ID,$AH109)&amp;"",INDEX(nQ7_Calc_ID,$AH109)&amp;"",INDEX(nQ8_Calc_ID,$AH109)&amp;"",INDEX(nQ9_Calc_ID,$AH109)&amp;"",INDEX(nQ10_Calc_ID,$AH109)&amp;"",INDEX(nQ11_Calc_ID,$AH109)&amp;""))</f>
        <v/>
      </c>
      <c r="AM109" s="1" t="str">
        <f>IF($AF109=0,"",CHOOSE($AF109,INDEX(nINT_Label,$AH109)&amp;"",INDEX(nQ1_Label_Out,$AH109)&amp;"",INDEX(nQ2_Label_Out,$AH109)&amp;"",INDEX(nQ3_Label_Out,$AH109)&amp;"",INDEX(nQ4_Label_Out,$AH109)&amp;"",INDEX(nQ5_Label_Out,$AH109)&amp;"",INDEX(nQ6_Label_Out,$AH109)&amp;"",INDEX(nQ7_Label_Out,$AH109)&amp;"",INDEX(nQ8_Label_Out,$AH109)&amp;"",INDEX(nQ9_Label_Out,$AH109)&amp;"",INDEX(nQ10_Label_Out,$AH109)&amp;"",INDEX(nQ11_Label_Out,$AH109)&amp;""))</f>
        <v/>
      </c>
      <c r="AN109" s="1" t="str">
        <f>IF($AF109=0,"",CHOOSE($AF109,IF(INDEX(nINT_LinkRow,$AH109)=0,"",INDEX(nINT_Link_ID,$AH109)&amp;""),"","","","","","","","","","",""))</f>
        <v/>
      </c>
      <c r="AO109" s="1" t="str">
        <f>IF($AF109=0,"",CHOOSE($AF109,INDEX(nINT_Exposure_Episode_ID,$AH109)&amp;"","","","","","","","","","","",""))</f>
        <v/>
      </c>
      <c r="AP109" s="1" t="str">
        <f>IF($AF109=0,"",CHOOSE($AF109,INDEX(nINT_Event_Episode_ID,$AH109)&amp;"","","","","","","","","","","",""))</f>
        <v/>
      </c>
      <c r="AQ109" s="1" t="str">
        <f>IF($AF109=0,"",CHOOSE($AF109,INDEX(nINT_End_Record_ID_Used,$AH109)&amp;"","","","","","","","","","","",""))</f>
        <v/>
      </c>
      <c r="AR109" s="1" t="str">
        <f>IF($AF109=0,"",CHOOSE($AF109,INDEX(nINT_Interval_Value,$AH109),"","","","","","","","","","",""))</f>
        <v/>
      </c>
      <c r="AS109" s="1" t="str">
        <f>IF($AF109=0,"",CHOOSE($AF109,INDEX(nINT_Interval_Minimum,$AH109),"","","","","","","","","","",""))</f>
        <v/>
      </c>
      <c r="AT109" s="1" t="str">
        <f>IF($AF109=0,"",CHOOSE($AF109,INDEX(nINT_Interval_Maximum,$AH109),"","","","","","","","","","",""))</f>
        <v/>
      </c>
      <c r="AU109" s="1" t="str">
        <f>IF($AF109=0,"",CHOOSE($AF109,INDEX(nINT_Unit,$AH109)&amp;"",INDEX(nQ1_Unit_Out,$AH109)&amp;"",INDEX(nQ2_Unit_Out,$AH109)&amp;"",INDEX(nQ3_Unit_Out,$AH109)&amp;"",INDEX(nQ4_Unit_Out,$AH109)&amp;"",INDEX(nQ5_Unit_Out,$AH109)&amp;"",INDEX(nQ6_Unit_Out,$AH109)&amp;"",INDEX(nQ7_Unit_Out,$AH109)&amp;"",INDEX(nQ8_Unit_Out,$AH109)&amp;"",INDEX(nQ9_Unit_Out,$AH109)&amp;"",INDEX(nQ10_Unit_Out,$AH109)&amp;"",INDEX(nQ11_Unit_Out,$AH109)&amp;""))</f>
        <v/>
      </c>
      <c r="AV109" s="1" t="str">
        <f>IF($AF109=0,"",CHOOSE($AF109,INDEX(nINT_Displayed_Value,$AH109)&amp;"",INDEX(nQ1_Displayed_Value,$AH109)&amp;"",INDEX(nQ2_Displayed_Value,$AH109)&amp;"",INDEX(nQ3_Displayed_Value,$AH109)&amp;"",INDEX(nQ4_Displayed_Value,$AH109)&amp;"",INDEX(nQ5_Displayed_Value,$AH109)&amp;"",INDEX(nQ6_Displayed_Value,$AH109)&amp;"",INDEX(nQ7_Displayed_Value,$AH109)&amp;"",INDEX(nQ8_Displayed_Value,$AH109)&amp;"",INDEX(nQ9_Displayed_Value,$AH109)&amp;"",INDEX(nQ10_Displayed_Value,$AH109)&amp;"",INDEX(nQ11_Displayed_Value,$AH109)&amp;""))</f>
        <v/>
      </c>
      <c r="AW109" s="1" t="str">
        <f>IF($AF109=0,"",CHOOSE($AF109,INDEX(nINT_Calculation_Mode_Used,$AH109)&amp;"","Q1","Q2","Q3","Q4","Q5","Q6","Q7","Q8","Q9","Q10","Q11"))</f>
        <v/>
      </c>
      <c r="AX109" s="1" t="str">
        <f>IF($AF109=0,"",CHOOSE($AF109,INDEX(nINT_Anchor_Type,$AH109)&amp;"","","","","","","","","","","",""))</f>
        <v/>
      </c>
      <c r="AY109" s="1" t="str">
        <f>IF($AF109=0,"",CHOOSE($AF109,IF(INDEX(nINT_K_Ok,$AH109)=1,INDEX(nINT_Anchor_Record_ID_Used,$AH109)&amp;"",""),"","","","","","","","","","",""))</f>
        <v/>
      </c>
      <c r="AZ109" s="1" t="str">
        <f>IF($AF109=0,"",CHOOSE($AF109,INDEX(nINT_Anchor_Description,$AH109)&amp;"","","","","","","","","","","",""))</f>
        <v/>
      </c>
      <c r="BA109" s="1" t="str">
        <f>IF($AF109=0,"",CHOOSE($AF109,INDEX(nINT_Sequence_Status,$AH109)&amp;"","","","","","","","","","","",""))</f>
        <v/>
      </c>
      <c r="BB109" s="1" t="str">
        <f>IF($AF109=0,"",CHOOSE($AF109,INDEX(nINT_Treatment_Day,$AH109),"","","","","","","","","","",""))</f>
        <v/>
      </c>
      <c r="BC109" s="1" t="str">
        <f>IF($AF109=0,"",CHOOSE($AF109,INDEX(nINT_Reported_Timing_Result,$AH109)&amp;"","","","","","","","","","","",""))</f>
        <v/>
      </c>
      <c r="BD109" s="1" t="str">
        <f>IF($AF109=0,"",CHOOSE($AF109,IF(INDEX(nINT_K_HasC,$AH109)=1,INDEX(nINT_Constraint_Source,$AH109)&amp;"",""),"","","","","","","","","","",""))</f>
        <v/>
      </c>
      <c r="BE109" s="1" t="str">
        <f>IF($AF109=0,"",CHOOSE($AF109,"",INDEX(nQ1_Results_Text,$AH109)&amp;"",INDEX(nQ2_Results_Text,$AH109)&amp;"",INDEX(nQ3_Results_Text,$AH109)&amp;"",INDEX(nQ4_Results_Text,$AH109)&amp;"",INDEX(nQ5_Results_Text,$AH109)&amp;"",INDEX(nQ6_Results_Text,$AH109)&amp;"",INDEX(nQ7_Results_Text,$AH109)&amp;"",INDEX(nQ8_Results_Text,$AH109)&amp;"",INDEX(nQ9_Results_Text,$AH109)&amp;"",INDEX(nQ10_Results_Text,$AH109)&amp;"",INDEX(nQ11_Results_Text,$AH109)&amp;""))</f>
        <v/>
      </c>
      <c r="BF109" s="1" t="str">
        <f>IF($AF109=0,"",CHOOSE($AF109,INDEX(nINT_Parameter_Set,$AH109)&amp;"",INDEX(nQ1_Parameter_Set,$AH109)&amp;"",INDEX(nQ2_Parameter_Set,$AH109)&amp;"",INDEX(nQ3_Parameter_Set,$AH109)&amp;"",INDEX(nQ4_Parameter_Set,$AH109)&amp;"",INDEX(nQ5_Parameter_Set,$AH109)&amp;"",INDEX(nQ6_Parameter_Set,$AH109)&amp;"",INDEX(nQ7_Parameter_Set,$AH109)&amp;"",INDEX(nQ8_Parameter_Set,$AH109)&amp;"",INDEX(nQ9_Parameter_Set,$AH109)&amp;"",INDEX(nQ10_Parameter_Set,$AH109)&amp;"",INDEX(nQ11_Parameter_Set,$AH109)&amp;""))</f>
        <v/>
      </c>
      <c r="BG109" s="1" t="str">
        <f>IF($AF109=0,"",CHOOSE($AF109,INDEX(nINT_Assumptions,$AH109)&amp;"",INDEX(nQ1_Assumptions,$AH109)&amp;"",INDEX(nQ2_Assumptions,$AH109)&amp;"",INDEX(nQ3_Assumptions,$AH109)&amp;"",INDEX(nQ4_Assumptions,$AH109)&amp;"",INDEX(nQ5_Assumptions,$AH109)&amp;"",INDEX(nQ6_Assumptions,$AH109)&amp;"",INDEX(nQ7_Assumptions,$AH109)&amp;"",INDEX(nQ8_Assumptions,$AH109)&amp;"",INDEX(nQ9_Assumptions,$AH109)&amp;"",INDEX(nQ10_Assumptions,$AH109)&amp;"",INDEX(nQ11_Assumptions,$AH109)&amp;""))</f>
        <v/>
      </c>
      <c r="BH109" s="1" t="str">
        <f>IF($AF109=0,"",CHOOSE($AF109,INDEX(nINT_Calculation_Version,$AH109)&amp;"",INDEX(nQ1_Calculation_Version,$AH109)&amp;"",INDEX(nQ2_Calculation_Version,$AH109)&amp;"",INDEX(nQ3_Calculation_Version,$AH109)&amp;"",INDEX(nQ4_Calculation_Version,$AH109)&amp;"",INDEX(nQ5_Calculation_Version,$AH109)&amp;"",INDEX(nQ6_Calculation_Version,$AH109)&amp;"",INDEX(nQ7_Calculation_Version,$AH109)&amp;"",INDEX(nQ8_Calculation_Version,$AH109)&amp;"",INDEX(nQ9_Calculation_Version,$AH109)&amp;"",INDEX(nQ10_Calculation_Version,$AH109)&amp;"",INDEX(nQ11_Calculation_Version,$AH109)&amp;""))</f>
        <v/>
      </c>
      <c r="BI109" s="1" t="str">
        <f>IF($AF109=0,"",CHOOSE($AF109,INDEX(nINT_QC_Flags,$AH109)&amp;"",INDEX(nQ1_QC_Flags,$AH109)&amp;"",INDEX(nQ2_QC_Flags,$AH109)&amp;"",INDEX(nQ3_QC_Flags,$AH109)&amp;"",INDEX(nQ4_QC_Flags,$AH109)&amp;"",INDEX(nQ5_QC_Flags,$AH109)&amp;"",INDEX(nQ6_QC_Flags,$AH109)&amp;"",INDEX(nQ7_QC_Flags,$AH109)&amp;"",INDEX(nQ8_QC_Flags,$AH109)&amp;"",INDEX(nQ9_QC_Flags,$AH109)&amp;"",INDEX(nQ10_QC_Flags,$AH109)&amp;"",INDEX(nQ11_QC_Flags,$AH109)&amp;""))</f>
        <v/>
      </c>
      <c r="BJ109" s="1" t="str">
        <f>IF($AF109=0,"",CHOOSE($AF109,INDEX(nINT_Messages,$AH109)&amp;"",INDEX(nQ1_Messages,$AH109)&amp;"",INDEX(nQ2_Messages,$AH109)&amp;"",INDEX(nQ3_Messages,$AH109)&amp;"",INDEX(nQ4_Messages,$AH109)&amp;"",INDEX(nQ5_Messages,$AH109)&amp;"",INDEX(nQ6_Messages,$AH109)&amp;"",INDEX(nQ7_Messages,$AH109)&amp;"",INDEX(nQ8_Messages,$AH109)&amp;"",INDEX(nQ9_Messages,$AH109)&amp;"",INDEX(nQ10_Messages,$AH109)&amp;"",INDEX(nQ11_Messages,$AH109)&amp;""))</f>
        <v/>
      </c>
      <c r="BK109" s="1" t="str">
        <f>IF($AF109=0,"",CHOOSE($AF109,INDEX(nINT_Limitations,$AH109)&amp;"",INDEX(nQ1_Mandatory_Text,$AH109)&amp;"",INDEX(nQ2_Mandatory_Text,$AH109)&amp;"",INDEX(nQ3_Mandatory_Text,$AH109)&amp;"",INDEX(nQ4_Mandatory_Text,$AH109)&amp;"",INDEX(nQ5_Mandatory_Text,$AH109)&amp;"",INDEX(nQ6_Mandatory_Text,$AH109)&amp;"",INDEX(nQ7_Mandatory_Text,$AH109)&amp;"",INDEX(nQ8_Mandatory_Text,$AH109)&amp;"",INDEX(nQ9_Mandatory_Text,$AH109)&amp;"",INDEX(nQ10_Mandatory_Text,$AH109)&amp;"",INDEX(nQ11_Mandatory_Text,$AH109)&amp;""))</f>
        <v/>
      </c>
      <c r="BL109" s="1" t="str">
        <f t="shared" si="68"/>
        <v/>
      </c>
      <c r="BM109" s="1" t="str">
        <f t="shared" si="69"/>
        <v/>
      </c>
    </row>
    <row r="110" spans="1:65" x14ac:dyDescent="0.2">
      <c r="A110" s="21" t="str">
        <f t="shared" si="35"/>
        <v/>
      </c>
      <c r="B110" s="21" t="str">
        <f t="shared" si="36"/>
        <v/>
      </c>
      <c r="C110" s="21" t="str">
        <f t="shared" si="37"/>
        <v/>
      </c>
      <c r="D110" s="21" t="str">
        <f t="shared" si="38"/>
        <v/>
      </c>
      <c r="E110" s="21" t="str">
        <f t="shared" si="39"/>
        <v/>
      </c>
      <c r="F110" s="21" t="str">
        <f t="shared" si="40"/>
        <v/>
      </c>
      <c r="G110" s="21" t="str">
        <f t="shared" si="41"/>
        <v/>
      </c>
      <c r="H110" s="21" t="str">
        <f t="shared" si="42"/>
        <v/>
      </c>
      <c r="I110" s="21" t="str">
        <f t="shared" si="43"/>
        <v/>
      </c>
      <c r="J110" s="21" t="str">
        <f t="shared" si="44"/>
        <v/>
      </c>
      <c r="K110" s="21" t="str">
        <f t="shared" si="45"/>
        <v/>
      </c>
      <c r="L110" s="21" t="str">
        <f t="shared" si="46"/>
        <v/>
      </c>
      <c r="M110" s="21" t="str">
        <f t="shared" si="47"/>
        <v/>
      </c>
      <c r="N110" s="21" t="str">
        <f t="shared" si="48"/>
        <v/>
      </c>
      <c r="O110" s="21" t="str">
        <f t="shared" si="49"/>
        <v/>
      </c>
      <c r="P110" s="21" t="str">
        <f t="shared" si="50"/>
        <v/>
      </c>
      <c r="Q110" s="21" t="str">
        <f t="shared" si="51"/>
        <v/>
      </c>
      <c r="R110" s="21" t="str">
        <f t="shared" si="52"/>
        <v/>
      </c>
      <c r="S110" s="21" t="str">
        <f t="shared" si="53"/>
        <v/>
      </c>
      <c r="T110" s="21" t="str">
        <f t="shared" si="54"/>
        <v/>
      </c>
      <c r="U110" s="21" t="str">
        <f t="shared" si="55"/>
        <v/>
      </c>
      <c r="V110" s="21" t="str">
        <f t="shared" si="56"/>
        <v/>
      </c>
      <c r="W110" s="21" t="str">
        <f t="shared" si="57"/>
        <v/>
      </c>
      <c r="X110" s="21" t="str">
        <f t="shared" si="58"/>
        <v/>
      </c>
      <c r="Y110" s="21" t="str">
        <f t="shared" si="59"/>
        <v/>
      </c>
      <c r="Z110" s="21" t="str">
        <f t="shared" si="60"/>
        <v/>
      </c>
      <c r="AA110" s="21" t="str">
        <f t="shared" si="61"/>
        <v/>
      </c>
      <c r="AB110" s="21" t="str">
        <f t="shared" si="62"/>
        <v/>
      </c>
      <c r="AC110" s="21" t="str">
        <f t="shared" si="63"/>
        <v/>
      </c>
      <c r="AD110" s="21" t="str">
        <f t="shared" si="64"/>
        <v/>
      </c>
      <c r="AE110" s="1">
        <f t="shared" si="65"/>
        <v>103</v>
      </c>
      <c r="AF110" s="1">
        <f t="shared" si="66"/>
        <v>0</v>
      </c>
      <c r="AG110" s="1">
        <f t="shared" si="67"/>
        <v>0</v>
      </c>
      <c r="AH110" s="1">
        <f>IF(AF110=0,0,CHOOSE(AF110,IFERROR(_xlfn.AGGREGATE(15,6,(ROW(nINT_CaseKey)-ROW(INDEX(nINT_CaseKey,1,1))+1)/((nINT_CaseKey=$H$4)*(nINT_RowEmpty=0)),AG110),0),IFERROR(_xlfn.AGGREGATE(15,6,(ROW(nQ1_CaseKey)-ROW(INDEX(nQ1_CaseKey,1,1))+1)/((nQ1_CaseKey=$H$4)),AG110),0),IFERROR(_xlfn.AGGREGATE(15,6,(ROW(nQ2_CaseKey)-ROW(INDEX(nQ2_CaseKey,1,1))+1)/((nQ2_CaseKey=$H$4)),AG110),0),IFERROR(_xlfn.AGGREGATE(15,6,(ROW(nQ3_CaseKey)-ROW(INDEX(nQ3_CaseKey,1,1))+1)/((nQ3_CaseKey=$H$4)),AG110),0),IFERROR(_xlfn.AGGREGATE(15,6,(ROW(nQ4_CaseKey)-ROW(INDEX(nQ4_CaseKey,1,1))+1)/((nQ4_CaseKey=$H$4)),AG110),0),IFERROR(_xlfn.AGGREGATE(15,6,(ROW(nQ5_CaseKey)-ROW(INDEX(nQ5_CaseKey,1,1))+1)/((nQ5_CaseKey=$H$4)),AG110),0),IFERROR(_xlfn.AGGREGATE(15,6,(ROW(nQ6_CaseKey)-ROW(INDEX(nQ6_CaseKey,1,1))+1)/((nQ6_CaseKey=$H$4)),AG110),0),IFERROR(_xlfn.AGGREGATE(15,6,(ROW(nQ7_CaseKey)-ROW(INDEX(nQ7_CaseKey,1,1))+1)/((nQ7_CaseKey=$H$4)),AG110),0),IFERROR(_xlfn.AGGREGATE(15,6,(ROW(nQ8_CaseKey)-ROW(INDEX(nQ8_CaseKey,1,1))+1)/((nQ8_CaseKey=$H$4)),AG110),0),IFERROR(_xlfn.AGGREGATE(15,6,(ROW(nQ9_CaseKey)-ROW(INDEX(nQ9_CaseKey,1,1))+1)/((nQ9_CaseKey=$H$4)),AG110),0),IFERROR(_xlfn.AGGREGATE(15,6,(ROW(nQ10_CaseKey)-ROW(INDEX(nQ10_CaseKey,1,1))+1)/((nQ10_CaseKey=$H$4)),AG110),0),IFERROR(_xlfn.AGGREGATE(15,6,(ROW(nQ11_CaseKey)-ROW(INDEX(nQ11_CaseKey,1,1))+1)/((nQ11_CaseKey=$H$4)),AG110),0)))</f>
        <v>0</v>
      </c>
      <c r="AJ110" s="1" t="str">
        <f>IF($AF110=0,"",CHOOSE($AF110,INDEX(nINT_Case_ID,$AH110)&amp;"",INDEX(nQ1_Case_ID,$AH110)&amp;"",INDEX(nQ2_Case_ID,$AH110)&amp;"",INDEX(nQ3_Case_ID,$AH110)&amp;"",INDEX(nQ4_Case_ID,$AH110)&amp;"",INDEX(nQ5_Case_ID,$AH110)&amp;"",INDEX(nQ6_Case_ID,$AH110)&amp;"",INDEX(nQ7_Case_ID,$AH110)&amp;"",INDEX(nQ8_Case_ID,$AH110)&amp;"",INDEX(nQ9_Case_ID,$AH110)&amp;"",INDEX(nQ10_Case_ID,$AH110)&amp;"",INDEX(nQ11_Case_ID,$AH110)&amp;""))</f>
        <v/>
      </c>
      <c r="AK110" s="1" t="str">
        <f>IF($AF110=0,"",CHOOSE($AF110,INDEX(nINT_Case_Version,$AH110),INDEX(nQ1_Case_Version,$AH110),INDEX(nQ2_Case_Version,$AH110),INDEX(nQ3_Case_Version,$AH110),INDEX(nQ4_Case_Version,$AH110),INDEX(nQ5_Case_Version,$AH110),INDEX(nQ6_Case_Version,$AH110),INDEX(nQ7_Case_Version,$AH110),INDEX(nQ8_Case_Version,$AH110),INDEX(nQ9_Case_Version,$AH110),INDEX(nQ10_Case_Version,$AH110),INDEX(nQ11_Case_Version,$AH110)))</f>
        <v/>
      </c>
      <c r="AL110" s="1" t="str">
        <f>IF($AF110=0,"",CHOOSE($AF110,INDEX(nINT_Interval_ID,$AH110)&amp;"",INDEX(nQ1_Calc_ID,$AH110)&amp;"",INDEX(nQ2_Calc_ID,$AH110)&amp;"",INDEX(nQ3_Calc_ID,$AH110)&amp;"",INDEX(nQ4_Calc_ID,$AH110)&amp;"",INDEX(nQ5_Calc_ID,$AH110)&amp;"",INDEX(nQ6_Calc_ID,$AH110)&amp;"",INDEX(nQ7_Calc_ID,$AH110)&amp;"",INDEX(nQ8_Calc_ID,$AH110)&amp;"",INDEX(nQ9_Calc_ID,$AH110)&amp;"",INDEX(nQ10_Calc_ID,$AH110)&amp;"",INDEX(nQ11_Calc_ID,$AH110)&amp;""))</f>
        <v/>
      </c>
      <c r="AM110" s="1" t="str">
        <f>IF($AF110=0,"",CHOOSE($AF110,INDEX(nINT_Label,$AH110)&amp;"",INDEX(nQ1_Label_Out,$AH110)&amp;"",INDEX(nQ2_Label_Out,$AH110)&amp;"",INDEX(nQ3_Label_Out,$AH110)&amp;"",INDEX(nQ4_Label_Out,$AH110)&amp;"",INDEX(nQ5_Label_Out,$AH110)&amp;"",INDEX(nQ6_Label_Out,$AH110)&amp;"",INDEX(nQ7_Label_Out,$AH110)&amp;"",INDEX(nQ8_Label_Out,$AH110)&amp;"",INDEX(nQ9_Label_Out,$AH110)&amp;"",INDEX(nQ10_Label_Out,$AH110)&amp;"",INDEX(nQ11_Label_Out,$AH110)&amp;""))</f>
        <v/>
      </c>
      <c r="AN110" s="1" t="str">
        <f>IF($AF110=0,"",CHOOSE($AF110,IF(INDEX(nINT_LinkRow,$AH110)=0,"",INDEX(nINT_Link_ID,$AH110)&amp;""),"","","","","","","","","","",""))</f>
        <v/>
      </c>
      <c r="AO110" s="1" t="str">
        <f>IF($AF110=0,"",CHOOSE($AF110,INDEX(nINT_Exposure_Episode_ID,$AH110)&amp;"","","","","","","","","","","",""))</f>
        <v/>
      </c>
      <c r="AP110" s="1" t="str">
        <f>IF($AF110=0,"",CHOOSE($AF110,INDEX(nINT_Event_Episode_ID,$AH110)&amp;"","","","","","","","","","","",""))</f>
        <v/>
      </c>
      <c r="AQ110" s="1" t="str">
        <f>IF($AF110=0,"",CHOOSE($AF110,INDEX(nINT_End_Record_ID_Used,$AH110)&amp;"","","","","","","","","","","",""))</f>
        <v/>
      </c>
      <c r="AR110" s="1" t="str">
        <f>IF($AF110=0,"",CHOOSE($AF110,INDEX(nINT_Interval_Value,$AH110),"","","","","","","","","","",""))</f>
        <v/>
      </c>
      <c r="AS110" s="1" t="str">
        <f>IF($AF110=0,"",CHOOSE($AF110,INDEX(nINT_Interval_Minimum,$AH110),"","","","","","","","","","",""))</f>
        <v/>
      </c>
      <c r="AT110" s="1" t="str">
        <f>IF($AF110=0,"",CHOOSE($AF110,INDEX(nINT_Interval_Maximum,$AH110),"","","","","","","","","","",""))</f>
        <v/>
      </c>
      <c r="AU110" s="1" t="str">
        <f>IF($AF110=0,"",CHOOSE($AF110,INDEX(nINT_Unit,$AH110)&amp;"",INDEX(nQ1_Unit_Out,$AH110)&amp;"",INDEX(nQ2_Unit_Out,$AH110)&amp;"",INDEX(nQ3_Unit_Out,$AH110)&amp;"",INDEX(nQ4_Unit_Out,$AH110)&amp;"",INDEX(nQ5_Unit_Out,$AH110)&amp;"",INDEX(nQ6_Unit_Out,$AH110)&amp;"",INDEX(nQ7_Unit_Out,$AH110)&amp;"",INDEX(nQ8_Unit_Out,$AH110)&amp;"",INDEX(nQ9_Unit_Out,$AH110)&amp;"",INDEX(nQ10_Unit_Out,$AH110)&amp;"",INDEX(nQ11_Unit_Out,$AH110)&amp;""))</f>
        <v/>
      </c>
      <c r="AV110" s="1" t="str">
        <f>IF($AF110=0,"",CHOOSE($AF110,INDEX(nINT_Displayed_Value,$AH110)&amp;"",INDEX(nQ1_Displayed_Value,$AH110)&amp;"",INDEX(nQ2_Displayed_Value,$AH110)&amp;"",INDEX(nQ3_Displayed_Value,$AH110)&amp;"",INDEX(nQ4_Displayed_Value,$AH110)&amp;"",INDEX(nQ5_Displayed_Value,$AH110)&amp;"",INDEX(nQ6_Displayed_Value,$AH110)&amp;"",INDEX(nQ7_Displayed_Value,$AH110)&amp;"",INDEX(nQ8_Displayed_Value,$AH110)&amp;"",INDEX(nQ9_Displayed_Value,$AH110)&amp;"",INDEX(nQ10_Displayed_Value,$AH110)&amp;"",INDEX(nQ11_Displayed_Value,$AH110)&amp;""))</f>
        <v/>
      </c>
      <c r="AW110" s="1" t="str">
        <f>IF($AF110=0,"",CHOOSE($AF110,INDEX(nINT_Calculation_Mode_Used,$AH110)&amp;"","Q1","Q2","Q3","Q4","Q5","Q6","Q7","Q8","Q9","Q10","Q11"))</f>
        <v/>
      </c>
      <c r="AX110" s="1" t="str">
        <f>IF($AF110=0,"",CHOOSE($AF110,INDEX(nINT_Anchor_Type,$AH110)&amp;"","","","","","","","","","","",""))</f>
        <v/>
      </c>
      <c r="AY110" s="1" t="str">
        <f>IF($AF110=0,"",CHOOSE($AF110,IF(INDEX(nINT_K_Ok,$AH110)=1,INDEX(nINT_Anchor_Record_ID_Used,$AH110)&amp;"",""),"","","","","","","","","","",""))</f>
        <v/>
      </c>
      <c r="AZ110" s="1" t="str">
        <f>IF($AF110=0,"",CHOOSE($AF110,INDEX(nINT_Anchor_Description,$AH110)&amp;"","","","","","","","","","","",""))</f>
        <v/>
      </c>
      <c r="BA110" s="1" t="str">
        <f>IF($AF110=0,"",CHOOSE($AF110,INDEX(nINT_Sequence_Status,$AH110)&amp;"","","","","","","","","","","",""))</f>
        <v/>
      </c>
      <c r="BB110" s="1" t="str">
        <f>IF($AF110=0,"",CHOOSE($AF110,INDEX(nINT_Treatment_Day,$AH110),"","","","","","","","","","",""))</f>
        <v/>
      </c>
      <c r="BC110" s="1" t="str">
        <f>IF($AF110=0,"",CHOOSE($AF110,INDEX(nINT_Reported_Timing_Result,$AH110)&amp;"","","","","","","","","","","",""))</f>
        <v/>
      </c>
      <c r="BD110" s="1" t="str">
        <f>IF($AF110=0,"",CHOOSE($AF110,IF(INDEX(nINT_K_HasC,$AH110)=1,INDEX(nINT_Constraint_Source,$AH110)&amp;"",""),"","","","","","","","","","",""))</f>
        <v/>
      </c>
      <c r="BE110" s="1" t="str">
        <f>IF($AF110=0,"",CHOOSE($AF110,"",INDEX(nQ1_Results_Text,$AH110)&amp;"",INDEX(nQ2_Results_Text,$AH110)&amp;"",INDEX(nQ3_Results_Text,$AH110)&amp;"",INDEX(nQ4_Results_Text,$AH110)&amp;"",INDEX(nQ5_Results_Text,$AH110)&amp;"",INDEX(nQ6_Results_Text,$AH110)&amp;"",INDEX(nQ7_Results_Text,$AH110)&amp;"",INDEX(nQ8_Results_Text,$AH110)&amp;"",INDEX(nQ9_Results_Text,$AH110)&amp;"",INDEX(nQ10_Results_Text,$AH110)&amp;"",INDEX(nQ11_Results_Text,$AH110)&amp;""))</f>
        <v/>
      </c>
      <c r="BF110" s="1" t="str">
        <f>IF($AF110=0,"",CHOOSE($AF110,INDEX(nINT_Parameter_Set,$AH110)&amp;"",INDEX(nQ1_Parameter_Set,$AH110)&amp;"",INDEX(nQ2_Parameter_Set,$AH110)&amp;"",INDEX(nQ3_Parameter_Set,$AH110)&amp;"",INDEX(nQ4_Parameter_Set,$AH110)&amp;"",INDEX(nQ5_Parameter_Set,$AH110)&amp;"",INDEX(nQ6_Parameter_Set,$AH110)&amp;"",INDEX(nQ7_Parameter_Set,$AH110)&amp;"",INDEX(nQ8_Parameter_Set,$AH110)&amp;"",INDEX(nQ9_Parameter_Set,$AH110)&amp;"",INDEX(nQ10_Parameter_Set,$AH110)&amp;"",INDEX(nQ11_Parameter_Set,$AH110)&amp;""))</f>
        <v/>
      </c>
      <c r="BG110" s="1" t="str">
        <f>IF($AF110=0,"",CHOOSE($AF110,INDEX(nINT_Assumptions,$AH110)&amp;"",INDEX(nQ1_Assumptions,$AH110)&amp;"",INDEX(nQ2_Assumptions,$AH110)&amp;"",INDEX(nQ3_Assumptions,$AH110)&amp;"",INDEX(nQ4_Assumptions,$AH110)&amp;"",INDEX(nQ5_Assumptions,$AH110)&amp;"",INDEX(nQ6_Assumptions,$AH110)&amp;"",INDEX(nQ7_Assumptions,$AH110)&amp;"",INDEX(nQ8_Assumptions,$AH110)&amp;"",INDEX(nQ9_Assumptions,$AH110)&amp;"",INDEX(nQ10_Assumptions,$AH110)&amp;"",INDEX(nQ11_Assumptions,$AH110)&amp;""))</f>
        <v/>
      </c>
      <c r="BH110" s="1" t="str">
        <f>IF($AF110=0,"",CHOOSE($AF110,INDEX(nINT_Calculation_Version,$AH110)&amp;"",INDEX(nQ1_Calculation_Version,$AH110)&amp;"",INDEX(nQ2_Calculation_Version,$AH110)&amp;"",INDEX(nQ3_Calculation_Version,$AH110)&amp;"",INDEX(nQ4_Calculation_Version,$AH110)&amp;"",INDEX(nQ5_Calculation_Version,$AH110)&amp;"",INDEX(nQ6_Calculation_Version,$AH110)&amp;"",INDEX(nQ7_Calculation_Version,$AH110)&amp;"",INDEX(nQ8_Calculation_Version,$AH110)&amp;"",INDEX(nQ9_Calculation_Version,$AH110)&amp;"",INDEX(nQ10_Calculation_Version,$AH110)&amp;"",INDEX(nQ11_Calculation_Version,$AH110)&amp;""))</f>
        <v/>
      </c>
      <c r="BI110" s="1" t="str">
        <f>IF($AF110=0,"",CHOOSE($AF110,INDEX(nINT_QC_Flags,$AH110)&amp;"",INDEX(nQ1_QC_Flags,$AH110)&amp;"",INDEX(nQ2_QC_Flags,$AH110)&amp;"",INDEX(nQ3_QC_Flags,$AH110)&amp;"",INDEX(nQ4_QC_Flags,$AH110)&amp;"",INDEX(nQ5_QC_Flags,$AH110)&amp;"",INDEX(nQ6_QC_Flags,$AH110)&amp;"",INDEX(nQ7_QC_Flags,$AH110)&amp;"",INDEX(nQ8_QC_Flags,$AH110)&amp;"",INDEX(nQ9_QC_Flags,$AH110)&amp;"",INDEX(nQ10_QC_Flags,$AH110)&amp;"",INDEX(nQ11_QC_Flags,$AH110)&amp;""))</f>
        <v/>
      </c>
      <c r="BJ110" s="1" t="str">
        <f>IF($AF110=0,"",CHOOSE($AF110,INDEX(nINT_Messages,$AH110)&amp;"",INDEX(nQ1_Messages,$AH110)&amp;"",INDEX(nQ2_Messages,$AH110)&amp;"",INDEX(nQ3_Messages,$AH110)&amp;"",INDEX(nQ4_Messages,$AH110)&amp;"",INDEX(nQ5_Messages,$AH110)&amp;"",INDEX(nQ6_Messages,$AH110)&amp;"",INDEX(nQ7_Messages,$AH110)&amp;"",INDEX(nQ8_Messages,$AH110)&amp;"",INDEX(nQ9_Messages,$AH110)&amp;"",INDEX(nQ10_Messages,$AH110)&amp;"",INDEX(nQ11_Messages,$AH110)&amp;""))</f>
        <v/>
      </c>
      <c r="BK110" s="1" t="str">
        <f>IF($AF110=0,"",CHOOSE($AF110,INDEX(nINT_Limitations,$AH110)&amp;"",INDEX(nQ1_Mandatory_Text,$AH110)&amp;"",INDEX(nQ2_Mandatory_Text,$AH110)&amp;"",INDEX(nQ3_Mandatory_Text,$AH110)&amp;"",INDEX(nQ4_Mandatory_Text,$AH110)&amp;"",INDEX(nQ5_Mandatory_Text,$AH110)&amp;"",INDEX(nQ6_Mandatory_Text,$AH110)&amp;"",INDEX(nQ7_Mandatory_Text,$AH110)&amp;"",INDEX(nQ8_Mandatory_Text,$AH110)&amp;"",INDEX(nQ9_Mandatory_Text,$AH110)&amp;"",INDEX(nQ10_Mandatory_Text,$AH110)&amp;"",INDEX(nQ11_Mandatory_Text,$AH110)&amp;""))</f>
        <v/>
      </c>
      <c r="BL110" s="1" t="str">
        <f t="shared" si="68"/>
        <v/>
      </c>
      <c r="BM110" s="1" t="str">
        <f t="shared" si="69"/>
        <v/>
      </c>
    </row>
    <row r="111" spans="1:65" x14ac:dyDescent="0.2">
      <c r="A111" s="21" t="str">
        <f t="shared" si="35"/>
        <v/>
      </c>
      <c r="B111" s="21" t="str">
        <f t="shared" si="36"/>
        <v/>
      </c>
      <c r="C111" s="21" t="str">
        <f t="shared" si="37"/>
        <v/>
      </c>
      <c r="D111" s="21" t="str">
        <f t="shared" si="38"/>
        <v/>
      </c>
      <c r="E111" s="21" t="str">
        <f t="shared" si="39"/>
        <v/>
      </c>
      <c r="F111" s="21" t="str">
        <f t="shared" si="40"/>
        <v/>
      </c>
      <c r="G111" s="21" t="str">
        <f t="shared" si="41"/>
        <v/>
      </c>
      <c r="H111" s="21" t="str">
        <f t="shared" si="42"/>
        <v/>
      </c>
      <c r="I111" s="21" t="str">
        <f t="shared" si="43"/>
        <v/>
      </c>
      <c r="J111" s="21" t="str">
        <f t="shared" si="44"/>
        <v/>
      </c>
      <c r="K111" s="21" t="str">
        <f t="shared" si="45"/>
        <v/>
      </c>
      <c r="L111" s="21" t="str">
        <f t="shared" si="46"/>
        <v/>
      </c>
      <c r="M111" s="21" t="str">
        <f t="shared" si="47"/>
        <v/>
      </c>
      <c r="N111" s="21" t="str">
        <f t="shared" si="48"/>
        <v/>
      </c>
      <c r="O111" s="21" t="str">
        <f t="shared" si="49"/>
        <v/>
      </c>
      <c r="P111" s="21" t="str">
        <f t="shared" si="50"/>
        <v/>
      </c>
      <c r="Q111" s="21" t="str">
        <f t="shared" si="51"/>
        <v/>
      </c>
      <c r="R111" s="21" t="str">
        <f t="shared" si="52"/>
        <v/>
      </c>
      <c r="S111" s="21" t="str">
        <f t="shared" si="53"/>
        <v/>
      </c>
      <c r="T111" s="21" t="str">
        <f t="shared" si="54"/>
        <v/>
      </c>
      <c r="U111" s="21" t="str">
        <f t="shared" si="55"/>
        <v/>
      </c>
      <c r="V111" s="21" t="str">
        <f t="shared" si="56"/>
        <v/>
      </c>
      <c r="W111" s="21" t="str">
        <f t="shared" si="57"/>
        <v/>
      </c>
      <c r="X111" s="21" t="str">
        <f t="shared" si="58"/>
        <v/>
      </c>
      <c r="Y111" s="21" t="str">
        <f t="shared" si="59"/>
        <v/>
      </c>
      <c r="Z111" s="21" t="str">
        <f t="shared" si="60"/>
        <v/>
      </c>
      <c r="AA111" s="21" t="str">
        <f t="shared" si="61"/>
        <v/>
      </c>
      <c r="AB111" s="21" t="str">
        <f t="shared" si="62"/>
        <v/>
      </c>
      <c r="AC111" s="21" t="str">
        <f t="shared" si="63"/>
        <v/>
      </c>
      <c r="AD111" s="21" t="str">
        <f t="shared" si="64"/>
        <v/>
      </c>
      <c r="AE111" s="1">
        <f t="shared" si="65"/>
        <v>104</v>
      </c>
      <c r="AF111" s="1">
        <f t="shared" si="66"/>
        <v>0</v>
      </c>
      <c r="AG111" s="1">
        <f t="shared" si="67"/>
        <v>0</v>
      </c>
      <c r="AH111" s="1">
        <f>IF(AF111=0,0,CHOOSE(AF111,IFERROR(_xlfn.AGGREGATE(15,6,(ROW(nINT_CaseKey)-ROW(INDEX(nINT_CaseKey,1,1))+1)/((nINT_CaseKey=$H$4)*(nINT_RowEmpty=0)),AG111),0),IFERROR(_xlfn.AGGREGATE(15,6,(ROW(nQ1_CaseKey)-ROW(INDEX(nQ1_CaseKey,1,1))+1)/((nQ1_CaseKey=$H$4)),AG111),0),IFERROR(_xlfn.AGGREGATE(15,6,(ROW(nQ2_CaseKey)-ROW(INDEX(nQ2_CaseKey,1,1))+1)/((nQ2_CaseKey=$H$4)),AG111),0),IFERROR(_xlfn.AGGREGATE(15,6,(ROW(nQ3_CaseKey)-ROW(INDEX(nQ3_CaseKey,1,1))+1)/((nQ3_CaseKey=$H$4)),AG111),0),IFERROR(_xlfn.AGGREGATE(15,6,(ROW(nQ4_CaseKey)-ROW(INDEX(nQ4_CaseKey,1,1))+1)/((nQ4_CaseKey=$H$4)),AG111),0),IFERROR(_xlfn.AGGREGATE(15,6,(ROW(nQ5_CaseKey)-ROW(INDEX(nQ5_CaseKey,1,1))+1)/((nQ5_CaseKey=$H$4)),AG111),0),IFERROR(_xlfn.AGGREGATE(15,6,(ROW(nQ6_CaseKey)-ROW(INDEX(nQ6_CaseKey,1,1))+1)/((nQ6_CaseKey=$H$4)),AG111),0),IFERROR(_xlfn.AGGREGATE(15,6,(ROW(nQ7_CaseKey)-ROW(INDEX(nQ7_CaseKey,1,1))+1)/((nQ7_CaseKey=$H$4)),AG111),0),IFERROR(_xlfn.AGGREGATE(15,6,(ROW(nQ8_CaseKey)-ROW(INDEX(nQ8_CaseKey,1,1))+1)/((nQ8_CaseKey=$H$4)),AG111),0),IFERROR(_xlfn.AGGREGATE(15,6,(ROW(nQ9_CaseKey)-ROW(INDEX(nQ9_CaseKey,1,1))+1)/((nQ9_CaseKey=$H$4)),AG111),0),IFERROR(_xlfn.AGGREGATE(15,6,(ROW(nQ10_CaseKey)-ROW(INDEX(nQ10_CaseKey,1,1))+1)/((nQ10_CaseKey=$H$4)),AG111),0),IFERROR(_xlfn.AGGREGATE(15,6,(ROW(nQ11_CaseKey)-ROW(INDEX(nQ11_CaseKey,1,1))+1)/((nQ11_CaseKey=$H$4)),AG111),0)))</f>
        <v>0</v>
      </c>
      <c r="AJ111" s="1" t="str">
        <f>IF($AF111=0,"",CHOOSE($AF111,INDEX(nINT_Case_ID,$AH111)&amp;"",INDEX(nQ1_Case_ID,$AH111)&amp;"",INDEX(nQ2_Case_ID,$AH111)&amp;"",INDEX(nQ3_Case_ID,$AH111)&amp;"",INDEX(nQ4_Case_ID,$AH111)&amp;"",INDEX(nQ5_Case_ID,$AH111)&amp;"",INDEX(nQ6_Case_ID,$AH111)&amp;"",INDEX(nQ7_Case_ID,$AH111)&amp;"",INDEX(nQ8_Case_ID,$AH111)&amp;"",INDEX(nQ9_Case_ID,$AH111)&amp;"",INDEX(nQ10_Case_ID,$AH111)&amp;"",INDEX(nQ11_Case_ID,$AH111)&amp;""))</f>
        <v/>
      </c>
      <c r="AK111" s="1" t="str">
        <f>IF($AF111=0,"",CHOOSE($AF111,INDEX(nINT_Case_Version,$AH111),INDEX(nQ1_Case_Version,$AH111),INDEX(nQ2_Case_Version,$AH111),INDEX(nQ3_Case_Version,$AH111),INDEX(nQ4_Case_Version,$AH111),INDEX(nQ5_Case_Version,$AH111),INDEX(nQ6_Case_Version,$AH111),INDEX(nQ7_Case_Version,$AH111),INDEX(nQ8_Case_Version,$AH111),INDEX(nQ9_Case_Version,$AH111),INDEX(nQ10_Case_Version,$AH111),INDEX(nQ11_Case_Version,$AH111)))</f>
        <v/>
      </c>
      <c r="AL111" s="1" t="str">
        <f>IF($AF111=0,"",CHOOSE($AF111,INDEX(nINT_Interval_ID,$AH111)&amp;"",INDEX(nQ1_Calc_ID,$AH111)&amp;"",INDEX(nQ2_Calc_ID,$AH111)&amp;"",INDEX(nQ3_Calc_ID,$AH111)&amp;"",INDEX(nQ4_Calc_ID,$AH111)&amp;"",INDEX(nQ5_Calc_ID,$AH111)&amp;"",INDEX(nQ6_Calc_ID,$AH111)&amp;"",INDEX(nQ7_Calc_ID,$AH111)&amp;"",INDEX(nQ8_Calc_ID,$AH111)&amp;"",INDEX(nQ9_Calc_ID,$AH111)&amp;"",INDEX(nQ10_Calc_ID,$AH111)&amp;"",INDEX(nQ11_Calc_ID,$AH111)&amp;""))</f>
        <v/>
      </c>
      <c r="AM111" s="1" t="str">
        <f>IF($AF111=0,"",CHOOSE($AF111,INDEX(nINT_Label,$AH111)&amp;"",INDEX(nQ1_Label_Out,$AH111)&amp;"",INDEX(nQ2_Label_Out,$AH111)&amp;"",INDEX(nQ3_Label_Out,$AH111)&amp;"",INDEX(nQ4_Label_Out,$AH111)&amp;"",INDEX(nQ5_Label_Out,$AH111)&amp;"",INDEX(nQ6_Label_Out,$AH111)&amp;"",INDEX(nQ7_Label_Out,$AH111)&amp;"",INDEX(nQ8_Label_Out,$AH111)&amp;"",INDEX(nQ9_Label_Out,$AH111)&amp;"",INDEX(nQ10_Label_Out,$AH111)&amp;"",INDEX(nQ11_Label_Out,$AH111)&amp;""))</f>
        <v/>
      </c>
      <c r="AN111" s="1" t="str">
        <f>IF($AF111=0,"",CHOOSE($AF111,IF(INDEX(nINT_LinkRow,$AH111)=0,"",INDEX(nINT_Link_ID,$AH111)&amp;""),"","","","","","","","","","",""))</f>
        <v/>
      </c>
      <c r="AO111" s="1" t="str">
        <f>IF($AF111=0,"",CHOOSE($AF111,INDEX(nINT_Exposure_Episode_ID,$AH111)&amp;"","","","","","","","","","","",""))</f>
        <v/>
      </c>
      <c r="AP111" s="1" t="str">
        <f>IF($AF111=0,"",CHOOSE($AF111,INDEX(nINT_Event_Episode_ID,$AH111)&amp;"","","","","","","","","","","",""))</f>
        <v/>
      </c>
      <c r="AQ111" s="1" t="str">
        <f>IF($AF111=0,"",CHOOSE($AF111,INDEX(nINT_End_Record_ID_Used,$AH111)&amp;"","","","","","","","","","","",""))</f>
        <v/>
      </c>
      <c r="AR111" s="1" t="str">
        <f>IF($AF111=0,"",CHOOSE($AF111,INDEX(nINT_Interval_Value,$AH111),"","","","","","","","","","",""))</f>
        <v/>
      </c>
      <c r="AS111" s="1" t="str">
        <f>IF($AF111=0,"",CHOOSE($AF111,INDEX(nINT_Interval_Minimum,$AH111),"","","","","","","","","","",""))</f>
        <v/>
      </c>
      <c r="AT111" s="1" t="str">
        <f>IF($AF111=0,"",CHOOSE($AF111,INDEX(nINT_Interval_Maximum,$AH111),"","","","","","","","","","",""))</f>
        <v/>
      </c>
      <c r="AU111" s="1" t="str">
        <f>IF($AF111=0,"",CHOOSE($AF111,INDEX(nINT_Unit,$AH111)&amp;"",INDEX(nQ1_Unit_Out,$AH111)&amp;"",INDEX(nQ2_Unit_Out,$AH111)&amp;"",INDEX(nQ3_Unit_Out,$AH111)&amp;"",INDEX(nQ4_Unit_Out,$AH111)&amp;"",INDEX(nQ5_Unit_Out,$AH111)&amp;"",INDEX(nQ6_Unit_Out,$AH111)&amp;"",INDEX(nQ7_Unit_Out,$AH111)&amp;"",INDEX(nQ8_Unit_Out,$AH111)&amp;"",INDEX(nQ9_Unit_Out,$AH111)&amp;"",INDEX(nQ10_Unit_Out,$AH111)&amp;"",INDEX(nQ11_Unit_Out,$AH111)&amp;""))</f>
        <v/>
      </c>
      <c r="AV111" s="1" t="str">
        <f>IF($AF111=0,"",CHOOSE($AF111,INDEX(nINT_Displayed_Value,$AH111)&amp;"",INDEX(nQ1_Displayed_Value,$AH111)&amp;"",INDEX(nQ2_Displayed_Value,$AH111)&amp;"",INDEX(nQ3_Displayed_Value,$AH111)&amp;"",INDEX(nQ4_Displayed_Value,$AH111)&amp;"",INDEX(nQ5_Displayed_Value,$AH111)&amp;"",INDEX(nQ6_Displayed_Value,$AH111)&amp;"",INDEX(nQ7_Displayed_Value,$AH111)&amp;"",INDEX(nQ8_Displayed_Value,$AH111)&amp;"",INDEX(nQ9_Displayed_Value,$AH111)&amp;"",INDEX(nQ10_Displayed_Value,$AH111)&amp;"",INDEX(nQ11_Displayed_Value,$AH111)&amp;""))</f>
        <v/>
      </c>
      <c r="AW111" s="1" t="str">
        <f>IF($AF111=0,"",CHOOSE($AF111,INDEX(nINT_Calculation_Mode_Used,$AH111)&amp;"","Q1","Q2","Q3","Q4","Q5","Q6","Q7","Q8","Q9","Q10","Q11"))</f>
        <v/>
      </c>
      <c r="AX111" s="1" t="str">
        <f>IF($AF111=0,"",CHOOSE($AF111,INDEX(nINT_Anchor_Type,$AH111)&amp;"","","","","","","","","","","",""))</f>
        <v/>
      </c>
      <c r="AY111" s="1" t="str">
        <f>IF($AF111=0,"",CHOOSE($AF111,IF(INDEX(nINT_K_Ok,$AH111)=1,INDEX(nINT_Anchor_Record_ID_Used,$AH111)&amp;"",""),"","","","","","","","","","",""))</f>
        <v/>
      </c>
      <c r="AZ111" s="1" t="str">
        <f>IF($AF111=0,"",CHOOSE($AF111,INDEX(nINT_Anchor_Description,$AH111)&amp;"","","","","","","","","","","",""))</f>
        <v/>
      </c>
      <c r="BA111" s="1" t="str">
        <f>IF($AF111=0,"",CHOOSE($AF111,INDEX(nINT_Sequence_Status,$AH111)&amp;"","","","","","","","","","","",""))</f>
        <v/>
      </c>
      <c r="BB111" s="1" t="str">
        <f>IF($AF111=0,"",CHOOSE($AF111,INDEX(nINT_Treatment_Day,$AH111),"","","","","","","","","","",""))</f>
        <v/>
      </c>
      <c r="BC111" s="1" t="str">
        <f>IF($AF111=0,"",CHOOSE($AF111,INDEX(nINT_Reported_Timing_Result,$AH111)&amp;"","","","","","","","","","","",""))</f>
        <v/>
      </c>
      <c r="BD111" s="1" t="str">
        <f>IF($AF111=0,"",CHOOSE($AF111,IF(INDEX(nINT_K_HasC,$AH111)=1,INDEX(nINT_Constraint_Source,$AH111)&amp;"",""),"","","","","","","","","","",""))</f>
        <v/>
      </c>
      <c r="BE111" s="1" t="str">
        <f>IF($AF111=0,"",CHOOSE($AF111,"",INDEX(nQ1_Results_Text,$AH111)&amp;"",INDEX(nQ2_Results_Text,$AH111)&amp;"",INDEX(nQ3_Results_Text,$AH111)&amp;"",INDEX(nQ4_Results_Text,$AH111)&amp;"",INDEX(nQ5_Results_Text,$AH111)&amp;"",INDEX(nQ6_Results_Text,$AH111)&amp;"",INDEX(nQ7_Results_Text,$AH111)&amp;"",INDEX(nQ8_Results_Text,$AH111)&amp;"",INDEX(nQ9_Results_Text,$AH111)&amp;"",INDEX(nQ10_Results_Text,$AH111)&amp;"",INDEX(nQ11_Results_Text,$AH111)&amp;""))</f>
        <v/>
      </c>
      <c r="BF111" s="1" t="str">
        <f>IF($AF111=0,"",CHOOSE($AF111,INDEX(nINT_Parameter_Set,$AH111)&amp;"",INDEX(nQ1_Parameter_Set,$AH111)&amp;"",INDEX(nQ2_Parameter_Set,$AH111)&amp;"",INDEX(nQ3_Parameter_Set,$AH111)&amp;"",INDEX(nQ4_Parameter_Set,$AH111)&amp;"",INDEX(nQ5_Parameter_Set,$AH111)&amp;"",INDEX(nQ6_Parameter_Set,$AH111)&amp;"",INDEX(nQ7_Parameter_Set,$AH111)&amp;"",INDEX(nQ8_Parameter_Set,$AH111)&amp;"",INDEX(nQ9_Parameter_Set,$AH111)&amp;"",INDEX(nQ10_Parameter_Set,$AH111)&amp;"",INDEX(nQ11_Parameter_Set,$AH111)&amp;""))</f>
        <v/>
      </c>
      <c r="BG111" s="1" t="str">
        <f>IF($AF111=0,"",CHOOSE($AF111,INDEX(nINT_Assumptions,$AH111)&amp;"",INDEX(nQ1_Assumptions,$AH111)&amp;"",INDEX(nQ2_Assumptions,$AH111)&amp;"",INDEX(nQ3_Assumptions,$AH111)&amp;"",INDEX(nQ4_Assumptions,$AH111)&amp;"",INDEX(nQ5_Assumptions,$AH111)&amp;"",INDEX(nQ6_Assumptions,$AH111)&amp;"",INDEX(nQ7_Assumptions,$AH111)&amp;"",INDEX(nQ8_Assumptions,$AH111)&amp;"",INDEX(nQ9_Assumptions,$AH111)&amp;"",INDEX(nQ10_Assumptions,$AH111)&amp;"",INDEX(nQ11_Assumptions,$AH111)&amp;""))</f>
        <v/>
      </c>
      <c r="BH111" s="1" t="str">
        <f>IF($AF111=0,"",CHOOSE($AF111,INDEX(nINT_Calculation_Version,$AH111)&amp;"",INDEX(nQ1_Calculation_Version,$AH111)&amp;"",INDEX(nQ2_Calculation_Version,$AH111)&amp;"",INDEX(nQ3_Calculation_Version,$AH111)&amp;"",INDEX(nQ4_Calculation_Version,$AH111)&amp;"",INDEX(nQ5_Calculation_Version,$AH111)&amp;"",INDEX(nQ6_Calculation_Version,$AH111)&amp;"",INDEX(nQ7_Calculation_Version,$AH111)&amp;"",INDEX(nQ8_Calculation_Version,$AH111)&amp;"",INDEX(nQ9_Calculation_Version,$AH111)&amp;"",INDEX(nQ10_Calculation_Version,$AH111)&amp;"",INDEX(nQ11_Calculation_Version,$AH111)&amp;""))</f>
        <v/>
      </c>
      <c r="BI111" s="1" t="str">
        <f>IF($AF111=0,"",CHOOSE($AF111,INDEX(nINT_QC_Flags,$AH111)&amp;"",INDEX(nQ1_QC_Flags,$AH111)&amp;"",INDEX(nQ2_QC_Flags,$AH111)&amp;"",INDEX(nQ3_QC_Flags,$AH111)&amp;"",INDEX(nQ4_QC_Flags,$AH111)&amp;"",INDEX(nQ5_QC_Flags,$AH111)&amp;"",INDEX(nQ6_QC_Flags,$AH111)&amp;"",INDEX(nQ7_QC_Flags,$AH111)&amp;"",INDEX(nQ8_QC_Flags,$AH111)&amp;"",INDEX(nQ9_QC_Flags,$AH111)&amp;"",INDEX(nQ10_QC_Flags,$AH111)&amp;"",INDEX(nQ11_QC_Flags,$AH111)&amp;""))</f>
        <v/>
      </c>
      <c r="BJ111" s="1" t="str">
        <f>IF($AF111=0,"",CHOOSE($AF111,INDEX(nINT_Messages,$AH111)&amp;"",INDEX(nQ1_Messages,$AH111)&amp;"",INDEX(nQ2_Messages,$AH111)&amp;"",INDEX(nQ3_Messages,$AH111)&amp;"",INDEX(nQ4_Messages,$AH111)&amp;"",INDEX(nQ5_Messages,$AH111)&amp;"",INDEX(nQ6_Messages,$AH111)&amp;"",INDEX(nQ7_Messages,$AH111)&amp;"",INDEX(nQ8_Messages,$AH111)&amp;"",INDEX(nQ9_Messages,$AH111)&amp;"",INDEX(nQ10_Messages,$AH111)&amp;"",INDEX(nQ11_Messages,$AH111)&amp;""))</f>
        <v/>
      </c>
      <c r="BK111" s="1" t="str">
        <f>IF($AF111=0,"",CHOOSE($AF111,INDEX(nINT_Limitations,$AH111)&amp;"",INDEX(nQ1_Mandatory_Text,$AH111)&amp;"",INDEX(nQ2_Mandatory_Text,$AH111)&amp;"",INDEX(nQ3_Mandatory_Text,$AH111)&amp;"",INDEX(nQ4_Mandatory_Text,$AH111)&amp;"",INDEX(nQ5_Mandatory_Text,$AH111)&amp;"",INDEX(nQ6_Mandatory_Text,$AH111)&amp;"",INDEX(nQ7_Mandatory_Text,$AH111)&amp;"",INDEX(nQ8_Mandatory_Text,$AH111)&amp;"",INDEX(nQ9_Mandatory_Text,$AH111)&amp;"",INDEX(nQ10_Mandatory_Text,$AH111)&amp;"",INDEX(nQ11_Mandatory_Text,$AH111)&amp;""))</f>
        <v/>
      </c>
      <c r="BL111" s="1" t="str">
        <f t="shared" si="68"/>
        <v/>
      </c>
      <c r="BM111" s="1" t="str">
        <f t="shared" si="69"/>
        <v/>
      </c>
    </row>
    <row r="112" spans="1:65" x14ac:dyDescent="0.2">
      <c r="A112" s="21" t="str">
        <f t="shared" si="35"/>
        <v/>
      </c>
      <c r="B112" s="21" t="str">
        <f t="shared" si="36"/>
        <v/>
      </c>
      <c r="C112" s="21" t="str">
        <f t="shared" si="37"/>
        <v/>
      </c>
      <c r="D112" s="21" t="str">
        <f t="shared" si="38"/>
        <v/>
      </c>
      <c r="E112" s="21" t="str">
        <f t="shared" si="39"/>
        <v/>
      </c>
      <c r="F112" s="21" t="str">
        <f t="shared" si="40"/>
        <v/>
      </c>
      <c r="G112" s="21" t="str">
        <f t="shared" si="41"/>
        <v/>
      </c>
      <c r="H112" s="21" t="str">
        <f t="shared" si="42"/>
        <v/>
      </c>
      <c r="I112" s="21" t="str">
        <f t="shared" si="43"/>
        <v/>
      </c>
      <c r="J112" s="21" t="str">
        <f t="shared" si="44"/>
        <v/>
      </c>
      <c r="K112" s="21" t="str">
        <f t="shared" si="45"/>
        <v/>
      </c>
      <c r="L112" s="21" t="str">
        <f t="shared" si="46"/>
        <v/>
      </c>
      <c r="M112" s="21" t="str">
        <f t="shared" si="47"/>
        <v/>
      </c>
      <c r="N112" s="21" t="str">
        <f t="shared" si="48"/>
        <v/>
      </c>
      <c r="O112" s="21" t="str">
        <f t="shared" si="49"/>
        <v/>
      </c>
      <c r="P112" s="21" t="str">
        <f t="shared" si="50"/>
        <v/>
      </c>
      <c r="Q112" s="21" t="str">
        <f t="shared" si="51"/>
        <v/>
      </c>
      <c r="R112" s="21" t="str">
        <f t="shared" si="52"/>
        <v/>
      </c>
      <c r="S112" s="21" t="str">
        <f t="shared" si="53"/>
        <v/>
      </c>
      <c r="T112" s="21" t="str">
        <f t="shared" si="54"/>
        <v/>
      </c>
      <c r="U112" s="21" t="str">
        <f t="shared" si="55"/>
        <v/>
      </c>
      <c r="V112" s="21" t="str">
        <f t="shared" si="56"/>
        <v/>
      </c>
      <c r="W112" s="21" t="str">
        <f t="shared" si="57"/>
        <v/>
      </c>
      <c r="X112" s="21" t="str">
        <f t="shared" si="58"/>
        <v/>
      </c>
      <c r="Y112" s="21" t="str">
        <f t="shared" si="59"/>
        <v/>
      </c>
      <c r="Z112" s="21" t="str">
        <f t="shared" si="60"/>
        <v/>
      </c>
      <c r="AA112" s="21" t="str">
        <f t="shared" si="61"/>
        <v/>
      </c>
      <c r="AB112" s="21" t="str">
        <f t="shared" si="62"/>
        <v/>
      </c>
      <c r="AC112" s="21" t="str">
        <f t="shared" si="63"/>
        <v/>
      </c>
      <c r="AD112" s="21" t="str">
        <f t="shared" si="64"/>
        <v/>
      </c>
      <c r="AE112" s="1">
        <f t="shared" si="65"/>
        <v>105</v>
      </c>
      <c r="AF112" s="1">
        <f t="shared" si="66"/>
        <v>0</v>
      </c>
      <c r="AG112" s="1">
        <f t="shared" si="67"/>
        <v>0</v>
      </c>
      <c r="AH112" s="1">
        <f>IF(AF112=0,0,CHOOSE(AF112,IFERROR(_xlfn.AGGREGATE(15,6,(ROW(nINT_CaseKey)-ROW(INDEX(nINT_CaseKey,1,1))+1)/((nINT_CaseKey=$H$4)*(nINT_RowEmpty=0)),AG112),0),IFERROR(_xlfn.AGGREGATE(15,6,(ROW(nQ1_CaseKey)-ROW(INDEX(nQ1_CaseKey,1,1))+1)/((nQ1_CaseKey=$H$4)),AG112),0),IFERROR(_xlfn.AGGREGATE(15,6,(ROW(nQ2_CaseKey)-ROW(INDEX(nQ2_CaseKey,1,1))+1)/((nQ2_CaseKey=$H$4)),AG112),0),IFERROR(_xlfn.AGGREGATE(15,6,(ROW(nQ3_CaseKey)-ROW(INDEX(nQ3_CaseKey,1,1))+1)/((nQ3_CaseKey=$H$4)),AG112),0),IFERROR(_xlfn.AGGREGATE(15,6,(ROW(nQ4_CaseKey)-ROW(INDEX(nQ4_CaseKey,1,1))+1)/((nQ4_CaseKey=$H$4)),AG112),0),IFERROR(_xlfn.AGGREGATE(15,6,(ROW(nQ5_CaseKey)-ROW(INDEX(nQ5_CaseKey,1,1))+1)/((nQ5_CaseKey=$H$4)),AG112),0),IFERROR(_xlfn.AGGREGATE(15,6,(ROW(nQ6_CaseKey)-ROW(INDEX(nQ6_CaseKey,1,1))+1)/((nQ6_CaseKey=$H$4)),AG112),0),IFERROR(_xlfn.AGGREGATE(15,6,(ROW(nQ7_CaseKey)-ROW(INDEX(nQ7_CaseKey,1,1))+1)/((nQ7_CaseKey=$H$4)),AG112),0),IFERROR(_xlfn.AGGREGATE(15,6,(ROW(nQ8_CaseKey)-ROW(INDEX(nQ8_CaseKey,1,1))+1)/((nQ8_CaseKey=$H$4)),AG112),0),IFERROR(_xlfn.AGGREGATE(15,6,(ROW(nQ9_CaseKey)-ROW(INDEX(nQ9_CaseKey,1,1))+1)/((nQ9_CaseKey=$H$4)),AG112),0),IFERROR(_xlfn.AGGREGATE(15,6,(ROW(nQ10_CaseKey)-ROW(INDEX(nQ10_CaseKey,1,1))+1)/((nQ10_CaseKey=$H$4)),AG112),0),IFERROR(_xlfn.AGGREGATE(15,6,(ROW(nQ11_CaseKey)-ROW(INDEX(nQ11_CaseKey,1,1))+1)/((nQ11_CaseKey=$H$4)),AG112),0)))</f>
        <v>0</v>
      </c>
      <c r="AJ112" s="1" t="str">
        <f>IF($AF112=0,"",CHOOSE($AF112,INDEX(nINT_Case_ID,$AH112)&amp;"",INDEX(nQ1_Case_ID,$AH112)&amp;"",INDEX(nQ2_Case_ID,$AH112)&amp;"",INDEX(nQ3_Case_ID,$AH112)&amp;"",INDEX(nQ4_Case_ID,$AH112)&amp;"",INDEX(nQ5_Case_ID,$AH112)&amp;"",INDEX(nQ6_Case_ID,$AH112)&amp;"",INDEX(nQ7_Case_ID,$AH112)&amp;"",INDEX(nQ8_Case_ID,$AH112)&amp;"",INDEX(nQ9_Case_ID,$AH112)&amp;"",INDEX(nQ10_Case_ID,$AH112)&amp;"",INDEX(nQ11_Case_ID,$AH112)&amp;""))</f>
        <v/>
      </c>
      <c r="AK112" s="1" t="str">
        <f>IF($AF112=0,"",CHOOSE($AF112,INDEX(nINT_Case_Version,$AH112),INDEX(nQ1_Case_Version,$AH112),INDEX(nQ2_Case_Version,$AH112),INDEX(nQ3_Case_Version,$AH112),INDEX(nQ4_Case_Version,$AH112),INDEX(nQ5_Case_Version,$AH112),INDEX(nQ6_Case_Version,$AH112),INDEX(nQ7_Case_Version,$AH112),INDEX(nQ8_Case_Version,$AH112),INDEX(nQ9_Case_Version,$AH112),INDEX(nQ10_Case_Version,$AH112),INDEX(nQ11_Case_Version,$AH112)))</f>
        <v/>
      </c>
      <c r="AL112" s="1" t="str">
        <f>IF($AF112=0,"",CHOOSE($AF112,INDEX(nINT_Interval_ID,$AH112)&amp;"",INDEX(nQ1_Calc_ID,$AH112)&amp;"",INDEX(nQ2_Calc_ID,$AH112)&amp;"",INDEX(nQ3_Calc_ID,$AH112)&amp;"",INDEX(nQ4_Calc_ID,$AH112)&amp;"",INDEX(nQ5_Calc_ID,$AH112)&amp;"",INDEX(nQ6_Calc_ID,$AH112)&amp;"",INDEX(nQ7_Calc_ID,$AH112)&amp;"",INDEX(nQ8_Calc_ID,$AH112)&amp;"",INDEX(nQ9_Calc_ID,$AH112)&amp;"",INDEX(nQ10_Calc_ID,$AH112)&amp;"",INDEX(nQ11_Calc_ID,$AH112)&amp;""))</f>
        <v/>
      </c>
      <c r="AM112" s="1" t="str">
        <f>IF($AF112=0,"",CHOOSE($AF112,INDEX(nINT_Label,$AH112)&amp;"",INDEX(nQ1_Label_Out,$AH112)&amp;"",INDEX(nQ2_Label_Out,$AH112)&amp;"",INDEX(nQ3_Label_Out,$AH112)&amp;"",INDEX(nQ4_Label_Out,$AH112)&amp;"",INDEX(nQ5_Label_Out,$AH112)&amp;"",INDEX(nQ6_Label_Out,$AH112)&amp;"",INDEX(nQ7_Label_Out,$AH112)&amp;"",INDEX(nQ8_Label_Out,$AH112)&amp;"",INDEX(nQ9_Label_Out,$AH112)&amp;"",INDEX(nQ10_Label_Out,$AH112)&amp;"",INDEX(nQ11_Label_Out,$AH112)&amp;""))</f>
        <v/>
      </c>
      <c r="AN112" s="1" t="str">
        <f>IF($AF112=0,"",CHOOSE($AF112,IF(INDEX(nINT_LinkRow,$AH112)=0,"",INDEX(nINT_Link_ID,$AH112)&amp;""),"","","","","","","","","","",""))</f>
        <v/>
      </c>
      <c r="AO112" s="1" t="str">
        <f>IF($AF112=0,"",CHOOSE($AF112,INDEX(nINT_Exposure_Episode_ID,$AH112)&amp;"","","","","","","","","","","",""))</f>
        <v/>
      </c>
      <c r="AP112" s="1" t="str">
        <f>IF($AF112=0,"",CHOOSE($AF112,INDEX(nINT_Event_Episode_ID,$AH112)&amp;"","","","","","","","","","","",""))</f>
        <v/>
      </c>
      <c r="AQ112" s="1" t="str">
        <f>IF($AF112=0,"",CHOOSE($AF112,INDEX(nINT_End_Record_ID_Used,$AH112)&amp;"","","","","","","","","","","",""))</f>
        <v/>
      </c>
      <c r="AR112" s="1" t="str">
        <f>IF($AF112=0,"",CHOOSE($AF112,INDEX(nINT_Interval_Value,$AH112),"","","","","","","","","","",""))</f>
        <v/>
      </c>
      <c r="AS112" s="1" t="str">
        <f>IF($AF112=0,"",CHOOSE($AF112,INDEX(nINT_Interval_Minimum,$AH112),"","","","","","","","","","",""))</f>
        <v/>
      </c>
      <c r="AT112" s="1" t="str">
        <f>IF($AF112=0,"",CHOOSE($AF112,INDEX(nINT_Interval_Maximum,$AH112),"","","","","","","","","","",""))</f>
        <v/>
      </c>
      <c r="AU112" s="1" t="str">
        <f>IF($AF112=0,"",CHOOSE($AF112,INDEX(nINT_Unit,$AH112)&amp;"",INDEX(nQ1_Unit_Out,$AH112)&amp;"",INDEX(nQ2_Unit_Out,$AH112)&amp;"",INDEX(nQ3_Unit_Out,$AH112)&amp;"",INDEX(nQ4_Unit_Out,$AH112)&amp;"",INDEX(nQ5_Unit_Out,$AH112)&amp;"",INDEX(nQ6_Unit_Out,$AH112)&amp;"",INDEX(nQ7_Unit_Out,$AH112)&amp;"",INDEX(nQ8_Unit_Out,$AH112)&amp;"",INDEX(nQ9_Unit_Out,$AH112)&amp;"",INDEX(nQ10_Unit_Out,$AH112)&amp;"",INDEX(nQ11_Unit_Out,$AH112)&amp;""))</f>
        <v/>
      </c>
      <c r="AV112" s="1" t="str">
        <f>IF($AF112=0,"",CHOOSE($AF112,INDEX(nINT_Displayed_Value,$AH112)&amp;"",INDEX(nQ1_Displayed_Value,$AH112)&amp;"",INDEX(nQ2_Displayed_Value,$AH112)&amp;"",INDEX(nQ3_Displayed_Value,$AH112)&amp;"",INDEX(nQ4_Displayed_Value,$AH112)&amp;"",INDEX(nQ5_Displayed_Value,$AH112)&amp;"",INDEX(nQ6_Displayed_Value,$AH112)&amp;"",INDEX(nQ7_Displayed_Value,$AH112)&amp;"",INDEX(nQ8_Displayed_Value,$AH112)&amp;"",INDEX(nQ9_Displayed_Value,$AH112)&amp;"",INDEX(nQ10_Displayed_Value,$AH112)&amp;"",INDEX(nQ11_Displayed_Value,$AH112)&amp;""))</f>
        <v/>
      </c>
      <c r="AW112" s="1" t="str">
        <f>IF($AF112=0,"",CHOOSE($AF112,INDEX(nINT_Calculation_Mode_Used,$AH112)&amp;"","Q1","Q2","Q3","Q4","Q5","Q6","Q7","Q8","Q9","Q10","Q11"))</f>
        <v/>
      </c>
      <c r="AX112" s="1" t="str">
        <f>IF($AF112=0,"",CHOOSE($AF112,INDEX(nINT_Anchor_Type,$AH112)&amp;"","","","","","","","","","","",""))</f>
        <v/>
      </c>
      <c r="AY112" s="1" t="str">
        <f>IF($AF112=0,"",CHOOSE($AF112,IF(INDEX(nINT_K_Ok,$AH112)=1,INDEX(nINT_Anchor_Record_ID_Used,$AH112)&amp;"",""),"","","","","","","","","","",""))</f>
        <v/>
      </c>
      <c r="AZ112" s="1" t="str">
        <f>IF($AF112=0,"",CHOOSE($AF112,INDEX(nINT_Anchor_Description,$AH112)&amp;"","","","","","","","","","","",""))</f>
        <v/>
      </c>
      <c r="BA112" s="1" t="str">
        <f>IF($AF112=0,"",CHOOSE($AF112,INDEX(nINT_Sequence_Status,$AH112)&amp;"","","","","","","","","","","",""))</f>
        <v/>
      </c>
      <c r="BB112" s="1" t="str">
        <f>IF($AF112=0,"",CHOOSE($AF112,INDEX(nINT_Treatment_Day,$AH112),"","","","","","","","","","",""))</f>
        <v/>
      </c>
      <c r="BC112" s="1" t="str">
        <f>IF($AF112=0,"",CHOOSE($AF112,INDEX(nINT_Reported_Timing_Result,$AH112)&amp;"","","","","","","","","","","",""))</f>
        <v/>
      </c>
      <c r="BD112" s="1" t="str">
        <f>IF($AF112=0,"",CHOOSE($AF112,IF(INDEX(nINT_K_HasC,$AH112)=1,INDEX(nINT_Constraint_Source,$AH112)&amp;"",""),"","","","","","","","","","",""))</f>
        <v/>
      </c>
      <c r="BE112" s="1" t="str">
        <f>IF($AF112=0,"",CHOOSE($AF112,"",INDEX(nQ1_Results_Text,$AH112)&amp;"",INDEX(nQ2_Results_Text,$AH112)&amp;"",INDEX(nQ3_Results_Text,$AH112)&amp;"",INDEX(nQ4_Results_Text,$AH112)&amp;"",INDEX(nQ5_Results_Text,$AH112)&amp;"",INDEX(nQ6_Results_Text,$AH112)&amp;"",INDEX(nQ7_Results_Text,$AH112)&amp;"",INDEX(nQ8_Results_Text,$AH112)&amp;"",INDEX(nQ9_Results_Text,$AH112)&amp;"",INDEX(nQ10_Results_Text,$AH112)&amp;"",INDEX(nQ11_Results_Text,$AH112)&amp;""))</f>
        <v/>
      </c>
      <c r="BF112" s="1" t="str">
        <f>IF($AF112=0,"",CHOOSE($AF112,INDEX(nINT_Parameter_Set,$AH112)&amp;"",INDEX(nQ1_Parameter_Set,$AH112)&amp;"",INDEX(nQ2_Parameter_Set,$AH112)&amp;"",INDEX(nQ3_Parameter_Set,$AH112)&amp;"",INDEX(nQ4_Parameter_Set,$AH112)&amp;"",INDEX(nQ5_Parameter_Set,$AH112)&amp;"",INDEX(nQ6_Parameter_Set,$AH112)&amp;"",INDEX(nQ7_Parameter_Set,$AH112)&amp;"",INDEX(nQ8_Parameter_Set,$AH112)&amp;"",INDEX(nQ9_Parameter_Set,$AH112)&amp;"",INDEX(nQ10_Parameter_Set,$AH112)&amp;"",INDEX(nQ11_Parameter_Set,$AH112)&amp;""))</f>
        <v/>
      </c>
      <c r="BG112" s="1" t="str">
        <f>IF($AF112=0,"",CHOOSE($AF112,INDEX(nINT_Assumptions,$AH112)&amp;"",INDEX(nQ1_Assumptions,$AH112)&amp;"",INDEX(nQ2_Assumptions,$AH112)&amp;"",INDEX(nQ3_Assumptions,$AH112)&amp;"",INDEX(nQ4_Assumptions,$AH112)&amp;"",INDEX(nQ5_Assumptions,$AH112)&amp;"",INDEX(nQ6_Assumptions,$AH112)&amp;"",INDEX(nQ7_Assumptions,$AH112)&amp;"",INDEX(nQ8_Assumptions,$AH112)&amp;"",INDEX(nQ9_Assumptions,$AH112)&amp;"",INDEX(nQ10_Assumptions,$AH112)&amp;"",INDEX(nQ11_Assumptions,$AH112)&amp;""))</f>
        <v/>
      </c>
      <c r="BH112" s="1" t="str">
        <f>IF($AF112=0,"",CHOOSE($AF112,INDEX(nINT_Calculation_Version,$AH112)&amp;"",INDEX(nQ1_Calculation_Version,$AH112)&amp;"",INDEX(nQ2_Calculation_Version,$AH112)&amp;"",INDEX(nQ3_Calculation_Version,$AH112)&amp;"",INDEX(nQ4_Calculation_Version,$AH112)&amp;"",INDEX(nQ5_Calculation_Version,$AH112)&amp;"",INDEX(nQ6_Calculation_Version,$AH112)&amp;"",INDEX(nQ7_Calculation_Version,$AH112)&amp;"",INDEX(nQ8_Calculation_Version,$AH112)&amp;"",INDEX(nQ9_Calculation_Version,$AH112)&amp;"",INDEX(nQ10_Calculation_Version,$AH112)&amp;"",INDEX(nQ11_Calculation_Version,$AH112)&amp;""))</f>
        <v/>
      </c>
      <c r="BI112" s="1" t="str">
        <f>IF($AF112=0,"",CHOOSE($AF112,INDEX(nINT_QC_Flags,$AH112)&amp;"",INDEX(nQ1_QC_Flags,$AH112)&amp;"",INDEX(nQ2_QC_Flags,$AH112)&amp;"",INDEX(nQ3_QC_Flags,$AH112)&amp;"",INDEX(nQ4_QC_Flags,$AH112)&amp;"",INDEX(nQ5_QC_Flags,$AH112)&amp;"",INDEX(nQ6_QC_Flags,$AH112)&amp;"",INDEX(nQ7_QC_Flags,$AH112)&amp;"",INDEX(nQ8_QC_Flags,$AH112)&amp;"",INDEX(nQ9_QC_Flags,$AH112)&amp;"",INDEX(nQ10_QC_Flags,$AH112)&amp;"",INDEX(nQ11_QC_Flags,$AH112)&amp;""))</f>
        <v/>
      </c>
      <c r="BJ112" s="1" t="str">
        <f>IF($AF112=0,"",CHOOSE($AF112,INDEX(nINT_Messages,$AH112)&amp;"",INDEX(nQ1_Messages,$AH112)&amp;"",INDEX(nQ2_Messages,$AH112)&amp;"",INDEX(nQ3_Messages,$AH112)&amp;"",INDEX(nQ4_Messages,$AH112)&amp;"",INDEX(nQ5_Messages,$AH112)&amp;"",INDEX(nQ6_Messages,$AH112)&amp;"",INDEX(nQ7_Messages,$AH112)&amp;"",INDEX(nQ8_Messages,$AH112)&amp;"",INDEX(nQ9_Messages,$AH112)&amp;"",INDEX(nQ10_Messages,$AH112)&amp;"",INDEX(nQ11_Messages,$AH112)&amp;""))</f>
        <v/>
      </c>
      <c r="BK112" s="1" t="str">
        <f>IF($AF112=0,"",CHOOSE($AF112,INDEX(nINT_Limitations,$AH112)&amp;"",INDEX(nQ1_Mandatory_Text,$AH112)&amp;"",INDEX(nQ2_Mandatory_Text,$AH112)&amp;"",INDEX(nQ3_Mandatory_Text,$AH112)&amp;"",INDEX(nQ4_Mandatory_Text,$AH112)&amp;"",INDEX(nQ5_Mandatory_Text,$AH112)&amp;"",INDEX(nQ6_Mandatory_Text,$AH112)&amp;"",INDEX(nQ7_Mandatory_Text,$AH112)&amp;"",INDEX(nQ8_Mandatory_Text,$AH112)&amp;"",INDEX(nQ9_Mandatory_Text,$AH112)&amp;"",INDEX(nQ10_Mandatory_Text,$AH112)&amp;"",INDEX(nQ11_Mandatory_Text,$AH112)&amp;""))</f>
        <v/>
      </c>
      <c r="BL112" s="1" t="str">
        <f t="shared" si="68"/>
        <v/>
      </c>
      <c r="BM112" s="1" t="str">
        <f t="shared" si="69"/>
        <v/>
      </c>
    </row>
    <row r="113" spans="1:65" x14ac:dyDescent="0.2">
      <c r="A113" s="21" t="str">
        <f t="shared" si="35"/>
        <v/>
      </c>
      <c r="B113" s="21" t="str">
        <f t="shared" si="36"/>
        <v/>
      </c>
      <c r="C113" s="21" t="str">
        <f t="shared" si="37"/>
        <v/>
      </c>
      <c r="D113" s="21" t="str">
        <f t="shared" si="38"/>
        <v/>
      </c>
      <c r="E113" s="21" t="str">
        <f t="shared" si="39"/>
        <v/>
      </c>
      <c r="F113" s="21" t="str">
        <f t="shared" si="40"/>
        <v/>
      </c>
      <c r="G113" s="21" t="str">
        <f t="shared" si="41"/>
        <v/>
      </c>
      <c r="H113" s="21" t="str">
        <f t="shared" si="42"/>
        <v/>
      </c>
      <c r="I113" s="21" t="str">
        <f t="shared" si="43"/>
        <v/>
      </c>
      <c r="J113" s="21" t="str">
        <f t="shared" si="44"/>
        <v/>
      </c>
      <c r="K113" s="21" t="str">
        <f t="shared" si="45"/>
        <v/>
      </c>
      <c r="L113" s="21" t="str">
        <f t="shared" si="46"/>
        <v/>
      </c>
      <c r="M113" s="21" t="str">
        <f t="shared" si="47"/>
        <v/>
      </c>
      <c r="N113" s="21" t="str">
        <f t="shared" si="48"/>
        <v/>
      </c>
      <c r="O113" s="21" t="str">
        <f t="shared" si="49"/>
        <v/>
      </c>
      <c r="P113" s="21" t="str">
        <f t="shared" si="50"/>
        <v/>
      </c>
      <c r="Q113" s="21" t="str">
        <f t="shared" si="51"/>
        <v/>
      </c>
      <c r="R113" s="21" t="str">
        <f t="shared" si="52"/>
        <v/>
      </c>
      <c r="S113" s="21" t="str">
        <f t="shared" si="53"/>
        <v/>
      </c>
      <c r="T113" s="21" t="str">
        <f t="shared" si="54"/>
        <v/>
      </c>
      <c r="U113" s="21" t="str">
        <f t="shared" si="55"/>
        <v/>
      </c>
      <c r="V113" s="21" t="str">
        <f t="shared" si="56"/>
        <v/>
      </c>
      <c r="W113" s="21" t="str">
        <f t="shared" si="57"/>
        <v/>
      </c>
      <c r="X113" s="21" t="str">
        <f t="shared" si="58"/>
        <v/>
      </c>
      <c r="Y113" s="21" t="str">
        <f t="shared" si="59"/>
        <v/>
      </c>
      <c r="Z113" s="21" t="str">
        <f t="shared" si="60"/>
        <v/>
      </c>
      <c r="AA113" s="21" t="str">
        <f t="shared" si="61"/>
        <v/>
      </c>
      <c r="AB113" s="21" t="str">
        <f t="shared" si="62"/>
        <v/>
      </c>
      <c r="AC113" s="21" t="str">
        <f t="shared" si="63"/>
        <v/>
      </c>
      <c r="AD113" s="21" t="str">
        <f t="shared" si="64"/>
        <v/>
      </c>
      <c r="AE113" s="1">
        <f t="shared" si="65"/>
        <v>106</v>
      </c>
      <c r="AF113" s="1">
        <f t="shared" si="66"/>
        <v>0</v>
      </c>
      <c r="AG113" s="1">
        <f t="shared" si="67"/>
        <v>0</v>
      </c>
      <c r="AH113" s="1">
        <f>IF(AF113=0,0,CHOOSE(AF113,IFERROR(_xlfn.AGGREGATE(15,6,(ROW(nINT_CaseKey)-ROW(INDEX(nINT_CaseKey,1,1))+1)/((nINT_CaseKey=$H$4)*(nINT_RowEmpty=0)),AG113),0),IFERROR(_xlfn.AGGREGATE(15,6,(ROW(nQ1_CaseKey)-ROW(INDEX(nQ1_CaseKey,1,1))+1)/((nQ1_CaseKey=$H$4)),AG113),0),IFERROR(_xlfn.AGGREGATE(15,6,(ROW(nQ2_CaseKey)-ROW(INDEX(nQ2_CaseKey,1,1))+1)/((nQ2_CaseKey=$H$4)),AG113),0),IFERROR(_xlfn.AGGREGATE(15,6,(ROW(nQ3_CaseKey)-ROW(INDEX(nQ3_CaseKey,1,1))+1)/((nQ3_CaseKey=$H$4)),AG113),0),IFERROR(_xlfn.AGGREGATE(15,6,(ROW(nQ4_CaseKey)-ROW(INDEX(nQ4_CaseKey,1,1))+1)/((nQ4_CaseKey=$H$4)),AG113),0),IFERROR(_xlfn.AGGREGATE(15,6,(ROW(nQ5_CaseKey)-ROW(INDEX(nQ5_CaseKey,1,1))+1)/((nQ5_CaseKey=$H$4)),AG113),0),IFERROR(_xlfn.AGGREGATE(15,6,(ROW(nQ6_CaseKey)-ROW(INDEX(nQ6_CaseKey,1,1))+1)/((nQ6_CaseKey=$H$4)),AG113),0),IFERROR(_xlfn.AGGREGATE(15,6,(ROW(nQ7_CaseKey)-ROW(INDEX(nQ7_CaseKey,1,1))+1)/((nQ7_CaseKey=$H$4)),AG113),0),IFERROR(_xlfn.AGGREGATE(15,6,(ROW(nQ8_CaseKey)-ROW(INDEX(nQ8_CaseKey,1,1))+1)/((nQ8_CaseKey=$H$4)),AG113),0),IFERROR(_xlfn.AGGREGATE(15,6,(ROW(nQ9_CaseKey)-ROW(INDEX(nQ9_CaseKey,1,1))+1)/((nQ9_CaseKey=$H$4)),AG113),0),IFERROR(_xlfn.AGGREGATE(15,6,(ROW(nQ10_CaseKey)-ROW(INDEX(nQ10_CaseKey,1,1))+1)/((nQ10_CaseKey=$H$4)),AG113),0),IFERROR(_xlfn.AGGREGATE(15,6,(ROW(nQ11_CaseKey)-ROW(INDEX(nQ11_CaseKey,1,1))+1)/((nQ11_CaseKey=$H$4)),AG113),0)))</f>
        <v>0</v>
      </c>
      <c r="AJ113" s="1" t="str">
        <f>IF($AF113=0,"",CHOOSE($AF113,INDEX(nINT_Case_ID,$AH113)&amp;"",INDEX(nQ1_Case_ID,$AH113)&amp;"",INDEX(nQ2_Case_ID,$AH113)&amp;"",INDEX(nQ3_Case_ID,$AH113)&amp;"",INDEX(nQ4_Case_ID,$AH113)&amp;"",INDEX(nQ5_Case_ID,$AH113)&amp;"",INDEX(nQ6_Case_ID,$AH113)&amp;"",INDEX(nQ7_Case_ID,$AH113)&amp;"",INDEX(nQ8_Case_ID,$AH113)&amp;"",INDEX(nQ9_Case_ID,$AH113)&amp;"",INDEX(nQ10_Case_ID,$AH113)&amp;"",INDEX(nQ11_Case_ID,$AH113)&amp;""))</f>
        <v/>
      </c>
      <c r="AK113" s="1" t="str">
        <f>IF($AF113=0,"",CHOOSE($AF113,INDEX(nINT_Case_Version,$AH113),INDEX(nQ1_Case_Version,$AH113),INDEX(nQ2_Case_Version,$AH113),INDEX(nQ3_Case_Version,$AH113),INDEX(nQ4_Case_Version,$AH113),INDEX(nQ5_Case_Version,$AH113),INDEX(nQ6_Case_Version,$AH113),INDEX(nQ7_Case_Version,$AH113),INDEX(nQ8_Case_Version,$AH113),INDEX(nQ9_Case_Version,$AH113),INDEX(nQ10_Case_Version,$AH113),INDEX(nQ11_Case_Version,$AH113)))</f>
        <v/>
      </c>
      <c r="AL113" s="1" t="str">
        <f>IF($AF113=0,"",CHOOSE($AF113,INDEX(nINT_Interval_ID,$AH113)&amp;"",INDEX(nQ1_Calc_ID,$AH113)&amp;"",INDEX(nQ2_Calc_ID,$AH113)&amp;"",INDEX(nQ3_Calc_ID,$AH113)&amp;"",INDEX(nQ4_Calc_ID,$AH113)&amp;"",INDEX(nQ5_Calc_ID,$AH113)&amp;"",INDEX(nQ6_Calc_ID,$AH113)&amp;"",INDEX(nQ7_Calc_ID,$AH113)&amp;"",INDEX(nQ8_Calc_ID,$AH113)&amp;"",INDEX(nQ9_Calc_ID,$AH113)&amp;"",INDEX(nQ10_Calc_ID,$AH113)&amp;"",INDEX(nQ11_Calc_ID,$AH113)&amp;""))</f>
        <v/>
      </c>
      <c r="AM113" s="1" t="str">
        <f>IF($AF113=0,"",CHOOSE($AF113,INDEX(nINT_Label,$AH113)&amp;"",INDEX(nQ1_Label_Out,$AH113)&amp;"",INDEX(nQ2_Label_Out,$AH113)&amp;"",INDEX(nQ3_Label_Out,$AH113)&amp;"",INDEX(nQ4_Label_Out,$AH113)&amp;"",INDEX(nQ5_Label_Out,$AH113)&amp;"",INDEX(nQ6_Label_Out,$AH113)&amp;"",INDEX(nQ7_Label_Out,$AH113)&amp;"",INDEX(nQ8_Label_Out,$AH113)&amp;"",INDEX(nQ9_Label_Out,$AH113)&amp;"",INDEX(nQ10_Label_Out,$AH113)&amp;"",INDEX(nQ11_Label_Out,$AH113)&amp;""))</f>
        <v/>
      </c>
      <c r="AN113" s="1" t="str">
        <f>IF($AF113=0,"",CHOOSE($AF113,IF(INDEX(nINT_LinkRow,$AH113)=0,"",INDEX(nINT_Link_ID,$AH113)&amp;""),"","","","","","","","","","",""))</f>
        <v/>
      </c>
      <c r="AO113" s="1" t="str">
        <f>IF($AF113=0,"",CHOOSE($AF113,INDEX(nINT_Exposure_Episode_ID,$AH113)&amp;"","","","","","","","","","","",""))</f>
        <v/>
      </c>
      <c r="AP113" s="1" t="str">
        <f>IF($AF113=0,"",CHOOSE($AF113,INDEX(nINT_Event_Episode_ID,$AH113)&amp;"","","","","","","","","","","",""))</f>
        <v/>
      </c>
      <c r="AQ113" s="1" t="str">
        <f>IF($AF113=0,"",CHOOSE($AF113,INDEX(nINT_End_Record_ID_Used,$AH113)&amp;"","","","","","","","","","","",""))</f>
        <v/>
      </c>
      <c r="AR113" s="1" t="str">
        <f>IF($AF113=0,"",CHOOSE($AF113,INDEX(nINT_Interval_Value,$AH113),"","","","","","","","","","",""))</f>
        <v/>
      </c>
      <c r="AS113" s="1" t="str">
        <f>IF($AF113=0,"",CHOOSE($AF113,INDEX(nINT_Interval_Minimum,$AH113),"","","","","","","","","","",""))</f>
        <v/>
      </c>
      <c r="AT113" s="1" t="str">
        <f>IF($AF113=0,"",CHOOSE($AF113,INDEX(nINT_Interval_Maximum,$AH113),"","","","","","","","","","",""))</f>
        <v/>
      </c>
      <c r="AU113" s="1" t="str">
        <f>IF($AF113=0,"",CHOOSE($AF113,INDEX(nINT_Unit,$AH113)&amp;"",INDEX(nQ1_Unit_Out,$AH113)&amp;"",INDEX(nQ2_Unit_Out,$AH113)&amp;"",INDEX(nQ3_Unit_Out,$AH113)&amp;"",INDEX(nQ4_Unit_Out,$AH113)&amp;"",INDEX(nQ5_Unit_Out,$AH113)&amp;"",INDEX(nQ6_Unit_Out,$AH113)&amp;"",INDEX(nQ7_Unit_Out,$AH113)&amp;"",INDEX(nQ8_Unit_Out,$AH113)&amp;"",INDEX(nQ9_Unit_Out,$AH113)&amp;"",INDEX(nQ10_Unit_Out,$AH113)&amp;"",INDEX(nQ11_Unit_Out,$AH113)&amp;""))</f>
        <v/>
      </c>
      <c r="AV113" s="1" t="str">
        <f>IF($AF113=0,"",CHOOSE($AF113,INDEX(nINT_Displayed_Value,$AH113)&amp;"",INDEX(nQ1_Displayed_Value,$AH113)&amp;"",INDEX(nQ2_Displayed_Value,$AH113)&amp;"",INDEX(nQ3_Displayed_Value,$AH113)&amp;"",INDEX(nQ4_Displayed_Value,$AH113)&amp;"",INDEX(nQ5_Displayed_Value,$AH113)&amp;"",INDEX(nQ6_Displayed_Value,$AH113)&amp;"",INDEX(nQ7_Displayed_Value,$AH113)&amp;"",INDEX(nQ8_Displayed_Value,$AH113)&amp;"",INDEX(nQ9_Displayed_Value,$AH113)&amp;"",INDEX(nQ10_Displayed_Value,$AH113)&amp;"",INDEX(nQ11_Displayed_Value,$AH113)&amp;""))</f>
        <v/>
      </c>
      <c r="AW113" s="1" t="str">
        <f>IF($AF113=0,"",CHOOSE($AF113,INDEX(nINT_Calculation_Mode_Used,$AH113)&amp;"","Q1","Q2","Q3","Q4","Q5","Q6","Q7","Q8","Q9","Q10","Q11"))</f>
        <v/>
      </c>
      <c r="AX113" s="1" t="str">
        <f>IF($AF113=0,"",CHOOSE($AF113,INDEX(nINT_Anchor_Type,$AH113)&amp;"","","","","","","","","","","",""))</f>
        <v/>
      </c>
      <c r="AY113" s="1" t="str">
        <f>IF($AF113=0,"",CHOOSE($AF113,IF(INDEX(nINT_K_Ok,$AH113)=1,INDEX(nINT_Anchor_Record_ID_Used,$AH113)&amp;"",""),"","","","","","","","","","",""))</f>
        <v/>
      </c>
      <c r="AZ113" s="1" t="str">
        <f>IF($AF113=0,"",CHOOSE($AF113,INDEX(nINT_Anchor_Description,$AH113)&amp;"","","","","","","","","","","",""))</f>
        <v/>
      </c>
      <c r="BA113" s="1" t="str">
        <f>IF($AF113=0,"",CHOOSE($AF113,INDEX(nINT_Sequence_Status,$AH113)&amp;"","","","","","","","","","","",""))</f>
        <v/>
      </c>
      <c r="BB113" s="1" t="str">
        <f>IF($AF113=0,"",CHOOSE($AF113,INDEX(nINT_Treatment_Day,$AH113),"","","","","","","","","","",""))</f>
        <v/>
      </c>
      <c r="BC113" s="1" t="str">
        <f>IF($AF113=0,"",CHOOSE($AF113,INDEX(nINT_Reported_Timing_Result,$AH113)&amp;"","","","","","","","","","","",""))</f>
        <v/>
      </c>
      <c r="BD113" s="1" t="str">
        <f>IF($AF113=0,"",CHOOSE($AF113,IF(INDEX(nINT_K_HasC,$AH113)=1,INDEX(nINT_Constraint_Source,$AH113)&amp;"",""),"","","","","","","","","","",""))</f>
        <v/>
      </c>
      <c r="BE113" s="1" t="str">
        <f>IF($AF113=0,"",CHOOSE($AF113,"",INDEX(nQ1_Results_Text,$AH113)&amp;"",INDEX(nQ2_Results_Text,$AH113)&amp;"",INDEX(nQ3_Results_Text,$AH113)&amp;"",INDEX(nQ4_Results_Text,$AH113)&amp;"",INDEX(nQ5_Results_Text,$AH113)&amp;"",INDEX(nQ6_Results_Text,$AH113)&amp;"",INDEX(nQ7_Results_Text,$AH113)&amp;"",INDEX(nQ8_Results_Text,$AH113)&amp;"",INDEX(nQ9_Results_Text,$AH113)&amp;"",INDEX(nQ10_Results_Text,$AH113)&amp;"",INDEX(nQ11_Results_Text,$AH113)&amp;""))</f>
        <v/>
      </c>
      <c r="BF113" s="1" t="str">
        <f>IF($AF113=0,"",CHOOSE($AF113,INDEX(nINT_Parameter_Set,$AH113)&amp;"",INDEX(nQ1_Parameter_Set,$AH113)&amp;"",INDEX(nQ2_Parameter_Set,$AH113)&amp;"",INDEX(nQ3_Parameter_Set,$AH113)&amp;"",INDEX(nQ4_Parameter_Set,$AH113)&amp;"",INDEX(nQ5_Parameter_Set,$AH113)&amp;"",INDEX(nQ6_Parameter_Set,$AH113)&amp;"",INDEX(nQ7_Parameter_Set,$AH113)&amp;"",INDEX(nQ8_Parameter_Set,$AH113)&amp;"",INDEX(nQ9_Parameter_Set,$AH113)&amp;"",INDEX(nQ10_Parameter_Set,$AH113)&amp;"",INDEX(nQ11_Parameter_Set,$AH113)&amp;""))</f>
        <v/>
      </c>
      <c r="BG113" s="1" t="str">
        <f>IF($AF113=0,"",CHOOSE($AF113,INDEX(nINT_Assumptions,$AH113)&amp;"",INDEX(nQ1_Assumptions,$AH113)&amp;"",INDEX(nQ2_Assumptions,$AH113)&amp;"",INDEX(nQ3_Assumptions,$AH113)&amp;"",INDEX(nQ4_Assumptions,$AH113)&amp;"",INDEX(nQ5_Assumptions,$AH113)&amp;"",INDEX(nQ6_Assumptions,$AH113)&amp;"",INDEX(nQ7_Assumptions,$AH113)&amp;"",INDEX(nQ8_Assumptions,$AH113)&amp;"",INDEX(nQ9_Assumptions,$AH113)&amp;"",INDEX(nQ10_Assumptions,$AH113)&amp;"",INDEX(nQ11_Assumptions,$AH113)&amp;""))</f>
        <v/>
      </c>
      <c r="BH113" s="1" t="str">
        <f>IF($AF113=0,"",CHOOSE($AF113,INDEX(nINT_Calculation_Version,$AH113)&amp;"",INDEX(nQ1_Calculation_Version,$AH113)&amp;"",INDEX(nQ2_Calculation_Version,$AH113)&amp;"",INDEX(nQ3_Calculation_Version,$AH113)&amp;"",INDEX(nQ4_Calculation_Version,$AH113)&amp;"",INDEX(nQ5_Calculation_Version,$AH113)&amp;"",INDEX(nQ6_Calculation_Version,$AH113)&amp;"",INDEX(nQ7_Calculation_Version,$AH113)&amp;"",INDEX(nQ8_Calculation_Version,$AH113)&amp;"",INDEX(nQ9_Calculation_Version,$AH113)&amp;"",INDEX(nQ10_Calculation_Version,$AH113)&amp;"",INDEX(nQ11_Calculation_Version,$AH113)&amp;""))</f>
        <v/>
      </c>
      <c r="BI113" s="1" t="str">
        <f>IF($AF113=0,"",CHOOSE($AF113,INDEX(nINT_QC_Flags,$AH113)&amp;"",INDEX(nQ1_QC_Flags,$AH113)&amp;"",INDEX(nQ2_QC_Flags,$AH113)&amp;"",INDEX(nQ3_QC_Flags,$AH113)&amp;"",INDEX(nQ4_QC_Flags,$AH113)&amp;"",INDEX(nQ5_QC_Flags,$AH113)&amp;"",INDEX(nQ6_QC_Flags,$AH113)&amp;"",INDEX(nQ7_QC_Flags,$AH113)&amp;"",INDEX(nQ8_QC_Flags,$AH113)&amp;"",INDEX(nQ9_QC_Flags,$AH113)&amp;"",INDEX(nQ10_QC_Flags,$AH113)&amp;"",INDEX(nQ11_QC_Flags,$AH113)&amp;""))</f>
        <v/>
      </c>
      <c r="BJ113" s="1" t="str">
        <f>IF($AF113=0,"",CHOOSE($AF113,INDEX(nINT_Messages,$AH113)&amp;"",INDEX(nQ1_Messages,$AH113)&amp;"",INDEX(nQ2_Messages,$AH113)&amp;"",INDEX(nQ3_Messages,$AH113)&amp;"",INDEX(nQ4_Messages,$AH113)&amp;"",INDEX(nQ5_Messages,$AH113)&amp;"",INDEX(nQ6_Messages,$AH113)&amp;"",INDEX(nQ7_Messages,$AH113)&amp;"",INDEX(nQ8_Messages,$AH113)&amp;"",INDEX(nQ9_Messages,$AH113)&amp;"",INDEX(nQ10_Messages,$AH113)&amp;"",INDEX(nQ11_Messages,$AH113)&amp;""))</f>
        <v/>
      </c>
      <c r="BK113" s="1" t="str">
        <f>IF($AF113=0,"",CHOOSE($AF113,INDEX(nINT_Limitations,$AH113)&amp;"",INDEX(nQ1_Mandatory_Text,$AH113)&amp;"",INDEX(nQ2_Mandatory_Text,$AH113)&amp;"",INDEX(nQ3_Mandatory_Text,$AH113)&amp;"",INDEX(nQ4_Mandatory_Text,$AH113)&amp;"",INDEX(nQ5_Mandatory_Text,$AH113)&amp;"",INDEX(nQ6_Mandatory_Text,$AH113)&amp;"",INDEX(nQ7_Mandatory_Text,$AH113)&amp;"",INDEX(nQ8_Mandatory_Text,$AH113)&amp;"",INDEX(nQ9_Mandatory_Text,$AH113)&amp;"",INDEX(nQ10_Mandatory_Text,$AH113)&amp;"",INDEX(nQ11_Mandatory_Text,$AH113)&amp;""))</f>
        <v/>
      </c>
      <c r="BL113" s="1" t="str">
        <f t="shared" si="68"/>
        <v/>
      </c>
      <c r="BM113" s="1" t="str">
        <f t="shared" si="69"/>
        <v/>
      </c>
    </row>
    <row r="114" spans="1:65" x14ac:dyDescent="0.2">
      <c r="A114" s="21" t="str">
        <f t="shared" si="35"/>
        <v/>
      </c>
      <c r="B114" s="21" t="str">
        <f t="shared" si="36"/>
        <v/>
      </c>
      <c r="C114" s="21" t="str">
        <f t="shared" si="37"/>
        <v/>
      </c>
      <c r="D114" s="21" t="str">
        <f t="shared" si="38"/>
        <v/>
      </c>
      <c r="E114" s="21" t="str">
        <f t="shared" si="39"/>
        <v/>
      </c>
      <c r="F114" s="21" t="str">
        <f t="shared" si="40"/>
        <v/>
      </c>
      <c r="G114" s="21" t="str">
        <f t="shared" si="41"/>
        <v/>
      </c>
      <c r="H114" s="21" t="str">
        <f t="shared" si="42"/>
        <v/>
      </c>
      <c r="I114" s="21" t="str">
        <f t="shared" si="43"/>
        <v/>
      </c>
      <c r="J114" s="21" t="str">
        <f t="shared" si="44"/>
        <v/>
      </c>
      <c r="K114" s="21" t="str">
        <f t="shared" si="45"/>
        <v/>
      </c>
      <c r="L114" s="21" t="str">
        <f t="shared" si="46"/>
        <v/>
      </c>
      <c r="M114" s="21" t="str">
        <f t="shared" si="47"/>
        <v/>
      </c>
      <c r="N114" s="21" t="str">
        <f t="shared" si="48"/>
        <v/>
      </c>
      <c r="O114" s="21" t="str">
        <f t="shared" si="49"/>
        <v/>
      </c>
      <c r="P114" s="21" t="str">
        <f t="shared" si="50"/>
        <v/>
      </c>
      <c r="Q114" s="21" t="str">
        <f t="shared" si="51"/>
        <v/>
      </c>
      <c r="R114" s="21" t="str">
        <f t="shared" si="52"/>
        <v/>
      </c>
      <c r="S114" s="21" t="str">
        <f t="shared" si="53"/>
        <v/>
      </c>
      <c r="T114" s="21" t="str">
        <f t="shared" si="54"/>
        <v/>
      </c>
      <c r="U114" s="21" t="str">
        <f t="shared" si="55"/>
        <v/>
      </c>
      <c r="V114" s="21" t="str">
        <f t="shared" si="56"/>
        <v/>
      </c>
      <c r="W114" s="21" t="str">
        <f t="shared" si="57"/>
        <v/>
      </c>
      <c r="X114" s="21" t="str">
        <f t="shared" si="58"/>
        <v/>
      </c>
      <c r="Y114" s="21" t="str">
        <f t="shared" si="59"/>
        <v/>
      </c>
      <c r="Z114" s="21" t="str">
        <f t="shared" si="60"/>
        <v/>
      </c>
      <c r="AA114" s="21" t="str">
        <f t="shared" si="61"/>
        <v/>
      </c>
      <c r="AB114" s="21" t="str">
        <f t="shared" si="62"/>
        <v/>
      </c>
      <c r="AC114" s="21" t="str">
        <f t="shared" si="63"/>
        <v/>
      </c>
      <c r="AD114" s="21" t="str">
        <f t="shared" si="64"/>
        <v/>
      </c>
      <c r="AE114" s="1">
        <f t="shared" si="65"/>
        <v>107</v>
      </c>
      <c r="AF114" s="1">
        <f t="shared" si="66"/>
        <v>0</v>
      </c>
      <c r="AG114" s="1">
        <f t="shared" si="67"/>
        <v>0</v>
      </c>
      <c r="AH114" s="1">
        <f>IF(AF114=0,0,CHOOSE(AF114,IFERROR(_xlfn.AGGREGATE(15,6,(ROW(nINT_CaseKey)-ROW(INDEX(nINT_CaseKey,1,1))+1)/((nINT_CaseKey=$H$4)*(nINT_RowEmpty=0)),AG114),0),IFERROR(_xlfn.AGGREGATE(15,6,(ROW(nQ1_CaseKey)-ROW(INDEX(nQ1_CaseKey,1,1))+1)/((nQ1_CaseKey=$H$4)),AG114),0),IFERROR(_xlfn.AGGREGATE(15,6,(ROW(nQ2_CaseKey)-ROW(INDEX(nQ2_CaseKey,1,1))+1)/((nQ2_CaseKey=$H$4)),AG114),0),IFERROR(_xlfn.AGGREGATE(15,6,(ROW(nQ3_CaseKey)-ROW(INDEX(nQ3_CaseKey,1,1))+1)/((nQ3_CaseKey=$H$4)),AG114),0),IFERROR(_xlfn.AGGREGATE(15,6,(ROW(nQ4_CaseKey)-ROW(INDEX(nQ4_CaseKey,1,1))+1)/((nQ4_CaseKey=$H$4)),AG114),0),IFERROR(_xlfn.AGGREGATE(15,6,(ROW(nQ5_CaseKey)-ROW(INDEX(nQ5_CaseKey,1,1))+1)/((nQ5_CaseKey=$H$4)),AG114),0),IFERROR(_xlfn.AGGREGATE(15,6,(ROW(nQ6_CaseKey)-ROW(INDEX(nQ6_CaseKey,1,1))+1)/((nQ6_CaseKey=$H$4)),AG114),0),IFERROR(_xlfn.AGGREGATE(15,6,(ROW(nQ7_CaseKey)-ROW(INDEX(nQ7_CaseKey,1,1))+1)/((nQ7_CaseKey=$H$4)),AG114),0),IFERROR(_xlfn.AGGREGATE(15,6,(ROW(nQ8_CaseKey)-ROW(INDEX(nQ8_CaseKey,1,1))+1)/((nQ8_CaseKey=$H$4)),AG114),0),IFERROR(_xlfn.AGGREGATE(15,6,(ROW(nQ9_CaseKey)-ROW(INDEX(nQ9_CaseKey,1,1))+1)/((nQ9_CaseKey=$H$4)),AG114),0),IFERROR(_xlfn.AGGREGATE(15,6,(ROW(nQ10_CaseKey)-ROW(INDEX(nQ10_CaseKey,1,1))+1)/((nQ10_CaseKey=$H$4)),AG114),0),IFERROR(_xlfn.AGGREGATE(15,6,(ROW(nQ11_CaseKey)-ROW(INDEX(nQ11_CaseKey,1,1))+1)/((nQ11_CaseKey=$H$4)),AG114),0)))</f>
        <v>0</v>
      </c>
      <c r="AJ114" s="1" t="str">
        <f>IF($AF114=0,"",CHOOSE($AF114,INDEX(nINT_Case_ID,$AH114)&amp;"",INDEX(nQ1_Case_ID,$AH114)&amp;"",INDEX(nQ2_Case_ID,$AH114)&amp;"",INDEX(nQ3_Case_ID,$AH114)&amp;"",INDEX(nQ4_Case_ID,$AH114)&amp;"",INDEX(nQ5_Case_ID,$AH114)&amp;"",INDEX(nQ6_Case_ID,$AH114)&amp;"",INDEX(nQ7_Case_ID,$AH114)&amp;"",INDEX(nQ8_Case_ID,$AH114)&amp;"",INDEX(nQ9_Case_ID,$AH114)&amp;"",INDEX(nQ10_Case_ID,$AH114)&amp;"",INDEX(nQ11_Case_ID,$AH114)&amp;""))</f>
        <v/>
      </c>
      <c r="AK114" s="1" t="str">
        <f>IF($AF114=0,"",CHOOSE($AF114,INDEX(nINT_Case_Version,$AH114),INDEX(nQ1_Case_Version,$AH114),INDEX(nQ2_Case_Version,$AH114),INDEX(nQ3_Case_Version,$AH114),INDEX(nQ4_Case_Version,$AH114),INDEX(nQ5_Case_Version,$AH114),INDEX(nQ6_Case_Version,$AH114),INDEX(nQ7_Case_Version,$AH114),INDEX(nQ8_Case_Version,$AH114),INDEX(nQ9_Case_Version,$AH114),INDEX(nQ10_Case_Version,$AH114),INDEX(nQ11_Case_Version,$AH114)))</f>
        <v/>
      </c>
      <c r="AL114" s="1" t="str">
        <f>IF($AF114=0,"",CHOOSE($AF114,INDEX(nINT_Interval_ID,$AH114)&amp;"",INDEX(nQ1_Calc_ID,$AH114)&amp;"",INDEX(nQ2_Calc_ID,$AH114)&amp;"",INDEX(nQ3_Calc_ID,$AH114)&amp;"",INDEX(nQ4_Calc_ID,$AH114)&amp;"",INDEX(nQ5_Calc_ID,$AH114)&amp;"",INDEX(nQ6_Calc_ID,$AH114)&amp;"",INDEX(nQ7_Calc_ID,$AH114)&amp;"",INDEX(nQ8_Calc_ID,$AH114)&amp;"",INDEX(nQ9_Calc_ID,$AH114)&amp;"",INDEX(nQ10_Calc_ID,$AH114)&amp;"",INDEX(nQ11_Calc_ID,$AH114)&amp;""))</f>
        <v/>
      </c>
      <c r="AM114" s="1" t="str">
        <f>IF($AF114=0,"",CHOOSE($AF114,INDEX(nINT_Label,$AH114)&amp;"",INDEX(nQ1_Label_Out,$AH114)&amp;"",INDEX(nQ2_Label_Out,$AH114)&amp;"",INDEX(nQ3_Label_Out,$AH114)&amp;"",INDEX(nQ4_Label_Out,$AH114)&amp;"",INDEX(nQ5_Label_Out,$AH114)&amp;"",INDEX(nQ6_Label_Out,$AH114)&amp;"",INDEX(nQ7_Label_Out,$AH114)&amp;"",INDEX(nQ8_Label_Out,$AH114)&amp;"",INDEX(nQ9_Label_Out,$AH114)&amp;"",INDEX(nQ10_Label_Out,$AH114)&amp;"",INDEX(nQ11_Label_Out,$AH114)&amp;""))</f>
        <v/>
      </c>
      <c r="AN114" s="1" t="str">
        <f>IF($AF114=0,"",CHOOSE($AF114,IF(INDEX(nINT_LinkRow,$AH114)=0,"",INDEX(nINT_Link_ID,$AH114)&amp;""),"","","","","","","","","","",""))</f>
        <v/>
      </c>
      <c r="AO114" s="1" t="str">
        <f>IF($AF114=0,"",CHOOSE($AF114,INDEX(nINT_Exposure_Episode_ID,$AH114)&amp;"","","","","","","","","","","",""))</f>
        <v/>
      </c>
      <c r="AP114" s="1" t="str">
        <f>IF($AF114=0,"",CHOOSE($AF114,INDEX(nINT_Event_Episode_ID,$AH114)&amp;"","","","","","","","","","","",""))</f>
        <v/>
      </c>
      <c r="AQ114" s="1" t="str">
        <f>IF($AF114=0,"",CHOOSE($AF114,INDEX(nINT_End_Record_ID_Used,$AH114)&amp;"","","","","","","","","","","",""))</f>
        <v/>
      </c>
      <c r="AR114" s="1" t="str">
        <f>IF($AF114=0,"",CHOOSE($AF114,INDEX(nINT_Interval_Value,$AH114),"","","","","","","","","","",""))</f>
        <v/>
      </c>
      <c r="AS114" s="1" t="str">
        <f>IF($AF114=0,"",CHOOSE($AF114,INDEX(nINT_Interval_Minimum,$AH114),"","","","","","","","","","",""))</f>
        <v/>
      </c>
      <c r="AT114" s="1" t="str">
        <f>IF($AF114=0,"",CHOOSE($AF114,INDEX(nINT_Interval_Maximum,$AH114),"","","","","","","","","","",""))</f>
        <v/>
      </c>
      <c r="AU114" s="1" t="str">
        <f>IF($AF114=0,"",CHOOSE($AF114,INDEX(nINT_Unit,$AH114)&amp;"",INDEX(nQ1_Unit_Out,$AH114)&amp;"",INDEX(nQ2_Unit_Out,$AH114)&amp;"",INDEX(nQ3_Unit_Out,$AH114)&amp;"",INDEX(nQ4_Unit_Out,$AH114)&amp;"",INDEX(nQ5_Unit_Out,$AH114)&amp;"",INDEX(nQ6_Unit_Out,$AH114)&amp;"",INDEX(nQ7_Unit_Out,$AH114)&amp;"",INDEX(nQ8_Unit_Out,$AH114)&amp;"",INDEX(nQ9_Unit_Out,$AH114)&amp;"",INDEX(nQ10_Unit_Out,$AH114)&amp;"",INDEX(nQ11_Unit_Out,$AH114)&amp;""))</f>
        <v/>
      </c>
      <c r="AV114" s="1" t="str">
        <f>IF($AF114=0,"",CHOOSE($AF114,INDEX(nINT_Displayed_Value,$AH114)&amp;"",INDEX(nQ1_Displayed_Value,$AH114)&amp;"",INDEX(nQ2_Displayed_Value,$AH114)&amp;"",INDEX(nQ3_Displayed_Value,$AH114)&amp;"",INDEX(nQ4_Displayed_Value,$AH114)&amp;"",INDEX(nQ5_Displayed_Value,$AH114)&amp;"",INDEX(nQ6_Displayed_Value,$AH114)&amp;"",INDEX(nQ7_Displayed_Value,$AH114)&amp;"",INDEX(nQ8_Displayed_Value,$AH114)&amp;"",INDEX(nQ9_Displayed_Value,$AH114)&amp;"",INDEX(nQ10_Displayed_Value,$AH114)&amp;"",INDEX(nQ11_Displayed_Value,$AH114)&amp;""))</f>
        <v/>
      </c>
      <c r="AW114" s="1" t="str">
        <f>IF($AF114=0,"",CHOOSE($AF114,INDEX(nINT_Calculation_Mode_Used,$AH114)&amp;"","Q1","Q2","Q3","Q4","Q5","Q6","Q7","Q8","Q9","Q10","Q11"))</f>
        <v/>
      </c>
      <c r="AX114" s="1" t="str">
        <f>IF($AF114=0,"",CHOOSE($AF114,INDEX(nINT_Anchor_Type,$AH114)&amp;"","","","","","","","","","","",""))</f>
        <v/>
      </c>
      <c r="AY114" s="1" t="str">
        <f>IF($AF114=0,"",CHOOSE($AF114,IF(INDEX(nINT_K_Ok,$AH114)=1,INDEX(nINT_Anchor_Record_ID_Used,$AH114)&amp;"",""),"","","","","","","","","","",""))</f>
        <v/>
      </c>
      <c r="AZ114" s="1" t="str">
        <f>IF($AF114=0,"",CHOOSE($AF114,INDEX(nINT_Anchor_Description,$AH114)&amp;"","","","","","","","","","","",""))</f>
        <v/>
      </c>
      <c r="BA114" s="1" t="str">
        <f>IF($AF114=0,"",CHOOSE($AF114,INDEX(nINT_Sequence_Status,$AH114)&amp;"","","","","","","","","","","",""))</f>
        <v/>
      </c>
      <c r="BB114" s="1" t="str">
        <f>IF($AF114=0,"",CHOOSE($AF114,INDEX(nINT_Treatment_Day,$AH114),"","","","","","","","","","",""))</f>
        <v/>
      </c>
      <c r="BC114" s="1" t="str">
        <f>IF($AF114=0,"",CHOOSE($AF114,INDEX(nINT_Reported_Timing_Result,$AH114)&amp;"","","","","","","","","","","",""))</f>
        <v/>
      </c>
      <c r="BD114" s="1" t="str">
        <f>IF($AF114=0,"",CHOOSE($AF114,IF(INDEX(nINT_K_HasC,$AH114)=1,INDEX(nINT_Constraint_Source,$AH114)&amp;"",""),"","","","","","","","","","",""))</f>
        <v/>
      </c>
      <c r="BE114" s="1" t="str">
        <f>IF($AF114=0,"",CHOOSE($AF114,"",INDEX(nQ1_Results_Text,$AH114)&amp;"",INDEX(nQ2_Results_Text,$AH114)&amp;"",INDEX(nQ3_Results_Text,$AH114)&amp;"",INDEX(nQ4_Results_Text,$AH114)&amp;"",INDEX(nQ5_Results_Text,$AH114)&amp;"",INDEX(nQ6_Results_Text,$AH114)&amp;"",INDEX(nQ7_Results_Text,$AH114)&amp;"",INDEX(nQ8_Results_Text,$AH114)&amp;"",INDEX(nQ9_Results_Text,$AH114)&amp;"",INDEX(nQ10_Results_Text,$AH114)&amp;"",INDEX(nQ11_Results_Text,$AH114)&amp;""))</f>
        <v/>
      </c>
      <c r="BF114" s="1" t="str">
        <f>IF($AF114=0,"",CHOOSE($AF114,INDEX(nINT_Parameter_Set,$AH114)&amp;"",INDEX(nQ1_Parameter_Set,$AH114)&amp;"",INDEX(nQ2_Parameter_Set,$AH114)&amp;"",INDEX(nQ3_Parameter_Set,$AH114)&amp;"",INDEX(nQ4_Parameter_Set,$AH114)&amp;"",INDEX(nQ5_Parameter_Set,$AH114)&amp;"",INDEX(nQ6_Parameter_Set,$AH114)&amp;"",INDEX(nQ7_Parameter_Set,$AH114)&amp;"",INDEX(nQ8_Parameter_Set,$AH114)&amp;"",INDEX(nQ9_Parameter_Set,$AH114)&amp;"",INDEX(nQ10_Parameter_Set,$AH114)&amp;"",INDEX(nQ11_Parameter_Set,$AH114)&amp;""))</f>
        <v/>
      </c>
      <c r="BG114" s="1" t="str">
        <f>IF($AF114=0,"",CHOOSE($AF114,INDEX(nINT_Assumptions,$AH114)&amp;"",INDEX(nQ1_Assumptions,$AH114)&amp;"",INDEX(nQ2_Assumptions,$AH114)&amp;"",INDEX(nQ3_Assumptions,$AH114)&amp;"",INDEX(nQ4_Assumptions,$AH114)&amp;"",INDEX(nQ5_Assumptions,$AH114)&amp;"",INDEX(nQ6_Assumptions,$AH114)&amp;"",INDEX(nQ7_Assumptions,$AH114)&amp;"",INDEX(nQ8_Assumptions,$AH114)&amp;"",INDEX(nQ9_Assumptions,$AH114)&amp;"",INDEX(nQ10_Assumptions,$AH114)&amp;"",INDEX(nQ11_Assumptions,$AH114)&amp;""))</f>
        <v/>
      </c>
      <c r="BH114" s="1" t="str">
        <f>IF($AF114=0,"",CHOOSE($AF114,INDEX(nINT_Calculation_Version,$AH114)&amp;"",INDEX(nQ1_Calculation_Version,$AH114)&amp;"",INDEX(nQ2_Calculation_Version,$AH114)&amp;"",INDEX(nQ3_Calculation_Version,$AH114)&amp;"",INDEX(nQ4_Calculation_Version,$AH114)&amp;"",INDEX(nQ5_Calculation_Version,$AH114)&amp;"",INDEX(nQ6_Calculation_Version,$AH114)&amp;"",INDEX(nQ7_Calculation_Version,$AH114)&amp;"",INDEX(nQ8_Calculation_Version,$AH114)&amp;"",INDEX(nQ9_Calculation_Version,$AH114)&amp;"",INDEX(nQ10_Calculation_Version,$AH114)&amp;"",INDEX(nQ11_Calculation_Version,$AH114)&amp;""))</f>
        <v/>
      </c>
      <c r="BI114" s="1" t="str">
        <f>IF($AF114=0,"",CHOOSE($AF114,INDEX(nINT_QC_Flags,$AH114)&amp;"",INDEX(nQ1_QC_Flags,$AH114)&amp;"",INDEX(nQ2_QC_Flags,$AH114)&amp;"",INDEX(nQ3_QC_Flags,$AH114)&amp;"",INDEX(nQ4_QC_Flags,$AH114)&amp;"",INDEX(nQ5_QC_Flags,$AH114)&amp;"",INDEX(nQ6_QC_Flags,$AH114)&amp;"",INDEX(nQ7_QC_Flags,$AH114)&amp;"",INDEX(nQ8_QC_Flags,$AH114)&amp;"",INDEX(nQ9_QC_Flags,$AH114)&amp;"",INDEX(nQ10_QC_Flags,$AH114)&amp;"",INDEX(nQ11_QC_Flags,$AH114)&amp;""))</f>
        <v/>
      </c>
      <c r="BJ114" s="1" t="str">
        <f>IF($AF114=0,"",CHOOSE($AF114,INDEX(nINT_Messages,$AH114)&amp;"",INDEX(nQ1_Messages,$AH114)&amp;"",INDEX(nQ2_Messages,$AH114)&amp;"",INDEX(nQ3_Messages,$AH114)&amp;"",INDEX(nQ4_Messages,$AH114)&amp;"",INDEX(nQ5_Messages,$AH114)&amp;"",INDEX(nQ6_Messages,$AH114)&amp;"",INDEX(nQ7_Messages,$AH114)&amp;"",INDEX(nQ8_Messages,$AH114)&amp;"",INDEX(nQ9_Messages,$AH114)&amp;"",INDEX(nQ10_Messages,$AH114)&amp;"",INDEX(nQ11_Messages,$AH114)&amp;""))</f>
        <v/>
      </c>
      <c r="BK114" s="1" t="str">
        <f>IF($AF114=0,"",CHOOSE($AF114,INDEX(nINT_Limitations,$AH114)&amp;"",INDEX(nQ1_Mandatory_Text,$AH114)&amp;"",INDEX(nQ2_Mandatory_Text,$AH114)&amp;"",INDEX(nQ3_Mandatory_Text,$AH114)&amp;"",INDEX(nQ4_Mandatory_Text,$AH114)&amp;"",INDEX(nQ5_Mandatory_Text,$AH114)&amp;"",INDEX(nQ6_Mandatory_Text,$AH114)&amp;"",INDEX(nQ7_Mandatory_Text,$AH114)&amp;"",INDEX(nQ8_Mandatory_Text,$AH114)&amp;"",INDEX(nQ9_Mandatory_Text,$AH114)&amp;"",INDEX(nQ10_Mandatory_Text,$AH114)&amp;"",INDEX(nQ11_Mandatory_Text,$AH114)&amp;""))</f>
        <v/>
      </c>
      <c r="BL114" s="1" t="str">
        <f t="shared" si="68"/>
        <v/>
      </c>
      <c r="BM114" s="1" t="str">
        <f t="shared" si="69"/>
        <v/>
      </c>
    </row>
    <row r="115" spans="1:65" x14ac:dyDescent="0.2">
      <c r="A115" s="21" t="str">
        <f t="shared" si="35"/>
        <v/>
      </c>
      <c r="B115" s="21" t="str">
        <f t="shared" si="36"/>
        <v/>
      </c>
      <c r="C115" s="21" t="str">
        <f t="shared" si="37"/>
        <v/>
      </c>
      <c r="D115" s="21" t="str">
        <f t="shared" si="38"/>
        <v/>
      </c>
      <c r="E115" s="21" t="str">
        <f t="shared" si="39"/>
        <v/>
      </c>
      <c r="F115" s="21" t="str">
        <f t="shared" si="40"/>
        <v/>
      </c>
      <c r="G115" s="21" t="str">
        <f t="shared" si="41"/>
        <v/>
      </c>
      <c r="H115" s="21" t="str">
        <f t="shared" si="42"/>
        <v/>
      </c>
      <c r="I115" s="21" t="str">
        <f t="shared" si="43"/>
        <v/>
      </c>
      <c r="J115" s="21" t="str">
        <f t="shared" si="44"/>
        <v/>
      </c>
      <c r="K115" s="21" t="str">
        <f t="shared" si="45"/>
        <v/>
      </c>
      <c r="L115" s="21" t="str">
        <f t="shared" si="46"/>
        <v/>
      </c>
      <c r="M115" s="21" t="str">
        <f t="shared" si="47"/>
        <v/>
      </c>
      <c r="N115" s="21" t="str">
        <f t="shared" si="48"/>
        <v/>
      </c>
      <c r="O115" s="21" t="str">
        <f t="shared" si="49"/>
        <v/>
      </c>
      <c r="P115" s="21" t="str">
        <f t="shared" si="50"/>
        <v/>
      </c>
      <c r="Q115" s="21" t="str">
        <f t="shared" si="51"/>
        <v/>
      </c>
      <c r="R115" s="21" t="str">
        <f t="shared" si="52"/>
        <v/>
      </c>
      <c r="S115" s="21" t="str">
        <f t="shared" si="53"/>
        <v/>
      </c>
      <c r="T115" s="21" t="str">
        <f t="shared" si="54"/>
        <v/>
      </c>
      <c r="U115" s="21" t="str">
        <f t="shared" si="55"/>
        <v/>
      </c>
      <c r="V115" s="21" t="str">
        <f t="shared" si="56"/>
        <v/>
      </c>
      <c r="W115" s="21" t="str">
        <f t="shared" si="57"/>
        <v/>
      </c>
      <c r="X115" s="21" t="str">
        <f t="shared" si="58"/>
        <v/>
      </c>
      <c r="Y115" s="21" t="str">
        <f t="shared" si="59"/>
        <v/>
      </c>
      <c r="Z115" s="21" t="str">
        <f t="shared" si="60"/>
        <v/>
      </c>
      <c r="AA115" s="21" t="str">
        <f t="shared" si="61"/>
        <v/>
      </c>
      <c r="AB115" s="21" t="str">
        <f t="shared" si="62"/>
        <v/>
      </c>
      <c r="AC115" s="21" t="str">
        <f t="shared" si="63"/>
        <v/>
      </c>
      <c r="AD115" s="21" t="str">
        <f t="shared" si="64"/>
        <v/>
      </c>
      <c r="AE115" s="1">
        <f t="shared" si="65"/>
        <v>108</v>
      </c>
      <c r="AF115" s="1">
        <f t="shared" si="66"/>
        <v>0</v>
      </c>
      <c r="AG115" s="1">
        <f t="shared" si="67"/>
        <v>0</v>
      </c>
      <c r="AH115" s="1">
        <f>IF(AF115=0,0,CHOOSE(AF115,IFERROR(_xlfn.AGGREGATE(15,6,(ROW(nINT_CaseKey)-ROW(INDEX(nINT_CaseKey,1,1))+1)/((nINT_CaseKey=$H$4)*(nINT_RowEmpty=0)),AG115),0),IFERROR(_xlfn.AGGREGATE(15,6,(ROW(nQ1_CaseKey)-ROW(INDEX(nQ1_CaseKey,1,1))+1)/((nQ1_CaseKey=$H$4)),AG115),0),IFERROR(_xlfn.AGGREGATE(15,6,(ROW(nQ2_CaseKey)-ROW(INDEX(nQ2_CaseKey,1,1))+1)/((nQ2_CaseKey=$H$4)),AG115),0),IFERROR(_xlfn.AGGREGATE(15,6,(ROW(nQ3_CaseKey)-ROW(INDEX(nQ3_CaseKey,1,1))+1)/((nQ3_CaseKey=$H$4)),AG115),0),IFERROR(_xlfn.AGGREGATE(15,6,(ROW(nQ4_CaseKey)-ROW(INDEX(nQ4_CaseKey,1,1))+1)/((nQ4_CaseKey=$H$4)),AG115),0),IFERROR(_xlfn.AGGREGATE(15,6,(ROW(nQ5_CaseKey)-ROW(INDEX(nQ5_CaseKey,1,1))+1)/((nQ5_CaseKey=$H$4)),AG115),0),IFERROR(_xlfn.AGGREGATE(15,6,(ROW(nQ6_CaseKey)-ROW(INDEX(nQ6_CaseKey,1,1))+1)/((nQ6_CaseKey=$H$4)),AG115),0),IFERROR(_xlfn.AGGREGATE(15,6,(ROW(nQ7_CaseKey)-ROW(INDEX(nQ7_CaseKey,1,1))+1)/((nQ7_CaseKey=$H$4)),AG115),0),IFERROR(_xlfn.AGGREGATE(15,6,(ROW(nQ8_CaseKey)-ROW(INDEX(nQ8_CaseKey,1,1))+1)/((nQ8_CaseKey=$H$4)),AG115),0),IFERROR(_xlfn.AGGREGATE(15,6,(ROW(nQ9_CaseKey)-ROW(INDEX(nQ9_CaseKey,1,1))+1)/((nQ9_CaseKey=$H$4)),AG115),0),IFERROR(_xlfn.AGGREGATE(15,6,(ROW(nQ10_CaseKey)-ROW(INDEX(nQ10_CaseKey,1,1))+1)/((nQ10_CaseKey=$H$4)),AG115),0),IFERROR(_xlfn.AGGREGATE(15,6,(ROW(nQ11_CaseKey)-ROW(INDEX(nQ11_CaseKey,1,1))+1)/((nQ11_CaseKey=$H$4)),AG115),0)))</f>
        <v>0</v>
      </c>
      <c r="AJ115" s="1" t="str">
        <f>IF($AF115=0,"",CHOOSE($AF115,INDEX(nINT_Case_ID,$AH115)&amp;"",INDEX(nQ1_Case_ID,$AH115)&amp;"",INDEX(nQ2_Case_ID,$AH115)&amp;"",INDEX(nQ3_Case_ID,$AH115)&amp;"",INDEX(nQ4_Case_ID,$AH115)&amp;"",INDEX(nQ5_Case_ID,$AH115)&amp;"",INDEX(nQ6_Case_ID,$AH115)&amp;"",INDEX(nQ7_Case_ID,$AH115)&amp;"",INDEX(nQ8_Case_ID,$AH115)&amp;"",INDEX(nQ9_Case_ID,$AH115)&amp;"",INDEX(nQ10_Case_ID,$AH115)&amp;"",INDEX(nQ11_Case_ID,$AH115)&amp;""))</f>
        <v/>
      </c>
      <c r="AK115" s="1" t="str">
        <f>IF($AF115=0,"",CHOOSE($AF115,INDEX(nINT_Case_Version,$AH115),INDEX(nQ1_Case_Version,$AH115),INDEX(nQ2_Case_Version,$AH115),INDEX(nQ3_Case_Version,$AH115),INDEX(nQ4_Case_Version,$AH115),INDEX(nQ5_Case_Version,$AH115),INDEX(nQ6_Case_Version,$AH115),INDEX(nQ7_Case_Version,$AH115),INDEX(nQ8_Case_Version,$AH115),INDEX(nQ9_Case_Version,$AH115),INDEX(nQ10_Case_Version,$AH115),INDEX(nQ11_Case_Version,$AH115)))</f>
        <v/>
      </c>
      <c r="AL115" s="1" t="str">
        <f>IF($AF115=0,"",CHOOSE($AF115,INDEX(nINT_Interval_ID,$AH115)&amp;"",INDEX(nQ1_Calc_ID,$AH115)&amp;"",INDEX(nQ2_Calc_ID,$AH115)&amp;"",INDEX(nQ3_Calc_ID,$AH115)&amp;"",INDEX(nQ4_Calc_ID,$AH115)&amp;"",INDEX(nQ5_Calc_ID,$AH115)&amp;"",INDEX(nQ6_Calc_ID,$AH115)&amp;"",INDEX(nQ7_Calc_ID,$AH115)&amp;"",INDEX(nQ8_Calc_ID,$AH115)&amp;"",INDEX(nQ9_Calc_ID,$AH115)&amp;"",INDEX(nQ10_Calc_ID,$AH115)&amp;"",INDEX(nQ11_Calc_ID,$AH115)&amp;""))</f>
        <v/>
      </c>
      <c r="AM115" s="1" t="str">
        <f>IF($AF115=0,"",CHOOSE($AF115,INDEX(nINT_Label,$AH115)&amp;"",INDEX(nQ1_Label_Out,$AH115)&amp;"",INDEX(nQ2_Label_Out,$AH115)&amp;"",INDEX(nQ3_Label_Out,$AH115)&amp;"",INDEX(nQ4_Label_Out,$AH115)&amp;"",INDEX(nQ5_Label_Out,$AH115)&amp;"",INDEX(nQ6_Label_Out,$AH115)&amp;"",INDEX(nQ7_Label_Out,$AH115)&amp;"",INDEX(nQ8_Label_Out,$AH115)&amp;"",INDEX(nQ9_Label_Out,$AH115)&amp;"",INDEX(nQ10_Label_Out,$AH115)&amp;"",INDEX(nQ11_Label_Out,$AH115)&amp;""))</f>
        <v/>
      </c>
      <c r="AN115" s="1" t="str">
        <f>IF($AF115=0,"",CHOOSE($AF115,IF(INDEX(nINT_LinkRow,$AH115)=0,"",INDEX(nINT_Link_ID,$AH115)&amp;""),"","","","","","","","","","",""))</f>
        <v/>
      </c>
      <c r="AO115" s="1" t="str">
        <f>IF($AF115=0,"",CHOOSE($AF115,INDEX(nINT_Exposure_Episode_ID,$AH115)&amp;"","","","","","","","","","","",""))</f>
        <v/>
      </c>
      <c r="AP115" s="1" t="str">
        <f>IF($AF115=0,"",CHOOSE($AF115,INDEX(nINT_Event_Episode_ID,$AH115)&amp;"","","","","","","","","","","",""))</f>
        <v/>
      </c>
      <c r="AQ115" s="1" t="str">
        <f>IF($AF115=0,"",CHOOSE($AF115,INDEX(nINT_End_Record_ID_Used,$AH115)&amp;"","","","","","","","","","","",""))</f>
        <v/>
      </c>
      <c r="AR115" s="1" t="str">
        <f>IF($AF115=0,"",CHOOSE($AF115,INDEX(nINT_Interval_Value,$AH115),"","","","","","","","","","",""))</f>
        <v/>
      </c>
      <c r="AS115" s="1" t="str">
        <f>IF($AF115=0,"",CHOOSE($AF115,INDEX(nINT_Interval_Minimum,$AH115),"","","","","","","","","","",""))</f>
        <v/>
      </c>
      <c r="AT115" s="1" t="str">
        <f>IF($AF115=0,"",CHOOSE($AF115,INDEX(nINT_Interval_Maximum,$AH115),"","","","","","","","","","",""))</f>
        <v/>
      </c>
      <c r="AU115" s="1" t="str">
        <f>IF($AF115=0,"",CHOOSE($AF115,INDEX(nINT_Unit,$AH115)&amp;"",INDEX(nQ1_Unit_Out,$AH115)&amp;"",INDEX(nQ2_Unit_Out,$AH115)&amp;"",INDEX(nQ3_Unit_Out,$AH115)&amp;"",INDEX(nQ4_Unit_Out,$AH115)&amp;"",INDEX(nQ5_Unit_Out,$AH115)&amp;"",INDEX(nQ6_Unit_Out,$AH115)&amp;"",INDEX(nQ7_Unit_Out,$AH115)&amp;"",INDEX(nQ8_Unit_Out,$AH115)&amp;"",INDEX(nQ9_Unit_Out,$AH115)&amp;"",INDEX(nQ10_Unit_Out,$AH115)&amp;"",INDEX(nQ11_Unit_Out,$AH115)&amp;""))</f>
        <v/>
      </c>
      <c r="AV115" s="1" t="str">
        <f>IF($AF115=0,"",CHOOSE($AF115,INDEX(nINT_Displayed_Value,$AH115)&amp;"",INDEX(nQ1_Displayed_Value,$AH115)&amp;"",INDEX(nQ2_Displayed_Value,$AH115)&amp;"",INDEX(nQ3_Displayed_Value,$AH115)&amp;"",INDEX(nQ4_Displayed_Value,$AH115)&amp;"",INDEX(nQ5_Displayed_Value,$AH115)&amp;"",INDEX(nQ6_Displayed_Value,$AH115)&amp;"",INDEX(nQ7_Displayed_Value,$AH115)&amp;"",INDEX(nQ8_Displayed_Value,$AH115)&amp;"",INDEX(nQ9_Displayed_Value,$AH115)&amp;"",INDEX(nQ10_Displayed_Value,$AH115)&amp;"",INDEX(nQ11_Displayed_Value,$AH115)&amp;""))</f>
        <v/>
      </c>
      <c r="AW115" s="1" t="str">
        <f>IF($AF115=0,"",CHOOSE($AF115,INDEX(nINT_Calculation_Mode_Used,$AH115)&amp;"","Q1","Q2","Q3","Q4","Q5","Q6","Q7","Q8","Q9","Q10","Q11"))</f>
        <v/>
      </c>
      <c r="AX115" s="1" t="str">
        <f>IF($AF115=0,"",CHOOSE($AF115,INDEX(nINT_Anchor_Type,$AH115)&amp;"","","","","","","","","","","",""))</f>
        <v/>
      </c>
      <c r="AY115" s="1" t="str">
        <f>IF($AF115=0,"",CHOOSE($AF115,IF(INDEX(nINT_K_Ok,$AH115)=1,INDEX(nINT_Anchor_Record_ID_Used,$AH115)&amp;"",""),"","","","","","","","","","",""))</f>
        <v/>
      </c>
      <c r="AZ115" s="1" t="str">
        <f>IF($AF115=0,"",CHOOSE($AF115,INDEX(nINT_Anchor_Description,$AH115)&amp;"","","","","","","","","","","",""))</f>
        <v/>
      </c>
      <c r="BA115" s="1" t="str">
        <f>IF($AF115=0,"",CHOOSE($AF115,INDEX(nINT_Sequence_Status,$AH115)&amp;"","","","","","","","","","","",""))</f>
        <v/>
      </c>
      <c r="BB115" s="1" t="str">
        <f>IF($AF115=0,"",CHOOSE($AF115,INDEX(nINT_Treatment_Day,$AH115),"","","","","","","","","","",""))</f>
        <v/>
      </c>
      <c r="BC115" s="1" t="str">
        <f>IF($AF115=0,"",CHOOSE($AF115,INDEX(nINT_Reported_Timing_Result,$AH115)&amp;"","","","","","","","","","","",""))</f>
        <v/>
      </c>
      <c r="BD115" s="1" t="str">
        <f>IF($AF115=0,"",CHOOSE($AF115,IF(INDEX(nINT_K_HasC,$AH115)=1,INDEX(nINT_Constraint_Source,$AH115)&amp;"",""),"","","","","","","","","","",""))</f>
        <v/>
      </c>
      <c r="BE115" s="1" t="str">
        <f>IF($AF115=0,"",CHOOSE($AF115,"",INDEX(nQ1_Results_Text,$AH115)&amp;"",INDEX(nQ2_Results_Text,$AH115)&amp;"",INDEX(nQ3_Results_Text,$AH115)&amp;"",INDEX(nQ4_Results_Text,$AH115)&amp;"",INDEX(nQ5_Results_Text,$AH115)&amp;"",INDEX(nQ6_Results_Text,$AH115)&amp;"",INDEX(nQ7_Results_Text,$AH115)&amp;"",INDEX(nQ8_Results_Text,$AH115)&amp;"",INDEX(nQ9_Results_Text,$AH115)&amp;"",INDEX(nQ10_Results_Text,$AH115)&amp;"",INDEX(nQ11_Results_Text,$AH115)&amp;""))</f>
        <v/>
      </c>
      <c r="BF115" s="1" t="str">
        <f>IF($AF115=0,"",CHOOSE($AF115,INDEX(nINT_Parameter_Set,$AH115)&amp;"",INDEX(nQ1_Parameter_Set,$AH115)&amp;"",INDEX(nQ2_Parameter_Set,$AH115)&amp;"",INDEX(nQ3_Parameter_Set,$AH115)&amp;"",INDEX(nQ4_Parameter_Set,$AH115)&amp;"",INDEX(nQ5_Parameter_Set,$AH115)&amp;"",INDEX(nQ6_Parameter_Set,$AH115)&amp;"",INDEX(nQ7_Parameter_Set,$AH115)&amp;"",INDEX(nQ8_Parameter_Set,$AH115)&amp;"",INDEX(nQ9_Parameter_Set,$AH115)&amp;"",INDEX(nQ10_Parameter_Set,$AH115)&amp;"",INDEX(nQ11_Parameter_Set,$AH115)&amp;""))</f>
        <v/>
      </c>
      <c r="BG115" s="1" t="str">
        <f>IF($AF115=0,"",CHOOSE($AF115,INDEX(nINT_Assumptions,$AH115)&amp;"",INDEX(nQ1_Assumptions,$AH115)&amp;"",INDEX(nQ2_Assumptions,$AH115)&amp;"",INDEX(nQ3_Assumptions,$AH115)&amp;"",INDEX(nQ4_Assumptions,$AH115)&amp;"",INDEX(nQ5_Assumptions,$AH115)&amp;"",INDEX(nQ6_Assumptions,$AH115)&amp;"",INDEX(nQ7_Assumptions,$AH115)&amp;"",INDEX(nQ8_Assumptions,$AH115)&amp;"",INDEX(nQ9_Assumptions,$AH115)&amp;"",INDEX(nQ10_Assumptions,$AH115)&amp;"",INDEX(nQ11_Assumptions,$AH115)&amp;""))</f>
        <v/>
      </c>
      <c r="BH115" s="1" t="str">
        <f>IF($AF115=0,"",CHOOSE($AF115,INDEX(nINT_Calculation_Version,$AH115)&amp;"",INDEX(nQ1_Calculation_Version,$AH115)&amp;"",INDEX(nQ2_Calculation_Version,$AH115)&amp;"",INDEX(nQ3_Calculation_Version,$AH115)&amp;"",INDEX(nQ4_Calculation_Version,$AH115)&amp;"",INDEX(nQ5_Calculation_Version,$AH115)&amp;"",INDEX(nQ6_Calculation_Version,$AH115)&amp;"",INDEX(nQ7_Calculation_Version,$AH115)&amp;"",INDEX(nQ8_Calculation_Version,$AH115)&amp;"",INDEX(nQ9_Calculation_Version,$AH115)&amp;"",INDEX(nQ10_Calculation_Version,$AH115)&amp;"",INDEX(nQ11_Calculation_Version,$AH115)&amp;""))</f>
        <v/>
      </c>
      <c r="BI115" s="1" t="str">
        <f>IF($AF115=0,"",CHOOSE($AF115,INDEX(nINT_QC_Flags,$AH115)&amp;"",INDEX(nQ1_QC_Flags,$AH115)&amp;"",INDEX(nQ2_QC_Flags,$AH115)&amp;"",INDEX(nQ3_QC_Flags,$AH115)&amp;"",INDEX(nQ4_QC_Flags,$AH115)&amp;"",INDEX(nQ5_QC_Flags,$AH115)&amp;"",INDEX(nQ6_QC_Flags,$AH115)&amp;"",INDEX(nQ7_QC_Flags,$AH115)&amp;"",INDEX(nQ8_QC_Flags,$AH115)&amp;"",INDEX(nQ9_QC_Flags,$AH115)&amp;"",INDEX(nQ10_QC_Flags,$AH115)&amp;"",INDEX(nQ11_QC_Flags,$AH115)&amp;""))</f>
        <v/>
      </c>
      <c r="BJ115" s="1" t="str">
        <f>IF($AF115=0,"",CHOOSE($AF115,INDEX(nINT_Messages,$AH115)&amp;"",INDEX(nQ1_Messages,$AH115)&amp;"",INDEX(nQ2_Messages,$AH115)&amp;"",INDEX(nQ3_Messages,$AH115)&amp;"",INDEX(nQ4_Messages,$AH115)&amp;"",INDEX(nQ5_Messages,$AH115)&amp;"",INDEX(nQ6_Messages,$AH115)&amp;"",INDEX(nQ7_Messages,$AH115)&amp;"",INDEX(nQ8_Messages,$AH115)&amp;"",INDEX(nQ9_Messages,$AH115)&amp;"",INDEX(nQ10_Messages,$AH115)&amp;"",INDEX(nQ11_Messages,$AH115)&amp;""))</f>
        <v/>
      </c>
      <c r="BK115" s="1" t="str">
        <f>IF($AF115=0,"",CHOOSE($AF115,INDEX(nINT_Limitations,$AH115)&amp;"",INDEX(nQ1_Mandatory_Text,$AH115)&amp;"",INDEX(nQ2_Mandatory_Text,$AH115)&amp;"",INDEX(nQ3_Mandatory_Text,$AH115)&amp;"",INDEX(nQ4_Mandatory_Text,$AH115)&amp;"",INDEX(nQ5_Mandatory_Text,$AH115)&amp;"",INDEX(nQ6_Mandatory_Text,$AH115)&amp;"",INDEX(nQ7_Mandatory_Text,$AH115)&amp;"",INDEX(nQ8_Mandatory_Text,$AH115)&amp;"",INDEX(nQ9_Mandatory_Text,$AH115)&amp;"",INDEX(nQ10_Mandatory_Text,$AH115)&amp;"",INDEX(nQ11_Mandatory_Text,$AH115)&amp;""))</f>
        <v/>
      </c>
      <c r="BL115" s="1" t="str">
        <f t="shared" si="68"/>
        <v/>
      </c>
      <c r="BM115" s="1" t="str">
        <f t="shared" si="69"/>
        <v/>
      </c>
    </row>
    <row r="116" spans="1:65" x14ac:dyDescent="0.2">
      <c r="A116" s="21" t="str">
        <f t="shared" si="35"/>
        <v/>
      </c>
      <c r="B116" s="21" t="str">
        <f t="shared" si="36"/>
        <v/>
      </c>
      <c r="C116" s="21" t="str">
        <f t="shared" si="37"/>
        <v/>
      </c>
      <c r="D116" s="21" t="str">
        <f t="shared" si="38"/>
        <v/>
      </c>
      <c r="E116" s="21" t="str">
        <f t="shared" si="39"/>
        <v/>
      </c>
      <c r="F116" s="21" t="str">
        <f t="shared" si="40"/>
        <v/>
      </c>
      <c r="G116" s="21" t="str">
        <f t="shared" si="41"/>
        <v/>
      </c>
      <c r="H116" s="21" t="str">
        <f t="shared" si="42"/>
        <v/>
      </c>
      <c r="I116" s="21" t="str">
        <f t="shared" si="43"/>
        <v/>
      </c>
      <c r="J116" s="21" t="str">
        <f t="shared" si="44"/>
        <v/>
      </c>
      <c r="K116" s="21" t="str">
        <f t="shared" si="45"/>
        <v/>
      </c>
      <c r="L116" s="21" t="str">
        <f t="shared" si="46"/>
        <v/>
      </c>
      <c r="M116" s="21" t="str">
        <f t="shared" si="47"/>
        <v/>
      </c>
      <c r="N116" s="21" t="str">
        <f t="shared" si="48"/>
        <v/>
      </c>
      <c r="O116" s="21" t="str">
        <f t="shared" si="49"/>
        <v/>
      </c>
      <c r="P116" s="21" t="str">
        <f t="shared" si="50"/>
        <v/>
      </c>
      <c r="Q116" s="21" t="str">
        <f t="shared" si="51"/>
        <v/>
      </c>
      <c r="R116" s="21" t="str">
        <f t="shared" si="52"/>
        <v/>
      </c>
      <c r="S116" s="21" t="str">
        <f t="shared" si="53"/>
        <v/>
      </c>
      <c r="T116" s="21" t="str">
        <f t="shared" si="54"/>
        <v/>
      </c>
      <c r="U116" s="21" t="str">
        <f t="shared" si="55"/>
        <v/>
      </c>
      <c r="V116" s="21" t="str">
        <f t="shared" si="56"/>
        <v/>
      </c>
      <c r="W116" s="21" t="str">
        <f t="shared" si="57"/>
        <v/>
      </c>
      <c r="X116" s="21" t="str">
        <f t="shared" si="58"/>
        <v/>
      </c>
      <c r="Y116" s="21" t="str">
        <f t="shared" si="59"/>
        <v/>
      </c>
      <c r="Z116" s="21" t="str">
        <f t="shared" si="60"/>
        <v/>
      </c>
      <c r="AA116" s="21" t="str">
        <f t="shared" si="61"/>
        <v/>
      </c>
      <c r="AB116" s="21" t="str">
        <f t="shared" si="62"/>
        <v/>
      </c>
      <c r="AC116" s="21" t="str">
        <f t="shared" si="63"/>
        <v/>
      </c>
      <c r="AD116" s="21" t="str">
        <f t="shared" si="64"/>
        <v/>
      </c>
      <c r="AE116" s="1">
        <f t="shared" si="65"/>
        <v>109</v>
      </c>
      <c r="AF116" s="1">
        <f t="shared" si="66"/>
        <v>0</v>
      </c>
      <c r="AG116" s="1">
        <f t="shared" si="67"/>
        <v>0</v>
      </c>
      <c r="AH116" s="1">
        <f>IF(AF116=0,0,CHOOSE(AF116,IFERROR(_xlfn.AGGREGATE(15,6,(ROW(nINT_CaseKey)-ROW(INDEX(nINT_CaseKey,1,1))+1)/((nINT_CaseKey=$H$4)*(nINT_RowEmpty=0)),AG116),0),IFERROR(_xlfn.AGGREGATE(15,6,(ROW(nQ1_CaseKey)-ROW(INDEX(nQ1_CaseKey,1,1))+1)/((nQ1_CaseKey=$H$4)),AG116),0),IFERROR(_xlfn.AGGREGATE(15,6,(ROW(nQ2_CaseKey)-ROW(INDEX(nQ2_CaseKey,1,1))+1)/((nQ2_CaseKey=$H$4)),AG116),0),IFERROR(_xlfn.AGGREGATE(15,6,(ROW(nQ3_CaseKey)-ROW(INDEX(nQ3_CaseKey,1,1))+1)/((nQ3_CaseKey=$H$4)),AG116),0),IFERROR(_xlfn.AGGREGATE(15,6,(ROW(nQ4_CaseKey)-ROW(INDEX(nQ4_CaseKey,1,1))+1)/((nQ4_CaseKey=$H$4)),AG116),0),IFERROR(_xlfn.AGGREGATE(15,6,(ROW(nQ5_CaseKey)-ROW(INDEX(nQ5_CaseKey,1,1))+1)/((nQ5_CaseKey=$H$4)),AG116),0),IFERROR(_xlfn.AGGREGATE(15,6,(ROW(nQ6_CaseKey)-ROW(INDEX(nQ6_CaseKey,1,1))+1)/((nQ6_CaseKey=$H$4)),AG116),0),IFERROR(_xlfn.AGGREGATE(15,6,(ROW(nQ7_CaseKey)-ROW(INDEX(nQ7_CaseKey,1,1))+1)/((nQ7_CaseKey=$H$4)),AG116),0),IFERROR(_xlfn.AGGREGATE(15,6,(ROW(nQ8_CaseKey)-ROW(INDEX(nQ8_CaseKey,1,1))+1)/((nQ8_CaseKey=$H$4)),AG116),0),IFERROR(_xlfn.AGGREGATE(15,6,(ROW(nQ9_CaseKey)-ROW(INDEX(nQ9_CaseKey,1,1))+1)/((nQ9_CaseKey=$H$4)),AG116),0),IFERROR(_xlfn.AGGREGATE(15,6,(ROW(nQ10_CaseKey)-ROW(INDEX(nQ10_CaseKey,1,1))+1)/((nQ10_CaseKey=$H$4)),AG116),0),IFERROR(_xlfn.AGGREGATE(15,6,(ROW(nQ11_CaseKey)-ROW(INDEX(nQ11_CaseKey,1,1))+1)/((nQ11_CaseKey=$H$4)),AG116),0)))</f>
        <v>0</v>
      </c>
      <c r="AJ116" s="1" t="str">
        <f>IF($AF116=0,"",CHOOSE($AF116,INDEX(nINT_Case_ID,$AH116)&amp;"",INDEX(nQ1_Case_ID,$AH116)&amp;"",INDEX(nQ2_Case_ID,$AH116)&amp;"",INDEX(nQ3_Case_ID,$AH116)&amp;"",INDEX(nQ4_Case_ID,$AH116)&amp;"",INDEX(nQ5_Case_ID,$AH116)&amp;"",INDEX(nQ6_Case_ID,$AH116)&amp;"",INDEX(nQ7_Case_ID,$AH116)&amp;"",INDEX(nQ8_Case_ID,$AH116)&amp;"",INDEX(nQ9_Case_ID,$AH116)&amp;"",INDEX(nQ10_Case_ID,$AH116)&amp;"",INDEX(nQ11_Case_ID,$AH116)&amp;""))</f>
        <v/>
      </c>
      <c r="AK116" s="1" t="str">
        <f>IF($AF116=0,"",CHOOSE($AF116,INDEX(nINT_Case_Version,$AH116),INDEX(nQ1_Case_Version,$AH116),INDEX(nQ2_Case_Version,$AH116),INDEX(nQ3_Case_Version,$AH116),INDEX(nQ4_Case_Version,$AH116),INDEX(nQ5_Case_Version,$AH116),INDEX(nQ6_Case_Version,$AH116),INDEX(nQ7_Case_Version,$AH116),INDEX(nQ8_Case_Version,$AH116),INDEX(nQ9_Case_Version,$AH116),INDEX(nQ10_Case_Version,$AH116),INDEX(nQ11_Case_Version,$AH116)))</f>
        <v/>
      </c>
      <c r="AL116" s="1" t="str">
        <f>IF($AF116=0,"",CHOOSE($AF116,INDEX(nINT_Interval_ID,$AH116)&amp;"",INDEX(nQ1_Calc_ID,$AH116)&amp;"",INDEX(nQ2_Calc_ID,$AH116)&amp;"",INDEX(nQ3_Calc_ID,$AH116)&amp;"",INDEX(nQ4_Calc_ID,$AH116)&amp;"",INDEX(nQ5_Calc_ID,$AH116)&amp;"",INDEX(nQ6_Calc_ID,$AH116)&amp;"",INDEX(nQ7_Calc_ID,$AH116)&amp;"",INDEX(nQ8_Calc_ID,$AH116)&amp;"",INDEX(nQ9_Calc_ID,$AH116)&amp;"",INDEX(nQ10_Calc_ID,$AH116)&amp;"",INDEX(nQ11_Calc_ID,$AH116)&amp;""))</f>
        <v/>
      </c>
      <c r="AM116" s="1" t="str">
        <f>IF($AF116=0,"",CHOOSE($AF116,INDEX(nINT_Label,$AH116)&amp;"",INDEX(nQ1_Label_Out,$AH116)&amp;"",INDEX(nQ2_Label_Out,$AH116)&amp;"",INDEX(nQ3_Label_Out,$AH116)&amp;"",INDEX(nQ4_Label_Out,$AH116)&amp;"",INDEX(nQ5_Label_Out,$AH116)&amp;"",INDEX(nQ6_Label_Out,$AH116)&amp;"",INDEX(nQ7_Label_Out,$AH116)&amp;"",INDEX(nQ8_Label_Out,$AH116)&amp;"",INDEX(nQ9_Label_Out,$AH116)&amp;"",INDEX(nQ10_Label_Out,$AH116)&amp;"",INDEX(nQ11_Label_Out,$AH116)&amp;""))</f>
        <v/>
      </c>
      <c r="AN116" s="1" t="str">
        <f>IF($AF116=0,"",CHOOSE($AF116,IF(INDEX(nINT_LinkRow,$AH116)=0,"",INDEX(nINT_Link_ID,$AH116)&amp;""),"","","","","","","","","","",""))</f>
        <v/>
      </c>
      <c r="AO116" s="1" t="str">
        <f>IF($AF116=0,"",CHOOSE($AF116,INDEX(nINT_Exposure_Episode_ID,$AH116)&amp;"","","","","","","","","","","",""))</f>
        <v/>
      </c>
      <c r="AP116" s="1" t="str">
        <f>IF($AF116=0,"",CHOOSE($AF116,INDEX(nINT_Event_Episode_ID,$AH116)&amp;"","","","","","","","","","","",""))</f>
        <v/>
      </c>
      <c r="AQ116" s="1" t="str">
        <f>IF($AF116=0,"",CHOOSE($AF116,INDEX(nINT_End_Record_ID_Used,$AH116)&amp;"","","","","","","","","","","",""))</f>
        <v/>
      </c>
      <c r="AR116" s="1" t="str">
        <f>IF($AF116=0,"",CHOOSE($AF116,INDEX(nINT_Interval_Value,$AH116),"","","","","","","","","","",""))</f>
        <v/>
      </c>
      <c r="AS116" s="1" t="str">
        <f>IF($AF116=0,"",CHOOSE($AF116,INDEX(nINT_Interval_Minimum,$AH116),"","","","","","","","","","",""))</f>
        <v/>
      </c>
      <c r="AT116" s="1" t="str">
        <f>IF($AF116=0,"",CHOOSE($AF116,INDEX(nINT_Interval_Maximum,$AH116),"","","","","","","","","","",""))</f>
        <v/>
      </c>
      <c r="AU116" s="1" t="str">
        <f>IF($AF116=0,"",CHOOSE($AF116,INDEX(nINT_Unit,$AH116)&amp;"",INDEX(nQ1_Unit_Out,$AH116)&amp;"",INDEX(nQ2_Unit_Out,$AH116)&amp;"",INDEX(nQ3_Unit_Out,$AH116)&amp;"",INDEX(nQ4_Unit_Out,$AH116)&amp;"",INDEX(nQ5_Unit_Out,$AH116)&amp;"",INDEX(nQ6_Unit_Out,$AH116)&amp;"",INDEX(nQ7_Unit_Out,$AH116)&amp;"",INDEX(nQ8_Unit_Out,$AH116)&amp;"",INDEX(nQ9_Unit_Out,$AH116)&amp;"",INDEX(nQ10_Unit_Out,$AH116)&amp;"",INDEX(nQ11_Unit_Out,$AH116)&amp;""))</f>
        <v/>
      </c>
      <c r="AV116" s="1" t="str">
        <f>IF($AF116=0,"",CHOOSE($AF116,INDEX(nINT_Displayed_Value,$AH116)&amp;"",INDEX(nQ1_Displayed_Value,$AH116)&amp;"",INDEX(nQ2_Displayed_Value,$AH116)&amp;"",INDEX(nQ3_Displayed_Value,$AH116)&amp;"",INDEX(nQ4_Displayed_Value,$AH116)&amp;"",INDEX(nQ5_Displayed_Value,$AH116)&amp;"",INDEX(nQ6_Displayed_Value,$AH116)&amp;"",INDEX(nQ7_Displayed_Value,$AH116)&amp;"",INDEX(nQ8_Displayed_Value,$AH116)&amp;"",INDEX(nQ9_Displayed_Value,$AH116)&amp;"",INDEX(nQ10_Displayed_Value,$AH116)&amp;"",INDEX(nQ11_Displayed_Value,$AH116)&amp;""))</f>
        <v/>
      </c>
      <c r="AW116" s="1" t="str">
        <f>IF($AF116=0,"",CHOOSE($AF116,INDEX(nINT_Calculation_Mode_Used,$AH116)&amp;"","Q1","Q2","Q3","Q4","Q5","Q6","Q7","Q8","Q9","Q10","Q11"))</f>
        <v/>
      </c>
      <c r="AX116" s="1" t="str">
        <f>IF($AF116=0,"",CHOOSE($AF116,INDEX(nINT_Anchor_Type,$AH116)&amp;"","","","","","","","","","","",""))</f>
        <v/>
      </c>
      <c r="AY116" s="1" t="str">
        <f>IF($AF116=0,"",CHOOSE($AF116,IF(INDEX(nINT_K_Ok,$AH116)=1,INDEX(nINT_Anchor_Record_ID_Used,$AH116)&amp;"",""),"","","","","","","","","","",""))</f>
        <v/>
      </c>
      <c r="AZ116" s="1" t="str">
        <f>IF($AF116=0,"",CHOOSE($AF116,INDEX(nINT_Anchor_Description,$AH116)&amp;"","","","","","","","","","","",""))</f>
        <v/>
      </c>
      <c r="BA116" s="1" t="str">
        <f>IF($AF116=0,"",CHOOSE($AF116,INDEX(nINT_Sequence_Status,$AH116)&amp;"","","","","","","","","","","",""))</f>
        <v/>
      </c>
      <c r="BB116" s="1" t="str">
        <f>IF($AF116=0,"",CHOOSE($AF116,INDEX(nINT_Treatment_Day,$AH116),"","","","","","","","","","",""))</f>
        <v/>
      </c>
      <c r="BC116" s="1" t="str">
        <f>IF($AF116=0,"",CHOOSE($AF116,INDEX(nINT_Reported_Timing_Result,$AH116)&amp;"","","","","","","","","","","",""))</f>
        <v/>
      </c>
      <c r="BD116" s="1" t="str">
        <f>IF($AF116=0,"",CHOOSE($AF116,IF(INDEX(nINT_K_HasC,$AH116)=1,INDEX(nINT_Constraint_Source,$AH116)&amp;"",""),"","","","","","","","","","",""))</f>
        <v/>
      </c>
      <c r="BE116" s="1" t="str">
        <f>IF($AF116=0,"",CHOOSE($AF116,"",INDEX(nQ1_Results_Text,$AH116)&amp;"",INDEX(nQ2_Results_Text,$AH116)&amp;"",INDEX(nQ3_Results_Text,$AH116)&amp;"",INDEX(nQ4_Results_Text,$AH116)&amp;"",INDEX(nQ5_Results_Text,$AH116)&amp;"",INDEX(nQ6_Results_Text,$AH116)&amp;"",INDEX(nQ7_Results_Text,$AH116)&amp;"",INDEX(nQ8_Results_Text,$AH116)&amp;"",INDEX(nQ9_Results_Text,$AH116)&amp;"",INDEX(nQ10_Results_Text,$AH116)&amp;"",INDEX(nQ11_Results_Text,$AH116)&amp;""))</f>
        <v/>
      </c>
      <c r="BF116" s="1" t="str">
        <f>IF($AF116=0,"",CHOOSE($AF116,INDEX(nINT_Parameter_Set,$AH116)&amp;"",INDEX(nQ1_Parameter_Set,$AH116)&amp;"",INDEX(nQ2_Parameter_Set,$AH116)&amp;"",INDEX(nQ3_Parameter_Set,$AH116)&amp;"",INDEX(nQ4_Parameter_Set,$AH116)&amp;"",INDEX(nQ5_Parameter_Set,$AH116)&amp;"",INDEX(nQ6_Parameter_Set,$AH116)&amp;"",INDEX(nQ7_Parameter_Set,$AH116)&amp;"",INDEX(nQ8_Parameter_Set,$AH116)&amp;"",INDEX(nQ9_Parameter_Set,$AH116)&amp;"",INDEX(nQ10_Parameter_Set,$AH116)&amp;"",INDEX(nQ11_Parameter_Set,$AH116)&amp;""))</f>
        <v/>
      </c>
      <c r="BG116" s="1" t="str">
        <f>IF($AF116=0,"",CHOOSE($AF116,INDEX(nINT_Assumptions,$AH116)&amp;"",INDEX(nQ1_Assumptions,$AH116)&amp;"",INDEX(nQ2_Assumptions,$AH116)&amp;"",INDEX(nQ3_Assumptions,$AH116)&amp;"",INDEX(nQ4_Assumptions,$AH116)&amp;"",INDEX(nQ5_Assumptions,$AH116)&amp;"",INDEX(nQ6_Assumptions,$AH116)&amp;"",INDEX(nQ7_Assumptions,$AH116)&amp;"",INDEX(nQ8_Assumptions,$AH116)&amp;"",INDEX(nQ9_Assumptions,$AH116)&amp;"",INDEX(nQ10_Assumptions,$AH116)&amp;"",INDEX(nQ11_Assumptions,$AH116)&amp;""))</f>
        <v/>
      </c>
      <c r="BH116" s="1" t="str">
        <f>IF($AF116=0,"",CHOOSE($AF116,INDEX(nINT_Calculation_Version,$AH116)&amp;"",INDEX(nQ1_Calculation_Version,$AH116)&amp;"",INDEX(nQ2_Calculation_Version,$AH116)&amp;"",INDEX(nQ3_Calculation_Version,$AH116)&amp;"",INDEX(nQ4_Calculation_Version,$AH116)&amp;"",INDEX(nQ5_Calculation_Version,$AH116)&amp;"",INDEX(nQ6_Calculation_Version,$AH116)&amp;"",INDEX(nQ7_Calculation_Version,$AH116)&amp;"",INDEX(nQ8_Calculation_Version,$AH116)&amp;"",INDEX(nQ9_Calculation_Version,$AH116)&amp;"",INDEX(nQ10_Calculation_Version,$AH116)&amp;"",INDEX(nQ11_Calculation_Version,$AH116)&amp;""))</f>
        <v/>
      </c>
      <c r="BI116" s="1" t="str">
        <f>IF($AF116=0,"",CHOOSE($AF116,INDEX(nINT_QC_Flags,$AH116)&amp;"",INDEX(nQ1_QC_Flags,$AH116)&amp;"",INDEX(nQ2_QC_Flags,$AH116)&amp;"",INDEX(nQ3_QC_Flags,$AH116)&amp;"",INDEX(nQ4_QC_Flags,$AH116)&amp;"",INDEX(nQ5_QC_Flags,$AH116)&amp;"",INDEX(nQ6_QC_Flags,$AH116)&amp;"",INDEX(nQ7_QC_Flags,$AH116)&amp;"",INDEX(nQ8_QC_Flags,$AH116)&amp;"",INDEX(nQ9_QC_Flags,$AH116)&amp;"",INDEX(nQ10_QC_Flags,$AH116)&amp;"",INDEX(nQ11_QC_Flags,$AH116)&amp;""))</f>
        <v/>
      </c>
      <c r="BJ116" s="1" t="str">
        <f>IF($AF116=0,"",CHOOSE($AF116,INDEX(nINT_Messages,$AH116)&amp;"",INDEX(nQ1_Messages,$AH116)&amp;"",INDEX(nQ2_Messages,$AH116)&amp;"",INDEX(nQ3_Messages,$AH116)&amp;"",INDEX(nQ4_Messages,$AH116)&amp;"",INDEX(nQ5_Messages,$AH116)&amp;"",INDEX(nQ6_Messages,$AH116)&amp;"",INDEX(nQ7_Messages,$AH116)&amp;"",INDEX(nQ8_Messages,$AH116)&amp;"",INDEX(nQ9_Messages,$AH116)&amp;"",INDEX(nQ10_Messages,$AH116)&amp;"",INDEX(nQ11_Messages,$AH116)&amp;""))</f>
        <v/>
      </c>
      <c r="BK116" s="1" t="str">
        <f>IF($AF116=0,"",CHOOSE($AF116,INDEX(nINT_Limitations,$AH116)&amp;"",INDEX(nQ1_Mandatory_Text,$AH116)&amp;"",INDEX(nQ2_Mandatory_Text,$AH116)&amp;"",INDEX(nQ3_Mandatory_Text,$AH116)&amp;"",INDEX(nQ4_Mandatory_Text,$AH116)&amp;"",INDEX(nQ5_Mandatory_Text,$AH116)&amp;"",INDEX(nQ6_Mandatory_Text,$AH116)&amp;"",INDEX(nQ7_Mandatory_Text,$AH116)&amp;"",INDEX(nQ8_Mandatory_Text,$AH116)&amp;"",INDEX(nQ9_Mandatory_Text,$AH116)&amp;"",INDEX(nQ10_Mandatory_Text,$AH116)&amp;"",INDEX(nQ11_Mandatory_Text,$AH116)&amp;""))</f>
        <v/>
      </c>
      <c r="BL116" s="1" t="str">
        <f t="shared" si="68"/>
        <v/>
      </c>
      <c r="BM116" s="1" t="str">
        <f t="shared" si="69"/>
        <v/>
      </c>
    </row>
    <row r="117" spans="1:65" x14ac:dyDescent="0.2">
      <c r="A117" s="21" t="str">
        <f t="shared" si="35"/>
        <v/>
      </c>
      <c r="B117" s="21" t="str">
        <f t="shared" si="36"/>
        <v/>
      </c>
      <c r="C117" s="21" t="str">
        <f t="shared" si="37"/>
        <v/>
      </c>
      <c r="D117" s="21" t="str">
        <f t="shared" si="38"/>
        <v/>
      </c>
      <c r="E117" s="21" t="str">
        <f t="shared" si="39"/>
        <v/>
      </c>
      <c r="F117" s="21" t="str">
        <f t="shared" si="40"/>
        <v/>
      </c>
      <c r="G117" s="21" t="str">
        <f t="shared" si="41"/>
        <v/>
      </c>
      <c r="H117" s="21" t="str">
        <f t="shared" si="42"/>
        <v/>
      </c>
      <c r="I117" s="21" t="str">
        <f t="shared" si="43"/>
        <v/>
      </c>
      <c r="J117" s="21" t="str">
        <f t="shared" si="44"/>
        <v/>
      </c>
      <c r="K117" s="21" t="str">
        <f t="shared" si="45"/>
        <v/>
      </c>
      <c r="L117" s="21" t="str">
        <f t="shared" si="46"/>
        <v/>
      </c>
      <c r="M117" s="21" t="str">
        <f t="shared" si="47"/>
        <v/>
      </c>
      <c r="N117" s="21" t="str">
        <f t="shared" si="48"/>
        <v/>
      </c>
      <c r="O117" s="21" t="str">
        <f t="shared" si="49"/>
        <v/>
      </c>
      <c r="P117" s="21" t="str">
        <f t="shared" si="50"/>
        <v/>
      </c>
      <c r="Q117" s="21" t="str">
        <f t="shared" si="51"/>
        <v/>
      </c>
      <c r="R117" s="21" t="str">
        <f t="shared" si="52"/>
        <v/>
      </c>
      <c r="S117" s="21" t="str">
        <f t="shared" si="53"/>
        <v/>
      </c>
      <c r="T117" s="21" t="str">
        <f t="shared" si="54"/>
        <v/>
      </c>
      <c r="U117" s="21" t="str">
        <f t="shared" si="55"/>
        <v/>
      </c>
      <c r="V117" s="21" t="str">
        <f t="shared" si="56"/>
        <v/>
      </c>
      <c r="W117" s="21" t="str">
        <f t="shared" si="57"/>
        <v/>
      </c>
      <c r="X117" s="21" t="str">
        <f t="shared" si="58"/>
        <v/>
      </c>
      <c r="Y117" s="21" t="str">
        <f t="shared" si="59"/>
        <v/>
      </c>
      <c r="Z117" s="21" t="str">
        <f t="shared" si="60"/>
        <v/>
      </c>
      <c r="AA117" s="21" t="str">
        <f t="shared" si="61"/>
        <v/>
      </c>
      <c r="AB117" s="21" t="str">
        <f t="shared" si="62"/>
        <v/>
      </c>
      <c r="AC117" s="21" t="str">
        <f t="shared" si="63"/>
        <v/>
      </c>
      <c r="AD117" s="21" t="str">
        <f t="shared" si="64"/>
        <v/>
      </c>
      <c r="AE117" s="1">
        <f t="shared" si="65"/>
        <v>110</v>
      </c>
      <c r="AF117" s="1">
        <f t="shared" si="66"/>
        <v>0</v>
      </c>
      <c r="AG117" s="1">
        <f t="shared" si="67"/>
        <v>0</v>
      </c>
      <c r="AH117" s="1">
        <f>IF(AF117=0,0,CHOOSE(AF117,IFERROR(_xlfn.AGGREGATE(15,6,(ROW(nINT_CaseKey)-ROW(INDEX(nINT_CaseKey,1,1))+1)/((nINT_CaseKey=$H$4)*(nINT_RowEmpty=0)),AG117),0),IFERROR(_xlfn.AGGREGATE(15,6,(ROW(nQ1_CaseKey)-ROW(INDEX(nQ1_CaseKey,1,1))+1)/((nQ1_CaseKey=$H$4)),AG117),0),IFERROR(_xlfn.AGGREGATE(15,6,(ROW(nQ2_CaseKey)-ROW(INDEX(nQ2_CaseKey,1,1))+1)/((nQ2_CaseKey=$H$4)),AG117),0),IFERROR(_xlfn.AGGREGATE(15,6,(ROW(nQ3_CaseKey)-ROW(INDEX(nQ3_CaseKey,1,1))+1)/((nQ3_CaseKey=$H$4)),AG117),0),IFERROR(_xlfn.AGGREGATE(15,6,(ROW(nQ4_CaseKey)-ROW(INDEX(nQ4_CaseKey,1,1))+1)/((nQ4_CaseKey=$H$4)),AG117),0),IFERROR(_xlfn.AGGREGATE(15,6,(ROW(nQ5_CaseKey)-ROW(INDEX(nQ5_CaseKey,1,1))+1)/((nQ5_CaseKey=$H$4)),AG117),0),IFERROR(_xlfn.AGGREGATE(15,6,(ROW(nQ6_CaseKey)-ROW(INDEX(nQ6_CaseKey,1,1))+1)/((nQ6_CaseKey=$H$4)),AG117),0),IFERROR(_xlfn.AGGREGATE(15,6,(ROW(nQ7_CaseKey)-ROW(INDEX(nQ7_CaseKey,1,1))+1)/((nQ7_CaseKey=$H$4)),AG117),0),IFERROR(_xlfn.AGGREGATE(15,6,(ROW(nQ8_CaseKey)-ROW(INDEX(nQ8_CaseKey,1,1))+1)/((nQ8_CaseKey=$H$4)),AG117),0),IFERROR(_xlfn.AGGREGATE(15,6,(ROW(nQ9_CaseKey)-ROW(INDEX(nQ9_CaseKey,1,1))+1)/((nQ9_CaseKey=$H$4)),AG117),0),IFERROR(_xlfn.AGGREGATE(15,6,(ROW(nQ10_CaseKey)-ROW(INDEX(nQ10_CaseKey,1,1))+1)/((nQ10_CaseKey=$H$4)),AG117),0),IFERROR(_xlfn.AGGREGATE(15,6,(ROW(nQ11_CaseKey)-ROW(INDEX(nQ11_CaseKey,1,1))+1)/((nQ11_CaseKey=$H$4)),AG117),0)))</f>
        <v>0</v>
      </c>
      <c r="AJ117" s="1" t="str">
        <f>IF($AF117=0,"",CHOOSE($AF117,INDEX(nINT_Case_ID,$AH117)&amp;"",INDEX(nQ1_Case_ID,$AH117)&amp;"",INDEX(nQ2_Case_ID,$AH117)&amp;"",INDEX(nQ3_Case_ID,$AH117)&amp;"",INDEX(nQ4_Case_ID,$AH117)&amp;"",INDEX(nQ5_Case_ID,$AH117)&amp;"",INDEX(nQ6_Case_ID,$AH117)&amp;"",INDEX(nQ7_Case_ID,$AH117)&amp;"",INDEX(nQ8_Case_ID,$AH117)&amp;"",INDEX(nQ9_Case_ID,$AH117)&amp;"",INDEX(nQ10_Case_ID,$AH117)&amp;"",INDEX(nQ11_Case_ID,$AH117)&amp;""))</f>
        <v/>
      </c>
      <c r="AK117" s="1" t="str">
        <f>IF($AF117=0,"",CHOOSE($AF117,INDEX(nINT_Case_Version,$AH117),INDEX(nQ1_Case_Version,$AH117),INDEX(nQ2_Case_Version,$AH117),INDEX(nQ3_Case_Version,$AH117),INDEX(nQ4_Case_Version,$AH117),INDEX(nQ5_Case_Version,$AH117),INDEX(nQ6_Case_Version,$AH117),INDEX(nQ7_Case_Version,$AH117),INDEX(nQ8_Case_Version,$AH117),INDEX(nQ9_Case_Version,$AH117),INDEX(nQ10_Case_Version,$AH117),INDEX(nQ11_Case_Version,$AH117)))</f>
        <v/>
      </c>
      <c r="AL117" s="1" t="str">
        <f>IF($AF117=0,"",CHOOSE($AF117,INDEX(nINT_Interval_ID,$AH117)&amp;"",INDEX(nQ1_Calc_ID,$AH117)&amp;"",INDEX(nQ2_Calc_ID,$AH117)&amp;"",INDEX(nQ3_Calc_ID,$AH117)&amp;"",INDEX(nQ4_Calc_ID,$AH117)&amp;"",INDEX(nQ5_Calc_ID,$AH117)&amp;"",INDEX(nQ6_Calc_ID,$AH117)&amp;"",INDEX(nQ7_Calc_ID,$AH117)&amp;"",INDEX(nQ8_Calc_ID,$AH117)&amp;"",INDEX(nQ9_Calc_ID,$AH117)&amp;"",INDEX(nQ10_Calc_ID,$AH117)&amp;"",INDEX(nQ11_Calc_ID,$AH117)&amp;""))</f>
        <v/>
      </c>
      <c r="AM117" s="1" t="str">
        <f>IF($AF117=0,"",CHOOSE($AF117,INDEX(nINT_Label,$AH117)&amp;"",INDEX(nQ1_Label_Out,$AH117)&amp;"",INDEX(nQ2_Label_Out,$AH117)&amp;"",INDEX(nQ3_Label_Out,$AH117)&amp;"",INDEX(nQ4_Label_Out,$AH117)&amp;"",INDEX(nQ5_Label_Out,$AH117)&amp;"",INDEX(nQ6_Label_Out,$AH117)&amp;"",INDEX(nQ7_Label_Out,$AH117)&amp;"",INDEX(nQ8_Label_Out,$AH117)&amp;"",INDEX(nQ9_Label_Out,$AH117)&amp;"",INDEX(nQ10_Label_Out,$AH117)&amp;"",INDEX(nQ11_Label_Out,$AH117)&amp;""))</f>
        <v/>
      </c>
      <c r="AN117" s="1" t="str">
        <f>IF($AF117=0,"",CHOOSE($AF117,IF(INDEX(nINT_LinkRow,$AH117)=0,"",INDEX(nINT_Link_ID,$AH117)&amp;""),"","","","","","","","","","",""))</f>
        <v/>
      </c>
      <c r="AO117" s="1" t="str">
        <f>IF($AF117=0,"",CHOOSE($AF117,INDEX(nINT_Exposure_Episode_ID,$AH117)&amp;"","","","","","","","","","","",""))</f>
        <v/>
      </c>
      <c r="AP117" s="1" t="str">
        <f>IF($AF117=0,"",CHOOSE($AF117,INDEX(nINT_Event_Episode_ID,$AH117)&amp;"","","","","","","","","","","",""))</f>
        <v/>
      </c>
      <c r="AQ117" s="1" t="str">
        <f>IF($AF117=0,"",CHOOSE($AF117,INDEX(nINT_End_Record_ID_Used,$AH117)&amp;"","","","","","","","","","","",""))</f>
        <v/>
      </c>
      <c r="AR117" s="1" t="str">
        <f>IF($AF117=0,"",CHOOSE($AF117,INDEX(nINT_Interval_Value,$AH117),"","","","","","","","","","",""))</f>
        <v/>
      </c>
      <c r="AS117" s="1" t="str">
        <f>IF($AF117=0,"",CHOOSE($AF117,INDEX(nINT_Interval_Minimum,$AH117),"","","","","","","","","","",""))</f>
        <v/>
      </c>
      <c r="AT117" s="1" t="str">
        <f>IF($AF117=0,"",CHOOSE($AF117,INDEX(nINT_Interval_Maximum,$AH117),"","","","","","","","","","",""))</f>
        <v/>
      </c>
      <c r="AU117" s="1" t="str">
        <f>IF($AF117=0,"",CHOOSE($AF117,INDEX(nINT_Unit,$AH117)&amp;"",INDEX(nQ1_Unit_Out,$AH117)&amp;"",INDEX(nQ2_Unit_Out,$AH117)&amp;"",INDEX(nQ3_Unit_Out,$AH117)&amp;"",INDEX(nQ4_Unit_Out,$AH117)&amp;"",INDEX(nQ5_Unit_Out,$AH117)&amp;"",INDEX(nQ6_Unit_Out,$AH117)&amp;"",INDEX(nQ7_Unit_Out,$AH117)&amp;"",INDEX(nQ8_Unit_Out,$AH117)&amp;"",INDEX(nQ9_Unit_Out,$AH117)&amp;"",INDEX(nQ10_Unit_Out,$AH117)&amp;"",INDEX(nQ11_Unit_Out,$AH117)&amp;""))</f>
        <v/>
      </c>
      <c r="AV117" s="1" t="str">
        <f>IF($AF117=0,"",CHOOSE($AF117,INDEX(nINT_Displayed_Value,$AH117)&amp;"",INDEX(nQ1_Displayed_Value,$AH117)&amp;"",INDEX(nQ2_Displayed_Value,$AH117)&amp;"",INDEX(nQ3_Displayed_Value,$AH117)&amp;"",INDEX(nQ4_Displayed_Value,$AH117)&amp;"",INDEX(nQ5_Displayed_Value,$AH117)&amp;"",INDEX(nQ6_Displayed_Value,$AH117)&amp;"",INDEX(nQ7_Displayed_Value,$AH117)&amp;"",INDEX(nQ8_Displayed_Value,$AH117)&amp;"",INDEX(nQ9_Displayed_Value,$AH117)&amp;"",INDEX(nQ10_Displayed_Value,$AH117)&amp;"",INDEX(nQ11_Displayed_Value,$AH117)&amp;""))</f>
        <v/>
      </c>
      <c r="AW117" s="1" t="str">
        <f>IF($AF117=0,"",CHOOSE($AF117,INDEX(nINT_Calculation_Mode_Used,$AH117)&amp;"","Q1","Q2","Q3","Q4","Q5","Q6","Q7","Q8","Q9","Q10","Q11"))</f>
        <v/>
      </c>
      <c r="AX117" s="1" t="str">
        <f>IF($AF117=0,"",CHOOSE($AF117,INDEX(nINT_Anchor_Type,$AH117)&amp;"","","","","","","","","","","",""))</f>
        <v/>
      </c>
      <c r="AY117" s="1" t="str">
        <f>IF($AF117=0,"",CHOOSE($AF117,IF(INDEX(nINT_K_Ok,$AH117)=1,INDEX(nINT_Anchor_Record_ID_Used,$AH117)&amp;"",""),"","","","","","","","","","",""))</f>
        <v/>
      </c>
      <c r="AZ117" s="1" t="str">
        <f>IF($AF117=0,"",CHOOSE($AF117,INDEX(nINT_Anchor_Description,$AH117)&amp;"","","","","","","","","","","",""))</f>
        <v/>
      </c>
      <c r="BA117" s="1" t="str">
        <f>IF($AF117=0,"",CHOOSE($AF117,INDEX(nINT_Sequence_Status,$AH117)&amp;"","","","","","","","","","","",""))</f>
        <v/>
      </c>
      <c r="BB117" s="1" t="str">
        <f>IF($AF117=0,"",CHOOSE($AF117,INDEX(nINT_Treatment_Day,$AH117),"","","","","","","","","","",""))</f>
        <v/>
      </c>
      <c r="BC117" s="1" t="str">
        <f>IF($AF117=0,"",CHOOSE($AF117,INDEX(nINT_Reported_Timing_Result,$AH117)&amp;"","","","","","","","","","","",""))</f>
        <v/>
      </c>
      <c r="BD117" s="1" t="str">
        <f>IF($AF117=0,"",CHOOSE($AF117,IF(INDEX(nINT_K_HasC,$AH117)=1,INDEX(nINT_Constraint_Source,$AH117)&amp;"",""),"","","","","","","","","","",""))</f>
        <v/>
      </c>
      <c r="BE117" s="1" t="str">
        <f>IF($AF117=0,"",CHOOSE($AF117,"",INDEX(nQ1_Results_Text,$AH117)&amp;"",INDEX(nQ2_Results_Text,$AH117)&amp;"",INDEX(nQ3_Results_Text,$AH117)&amp;"",INDEX(nQ4_Results_Text,$AH117)&amp;"",INDEX(nQ5_Results_Text,$AH117)&amp;"",INDEX(nQ6_Results_Text,$AH117)&amp;"",INDEX(nQ7_Results_Text,$AH117)&amp;"",INDEX(nQ8_Results_Text,$AH117)&amp;"",INDEX(nQ9_Results_Text,$AH117)&amp;"",INDEX(nQ10_Results_Text,$AH117)&amp;"",INDEX(nQ11_Results_Text,$AH117)&amp;""))</f>
        <v/>
      </c>
      <c r="BF117" s="1" t="str">
        <f>IF($AF117=0,"",CHOOSE($AF117,INDEX(nINT_Parameter_Set,$AH117)&amp;"",INDEX(nQ1_Parameter_Set,$AH117)&amp;"",INDEX(nQ2_Parameter_Set,$AH117)&amp;"",INDEX(nQ3_Parameter_Set,$AH117)&amp;"",INDEX(nQ4_Parameter_Set,$AH117)&amp;"",INDEX(nQ5_Parameter_Set,$AH117)&amp;"",INDEX(nQ6_Parameter_Set,$AH117)&amp;"",INDEX(nQ7_Parameter_Set,$AH117)&amp;"",INDEX(nQ8_Parameter_Set,$AH117)&amp;"",INDEX(nQ9_Parameter_Set,$AH117)&amp;"",INDEX(nQ10_Parameter_Set,$AH117)&amp;"",INDEX(nQ11_Parameter_Set,$AH117)&amp;""))</f>
        <v/>
      </c>
      <c r="BG117" s="1" t="str">
        <f>IF($AF117=0,"",CHOOSE($AF117,INDEX(nINT_Assumptions,$AH117)&amp;"",INDEX(nQ1_Assumptions,$AH117)&amp;"",INDEX(nQ2_Assumptions,$AH117)&amp;"",INDEX(nQ3_Assumptions,$AH117)&amp;"",INDEX(nQ4_Assumptions,$AH117)&amp;"",INDEX(nQ5_Assumptions,$AH117)&amp;"",INDEX(nQ6_Assumptions,$AH117)&amp;"",INDEX(nQ7_Assumptions,$AH117)&amp;"",INDEX(nQ8_Assumptions,$AH117)&amp;"",INDEX(nQ9_Assumptions,$AH117)&amp;"",INDEX(nQ10_Assumptions,$AH117)&amp;"",INDEX(nQ11_Assumptions,$AH117)&amp;""))</f>
        <v/>
      </c>
      <c r="BH117" s="1" t="str">
        <f>IF($AF117=0,"",CHOOSE($AF117,INDEX(nINT_Calculation_Version,$AH117)&amp;"",INDEX(nQ1_Calculation_Version,$AH117)&amp;"",INDEX(nQ2_Calculation_Version,$AH117)&amp;"",INDEX(nQ3_Calculation_Version,$AH117)&amp;"",INDEX(nQ4_Calculation_Version,$AH117)&amp;"",INDEX(nQ5_Calculation_Version,$AH117)&amp;"",INDEX(nQ6_Calculation_Version,$AH117)&amp;"",INDEX(nQ7_Calculation_Version,$AH117)&amp;"",INDEX(nQ8_Calculation_Version,$AH117)&amp;"",INDEX(nQ9_Calculation_Version,$AH117)&amp;"",INDEX(nQ10_Calculation_Version,$AH117)&amp;"",INDEX(nQ11_Calculation_Version,$AH117)&amp;""))</f>
        <v/>
      </c>
      <c r="BI117" s="1" t="str">
        <f>IF($AF117=0,"",CHOOSE($AF117,INDEX(nINT_QC_Flags,$AH117)&amp;"",INDEX(nQ1_QC_Flags,$AH117)&amp;"",INDEX(nQ2_QC_Flags,$AH117)&amp;"",INDEX(nQ3_QC_Flags,$AH117)&amp;"",INDEX(nQ4_QC_Flags,$AH117)&amp;"",INDEX(nQ5_QC_Flags,$AH117)&amp;"",INDEX(nQ6_QC_Flags,$AH117)&amp;"",INDEX(nQ7_QC_Flags,$AH117)&amp;"",INDEX(nQ8_QC_Flags,$AH117)&amp;"",INDEX(nQ9_QC_Flags,$AH117)&amp;"",INDEX(nQ10_QC_Flags,$AH117)&amp;"",INDEX(nQ11_QC_Flags,$AH117)&amp;""))</f>
        <v/>
      </c>
      <c r="BJ117" s="1" t="str">
        <f>IF($AF117=0,"",CHOOSE($AF117,INDEX(nINT_Messages,$AH117)&amp;"",INDEX(nQ1_Messages,$AH117)&amp;"",INDEX(nQ2_Messages,$AH117)&amp;"",INDEX(nQ3_Messages,$AH117)&amp;"",INDEX(nQ4_Messages,$AH117)&amp;"",INDEX(nQ5_Messages,$AH117)&amp;"",INDEX(nQ6_Messages,$AH117)&amp;"",INDEX(nQ7_Messages,$AH117)&amp;"",INDEX(nQ8_Messages,$AH117)&amp;"",INDEX(nQ9_Messages,$AH117)&amp;"",INDEX(nQ10_Messages,$AH117)&amp;"",INDEX(nQ11_Messages,$AH117)&amp;""))</f>
        <v/>
      </c>
      <c r="BK117" s="1" t="str">
        <f>IF($AF117=0,"",CHOOSE($AF117,INDEX(nINT_Limitations,$AH117)&amp;"",INDEX(nQ1_Mandatory_Text,$AH117)&amp;"",INDEX(nQ2_Mandatory_Text,$AH117)&amp;"",INDEX(nQ3_Mandatory_Text,$AH117)&amp;"",INDEX(nQ4_Mandatory_Text,$AH117)&amp;"",INDEX(nQ5_Mandatory_Text,$AH117)&amp;"",INDEX(nQ6_Mandatory_Text,$AH117)&amp;"",INDEX(nQ7_Mandatory_Text,$AH117)&amp;"",INDEX(nQ8_Mandatory_Text,$AH117)&amp;"",INDEX(nQ9_Mandatory_Text,$AH117)&amp;"",INDEX(nQ10_Mandatory_Text,$AH117)&amp;"",INDEX(nQ11_Mandatory_Text,$AH117)&amp;""))</f>
        <v/>
      </c>
      <c r="BL117" s="1" t="str">
        <f t="shared" si="68"/>
        <v/>
      </c>
      <c r="BM117" s="1" t="str">
        <f t="shared" si="69"/>
        <v/>
      </c>
    </row>
    <row r="118" spans="1:65" x14ac:dyDescent="0.2">
      <c r="A118" s="21" t="str">
        <f t="shared" si="35"/>
        <v/>
      </c>
      <c r="B118" s="21" t="str">
        <f t="shared" si="36"/>
        <v/>
      </c>
      <c r="C118" s="21" t="str">
        <f t="shared" si="37"/>
        <v/>
      </c>
      <c r="D118" s="21" t="str">
        <f t="shared" si="38"/>
        <v/>
      </c>
      <c r="E118" s="21" t="str">
        <f t="shared" si="39"/>
        <v/>
      </c>
      <c r="F118" s="21" t="str">
        <f t="shared" si="40"/>
        <v/>
      </c>
      <c r="G118" s="21" t="str">
        <f t="shared" si="41"/>
        <v/>
      </c>
      <c r="H118" s="21" t="str">
        <f t="shared" si="42"/>
        <v/>
      </c>
      <c r="I118" s="21" t="str">
        <f t="shared" si="43"/>
        <v/>
      </c>
      <c r="J118" s="21" t="str">
        <f t="shared" si="44"/>
        <v/>
      </c>
      <c r="K118" s="21" t="str">
        <f t="shared" si="45"/>
        <v/>
      </c>
      <c r="L118" s="21" t="str">
        <f t="shared" si="46"/>
        <v/>
      </c>
      <c r="M118" s="21" t="str">
        <f t="shared" si="47"/>
        <v/>
      </c>
      <c r="N118" s="21" t="str">
        <f t="shared" si="48"/>
        <v/>
      </c>
      <c r="O118" s="21" t="str">
        <f t="shared" si="49"/>
        <v/>
      </c>
      <c r="P118" s="21" t="str">
        <f t="shared" si="50"/>
        <v/>
      </c>
      <c r="Q118" s="21" t="str">
        <f t="shared" si="51"/>
        <v/>
      </c>
      <c r="R118" s="21" t="str">
        <f t="shared" si="52"/>
        <v/>
      </c>
      <c r="S118" s="21" t="str">
        <f t="shared" si="53"/>
        <v/>
      </c>
      <c r="T118" s="21" t="str">
        <f t="shared" si="54"/>
        <v/>
      </c>
      <c r="U118" s="21" t="str">
        <f t="shared" si="55"/>
        <v/>
      </c>
      <c r="V118" s="21" t="str">
        <f t="shared" si="56"/>
        <v/>
      </c>
      <c r="W118" s="21" t="str">
        <f t="shared" si="57"/>
        <v/>
      </c>
      <c r="X118" s="21" t="str">
        <f t="shared" si="58"/>
        <v/>
      </c>
      <c r="Y118" s="21" t="str">
        <f t="shared" si="59"/>
        <v/>
      </c>
      <c r="Z118" s="21" t="str">
        <f t="shared" si="60"/>
        <v/>
      </c>
      <c r="AA118" s="21" t="str">
        <f t="shared" si="61"/>
        <v/>
      </c>
      <c r="AB118" s="21" t="str">
        <f t="shared" si="62"/>
        <v/>
      </c>
      <c r="AC118" s="21" t="str">
        <f t="shared" si="63"/>
        <v/>
      </c>
      <c r="AD118" s="21" t="str">
        <f t="shared" si="64"/>
        <v/>
      </c>
      <c r="AE118" s="1">
        <f t="shared" si="65"/>
        <v>111</v>
      </c>
      <c r="AF118" s="1">
        <f t="shared" si="66"/>
        <v>0</v>
      </c>
      <c r="AG118" s="1">
        <f t="shared" si="67"/>
        <v>0</v>
      </c>
      <c r="AH118" s="1">
        <f>IF(AF118=0,0,CHOOSE(AF118,IFERROR(_xlfn.AGGREGATE(15,6,(ROW(nINT_CaseKey)-ROW(INDEX(nINT_CaseKey,1,1))+1)/((nINT_CaseKey=$H$4)*(nINT_RowEmpty=0)),AG118),0),IFERROR(_xlfn.AGGREGATE(15,6,(ROW(nQ1_CaseKey)-ROW(INDEX(nQ1_CaseKey,1,1))+1)/((nQ1_CaseKey=$H$4)),AG118),0),IFERROR(_xlfn.AGGREGATE(15,6,(ROW(nQ2_CaseKey)-ROW(INDEX(nQ2_CaseKey,1,1))+1)/((nQ2_CaseKey=$H$4)),AG118),0),IFERROR(_xlfn.AGGREGATE(15,6,(ROW(nQ3_CaseKey)-ROW(INDEX(nQ3_CaseKey,1,1))+1)/((nQ3_CaseKey=$H$4)),AG118),0),IFERROR(_xlfn.AGGREGATE(15,6,(ROW(nQ4_CaseKey)-ROW(INDEX(nQ4_CaseKey,1,1))+1)/((nQ4_CaseKey=$H$4)),AG118),0),IFERROR(_xlfn.AGGREGATE(15,6,(ROW(nQ5_CaseKey)-ROW(INDEX(nQ5_CaseKey,1,1))+1)/((nQ5_CaseKey=$H$4)),AG118),0),IFERROR(_xlfn.AGGREGATE(15,6,(ROW(nQ6_CaseKey)-ROW(INDEX(nQ6_CaseKey,1,1))+1)/((nQ6_CaseKey=$H$4)),AG118),0),IFERROR(_xlfn.AGGREGATE(15,6,(ROW(nQ7_CaseKey)-ROW(INDEX(nQ7_CaseKey,1,1))+1)/((nQ7_CaseKey=$H$4)),AG118),0),IFERROR(_xlfn.AGGREGATE(15,6,(ROW(nQ8_CaseKey)-ROW(INDEX(nQ8_CaseKey,1,1))+1)/((nQ8_CaseKey=$H$4)),AG118),0),IFERROR(_xlfn.AGGREGATE(15,6,(ROW(nQ9_CaseKey)-ROW(INDEX(nQ9_CaseKey,1,1))+1)/((nQ9_CaseKey=$H$4)),AG118),0),IFERROR(_xlfn.AGGREGATE(15,6,(ROW(nQ10_CaseKey)-ROW(INDEX(nQ10_CaseKey,1,1))+1)/((nQ10_CaseKey=$H$4)),AG118),0),IFERROR(_xlfn.AGGREGATE(15,6,(ROW(nQ11_CaseKey)-ROW(INDEX(nQ11_CaseKey,1,1))+1)/((nQ11_CaseKey=$H$4)),AG118),0)))</f>
        <v>0</v>
      </c>
      <c r="AJ118" s="1" t="str">
        <f>IF($AF118=0,"",CHOOSE($AF118,INDEX(nINT_Case_ID,$AH118)&amp;"",INDEX(nQ1_Case_ID,$AH118)&amp;"",INDEX(nQ2_Case_ID,$AH118)&amp;"",INDEX(nQ3_Case_ID,$AH118)&amp;"",INDEX(nQ4_Case_ID,$AH118)&amp;"",INDEX(nQ5_Case_ID,$AH118)&amp;"",INDEX(nQ6_Case_ID,$AH118)&amp;"",INDEX(nQ7_Case_ID,$AH118)&amp;"",INDEX(nQ8_Case_ID,$AH118)&amp;"",INDEX(nQ9_Case_ID,$AH118)&amp;"",INDEX(nQ10_Case_ID,$AH118)&amp;"",INDEX(nQ11_Case_ID,$AH118)&amp;""))</f>
        <v/>
      </c>
      <c r="AK118" s="1" t="str">
        <f>IF($AF118=0,"",CHOOSE($AF118,INDEX(nINT_Case_Version,$AH118),INDEX(nQ1_Case_Version,$AH118),INDEX(nQ2_Case_Version,$AH118),INDEX(nQ3_Case_Version,$AH118),INDEX(nQ4_Case_Version,$AH118),INDEX(nQ5_Case_Version,$AH118),INDEX(nQ6_Case_Version,$AH118),INDEX(nQ7_Case_Version,$AH118),INDEX(nQ8_Case_Version,$AH118),INDEX(nQ9_Case_Version,$AH118),INDEX(nQ10_Case_Version,$AH118),INDEX(nQ11_Case_Version,$AH118)))</f>
        <v/>
      </c>
      <c r="AL118" s="1" t="str">
        <f>IF($AF118=0,"",CHOOSE($AF118,INDEX(nINT_Interval_ID,$AH118)&amp;"",INDEX(nQ1_Calc_ID,$AH118)&amp;"",INDEX(nQ2_Calc_ID,$AH118)&amp;"",INDEX(nQ3_Calc_ID,$AH118)&amp;"",INDEX(nQ4_Calc_ID,$AH118)&amp;"",INDEX(nQ5_Calc_ID,$AH118)&amp;"",INDEX(nQ6_Calc_ID,$AH118)&amp;"",INDEX(nQ7_Calc_ID,$AH118)&amp;"",INDEX(nQ8_Calc_ID,$AH118)&amp;"",INDEX(nQ9_Calc_ID,$AH118)&amp;"",INDEX(nQ10_Calc_ID,$AH118)&amp;"",INDEX(nQ11_Calc_ID,$AH118)&amp;""))</f>
        <v/>
      </c>
      <c r="AM118" s="1" t="str">
        <f>IF($AF118=0,"",CHOOSE($AF118,INDEX(nINT_Label,$AH118)&amp;"",INDEX(nQ1_Label_Out,$AH118)&amp;"",INDEX(nQ2_Label_Out,$AH118)&amp;"",INDEX(nQ3_Label_Out,$AH118)&amp;"",INDEX(nQ4_Label_Out,$AH118)&amp;"",INDEX(nQ5_Label_Out,$AH118)&amp;"",INDEX(nQ6_Label_Out,$AH118)&amp;"",INDEX(nQ7_Label_Out,$AH118)&amp;"",INDEX(nQ8_Label_Out,$AH118)&amp;"",INDEX(nQ9_Label_Out,$AH118)&amp;"",INDEX(nQ10_Label_Out,$AH118)&amp;"",INDEX(nQ11_Label_Out,$AH118)&amp;""))</f>
        <v/>
      </c>
      <c r="AN118" s="1" t="str">
        <f>IF($AF118=0,"",CHOOSE($AF118,IF(INDEX(nINT_LinkRow,$AH118)=0,"",INDEX(nINT_Link_ID,$AH118)&amp;""),"","","","","","","","","","",""))</f>
        <v/>
      </c>
      <c r="AO118" s="1" t="str">
        <f>IF($AF118=0,"",CHOOSE($AF118,INDEX(nINT_Exposure_Episode_ID,$AH118)&amp;"","","","","","","","","","","",""))</f>
        <v/>
      </c>
      <c r="AP118" s="1" t="str">
        <f>IF($AF118=0,"",CHOOSE($AF118,INDEX(nINT_Event_Episode_ID,$AH118)&amp;"","","","","","","","","","","",""))</f>
        <v/>
      </c>
      <c r="AQ118" s="1" t="str">
        <f>IF($AF118=0,"",CHOOSE($AF118,INDEX(nINT_End_Record_ID_Used,$AH118)&amp;"","","","","","","","","","","",""))</f>
        <v/>
      </c>
      <c r="AR118" s="1" t="str">
        <f>IF($AF118=0,"",CHOOSE($AF118,INDEX(nINT_Interval_Value,$AH118),"","","","","","","","","","",""))</f>
        <v/>
      </c>
      <c r="AS118" s="1" t="str">
        <f>IF($AF118=0,"",CHOOSE($AF118,INDEX(nINT_Interval_Minimum,$AH118),"","","","","","","","","","",""))</f>
        <v/>
      </c>
      <c r="AT118" s="1" t="str">
        <f>IF($AF118=0,"",CHOOSE($AF118,INDEX(nINT_Interval_Maximum,$AH118),"","","","","","","","","","",""))</f>
        <v/>
      </c>
      <c r="AU118" s="1" t="str">
        <f>IF($AF118=0,"",CHOOSE($AF118,INDEX(nINT_Unit,$AH118)&amp;"",INDEX(nQ1_Unit_Out,$AH118)&amp;"",INDEX(nQ2_Unit_Out,$AH118)&amp;"",INDEX(nQ3_Unit_Out,$AH118)&amp;"",INDEX(nQ4_Unit_Out,$AH118)&amp;"",INDEX(nQ5_Unit_Out,$AH118)&amp;"",INDEX(nQ6_Unit_Out,$AH118)&amp;"",INDEX(nQ7_Unit_Out,$AH118)&amp;"",INDEX(nQ8_Unit_Out,$AH118)&amp;"",INDEX(nQ9_Unit_Out,$AH118)&amp;"",INDEX(nQ10_Unit_Out,$AH118)&amp;"",INDEX(nQ11_Unit_Out,$AH118)&amp;""))</f>
        <v/>
      </c>
      <c r="AV118" s="1" t="str">
        <f>IF($AF118=0,"",CHOOSE($AF118,INDEX(nINT_Displayed_Value,$AH118)&amp;"",INDEX(nQ1_Displayed_Value,$AH118)&amp;"",INDEX(nQ2_Displayed_Value,$AH118)&amp;"",INDEX(nQ3_Displayed_Value,$AH118)&amp;"",INDEX(nQ4_Displayed_Value,$AH118)&amp;"",INDEX(nQ5_Displayed_Value,$AH118)&amp;"",INDEX(nQ6_Displayed_Value,$AH118)&amp;"",INDEX(nQ7_Displayed_Value,$AH118)&amp;"",INDEX(nQ8_Displayed_Value,$AH118)&amp;"",INDEX(nQ9_Displayed_Value,$AH118)&amp;"",INDEX(nQ10_Displayed_Value,$AH118)&amp;"",INDEX(nQ11_Displayed_Value,$AH118)&amp;""))</f>
        <v/>
      </c>
      <c r="AW118" s="1" t="str">
        <f>IF($AF118=0,"",CHOOSE($AF118,INDEX(nINT_Calculation_Mode_Used,$AH118)&amp;"","Q1","Q2","Q3","Q4","Q5","Q6","Q7","Q8","Q9","Q10","Q11"))</f>
        <v/>
      </c>
      <c r="AX118" s="1" t="str">
        <f>IF($AF118=0,"",CHOOSE($AF118,INDEX(nINT_Anchor_Type,$AH118)&amp;"","","","","","","","","","","",""))</f>
        <v/>
      </c>
      <c r="AY118" s="1" t="str">
        <f>IF($AF118=0,"",CHOOSE($AF118,IF(INDEX(nINT_K_Ok,$AH118)=1,INDEX(nINT_Anchor_Record_ID_Used,$AH118)&amp;"",""),"","","","","","","","","","",""))</f>
        <v/>
      </c>
      <c r="AZ118" s="1" t="str">
        <f>IF($AF118=0,"",CHOOSE($AF118,INDEX(nINT_Anchor_Description,$AH118)&amp;"","","","","","","","","","","",""))</f>
        <v/>
      </c>
      <c r="BA118" s="1" t="str">
        <f>IF($AF118=0,"",CHOOSE($AF118,INDEX(nINT_Sequence_Status,$AH118)&amp;"","","","","","","","","","","",""))</f>
        <v/>
      </c>
      <c r="BB118" s="1" t="str">
        <f>IF($AF118=0,"",CHOOSE($AF118,INDEX(nINT_Treatment_Day,$AH118),"","","","","","","","","","",""))</f>
        <v/>
      </c>
      <c r="BC118" s="1" t="str">
        <f>IF($AF118=0,"",CHOOSE($AF118,INDEX(nINT_Reported_Timing_Result,$AH118)&amp;"","","","","","","","","","","",""))</f>
        <v/>
      </c>
      <c r="BD118" s="1" t="str">
        <f>IF($AF118=0,"",CHOOSE($AF118,IF(INDEX(nINT_K_HasC,$AH118)=1,INDEX(nINT_Constraint_Source,$AH118)&amp;"",""),"","","","","","","","","","",""))</f>
        <v/>
      </c>
      <c r="BE118" s="1" t="str">
        <f>IF($AF118=0,"",CHOOSE($AF118,"",INDEX(nQ1_Results_Text,$AH118)&amp;"",INDEX(nQ2_Results_Text,$AH118)&amp;"",INDEX(nQ3_Results_Text,$AH118)&amp;"",INDEX(nQ4_Results_Text,$AH118)&amp;"",INDEX(nQ5_Results_Text,$AH118)&amp;"",INDEX(nQ6_Results_Text,$AH118)&amp;"",INDEX(nQ7_Results_Text,$AH118)&amp;"",INDEX(nQ8_Results_Text,$AH118)&amp;"",INDEX(nQ9_Results_Text,$AH118)&amp;"",INDEX(nQ10_Results_Text,$AH118)&amp;"",INDEX(nQ11_Results_Text,$AH118)&amp;""))</f>
        <v/>
      </c>
      <c r="BF118" s="1" t="str">
        <f>IF($AF118=0,"",CHOOSE($AF118,INDEX(nINT_Parameter_Set,$AH118)&amp;"",INDEX(nQ1_Parameter_Set,$AH118)&amp;"",INDEX(nQ2_Parameter_Set,$AH118)&amp;"",INDEX(nQ3_Parameter_Set,$AH118)&amp;"",INDEX(nQ4_Parameter_Set,$AH118)&amp;"",INDEX(nQ5_Parameter_Set,$AH118)&amp;"",INDEX(nQ6_Parameter_Set,$AH118)&amp;"",INDEX(nQ7_Parameter_Set,$AH118)&amp;"",INDEX(nQ8_Parameter_Set,$AH118)&amp;"",INDEX(nQ9_Parameter_Set,$AH118)&amp;"",INDEX(nQ10_Parameter_Set,$AH118)&amp;"",INDEX(nQ11_Parameter_Set,$AH118)&amp;""))</f>
        <v/>
      </c>
      <c r="BG118" s="1" t="str">
        <f>IF($AF118=0,"",CHOOSE($AF118,INDEX(nINT_Assumptions,$AH118)&amp;"",INDEX(nQ1_Assumptions,$AH118)&amp;"",INDEX(nQ2_Assumptions,$AH118)&amp;"",INDEX(nQ3_Assumptions,$AH118)&amp;"",INDEX(nQ4_Assumptions,$AH118)&amp;"",INDEX(nQ5_Assumptions,$AH118)&amp;"",INDEX(nQ6_Assumptions,$AH118)&amp;"",INDEX(nQ7_Assumptions,$AH118)&amp;"",INDEX(nQ8_Assumptions,$AH118)&amp;"",INDEX(nQ9_Assumptions,$AH118)&amp;"",INDEX(nQ10_Assumptions,$AH118)&amp;"",INDEX(nQ11_Assumptions,$AH118)&amp;""))</f>
        <v/>
      </c>
      <c r="BH118" s="1" t="str">
        <f>IF($AF118=0,"",CHOOSE($AF118,INDEX(nINT_Calculation_Version,$AH118)&amp;"",INDEX(nQ1_Calculation_Version,$AH118)&amp;"",INDEX(nQ2_Calculation_Version,$AH118)&amp;"",INDEX(nQ3_Calculation_Version,$AH118)&amp;"",INDEX(nQ4_Calculation_Version,$AH118)&amp;"",INDEX(nQ5_Calculation_Version,$AH118)&amp;"",INDEX(nQ6_Calculation_Version,$AH118)&amp;"",INDEX(nQ7_Calculation_Version,$AH118)&amp;"",INDEX(nQ8_Calculation_Version,$AH118)&amp;"",INDEX(nQ9_Calculation_Version,$AH118)&amp;"",INDEX(nQ10_Calculation_Version,$AH118)&amp;"",INDEX(nQ11_Calculation_Version,$AH118)&amp;""))</f>
        <v/>
      </c>
      <c r="BI118" s="1" t="str">
        <f>IF($AF118=0,"",CHOOSE($AF118,INDEX(nINT_QC_Flags,$AH118)&amp;"",INDEX(nQ1_QC_Flags,$AH118)&amp;"",INDEX(nQ2_QC_Flags,$AH118)&amp;"",INDEX(nQ3_QC_Flags,$AH118)&amp;"",INDEX(nQ4_QC_Flags,$AH118)&amp;"",INDEX(nQ5_QC_Flags,$AH118)&amp;"",INDEX(nQ6_QC_Flags,$AH118)&amp;"",INDEX(nQ7_QC_Flags,$AH118)&amp;"",INDEX(nQ8_QC_Flags,$AH118)&amp;"",INDEX(nQ9_QC_Flags,$AH118)&amp;"",INDEX(nQ10_QC_Flags,$AH118)&amp;"",INDEX(nQ11_QC_Flags,$AH118)&amp;""))</f>
        <v/>
      </c>
      <c r="BJ118" s="1" t="str">
        <f>IF($AF118=0,"",CHOOSE($AF118,INDEX(nINT_Messages,$AH118)&amp;"",INDEX(nQ1_Messages,$AH118)&amp;"",INDEX(nQ2_Messages,$AH118)&amp;"",INDEX(nQ3_Messages,$AH118)&amp;"",INDEX(nQ4_Messages,$AH118)&amp;"",INDEX(nQ5_Messages,$AH118)&amp;"",INDEX(nQ6_Messages,$AH118)&amp;"",INDEX(nQ7_Messages,$AH118)&amp;"",INDEX(nQ8_Messages,$AH118)&amp;"",INDEX(nQ9_Messages,$AH118)&amp;"",INDEX(nQ10_Messages,$AH118)&amp;"",INDEX(nQ11_Messages,$AH118)&amp;""))</f>
        <v/>
      </c>
      <c r="BK118" s="1" t="str">
        <f>IF($AF118=0,"",CHOOSE($AF118,INDEX(nINT_Limitations,$AH118)&amp;"",INDEX(nQ1_Mandatory_Text,$AH118)&amp;"",INDEX(nQ2_Mandatory_Text,$AH118)&amp;"",INDEX(nQ3_Mandatory_Text,$AH118)&amp;"",INDEX(nQ4_Mandatory_Text,$AH118)&amp;"",INDEX(nQ5_Mandatory_Text,$AH118)&amp;"",INDEX(nQ6_Mandatory_Text,$AH118)&amp;"",INDEX(nQ7_Mandatory_Text,$AH118)&amp;"",INDEX(nQ8_Mandatory_Text,$AH118)&amp;"",INDEX(nQ9_Mandatory_Text,$AH118)&amp;"",INDEX(nQ10_Mandatory_Text,$AH118)&amp;"",INDEX(nQ11_Mandatory_Text,$AH118)&amp;""))</f>
        <v/>
      </c>
      <c r="BL118" s="1" t="str">
        <f t="shared" si="68"/>
        <v/>
      </c>
      <c r="BM118" s="1" t="str">
        <f t="shared" si="69"/>
        <v/>
      </c>
    </row>
    <row r="119" spans="1:65" x14ac:dyDescent="0.2">
      <c r="A119" s="21" t="str">
        <f t="shared" si="35"/>
        <v/>
      </c>
      <c r="B119" s="21" t="str">
        <f t="shared" si="36"/>
        <v/>
      </c>
      <c r="C119" s="21" t="str">
        <f t="shared" si="37"/>
        <v/>
      </c>
      <c r="D119" s="21" t="str">
        <f t="shared" si="38"/>
        <v/>
      </c>
      <c r="E119" s="21" t="str">
        <f t="shared" si="39"/>
        <v/>
      </c>
      <c r="F119" s="21" t="str">
        <f t="shared" si="40"/>
        <v/>
      </c>
      <c r="G119" s="21" t="str">
        <f t="shared" si="41"/>
        <v/>
      </c>
      <c r="H119" s="21" t="str">
        <f t="shared" si="42"/>
        <v/>
      </c>
      <c r="I119" s="21" t="str">
        <f t="shared" si="43"/>
        <v/>
      </c>
      <c r="J119" s="21" t="str">
        <f t="shared" si="44"/>
        <v/>
      </c>
      <c r="K119" s="21" t="str">
        <f t="shared" si="45"/>
        <v/>
      </c>
      <c r="L119" s="21" t="str">
        <f t="shared" si="46"/>
        <v/>
      </c>
      <c r="M119" s="21" t="str">
        <f t="shared" si="47"/>
        <v/>
      </c>
      <c r="N119" s="21" t="str">
        <f t="shared" si="48"/>
        <v/>
      </c>
      <c r="O119" s="21" t="str">
        <f t="shared" si="49"/>
        <v/>
      </c>
      <c r="P119" s="21" t="str">
        <f t="shared" si="50"/>
        <v/>
      </c>
      <c r="Q119" s="21" t="str">
        <f t="shared" si="51"/>
        <v/>
      </c>
      <c r="R119" s="21" t="str">
        <f t="shared" si="52"/>
        <v/>
      </c>
      <c r="S119" s="21" t="str">
        <f t="shared" si="53"/>
        <v/>
      </c>
      <c r="T119" s="21" t="str">
        <f t="shared" si="54"/>
        <v/>
      </c>
      <c r="U119" s="21" t="str">
        <f t="shared" si="55"/>
        <v/>
      </c>
      <c r="V119" s="21" t="str">
        <f t="shared" si="56"/>
        <v/>
      </c>
      <c r="W119" s="21" t="str">
        <f t="shared" si="57"/>
        <v/>
      </c>
      <c r="X119" s="21" t="str">
        <f t="shared" si="58"/>
        <v/>
      </c>
      <c r="Y119" s="21" t="str">
        <f t="shared" si="59"/>
        <v/>
      </c>
      <c r="Z119" s="21" t="str">
        <f t="shared" si="60"/>
        <v/>
      </c>
      <c r="AA119" s="21" t="str">
        <f t="shared" si="61"/>
        <v/>
      </c>
      <c r="AB119" s="21" t="str">
        <f t="shared" si="62"/>
        <v/>
      </c>
      <c r="AC119" s="21" t="str">
        <f t="shared" si="63"/>
        <v/>
      </c>
      <c r="AD119" s="21" t="str">
        <f t="shared" si="64"/>
        <v/>
      </c>
      <c r="AE119" s="1">
        <f t="shared" si="65"/>
        <v>112</v>
      </c>
      <c r="AF119" s="1">
        <f t="shared" si="66"/>
        <v>0</v>
      </c>
      <c r="AG119" s="1">
        <f t="shared" si="67"/>
        <v>0</v>
      </c>
      <c r="AH119" s="1">
        <f>IF(AF119=0,0,CHOOSE(AF119,IFERROR(_xlfn.AGGREGATE(15,6,(ROW(nINT_CaseKey)-ROW(INDEX(nINT_CaseKey,1,1))+1)/((nINT_CaseKey=$H$4)*(nINT_RowEmpty=0)),AG119),0),IFERROR(_xlfn.AGGREGATE(15,6,(ROW(nQ1_CaseKey)-ROW(INDEX(nQ1_CaseKey,1,1))+1)/((nQ1_CaseKey=$H$4)),AG119),0),IFERROR(_xlfn.AGGREGATE(15,6,(ROW(nQ2_CaseKey)-ROW(INDEX(nQ2_CaseKey,1,1))+1)/((nQ2_CaseKey=$H$4)),AG119),0),IFERROR(_xlfn.AGGREGATE(15,6,(ROW(nQ3_CaseKey)-ROW(INDEX(nQ3_CaseKey,1,1))+1)/((nQ3_CaseKey=$H$4)),AG119),0),IFERROR(_xlfn.AGGREGATE(15,6,(ROW(nQ4_CaseKey)-ROW(INDEX(nQ4_CaseKey,1,1))+1)/((nQ4_CaseKey=$H$4)),AG119),0),IFERROR(_xlfn.AGGREGATE(15,6,(ROW(nQ5_CaseKey)-ROW(INDEX(nQ5_CaseKey,1,1))+1)/((nQ5_CaseKey=$H$4)),AG119),0),IFERROR(_xlfn.AGGREGATE(15,6,(ROW(nQ6_CaseKey)-ROW(INDEX(nQ6_CaseKey,1,1))+1)/((nQ6_CaseKey=$H$4)),AG119),0),IFERROR(_xlfn.AGGREGATE(15,6,(ROW(nQ7_CaseKey)-ROW(INDEX(nQ7_CaseKey,1,1))+1)/((nQ7_CaseKey=$H$4)),AG119),0),IFERROR(_xlfn.AGGREGATE(15,6,(ROW(nQ8_CaseKey)-ROW(INDEX(nQ8_CaseKey,1,1))+1)/((nQ8_CaseKey=$H$4)),AG119),0),IFERROR(_xlfn.AGGREGATE(15,6,(ROW(nQ9_CaseKey)-ROW(INDEX(nQ9_CaseKey,1,1))+1)/((nQ9_CaseKey=$H$4)),AG119),0),IFERROR(_xlfn.AGGREGATE(15,6,(ROW(nQ10_CaseKey)-ROW(INDEX(nQ10_CaseKey,1,1))+1)/((nQ10_CaseKey=$H$4)),AG119),0),IFERROR(_xlfn.AGGREGATE(15,6,(ROW(nQ11_CaseKey)-ROW(INDEX(nQ11_CaseKey,1,1))+1)/((nQ11_CaseKey=$H$4)),AG119),0)))</f>
        <v>0</v>
      </c>
      <c r="AJ119" s="1" t="str">
        <f>IF($AF119=0,"",CHOOSE($AF119,INDEX(nINT_Case_ID,$AH119)&amp;"",INDEX(nQ1_Case_ID,$AH119)&amp;"",INDEX(nQ2_Case_ID,$AH119)&amp;"",INDEX(nQ3_Case_ID,$AH119)&amp;"",INDEX(nQ4_Case_ID,$AH119)&amp;"",INDEX(nQ5_Case_ID,$AH119)&amp;"",INDEX(nQ6_Case_ID,$AH119)&amp;"",INDEX(nQ7_Case_ID,$AH119)&amp;"",INDEX(nQ8_Case_ID,$AH119)&amp;"",INDEX(nQ9_Case_ID,$AH119)&amp;"",INDEX(nQ10_Case_ID,$AH119)&amp;"",INDEX(nQ11_Case_ID,$AH119)&amp;""))</f>
        <v/>
      </c>
      <c r="AK119" s="1" t="str">
        <f>IF($AF119=0,"",CHOOSE($AF119,INDEX(nINT_Case_Version,$AH119),INDEX(nQ1_Case_Version,$AH119),INDEX(nQ2_Case_Version,$AH119),INDEX(nQ3_Case_Version,$AH119),INDEX(nQ4_Case_Version,$AH119),INDEX(nQ5_Case_Version,$AH119),INDEX(nQ6_Case_Version,$AH119),INDEX(nQ7_Case_Version,$AH119),INDEX(nQ8_Case_Version,$AH119),INDEX(nQ9_Case_Version,$AH119),INDEX(nQ10_Case_Version,$AH119),INDEX(nQ11_Case_Version,$AH119)))</f>
        <v/>
      </c>
      <c r="AL119" s="1" t="str">
        <f>IF($AF119=0,"",CHOOSE($AF119,INDEX(nINT_Interval_ID,$AH119)&amp;"",INDEX(nQ1_Calc_ID,$AH119)&amp;"",INDEX(nQ2_Calc_ID,$AH119)&amp;"",INDEX(nQ3_Calc_ID,$AH119)&amp;"",INDEX(nQ4_Calc_ID,$AH119)&amp;"",INDEX(nQ5_Calc_ID,$AH119)&amp;"",INDEX(nQ6_Calc_ID,$AH119)&amp;"",INDEX(nQ7_Calc_ID,$AH119)&amp;"",INDEX(nQ8_Calc_ID,$AH119)&amp;"",INDEX(nQ9_Calc_ID,$AH119)&amp;"",INDEX(nQ10_Calc_ID,$AH119)&amp;"",INDEX(nQ11_Calc_ID,$AH119)&amp;""))</f>
        <v/>
      </c>
      <c r="AM119" s="1" t="str">
        <f>IF($AF119=0,"",CHOOSE($AF119,INDEX(nINT_Label,$AH119)&amp;"",INDEX(nQ1_Label_Out,$AH119)&amp;"",INDEX(nQ2_Label_Out,$AH119)&amp;"",INDEX(nQ3_Label_Out,$AH119)&amp;"",INDEX(nQ4_Label_Out,$AH119)&amp;"",INDEX(nQ5_Label_Out,$AH119)&amp;"",INDEX(nQ6_Label_Out,$AH119)&amp;"",INDEX(nQ7_Label_Out,$AH119)&amp;"",INDEX(nQ8_Label_Out,$AH119)&amp;"",INDEX(nQ9_Label_Out,$AH119)&amp;"",INDEX(nQ10_Label_Out,$AH119)&amp;"",INDEX(nQ11_Label_Out,$AH119)&amp;""))</f>
        <v/>
      </c>
      <c r="AN119" s="1" t="str">
        <f>IF($AF119=0,"",CHOOSE($AF119,IF(INDEX(nINT_LinkRow,$AH119)=0,"",INDEX(nINT_Link_ID,$AH119)&amp;""),"","","","","","","","","","",""))</f>
        <v/>
      </c>
      <c r="AO119" s="1" t="str">
        <f>IF($AF119=0,"",CHOOSE($AF119,INDEX(nINT_Exposure_Episode_ID,$AH119)&amp;"","","","","","","","","","","",""))</f>
        <v/>
      </c>
      <c r="AP119" s="1" t="str">
        <f>IF($AF119=0,"",CHOOSE($AF119,INDEX(nINT_Event_Episode_ID,$AH119)&amp;"","","","","","","","","","","",""))</f>
        <v/>
      </c>
      <c r="AQ119" s="1" t="str">
        <f>IF($AF119=0,"",CHOOSE($AF119,INDEX(nINT_End_Record_ID_Used,$AH119)&amp;"","","","","","","","","","","",""))</f>
        <v/>
      </c>
      <c r="AR119" s="1" t="str">
        <f>IF($AF119=0,"",CHOOSE($AF119,INDEX(nINT_Interval_Value,$AH119),"","","","","","","","","","",""))</f>
        <v/>
      </c>
      <c r="AS119" s="1" t="str">
        <f>IF($AF119=0,"",CHOOSE($AF119,INDEX(nINT_Interval_Minimum,$AH119),"","","","","","","","","","",""))</f>
        <v/>
      </c>
      <c r="AT119" s="1" t="str">
        <f>IF($AF119=0,"",CHOOSE($AF119,INDEX(nINT_Interval_Maximum,$AH119),"","","","","","","","","","",""))</f>
        <v/>
      </c>
      <c r="AU119" s="1" t="str">
        <f>IF($AF119=0,"",CHOOSE($AF119,INDEX(nINT_Unit,$AH119)&amp;"",INDEX(nQ1_Unit_Out,$AH119)&amp;"",INDEX(nQ2_Unit_Out,$AH119)&amp;"",INDEX(nQ3_Unit_Out,$AH119)&amp;"",INDEX(nQ4_Unit_Out,$AH119)&amp;"",INDEX(nQ5_Unit_Out,$AH119)&amp;"",INDEX(nQ6_Unit_Out,$AH119)&amp;"",INDEX(nQ7_Unit_Out,$AH119)&amp;"",INDEX(nQ8_Unit_Out,$AH119)&amp;"",INDEX(nQ9_Unit_Out,$AH119)&amp;"",INDEX(nQ10_Unit_Out,$AH119)&amp;"",INDEX(nQ11_Unit_Out,$AH119)&amp;""))</f>
        <v/>
      </c>
      <c r="AV119" s="1" t="str">
        <f>IF($AF119=0,"",CHOOSE($AF119,INDEX(nINT_Displayed_Value,$AH119)&amp;"",INDEX(nQ1_Displayed_Value,$AH119)&amp;"",INDEX(nQ2_Displayed_Value,$AH119)&amp;"",INDEX(nQ3_Displayed_Value,$AH119)&amp;"",INDEX(nQ4_Displayed_Value,$AH119)&amp;"",INDEX(nQ5_Displayed_Value,$AH119)&amp;"",INDEX(nQ6_Displayed_Value,$AH119)&amp;"",INDEX(nQ7_Displayed_Value,$AH119)&amp;"",INDEX(nQ8_Displayed_Value,$AH119)&amp;"",INDEX(nQ9_Displayed_Value,$AH119)&amp;"",INDEX(nQ10_Displayed_Value,$AH119)&amp;"",INDEX(nQ11_Displayed_Value,$AH119)&amp;""))</f>
        <v/>
      </c>
      <c r="AW119" s="1" t="str">
        <f>IF($AF119=0,"",CHOOSE($AF119,INDEX(nINT_Calculation_Mode_Used,$AH119)&amp;"","Q1","Q2","Q3","Q4","Q5","Q6","Q7","Q8","Q9","Q10","Q11"))</f>
        <v/>
      </c>
      <c r="AX119" s="1" t="str">
        <f>IF($AF119=0,"",CHOOSE($AF119,INDEX(nINT_Anchor_Type,$AH119)&amp;"","","","","","","","","","","",""))</f>
        <v/>
      </c>
      <c r="AY119" s="1" t="str">
        <f>IF($AF119=0,"",CHOOSE($AF119,IF(INDEX(nINT_K_Ok,$AH119)=1,INDEX(nINT_Anchor_Record_ID_Used,$AH119)&amp;"",""),"","","","","","","","","","",""))</f>
        <v/>
      </c>
      <c r="AZ119" s="1" t="str">
        <f>IF($AF119=0,"",CHOOSE($AF119,INDEX(nINT_Anchor_Description,$AH119)&amp;"","","","","","","","","","","",""))</f>
        <v/>
      </c>
      <c r="BA119" s="1" t="str">
        <f>IF($AF119=0,"",CHOOSE($AF119,INDEX(nINT_Sequence_Status,$AH119)&amp;"","","","","","","","","","","",""))</f>
        <v/>
      </c>
      <c r="BB119" s="1" t="str">
        <f>IF($AF119=0,"",CHOOSE($AF119,INDEX(nINT_Treatment_Day,$AH119),"","","","","","","","","","",""))</f>
        <v/>
      </c>
      <c r="BC119" s="1" t="str">
        <f>IF($AF119=0,"",CHOOSE($AF119,INDEX(nINT_Reported_Timing_Result,$AH119)&amp;"","","","","","","","","","","",""))</f>
        <v/>
      </c>
      <c r="BD119" s="1" t="str">
        <f>IF($AF119=0,"",CHOOSE($AF119,IF(INDEX(nINT_K_HasC,$AH119)=1,INDEX(nINT_Constraint_Source,$AH119)&amp;"",""),"","","","","","","","","","",""))</f>
        <v/>
      </c>
      <c r="BE119" s="1" t="str">
        <f>IF($AF119=0,"",CHOOSE($AF119,"",INDEX(nQ1_Results_Text,$AH119)&amp;"",INDEX(nQ2_Results_Text,$AH119)&amp;"",INDEX(nQ3_Results_Text,$AH119)&amp;"",INDEX(nQ4_Results_Text,$AH119)&amp;"",INDEX(nQ5_Results_Text,$AH119)&amp;"",INDEX(nQ6_Results_Text,$AH119)&amp;"",INDEX(nQ7_Results_Text,$AH119)&amp;"",INDEX(nQ8_Results_Text,$AH119)&amp;"",INDEX(nQ9_Results_Text,$AH119)&amp;"",INDEX(nQ10_Results_Text,$AH119)&amp;"",INDEX(nQ11_Results_Text,$AH119)&amp;""))</f>
        <v/>
      </c>
      <c r="BF119" s="1" t="str">
        <f>IF($AF119=0,"",CHOOSE($AF119,INDEX(nINT_Parameter_Set,$AH119)&amp;"",INDEX(nQ1_Parameter_Set,$AH119)&amp;"",INDEX(nQ2_Parameter_Set,$AH119)&amp;"",INDEX(nQ3_Parameter_Set,$AH119)&amp;"",INDEX(nQ4_Parameter_Set,$AH119)&amp;"",INDEX(nQ5_Parameter_Set,$AH119)&amp;"",INDEX(nQ6_Parameter_Set,$AH119)&amp;"",INDEX(nQ7_Parameter_Set,$AH119)&amp;"",INDEX(nQ8_Parameter_Set,$AH119)&amp;"",INDEX(nQ9_Parameter_Set,$AH119)&amp;"",INDEX(nQ10_Parameter_Set,$AH119)&amp;"",INDEX(nQ11_Parameter_Set,$AH119)&amp;""))</f>
        <v/>
      </c>
      <c r="BG119" s="1" t="str">
        <f>IF($AF119=0,"",CHOOSE($AF119,INDEX(nINT_Assumptions,$AH119)&amp;"",INDEX(nQ1_Assumptions,$AH119)&amp;"",INDEX(nQ2_Assumptions,$AH119)&amp;"",INDEX(nQ3_Assumptions,$AH119)&amp;"",INDEX(nQ4_Assumptions,$AH119)&amp;"",INDEX(nQ5_Assumptions,$AH119)&amp;"",INDEX(nQ6_Assumptions,$AH119)&amp;"",INDEX(nQ7_Assumptions,$AH119)&amp;"",INDEX(nQ8_Assumptions,$AH119)&amp;"",INDEX(nQ9_Assumptions,$AH119)&amp;"",INDEX(nQ10_Assumptions,$AH119)&amp;"",INDEX(nQ11_Assumptions,$AH119)&amp;""))</f>
        <v/>
      </c>
      <c r="BH119" s="1" t="str">
        <f>IF($AF119=0,"",CHOOSE($AF119,INDEX(nINT_Calculation_Version,$AH119)&amp;"",INDEX(nQ1_Calculation_Version,$AH119)&amp;"",INDEX(nQ2_Calculation_Version,$AH119)&amp;"",INDEX(nQ3_Calculation_Version,$AH119)&amp;"",INDEX(nQ4_Calculation_Version,$AH119)&amp;"",INDEX(nQ5_Calculation_Version,$AH119)&amp;"",INDEX(nQ6_Calculation_Version,$AH119)&amp;"",INDEX(nQ7_Calculation_Version,$AH119)&amp;"",INDEX(nQ8_Calculation_Version,$AH119)&amp;"",INDEX(nQ9_Calculation_Version,$AH119)&amp;"",INDEX(nQ10_Calculation_Version,$AH119)&amp;"",INDEX(nQ11_Calculation_Version,$AH119)&amp;""))</f>
        <v/>
      </c>
      <c r="BI119" s="1" t="str">
        <f>IF($AF119=0,"",CHOOSE($AF119,INDEX(nINT_QC_Flags,$AH119)&amp;"",INDEX(nQ1_QC_Flags,$AH119)&amp;"",INDEX(nQ2_QC_Flags,$AH119)&amp;"",INDEX(nQ3_QC_Flags,$AH119)&amp;"",INDEX(nQ4_QC_Flags,$AH119)&amp;"",INDEX(nQ5_QC_Flags,$AH119)&amp;"",INDEX(nQ6_QC_Flags,$AH119)&amp;"",INDEX(nQ7_QC_Flags,$AH119)&amp;"",INDEX(nQ8_QC_Flags,$AH119)&amp;"",INDEX(nQ9_QC_Flags,$AH119)&amp;"",INDEX(nQ10_QC_Flags,$AH119)&amp;"",INDEX(nQ11_QC_Flags,$AH119)&amp;""))</f>
        <v/>
      </c>
      <c r="BJ119" s="1" t="str">
        <f>IF($AF119=0,"",CHOOSE($AF119,INDEX(nINT_Messages,$AH119)&amp;"",INDEX(nQ1_Messages,$AH119)&amp;"",INDEX(nQ2_Messages,$AH119)&amp;"",INDEX(nQ3_Messages,$AH119)&amp;"",INDEX(nQ4_Messages,$AH119)&amp;"",INDEX(nQ5_Messages,$AH119)&amp;"",INDEX(nQ6_Messages,$AH119)&amp;"",INDEX(nQ7_Messages,$AH119)&amp;"",INDEX(nQ8_Messages,$AH119)&amp;"",INDEX(nQ9_Messages,$AH119)&amp;"",INDEX(nQ10_Messages,$AH119)&amp;"",INDEX(nQ11_Messages,$AH119)&amp;""))</f>
        <v/>
      </c>
      <c r="BK119" s="1" t="str">
        <f>IF($AF119=0,"",CHOOSE($AF119,INDEX(nINT_Limitations,$AH119)&amp;"",INDEX(nQ1_Mandatory_Text,$AH119)&amp;"",INDEX(nQ2_Mandatory_Text,$AH119)&amp;"",INDEX(nQ3_Mandatory_Text,$AH119)&amp;"",INDEX(nQ4_Mandatory_Text,$AH119)&amp;"",INDEX(nQ5_Mandatory_Text,$AH119)&amp;"",INDEX(nQ6_Mandatory_Text,$AH119)&amp;"",INDEX(nQ7_Mandatory_Text,$AH119)&amp;"",INDEX(nQ8_Mandatory_Text,$AH119)&amp;"",INDEX(nQ9_Mandatory_Text,$AH119)&amp;"",INDEX(nQ10_Mandatory_Text,$AH119)&amp;"",INDEX(nQ11_Mandatory_Text,$AH119)&amp;""))</f>
        <v/>
      </c>
      <c r="BL119" s="1" t="str">
        <f t="shared" si="68"/>
        <v/>
      </c>
      <c r="BM119" s="1" t="str">
        <f t="shared" si="69"/>
        <v/>
      </c>
    </row>
    <row r="120" spans="1:65" x14ac:dyDescent="0.2">
      <c r="A120" s="21" t="str">
        <f t="shared" si="35"/>
        <v/>
      </c>
      <c r="B120" s="21" t="str">
        <f t="shared" si="36"/>
        <v/>
      </c>
      <c r="C120" s="21" t="str">
        <f t="shared" si="37"/>
        <v/>
      </c>
      <c r="D120" s="21" t="str">
        <f t="shared" si="38"/>
        <v/>
      </c>
      <c r="E120" s="21" t="str">
        <f t="shared" si="39"/>
        <v/>
      </c>
      <c r="F120" s="21" t="str">
        <f t="shared" si="40"/>
        <v/>
      </c>
      <c r="G120" s="21" t="str">
        <f t="shared" si="41"/>
        <v/>
      </c>
      <c r="H120" s="21" t="str">
        <f t="shared" si="42"/>
        <v/>
      </c>
      <c r="I120" s="21" t="str">
        <f t="shared" si="43"/>
        <v/>
      </c>
      <c r="J120" s="21" t="str">
        <f t="shared" si="44"/>
        <v/>
      </c>
      <c r="K120" s="21" t="str">
        <f t="shared" si="45"/>
        <v/>
      </c>
      <c r="L120" s="21" t="str">
        <f t="shared" si="46"/>
        <v/>
      </c>
      <c r="M120" s="21" t="str">
        <f t="shared" si="47"/>
        <v/>
      </c>
      <c r="N120" s="21" t="str">
        <f t="shared" si="48"/>
        <v/>
      </c>
      <c r="O120" s="21" t="str">
        <f t="shared" si="49"/>
        <v/>
      </c>
      <c r="P120" s="21" t="str">
        <f t="shared" si="50"/>
        <v/>
      </c>
      <c r="Q120" s="21" t="str">
        <f t="shared" si="51"/>
        <v/>
      </c>
      <c r="R120" s="21" t="str">
        <f t="shared" si="52"/>
        <v/>
      </c>
      <c r="S120" s="21" t="str">
        <f t="shared" si="53"/>
        <v/>
      </c>
      <c r="T120" s="21" t="str">
        <f t="shared" si="54"/>
        <v/>
      </c>
      <c r="U120" s="21" t="str">
        <f t="shared" si="55"/>
        <v/>
      </c>
      <c r="V120" s="21" t="str">
        <f t="shared" si="56"/>
        <v/>
      </c>
      <c r="W120" s="21" t="str">
        <f t="shared" si="57"/>
        <v/>
      </c>
      <c r="X120" s="21" t="str">
        <f t="shared" si="58"/>
        <v/>
      </c>
      <c r="Y120" s="21" t="str">
        <f t="shared" si="59"/>
        <v/>
      </c>
      <c r="Z120" s="21" t="str">
        <f t="shared" si="60"/>
        <v/>
      </c>
      <c r="AA120" s="21" t="str">
        <f t="shared" si="61"/>
        <v/>
      </c>
      <c r="AB120" s="21" t="str">
        <f t="shared" si="62"/>
        <v/>
      </c>
      <c r="AC120" s="21" t="str">
        <f t="shared" si="63"/>
        <v/>
      </c>
      <c r="AD120" s="21" t="str">
        <f t="shared" si="64"/>
        <v/>
      </c>
      <c r="AE120" s="1">
        <f t="shared" si="65"/>
        <v>113</v>
      </c>
      <c r="AF120" s="1">
        <f t="shared" si="66"/>
        <v>0</v>
      </c>
      <c r="AG120" s="1">
        <f t="shared" si="67"/>
        <v>0</v>
      </c>
      <c r="AH120" s="1">
        <f>IF(AF120=0,0,CHOOSE(AF120,IFERROR(_xlfn.AGGREGATE(15,6,(ROW(nINT_CaseKey)-ROW(INDEX(nINT_CaseKey,1,1))+1)/((nINT_CaseKey=$H$4)*(nINT_RowEmpty=0)),AG120),0),IFERROR(_xlfn.AGGREGATE(15,6,(ROW(nQ1_CaseKey)-ROW(INDEX(nQ1_CaseKey,1,1))+1)/((nQ1_CaseKey=$H$4)),AG120),0),IFERROR(_xlfn.AGGREGATE(15,6,(ROW(nQ2_CaseKey)-ROW(INDEX(nQ2_CaseKey,1,1))+1)/((nQ2_CaseKey=$H$4)),AG120),0),IFERROR(_xlfn.AGGREGATE(15,6,(ROW(nQ3_CaseKey)-ROW(INDEX(nQ3_CaseKey,1,1))+1)/((nQ3_CaseKey=$H$4)),AG120),0),IFERROR(_xlfn.AGGREGATE(15,6,(ROW(nQ4_CaseKey)-ROW(INDEX(nQ4_CaseKey,1,1))+1)/((nQ4_CaseKey=$H$4)),AG120),0),IFERROR(_xlfn.AGGREGATE(15,6,(ROW(nQ5_CaseKey)-ROW(INDEX(nQ5_CaseKey,1,1))+1)/((nQ5_CaseKey=$H$4)),AG120),0),IFERROR(_xlfn.AGGREGATE(15,6,(ROW(nQ6_CaseKey)-ROW(INDEX(nQ6_CaseKey,1,1))+1)/((nQ6_CaseKey=$H$4)),AG120),0),IFERROR(_xlfn.AGGREGATE(15,6,(ROW(nQ7_CaseKey)-ROW(INDEX(nQ7_CaseKey,1,1))+1)/((nQ7_CaseKey=$H$4)),AG120),0),IFERROR(_xlfn.AGGREGATE(15,6,(ROW(nQ8_CaseKey)-ROW(INDEX(nQ8_CaseKey,1,1))+1)/((nQ8_CaseKey=$H$4)),AG120),0),IFERROR(_xlfn.AGGREGATE(15,6,(ROW(nQ9_CaseKey)-ROW(INDEX(nQ9_CaseKey,1,1))+1)/((nQ9_CaseKey=$H$4)),AG120),0),IFERROR(_xlfn.AGGREGATE(15,6,(ROW(nQ10_CaseKey)-ROW(INDEX(nQ10_CaseKey,1,1))+1)/((nQ10_CaseKey=$H$4)),AG120),0),IFERROR(_xlfn.AGGREGATE(15,6,(ROW(nQ11_CaseKey)-ROW(INDEX(nQ11_CaseKey,1,1))+1)/((nQ11_CaseKey=$H$4)),AG120),0)))</f>
        <v>0</v>
      </c>
      <c r="AJ120" s="1" t="str">
        <f>IF($AF120=0,"",CHOOSE($AF120,INDEX(nINT_Case_ID,$AH120)&amp;"",INDEX(nQ1_Case_ID,$AH120)&amp;"",INDEX(nQ2_Case_ID,$AH120)&amp;"",INDEX(nQ3_Case_ID,$AH120)&amp;"",INDEX(nQ4_Case_ID,$AH120)&amp;"",INDEX(nQ5_Case_ID,$AH120)&amp;"",INDEX(nQ6_Case_ID,$AH120)&amp;"",INDEX(nQ7_Case_ID,$AH120)&amp;"",INDEX(nQ8_Case_ID,$AH120)&amp;"",INDEX(nQ9_Case_ID,$AH120)&amp;"",INDEX(nQ10_Case_ID,$AH120)&amp;"",INDEX(nQ11_Case_ID,$AH120)&amp;""))</f>
        <v/>
      </c>
      <c r="AK120" s="1" t="str">
        <f>IF($AF120=0,"",CHOOSE($AF120,INDEX(nINT_Case_Version,$AH120),INDEX(nQ1_Case_Version,$AH120),INDEX(nQ2_Case_Version,$AH120),INDEX(nQ3_Case_Version,$AH120),INDEX(nQ4_Case_Version,$AH120),INDEX(nQ5_Case_Version,$AH120),INDEX(nQ6_Case_Version,$AH120),INDEX(nQ7_Case_Version,$AH120),INDEX(nQ8_Case_Version,$AH120),INDEX(nQ9_Case_Version,$AH120),INDEX(nQ10_Case_Version,$AH120),INDEX(nQ11_Case_Version,$AH120)))</f>
        <v/>
      </c>
      <c r="AL120" s="1" t="str">
        <f>IF($AF120=0,"",CHOOSE($AF120,INDEX(nINT_Interval_ID,$AH120)&amp;"",INDEX(nQ1_Calc_ID,$AH120)&amp;"",INDEX(nQ2_Calc_ID,$AH120)&amp;"",INDEX(nQ3_Calc_ID,$AH120)&amp;"",INDEX(nQ4_Calc_ID,$AH120)&amp;"",INDEX(nQ5_Calc_ID,$AH120)&amp;"",INDEX(nQ6_Calc_ID,$AH120)&amp;"",INDEX(nQ7_Calc_ID,$AH120)&amp;"",INDEX(nQ8_Calc_ID,$AH120)&amp;"",INDEX(nQ9_Calc_ID,$AH120)&amp;"",INDEX(nQ10_Calc_ID,$AH120)&amp;"",INDEX(nQ11_Calc_ID,$AH120)&amp;""))</f>
        <v/>
      </c>
      <c r="AM120" s="1" t="str">
        <f>IF($AF120=0,"",CHOOSE($AF120,INDEX(nINT_Label,$AH120)&amp;"",INDEX(nQ1_Label_Out,$AH120)&amp;"",INDEX(nQ2_Label_Out,$AH120)&amp;"",INDEX(nQ3_Label_Out,$AH120)&amp;"",INDEX(nQ4_Label_Out,$AH120)&amp;"",INDEX(nQ5_Label_Out,$AH120)&amp;"",INDEX(nQ6_Label_Out,$AH120)&amp;"",INDEX(nQ7_Label_Out,$AH120)&amp;"",INDEX(nQ8_Label_Out,$AH120)&amp;"",INDEX(nQ9_Label_Out,$AH120)&amp;"",INDEX(nQ10_Label_Out,$AH120)&amp;"",INDEX(nQ11_Label_Out,$AH120)&amp;""))</f>
        <v/>
      </c>
      <c r="AN120" s="1" t="str">
        <f>IF($AF120=0,"",CHOOSE($AF120,IF(INDEX(nINT_LinkRow,$AH120)=0,"",INDEX(nINT_Link_ID,$AH120)&amp;""),"","","","","","","","","","",""))</f>
        <v/>
      </c>
      <c r="AO120" s="1" t="str">
        <f>IF($AF120=0,"",CHOOSE($AF120,INDEX(nINT_Exposure_Episode_ID,$AH120)&amp;"","","","","","","","","","","",""))</f>
        <v/>
      </c>
      <c r="AP120" s="1" t="str">
        <f>IF($AF120=0,"",CHOOSE($AF120,INDEX(nINT_Event_Episode_ID,$AH120)&amp;"","","","","","","","","","","",""))</f>
        <v/>
      </c>
      <c r="AQ120" s="1" t="str">
        <f>IF($AF120=0,"",CHOOSE($AF120,INDEX(nINT_End_Record_ID_Used,$AH120)&amp;"","","","","","","","","","","",""))</f>
        <v/>
      </c>
      <c r="AR120" s="1" t="str">
        <f>IF($AF120=0,"",CHOOSE($AF120,INDEX(nINT_Interval_Value,$AH120),"","","","","","","","","","",""))</f>
        <v/>
      </c>
      <c r="AS120" s="1" t="str">
        <f>IF($AF120=0,"",CHOOSE($AF120,INDEX(nINT_Interval_Minimum,$AH120),"","","","","","","","","","",""))</f>
        <v/>
      </c>
      <c r="AT120" s="1" t="str">
        <f>IF($AF120=0,"",CHOOSE($AF120,INDEX(nINT_Interval_Maximum,$AH120),"","","","","","","","","","",""))</f>
        <v/>
      </c>
      <c r="AU120" s="1" t="str">
        <f>IF($AF120=0,"",CHOOSE($AF120,INDEX(nINT_Unit,$AH120)&amp;"",INDEX(nQ1_Unit_Out,$AH120)&amp;"",INDEX(nQ2_Unit_Out,$AH120)&amp;"",INDEX(nQ3_Unit_Out,$AH120)&amp;"",INDEX(nQ4_Unit_Out,$AH120)&amp;"",INDEX(nQ5_Unit_Out,$AH120)&amp;"",INDEX(nQ6_Unit_Out,$AH120)&amp;"",INDEX(nQ7_Unit_Out,$AH120)&amp;"",INDEX(nQ8_Unit_Out,$AH120)&amp;"",INDEX(nQ9_Unit_Out,$AH120)&amp;"",INDEX(nQ10_Unit_Out,$AH120)&amp;"",INDEX(nQ11_Unit_Out,$AH120)&amp;""))</f>
        <v/>
      </c>
      <c r="AV120" s="1" t="str">
        <f>IF($AF120=0,"",CHOOSE($AF120,INDEX(nINT_Displayed_Value,$AH120)&amp;"",INDEX(nQ1_Displayed_Value,$AH120)&amp;"",INDEX(nQ2_Displayed_Value,$AH120)&amp;"",INDEX(nQ3_Displayed_Value,$AH120)&amp;"",INDEX(nQ4_Displayed_Value,$AH120)&amp;"",INDEX(nQ5_Displayed_Value,$AH120)&amp;"",INDEX(nQ6_Displayed_Value,$AH120)&amp;"",INDEX(nQ7_Displayed_Value,$AH120)&amp;"",INDEX(nQ8_Displayed_Value,$AH120)&amp;"",INDEX(nQ9_Displayed_Value,$AH120)&amp;"",INDEX(nQ10_Displayed_Value,$AH120)&amp;"",INDEX(nQ11_Displayed_Value,$AH120)&amp;""))</f>
        <v/>
      </c>
      <c r="AW120" s="1" t="str">
        <f>IF($AF120=0,"",CHOOSE($AF120,INDEX(nINT_Calculation_Mode_Used,$AH120)&amp;"","Q1","Q2","Q3","Q4","Q5","Q6","Q7","Q8","Q9","Q10","Q11"))</f>
        <v/>
      </c>
      <c r="AX120" s="1" t="str">
        <f>IF($AF120=0,"",CHOOSE($AF120,INDEX(nINT_Anchor_Type,$AH120)&amp;"","","","","","","","","","","",""))</f>
        <v/>
      </c>
      <c r="AY120" s="1" t="str">
        <f>IF($AF120=0,"",CHOOSE($AF120,IF(INDEX(nINT_K_Ok,$AH120)=1,INDEX(nINT_Anchor_Record_ID_Used,$AH120)&amp;"",""),"","","","","","","","","","",""))</f>
        <v/>
      </c>
      <c r="AZ120" s="1" t="str">
        <f>IF($AF120=0,"",CHOOSE($AF120,INDEX(nINT_Anchor_Description,$AH120)&amp;"","","","","","","","","","","",""))</f>
        <v/>
      </c>
      <c r="BA120" s="1" t="str">
        <f>IF($AF120=0,"",CHOOSE($AF120,INDEX(nINT_Sequence_Status,$AH120)&amp;"","","","","","","","","","","",""))</f>
        <v/>
      </c>
      <c r="BB120" s="1" t="str">
        <f>IF($AF120=0,"",CHOOSE($AF120,INDEX(nINT_Treatment_Day,$AH120),"","","","","","","","","","",""))</f>
        <v/>
      </c>
      <c r="BC120" s="1" t="str">
        <f>IF($AF120=0,"",CHOOSE($AF120,INDEX(nINT_Reported_Timing_Result,$AH120)&amp;"","","","","","","","","","","",""))</f>
        <v/>
      </c>
      <c r="BD120" s="1" t="str">
        <f>IF($AF120=0,"",CHOOSE($AF120,IF(INDEX(nINT_K_HasC,$AH120)=1,INDEX(nINT_Constraint_Source,$AH120)&amp;"",""),"","","","","","","","","","",""))</f>
        <v/>
      </c>
      <c r="BE120" s="1" t="str">
        <f>IF($AF120=0,"",CHOOSE($AF120,"",INDEX(nQ1_Results_Text,$AH120)&amp;"",INDEX(nQ2_Results_Text,$AH120)&amp;"",INDEX(nQ3_Results_Text,$AH120)&amp;"",INDEX(nQ4_Results_Text,$AH120)&amp;"",INDEX(nQ5_Results_Text,$AH120)&amp;"",INDEX(nQ6_Results_Text,$AH120)&amp;"",INDEX(nQ7_Results_Text,$AH120)&amp;"",INDEX(nQ8_Results_Text,$AH120)&amp;"",INDEX(nQ9_Results_Text,$AH120)&amp;"",INDEX(nQ10_Results_Text,$AH120)&amp;"",INDEX(nQ11_Results_Text,$AH120)&amp;""))</f>
        <v/>
      </c>
      <c r="BF120" s="1" t="str">
        <f>IF($AF120=0,"",CHOOSE($AF120,INDEX(nINT_Parameter_Set,$AH120)&amp;"",INDEX(nQ1_Parameter_Set,$AH120)&amp;"",INDEX(nQ2_Parameter_Set,$AH120)&amp;"",INDEX(nQ3_Parameter_Set,$AH120)&amp;"",INDEX(nQ4_Parameter_Set,$AH120)&amp;"",INDEX(nQ5_Parameter_Set,$AH120)&amp;"",INDEX(nQ6_Parameter_Set,$AH120)&amp;"",INDEX(nQ7_Parameter_Set,$AH120)&amp;"",INDEX(nQ8_Parameter_Set,$AH120)&amp;"",INDEX(nQ9_Parameter_Set,$AH120)&amp;"",INDEX(nQ10_Parameter_Set,$AH120)&amp;"",INDEX(nQ11_Parameter_Set,$AH120)&amp;""))</f>
        <v/>
      </c>
      <c r="BG120" s="1" t="str">
        <f>IF($AF120=0,"",CHOOSE($AF120,INDEX(nINT_Assumptions,$AH120)&amp;"",INDEX(nQ1_Assumptions,$AH120)&amp;"",INDEX(nQ2_Assumptions,$AH120)&amp;"",INDEX(nQ3_Assumptions,$AH120)&amp;"",INDEX(nQ4_Assumptions,$AH120)&amp;"",INDEX(nQ5_Assumptions,$AH120)&amp;"",INDEX(nQ6_Assumptions,$AH120)&amp;"",INDEX(nQ7_Assumptions,$AH120)&amp;"",INDEX(nQ8_Assumptions,$AH120)&amp;"",INDEX(nQ9_Assumptions,$AH120)&amp;"",INDEX(nQ10_Assumptions,$AH120)&amp;"",INDEX(nQ11_Assumptions,$AH120)&amp;""))</f>
        <v/>
      </c>
      <c r="BH120" s="1" t="str">
        <f>IF($AF120=0,"",CHOOSE($AF120,INDEX(nINT_Calculation_Version,$AH120)&amp;"",INDEX(nQ1_Calculation_Version,$AH120)&amp;"",INDEX(nQ2_Calculation_Version,$AH120)&amp;"",INDEX(nQ3_Calculation_Version,$AH120)&amp;"",INDEX(nQ4_Calculation_Version,$AH120)&amp;"",INDEX(nQ5_Calculation_Version,$AH120)&amp;"",INDEX(nQ6_Calculation_Version,$AH120)&amp;"",INDEX(nQ7_Calculation_Version,$AH120)&amp;"",INDEX(nQ8_Calculation_Version,$AH120)&amp;"",INDEX(nQ9_Calculation_Version,$AH120)&amp;"",INDEX(nQ10_Calculation_Version,$AH120)&amp;"",INDEX(nQ11_Calculation_Version,$AH120)&amp;""))</f>
        <v/>
      </c>
      <c r="BI120" s="1" t="str">
        <f>IF($AF120=0,"",CHOOSE($AF120,INDEX(nINT_QC_Flags,$AH120)&amp;"",INDEX(nQ1_QC_Flags,$AH120)&amp;"",INDEX(nQ2_QC_Flags,$AH120)&amp;"",INDEX(nQ3_QC_Flags,$AH120)&amp;"",INDEX(nQ4_QC_Flags,$AH120)&amp;"",INDEX(nQ5_QC_Flags,$AH120)&amp;"",INDEX(nQ6_QC_Flags,$AH120)&amp;"",INDEX(nQ7_QC_Flags,$AH120)&amp;"",INDEX(nQ8_QC_Flags,$AH120)&amp;"",INDEX(nQ9_QC_Flags,$AH120)&amp;"",INDEX(nQ10_QC_Flags,$AH120)&amp;"",INDEX(nQ11_QC_Flags,$AH120)&amp;""))</f>
        <v/>
      </c>
      <c r="BJ120" s="1" t="str">
        <f>IF($AF120=0,"",CHOOSE($AF120,INDEX(nINT_Messages,$AH120)&amp;"",INDEX(nQ1_Messages,$AH120)&amp;"",INDEX(nQ2_Messages,$AH120)&amp;"",INDEX(nQ3_Messages,$AH120)&amp;"",INDEX(nQ4_Messages,$AH120)&amp;"",INDEX(nQ5_Messages,$AH120)&amp;"",INDEX(nQ6_Messages,$AH120)&amp;"",INDEX(nQ7_Messages,$AH120)&amp;"",INDEX(nQ8_Messages,$AH120)&amp;"",INDEX(nQ9_Messages,$AH120)&amp;"",INDEX(nQ10_Messages,$AH120)&amp;"",INDEX(nQ11_Messages,$AH120)&amp;""))</f>
        <v/>
      </c>
      <c r="BK120" s="1" t="str">
        <f>IF($AF120=0,"",CHOOSE($AF120,INDEX(nINT_Limitations,$AH120)&amp;"",INDEX(nQ1_Mandatory_Text,$AH120)&amp;"",INDEX(nQ2_Mandatory_Text,$AH120)&amp;"",INDEX(nQ3_Mandatory_Text,$AH120)&amp;"",INDEX(nQ4_Mandatory_Text,$AH120)&amp;"",INDEX(nQ5_Mandatory_Text,$AH120)&amp;"",INDEX(nQ6_Mandatory_Text,$AH120)&amp;"",INDEX(nQ7_Mandatory_Text,$AH120)&amp;"",INDEX(nQ8_Mandatory_Text,$AH120)&amp;"",INDEX(nQ9_Mandatory_Text,$AH120)&amp;"",INDEX(nQ10_Mandatory_Text,$AH120)&amp;"",INDEX(nQ11_Mandatory_Text,$AH120)&amp;""))</f>
        <v/>
      </c>
      <c r="BL120" s="1" t="str">
        <f t="shared" si="68"/>
        <v/>
      </c>
      <c r="BM120" s="1" t="str">
        <f t="shared" si="69"/>
        <v/>
      </c>
    </row>
    <row r="121" spans="1:65" x14ac:dyDescent="0.2">
      <c r="A121" s="21" t="str">
        <f t="shared" si="35"/>
        <v/>
      </c>
      <c r="B121" s="21" t="str">
        <f t="shared" si="36"/>
        <v/>
      </c>
      <c r="C121" s="21" t="str">
        <f t="shared" si="37"/>
        <v/>
      </c>
      <c r="D121" s="21" t="str">
        <f t="shared" si="38"/>
        <v/>
      </c>
      <c r="E121" s="21" t="str">
        <f t="shared" si="39"/>
        <v/>
      </c>
      <c r="F121" s="21" t="str">
        <f t="shared" si="40"/>
        <v/>
      </c>
      <c r="G121" s="21" t="str">
        <f t="shared" si="41"/>
        <v/>
      </c>
      <c r="H121" s="21" t="str">
        <f t="shared" si="42"/>
        <v/>
      </c>
      <c r="I121" s="21" t="str">
        <f t="shared" si="43"/>
        <v/>
      </c>
      <c r="J121" s="21" t="str">
        <f t="shared" si="44"/>
        <v/>
      </c>
      <c r="K121" s="21" t="str">
        <f t="shared" si="45"/>
        <v/>
      </c>
      <c r="L121" s="21" t="str">
        <f t="shared" si="46"/>
        <v/>
      </c>
      <c r="M121" s="21" t="str">
        <f t="shared" si="47"/>
        <v/>
      </c>
      <c r="N121" s="21" t="str">
        <f t="shared" si="48"/>
        <v/>
      </c>
      <c r="O121" s="21" t="str">
        <f t="shared" si="49"/>
        <v/>
      </c>
      <c r="P121" s="21" t="str">
        <f t="shared" si="50"/>
        <v/>
      </c>
      <c r="Q121" s="21" t="str">
        <f t="shared" si="51"/>
        <v/>
      </c>
      <c r="R121" s="21" t="str">
        <f t="shared" si="52"/>
        <v/>
      </c>
      <c r="S121" s="21" t="str">
        <f t="shared" si="53"/>
        <v/>
      </c>
      <c r="T121" s="21" t="str">
        <f t="shared" si="54"/>
        <v/>
      </c>
      <c r="U121" s="21" t="str">
        <f t="shared" si="55"/>
        <v/>
      </c>
      <c r="V121" s="21" t="str">
        <f t="shared" si="56"/>
        <v/>
      </c>
      <c r="W121" s="21" t="str">
        <f t="shared" si="57"/>
        <v/>
      </c>
      <c r="X121" s="21" t="str">
        <f t="shared" si="58"/>
        <v/>
      </c>
      <c r="Y121" s="21" t="str">
        <f t="shared" si="59"/>
        <v/>
      </c>
      <c r="Z121" s="21" t="str">
        <f t="shared" si="60"/>
        <v/>
      </c>
      <c r="AA121" s="21" t="str">
        <f t="shared" si="61"/>
        <v/>
      </c>
      <c r="AB121" s="21" t="str">
        <f t="shared" si="62"/>
        <v/>
      </c>
      <c r="AC121" s="21" t="str">
        <f t="shared" si="63"/>
        <v/>
      </c>
      <c r="AD121" s="21" t="str">
        <f t="shared" si="64"/>
        <v/>
      </c>
      <c r="AE121" s="1">
        <f t="shared" si="65"/>
        <v>114</v>
      </c>
      <c r="AF121" s="1">
        <f t="shared" si="66"/>
        <v>0</v>
      </c>
      <c r="AG121" s="1">
        <f t="shared" si="67"/>
        <v>0</v>
      </c>
      <c r="AH121" s="1">
        <f>IF(AF121=0,0,CHOOSE(AF121,IFERROR(_xlfn.AGGREGATE(15,6,(ROW(nINT_CaseKey)-ROW(INDEX(nINT_CaseKey,1,1))+1)/((nINT_CaseKey=$H$4)*(nINT_RowEmpty=0)),AG121),0),IFERROR(_xlfn.AGGREGATE(15,6,(ROW(nQ1_CaseKey)-ROW(INDEX(nQ1_CaseKey,1,1))+1)/((nQ1_CaseKey=$H$4)),AG121),0),IFERROR(_xlfn.AGGREGATE(15,6,(ROW(nQ2_CaseKey)-ROW(INDEX(nQ2_CaseKey,1,1))+1)/((nQ2_CaseKey=$H$4)),AG121),0),IFERROR(_xlfn.AGGREGATE(15,6,(ROW(nQ3_CaseKey)-ROW(INDEX(nQ3_CaseKey,1,1))+1)/((nQ3_CaseKey=$H$4)),AG121),0),IFERROR(_xlfn.AGGREGATE(15,6,(ROW(nQ4_CaseKey)-ROW(INDEX(nQ4_CaseKey,1,1))+1)/((nQ4_CaseKey=$H$4)),AG121),0),IFERROR(_xlfn.AGGREGATE(15,6,(ROW(nQ5_CaseKey)-ROW(INDEX(nQ5_CaseKey,1,1))+1)/((nQ5_CaseKey=$H$4)),AG121),0),IFERROR(_xlfn.AGGREGATE(15,6,(ROW(nQ6_CaseKey)-ROW(INDEX(nQ6_CaseKey,1,1))+1)/((nQ6_CaseKey=$H$4)),AG121),0),IFERROR(_xlfn.AGGREGATE(15,6,(ROW(nQ7_CaseKey)-ROW(INDEX(nQ7_CaseKey,1,1))+1)/((nQ7_CaseKey=$H$4)),AG121),0),IFERROR(_xlfn.AGGREGATE(15,6,(ROW(nQ8_CaseKey)-ROW(INDEX(nQ8_CaseKey,1,1))+1)/((nQ8_CaseKey=$H$4)),AG121),0),IFERROR(_xlfn.AGGREGATE(15,6,(ROW(nQ9_CaseKey)-ROW(INDEX(nQ9_CaseKey,1,1))+1)/((nQ9_CaseKey=$H$4)),AG121),0),IFERROR(_xlfn.AGGREGATE(15,6,(ROW(nQ10_CaseKey)-ROW(INDEX(nQ10_CaseKey,1,1))+1)/((nQ10_CaseKey=$H$4)),AG121),0),IFERROR(_xlfn.AGGREGATE(15,6,(ROW(nQ11_CaseKey)-ROW(INDEX(nQ11_CaseKey,1,1))+1)/((nQ11_CaseKey=$H$4)),AG121),0)))</f>
        <v>0</v>
      </c>
      <c r="AJ121" s="1" t="str">
        <f>IF($AF121=0,"",CHOOSE($AF121,INDEX(nINT_Case_ID,$AH121)&amp;"",INDEX(nQ1_Case_ID,$AH121)&amp;"",INDEX(nQ2_Case_ID,$AH121)&amp;"",INDEX(nQ3_Case_ID,$AH121)&amp;"",INDEX(nQ4_Case_ID,$AH121)&amp;"",INDEX(nQ5_Case_ID,$AH121)&amp;"",INDEX(nQ6_Case_ID,$AH121)&amp;"",INDEX(nQ7_Case_ID,$AH121)&amp;"",INDEX(nQ8_Case_ID,$AH121)&amp;"",INDEX(nQ9_Case_ID,$AH121)&amp;"",INDEX(nQ10_Case_ID,$AH121)&amp;"",INDEX(nQ11_Case_ID,$AH121)&amp;""))</f>
        <v/>
      </c>
      <c r="AK121" s="1" t="str">
        <f>IF($AF121=0,"",CHOOSE($AF121,INDEX(nINT_Case_Version,$AH121),INDEX(nQ1_Case_Version,$AH121),INDEX(nQ2_Case_Version,$AH121),INDEX(nQ3_Case_Version,$AH121),INDEX(nQ4_Case_Version,$AH121),INDEX(nQ5_Case_Version,$AH121),INDEX(nQ6_Case_Version,$AH121),INDEX(nQ7_Case_Version,$AH121),INDEX(nQ8_Case_Version,$AH121),INDEX(nQ9_Case_Version,$AH121),INDEX(nQ10_Case_Version,$AH121),INDEX(nQ11_Case_Version,$AH121)))</f>
        <v/>
      </c>
      <c r="AL121" s="1" t="str">
        <f>IF($AF121=0,"",CHOOSE($AF121,INDEX(nINT_Interval_ID,$AH121)&amp;"",INDEX(nQ1_Calc_ID,$AH121)&amp;"",INDEX(nQ2_Calc_ID,$AH121)&amp;"",INDEX(nQ3_Calc_ID,$AH121)&amp;"",INDEX(nQ4_Calc_ID,$AH121)&amp;"",INDEX(nQ5_Calc_ID,$AH121)&amp;"",INDEX(nQ6_Calc_ID,$AH121)&amp;"",INDEX(nQ7_Calc_ID,$AH121)&amp;"",INDEX(nQ8_Calc_ID,$AH121)&amp;"",INDEX(nQ9_Calc_ID,$AH121)&amp;"",INDEX(nQ10_Calc_ID,$AH121)&amp;"",INDEX(nQ11_Calc_ID,$AH121)&amp;""))</f>
        <v/>
      </c>
      <c r="AM121" s="1" t="str">
        <f>IF($AF121=0,"",CHOOSE($AF121,INDEX(nINT_Label,$AH121)&amp;"",INDEX(nQ1_Label_Out,$AH121)&amp;"",INDEX(nQ2_Label_Out,$AH121)&amp;"",INDEX(nQ3_Label_Out,$AH121)&amp;"",INDEX(nQ4_Label_Out,$AH121)&amp;"",INDEX(nQ5_Label_Out,$AH121)&amp;"",INDEX(nQ6_Label_Out,$AH121)&amp;"",INDEX(nQ7_Label_Out,$AH121)&amp;"",INDEX(nQ8_Label_Out,$AH121)&amp;"",INDEX(nQ9_Label_Out,$AH121)&amp;"",INDEX(nQ10_Label_Out,$AH121)&amp;"",INDEX(nQ11_Label_Out,$AH121)&amp;""))</f>
        <v/>
      </c>
      <c r="AN121" s="1" t="str">
        <f>IF($AF121=0,"",CHOOSE($AF121,IF(INDEX(nINT_LinkRow,$AH121)=0,"",INDEX(nINT_Link_ID,$AH121)&amp;""),"","","","","","","","","","",""))</f>
        <v/>
      </c>
      <c r="AO121" s="1" t="str">
        <f>IF($AF121=0,"",CHOOSE($AF121,INDEX(nINT_Exposure_Episode_ID,$AH121)&amp;"","","","","","","","","","","",""))</f>
        <v/>
      </c>
      <c r="AP121" s="1" t="str">
        <f>IF($AF121=0,"",CHOOSE($AF121,INDEX(nINT_Event_Episode_ID,$AH121)&amp;"","","","","","","","","","","",""))</f>
        <v/>
      </c>
      <c r="AQ121" s="1" t="str">
        <f>IF($AF121=0,"",CHOOSE($AF121,INDEX(nINT_End_Record_ID_Used,$AH121)&amp;"","","","","","","","","","","",""))</f>
        <v/>
      </c>
      <c r="AR121" s="1" t="str">
        <f>IF($AF121=0,"",CHOOSE($AF121,INDEX(nINT_Interval_Value,$AH121),"","","","","","","","","","",""))</f>
        <v/>
      </c>
      <c r="AS121" s="1" t="str">
        <f>IF($AF121=0,"",CHOOSE($AF121,INDEX(nINT_Interval_Minimum,$AH121),"","","","","","","","","","",""))</f>
        <v/>
      </c>
      <c r="AT121" s="1" t="str">
        <f>IF($AF121=0,"",CHOOSE($AF121,INDEX(nINT_Interval_Maximum,$AH121),"","","","","","","","","","",""))</f>
        <v/>
      </c>
      <c r="AU121" s="1" t="str">
        <f>IF($AF121=0,"",CHOOSE($AF121,INDEX(nINT_Unit,$AH121)&amp;"",INDEX(nQ1_Unit_Out,$AH121)&amp;"",INDEX(nQ2_Unit_Out,$AH121)&amp;"",INDEX(nQ3_Unit_Out,$AH121)&amp;"",INDEX(nQ4_Unit_Out,$AH121)&amp;"",INDEX(nQ5_Unit_Out,$AH121)&amp;"",INDEX(nQ6_Unit_Out,$AH121)&amp;"",INDEX(nQ7_Unit_Out,$AH121)&amp;"",INDEX(nQ8_Unit_Out,$AH121)&amp;"",INDEX(nQ9_Unit_Out,$AH121)&amp;"",INDEX(nQ10_Unit_Out,$AH121)&amp;"",INDEX(nQ11_Unit_Out,$AH121)&amp;""))</f>
        <v/>
      </c>
      <c r="AV121" s="1" t="str">
        <f>IF($AF121=0,"",CHOOSE($AF121,INDEX(nINT_Displayed_Value,$AH121)&amp;"",INDEX(nQ1_Displayed_Value,$AH121)&amp;"",INDEX(nQ2_Displayed_Value,$AH121)&amp;"",INDEX(nQ3_Displayed_Value,$AH121)&amp;"",INDEX(nQ4_Displayed_Value,$AH121)&amp;"",INDEX(nQ5_Displayed_Value,$AH121)&amp;"",INDEX(nQ6_Displayed_Value,$AH121)&amp;"",INDEX(nQ7_Displayed_Value,$AH121)&amp;"",INDEX(nQ8_Displayed_Value,$AH121)&amp;"",INDEX(nQ9_Displayed_Value,$AH121)&amp;"",INDEX(nQ10_Displayed_Value,$AH121)&amp;"",INDEX(nQ11_Displayed_Value,$AH121)&amp;""))</f>
        <v/>
      </c>
      <c r="AW121" s="1" t="str">
        <f>IF($AF121=0,"",CHOOSE($AF121,INDEX(nINT_Calculation_Mode_Used,$AH121)&amp;"","Q1","Q2","Q3","Q4","Q5","Q6","Q7","Q8","Q9","Q10","Q11"))</f>
        <v/>
      </c>
      <c r="AX121" s="1" t="str">
        <f>IF($AF121=0,"",CHOOSE($AF121,INDEX(nINT_Anchor_Type,$AH121)&amp;"","","","","","","","","","","",""))</f>
        <v/>
      </c>
      <c r="AY121" s="1" t="str">
        <f>IF($AF121=0,"",CHOOSE($AF121,IF(INDEX(nINT_K_Ok,$AH121)=1,INDEX(nINT_Anchor_Record_ID_Used,$AH121)&amp;"",""),"","","","","","","","","","",""))</f>
        <v/>
      </c>
      <c r="AZ121" s="1" t="str">
        <f>IF($AF121=0,"",CHOOSE($AF121,INDEX(nINT_Anchor_Description,$AH121)&amp;"","","","","","","","","","","",""))</f>
        <v/>
      </c>
      <c r="BA121" s="1" t="str">
        <f>IF($AF121=0,"",CHOOSE($AF121,INDEX(nINT_Sequence_Status,$AH121)&amp;"","","","","","","","","","","",""))</f>
        <v/>
      </c>
      <c r="BB121" s="1" t="str">
        <f>IF($AF121=0,"",CHOOSE($AF121,INDEX(nINT_Treatment_Day,$AH121),"","","","","","","","","","",""))</f>
        <v/>
      </c>
      <c r="BC121" s="1" t="str">
        <f>IF($AF121=0,"",CHOOSE($AF121,INDEX(nINT_Reported_Timing_Result,$AH121)&amp;"","","","","","","","","","","",""))</f>
        <v/>
      </c>
      <c r="BD121" s="1" t="str">
        <f>IF($AF121=0,"",CHOOSE($AF121,IF(INDEX(nINT_K_HasC,$AH121)=1,INDEX(nINT_Constraint_Source,$AH121)&amp;"",""),"","","","","","","","","","",""))</f>
        <v/>
      </c>
      <c r="BE121" s="1" t="str">
        <f>IF($AF121=0,"",CHOOSE($AF121,"",INDEX(nQ1_Results_Text,$AH121)&amp;"",INDEX(nQ2_Results_Text,$AH121)&amp;"",INDEX(nQ3_Results_Text,$AH121)&amp;"",INDEX(nQ4_Results_Text,$AH121)&amp;"",INDEX(nQ5_Results_Text,$AH121)&amp;"",INDEX(nQ6_Results_Text,$AH121)&amp;"",INDEX(nQ7_Results_Text,$AH121)&amp;"",INDEX(nQ8_Results_Text,$AH121)&amp;"",INDEX(nQ9_Results_Text,$AH121)&amp;"",INDEX(nQ10_Results_Text,$AH121)&amp;"",INDEX(nQ11_Results_Text,$AH121)&amp;""))</f>
        <v/>
      </c>
      <c r="BF121" s="1" t="str">
        <f>IF($AF121=0,"",CHOOSE($AF121,INDEX(nINT_Parameter_Set,$AH121)&amp;"",INDEX(nQ1_Parameter_Set,$AH121)&amp;"",INDEX(nQ2_Parameter_Set,$AH121)&amp;"",INDEX(nQ3_Parameter_Set,$AH121)&amp;"",INDEX(nQ4_Parameter_Set,$AH121)&amp;"",INDEX(nQ5_Parameter_Set,$AH121)&amp;"",INDEX(nQ6_Parameter_Set,$AH121)&amp;"",INDEX(nQ7_Parameter_Set,$AH121)&amp;"",INDEX(nQ8_Parameter_Set,$AH121)&amp;"",INDEX(nQ9_Parameter_Set,$AH121)&amp;"",INDEX(nQ10_Parameter_Set,$AH121)&amp;"",INDEX(nQ11_Parameter_Set,$AH121)&amp;""))</f>
        <v/>
      </c>
      <c r="BG121" s="1" t="str">
        <f>IF($AF121=0,"",CHOOSE($AF121,INDEX(nINT_Assumptions,$AH121)&amp;"",INDEX(nQ1_Assumptions,$AH121)&amp;"",INDEX(nQ2_Assumptions,$AH121)&amp;"",INDEX(nQ3_Assumptions,$AH121)&amp;"",INDEX(nQ4_Assumptions,$AH121)&amp;"",INDEX(nQ5_Assumptions,$AH121)&amp;"",INDEX(nQ6_Assumptions,$AH121)&amp;"",INDEX(nQ7_Assumptions,$AH121)&amp;"",INDEX(nQ8_Assumptions,$AH121)&amp;"",INDEX(nQ9_Assumptions,$AH121)&amp;"",INDEX(nQ10_Assumptions,$AH121)&amp;"",INDEX(nQ11_Assumptions,$AH121)&amp;""))</f>
        <v/>
      </c>
      <c r="BH121" s="1" t="str">
        <f>IF($AF121=0,"",CHOOSE($AF121,INDEX(nINT_Calculation_Version,$AH121)&amp;"",INDEX(nQ1_Calculation_Version,$AH121)&amp;"",INDEX(nQ2_Calculation_Version,$AH121)&amp;"",INDEX(nQ3_Calculation_Version,$AH121)&amp;"",INDEX(nQ4_Calculation_Version,$AH121)&amp;"",INDEX(nQ5_Calculation_Version,$AH121)&amp;"",INDEX(nQ6_Calculation_Version,$AH121)&amp;"",INDEX(nQ7_Calculation_Version,$AH121)&amp;"",INDEX(nQ8_Calculation_Version,$AH121)&amp;"",INDEX(nQ9_Calculation_Version,$AH121)&amp;"",INDEX(nQ10_Calculation_Version,$AH121)&amp;"",INDEX(nQ11_Calculation_Version,$AH121)&amp;""))</f>
        <v/>
      </c>
      <c r="BI121" s="1" t="str">
        <f>IF($AF121=0,"",CHOOSE($AF121,INDEX(nINT_QC_Flags,$AH121)&amp;"",INDEX(nQ1_QC_Flags,$AH121)&amp;"",INDEX(nQ2_QC_Flags,$AH121)&amp;"",INDEX(nQ3_QC_Flags,$AH121)&amp;"",INDEX(nQ4_QC_Flags,$AH121)&amp;"",INDEX(nQ5_QC_Flags,$AH121)&amp;"",INDEX(nQ6_QC_Flags,$AH121)&amp;"",INDEX(nQ7_QC_Flags,$AH121)&amp;"",INDEX(nQ8_QC_Flags,$AH121)&amp;"",INDEX(nQ9_QC_Flags,$AH121)&amp;"",INDEX(nQ10_QC_Flags,$AH121)&amp;"",INDEX(nQ11_QC_Flags,$AH121)&amp;""))</f>
        <v/>
      </c>
      <c r="BJ121" s="1" t="str">
        <f>IF($AF121=0,"",CHOOSE($AF121,INDEX(nINT_Messages,$AH121)&amp;"",INDEX(nQ1_Messages,$AH121)&amp;"",INDEX(nQ2_Messages,$AH121)&amp;"",INDEX(nQ3_Messages,$AH121)&amp;"",INDEX(nQ4_Messages,$AH121)&amp;"",INDEX(nQ5_Messages,$AH121)&amp;"",INDEX(nQ6_Messages,$AH121)&amp;"",INDEX(nQ7_Messages,$AH121)&amp;"",INDEX(nQ8_Messages,$AH121)&amp;"",INDEX(nQ9_Messages,$AH121)&amp;"",INDEX(nQ10_Messages,$AH121)&amp;"",INDEX(nQ11_Messages,$AH121)&amp;""))</f>
        <v/>
      </c>
      <c r="BK121" s="1" t="str">
        <f>IF($AF121=0,"",CHOOSE($AF121,INDEX(nINT_Limitations,$AH121)&amp;"",INDEX(nQ1_Mandatory_Text,$AH121)&amp;"",INDEX(nQ2_Mandatory_Text,$AH121)&amp;"",INDEX(nQ3_Mandatory_Text,$AH121)&amp;"",INDEX(nQ4_Mandatory_Text,$AH121)&amp;"",INDEX(nQ5_Mandatory_Text,$AH121)&amp;"",INDEX(nQ6_Mandatory_Text,$AH121)&amp;"",INDEX(nQ7_Mandatory_Text,$AH121)&amp;"",INDEX(nQ8_Mandatory_Text,$AH121)&amp;"",INDEX(nQ9_Mandatory_Text,$AH121)&amp;"",INDEX(nQ10_Mandatory_Text,$AH121)&amp;"",INDEX(nQ11_Mandatory_Text,$AH121)&amp;""))</f>
        <v/>
      </c>
      <c r="BL121" s="1" t="str">
        <f t="shared" si="68"/>
        <v/>
      </c>
      <c r="BM121" s="1" t="str">
        <f t="shared" si="69"/>
        <v/>
      </c>
    </row>
    <row r="122" spans="1:65" x14ac:dyDescent="0.2">
      <c r="A122" s="21" t="str">
        <f t="shared" si="35"/>
        <v/>
      </c>
      <c r="B122" s="21" t="str">
        <f t="shared" si="36"/>
        <v/>
      </c>
      <c r="C122" s="21" t="str">
        <f t="shared" si="37"/>
        <v/>
      </c>
      <c r="D122" s="21" t="str">
        <f t="shared" si="38"/>
        <v/>
      </c>
      <c r="E122" s="21" t="str">
        <f t="shared" si="39"/>
        <v/>
      </c>
      <c r="F122" s="21" t="str">
        <f t="shared" si="40"/>
        <v/>
      </c>
      <c r="G122" s="21" t="str">
        <f t="shared" si="41"/>
        <v/>
      </c>
      <c r="H122" s="21" t="str">
        <f t="shared" si="42"/>
        <v/>
      </c>
      <c r="I122" s="21" t="str">
        <f t="shared" si="43"/>
        <v/>
      </c>
      <c r="J122" s="21" t="str">
        <f t="shared" si="44"/>
        <v/>
      </c>
      <c r="K122" s="21" t="str">
        <f t="shared" si="45"/>
        <v/>
      </c>
      <c r="L122" s="21" t="str">
        <f t="shared" si="46"/>
        <v/>
      </c>
      <c r="M122" s="21" t="str">
        <f t="shared" si="47"/>
        <v/>
      </c>
      <c r="N122" s="21" t="str">
        <f t="shared" si="48"/>
        <v/>
      </c>
      <c r="O122" s="21" t="str">
        <f t="shared" si="49"/>
        <v/>
      </c>
      <c r="P122" s="21" t="str">
        <f t="shared" si="50"/>
        <v/>
      </c>
      <c r="Q122" s="21" t="str">
        <f t="shared" si="51"/>
        <v/>
      </c>
      <c r="R122" s="21" t="str">
        <f t="shared" si="52"/>
        <v/>
      </c>
      <c r="S122" s="21" t="str">
        <f t="shared" si="53"/>
        <v/>
      </c>
      <c r="T122" s="21" t="str">
        <f t="shared" si="54"/>
        <v/>
      </c>
      <c r="U122" s="21" t="str">
        <f t="shared" si="55"/>
        <v/>
      </c>
      <c r="V122" s="21" t="str">
        <f t="shared" si="56"/>
        <v/>
      </c>
      <c r="W122" s="21" t="str">
        <f t="shared" si="57"/>
        <v/>
      </c>
      <c r="X122" s="21" t="str">
        <f t="shared" si="58"/>
        <v/>
      </c>
      <c r="Y122" s="21" t="str">
        <f t="shared" si="59"/>
        <v/>
      </c>
      <c r="Z122" s="21" t="str">
        <f t="shared" si="60"/>
        <v/>
      </c>
      <c r="AA122" s="21" t="str">
        <f t="shared" si="61"/>
        <v/>
      </c>
      <c r="AB122" s="21" t="str">
        <f t="shared" si="62"/>
        <v/>
      </c>
      <c r="AC122" s="21" t="str">
        <f t="shared" si="63"/>
        <v/>
      </c>
      <c r="AD122" s="21" t="str">
        <f t="shared" si="64"/>
        <v/>
      </c>
      <c r="AE122" s="1">
        <f t="shared" si="65"/>
        <v>115</v>
      </c>
      <c r="AF122" s="1">
        <f t="shared" si="66"/>
        <v>0</v>
      </c>
      <c r="AG122" s="1">
        <f t="shared" si="67"/>
        <v>0</v>
      </c>
      <c r="AH122" s="1">
        <f>IF(AF122=0,0,CHOOSE(AF122,IFERROR(_xlfn.AGGREGATE(15,6,(ROW(nINT_CaseKey)-ROW(INDEX(nINT_CaseKey,1,1))+1)/((nINT_CaseKey=$H$4)*(nINT_RowEmpty=0)),AG122),0),IFERROR(_xlfn.AGGREGATE(15,6,(ROW(nQ1_CaseKey)-ROW(INDEX(nQ1_CaseKey,1,1))+1)/((nQ1_CaseKey=$H$4)),AG122),0),IFERROR(_xlfn.AGGREGATE(15,6,(ROW(nQ2_CaseKey)-ROW(INDEX(nQ2_CaseKey,1,1))+1)/((nQ2_CaseKey=$H$4)),AG122),0),IFERROR(_xlfn.AGGREGATE(15,6,(ROW(nQ3_CaseKey)-ROW(INDEX(nQ3_CaseKey,1,1))+1)/((nQ3_CaseKey=$H$4)),AG122),0),IFERROR(_xlfn.AGGREGATE(15,6,(ROW(nQ4_CaseKey)-ROW(INDEX(nQ4_CaseKey,1,1))+1)/((nQ4_CaseKey=$H$4)),AG122),0),IFERROR(_xlfn.AGGREGATE(15,6,(ROW(nQ5_CaseKey)-ROW(INDEX(nQ5_CaseKey,1,1))+1)/((nQ5_CaseKey=$H$4)),AG122),0),IFERROR(_xlfn.AGGREGATE(15,6,(ROW(nQ6_CaseKey)-ROW(INDEX(nQ6_CaseKey,1,1))+1)/((nQ6_CaseKey=$H$4)),AG122),0),IFERROR(_xlfn.AGGREGATE(15,6,(ROW(nQ7_CaseKey)-ROW(INDEX(nQ7_CaseKey,1,1))+1)/((nQ7_CaseKey=$H$4)),AG122),0),IFERROR(_xlfn.AGGREGATE(15,6,(ROW(nQ8_CaseKey)-ROW(INDEX(nQ8_CaseKey,1,1))+1)/((nQ8_CaseKey=$H$4)),AG122),0),IFERROR(_xlfn.AGGREGATE(15,6,(ROW(nQ9_CaseKey)-ROW(INDEX(nQ9_CaseKey,1,1))+1)/((nQ9_CaseKey=$H$4)),AG122),0),IFERROR(_xlfn.AGGREGATE(15,6,(ROW(nQ10_CaseKey)-ROW(INDEX(nQ10_CaseKey,1,1))+1)/((nQ10_CaseKey=$H$4)),AG122),0),IFERROR(_xlfn.AGGREGATE(15,6,(ROW(nQ11_CaseKey)-ROW(INDEX(nQ11_CaseKey,1,1))+1)/((nQ11_CaseKey=$H$4)),AG122),0)))</f>
        <v>0</v>
      </c>
      <c r="AJ122" s="1" t="str">
        <f>IF($AF122=0,"",CHOOSE($AF122,INDEX(nINT_Case_ID,$AH122)&amp;"",INDEX(nQ1_Case_ID,$AH122)&amp;"",INDEX(nQ2_Case_ID,$AH122)&amp;"",INDEX(nQ3_Case_ID,$AH122)&amp;"",INDEX(nQ4_Case_ID,$AH122)&amp;"",INDEX(nQ5_Case_ID,$AH122)&amp;"",INDEX(nQ6_Case_ID,$AH122)&amp;"",INDEX(nQ7_Case_ID,$AH122)&amp;"",INDEX(nQ8_Case_ID,$AH122)&amp;"",INDEX(nQ9_Case_ID,$AH122)&amp;"",INDEX(nQ10_Case_ID,$AH122)&amp;"",INDEX(nQ11_Case_ID,$AH122)&amp;""))</f>
        <v/>
      </c>
      <c r="AK122" s="1" t="str">
        <f>IF($AF122=0,"",CHOOSE($AF122,INDEX(nINT_Case_Version,$AH122),INDEX(nQ1_Case_Version,$AH122),INDEX(nQ2_Case_Version,$AH122),INDEX(nQ3_Case_Version,$AH122),INDEX(nQ4_Case_Version,$AH122),INDEX(nQ5_Case_Version,$AH122),INDEX(nQ6_Case_Version,$AH122),INDEX(nQ7_Case_Version,$AH122),INDEX(nQ8_Case_Version,$AH122),INDEX(nQ9_Case_Version,$AH122),INDEX(nQ10_Case_Version,$AH122),INDEX(nQ11_Case_Version,$AH122)))</f>
        <v/>
      </c>
      <c r="AL122" s="1" t="str">
        <f>IF($AF122=0,"",CHOOSE($AF122,INDEX(nINT_Interval_ID,$AH122)&amp;"",INDEX(nQ1_Calc_ID,$AH122)&amp;"",INDEX(nQ2_Calc_ID,$AH122)&amp;"",INDEX(nQ3_Calc_ID,$AH122)&amp;"",INDEX(nQ4_Calc_ID,$AH122)&amp;"",INDEX(nQ5_Calc_ID,$AH122)&amp;"",INDEX(nQ6_Calc_ID,$AH122)&amp;"",INDEX(nQ7_Calc_ID,$AH122)&amp;"",INDEX(nQ8_Calc_ID,$AH122)&amp;"",INDEX(nQ9_Calc_ID,$AH122)&amp;"",INDEX(nQ10_Calc_ID,$AH122)&amp;"",INDEX(nQ11_Calc_ID,$AH122)&amp;""))</f>
        <v/>
      </c>
      <c r="AM122" s="1" t="str">
        <f>IF($AF122=0,"",CHOOSE($AF122,INDEX(nINT_Label,$AH122)&amp;"",INDEX(nQ1_Label_Out,$AH122)&amp;"",INDEX(nQ2_Label_Out,$AH122)&amp;"",INDEX(nQ3_Label_Out,$AH122)&amp;"",INDEX(nQ4_Label_Out,$AH122)&amp;"",INDEX(nQ5_Label_Out,$AH122)&amp;"",INDEX(nQ6_Label_Out,$AH122)&amp;"",INDEX(nQ7_Label_Out,$AH122)&amp;"",INDEX(nQ8_Label_Out,$AH122)&amp;"",INDEX(nQ9_Label_Out,$AH122)&amp;"",INDEX(nQ10_Label_Out,$AH122)&amp;"",INDEX(nQ11_Label_Out,$AH122)&amp;""))</f>
        <v/>
      </c>
      <c r="AN122" s="1" t="str">
        <f>IF($AF122=0,"",CHOOSE($AF122,IF(INDEX(nINT_LinkRow,$AH122)=0,"",INDEX(nINT_Link_ID,$AH122)&amp;""),"","","","","","","","","","",""))</f>
        <v/>
      </c>
      <c r="AO122" s="1" t="str">
        <f>IF($AF122=0,"",CHOOSE($AF122,INDEX(nINT_Exposure_Episode_ID,$AH122)&amp;"","","","","","","","","","","",""))</f>
        <v/>
      </c>
      <c r="AP122" s="1" t="str">
        <f>IF($AF122=0,"",CHOOSE($AF122,INDEX(nINT_Event_Episode_ID,$AH122)&amp;"","","","","","","","","","","",""))</f>
        <v/>
      </c>
      <c r="AQ122" s="1" t="str">
        <f>IF($AF122=0,"",CHOOSE($AF122,INDEX(nINT_End_Record_ID_Used,$AH122)&amp;"","","","","","","","","","","",""))</f>
        <v/>
      </c>
      <c r="AR122" s="1" t="str">
        <f>IF($AF122=0,"",CHOOSE($AF122,INDEX(nINT_Interval_Value,$AH122),"","","","","","","","","","",""))</f>
        <v/>
      </c>
      <c r="AS122" s="1" t="str">
        <f>IF($AF122=0,"",CHOOSE($AF122,INDEX(nINT_Interval_Minimum,$AH122),"","","","","","","","","","",""))</f>
        <v/>
      </c>
      <c r="AT122" s="1" t="str">
        <f>IF($AF122=0,"",CHOOSE($AF122,INDEX(nINT_Interval_Maximum,$AH122),"","","","","","","","","","",""))</f>
        <v/>
      </c>
      <c r="AU122" s="1" t="str">
        <f>IF($AF122=0,"",CHOOSE($AF122,INDEX(nINT_Unit,$AH122)&amp;"",INDEX(nQ1_Unit_Out,$AH122)&amp;"",INDEX(nQ2_Unit_Out,$AH122)&amp;"",INDEX(nQ3_Unit_Out,$AH122)&amp;"",INDEX(nQ4_Unit_Out,$AH122)&amp;"",INDEX(nQ5_Unit_Out,$AH122)&amp;"",INDEX(nQ6_Unit_Out,$AH122)&amp;"",INDEX(nQ7_Unit_Out,$AH122)&amp;"",INDEX(nQ8_Unit_Out,$AH122)&amp;"",INDEX(nQ9_Unit_Out,$AH122)&amp;"",INDEX(nQ10_Unit_Out,$AH122)&amp;"",INDEX(nQ11_Unit_Out,$AH122)&amp;""))</f>
        <v/>
      </c>
      <c r="AV122" s="1" t="str">
        <f>IF($AF122=0,"",CHOOSE($AF122,INDEX(nINT_Displayed_Value,$AH122)&amp;"",INDEX(nQ1_Displayed_Value,$AH122)&amp;"",INDEX(nQ2_Displayed_Value,$AH122)&amp;"",INDEX(nQ3_Displayed_Value,$AH122)&amp;"",INDEX(nQ4_Displayed_Value,$AH122)&amp;"",INDEX(nQ5_Displayed_Value,$AH122)&amp;"",INDEX(nQ6_Displayed_Value,$AH122)&amp;"",INDEX(nQ7_Displayed_Value,$AH122)&amp;"",INDEX(nQ8_Displayed_Value,$AH122)&amp;"",INDEX(nQ9_Displayed_Value,$AH122)&amp;"",INDEX(nQ10_Displayed_Value,$AH122)&amp;"",INDEX(nQ11_Displayed_Value,$AH122)&amp;""))</f>
        <v/>
      </c>
      <c r="AW122" s="1" t="str">
        <f>IF($AF122=0,"",CHOOSE($AF122,INDEX(nINT_Calculation_Mode_Used,$AH122)&amp;"","Q1","Q2","Q3","Q4","Q5","Q6","Q7","Q8","Q9","Q10","Q11"))</f>
        <v/>
      </c>
      <c r="AX122" s="1" t="str">
        <f>IF($AF122=0,"",CHOOSE($AF122,INDEX(nINT_Anchor_Type,$AH122)&amp;"","","","","","","","","","","",""))</f>
        <v/>
      </c>
      <c r="AY122" s="1" t="str">
        <f>IF($AF122=0,"",CHOOSE($AF122,IF(INDEX(nINT_K_Ok,$AH122)=1,INDEX(nINT_Anchor_Record_ID_Used,$AH122)&amp;"",""),"","","","","","","","","","",""))</f>
        <v/>
      </c>
      <c r="AZ122" s="1" t="str">
        <f>IF($AF122=0,"",CHOOSE($AF122,INDEX(nINT_Anchor_Description,$AH122)&amp;"","","","","","","","","","","",""))</f>
        <v/>
      </c>
      <c r="BA122" s="1" t="str">
        <f>IF($AF122=0,"",CHOOSE($AF122,INDEX(nINT_Sequence_Status,$AH122)&amp;"","","","","","","","","","","",""))</f>
        <v/>
      </c>
      <c r="BB122" s="1" t="str">
        <f>IF($AF122=0,"",CHOOSE($AF122,INDEX(nINT_Treatment_Day,$AH122),"","","","","","","","","","",""))</f>
        <v/>
      </c>
      <c r="BC122" s="1" t="str">
        <f>IF($AF122=0,"",CHOOSE($AF122,INDEX(nINT_Reported_Timing_Result,$AH122)&amp;"","","","","","","","","","","",""))</f>
        <v/>
      </c>
      <c r="BD122" s="1" t="str">
        <f>IF($AF122=0,"",CHOOSE($AF122,IF(INDEX(nINT_K_HasC,$AH122)=1,INDEX(nINT_Constraint_Source,$AH122)&amp;"",""),"","","","","","","","","","",""))</f>
        <v/>
      </c>
      <c r="BE122" s="1" t="str">
        <f>IF($AF122=0,"",CHOOSE($AF122,"",INDEX(nQ1_Results_Text,$AH122)&amp;"",INDEX(nQ2_Results_Text,$AH122)&amp;"",INDEX(nQ3_Results_Text,$AH122)&amp;"",INDEX(nQ4_Results_Text,$AH122)&amp;"",INDEX(nQ5_Results_Text,$AH122)&amp;"",INDEX(nQ6_Results_Text,$AH122)&amp;"",INDEX(nQ7_Results_Text,$AH122)&amp;"",INDEX(nQ8_Results_Text,$AH122)&amp;"",INDEX(nQ9_Results_Text,$AH122)&amp;"",INDEX(nQ10_Results_Text,$AH122)&amp;"",INDEX(nQ11_Results_Text,$AH122)&amp;""))</f>
        <v/>
      </c>
      <c r="BF122" s="1" t="str">
        <f>IF($AF122=0,"",CHOOSE($AF122,INDEX(nINT_Parameter_Set,$AH122)&amp;"",INDEX(nQ1_Parameter_Set,$AH122)&amp;"",INDEX(nQ2_Parameter_Set,$AH122)&amp;"",INDEX(nQ3_Parameter_Set,$AH122)&amp;"",INDEX(nQ4_Parameter_Set,$AH122)&amp;"",INDEX(nQ5_Parameter_Set,$AH122)&amp;"",INDEX(nQ6_Parameter_Set,$AH122)&amp;"",INDEX(nQ7_Parameter_Set,$AH122)&amp;"",INDEX(nQ8_Parameter_Set,$AH122)&amp;"",INDEX(nQ9_Parameter_Set,$AH122)&amp;"",INDEX(nQ10_Parameter_Set,$AH122)&amp;"",INDEX(nQ11_Parameter_Set,$AH122)&amp;""))</f>
        <v/>
      </c>
      <c r="BG122" s="1" t="str">
        <f>IF($AF122=0,"",CHOOSE($AF122,INDEX(nINT_Assumptions,$AH122)&amp;"",INDEX(nQ1_Assumptions,$AH122)&amp;"",INDEX(nQ2_Assumptions,$AH122)&amp;"",INDEX(nQ3_Assumptions,$AH122)&amp;"",INDEX(nQ4_Assumptions,$AH122)&amp;"",INDEX(nQ5_Assumptions,$AH122)&amp;"",INDEX(nQ6_Assumptions,$AH122)&amp;"",INDEX(nQ7_Assumptions,$AH122)&amp;"",INDEX(nQ8_Assumptions,$AH122)&amp;"",INDEX(nQ9_Assumptions,$AH122)&amp;"",INDEX(nQ10_Assumptions,$AH122)&amp;"",INDEX(nQ11_Assumptions,$AH122)&amp;""))</f>
        <v/>
      </c>
      <c r="BH122" s="1" t="str">
        <f>IF($AF122=0,"",CHOOSE($AF122,INDEX(nINT_Calculation_Version,$AH122)&amp;"",INDEX(nQ1_Calculation_Version,$AH122)&amp;"",INDEX(nQ2_Calculation_Version,$AH122)&amp;"",INDEX(nQ3_Calculation_Version,$AH122)&amp;"",INDEX(nQ4_Calculation_Version,$AH122)&amp;"",INDEX(nQ5_Calculation_Version,$AH122)&amp;"",INDEX(nQ6_Calculation_Version,$AH122)&amp;"",INDEX(nQ7_Calculation_Version,$AH122)&amp;"",INDEX(nQ8_Calculation_Version,$AH122)&amp;"",INDEX(nQ9_Calculation_Version,$AH122)&amp;"",INDEX(nQ10_Calculation_Version,$AH122)&amp;"",INDEX(nQ11_Calculation_Version,$AH122)&amp;""))</f>
        <v/>
      </c>
      <c r="BI122" s="1" t="str">
        <f>IF($AF122=0,"",CHOOSE($AF122,INDEX(nINT_QC_Flags,$AH122)&amp;"",INDEX(nQ1_QC_Flags,$AH122)&amp;"",INDEX(nQ2_QC_Flags,$AH122)&amp;"",INDEX(nQ3_QC_Flags,$AH122)&amp;"",INDEX(nQ4_QC_Flags,$AH122)&amp;"",INDEX(nQ5_QC_Flags,$AH122)&amp;"",INDEX(nQ6_QC_Flags,$AH122)&amp;"",INDEX(nQ7_QC_Flags,$AH122)&amp;"",INDEX(nQ8_QC_Flags,$AH122)&amp;"",INDEX(nQ9_QC_Flags,$AH122)&amp;"",INDEX(nQ10_QC_Flags,$AH122)&amp;"",INDEX(nQ11_QC_Flags,$AH122)&amp;""))</f>
        <v/>
      </c>
      <c r="BJ122" s="1" t="str">
        <f>IF($AF122=0,"",CHOOSE($AF122,INDEX(nINT_Messages,$AH122)&amp;"",INDEX(nQ1_Messages,$AH122)&amp;"",INDEX(nQ2_Messages,$AH122)&amp;"",INDEX(nQ3_Messages,$AH122)&amp;"",INDEX(nQ4_Messages,$AH122)&amp;"",INDEX(nQ5_Messages,$AH122)&amp;"",INDEX(nQ6_Messages,$AH122)&amp;"",INDEX(nQ7_Messages,$AH122)&amp;"",INDEX(nQ8_Messages,$AH122)&amp;"",INDEX(nQ9_Messages,$AH122)&amp;"",INDEX(nQ10_Messages,$AH122)&amp;"",INDEX(nQ11_Messages,$AH122)&amp;""))</f>
        <v/>
      </c>
      <c r="BK122" s="1" t="str">
        <f>IF($AF122=0,"",CHOOSE($AF122,INDEX(nINT_Limitations,$AH122)&amp;"",INDEX(nQ1_Mandatory_Text,$AH122)&amp;"",INDEX(nQ2_Mandatory_Text,$AH122)&amp;"",INDEX(nQ3_Mandatory_Text,$AH122)&amp;"",INDEX(nQ4_Mandatory_Text,$AH122)&amp;"",INDEX(nQ5_Mandatory_Text,$AH122)&amp;"",INDEX(nQ6_Mandatory_Text,$AH122)&amp;"",INDEX(nQ7_Mandatory_Text,$AH122)&amp;"",INDEX(nQ8_Mandatory_Text,$AH122)&amp;"",INDEX(nQ9_Mandatory_Text,$AH122)&amp;"",INDEX(nQ10_Mandatory_Text,$AH122)&amp;"",INDEX(nQ11_Mandatory_Text,$AH122)&amp;""))</f>
        <v/>
      </c>
      <c r="BL122" s="1" t="str">
        <f t="shared" si="68"/>
        <v/>
      </c>
      <c r="BM122" s="1" t="str">
        <f t="shared" si="69"/>
        <v/>
      </c>
    </row>
    <row r="123" spans="1:65" x14ac:dyDescent="0.2">
      <c r="A123" s="21" t="str">
        <f t="shared" si="35"/>
        <v/>
      </c>
      <c r="B123" s="21" t="str">
        <f t="shared" si="36"/>
        <v/>
      </c>
      <c r="C123" s="21" t="str">
        <f t="shared" si="37"/>
        <v/>
      </c>
      <c r="D123" s="21" t="str">
        <f t="shared" si="38"/>
        <v/>
      </c>
      <c r="E123" s="21" t="str">
        <f t="shared" si="39"/>
        <v/>
      </c>
      <c r="F123" s="21" t="str">
        <f t="shared" si="40"/>
        <v/>
      </c>
      <c r="G123" s="21" t="str">
        <f t="shared" si="41"/>
        <v/>
      </c>
      <c r="H123" s="21" t="str">
        <f t="shared" si="42"/>
        <v/>
      </c>
      <c r="I123" s="21" t="str">
        <f t="shared" si="43"/>
        <v/>
      </c>
      <c r="J123" s="21" t="str">
        <f t="shared" si="44"/>
        <v/>
      </c>
      <c r="K123" s="21" t="str">
        <f t="shared" si="45"/>
        <v/>
      </c>
      <c r="L123" s="21" t="str">
        <f t="shared" si="46"/>
        <v/>
      </c>
      <c r="M123" s="21" t="str">
        <f t="shared" si="47"/>
        <v/>
      </c>
      <c r="N123" s="21" t="str">
        <f t="shared" si="48"/>
        <v/>
      </c>
      <c r="O123" s="21" t="str">
        <f t="shared" si="49"/>
        <v/>
      </c>
      <c r="P123" s="21" t="str">
        <f t="shared" si="50"/>
        <v/>
      </c>
      <c r="Q123" s="21" t="str">
        <f t="shared" si="51"/>
        <v/>
      </c>
      <c r="R123" s="21" t="str">
        <f t="shared" si="52"/>
        <v/>
      </c>
      <c r="S123" s="21" t="str">
        <f t="shared" si="53"/>
        <v/>
      </c>
      <c r="T123" s="21" t="str">
        <f t="shared" si="54"/>
        <v/>
      </c>
      <c r="U123" s="21" t="str">
        <f t="shared" si="55"/>
        <v/>
      </c>
      <c r="V123" s="21" t="str">
        <f t="shared" si="56"/>
        <v/>
      </c>
      <c r="W123" s="21" t="str">
        <f t="shared" si="57"/>
        <v/>
      </c>
      <c r="X123" s="21" t="str">
        <f t="shared" si="58"/>
        <v/>
      </c>
      <c r="Y123" s="21" t="str">
        <f t="shared" si="59"/>
        <v/>
      </c>
      <c r="Z123" s="21" t="str">
        <f t="shared" si="60"/>
        <v/>
      </c>
      <c r="AA123" s="21" t="str">
        <f t="shared" si="61"/>
        <v/>
      </c>
      <c r="AB123" s="21" t="str">
        <f t="shared" si="62"/>
        <v/>
      </c>
      <c r="AC123" s="21" t="str">
        <f t="shared" si="63"/>
        <v/>
      </c>
      <c r="AD123" s="21" t="str">
        <f t="shared" si="64"/>
        <v/>
      </c>
      <c r="AE123" s="1">
        <f t="shared" si="65"/>
        <v>116</v>
      </c>
      <c r="AF123" s="1">
        <f t="shared" si="66"/>
        <v>0</v>
      </c>
      <c r="AG123" s="1">
        <f t="shared" si="67"/>
        <v>0</v>
      </c>
      <c r="AH123" s="1">
        <f>IF(AF123=0,0,CHOOSE(AF123,IFERROR(_xlfn.AGGREGATE(15,6,(ROW(nINT_CaseKey)-ROW(INDEX(nINT_CaseKey,1,1))+1)/((nINT_CaseKey=$H$4)*(nINT_RowEmpty=0)),AG123),0),IFERROR(_xlfn.AGGREGATE(15,6,(ROW(nQ1_CaseKey)-ROW(INDEX(nQ1_CaseKey,1,1))+1)/((nQ1_CaseKey=$H$4)),AG123),0),IFERROR(_xlfn.AGGREGATE(15,6,(ROW(nQ2_CaseKey)-ROW(INDEX(nQ2_CaseKey,1,1))+1)/((nQ2_CaseKey=$H$4)),AG123),0),IFERROR(_xlfn.AGGREGATE(15,6,(ROW(nQ3_CaseKey)-ROW(INDEX(nQ3_CaseKey,1,1))+1)/((nQ3_CaseKey=$H$4)),AG123),0),IFERROR(_xlfn.AGGREGATE(15,6,(ROW(nQ4_CaseKey)-ROW(INDEX(nQ4_CaseKey,1,1))+1)/((nQ4_CaseKey=$H$4)),AG123),0),IFERROR(_xlfn.AGGREGATE(15,6,(ROW(nQ5_CaseKey)-ROW(INDEX(nQ5_CaseKey,1,1))+1)/((nQ5_CaseKey=$H$4)),AG123),0),IFERROR(_xlfn.AGGREGATE(15,6,(ROW(nQ6_CaseKey)-ROW(INDEX(nQ6_CaseKey,1,1))+1)/((nQ6_CaseKey=$H$4)),AG123),0),IFERROR(_xlfn.AGGREGATE(15,6,(ROW(nQ7_CaseKey)-ROW(INDEX(nQ7_CaseKey,1,1))+1)/((nQ7_CaseKey=$H$4)),AG123),0),IFERROR(_xlfn.AGGREGATE(15,6,(ROW(nQ8_CaseKey)-ROW(INDEX(nQ8_CaseKey,1,1))+1)/((nQ8_CaseKey=$H$4)),AG123),0),IFERROR(_xlfn.AGGREGATE(15,6,(ROW(nQ9_CaseKey)-ROW(INDEX(nQ9_CaseKey,1,1))+1)/((nQ9_CaseKey=$H$4)),AG123),0),IFERROR(_xlfn.AGGREGATE(15,6,(ROW(nQ10_CaseKey)-ROW(INDEX(nQ10_CaseKey,1,1))+1)/((nQ10_CaseKey=$H$4)),AG123),0),IFERROR(_xlfn.AGGREGATE(15,6,(ROW(nQ11_CaseKey)-ROW(INDEX(nQ11_CaseKey,1,1))+1)/((nQ11_CaseKey=$H$4)),AG123),0)))</f>
        <v>0</v>
      </c>
      <c r="AJ123" s="1" t="str">
        <f>IF($AF123=0,"",CHOOSE($AF123,INDEX(nINT_Case_ID,$AH123)&amp;"",INDEX(nQ1_Case_ID,$AH123)&amp;"",INDEX(nQ2_Case_ID,$AH123)&amp;"",INDEX(nQ3_Case_ID,$AH123)&amp;"",INDEX(nQ4_Case_ID,$AH123)&amp;"",INDEX(nQ5_Case_ID,$AH123)&amp;"",INDEX(nQ6_Case_ID,$AH123)&amp;"",INDEX(nQ7_Case_ID,$AH123)&amp;"",INDEX(nQ8_Case_ID,$AH123)&amp;"",INDEX(nQ9_Case_ID,$AH123)&amp;"",INDEX(nQ10_Case_ID,$AH123)&amp;"",INDEX(nQ11_Case_ID,$AH123)&amp;""))</f>
        <v/>
      </c>
      <c r="AK123" s="1" t="str">
        <f>IF($AF123=0,"",CHOOSE($AF123,INDEX(nINT_Case_Version,$AH123),INDEX(nQ1_Case_Version,$AH123),INDEX(nQ2_Case_Version,$AH123),INDEX(nQ3_Case_Version,$AH123),INDEX(nQ4_Case_Version,$AH123),INDEX(nQ5_Case_Version,$AH123),INDEX(nQ6_Case_Version,$AH123),INDEX(nQ7_Case_Version,$AH123),INDEX(nQ8_Case_Version,$AH123),INDEX(nQ9_Case_Version,$AH123),INDEX(nQ10_Case_Version,$AH123),INDEX(nQ11_Case_Version,$AH123)))</f>
        <v/>
      </c>
      <c r="AL123" s="1" t="str">
        <f>IF($AF123=0,"",CHOOSE($AF123,INDEX(nINT_Interval_ID,$AH123)&amp;"",INDEX(nQ1_Calc_ID,$AH123)&amp;"",INDEX(nQ2_Calc_ID,$AH123)&amp;"",INDEX(nQ3_Calc_ID,$AH123)&amp;"",INDEX(nQ4_Calc_ID,$AH123)&amp;"",INDEX(nQ5_Calc_ID,$AH123)&amp;"",INDEX(nQ6_Calc_ID,$AH123)&amp;"",INDEX(nQ7_Calc_ID,$AH123)&amp;"",INDEX(nQ8_Calc_ID,$AH123)&amp;"",INDEX(nQ9_Calc_ID,$AH123)&amp;"",INDEX(nQ10_Calc_ID,$AH123)&amp;"",INDEX(nQ11_Calc_ID,$AH123)&amp;""))</f>
        <v/>
      </c>
      <c r="AM123" s="1" t="str">
        <f>IF($AF123=0,"",CHOOSE($AF123,INDEX(nINT_Label,$AH123)&amp;"",INDEX(nQ1_Label_Out,$AH123)&amp;"",INDEX(nQ2_Label_Out,$AH123)&amp;"",INDEX(nQ3_Label_Out,$AH123)&amp;"",INDEX(nQ4_Label_Out,$AH123)&amp;"",INDEX(nQ5_Label_Out,$AH123)&amp;"",INDEX(nQ6_Label_Out,$AH123)&amp;"",INDEX(nQ7_Label_Out,$AH123)&amp;"",INDEX(nQ8_Label_Out,$AH123)&amp;"",INDEX(nQ9_Label_Out,$AH123)&amp;"",INDEX(nQ10_Label_Out,$AH123)&amp;"",INDEX(nQ11_Label_Out,$AH123)&amp;""))</f>
        <v/>
      </c>
      <c r="AN123" s="1" t="str">
        <f>IF($AF123=0,"",CHOOSE($AF123,IF(INDEX(nINT_LinkRow,$AH123)=0,"",INDEX(nINT_Link_ID,$AH123)&amp;""),"","","","","","","","","","",""))</f>
        <v/>
      </c>
      <c r="AO123" s="1" t="str">
        <f>IF($AF123=0,"",CHOOSE($AF123,INDEX(nINT_Exposure_Episode_ID,$AH123)&amp;"","","","","","","","","","","",""))</f>
        <v/>
      </c>
      <c r="AP123" s="1" t="str">
        <f>IF($AF123=0,"",CHOOSE($AF123,INDEX(nINT_Event_Episode_ID,$AH123)&amp;"","","","","","","","","","","",""))</f>
        <v/>
      </c>
      <c r="AQ123" s="1" t="str">
        <f>IF($AF123=0,"",CHOOSE($AF123,INDEX(nINT_End_Record_ID_Used,$AH123)&amp;"","","","","","","","","","","",""))</f>
        <v/>
      </c>
      <c r="AR123" s="1" t="str">
        <f>IF($AF123=0,"",CHOOSE($AF123,INDEX(nINT_Interval_Value,$AH123),"","","","","","","","","","",""))</f>
        <v/>
      </c>
      <c r="AS123" s="1" t="str">
        <f>IF($AF123=0,"",CHOOSE($AF123,INDEX(nINT_Interval_Minimum,$AH123),"","","","","","","","","","",""))</f>
        <v/>
      </c>
      <c r="AT123" s="1" t="str">
        <f>IF($AF123=0,"",CHOOSE($AF123,INDEX(nINT_Interval_Maximum,$AH123),"","","","","","","","","","",""))</f>
        <v/>
      </c>
      <c r="AU123" s="1" t="str">
        <f>IF($AF123=0,"",CHOOSE($AF123,INDEX(nINT_Unit,$AH123)&amp;"",INDEX(nQ1_Unit_Out,$AH123)&amp;"",INDEX(nQ2_Unit_Out,$AH123)&amp;"",INDEX(nQ3_Unit_Out,$AH123)&amp;"",INDEX(nQ4_Unit_Out,$AH123)&amp;"",INDEX(nQ5_Unit_Out,$AH123)&amp;"",INDEX(nQ6_Unit_Out,$AH123)&amp;"",INDEX(nQ7_Unit_Out,$AH123)&amp;"",INDEX(nQ8_Unit_Out,$AH123)&amp;"",INDEX(nQ9_Unit_Out,$AH123)&amp;"",INDEX(nQ10_Unit_Out,$AH123)&amp;"",INDEX(nQ11_Unit_Out,$AH123)&amp;""))</f>
        <v/>
      </c>
      <c r="AV123" s="1" t="str">
        <f>IF($AF123=0,"",CHOOSE($AF123,INDEX(nINT_Displayed_Value,$AH123)&amp;"",INDEX(nQ1_Displayed_Value,$AH123)&amp;"",INDEX(nQ2_Displayed_Value,$AH123)&amp;"",INDEX(nQ3_Displayed_Value,$AH123)&amp;"",INDEX(nQ4_Displayed_Value,$AH123)&amp;"",INDEX(nQ5_Displayed_Value,$AH123)&amp;"",INDEX(nQ6_Displayed_Value,$AH123)&amp;"",INDEX(nQ7_Displayed_Value,$AH123)&amp;"",INDEX(nQ8_Displayed_Value,$AH123)&amp;"",INDEX(nQ9_Displayed_Value,$AH123)&amp;"",INDEX(nQ10_Displayed_Value,$AH123)&amp;"",INDEX(nQ11_Displayed_Value,$AH123)&amp;""))</f>
        <v/>
      </c>
      <c r="AW123" s="1" t="str">
        <f>IF($AF123=0,"",CHOOSE($AF123,INDEX(nINT_Calculation_Mode_Used,$AH123)&amp;"","Q1","Q2","Q3","Q4","Q5","Q6","Q7","Q8","Q9","Q10","Q11"))</f>
        <v/>
      </c>
      <c r="AX123" s="1" t="str">
        <f>IF($AF123=0,"",CHOOSE($AF123,INDEX(nINT_Anchor_Type,$AH123)&amp;"","","","","","","","","","","",""))</f>
        <v/>
      </c>
      <c r="AY123" s="1" t="str">
        <f>IF($AF123=0,"",CHOOSE($AF123,IF(INDEX(nINT_K_Ok,$AH123)=1,INDEX(nINT_Anchor_Record_ID_Used,$AH123)&amp;"",""),"","","","","","","","","","",""))</f>
        <v/>
      </c>
      <c r="AZ123" s="1" t="str">
        <f>IF($AF123=0,"",CHOOSE($AF123,INDEX(nINT_Anchor_Description,$AH123)&amp;"","","","","","","","","","","",""))</f>
        <v/>
      </c>
      <c r="BA123" s="1" t="str">
        <f>IF($AF123=0,"",CHOOSE($AF123,INDEX(nINT_Sequence_Status,$AH123)&amp;"","","","","","","","","","","",""))</f>
        <v/>
      </c>
      <c r="BB123" s="1" t="str">
        <f>IF($AF123=0,"",CHOOSE($AF123,INDEX(nINT_Treatment_Day,$AH123),"","","","","","","","","","",""))</f>
        <v/>
      </c>
      <c r="BC123" s="1" t="str">
        <f>IF($AF123=0,"",CHOOSE($AF123,INDEX(nINT_Reported_Timing_Result,$AH123)&amp;"","","","","","","","","","","",""))</f>
        <v/>
      </c>
      <c r="BD123" s="1" t="str">
        <f>IF($AF123=0,"",CHOOSE($AF123,IF(INDEX(nINT_K_HasC,$AH123)=1,INDEX(nINT_Constraint_Source,$AH123)&amp;"",""),"","","","","","","","","","",""))</f>
        <v/>
      </c>
      <c r="BE123" s="1" t="str">
        <f>IF($AF123=0,"",CHOOSE($AF123,"",INDEX(nQ1_Results_Text,$AH123)&amp;"",INDEX(nQ2_Results_Text,$AH123)&amp;"",INDEX(nQ3_Results_Text,$AH123)&amp;"",INDEX(nQ4_Results_Text,$AH123)&amp;"",INDEX(nQ5_Results_Text,$AH123)&amp;"",INDEX(nQ6_Results_Text,$AH123)&amp;"",INDEX(nQ7_Results_Text,$AH123)&amp;"",INDEX(nQ8_Results_Text,$AH123)&amp;"",INDEX(nQ9_Results_Text,$AH123)&amp;"",INDEX(nQ10_Results_Text,$AH123)&amp;"",INDEX(nQ11_Results_Text,$AH123)&amp;""))</f>
        <v/>
      </c>
      <c r="BF123" s="1" t="str">
        <f>IF($AF123=0,"",CHOOSE($AF123,INDEX(nINT_Parameter_Set,$AH123)&amp;"",INDEX(nQ1_Parameter_Set,$AH123)&amp;"",INDEX(nQ2_Parameter_Set,$AH123)&amp;"",INDEX(nQ3_Parameter_Set,$AH123)&amp;"",INDEX(nQ4_Parameter_Set,$AH123)&amp;"",INDEX(nQ5_Parameter_Set,$AH123)&amp;"",INDEX(nQ6_Parameter_Set,$AH123)&amp;"",INDEX(nQ7_Parameter_Set,$AH123)&amp;"",INDEX(nQ8_Parameter_Set,$AH123)&amp;"",INDEX(nQ9_Parameter_Set,$AH123)&amp;"",INDEX(nQ10_Parameter_Set,$AH123)&amp;"",INDEX(nQ11_Parameter_Set,$AH123)&amp;""))</f>
        <v/>
      </c>
      <c r="BG123" s="1" t="str">
        <f>IF($AF123=0,"",CHOOSE($AF123,INDEX(nINT_Assumptions,$AH123)&amp;"",INDEX(nQ1_Assumptions,$AH123)&amp;"",INDEX(nQ2_Assumptions,$AH123)&amp;"",INDEX(nQ3_Assumptions,$AH123)&amp;"",INDEX(nQ4_Assumptions,$AH123)&amp;"",INDEX(nQ5_Assumptions,$AH123)&amp;"",INDEX(nQ6_Assumptions,$AH123)&amp;"",INDEX(nQ7_Assumptions,$AH123)&amp;"",INDEX(nQ8_Assumptions,$AH123)&amp;"",INDEX(nQ9_Assumptions,$AH123)&amp;"",INDEX(nQ10_Assumptions,$AH123)&amp;"",INDEX(nQ11_Assumptions,$AH123)&amp;""))</f>
        <v/>
      </c>
      <c r="BH123" s="1" t="str">
        <f>IF($AF123=0,"",CHOOSE($AF123,INDEX(nINT_Calculation_Version,$AH123)&amp;"",INDEX(nQ1_Calculation_Version,$AH123)&amp;"",INDEX(nQ2_Calculation_Version,$AH123)&amp;"",INDEX(nQ3_Calculation_Version,$AH123)&amp;"",INDEX(nQ4_Calculation_Version,$AH123)&amp;"",INDEX(nQ5_Calculation_Version,$AH123)&amp;"",INDEX(nQ6_Calculation_Version,$AH123)&amp;"",INDEX(nQ7_Calculation_Version,$AH123)&amp;"",INDEX(nQ8_Calculation_Version,$AH123)&amp;"",INDEX(nQ9_Calculation_Version,$AH123)&amp;"",INDEX(nQ10_Calculation_Version,$AH123)&amp;"",INDEX(nQ11_Calculation_Version,$AH123)&amp;""))</f>
        <v/>
      </c>
      <c r="BI123" s="1" t="str">
        <f>IF($AF123=0,"",CHOOSE($AF123,INDEX(nINT_QC_Flags,$AH123)&amp;"",INDEX(nQ1_QC_Flags,$AH123)&amp;"",INDEX(nQ2_QC_Flags,$AH123)&amp;"",INDEX(nQ3_QC_Flags,$AH123)&amp;"",INDEX(nQ4_QC_Flags,$AH123)&amp;"",INDEX(nQ5_QC_Flags,$AH123)&amp;"",INDEX(nQ6_QC_Flags,$AH123)&amp;"",INDEX(nQ7_QC_Flags,$AH123)&amp;"",INDEX(nQ8_QC_Flags,$AH123)&amp;"",INDEX(nQ9_QC_Flags,$AH123)&amp;"",INDEX(nQ10_QC_Flags,$AH123)&amp;"",INDEX(nQ11_QC_Flags,$AH123)&amp;""))</f>
        <v/>
      </c>
      <c r="BJ123" s="1" t="str">
        <f>IF($AF123=0,"",CHOOSE($AF123,INDEX(nINT_Messages,$AH123)&amp;"",INDEX(nQ1_Messages,$AH123)&amp;"",INDEX(nQ2_Messages,$AH123)&amp;"",INDEX(nQ3_Messages,$AH123)&amp;"",INDEX(nQ4_Messages,$AH123)&amp;"",INDEX(nQ5_Messages,$AH123)&amp;"",INDEX(nQ6_Messages,$AH123)&amp;"",INDEX(nQ7_Messages,$AH123)&amp;"",INDEX(nQ8_Messages,$AH123)&amp;"",INDEX(nQ9_Messages,$AH123)&amp;"",INDEX(nQ10_Messages,$AH123)&amp;"",INDEX(nQ11_Messages,$AH123)&amp;""))</f>
        <v/>
      </c>
      <c r="BK123" s="1" t="str">
        <f>IF($AF123=0,"",CHOOSE($AF123,INDEX(nINT_Limitations,$AH123)&amp;"",INDEX(nQ1_Mandatory_Text,$AH123)&amp;"",INDEX(nQ2_Mandatory_Text,$AH123)&amp;"",INDEX(nQ3_Mandatory_Text,$AH123)&amp;"",INDEX(nQ4_Mandatory_Text,$AH123)&amp;"",INDEX(nQ5_Mandatory_Text,$AH123)&amp;"",INDEX(nQ6_Mandatory_Text,$AH123)&amp;"",INDEX(nQ7_Mandatory_Text,$AH123)&amp;"",INDEX(nQ8_Mandatory_Text,$AH123)&amp;"",INDEX(nQ9_Mandatory_Text,$AH123)&amp;"",INDEX(nQ10_Mandatory_Text,$AH123)&amp;"",INDEX(nQ11_Mandatory_Text,$AH123)&amp;""))</f>
        <v/>
      </c>
      <c r="BL123" s="1" t="str">
        <f t="shared" si="68"/>
        <v/>
      </c>
      <c r="BM123" s="1" t="str">
        <f t="shared" si="69"/>
        <v/>
      </c>
    </row>
    <row r="124" spans="1:65" x14ac:dyDescent="0.2">
      <c r="A124" s="21" t="str">
        <f t="shared" si="35"/>
        <v/>
      </c>
      <c r="B124" s="21" t="str">
        <f t="shared" si="36"/>
        <v/>
      </c>
      <c r="C124" s="21" t="str">
        <f t="shared" si="37"/>
        <v/>
      </c>
      <c r="D124" s="21" t="str">
        <f t="shared" si="38"/>
        <v/>
      </c>
      <c r="E124" s="21" t="str">
        <f t="shared" si="39"/>
        <v/>
      </c>
      <c r="F124" s="21" t="str">
        <f t="shared" si="40"/>
        <v/>
      </c>
      <c r="G124" s="21" t="str">
        <f t="shared" si="41"/>
        <v/>
      </c>
      <c r="H124" s="21" t="str">
        <f t="shared" si="42"/>
        <v/>
      </c>
      <c r="I124" s="21" t="str">
        <f t="shared" si="43"/>
        <v/>
      </c>
      <c r="J124" s="21" t="str">
        <f t="shared" si="44"/>
        <v/>
      </c>
      <c r="K124" s="21" t="str">
        <f t="shared" si="45"/>
        <v/>
      </c>
      <c r="L124" s="21" t="str">
        <f t="shared" si="46"/>
        <v/>
      </c>
      <c r="M124" s="21" t="str">
        <f t="shared" si="47"/>
        <v/>
      </c>
      <c r="N124" s="21" t="str">
        <f t="shared" si="48"/>
        <v/>
      </c>
      <c r="O124" s="21" t="str">
        <f t="shared" si="49"/>
        <v/>
      </c>
      <c r="P124" s="21" t="str">
        <f t="shared" si="50"/>
        <v/>
      </c>
      <c r="Q124" s="21" t="str">
        <f t="shared" si="51"/>
        <v/>
      </c>
      <c r="R124" s="21" t="str">
        <f t="shared" si="52"/>
        <v/>
      </c>
      <c r="S124" s="21" t="str">
        <f t="shared" si="53"/>
        <v/>
      </c>
      <c r="T124" s="21" t="str">
        <f t="shared" si="54"/>
        <v/>
      </c>
      <c r="U124" s="21" t="str">
        <f t="shared" si="55"/>
        <v/>
      </c>
      <c r="V124" s="21" t="str">
        <f t="shared" si="56"/>
        <v/>
      </c>
      <c r="W124" s="21" t="str">
        <f t="shared" si="57"/>
        <v/>
      </c>
      <c r="X124" s="21" t="str">
        <f t="shared" si="58"/>
        <v/>
      </c>
      <c r="Y124" s="21" t="str">
        <f t="shared" si="59"/>
        <v/>
      </c>
      <c r="Z124" s="21" t="str">
        <f t="shared" si="60"/>
        <v/>
      </c>
      <c r="AA124" s="21" t="str">
        <f t="shared" si="61"/>
        <v/>
      </c>
      <c r="AB124" s="21" t="str">
        <f t="shared" si="62"/>
        <v/>
      </c>
      <c r="AC124" s="21" t="str">
        <f t="shared" si="63"/>
        <v/>
      </c>
      <c r="AD124" s="21" t="str">
        <f t="shared" si="64"/>
        <v/>
      </c>
      <c r="AE124" s="1">
        <f t="shared" si="65"/>
        <v>117</v>
      </c>
      <c r="AF124" s="1">
        <f t="shared" si="66"/>
        <v>0</v>
      </c>
      <c r="AG124" s="1">
        <f t="shared" si="67"/>
        <v>0</v>
      </c>
      <c r="AH124" s="1">
        <f>IF(AF124=0,0,CHOOSE(AF124,IFERROR(_xlfn.AGGREGATE(15,6,(ROW(nINT_CaseKey)-ROW(INDEX(nINT_CaseKey,1,1))+1)/((nINT_CaseKey=$H$4)*(nINT_RowEmpty=0)),AG124),0),IFERROR(_xlfn.AGGREGATE(15,6,(ROW(nQ1_CaseKey)-ROW(INDEX(nQ1_CaseKey,1,1))+1)/((nQ1_CaseKey=$H$4)),AG124),0),IFERROR(_xlfn.AGGREGATE(15,6,(ROW(nQ2_CaseKey)-ROW(INDEX(nQ2_CaseKey,1,1))+1)/((nQ2_CaseKey=$H$4)),AG124),0),IFERROR(_xlfn.AGGREGATE(15,6,(ROW(nQ3_CaseKey)-ROW(INDEX(nQ3_CaseKey,1,1))+1)/((nQ3_CaseKey=$H$4)),AG124),0),IFERROR(_xlfn.AGGREGATE(15,6,(ROW(nQ4_CaseKey)-ROW(INDEX(nQ4_CaseKey,1,1))+1)/((nQ4_CaseKey=$H$4)),AG124),0),IFERROR(_xlfn.AGGREGATE(15,6,(ROW(nQ5_CaseKey)-ROW(INDEX(nQ5_CaseKey,1,1))+1)/((nQ5_CaseKey=$H$4)),AG124),0),IFERROR(_xlfn.AGGREGATE(15,6,(ROW(nQ6_CaseKey)-ROW(INDEX(nQ6_CaseKey,1,1))+1)/((nQ6_CaseKey=$H$4)),AG124),0),IFERROR(_xlfn.AGGREGATE(15,6,(ROW(nQ7_CaseKey)-ROW(INDEX(nQ7_CaseKey,1,1))+1)/((nQ7_CaseKey=$H$4)),AG124),0),IFERROR(_xlfn.AGGREGATE(15,6,(ROW(nQ8_CaseKey)-ROW(INDEX(nQ8_CaseKey,1,1))+1)/((nQ8_CaseKey=$H$4)),AG124),0),IFERROR(_xlfn.AGGREGATE(15,6,(ROW(nQ9_CaseKey)-ROW(INDEX(nQ9_CaseKey,1,1))+1)/((nQ9_CaseKey=$H$4)),AG124),0),IFERROR(_xlfn.AGGREGATE(15,6,(ROW(nQ10_CaseKey)-ROW(INDEX(nQ10_CaseKey,1,1))+1)/((nQ10_CaseKey=$H$4)),AG124),0),IFERROR(_xlfn.AGGREGATE(15,6,(ROW(nQ11_CaseKey)-ROW(INDEX(nQ11_CaseKey,1,1))+1)/((nQ11_CaseKey=$H$4)),AG124),0)))</f>
        <v>0</v>
      </c>
      <c r="AJ124" s="1" t="str">
        <f>IF($AF124=0,"",CHOOSE($AF124,INDEX(nINT_Case_ID,$AH124)&amp;"",INDEX(nQ1_Case_ID,$AH124)&amp;"",INDEX(nQ2_Case_ID,$AH124)&amp;"",INDEX(nQ3_Case_ID,$AH124)&amp;"",INDEX(nQ4_Case_ID,$AH124)&amp;"",INDEX(nQ5_Case_ID,$AH124)&amp;"",INDEX(nQ6_Case_ID,$AH124)&amp;"",INDEX(nQ7_Case_ID,$AH124)&amp;"",INDEX(nQ8_Case_ID,$AH124)&amp;"",INDEX(nQ9_Case_ID,$AH124)&amp;"",INDEX(nQ10_Case_ID,$AH124)&amp;"",INDEX(nQ11_Case_ID,$AH124)&amp;""))</f>
        <v/>
      </c>
      <c r="AK124" s="1" t="str">
        <f>IF($AF124=0,"",CHOOSE($AF124,INDEX(nINT_Case_Version,$AH124),INDEX(nQ1_Case_Version,$AH124),INDEX(nQ2_Case_Version,$AH124),INDEX(nQ3_Case_Version,$AH124),INDEX(nQ4_Case_Version,$AH124),INDEX(nQ5_Case_Version,$AH124),INDEX(nQ6_Case_Version,$AH124),INDEX(nQ7_Case_Version,$AH124),INDEX(nQ8_Case_Version,$AH124),INDEX(nQ9_Case_Version,$AH124),INDEX(nQ10_Case_Version,$AH124),INDEX(nQ11_Case_Version,$AH124)))</f>
        <v/>
      </c>
      <c r="AL124" s="1" t="str">
        <f>IF($AF124=0,"",CHOOSE($AF124,INDEX(nINT_Interval_ID,$AH124)&amp;"",INDEX(nQ1_Calc_ID,$AH124)&amp;"",INDEX(nQ2_Calc_ID,$AH124)&amp;"",INDEX(nQ3_Calc_ID,$AH124)&amp;"",INDEX(nQ4_Calc_ID,$AH124)&amp;"",INDEX(nQ5_Calc_ID,$AH124)&amp;"",INDEX(nQ6_Calc_ID,$AH124)&amp;"",INDEX(nQ7_Calc_ID,$AH124)&amp;"",INDEX(nQ8_Calc_ID,$AH124)&amp;"",INDEX(nQ9_Calc_ID,$AH124)&amp;"",INDEX(nQ10_Calc_ID,$AH124)&amp;"",INDEX(nQ11_Calc_ID,$AH124)&amp;""))</f>
        <v/>
      </c>
      <c r="AM124" s="1" t="str">
        <f>IF($AF124=0,"",CHOOSE($AF124,INDEX(nINT_Label,$AH124)&amp;"",INDEX(nQ1_Label_Out,$AH124)&amp;"",INDEX(nQ2_Label_Out,$AH124)&amp;"",INDEX(nQ3_Label_Out,$AH124)&amp;"",INDEX(nQ4_Label_Out,$AH124)&amp;"",INDEX(nQ5_Label_Out,$AH124)&amp;"",INDEX(nQ6_Label_Out,$AH124)&amp;"",INDEX(nQ7_Label_Out,$AH124)&amp;"",INDEX(nQ8_Label_Out,$AH124)&amp;"",INDEX(nQ9_Label_Out,$AH124)&amp;"",INDEX(nQ10_Label_Out,$AH124)&amp;"",INDEX(nQ11_Label_Out,$AH124)&amp;""))</f>
        <v/>
      </c>
      <c r="AN124" s="1" t="str">
        <f>IF($AF124=0,"",CHOOSE($AF124,IF(INDEX(nINT_LinkRow,$AH124)=0,"",INDEX(nINT_Link_ID,$AH124)&amp;""),"","","","","","","","","","",""))</f>
        <v/>
      </c>
      <c r="AO124" s="1" t="str">
        <f>IF($AF124=0,"",CHOOSE($AF124,INDEX(nINT_Exposure_Episode_ID,$AH124)&amp;"","","","","","","","","","","",""))</f>
        <v/>
      </c>
      <c r="AP124" s="1" t="str">
        <f>IF($AF124=0,"",CHOOSE($AF124,INDEX(nINT_Event_Episode_ID,$AH124)&amp;"","","","","","","","","","","",""))</f>
        <v/>
      </c>
      <c r="AQ124" s="1" t="str">
        <f>IF($AF124=0,"",CHOOSE($AF124,INDEX(nINT_End_Record_ID_Used,$AH124)&amp;"","","","","","","","","","","",""))</f>
        <v/>
      </c>
      <c r="AR124" s="1" t="str">
        <f>IF($AF124=0,"",CHOOSE($AF124,INDEX(nINT_Interval_Value,$AH124),"","","","","","","","","","",""))</f>
        <v/>
      </c>
      <c r="AS124" s="1" t="str">
        <f>IF($AF124=0,"",CHOOSE($AF124,INDEX(nINT_Interval_Minimum,$AH124),"","","","","","","","","","",""))</f>
        <v/>
      </c>
      <c r="AT124" s="1" t="str">
        <f>IF($AF124=0,"",CHOOSE($AF124,INDEX(nINT_Interval_Maximum,$AH124),"","","","","","","","","","",""))</f>
        <v/>
      </c>
      <c r="AU124" s="1" t="str">
        <f>IF($AF124=0,"",CHOOSE($AF124,INDEX(nINT_Unit,$AH124)&amp;"",INDEX(nQ1_Unit_Out,$AH124)&amp;"",INDEX(nQ2_Unit_Out,$AH124)&amp;"",INDEX(nQ3_Unit_Out,$AH124)&amp;"",INDEX(nQ4_Unit_Out,$AH124)&amp;"",INDEX(nQ5_Unit_Out,$AH124)&amp;"",INDEX(nQ6_Unit_Out,$AH124)&amp;"",INDEX(nQ7_Unit_Out,$AH124)&amp;"",INDEX(nQ8_Unit_Out,$AH124)&amp;"",INDEX(nQ9_Unit_Out,$AH124)&amp;"",INDEX(nQ10_Unit_Out,$AH124)&amp;"",INDEX(nQ11_Unit_Out,$AH124)&amp;""))</f>
        <v/>
      </c>
      <c r="AV124" s="1" t="str">
        <f>IF($AF124=0,"",CHOOSE($AF124,INDEX(nINT_Displayed_Value,$AH124)&amp;"",INDEX(nQ1_Displayed_Value,$AH124)&amp;"",INDEX(nQ2_Displayed_Value,$AH124)&amp;"",INDEX(nQ3_Displayed_Value,$AH124)&amp;"",INDEX(nQ4_Displayed_Value,$AH124)&amp;"",INDEX(nQ5_Displayed_Value,$AH124)&amp;"",INDEX(nQ6_Displayed_Value,$AH124)&amp;"",INDEX(nQ7_Displayed_Value,$AH124)&amp;"",INDEX(nQ8_Displayed_Value,$AH124)&amp;"",INDEX(nQ9_Displayed_Value,$AH124)&amp;"",INDEX(nQ10_Displayed_Value,$AH124)&amp;"",INDEX(nQ11_Displayed_Value,$AH124)&amp;""))</f>
        <v/>
      </c>
      <c r="AW124" s="1" t="str">
        <f>IF($AF124=0,"",CHOOSE($AF124,INDEX(nINT_Calculation_Mode_Used,$AH124)&amp;"","Q1","Q2","Q3","Q4","Q5","Q6","Q7","Q8","Q9","Q10","Q11"))</f>
        <v/>
      </c>
      <c r="AX124" s="1" t="str">
        <f>IF($AF124=0,"",CHOOSE($AF124,INDEX(nINT_Anchor_Type,$AH124)&amp;"","","","","","","","","","","",""))</f>
        <v/>
      </c>
      <c r="AY124" s="1" t="str">
        <f>IF($AF124=0,"",CHOOSE($AF124,IF(INDEX(nINT_K_Ok,$AH124)=1,INDEX(nINT_Anchor_Record_ID_Used,$AH124)&amp;"",""),"","","","","","","","","","",""))</f>
        <v/>
      </c>
      <c r="AZ124" s="1" t="str">
        <f>IF($AF124=0,"",CHOOSE($AF124,INDEX(nINT_Anchor_Description,$AH124)&amp;"","","","","","","","","","","",""))</f>
        <v/>
      </c>
      <c r="BA124" s="1" t="str">
        <f>IF($AF124=0,"",CHOOSE($AF124,INDEX(nINT_Sequence_Status,$AH124)&amp;"","","","","","","","","","","",""))</f>
        <v/>
      </c>
      <c r="BB124" s="1" t="str">
        <f>IF($AF124=0,"",CHOOSE($AF124,INDEX(nINT_Treatment_Day,$AH124),"","","","","","","","","","",""))</f>
        <v/>
      </c>
      <c r="BC124" s="1" t="str">
        <f>IF($AF124=0,"",CHOOSE($AF124,INDEX(nINT_Reported_Timing_Result,$AH124)&amp;"","","","","","","","","","","",""))</f>
        <v/>
      </c>
      <c r="BD124" s="1" t="str">
        <f>IF($AF124=0,"",CHOOSE($AF124,IF(INDEX(nINT_K_HasC,$AH124)=1,INDEX(nINT_Constraint_Source,$AH124)&amp;"",""),"","","","","","","","","","",""))</f>
        <v/>
      </c>
      <c r="BE124" s="1" t="str">
        <f>IF($AF124=0,"",CHOOSE($AF124,"",INDEX(nQ1_Results_Text,$AH124)&amp;"",INDEX(nQ2_Results_Text,$AH124)&amp;"",INDEX(nQ3_Results_Text,$AH124)&amp;"",INDEX(nQ4_Results_Text,$AH124)&amp;"",INDEX(nQ5_Results_Text,$AH124)&amp;"",INDEX(nQ6_Results_Text,$AH124)&amp;"",INDEX(nQ7_Results_Text,$AH124)&amp;"",INDEX(nQ8_Results_Text,$AH124)&amp;"",INDEX(nQ9_Results_Text,$AH124)&amp;"",INDEX(nQ10_Results_Text,$AH124)&amp;"",INDEX(nQ11_Results_Text,$AH124)&amp;""))</f>
        <v/>
      </c>
      <c r="BF124" s="1" t="str">
        <f>IF($AF124=0,"",CHOOSE($AF124,INDEX(nINT_Parameter_Set,$AH124)&amp;"",INDEX(nQ1_Parameter_Set,$AH124)&amp;"",INDEX(nQ2_Parameter_Set,$AH124)&amp;"",INDEX(nQ3_Parameter_Set,$AH124)&amp;"",INDEX(nQ4_Parameter_Set,$AH124)&amp;"",INDEX(nQ5_Parameter_Set,$AH124)&amp;"",INDEX(nQ6_Parameter_Set,$AH124)&amp;"",INDEX(nQ7_Parameter_Set,$AH124)&amp;"",INDEX(nQ8_Parameter_Set,$AH124)&amp;"",INDEX(nQ9_Parameter_Set,$AH124)&amp;"",INDEX(nQ10_Parameter_Set,$AH124)&amp;"",INDEX(nQ11_Parameter_Set,$AH124)&amp;""))</f>
        <v/>
      </c>
      <c r="BG124" s="1" t="str">
        <f>IF($AF124=0,"",CHOOSE($AF124,INDEX(nINT_Assumptions,$AH124)&amp;"",INDEX(nQ1_Assumptions,$AH124)&amp;"",INDEX(nQ2_Assumptions,$AH124)&amp;"",INDEX(nQ3_Assumptions,$AH124)&amp;"",INDEX(nQ4_Assumptions,$AH124)&amp;"",INDEX(nQ5_Assumptions,$AH124)&amp;"",INDEX(nQ6_Assumptions,$AH124)&amp;"",INDEX(nQ7_Assumptions,$AH124)&amp;"",INDEX(nQ8_Assumptions,$AH124)&amp;"",INDEX(nQ9_Assumptions,$AH124)&amp;"",INDEX(nQ10_Assumptions,$AH124)&amp;"",INDEX(nQ11_Assumptions,$AH124)&amp;""))</f>
        <v/>
      </c>
      <c r="BH124" s="1" t="str">
        <f>IF($AF124=0,"",CHOOSE($AF124,INDEX(nINT_Calculation_Version,$AH124)&amp;"",INDEX(nQ1_Calculation_Version,$AH124)&amp;"",INDEX(nQ2_Calculation_Version,$AH124)&amp;"",INDEX(nQ3_Calculation_Version,$AH124)&amp;"",INDEX(nQ4_Calculation_Version,$AH124)&amp;"",INDEX(nQ5_Calculation_Version,$AH124)&amp;"",INDEX(nQ6_Calculation_Version,$AH124)&amp;"",INDEX(nQ7_Calculation_Version,$AH124)&amp;"",INDEX(nQ8_Calculation_Version,$AH124)&amp;"",INDEX(nQ9_Calculation_Version,$AH124)&amp;"",INDEX(nQ10_Calculation_Version,$AH124)&amp;"",INDEX(nQ11_Calculation_Version,$AH124)&amp;""))</f>
        <v/>
      </c>
      <c r="BI124" s="1" t="str">
        <f>IF($AF124=0,"",CHOOSE($AF124,INDEX(nINT_QC_Flags,$AH124)&amp;"",INDEX(nQ1_QC_Flags,$AH124)&amp;"",INDEX(nQ2_QC_Flags,$AH124)&amp;"",INDEX(nQ3_QC_Flags,$AH124)&amp;"",INDEX(nQ4_QC_Flags,$AH124)&amp;"",INDEX(nQ5_QC_Flags,$AH124)&amp;"",INDEX(nQ6_QC_Flags,$AH124)&amp;"",INDEX(nQ7_QC_Flags,$AH124)&amp;"",INDEX(nQ8_QC_Flags,$AH124)&amp;"",INDEX(nQ9_QC_Flags,$AH124)&amp;"",INDEX(nQ10_QC_Flags,$AH124)&amp;"",INDEX(nQ11_QC_Flags,$AH124)&amp;""))</f>
        <v/>
      </c>
      <c r="BJ124" s="1" t="str">
        <f>IF($AF124=0,"",CHOOSE($AF124,INDEX(nINT_Messages,$AH124)&amp;"",INDEX(nQ1_Messages,$AH124)&amp;"",INDEX(nQ2_Messages,$AH124)&amp;"",INDEX(nQ3_Messages,$AH124)&amp;"",INDEX(nQ4_Messages,$AH124)&amp;"",INDEX(nQ5_Messages,$AH124)&amp;"",INDEX(nQ6_Messages,$AH124)&amp;"",INDEX(nQ7_Messages,$AH124)&amp;"",INDEX(nQ8_Messages,$AH124)&amp;"",INDEX(nQ9_Messages,$AH124)&amp;"",INDEX(nQ10_Messages,$AH124)&amp;"",INDEX(nQ11_Messages,$AH124)&amp;""))</f>
        <v/>
      </c>
      <c r="BK124" s="1" t="str">
        <f>IF($AF124=0,"",CHOOSE($AF124,INDEX(nINT_Limitations,$AH124)&amp;"",INDEX(nQ1_Mandatory_Text,$AH124)&amp;"",INDEX(nQ2_Mandatory_Text,$AH124)&amp;"",INDEX(nQ3_Mandatory_Text,$AH124)&amp;"",INDEX(nQ4_Mandatory_Text,$AH124)&amp;"",INDEX(nQ5_Mandatory_Text,$AH124)&amp;"",INDEX(nQ6_Mandatory_Text,$AH124)&amp;"",INDEX(nQ7_Mandatory_Text,$AH124)&amp;"",INDEX(nQ8_Mandatory_Text,$AH124)&amp;"",INDEX(nQ9_Mandatory_Text,$AH124)&amp;"",INDEX(nQ10_Mandatory_Text,$AH124)&amp;"",INDEX(nQ11_Mandatory_Text,$AH124)&amp;""))</f>
        <v/>
      </c>
      <c r="BL124" s="1" t="str">
        <f t="shared" si="68"/>
        <v/>
      </c>
      <c r="BM124" s="1" t="str">
        <f t="shared" si="69"/>
        <v/>
      </c>
    </row>
    <row r="125" spans="1:65" x14ac:dyDescent="0.2">
      <c r="A125" s="21" t="str">
        <f t="shared" si="35"/>
        <v/>
      </c>
      <c r="B125" s="21" t="str">
        <f t="shared" si="36"/>
        <v/>
      </c>
      <c r="C125" s="21" t="str">
        <f t="shared" si="37"/>
        <v/>
      </c>
      <c r="D125" s="21" t="str">
        <f t="shared" si="38"/>
        <v/>
      </c>
      <c r="E125" s="21" t="str">
        <f t="shared" si="39"/>
        <v/>
      </c>
      <c r="F125" s="21" t="str">
        <f t="shared" si="40"/>
        <v/>
      </c>
      <c r="G125" s="21" t="str">
        <f t="shared" si="41"/>
        <v/>
      </c>
      <c r="H125" s="21" t="str">
        <f t="shared" si="42"/>
        <v/>
      </c>
      <c r="I125" s="21" t="str">
        <f t="shared" si="43"/>
        <v/>
      </c>
      <c r="J125" s="21" t="str">
        <f t="shared" si="44"/>
        <v/>
      </c>
      <c r="K125" s="21" t="str">
        <f t="shared" si="45"/>
        <v/>
      </c>
      <c r="L125" s="21" t="str">
        <f t="shared" si="46"/>
        <v/>
      </c>
      <c r="M125" s="21" t="str">
        <f t="shared" si="47"/>
        <v/>
      </c>
      <c r="N125" s="21" t="str">
        <f t="shared" si="48"/>
        <v/>
      </c>
      <c r="O125" s="21" t="str">
        <f t="shared" si="49"/>
        <v/>
      </c>
      <c r="P125" s="21" t="str">
        <f t="shared" si="50"/>
        <v/>
      </c>
      <c r="Q125" s="21" t="str">
        <f t="shared" si="51"/>
        <v/>
      </c>
      <c r="R125" s="21" t="str">
        <f t="shared" si="52"/>
        <v/>
      </c>
      <c r="S125" s="21" t="str">
        <f t="shared" si="53"/>
        <v/>
      </c>
      <c r="T125" s="21" t="str">
        <f t="shared" si="54"/>
        <v/>
      </c>
      <c r="U125" s="21" t="str">
        <f t="shared" si="55"/>
        <v/>
      </c>
      <c r="V125" s="21" t="str">
        <f t="shared" si="56"/>
        <v/>
      </c>
      <c r="W125" s="21" t="str">
        <f t="shared" si="57"/>
        <v/>
      </c>
      <c r="X125" s="21" t="str">
        <f t="shared" si="58"/>
        <v/>
      </c>
      <c r="Y125" s="21" t="str">
        <f t="shared" si="59"/>
        <v/>
      </c>
      <c r="Z125" s="21" t="str">
        <f t="shared" si="60"/>
        <v/>
      </c>
      <c r="AA125" s="21" t="str">
        <f t="shared" si="61"/>
        <v/>
      </c>
      <c r="AB125" s="21" t="str">
        <f t="shared" si="62"/>
        <v/>
      </c>
      <c r="AC125" s="21" t="str">
        <f t="shared" si="63"/>
        <v/>
      </c>
      <c r="AD125" s="21" t="str">
        <f t="shared" si="64"/>
        <v/>
      </c>
      <c r="AE125" s="1">
        <f t="shared" si="65"/>
        <v>118</v>
      </c>
      <c r="AF125" s="1">
        <f t="shared" si="66"/>
        <v>0</v>
      </c>
      <c r="AG125" s="1">
        <f t="shared" si="67"/>
        <v>0</v>
      </c>
      <c r="AH125" s="1">
        <f>IF(AF125=0,0,CHOOSE(AF125,IFERROR(_xlfn.AGGREGATE(15,6,(ROW(nINT_CaseKey)-ROW(INDEX(nINT_CaseKey,1,1))+1)/((nINT_CaseKey=$H$4)*(nINT_RowEmpty=0)),AG125),0),IFERROR(_xlfn.AGGREGATE(15,6,(ROW(nQ1_CaseKey)-ROW(INDEX(nQ1_CaseKey,1,1))+1)/((nQ1_CaseKey=$H$4)),AG125),0),IFERROR(_xlfn.AGGREGATE(15,6,(ROW(nQ2_CaseKey)-ROW(INDEX(nQ2_CaseKey,1,1))+1)/((nQ2_CaseKey=$H$4)),AG125),0),IFERROR(_xlfn.AGGREGATE(15,6,(ROW(nQ3_CaseKey)-ROW(INDEX(nQ3_CaseKey,1,1))+1)/((nQ3_CaseKey=$H$4)),AG125),0),IFERROR(_xlfn.AGGREGATE(15,6,(ROW(nQ4_CaseKey)-ROW(INDEX(nQ4_CaseKey,1,1))+1)/((nQ4_CaseKey=$H$4)),AG125),0),IFERROR(_xlfn.AGGREGATE(15,6,(ROW(nQ5_CaseKey)-ROW(INDEX(nQ5_CaseKey,1,1))+1)/((nQ5_CaseKey=$H$4)),AG125),0),IFERROR(_xlfn.AGGREGATE(15,6,(ROW(nQ6_CaseKey)-ROW(INDEX(nQ6_CaseKey,1,1))+1)/((nQ6_CaseKey=$H$4)),AG125),0),IFERROR(_xlfn.AGGREGATE(15,6,(ROW(nQ7_CaseKey)-ROW(INDEX(nQ7_CaseKey,1,1))+1)/((nQ7_CaseKey=$H$4)),AG125),0),IFERROR(_xlfn.AGGREGATE(15,6,(ROW(nQ8_CaseKey)-ROW(INDEX(nQ8_CaseKey,1,1))+1)/((nQ8_CaseKey=$H$4)),AG125),0),IFERROR(_xlfn.AGGREGATE(15,6,(ROW(nQ9_CaseKey)-ROW(INDEX(nQ9_CaseKey,1,1))+1)/((nQ9_CaseKey=$H$4)),AG125),0),IFERROR(_xlfn.AGGREGATE(15,6,(ROW(nQ10_CaseKey)-ROW(INDEX(nQ10_CaseKey,1,1))+1)/((nQ10_CaseKey=$H$4)),AG125),0),IFERROR(_xlfn.AGGREGATE(15,6,(ROW(nQ11_CaseKey)-ROW(INDEX(nQ11_CaseKey,1,1))+1)/((nQ11_CaseKey=$H$4)),AG125),0)))</f>
        <v>0</v>
      </c>
      <c r="AJ125" s="1" t="str">
        <f>IF($AF125=0,"",CHOOSE($AF125,INDEX(nINT_Case_ID,$AH125)&amp;"",INDEX(nQ1_Case_ID,$AH125)&amp;"",INDEX(nQ2_Case_ID,$AH125)&amp;"",INDEX(nQ3_Case_ID,$AH125)&amp;"",INDEX(nQ4_Case_ID,$AH125)&amp;"",INDEX(nQ5_Case_ID,$AH125)&amp;"",INDEX(nQ6_Case_ID,$AH125)&amp;"",INDEX(nQ7_Case_ID,$AH125)&amp;"",INDEX(nQ8_Case_ID,$AH125)&amp;"",INDEX(nQ9_Case_ID,$AH125)&amp;"",INDEX(nQ10_Case_ID,$AH125)&amp;"",INDEX(nQ11_Case_ID,$AH125)&amp;""))</f>
        <v/>
      </c>
      <c r="AK125" s="1" t="str">
        <f>IF($AF125=0,"",CHOOSE($AF125,INDEX(nINT_Case_Version,$AH125),INDEX(nQ1_Case_Version,$AH125),INDEX(nQ2_Case_Version,$AH125),INDEX(nQ3_Case_Version,$AH125),INDEX(nQ4_Case_Version,$AH125),INDEX(nQ5_Case_Version,$AH125),INDEX(nQ6_Case_Version,$AH125),INDEX(nQ7_Case_Version,$AH125),INDEX(nQ8_Case_Version,$AH125),INDEX(nQ9_Case_Version,$AH125),INDEX(nQ10_Case_Version,$AH125),INDEX(nQ11_Case_Version,$AH125)))</f>
        <v/>
      </c>
      <c r="AL125" s="1" t="str">
        <f>IF($AF125=0,"",CHOOSE($AF125,INDEX(nINT_Interval_ID,$AH125)&amp;"",INDEX(nQ1_Calc_ID,$AH125)&amp;"",INDEX(nQ2_Calc_ID,$AH125)&amp;"",INDEX(nQ3_Calc_ID,$AH125)&amp;"",INDEX(nQ4_Calc_ID,$AH125)&amp;"",INDEX(nQ5_Calc_ID,$AH125)&amp;"",INDEX(nQ6_Calc_ID,$AH125)&amp;"",INDEX(nQ7_Calc_ID,$AH125)&amp;"",INDEX(nQ8_Calc_ID,$AH125)&amp;"",INDEX(nQ9_Calc_ID,$AH125)&amp;"",INDEX(nQ10_Calc_ID,$AH125)&amp;"",INDEX(nQ11_Calc_ID,$AH125)&amp;""))</f>
        <v/>
      </c>
      <c r="AM125" s="1" t="str">
        <f>IF($AF125=0,"",CHOOSE($AF125,INDEX(nINT_Label,$AH125)&amp;"",INDEX(nQ1_Label_Out,$AH125)&amp;"",INDEX(nQ2_Label_Out,$AH125)&amp;"",INDEX(nQ3_Label_Out,$AH125)&amp;"",INDEX(nQ4_Label_Out,$AH125)&amp;"",INDEX(nQ5_Label_Out,$AH125)&amp;"",INDEX(nQ6_Label_Out,$AH125)&amp;"",INDEX(nQ7_Label_Out,$AH125)&amp;"",INDEX(nQ8_Label_Out,$AH125)&amp;"",INDEX(nQ9_Label_Out,$AH125)&amp;"",INDEX(nQ10_Label_Out,$AH125)&amp;"",INDEX(nQ11_Label_Out,$AH125)&amp;""))</f>
        <v/>
      </c>
      <c r="AN125" s="1" t="str">
        <f>IF($AF125=0,"",CHOOSE($AF125,IF(INDEX(nINT_LinkRow,$AH125)=0,"",INDEX(nINT_Link_ID,$AH125)&amp;""),"","","","","","","","","","",""))</f>
        <v/>
      </c>
      <c r="AO125" s="1" t="str">
        <f>IF($AF125=0,"",CHOOSE($AF125,INDEX(nINT_Exposure_Episode_ID,$AH125)&amp;"","","","","","","","","","","",""))</f>
        <v/>
      </c>
      <c r="AP125" s="1" t="str">
        <f>IF($AF125=0,"",CHOOSE($AF125,INDEX(nINT_Event_Episode_ID,$AH125)&amp;"","","","","","","","","","","",""))</f>
        <v/>
      </c>
      <c r="AQ125" s="1" t="str">
        <f>IF($AF125=0,"",CHOOSE($AF125,INDEX(nINT_End_Record_ID_Used,$AH125)&amp;"","","","","","","","","","","",""))</f>
        <v/>
      </c>
      <c r="AR125" s="1" t="str">
        <f>IF($AF125=0,"",CHOOSE($AF125,INDEX(nINT_Interval_Value,$AH125),"","","","","","","","","","",""))</f>
        <v/>
      </c>
      <c r="AS125" s="1" t="str">
        <f>IF($AF125=0,"",CHOOSE($AF125,INDEX(nINT_Interval_Minimum,$AH125),"","","","","","","","","","",""))</f>
        <v/>
      </c>
      <c r="AT125" s="1" t="str">
        <f>IF($AF125=0,"",CHOOSE($AF125,INDEX(nINT_Interval_Maximum,$AH125),"","","","","","","","","","",""))</f>
        <v/>
      </c>
      <c r="AU125" s="1" t="str">
        <f>IF($AF125=0,"",CHOOSE($AF125,INDEX(nINT_Unit,$AH125)&amp;"",INDEX(nQ1_Unit_Out,$AH125)&amp;"",INDEX(nQ2_Unit_Out,$AH125)&amp;"",INDEX(nQ3_Unit_Out,$AH125)&amp;"",INDEX(nQ4_Unit_Out,$AH125)&amp;"",INDEX(nQ5_Unit_Out,$AH125)&amp;"",INDEX(nQ6_Unit_Out,$AH125)&amp;"",INDEX(nQ7_Unit_Out,$AH125)&amp;"",INDEX(nQ8_Unit_Out,$AH125)&amp;"",INDEX(nQ9_Unit_Out,$AH125)&amp;"",INDEX(nQ10_Unit_Out,$AH125)&amp;"",INDEX(nQ11_Unit_Out,$AH125)&amp;""))</f>
        <v/>
      </c>
      <c r="AV125" s="1" t="str">
        <f>IF($AF125=0,"",CHOOSE($AF125,INDEX(nINT_Displayed_Value,$AH125)&amp;"",INDEX(nQ1_Displayed_Value,$AH125)&amp;"",INDEX(nQ2_Displayed_Value,$AH125)&amp;"",INDEX(nQ3_Displayed_Value,$AH125)&amp;"",INDEX(nQ4_Displayed_Value,$AH125)&amp;"",INDEX(nQ5_Displayed_Value,$AH125)&amp;"",INDEX(nQ6_Displayed_Value,$AH125)&amp;"",INDEX(nQ7_Displayed_Value,$AH125)&amp;"",INDEX(nQ8_Displayed_Value,$AH125)&amp;"",INDEX(nQ9_Displayed_Value,$AH125)&amp;"",INDEX(nQ10_Displayed_Value,$AH125)&amp;"",INDEX(nQ11_Displayed_Value,$AH125)&amp;""))</f>
        <v/>
      </c>
      <c r="AW125" s="1" t="str">
        <f>IF($AF125=0,"",CHOOSE($AF125,INDEX(nINT_Calculation_Mode_Used,$AH125)&amp;"","Q1","Q2","Q3","Q4","Q5","Q6","Q7","Q8","Q9","Q10","Q11"))</f>
        <v/>
      </c>
      <c r="AX125" s="1" t="str">
        <f>IF($AF125=0,"",CHOOSE($AF125,INDEX(nINT_Anchor_Type,$AH125)&amp;"","","","","","","","","","","",""))</f>
        <v/>
      </c>
      <c r="AY125" s="1" t="str">
        <f>IF($AF125=0,"",CHOOSE($AF125,IF(INDEX(nINT_K_Ok,$AH125)=1,INDEX(nINT_Anchor_Record_ID_Used,$AH125)&amp;"",""),"","","","","","","","","","",""))</f>
        <v/>
      </c>
      <c r="AZ125" s="1" t="str">
        <f>IF($AF125=0,"",CHOOSE($AF125,INDEX(nINT_Anchor_Description,$AH125)&amp;"","","","","","","","","","","",""))</f>
        <v/>
      </c>
      <c r="BA125" s="1" t="str">
        <f>IF($AF125=0,"",CHOOSE($AF125,INDEX(nINT_Sequence_Status,$AH125)&amp;"","","","","","","","","","","",""))</f>
        <v/>
      </c>
      <c r="BB125" s="1" t="str">
        <f>IF($AF125=0,"",CHOOSE($AF125,INDEX(nINT_Treatment_Day,$AH125),"","","","","","","","","","",""))</f>
        <v/>
      </c>
      <c r="BC125" s="1" t="str">
        <f>IF($AF125=0,"",CHOOSE($AF125,INDEX(nINT_Reported_Timing_Result,$AH125)&amp;"","","","","","","","","","","",""))</f>
        <v/>
      </c>
      <c r="BD125" s="1" t="str">
        <f>IF($AF125=0,"",CHOOSE($AF125,IF(INDEX(nINT_K_HasC,$AH125)=1,INDEX(nINT_Constraint_Source,$AH125)&amp;"",""),"","","","","","","","","","",""))</f>
        <v/>
      </c>
      <c r="BE125" s="1" t="str">
        <f>IF($AF125=0,"",CHOOSE($AF125,"",INDEX(nQ1_Results_Text,$AH125)&amp;"",INDEX(nQ2_Results_Text,$AH125)&amp;"",INDEX(nQ3_Results_Text,$AH125)&amp;"",INDEX(nQ4_Results_Text,$AH125)&amp;"",INDEX(nQ5_Results_Text,$AH125)&amp;"",INDEX(nQ6_Results_Text,$AH125)&amp;"",INDEX(nQ7_Results_Text,$AH125)&amp;"",INDEX(nQ8_Results_Text,$AH125)&amp;"",INDEX(nQ9_Results_Text,$AH125)&amp;"",INDEX(nQ10_Results_Text,$AH125)&amp;"",INDEX(nQ11_Results_Text,$AH125)&amp;""))</f>
        <v/>
      </c>
      <c r="BF125" s="1" t="str">
        <f>IF($AF125=0,"",CHOOSE($AF125,INDEX(nINT_Parameter_Set,$AH125)&amp;"",INDEX(nQ1_Parameter_Set,$AH125)&amp;"",INDEX(nQ2_Parameter_Set,$AH125)&amp;"",INDEX(nQ3_Parameter_Set,$AH125)&amp;"",INDEX(nQ4_Parameter_Set,$AH125)&amp;"",INDEX(nQ5_Parameter_Set,$AH125)&amp;"",INDEX(nQ6_Parameter_Set,$AH125)&amp;"",INDEX(nQ7_Parameter_Set,$AH125)&amp;"",INDEX(nQ8_Parameter_Set,$AH125)&amp;"",INDEX(nQ9_Parameter_Set,$AH125)&amp;"",INDEX(nQ10_Parameter_Set,$AH125)&amp;"",INDEX(nQ11_Parameter_Set,$AH125)&amp;""))</f>
        <v/>
      </c>
      <c r="BG125" s="1" t="str">
        <f>IF($AF125=0,"",CHOOSE($AF125,INDEX(nINT_Assumptions,$AH125)&amp;"",INDEX(nQ1_Assumptions,$AH125)&amp;"",INDEX(nQ2_Assumptions,$AH125)&amp;"",INDEX(nQ3_Assumptions,$AH125)&amp;"",INDEX(nQ4_Assumptions,$AH125)&amp;"",INDEX(nQ5_Assumptions,$AH125)&amp;"",INDEX(nQ6_Assumptions,$AH125)&amp;"",INDEX(nQ7_Assumptions,$AH125)&amp;"",INDEX(nQ8_Assumptions,$AH125)&amp;"",INDEX(nQ9_Assumptions,$AH125)&amp;"",INDEX(nQ10_Assumptions,$AH125)&amp;"",INDEX(nQ11_Assumptions,$AH125)&amp;""))</f>
        <v/>
      </c>
      <c r="BH125" s="1" t="str">
        <f>IF($AF125=0,"",CHOOSE($AF125,INDEX(nINT_Calculation_Version,$AH125)&amp;"",INDEX(nQ1_Calculation_Version,$AH125)&amp;"",INDEX(nQ2_Calculation_Version,$AH125)&amp;"",INDEX(nQ3_Calculation_Version,$AH125)&amp;"",INDEX(nQ4_Calculation_Version,$AH125)&amp;"",INDEX(nQ5_Calculation_Version,$AH125)&amp;"",INDEX(nQ6_Calculation_Version,$AH125)&amp;"",INDEX(nQ7_Calculation_Version,$AH125)&amp;"",INDEX(nQ8_Calculation_Version,$AH125)&amp;"",INDEX(nQ9_Calculation_Version,$AH125)&amp;"",INDEX(nQ10_Calculation_Version,$AH125)&amp;"",INDEX(nQ11_Calculation_Version,$AH125)&amp;""))</f>
        <v/>
      </c>
      <c r="BI125" s="1" t="str">
        <f>IF($AF125=0,"",CHOOSE($AF125,INDEX(nINT_QC_Flags,$AH125)&amp;"",INDEX(nQ1_QC_Flags,$AH125)&amp;"",INDEX(nQ2_QC_Flags,$AH125)&amp;"",INDEX(nQ3_QC_Flags,$AH125)&amp;"",INDEX(nQ4_QC_Flags,$AH125)&amp;"",INDEX(nQ5_QC_Flags,$AH125)&amp;"",INDEX(nQ6_QC_Flags,$AH125)&amp;"",INDEX(nQ7_QC_Flags,$AH125)&amp;"",INDEX(nQ8_QC_Flags,$AH125)&amp;"",INDEX(nQ9_QC_Flags,$AH125)&amp;"",INDEX(nQ10_QC_Flags,$AH125)&amp;"",INDEX(nQ11_QC_Flags,$AH125)&amp;""))</f>
        <v/>
      </c>
      <c r="BJ125" s="1" t="str">
        <f>IF($AF125=0,"",CHOOSE($AF125,INDEX(nINT_Messages,$AH125)&amp;"",INDEX(nQ1_Messages,$AH125)&amp;"",INDEX(nQ2_Messages,$AH125)&amp;"",INDEX(nQ3_Messages,$AH125)&amp;"",INDEX(nQ4_Messages,$AH125)&amp;"",INDEX(nQ5_Messages,$AH125)&amp;"",INDEX(nQ6_Messages,$AH125)&amp;"",INDEX(nQ7_Messages,$AH125)&amp;"",INDEX(nQ8_Messages,$AH125)&amp;"",INDEX(nQ9_Messages,$AH125)&amp;"",INDEX(nQ10_Messages,$AH125)&amp;"",INDEX(nQ11_Messages,$AH125)&amp;""))</f>
        <v/>
      </c>
      <c r="BK125" s="1" t="str">
        <f>IF($AF125=0,"",CHOOSE($AF125,INDEX(nINT_Limitations,$AH125)&amp;"",INDEX(nQ1_Mandatory_Text,$AH125)&amp;"",INDEX(nQ2_Mandatory_Text,$AH125)&amp;"",INDEX(nQ3_Mandatory_Text,$AH125)&amp;"",INDEX(nQ4_Mandatory_Text,$AH125)&amp;"",INDEX(nQ5_Mandatory_Text,$AH125)&amp;"",INDEX(nQ6_Mandatory_Text,$AH125)&amp;"",INDEX(nQ7_Mandatory_Text,$AH125)&amp;"",INDEX(nQ8_Mandatory_Text,$AH125)&amp;"",INDEX(nQ9_Mandatory_Text,$AH125)&amp;"",INDEX(nQ10_Mandatory_Text,$AH125)&amp;"",INDEX(nQ11_Mandatory_Text,$AH125)&amp;""))</f>
        <v/>
      </c>
      <c r="BL125" s="1" t="str">
        <f t="shared" si="68"/>
        <v/>
      </c>
      <c r="BM125" s="1" t="str">
        <f t="shared" si="69"/>
        <v/>
      </c>
    </row>
    <row r="126" spans="1:65" x14ac:dyDescent="0.2">
      <c r="A126" s="21" t="str">
        <f t="shared" si="35"/>
        <v/>
      </c>
      <c r="B126" s="21" t="str">
        <f t="shared" si="36"/>
        <v/>
      </c>
      <c r="C126" s="21" t="str">
        <f t="shared" si="37"/>
        <v/>
      </c>
      <c r="D126" s="21" t="str">
        <f t="shared" si="38"/>
        <v/>
      </c>
      <c r="E126" s="21" t="str">
        <f t="shared" si="39"/>
        <v/>
      </c>
      <c r="F126" s="21" t="str">
        <f t="shared" si="40"/>
        <v/>
      </c>
      <c r="G126" s="21" t="str">
        <f t="shared" si="41"/>
        <v/>
      </c>
      <c r="H126" s="21" t="str">
        <f t="shared" si="42"/>
        <v/>
      </c>
      <c r="I126" s="21" t="str">
        <f t="shared" si="43"/>
        <v/>
      </c>
      <c r="J126" s="21" t="str">
        <f t="shared" si="44"/>
        <v/>
      </c>
      <c r="K126" s="21" t="str">
        <f t="shared" si="45"/>
        <v/>
      </c>
      <c r="L126" s="21" t="str">
        <f t="shared" si="46"/>
        <v/>
      </c>
      <c r="M126" s="21" t="str">
        <f t="shared" si="47"/>
        <v/>
      </c>
      <c r="N126" s="21" t="str">
        <f t="shared" si="48"/>
        <v/>
      </c>
      <c r="O126" s="21" t="str">
        <f t="shared" si="49"/>
        <v/>
      </c>
      <c r="P126" s="21" t="str">
        <f t="shared" si="50"/>
        <v/>
      </c>
      <c r="Q126" s="21" t="str">
        <f t="shared" si="51"/>
        <v/>
      </c>
      <c r="R126" s="21" t="str">
        <f t="shared" si="52"/>
        <v/>
      </c>
      <c r="S126" s="21" t="str">
        <f t="shared" si="53"/>
        <v/>
      </c>
      <c r="T126" s="21" t="str">
        <f t="shared" si="54"/>
        <v/>
      </c>
      <c r="U126" s="21" t="str">
        <f t="shared" si="55"/>
        <v/>
      </c>
      <c r="V126" s="21" t="str">
        <f t="shared" si="56"/>
        <v/>
      </c>
      <c r="W126" s="21" t="str">
        <f t="shared" si="57"/>
        <v/>
      </c>
      <c r="X126" s="21" t="str">
        <f t="shared" si="58"/>
        <v/>
      </c>
      <c r="Y126" s="21" t="str">
        <f t="shared" si="59"/>
        <v/>
      </c>
      <c r="Z126" s="21" t="str">
        <f t="shared" si="60"/>
        <v/>
      </c>
      <c r="AA126" s="21" t="str">
        <f t="shared" si="61"/>
        <v/>
      </c>
      <c r="AB126" s="21" t="str">
        <f t="shared" si="62"/>
        <v/>
      </c>
      <c r="AC126" s="21" t="str">
        <f t="shared" si="63"/>
        <v/>
      </c>
      <c r="AD126" s="21" t="str">
        <f t="shared" si="64"/>
        <v/>
      </c>
      <c r="AE126" s="1">
        <f t="shared" si="65"/>
        <v>119</v>
      </c>
      <c r="AF126" s="1">
        <f t="shared" si="66"/>
        <v>0</v>
      </c>
      <c r="AG126" s="1">
        <f t="shared" si="67"/>
        <v>0</v>
      </c>
      <c r="AH126" s="1">
        <f>IF(AF126=0,0,CHOOSE(AF126,IFERROR(_xlfn.AGGREGATE(15,6,(ROW(nINT_CaseKey)-ROW(INDEX(nINT_CaseKey,1,1))+1)/((nINT_CaseKey=$H$4)*(nINT_RowEmpty=0)),AG126),0),IFERROR(_xlfn.AGGREGATE(15,6,(ROW(nQ1_CaseKey)-ROW(INDEX(nQ1_CaseKey,1,1))+1)/((nQ1_CaseKey=$H$4)),AG126),0),IFERROR(_xlfn.AGGREGATE(15,6,(ROW(nQ2_CaseKey)-ROW(INDEX(nQ2_CaseKey,1,1))+1)/((nQ2_CaseKey=$H$4)),AG126),0),IFERROR(_xlfn.AGGREGATE(15,6,(ROW(nQ3_CaseKey)-ROW(INDEX(nQ3_CaseKey,1,1))+1)/((nQ3_CaseKey=$H$4)),AG126),0),IFERROR(_xlfn.AGGREGATE(15,6,(ROW(nQ4_CaseKey)-ROW(INDEX(nQ4_CaseKey,1,1))+1)/((nQ4_CaseKey=$H$4)),AG126),0),IFERROR(_xlfn.AGGREGATE(15,6,(ROW(nQ5_CaseKey)-ROW(INDEX(nQ5_CaseKey,1,1))+1)/((nQ5_CaseKey=$H$4)),AG126),0),IFERROR(_xlfn.AGGREGATE(15,6,(ROW(nQ6_CaseKey)-ROW(INDEX(nQ6_CaseKey,1,1))+1)/((nQ6_CaseKey=$H$4)),AG126),0),IFERROR(_xlfn.AGGREGATE(15,6,(ROW(nQ7_CaseKey)-ROW(INDEX(nQ7_CaseKey,1,1))+1)/((nQ7_CaseKey=$H$4)),AG126),0),IFERROR(_xlfn.AGGREGATE(15,6,(ROW(nQ8_CaseKey)-ROW(INDEX(nQ8_CaseKey,1,1))+1)/((nQ8_CaseKey=$H$4)),AG126),0),IFERROR(_xlfn.AGGREGATE(15,6,(ROW(nQ9_CaseKey)-ROW(INDEX(nQ9_CaseKey,1,1))+1)/((nQ9_CaseKey=$H$4)),AG126),0),IFERROR(_xlfn.AGGREGATE(15,6,(ROW(nQ10_CaseKey)-ROW(INDEX(nQ10_CaseKey,1,1))+1)/((nQ10_CaseKey=$H$4)),AG126),0),IFERROR(_xlfn.AGGREGATE(15,6,(ROW(nQ11_CaseKey)-ROW(INDEX(nQ11_CaseKey,1,1))+1)/((nQ11_CaseKey=$H$4)),AG126),0)))</f>
        <v>0</v>
      </c>
      <c r="AJ126" s="1" t="str">
        <f>IF($AF126=0,"",CHOOSE($AF126,INDEX(nINT_Case_ID,$AH126)&amp;"",INDEX(nQ1_Case_ID,$AH126)&amp;"",INDEX(nQ2_Case_ID,$AH126)&amp;"",INDEX(nQ3_Case_ID,$AH126)&amp;"",INDEX(nQ4_Case_ID,$AH126)&amp;"",INDEX(nQ5_Case_ID,$AH126)&amp;"",INDEX(nQ6_Case_ID,$AH126)&amp;"",INDEX(nQ7_Case_ID,$AH126)&amp;"",INDEX(nQ8_Case_ID,$AH126)&amp;"",INDEX(nQ9_Case_ID,$AH126)&amp;"",INDEX(nQ10_Case_ID,$AH126)&amp;"",INDEX(nQ11_Case_ID,$AH126)&amp;""))</f>
        <v/>
      </c>
      <c r="AK126" s="1" t="str">
        <f>IF($AF126=0,"",CHOOSE($AF126,INDEX(nINT_Case_Version,$AH126),INDEX(nQ1_Case_Version,$AH126),INDEX(nQ2_Case_Version,$AH126),INDEX(nQ3_Case_Version,$AH126),INDEX(nQ4_Case_Version,$AH126),INDEX(nQ5_Case_Version,$AH126),INDEX(nQ6_Case_Version,$AH126),INDEX(nQ7_Case_Version,$AH126),INDEX(nQ8_Case_Version,$AH126),INDEX(nQ9_Case_Version,$AH126),INDEX(nQ10_Case_Version,$AH126),INDEX(nQ11_Case_Version,$AH126)))</f>
        <v/>
      </c>
      <c r="AL126" s="1" t="str">
        <f>IF($AF126=0,"",CHOOSE($AF126,INDEX(nINT_Interval_ID,$AH126)&amp;"",INDEX(nQ1_Calc_ID,$AH126)&amp;"",INDEX(nQ2_Calc_ID,$AH126)&amp;"",INDEX(nQ3_Calc_ID,$AH126)&amp;"",INDEX(nQ4_Calc_ID,$AH126)&amp;"",INDEX(nQ5_Calc_ID,$AH126)&amp;"",INDEX(nQ6_Calc_ID,$AH126)&amp;"",INDEX(nQ7_Calc_ID,$AH126)&amp;"",INDEX(nQ8_Calc_ID,$AH126)&amp;"",INDEX(nQ9_Calc_ID,$AH126)&amp;"",INDEX(nQ10_Calc_ID,$AH126)&amp;"",INDEX(nQ11_Calc_ID,$AH126)&amp;""))</f>
        <v/>
      </c>
      <c r="AM126" s="1" t="str">
        <f>IF($AF126=0,"",CHOOSE($AF126,INDEX(nINT_Label,$AH126)&amp;"",INDEX(nQ1_Label_Out,$AH126)&amp;"",INDEX(nQ2_Label_Out,$AH126)&amp;"",INDEX(nQ3_Label_Out,$AH126)&amp;"",INDEX(nQ4_Label_Out,$AH126)&amp;"",INDEX(nQ5_Label_Out,$AH126)&amp;"",INDEX(nQ6_Label_Out,$AH126)&amp;"",INDEX(nQ7_Label_Out,$AH126)&amp;"",INDEX(nQ8_Label_Out,$AH126)&amp;"",INDEX(nQ9_Label_Out,$AH126)&amp;"",INDEX(nQ10_Label_Out,$AH126)&amp;"",INDEX(nQ11_Label_Out,$AH126)&amp;""))</f>
        <v/>
      </c>
      <c r="AN126" s="1" t="str">
        <f>IF($AF126=0,"",CHOOSE($AF126,IF(INDEX(nINT_LinkRow,$AH126)=0,"",INDEX(nINT_Link_ID,$AH126)&amp;""),"","","","","","","","","","",""))</f>
        <v/>
      </c>
      <c r="AO126" s="1" t="str">
        <f>IF($AF126=0,"",CHOOSE($AF126,INDEX(nINT_Exposure_Episode_ID,$AH126)&amp;"","","","","","","","","","","",""))</f>
        <v/>
      </c>
      <c r="AP126" s="1" t="str">
        <f>IF($AF126=0,"",CHOOSE($AF126,INDEX(nINT_Event_Episode_ID,$AH126)&amp;"","","","","","","","","","","",""))</f>
        <v/>
      </c>
      <c r="AQ126" s="1" t="str">
        <f>IF($AF126=0,"",CHOOSE($AF126,INDEX(nINT_End_Record_ID_Used,$AH126)&amp;"","","","","","","","","","","",""))</f>
        <v/>
      </c>
      <c r="AR126" s="1" t="str">
        <f>IF($AF126=0,"",CHOOSE($AF126,INDEX(nINT_Interval_Value,$AH126),"","","","","","","","","","",""))</f>
        <v/>
      </c>
      <c r="AS126" s="1" t="str">
        <f>IF($AF126=0,"",CHOOSE($AF126,INDEX(nINT_Interval_Minimum,$AH126),"","","","","","","","","","",""))</f>
        <v/>
      </c>
      <c r="AT126" s="1" t="str">
        <f>IF($AF126=0,"",CHOOSE($AF126,INDEX(nINT_Interval_Maximum,$AH126),"","","","","","","","","","",""))</f>
        <v/>
      </c>
      <c r="AU126" s="1" t="str">
        <f>IF($AF126=0,"",CHOOSE($AF126,INDEX(nINT_Unit,$AH126)&amp;"",INDEX(nQ1_Unit_Out,$AH126)&amp;"",INDEX(nQ2_Unit_Out,$AH126)&amp;"",INDEX(nQ3_Unit_Out,$AH126)&amp;"",INDEX(nQ4_Unit_Out,$AH126)&amp;"",INDEX(nQ5_Unit_Out,$AH126)&amp;"",INDEX(nQ6_Unit_Out,$AH126)&amp;"",INDEX(nQ7_Unit_Out,$AH126)&amp;"",INDEX(nQ8_Unit_Out,$AH126)&amp;"",INDEX(nQ9_Unit_Out,$AH126)&amp;"",INDEX(nQ10_Unit_Out,$AH126)&amp;"",INDEX(nQ11_Unit_Out,$AH126)&amp;""))</f>
        <v/>
      </c>
      <c r="AV126" s="1" t="str">
        <f>IF($AF126=0,"",CHOOSE($AF126,INDEX(nINT_Displayed_Value,$AH126)&amp;"",INDEX(nQ1_Displayed_Value,$AH126)&amp;"",INDEX(nQ2_Displayed_Value,$AH126)&amp;"",INDEX(nQ3_Displayed_Value,$AH126)&amp;"",INDEX(nQ4_Displayed_Value,$AH126)&amp;"",INDEX(nQ5_Displayed_Value,$AH126)&amp;"",INDEX(nQ6_Displayed_Value,$AH126)&amp;"",INDEX(nQ7_Displayed_Value,$AH126)&amp;"",INDEX(nQ8_Displayed_Value,$AH126)&amp;"",INDEX(nQ9_Displayed_Value,$AH126)&amp;"",INDEX(nQ10_Displayed_Value,$AH126)&amp;"",INDEX(nQ11_Displayed_Value,$AH126)&amp;""))</f>
        <v/>
      </c>
      <c r="AW126" s="1" t="str">
        <f>IF($AF126=0,"",CHOOSE($AF126,INDEX(nINT_Calculation_Mode_Used,$AH126)&amp;"","Q1","Q2","Q3","Q4","Q5","Q6","Q7","Q8","Q9","Q10","Q11"))</f>
        <v/>
      </c>
      <c r="AX126" s="1" t="str">
        <f>IF($AF126=0,"",CHOOSE($AF126,INDEX(nINT_Anchor_Type,$AH126)&amp;"","","","","","","","","","","",""))</f>
        <v/>
      </c>
      <c r="AY126" s="1" t="str">
        <f>IF($AF126=0,"",CHOOSE($AF126,IF(INDEX(nINT_K_Ok,$AH126)=1,INDEX(nINT_Anchor_Record_ID_Used,$AH126)&amp;"",""),"","","","","","","","","","",""))</f>
        <v/>
      </c>
      <c r="AZ126" s="1" t="str">
        <f>IF($AF126=0,"",CHOOSE($AF126,INDEX(nINT_Anchor_Description,$AH126)&amp;"","","","","","","","","","","",""))</f>
        <v/>
      </c>
      <c r="BA126" s="1" t="str">
        <f>IF($AF126=0,"",CHOOSE($AF126,INDEX(nINT_Sequence_Status,$AH126)&amp;"","","","","","","","","","","",""))</f>
        <v/>
      </c>
      <c r="BB126" s="1" t="str">
        <f>IF($AF126=0,"",CHOOSE($AF126,INDEX(nINT_Treatment_Day,$AH126),"","","","","","","","","","",""))</f>
        <v/>
      </c>
      <c r="BC126" s="1" t="str">
        <f>IF($AF126=0,"",CHOOSE($AF126,INDEX(nINT_Reported_Timing_Result,$AH126)&amp;"","","","","","","","","","","",""))</f>
        <v/>
      </c>
      <c r="BD126" s="1" t="str">
        <f>IF($AF126=0,"",CHOOSE($AF126,IF(INDEX(nINT_K_HasC,$AH126)=1,INDEX(nINT_Constraint_Source,$AH126)&amp;"",""),"","","","","","","","","","",""))</f>
        <v/>
      </c>
      <c r="BE126" s="1" t="str">
        <f>IF($AF126=0,"",CHOOSE($AF126,"",INDEX(nQ1_Results_Text,$AH126)&amp;"",INDEX(nQ2_Results_Text,$AH126)&amp;"",INDEX(nQ3_Results_Text,$AH126)&amp;"",INDEX(nQ4_Results_Text,$AH126)&amp;"",INDEX(nQ5_Results_Text,$AH126)&amp;"",INDEX(nQ6_Results_Text,$AH126)&amp;"",INDEX(nQ7_Results_Text,$AH126)&amp;"",INDEX(nQ8_Results_Text,$AH126)&amp;"",INDEX(nQ9_Results_Text,$AH126)&amp;"",INDEX(nQ10_Results_Text,$AH126)&amp;"",INDEX(nQ11_Results_Text,$AH126)&amp;""))</f>
        <v/>
      </c>
      <c r="BF126" s="1" t="str">
        <f>IF($AF126=0,"",CHOOSE($AF126,INDEX(nINT_Parameter_Set,$AH126)&amp;"",INDEX(nQ1_Parameter_Set,$AH126)&amp;"",INDEX(nQ2_Parameter_Set,$AH126)&amp;"",INDEX(nQ3_Parameter_Set,$AH126)&amp;"",INDEX(nQ4_Parameter_Set,$AH126)&amp;"",INDEX(nQ5_Parameter_Set,$AH126)&amp;"",INDEX(nQ6_Parameter_Set,$AH126)&amp;"",INDEX(nQ7_Parameter_Set,$AH126)&amp;"",INDEX(nQ8_Parameter_Set,$AH126)&amp;"",INDEX(nQ9_Parameter_Set,$AH126)&amp;"",INDEX(nQ10_Parameter_Set,$AH126)&amp;"",INDEX(nQ11_Parameter_Set,$AH126)&amp;""))</f>
        <v/>
      </c>
      <c r="BG126" s="1" t="str">
        <f>IF($AF126=0,"",CHOOSE($AF126,INDEX(nINT_Assumptions,$AH126)&amp;"",INDEX(nQ1_Assumptions,$AH126)&amp;"",INDEX(nQ2_Assumptions,$AH126)&amp;"",INDEX(nQ3_Assumptions,$AH126)&amp;"",INDEX(nQ4_Assumptions,$AH126)&amp;"",INDEX(nQ5_Assumptions,$AH126)&amp;"",INDEX(nQ6_Assumptions,$AH126)&amp;"",INDEX(nQ7_Assumptions,$AH126)&amp;"",INDEX(nQ8_Assumptions,$AH126)&amp;"",INDEX(nQ9_Assumptions,$AH126)&amp;"",INDEX(nQ10_Assumptions,$AH126)&amp;"",INDEX(nQ11_Assumptions,$AH126)&amp;""))</f>
        <v/>
      </c>
      <c r="BH126" s="1" t="str">
        <f>IF($AF126=0,"",CHOOSE($AF126,INDEX(nINT_Calculation_Version,$AH126)&amp;"",INDEX(nQ1_Calculation_Version,$AH126)&amp;"",INDEX(nQ2_Calculation_Version,$AH126)&amp;"",INDEX(nQ3_Calculation_Version,$AH126)&amp;"",INDEX(nQ4_Calculation_Version,$AH126)&amp;"",INDEX(nQ5_Calculation_Version,$AH126)&amp;"",INDEX(nQ6_Calculation_Version,$AH126)&amp;"",INDEX(nQ7_Calculation_Version,$AH126)&amp;"",INDEX(nQ8_Calculation_Version,$AH126)&amp;"",INDEX(nQ9_Calculation_Version,$AH126)&amp;"",INDEX(nQ10_Calculation_Version,$AH126)&amp;"",INDEX(nQ11_Calculation_Version,$AH126)&amp;""))</f>
        <v/>
      </c>
      <c r="BI126" s="1" t="str">
        <f>IF($AF126=0,"",CHOOSE($AF126,INDEX(nINT_QC_Flags,$AH126)&amp;"",INDEX(nQ1_QC_Flags,$AH126)&amp;"",INDEX(nQ2_QC_Flags,$AH126)&amp;"",INDEX(nQ3_QC_Flags,$AH126)&amp;"",INDEX(nQ4_QC_Flags,$AH126)&amp;"",INDEX(nQ5_QC_Flags,$AH126)&amp;"",INDEX(nQ6_QC_Flags,$AH126)&amp;"",INDEX(nQ7_QC_Flags,$AH126)&amp;"",INDEX(nQ8_QC_Flags,$AH126)&amp;"",INDEX(nQ9_QC_Flags,$AH126)&amp;"",INDEX(nQ10_QC_Flags,$AH126)&amp;"",INDEX(nQ11_QC_Flags,$AH126)&amp;""))</f>
        <v/>
      </c>
      <c r="BJ126" s="1" t="str">
        <f>IF($AF126=0,"",CHOOSE($AF126,INDEX(nINT_Messages,$AH126)&amp;"",INDEX(nQ1_Messages,$AH126)&amp;"",INDEX(nQ2_Messages,$AH126)&amp;"",INDEX(nQ3_Messages,$AH126)&amp;"",INDEX(nQ4_Messages,$AH126)&amp;"",INDEX(nQ5_Messages,$AH126)&amp;"",INDEX(nQ6_Messages,$AH126)&amp;"",INDEX(nQ7_Messages,$AH126)&amp;"",INDEX(nQ8_Messages,$AH126)&amp;"",INDEX(nQ9_Messages,$AH126)&amp;"",INDEX(nQ10_Messages,$AH126)&amp;"",INDEX(nQ11_Messages,$AH126)&amp;""))</f>
        <v/>
      </c>
      <c r="BK126" s="1" t="str">
        <f>IF($AF126=0,"",CHOOSE($AF126,INDEX(nINT_Limitations,$AH126)&amp;"",INDEX(nQ1_Mandatory_Text,$AH126)&amp;"",INDEX(nQ2_Mandatory_Text,$AH126)&amp;"",INDEX(nQ3_Mandatory_Text,$AH126)&amp;"",INDEX(nQ4_Mandatory_Text,$AH126)&amp;"",INDEX(nQ5_Mandatory_Text,$AH126)&amp;"",INDEX(nQ6_Mandatory_Text,$AH126)&amp;"",INDEX(nQ7_Mandatory_Text,$AH126)&amp;"",INDEX(nQ8_Mandatory_Text,$AH126)&amp;"",INDEX(nQ9_Mandatory_Text,$AH126)&amp;"",INDEX(nQ10_Mandatory_Text,$AH126)&amp;"",INDEX(nQ11_Mandatory_Text,$AH126)&amp;""))</f>
        <v/>
      </c>
      <c r="BL126" s="1" t="str">
        <f t="shared" si="68"/>
        <v/>
      </c>
      <c r="BM126" s="1" t="str">
        <f t="shared" si="69"/>
        <v/>
      </c>
    </row>
    <row r="127" spans="1:65" x14ac:dyDescent="0.2">
      <c r="A127" s="21" t="str">
        <f t="shared" si="35"/>
        <v/>
      </c>
      <c r="B127" s="21" t="str">
        <f t="shared" si="36"/>
        <v/>
      </c>
      <c r="C127" s="21" t="str">
        <f t="shared" si="37"/>
        <v/>
      </c>
      <c r="D127" s="21" t="str">
        <f t="shared" si="38"/>
        <v/>
      </c>
      <c r="E127" s="21" t="str">
        <f t="shared" si="39"/>
        <v/>
      </c>
      <c r="F127" s="21" t="str">
        <f t="shared" si="40"/>
        <v/>
      </c>
      <c r="G127" s="21" t="str">
        <f t="shared" si="41"/>
        <v/>
      </c>
      <c r="H127" s="21" t="str">
        <f t="shared" si="42"/>
        <v/>
      </c>
      <c r="I127" s="21" t="str">
        <f t="shared" si="43"/>
        <v/>
      </c>
      <c r="J127" s="21" t="str">
        <f t="shared" si="44"/>
        <v/>
      </c>
      <c r="K127" s="21" t="str">
        <f t="shared" si="45"/>
        <v/>
      </c>
      <c r="L127" s="21" t="str">
        <f t="shared" si="46"/>
        <v/>
      </c>
      <c r="M127" s="21" t="str">
        <f t="shared" si="47"/>
        <v/>
      </c>
      <c r="N127" s="21" t="str">
        <f t="shared" si="48"/>
        <v/>
      </c>
      <c r="O127" s="21" t="str">
        <f t="shared" si="49"/>
        <v/>
      </c>
      <c r="P127" s="21" t="str">
        <f t="shared" si="50"/>
        <v/>
      </c>
      <c r="Q127" s="21" t="str">
        <f t="shared" si="51"/>
        <v/>
      </c>
      <c r="R127" s="21" t="str">
        <f t="shared" si="52"/>
        <v/>
      </c>
      <c r="S127" s="21" t="str">
        <f t="shared" si="53"/>
        <v/>
      </c>
      <c r="T127" s="21" t="str">
        <f t="shared" si="54"/>
        <v/>
      </c>
      <c r="U127" s="21" t="str">
        <f t="shared" si="55"/>
        <v/>
      </c>
      <c r="V127" s="21" t="str">
        <f t="shared" si="56"/>
        <v/>
      </c>
      <c r="W127" s="21" t="str">
        <f t="shared" si="57"/>
        <v/>
      </c>
      <c r="X127" s="21" t="str">
        <f t="shared" si="58"/>
        <v/>
      </c>
      <c r="Y127" s="21" t="str">
        <f t="shared" si="59"/>
        <v/>
      </c>
      <c r="Z127" s="21" t="str">
        <f t="shared" si="60"/>
        <v/>
      </c>
      <c r="AA127" s="21" t="str">
        <f t="shared" si="61"/>
        <v/>
      </c>
      <c r="AB127" s="21" t="str">
        <f t="shared" si="62"/>
        <v/>
      </c>
      <c r="AC127" s="21" t="str">
        <f t="shared" si="63"/>
        <v/>
      </c>
      <c r="AD127" s="21" t="str">
        <f t="shared" si="64"/>
        <v/>
      </c>
      <c r="AE127" s="1">
        <f t="shared" si="65"/>
        <v>120</v>
      </c>
      <c r="AF127" s="1">
        <f t="shared" si="66"/>
        <v>0</v>
      </c>
      <c r="AG127" s="1">
        <f t="shared" si="67"/>
        <v>0</v>
      </c>
      <c r="AH127" s="1">
        <f>IF(AF127=0,0,CHOOSE(AF127,IFERROR(_xlfn.AGGREGATE(15,6,(ROW(nINT_CaseKey)-ROW(INDEX(nINT_CaseKey,1,1))+1)/((nINT_CaseKey=$H$4)*(nINT_RowEmpty=0)),AG127),0),IFERROR(_xlfn.AGGREGATE(15,6,(ROW(nQ1_CaseKey)-ROW(INDEX(nQ1_CaseKey,1,1))+1)/((nQ1_CaseKey=$H$4)),AG127),0),IFERROR(_xlfn.AGGREGATE(15,6,(ROW(nQ2_CaseKey)-ROW(INDEX(nQ2_CaseKey,1,1))+1)/((nQ2_CaseKey=$H$4)),AG127),0),IFERROR(_xlfn.AGGREGATE(15,6,(ROW(nQ3_CaseKey)-ROW(INDEX(nQ3_CaseKey,1,1))+1)/((nQ3_CaseKey=$H$4)),AG127),0),IFERROR(_xlfn.AGGREGATE(15,6,(ROW(nQ4_CaseKey)-ROW(INDEX(nQ4_CaseKey,1,1))+1)/((nQ4_CaseKey=$H$4)),AG127),0),IFERROR(_xlfn.AGGREGATE(15,6,(ROW(nQ5_CaseKey)-ROW(INDEX(nQ5_CaseKey,1,1))+1)/((nQ5_CaseKey=$H$4)),AG127),0),IFERROR(_xlfn.AGGREGATE(15,6,(ROW(nQ6_CaseKey)-ROW(INDEX(nQ6_CaseKey,1,1))+1)/((nQ6_CaseKey=$H$4)),AG127),0),IFERROR(_xlfn.AGGREGATE(15,6,(ROW(nQ7_CaseKey)-ROW(INDEX(nQ7_CaseKey,1,1))+1)/((nQ7_CaseKey=$H$4)),AG127),0),IFERROR(_xlfn.AGGREGATE(15,6,(ROW(nQ8_CaseKey)-ROW(INDEX(nQ8_CaseKey,1,1))+1)/((nQ8_CaseKey=$H$4)),AG127),0),IFERROR(_xlfn.AGGREGATE(15,6,(ROW(nQ9_CaseKey)-ROW(INDEX(nQ9_CaseKey,1,1))+1)/((nQ9_CaseKey=$H$4)),AG127),0),IFERROR(_xlfn.AGGREGATE(15,6,(ROW(nQ10_CaseKey)-ROW(INDEX(nQ10_CaseKey,1,1))+1)/((nQ10_CaseKey=$H$4)),AG127),0),IFERROR(_xlfn.AGGREGATE(15,6,(ROW(nQ11_CaseKey)-ROW(INDEX(nQ11_CaseKey,1,1))+1)/((nQ11_CaseKey=$H$4)),AG127),0)))</f>
        <v>0</v>
      </c>
      <c r="AJ127" s="1" t="str">
        <f>IF($AF127=0,"",CHOOSE($AF127,INDEX(nINT_Case_ID,$AH127)&amp;"",INDEX(nQ1_Case_ID,$AH127)&amp;"",INDEX(nQ2_Case_ID,$AH127)&amp;"",INDEX(nQ3_Case_ID,$AH127)&amp;"",INDEX(nQ4_Case_ID,$AH127)&amp;"",INDEX(nQ5_Case_ID,$AH127)&amp;"",INDEX(nQ6_Case_ID,$AH127)&amp;"",INDEX(nQ7_Case_ID,$AH127)&amp;"",INDEX(nQ8_Case_ID,$AH127)&amp;"",INDEX(nQ9_Case_ID,$AH127)&amp;"",INDEX(nQ10_Case_ID,$AH127)&amp;"",INDEX(nQ11_Case_ID,$AH127)&amp;""))</f>
        <v/>
      </c>
      <c r="AK127" s="1" t="str">
        <f>IF($AF127=0,"",CHOOSE($AF127,INDEX(nINT_Case_Version,$AH127),INDEX(nQ1_Case_Version,$AH127),INDEX(nQ2_Case_Version,$AH127),INDEX(nQ3_Case_Version,$AH127),INDEX(nQ4_Case_Version,$AH127),INDEX(nQ5_Case_Version,$AH127),INDEX(nQ6_Case_Version,$AH127),INDEX(nQ7_Case_Version,$AH127),INDEX(nQ8_Case_Version,$AH127),INDEX(nQ9_Case_Version,$AH127),INDEX(nQ10_Case_Version,$AH127),INDEX(nQ11_Case_Version,$AH127)))</f>
        <v/>
      </c>
      <c r="AL127" s="1" t="str">
        <f>IF($AF127=0,"",CHOOSE($AF127,INDEX(nINT_Interval_ID,$AH127)&amp;"",INDEX(nQ1_Calc_ID,$AH127)&amp;"",INDEX(nQ2_Calc_ID,$AH127)&amp;"",INDEX(nQ3_Calc_ID,$AH127)&amp;"",INDEX(nQ4_Calc_ID,$AH127)&amp;"",INDEX(nQ5_Calc_ID,$AH127)&amp;"",INDEX(nQ6_Calc_ID,$AH127)&amp;"",INDEX(nQ7_Calc_ID,$AH127)&amp;"",INDEX(nQ8_Calc_ID,$AH127)&amp;"",INDEX(nQ9_Calc_ID,$AH127)&amp;"",INDEX(nQ10_Calc_ID,$AH127)&amp;"",INDEX(nQ11_Calc_ID,$AH127)&amp;""))</f>
        <v/>
      </c>
      <c r="AM127" s="1" t="str">
        <f>IF($AF127=0,"",CHOOSE($AF127,INDEX(nINT_Label,$AH127)&amp;"",INDEX(nQ1_Label_Out,$AH127)&amp;"",INDEX(nQ2_Label_Out,$AH127)&amp;"",INDEX(nQ3_Label_Out,$AH127)&amp;"",INDEX(nQ4_Label_Out,$AH127)&amp;"",INDEX(nQ5_Label_Out,$AH127)&amp;"",INDEX(nQ6_Label_Out,$AH127)&amp;"",INDEX(nQ7_Label_Out,$AH127)&amp;"",INDEX(nQ8_Label_Out,$AH127)&amp;"",INDEX(nQ9_Label_Out,$AH127)&amp;"",INDEX(nQ10_Label_Out,$AH127)&amp;"",INDEX(nQ11_Label_Out,$AH127)&amp;""))</f>
        <v/>
      </c>
      <c r="AN127" s="1" t="str">
        <f>IF($AF127=0,"",CHOOSE($AF127,IF(INDEX(nINT_LinkRow,$AH127)=0,"",INDEX(nINT_Link_ID,$AH127)&amp;""),"","","","","","","","","","",""))</f>
        <v/>
      </c>
      <c r="AO127" s="1" t="str">
        <f>IF($AF127=0,"",CHOOSE($AF127,INDEX(nINT_Exposure_Episode_ID,$AH127)&amp;"","","","","","","","","","","",""))</f>
        <v/>
      </c>
      <c r="AP127" s="1" t="str">
        <f>IF($AF127=0,"",CHOOSE($AF127,INDEX(nINT_Event_Episode_ID,$AH127)&amp;"","","","","","","","","","","",""))</f>
        <v/>
      </c>
      <c r="AQ127" s="1" t="str">
        <f>IF($AF127=0,"",CHOOSE($AF127,INDEX(nINT_End_Record_ID_Used,$AH127)&amp;"","","","","","","","","","","",""))</f>
        <v/>
      </c>
      <c r="AR127" s="1" t="str">
        <f>IF($AF127=0,"",CHOOSE($AF127,INDEX(nINT_Interval_Value,$AH127),"","","","","","","","","","",""))</f>
        <v/>
      </c>
      <c r="AS127" s="1" t="str">
        <f>IF($AF127=0,"",CHOOSE($AF127,INDEX(nINT_Interval_Minimum,$AH127),"","","","","","","","","","",""))</f>
        <v/>
      </c>
      <c r="AT127" s="1" t="str">
        <f>IF($AF127=0,"",CHOOSE($AF127,INDEX(nINT_Interval_Maximum,$AH127),"","","","","","","","","","",""))</f>
        <v/>
      </c>
      <c r="AU127" s="1" t="str">
        <f>IF($AF127=0,"",CHOOSE($AF127,INDEX(nINT_Unit,$AH127)&amp;"",INDEX(nQ1_Unit_Out,$AH127)&amp;"",INDEX(nQ2_Unit_Out,$AH127)&amp;"",INDEX(nQ3_Unit_Out,$AH127)&amp;"",INDEX(nQ4_Unit_Out,$AH127)&amp;"",INDEX(nQ5_Unit_Out,$AH127)&amp;"",INDEX(nQ6_Unit_Out,$AH127)&amp;"",INDEX(nQ7_Unit_Out,$AH127)&amp;"",INDEX(nQ8_Unit_Out,$AH127)&amp;"",INDEX(nQ9_Unit_Out,$AH127)&amp;"",INDEX(nQ10_Unit_Out,$AH127)&amp;"",INDEX(nQ11_Unit_Out,$AH127)&amp;""))</f>
        <v/>
      </c>
      <c r="AV127" s="1" t="str">
        <f>IF($AF127=0,"",CHOOSE($AF127,INDEX(nINT_Displayed_Value,$AH127)&amp;"",INDEX(nQ1_Displayed_Value,$AH127)&amp;"",INDEX(nQ2_Displayed_Value,$AH127)&amp;"",INDEX(nQ3_Displayed_Value,$AH127)&amp;"",INDEX(nQ4_Displayed_Value,$AH127)&amp;"",INDEX(nQ5_Displayed_Value,$AH127)&amp;"",INDEX(nQ6_Displayed_Value,$AH127)&amp;"",INDEX(nQ7_Displayed_Value,$AH127)&amp;"",INDEX(nQ8_Displayed_Value,$AH127)&amp;"",INDEX(nQ9_Displayed_Value,$AH127)&amp;"",INDEX(nQ10_Displayed_Value,$AH127)&amp;"",INDEX(nQ11_Displayed_Value,$AH127)&amp;""))</f>
        <v/>
      </c>
      <c r="AW127" s="1" t="str">
        <f>IF($AF127=0,"",CHOOSE($AF127,INDEX(nINT_Calculation_Mode_Used,$AH127)&amp;"","Q1","Q2","Q3","Q4","Q5","Q6","Q7","Q8","Q9","Q10","Q11"))</f>
        <v/>
      </c>
      <c r="AX127" s="1" t="str">
        <f>IF($AF127=0,"",CHOOSE($AF127,INDEX(nINT_Anchor_Type,$AH127)&amp;"","","","","","","","","","","",""))</f>
        <v/>
      </c>
      <c r="AY127" s="1" t="str">
        <f>IF($AF127=0,"",CHOOSE($AF127,IF(INDEX(nINT_K_Ok,$AH127)=1,INDEX(nINT_Anchor_Record_ID_Used,$AH127)&amp;"",""),"","","","","","","","","","",""))</f>
        <v/>
      </c>
      <c r="AZ127" s="1" t="str">
        <f>IF($AF127=0,"",CHOOSE($AF127,INDEX(nINT_Anchor_Description,$AH127)&amp;"","","","","","","","","","","",""))</f>
        <v/>
      </c>
      <c r="BA127" s="1" t="str">
        <f>IF($AF127=0,"",CHOOSE($AF127,INDEX(nINT_Sequence_Status,$AH127)&amp;"","","","","","","","","","","",""))</f>
        <v/>
      </c>
      <c r="BB127" s="1" t="str">
        <f>IF($AF127=0,"",CHOOSE($AF127,INDEX(nINT_Treatment_Day,$AH127),"","","","","","","","","","",""))</f>
        <v/>
      </c>
      <c r="BC127" s="1" t="str">
        <f>IF($AF127=0,"",CHOOSE($AF127,INDEX(nINT_Reported_Timing_Result,$AH127)&amp;"","","","","","","","","","","",""))</f>
        <v/>
      </c>
      <c r="BD127" s="1" t="str">
        <f>IF($AF127=0,"",CHOOSE($AF127,IF(INDEX(nINT_K_HasC,$AH127)=1,INDEX(nINT_Constraint_Source,$AH127)&amp;"",""),"","","","","","","","","","",""))</f>
        <v/>
      </c>
      <c r="BE127" s="1" t="str">
        <f>IF($AF127=0,"",CHOOSE($AF127,"",INDEX(nQ1_Results_Text,$AH127)&amp;"",INDEX(nQ2_Results_Text,$AH127)&amp;"",INDEX(nQ3_Results_Text,$AH127)&amp;"",INDEX(nQ4_Results_Text,$AH127)&amp;"",INDEX(nQ5_Results_Text,$AH127)&amp;"",INDEX(nQ6_Results_Text,$AH127)&amp;"",INDEX(nQ7_Results_Text,$AH127)&amp;"",INDEX(nQ8_Results_Text,$AH127)&amp;"",INDEX(nQ9_Results_Text,$AH127)&amp;"",INDEX(nQ10_Results_Text,$AH127)&amp;"",INDEX(nQ11_Results_Text,$AH127)&amp;""))</f>
        <v/>
      </c>
      <c r="BF127" s="1" t="str">
        <f>IF($AF127=0,"",CHOOSE($AF127,INDEX(nINT_Parameter_Set,$AH127)&amp;"",INDEX(nQ1_Parameter_Set,$AH127)&amp;"",INDEX(nQ2_Parameter_Set,$AH127)&amp;"",INDEX(nQ3_Parameter_Set,$AH127)&amp;"",INDEX(nQ4_Parameter_Set,$AH127)&amp;"",INDEX(nQ5_Parameter_Set,$AH127)&amp;"",INDEX(nQ6_Parameter_Set,$AH127)&amp;"",INDEX(nQ7_Parameter_Set,$AH127)&amp;"",INDEX(nQ8_Parameter_Set,$AH127)&amp;"",INDEX(nQ9_Parameter_Set,$AH127)&amp;"",INDEX(nQ10_Parameter_Set,$AH127)&amp;"",INDEX(nQ11_Parameter_Set,$AH127)&amp;""))</f>
        <v/>
      </c>
      <c r="BG127" s="1" t="str">
        <f>IF($AF127=0,"",CHOOSE($AF127,INDEX(nINT_Assumptions,$AH127)&amp;"",INDEX(nQ1_Assumptions,$AH127)&amp;"",INDEX(nQ2_Assumptions,$AH127)&amp;"",INDEX(nQ3_Assumptions,$AH127)&amp;"",INDEX(nQ4_Assumptions,$AH127)&amp;"",INDEX(nQ5_Assumptions,$AH127)&amp;"",INDEX(nQ6_Assumptions,$AH127)&amp;"",INDEX(nQ7_Assumptions,$AH127)&amp;"",INDEX(nQ8_Assumptions,$AH127)&amp;"",INDEX(nQ9_Assumptions,$AH127)&amp;"",INDEX(nQ10_Assumptions,$AH127)&amp;"",INDEX(nQ11_Assumptions,$AH127)&amp;""))</f>
        <v/>
      </c>
      <c r="BH127" s="1" t="str">
        <f>IF($AF127=0,"",CHOOSE($AF127,INDEX(nINT_Calculation_Version,$AH127)&amp;"",INDEX(nQ1_Calculation_Version,$AH127)&amp;"",INDEX(nQ2_Calculation_Version,$AH127)&amp;"",INDEX(nQ3_Calculation_Version,$AH127)&amp;"",INDEX(nQ4_Calculation_Version,$AH127)&amp;"",INDEX(nQ5_Calculation_Version,$AH127)&amp;"",INDEX(nQ6_Calculation_Version,$AH127)&amp;"",INDEX(nQ7_Calculation_Version,$AH127)&amp;"",INDEX(nQ8_Calculation_Version,$AH127)&amp;"",INDEX(nQ9_Calculation_Version,$AH127)&amp;"",INDEX(nQ10_Calculation_Version,$AH127)&amp;"",INDEX(nQ11_Calculation_Version,$AH127)&amp;""))</f>
        <v/>
      </c>
      <c r="BI127" s="1" t="str">
        <f>IF($AF127=0,"",CHOOSE($AF127,INDEX(nINT_QC_Flags,$AH127)&amp;"",INDEX(nQ1_QC_Flags,$AH127)&amp;"",INDEX(nQ2_QC_Flags,$AH127)&amp;"",INDEX(nQ3_QC_Flags,$AH127)&amp;"",INDEX(nQ4_QC_Flags,$AH127)&amp;"",INDEX(nQ5_QC_Flags,$AH127)&amp;"",INDEX(nQ6_QC_Flags,$AH127)&amp;"",INDEX(nQ7_QC_Flags,$AH127)&amp;"",INDEX(nQ8_QC_Flags,$AH127)&amp;"",INDEX(nQ9_QC_Flags,$AH127)&amp;"",INDEX(nQ10_QC_Flags,$AH127)&amp;"",INDEX(nQ11_QC_Flags,$AH127)&amp;""))</f>
        <v/>
      </c>
      <c r="BJ127" s="1" t="str">
        <f>IF($AF127=0,"",CHOOSE($AF127,INDEX(nINT_Messages,$AH127)&amp;"",INDEX(nQ1_Messages,$AH127)&amp;"",INDEX(nQ2_Messages,$AH127)&amp;"",INDEX(nQ3_Messages,$AH127)&amp;"",INDEX(nQ4_Messages,$AH127)&amp;"",INDEX(nQ5_Messages,$AH127)&amp;"",INDEX(nQ6_Messages,$AH127)&amp;"",INDEX(nQ7_Messages,$AH127)&amp;"",INDEX(nQ8_Messages,$AH127)&amp;"",INDEX(nQ9_Messages,$AH127)&amp;"",INDEX(nQ10_Messages,$AH127)&amp;"",INDEX(nQ11_Messages,$AH127)&amp;""))</f>
        <v/>
      </c>
      <c r="BK127" s="1" t="str">
        <f>IF($AF127=0,"",CHOOSE($AF127,INDEX(nINT_Limitations,$AH127)&amp;"",INDEX(nQ1_Mandatory_Text,$AH127)&amp;"",INDEX(nQ2_Mandatory_Text,$AH127)&amp;"",INDEX(nQ3_Mandatory_Text,$AH127)&amp;"",INDEX(nQ4_Mandatory_Text,$AH127)&amp;"",INDEX(nQ5_Mandatory_Text,$AH127)&amp;"",INDEX(nQ6_Mandatory_Text,$AH127)&amp;"",INDEX(nQ7_Mandatory_Text,$AH127)&amp;"",INDEX(nQ8_Mandatory_Text,$AH127)&amp;"",INDEX(nQ9_Mandatory_Text,$AH127)&amp;"",INDEX(nQ10_Mandatory_Text,$AH127)&amp;"",INDEX(nQ11_Mandatory_Text,$AH127)&amp;""))</f>
        <v/>
      </c>
      <c r="BL127" s="1" t="str">
        <f t="shared" si="68"/>
        <v/>
      </c>
      <c r="BM127" s="1" t="str">
        <f t="shared" si="69"/>
        <v/>
      </c>
    </row>
    <row r="128" spans="1:65" x14ac:dyDescent="0.2">
      <c r="A128" s="21" t="str">
        <f t="shared" si="35"/>
        <v/>
      </c>
      <c r="B128" s="21" t="str">
        <f t="shared" si="36"/>
        <v/>
      </c>
      <c r="C128" s="21" t="str">
        <f t="shared" si="37"/>
        <v/>
      </c>
      <c r="D128" s="21" t="str">
        <f t="shared" si="38"/>
        <v/>
      </c>
      <c r="E128" s="21" t="str">
        <f t="shared" si="39"/>
        <v/>
      </c>
      <c r="F128" s="21" t="str">
        <f t="shared" si="40"/>
        <v/>
      </c>
      <c r="G128" s="21" t="str">
        <f t="shared" si="41"/>
        <v/>
      </c>
      <c r="H128" s="21" t="str">
        <f t="shared" si="42"/>
        <v/>
      </c>
      <c r="I128" s="21" t="str">
        <f t="shared" si="43"/>
        <v/>
      </c>
      <c r="J128" s="21" t="str">
        <f t="shared" si="44"/>
        <v/>
      </c>
      <c r="K128" s="21" t="str">
        <f t="shared" si="45"/>
        <v/>
      </c>
      <c r="L128" s="21" t="str">
        <f t="shared" si="46"/>
        <v/>
      </c>
      <c r="M128" s="21" t="str">
        <f t="shared" si="47"/>
        <v/>
      </c>
      <c r="N128" s="21" t="str">
        <f t="shared" si="48"/>
        <v/>
      </c>
      <c r="O128" s="21" t="str">
        <f t="shared" si="49"/>
        <v/>
      </c>
      <c r="P128" s="21" t="str">
        <f t="shared" si="50"/>
        <v/>
      </c>
      <c r="Q128" s="21" t="str">
        <f t="shared" si="51"/>
        <v/>
      </c>
      <c r="R128" s="21" t="str">
        <f t="shared" si="52"/>
        <v/>
      </c>
      <c r="S128" s="21" t="str">
        <f t="shared" si="53"/>
        <v/>
      </c>
      <c r="T128" s="21" t="str">
        <f t="shared" si="54"/>
        <v/>
      </c>
      <c r="U128" s="21" t="str">
        <f t="shared" si="55"/>
        <v/>
      </c>
      <c r="V128" s="21" t="str">
        <f t="shared" si="56"/>
        <v/>
      </c>
      <c r="W128" s="21" t="str">
        <f t="shared" si="57"/>
        <v/>
      </c>
      <c r="X128" s="21" t="str">
        <f t="shared" si="58"/>
        <v/>
      </c>
      <c r="Y128" s="21" t="str">
        <f t="shared" si="59"/>
        <v/>
      </c>
      <c r="Z128" s="21" t="str">
        <f t="shared" si="60"/>
        <v/>
      </c>
      <c r="AA128" s="21" t="str">
        <f t="shared" si="61"/>
        <v/>
      </c>
      <c r="AB128" s="21" t="str">
        <f t="shared" si="62"/>
        <v/>
      </c>
      <c r="AC128" s="21" t="str">
        <f t="shared" si="63"/>
        <v/>
      </c>
      <c r="AD128" s="21" t="str">
        <f t="shared" si="64"/>
        <v/>
      </c>
      <c r="AE128" s="1">
        <f t="shared" si="65"/>
        <v>121</v>
      </c>
      <c r="AF128" s="1">
        <f t="shared" si="66"/>
        <v>0</v>
      </c>
      <c r="AG128" s="1">
        <f t="shared" si="67"/>
        <v>0</v>
      </c>
      <c r="AH128" s="1">
        <f>IF(AF128=0,0,CHOOSE(AF128,IFERROR(_xlfn.AGGREGATE(15,6,(ROW(nINT_CaseKey)-ROW(INDEX(nINT_CaseKey,1,1))+1)/((nINT_CaseKey=$H$4)*(nINT_RowEmpty=0)),AG128),0),IFERROR(_xlfn.AGGREGATE(15,6,(ROW(nQ1_CaseKey)-ROW(INDEX(nQ1_CaseKey,1,1))+1)/((nQ1_CaseKey=$H$4)),AG128),0),IFERROR(_xlfn.AGGREGATE(15,6,(ROW(nQ2_CaseKey)-ROW(INDEX(nQ2_CaseKey,1,1))+1)/((nQ2_CaseKey=$H$4)),AG128),0),IFERROR(_xlfn.AGGREGATE(15,6,(ROW(nQ3_CaseKey)-ROW(INDEX(nQ3_CaseKey,1,1))+1)/((nQ3_CaseKey=$H$4)),AG128),0),IFERROR(_xlfn.AGGREGATE(15,6,(ROW(nQ4_CaseKey)-ROW(INDEX(nQ4_CaseKey,1,1))+1)/((nQ4_CaseKey=$H$4)),AG128),0),IFERROR(_xlfn.AGGREGATE(15,6,(ROW(nQ5_CaseKey)-ROW(INDEX(nQ5_CaseKey,1,1))+1)/((nQ5_CaseKey=$H$4)),AG128),0),IFERROR(_xlfn.AGGREGATE(15,6,(ROW(nQ6_CaseKey)-ROW(INDEX(nQ6_CaseKey,1,1))+1)/((nQ6_CaseKey=$H$4)),AG128),0),IFERROR(_xlfn.AGGREGATE(15,6,(ROW(nQ7_CaseKey)-ROW(INDEX(nQ7_CaseKey,1,1))+1)/((nQ7_CaseKey=$H$4)),AG128),0),IFERROR(_xlfn.AGGREGATE(15,6,(ROW(nQ8_CaseKey)-ROW(INDEX(nQ8_CaseKey,1,1))+1)/((nQ8_CaseKey=$H$4)),AG128),0),IFERROR(_xlfn.AGGREGATE(15,6,(ROW(nQ9_CaseKey)-ROW(INDEX(nQ9_CaseKey,1,1))+1)/((nQ9_CaseKey=$H$4)),AG128),0),IFERROR(_xlfn.AGGREGATE(15,6,(ROW(nQ10_CaseKey)-ROW(INDEX(nQ10_CaseKey,1,1))+1)/((nQ10_CaseKey=$H$4)),AG128),0),IFERROR(_xlfn.AGGREGATE(15,6,(ROW(nQ11_CaseKey)-ROW(INDEX(nQ11_CaseKey,1,1))+1)/((nQ11_CaseKey=$H$4)),AG128),0)))</f>
        <v>0</v>
      </c>
      <c r="AJ128" s="1" t="str">
        <f>IF($AF128=0,"",CHOOSE($AF128,INDEX(nINT_Case_ID,$AH128)&amp;"",INDEX(nQ1_Case_ID,$AH128)&amp;"",INDEX(nQ2_Case_ID,$AH128)&amp;"",INDEX(nQ3_Case_ID,$AH128)&amp;"",INDEX(nQ4_Case_ID,$AH128)&amp;"",INDEX(nQ5_Case_ID,$AH128)&amp;"",INDEX(nQ6_Case_ID,$AH128)&amp;"",INDEX(nQ7_Case_ID,$AH128)&amp;"",INDEX(nQ8_Case_ID,$AH128)&amp;"",INDEX(nQ9_Case_ID,$AH128)&amp;"",INDEX(nQ10_Case_ID,$AH128)&amp;"",INDEX(nQ11_Case_ID,$AH128)&amp;""))</f>
        <v/>
      </c>
      <c r="AK128" s="1" t="str">
        <f>IF($AF128=0,"",CHOOSE($AF128,INDEX(nINT_Case_Version,$AH128),INDEX(nQ1_Case_Version,$AH128),INDEX(nQ2_Case_Version,$AH128),INDEX(nQ3_Case_Version,$AH128),INDEX(nQ4_Case_Version,$AH128),INDEX(nQ5_Case_Version,$AH128),INDEX(nQ6_Case_Version,$AH128),INDEX(nQ7_Case_Version,$AH128),INDEX(nQ8_Case_Version,$AH128),INDEX(nQ9_Case_Version,$AH128),INDEX(nQ10_Case_Version,$AH128),INDEX(nQ11_Case_Version,$AH128)))</f>
        <v/>
      </c>
      <c r="AL128" s="1" t="str">
        <f>IF($AF128=0,"",CHOOSE($AF128,INDEX(nINT_Interval_ID,$AH128)&amp;"",INDEX(nQ1_Calc_ID,$AH128)&amp;"",INDEX(nQ2_Calc_ID,$AH128)&amp;"",INDEX(nQ3_Calc_ID,$AH128)&amp;"",INDEX(nQ4_Calc_ID,$AH128)&amp;"",INDEX(nQ5_Calc_ID,$AH128)&amp;"",INDEX(nQ6_Calc_ID,$AH128)&amp;"",INDEX(nQ7_Calc_ID,$AH128)&amp;"",INDEX(nQ8_Calc_ID,$AH128)&amp;"",INDEX(nQ9_Calc_ID,$AH128)&amp;"",INDEX(nQ10_Calc_ID,$AH128)&amp;"",INDEX(nQ11_Calc_ID,$AH128)&amp;""))</f>
        <v/>
      </c>
      <c r="AM128" s="1" t="str">
        <f>IF($AF128=0,"",CHOOSE($AF128,INDEX(nINT_Label,$AH128)&amp;"",INDEX(nQ1_Label_Out,$AH128)&amp;"",INDEX(nQ2_Label_Out,$AH128)&amp;"",INDEX(nQ3_Label_Out,$AH128)&amp;"",INDEX(nQ4_Label_Out,$AH128)&amp;"",INDEX(nQ5_Label_Out,$AH128)&amp;"",INDEX(nQ6_Label_Out,$AH128)&amp;"",INDEX(nQ7_Label_Out,$AH128)&amp;"",INDEX(nQ8_Label_Out,$AH128)&amp;"",INDEX(nQ9_Label_Out,$AH128)&amp;"",INDEX(nQ10_Label_Out,$AH128)&amp;"",INDEX(nQ11_Label_Out,$AH128)&amp;""))</f>
        <v/>
      </c>
      <c r="AN128" s="1" t="str">
        <f>IF($AF128=0,"",CHOOSE($AF128,IF(INDEX(nINT_LinkRow,$AH128)=0,"",INDEX(nINT_Link_ID,$AH128)&amp;""),"","","","","","","","","","",""))</f>
        <v/>
      </c>
      <c r="AO128" s="1" t="str">
        <f>IF($AF128=0,"",CHOOSE($AF128,INDEX(nINT_Exposure_Episode_ID,$AH128)&amp;"","","","","","","","","","","",""))</f>
        <v/>
      </c>
      <c r="AP128" s="1" t="str">
        <f>IF($AF128=0,"",CHOOSE($AF128,INDEX(nINT_Event_Episode_ID,$AH128)&amp;"","","","","","","","","","","",""))</f>
        <v/>
      </c>
      <c r="AQ128" s="1" t="str">
        <f>IF($AF128=0,"",CHOOSE($AF128,INDEX(nINT_End_Record_ID_Used,$AH128)&amp;"","","","","","","","","","","",""))</f>
        <v/>
      </c>
      <c r="AR128" s="1" t="str">
        <f>IF($AF128=0,"",CHOOSE($AF128,INDEX(nINT_Interval_Value,$AH128),"","","","","","","","","","",""))</f>
        <v/>
      </c>
      <c r="AS128" s="1" t="str">
        <f>IF($AF128=0,"",CHOOSE($AF128,INDEX(nINT_Interval_Minimum,$AH128),"","","","","","","","","","",""))</f>
        <v/>
      </c>
      <c r="AT128" s="1" t="str">
        <f>IF($AF128=0,"",CHOOSE($AF128,INDEX(nINT_Interval_Maximum,$AH128),"","","","","","","","","","",""))</f>
        <v/>
      </c>
      <c r="AU128" s="1" t="str">
        <f>IF($AF128=0,"",CHOOSE($AF128,INDEX(nINT_Unit,$AH128)&amp;"",INDEX(nQ1_Unit_Out,$AH128)&amp;"",INDEX(nQ2_Unit_Out,$AH128)&amp;"",INDEX(nQ3_Unit_Out,$AH128)&amp;"",INDEX(nQ4_Unit_Out,$AH128)&amp;"",INDEX(nQ5_Unit_Out,$AH128)&amp;"",INDEX(nQ6_Unit_Out,$AH128)&amp;"",INDEX(nQ7_Unit_Out,$AH128)&amp;"",INDEX(nQ8_Unit_Out,$AH128)&amp;"",INDEX(nQ9_Unit_Out,$AH128)&amp;"",INDEX(nQ10_Unit_Out,$AH128)&amp;"",INDEX(nQ11_Unit_Out,$AH128)&amp;""))</f>
        <v/>
      </c>
      <c r="AV128" s="1" t="str">
        <f>IF($AF128=0,"",CHOOSE($AF128,INDEX(nINT_Displayed_Value,$AH128)&amp;"",INDEX(nQ1_Displayed_Value,$AH128)&amp;"",INDEX(nQ2_Displayed_Value,$AH128)&amp;"",INDEX(nQ3_Displayed_Value,$AH128)&amp;"",INDEX(nQ4_Displayed_Value,$AH128)&amp;"",INDEX(nQ5_Displayed_Value,$AH128)&amp;"",INDEX(nQ6_Displayed_Value,$AH128)&amp;"",INDEX(nQ7_Displayed_Value,$AH128)&amp;"",INDEX(nQ8_Displayed_Value,$AH128)&amp;"",INDEX(nQ9_Displayed_Value,$AH128)&amp;"",INDEX(nQ10_Displayed_Value,$AH128)&amp;"",INDEX(nQ11_Displayed_Value,$AH128)&amp;""))</f>
        <v/>
      </c>
      <c r="AW128" s="1" t="str">
        <f>IF($AF128=0,"",CHOOSE($AF128,INDEX(nINT_Calculation_Mode_Used,$AH128)&amp;"","Q1","Q2","Q3","Q4","Q5","Q6","Q7","Q8","Q9","Q10","Q11"))</f>
        <v/>
      </c>
      <c r="AX128" s="1" t="str">
        <f>IF($AF128=0,"",CHOOSE($AF128,INDEX(nINT_Anchor_Type,$AH128)&amp;"","","","","","","","","","","",""))</f>
        <v/>
      </c>
      <c r="AY128" s="1" t="str">
        <f>IF($AF128=0,"",CHOOSE($AF128,IF(INDEX(nINT_K_Ok,$AH128)=1,INDEX(nINT_Anchor_Record_ID_Used,$AH128)&amp;"",""),"","","","","","","","","","",""))</f>
        <v/>
      </c>
      <c r="AZ128" s="1" t="str">
        <f>IF($AF128=0,"",CHOOSE($AF128,INDEX(nINT_Anchor_Description,$AH128)&amp;"","","","","","","","","","","",""))</f>
        <v/>
      </c>
      <c r="BA128" s="1" t="str">
        <f>IF($AF128=0,"",CHOOSE($AF128,INDEX(nINT_Sequence_Status,$AH128)&amp;"","","","","","","","","","","",""))</f>
        <v/>
      </c>
      <c r="BB128" s="1" t="str">
        <f>IF($AF128=0,"",CHOOSE($AF128,INDEX(nINT_Treatment_Day,$AH128),"","","","","","","","","","",""))</f>
        <v/>
      </c>
      <c r="BC128" s="1" t="str">
        <f>IF($AF128=0,"",CHOOSE($AF128,INDEX(nINT_Reported_Timing_Result,$AH128)&amp;"","","","","","","","","","","",""))</f>
        <v/>
      </c>
      <c r="BD128" s="1" t="str">
        <f>IF($AF128=0,"",CHOOSE($AF128,IF(INDEX(nINT_K_HasC,$AH128)=1,INDEX(nINT_Constraint_Source,$AH128)&amp;"",""),"","","","","","","","","","",""))</f>
        <v/>
      </c>
      <c r="BE128" s="1" t="str">
        <f>IF($AF128=0,"",CHOOSE($AF128,"",INDEX(nQ1_Results_Text,$AH128)&amp;"",INDEX(nQ2_Results_Text,$AH128)&amp;"",INDEX(nQ3_Results_Text,$AH128)&amp;"",INDEX(nQ4_Results_Text,$AH128)&amp;"",INDEX(nQ5_Results_Text,$AH128)&amp;"",INDEX(nQ6_Results_Text,$AH128)&amp;"",INDEX(nQ7_Results_Text,$AH128)&amp;"",INDEX(nQ8_Results_Text,$AH128)&amp;"",INDEX(nQ9_Results_Text,$AH128)&amp;"",INDEX(nQ10_Results_Text,$AH128)&amp;"",INDEX(nQ11_Results_Text,$AH128)&amp;""))</f>
        <v/>
      </c>
      <c r="BF128" s="1" t="str">
        <f>IF($AF128=0,"",CHOOSE($AF128,INDEX(nINT_Parameter_Set,$AH128)&amp;"",INDEX(nQ1_Parameter_Set,$AH128)&amp;"",INDEX(nQ2_Parameter_Set,$AH128)&amp;"",INDEX(nQ3_Parameter_Set,$AH128)&amp;"",INDEX(nQ4_Parameter_Set,$AH128)&amp;"",INDEX(nQ5_Parameter_Set,$AH128)&amp;"",INDEX(nQ6_Parameter_Set,$AH128)&amp;"",INDEX(nQ7_Parameter_Set,$AH128)&amp;"",INDEX(nQ8_Parameter_Set,$AH128)&amp;"",INDEX(nQ9_Parameter_Set,$AH128)&amp;"",INDEX(nQ10_Parameter_Set,$AH128)&amp;"",INDEX(nQ11_Parameter_Set,$AH128)&amp;""))</f>
        <v/>
      </c>
      <c r="BG128" s="1" t="str">
        <f>IF($AF128=0,"",CHOOSE($AF128,INDEX(nINT_Assumptions,$AH128)&amp;"",INDEX(nQ1_Assumptions,$AH128)&amp;"",INDEX(nQ2_Assumptions,$AH128)&amp;"",INDEX(nQ3_Assumptions,$AH128)&amp;"",INDEX(nQ4_Assumptions,$AH128)&amp;"",INDEX(nQ5_Assumptions,$AH128)&amp;"",INDEX(nQ6_Assumptions,$AH128)&amp;"",INDEX(nQ7_Assumptions,$AH128)&amp;"",INDEX(nQ8_Assumptions,$AH128)&amp;"",INDEX(nQ9_Assumptions,$AH128)&amp;"",INDEX(nQ10_Assumptions,$AH128)&amp;"",INDEX(nQ11_Assumptions,$AH128)&amp;""))</f>
        <v/>
      </c>
      <c r="BH128" s="1" t="str">
        <f>IF($AF128=0,"",CHOOSE($AF128,INDEX(nINT_Calculation_Version,$AH128)&amp;"",INDEX(nQ1_Calculation_Version,$AH128)&amp;"",INDEX(nQ2_Calculation_Version,$AH128)&amp;"",INDEX(nQ3_Calculation_Version,$AH128)&amp;"",INDEX(nQ4_Calculation_Version,$AH128)&amp;"",INDEX(nQ5_Calculation_Version,$AH128)&amp;"",INDEX(nQ6_Calculation_Version,$AH128)&amp;"",INDEX(nQ7_Calculation_Version,$AH128)&amp;"",INDEX(nQ8_Calculation_Version,$AH128)&amp;"",INDEX(nQ9_Calculation_Version,$AH128)&amp;"",INDEX(nQ10_Calculation_Version,$AH128)&amp;"",INDEX(nQ11_Calculation_Version,$AH128)&amp;""))</f>
        <v/>
      </c>
      <c r="BI128" s="1" t="str">
        <f>IF($AF128=0,"",CHOOSE($AF128,INDEX(nINT_QC_Flags,$AH128)&amp;"",INDEX(nQ1_QC_Flags,$AH128)&amp;"",INDEX(nQ2_QC_Flags,$AH128)&amp;"",INDEX(nQ3_QC_Flags,$AH128)&amp;"",INDEX(nQ4_QC_Flags,$AH128)&amp;"",INDEX(nQ5_QC_Flags,$AH128)&amp;"",INDEX(nQ6_QC_Flags,$AH128)&amp;"",INDEX(nQ7_QC_Flags,$AH128)&amp;"",INDEX(nQ8_QC_Flags,$AH128)&amp;"",INDEX(nQ9_QC_Flags,$AH128)&amp;"",INDEX(nQ10_QC_Flags,$AH128)&amp;"",INDEX(nQ11_QC_Flags,$AH128)&amp;""))</f>
        <v/>
      </c>
      <c r="BJ128" s="1" t="str">
        <f>IF($AF128=0,"",CHOOSE($AF128,INDEX(nINT_Messages,$AH128)&amp;"",INDEX(nQ1_Messages,$AH128)&amp;"",INDEX(nQ2_Messages,$AH128)&amp;"",INDEX(nQ3_Messages,$AH128)&amp;"",INDEX(nQ4_Messages,$AH128)&amp;"",INDEX(nQ5_Messages,$AH128)&amp;"",INDEX(nQ6_Messages,$AH128)&amp;"",INDEX(nQ7_Messages,$AH128)&amp;"",INDEX(nQ8_Messages,$AH128)&amp;"",INDEX(nQ9_Messages,$AH128)&amp;"",INDEX(nQ10_Messages,$AH128)&amp;"",INDEX(nQ11_Messages,$AH128)&amp;""))</f>
        <v/>
      </c>
      <c r="BK128" s="1" t="str">
        <f>IF($AF128=0,"",CHOOSE($AF128,INDEX(nINT_Limitations,$AH128)&amp;"",INDEX(nQ1_Mandatory_Text,$AH128)&amp;"",INDEX(nQ2_Mandatory_Text,$AH128)&amp;"",INDEX(nQ3_Mandatory_Text,$AH128)&amp;"",INDEX(nQ4_Mandatory_Text,$AH128)&amp;"",INDEX(nQ5_Mandatory_Text,$AH128)&amp;"",INDEX(nQ6_Mandatory_Text,$AH128)&amp;"",INDEX(nQ7_Mandatory_Text,$AH128)&amp;"",INDEX(nQ8_Mandatory_Text,$AH128)&amp;"",INDEX(nQ9_Mandatory_Text,$AH128)&amp;"",INDEX(nQ10_Mandatory_Text,$AH128)&amp;"",INDEX(nQ11_Mandatory_Text,$AH128)&amp;""))</f>
        <v/>
      </c>
      <c r="BL128" s="1" t="str">
        <f t="shared" si="68"/>
        <v/>
      </c>
      <c r="BM128" s="1" t="str">
        <f t="shared" si="69"/>
        <v/>
      </c>
    </row>
    <row r="129" spans="1:65" x14ac:dyDescent="0.2">
      <c r="A129" s="21" t="str">
        <f t="shared" si="35"/>
        <v/>
      </c>
      <c r="B129" s="21" t="str">
        <f t="shared" si="36"/>
        <v/>
      </c>
      <c r="C129" s="21" t="str">
        <f t="shared" si="37"/>
        <v/>
      </c>
      <c r="D129" s="21" t="str">
        <f t="shared" si="38"/>
        <v/>
      </c>
      <c r="E129" s="21" t="str">
        <f t="shared" si="39"/>
        <v/>
      </c>
      <c r="F129" s="21" t="str">
        <f t="shared" si="40"/>
        <v/>
      </c>
      <c r="G129" s="21" t="str">
        <f t="shared" si="41"/>
        <v/>
      </c>
      <c r="H129" s="21" t="str">
        <f t="shared" si="42"/>
        <v/>
      </c>
      <c r="I129" s="21" t="str">
        <f t="shared" si="43"/>
        <v/>
      </c>
      <c r="J129" s="21" t="str">
        <f t="shared" si="44"/>
        <v/>
      </c>
      <c r="K129" s="21" t="str">
        <f t="shared" si="45"/>
        <v/>
      </c>
      <c r="L129" s="21" t="str">
        <f t="shared" si="46"/>
        <v/>
      </c>
      <c r="M129" s="21" t="str">
        <f t="shared" si="47"/>
        <v/>
      </c>
      <c r="N129" s="21" t="str">
        <f t="shared" si="48"/>
        <v/>
      </c>
      <c r="O129" s="21" t="str">
        <f t="shared" si="49"/>
        <v/>
      </c>
      <c r="P129" s="21" t="str">
        <f t="shared" si="50"/>
        <v/>
      </c>
      <c r="Q129" s="21" t="str">
        <f t="shared" si="51"/>
        <v/>
      </c>
      <c r="R129" s="21" t="str">
        <f t="shared" si="52"/>
        <v/>
      </c>
      <c r="S129" s="21" t="str">
        <f t="shared" si="53"/>
        <v/>
      </c>
      <c r="T129" s="21" t="str">
        <f t="shared" si="54"/>
        <v/>
      </c>
      <c r="U129" s="21" t="str">
        <f t="shared" si="55"/>
        <v/>
      </c>
      <c r="V129" s="21" t="str">
        <f t="shared" si="56"/>
        <v/>
      </c>
      <c r="W129" s="21" t="str">
        <f t="shared" si="57"/>
        <v/>
      </c>
      <c r="X129" s="21" t="str">
        <f t="shared" si="58"/>
        <v/>
      </c>
      <c r="Y129" s="21" t="str">
        <f t="shared" si="59"/>
        <v/>
      </c>
      <c r="Z129" s="21" t="str">
        <f t="shared" si="60"/>
        <v/>
      </c>
      <c r="AA129" s="21" t="str">
        <f t="shared" si="61"/>
        <v/>
      </c>
      <c r="AB129" s="21" t="str">
        <f t="shared" si="62"/>
        <v/>
      </c>
      <c r="AC129" s="21" t="str">
        <f t="shared" si="63"/>
        <v/>
      </c>
      <c r="AD129" s="21" t="str">
        <f t="shared" si="64"/>
        <v/>
      </c>
      <c r="AE129" s="1">
        <f t="shared" si="65"/>
        <v>122</v>
      </c>
      <c r="AF129" s="1">
        <f t="shared" si="66"/>
        <v>0</v>
      </c>
      <c r="AG129" s="1">
        <f t="shared" si="67"/>
        <v>0</v>
      </c>
      <c r="AH129" s="1">
        <f>IF(AF129=0,0,CHOOSE(AF129,IFERROR(_xlfn.AGGREGATE(15,6,(ROW(nINT_CaseKey)-ROW(INDEX(nINT_CaseKey,1,1))+1)/((nINT_CaseKey=$H$4)*(nINT_RowEmpty=0)),AG129),0),IFERROR(_xlfn.AGGREGATE(15,6,(ROW(nQ1_CaseKey)-ROW(INDEX(nQ1_CaseKey,1,1))+1)/((nQ1_CaseKey=$H$4)),AG129),0),IFERROR(_xlfn.AGGREGATE(15,6,(ROW(nQ2_CaseKey)-ROW(INDEX(nQ2_CaseKey,1,1))+1)/((nQ2_CaseKey=$H$4)),AG129),0),IFERROR(_xlfn.AGGREGATE(15,6,(ROW(nQ3_CaseKey)-ROW(INDEX(nQ3_CaseKey,1,1))+1)/((nQ3_CaseKey=$H$4)),AG129),0),IFERROR(_xlfn.AGGREGATE(15,6,(ROW(nQ4_CaseKey)-ROW(INDEX(nQ4_CaseKey,1,1))+1)/((nQ4_CaseKey=$H$4)),AG129),0),IFERROR(_xlfn.AGGREGATE(15,6,(ROW(nQ5_CaseKey)-ROW(INDEX(nQ5_CaseKey,1,1))+1)/((nQ5_CaseKey=$H$4)),AG129),0),IFERROR(_xlfn.AGGREGATE(15,6,(ROW(nQ6_CaseKey)-ROW(INDEX(nQ6_CaseKey,1,1))+1)/((nQ6_CaseKey=$H$4)),AG129),0),IFERROR(_xlfn.AGGREGATE(15,6,(ROW(nQ7_CaseKey)-ROW(INDEX(nQ7_CaseKey,1,1))+1)/((nQ7_CaseKey=$H$4)),AG129),0),IFERROR(_xlfn.AGGREGATE(15,6,(ROW(nQ8_CaseKey)-ROW(INDEX(nQ8_CaseKey,1,1))+1)/((nQ8_CaseKey=$H$4)),AG129),0),IFERROR(_xlfn.AGGREGATE(15,6,(ROW(nQ9_CaseKey)-ROW(INDEX(nQ9_CaseKey,1,1))+1)/((nQ9_CaseKey=$H$4)),AG129),0),IFERROR(_xlfn.AGGREGATE(15,6,(ROW(nQ10_CaseKey)-ROW(INDEX(nQ10_CaseKey,1,1))+1)/((nQ10_CaseKey=$H$4)),AG129),0),IFERROR(_xlfn.AGGREGATE(15,6,(ROW(nQ11_CaseKey)-ROW(INDEX(nQ11_CaseKey,1,1))+1)/((nQ11_CaseKey=$H$4)),AG129),0)))</f>
        <v>0</v>
      </c>
      <c r="AJ129" s="1" t="str">
        <f>IF($AF129=0,"",CHOOSE($AF129,INDEX(nINT_Case_ID,$AH129)&amp;"",INDEX(nQ1_Case_ID,$AH129)&amp;"",INDEX(nQ2_Case_ID,$AH129)&amp;"",INDEX(nQ3_Case_ID,$AH129)&amp;"",INDEX(nQ4_Case_ID,$AH129)&amp;"",INDEX(nQ5_Case_ID,$AH129)&amp;"",INDEX(nQ6_Case_ID,$AH129)&amp;"",INDEX(nQ7_Case_ID,$AH129)&amp;"",INDEX(nQ8_Case_ID,$AH129)&amp;"",INDEX(nQ9_Case_ID,$AH129)&amp;"",INDEX(nQ10_Case_ID,$AH129)&amp;"",INDEX(nQ11_Case_ID,$AH129)&amp;""))</f>
        <v/>
      </c>
      <c r="AK129" s="1" t="str">
        <f>IF($AF129=0,"",CHOOSE($AF129,INDEX(nINT_Case_Version,$AH129),INDEX(nQ1_Case_Version,$AH129),INDEX(nQ2_Case_Version,$AH129),INDEX(nQ3_Case_Version,$AH129),INDEX(nQ4_Case_Version,$AH129),INDEX(nQ5_Case_Version,$AH129),INDEX(nQ6_Case_Version,$AH129),INDEX(nQ7_Case_Version,$AH129),INDEX(nQ8_Case_Version,$AH129),INDEX(nQ9_Case_Version,$AH129),INDEX(nQ10_Case_Version,$AH129),INDEX(nQ11_Case_Version,$AH129)))</f>
        <v/>
      </c>
      <c r="AL129" s="1" t="str">
        <f>IF($AF129=0,"",CHOOSE($AF129,INDEX(nINT_Interval_ID,$AH129)&amp;"",INDEX(nQ1_Calc_ID,$AH129)&amp;"",INDEX(nQ2_Calc_ID,$AH129)&amp;"",INDEX(nQ3_Calc_ID,$AH129)&amp;"",INDEX(nQ4_Calc_ID,$AH129)&amp;"",INDEX(nQ5_Calc_ID,$AH129)&amp;"",INDEX(nQ6_Calc_ID,$AH129)&amp;"",INDEX(nQ7_Calc_ID,$AH129)&amp;"",INDEX(nQ8_Calc_ID,$AH129)&amp;"",INDEX(nQ9_Calc_ID,$AH129)&amp;"",INDEX(nQ10_Calc_ID,$AH129)&amp;"",INDEX(nQ11_Calc_ID,$AH129)&amp;""))</f>
        <v/>
      </c>
      <c r="AM129" s="1" t="str">
        <f>IF($AF129=0,"",CHOOSE($AF129,INDEX(nINT_Label,$AH129)&amp;"",INDEX(nQ1_Label_Out,$AH129)&amp;"",INDEX(nQ2_Label_Out,$AH129)&amp;"",INDEX(nQ3_Label_Out,$AH129)&amp;"",INDEX(nQ4_Label_Out,$AH129)&amp;"",INDEX(nQ5_Label_Out,$AH129)&amp;"",INDEX(nQ6_Label_Out,$AH129)&amp;"",INDEX(nQ7_Label_Out,$AH129)&amp;"",INDEX(nQ8_Label_Out,$AH129)&amp;"",INDEX(nQ9_Label_Out,$AH129)&amp;"",INDEX(nQ10_Label_Out,$AH129)&amp;"",INDEX(nQ11_Label_Out,$AH129)&amp;""))</f>
        <v/>
      </c>
      <c r="AN129" s="1" t="str">
        <f>IF($AF129=0,"",CHOOSE($AF129,IF(INDEX(nINT_LinkRow,$AH129)=0,"",INDEX(nINT_Link_ID,$AH129)&amp;""),"","","","","","","","","","",""))</f>
        <v/>
      </c>
      <c r="AO129" s="1" t="str">
        <f>IF($AF129=0,"",CHOOSE($AF129,INDEX(nINT_Exposure_Episode_ID,$AH129)&amp;"","","","","","","","","","","",""))</f>
        <v/>
      </c>
      <c r="AP129" s="1" t="str">
        <f>IF($AF129=0,"",CHOOSE($AF129,INDEX(nINT_Event_Episode_ID,$AH129)&amp;"","","","","","","","","","","",""))</f>
        <v/>
      </c>
      <c r="AQ129" s="1" t="str">
        <f>IF($AF129=0,"",CHOOSE($AF129,INDEX(nINT_End_Record_ID_Used,$AH129)&amp;"","","","","","","","","","","",""))</f>
        <v/>
      </c>
      <c r="AR129" s="1" t="str">
        <f>IF($AF129=0,"",CHOOSE($AF129,INDEX(nINT_Interval_Value,$AH129),"","","","","","","","","","",""))</f>
        <v/>
      </c>
      <c r="AS129" s="1" t="str">
        <f>IF($AF129=0,"",CHOOSE($AF129,INDEX(nINT_Interval_Minimum,$AH129),"","","","","","","","","","",""))</f>
        <v/>
      </c>
      <c r="AT129" s="1" t="str">
        <f>IF($AF129=0,"",CHOOSE($AF129,INDEX(nINT_Interval_Maximum,$AH129),"","","","","","","","","","",""))</f>
        <v/>
      </c>
      <c r="AU129" s="1" t="str">
        <f>IF($AF129=0,"",CHOOSE($AF129,INDEX(nINT_Unit,$AH129)&amp;"",INDEX(nQ1_Unit_Out,$AH129)&amp;"",INDEX(nQ2_Unit_Out,$AH129)&amp;"",INDEX(nQ3_Unit_Out,$AH129)&amp;"",INDEX(nQ4_Unit_Out,$AH129)&amp;"",INDEX(nQ5_Unit_Out,$AH129)&amp;"",INDEX(nQ6_Unit_Out,$AH129)&amp;"",INDEX(nQ7_Unit_Out,$AH129)&amp;"",INDEX(nQ8_Unit_Out,$AH129)&amp;"",INDEX(nQ9_Unit_Out,$AH129)&amp;"",INDEX(nQ10_Unit_Out,$AH129)&amp;"",INDEX(nQ11_Unit_Out,$AH129)&amp;""))</f>
        <v/>
      </c>
      <c r="AV129" s="1" t="str">
        <f>IF($AF129=0,"",CHOOSE($AF129,INDEX(nINT_Displayed_Value,$AH129)&amp;"",INDEX(nQ1_Displayed_Value,$AH129)&amp;"",INDEX(nQ2_Displayed_Value,$AH129)&amp;"",INDEX(nQ3_Displayed_Value,$AH129)&amp;"",INDEX(nQ4_Displayed_Value,$AH129)&amp;"",INDEX(nQ5_Displayed_Value,$AH129)&amp;"",INDEX(nQ6_Displayed_Value,$AH129)&amp;"",INDEX(nQ7_Displayed_Value,$AH129)&amp;"",INDEX(nQ8_Displayed_Value,$AH129)&amp;"",INDEX(nQ9_Displayed_Value,$AH129)&amp;"",INDEX(nQ10_Displayed_Value,$AH129)&amp;"",INDEX(nQ11_Displayed_Value,$AH129)&amp;""))</f>
        <v/>
      </c>
      <c r="AW129" s="1" t="str">
        <f>IF($AF129=0,"",CHOOSE($AF129,INDEX(nINT_Calculation_Mode_Used,$AH129)&amp;"","Q1","Q2","Q3","Q4","Q5","Q6","Q7","Q8","Q9","Q10","Q11"))</f>
        <v/>
      </c>
      <c r="AX129" s="1" t="str">
        <f>IF($AF129=0,"",CHOOSE($AF129,INDEX(nINT_Anchor_Type,$AH129)&amp;"","","","","","","","","","","",""))</f>
        <v/>
      </c>
      <c r="AY129" s="1" t="str">
        <f>IF($AF129=0,"",CHOOSE($AF129,IF(INDEX(nINT_K_Ok,$AH129)=1,INDEX(nINT_Anchor_Record_ID_Used,$AH129)&amp;"",""),"","","","","","","","","","",""))</f>
        <v/>
      </c>
      <c r="AZ129" s="1" t="str">
        <f>IF($AF129=0,"",CHOOSE($AF129,INDEX(nINT_Anchor_Description,$AH129)&amp;"","","","","","","","","","","",""))</f>
        <v/>
      </c>
      <c r="BA129" s="1" t="str">
        <f>IF($AF129=0,"",CHOOSE($AF129,INDEX(nINT_Sequence_Status,$AH129)&amp;"","","","","","","","","","","",""))</f>
        <v/>
      </c>
      <c r="BB129" s="1" t="str">
        <f>IF($AF129=0,"",CHOOSE($AF129,INDEX(nINT_Treatment_Day,$AH129),"","","","","","","","","","",""))</f>
        <v/>
      </c>
      <c r="BC129" s="1" t="str">
        <f>IF($AF129=0,"",CHOOSE($AF129,INDEX(nINT_Reported_Timing_Result,$AH129)&amp;"","","","","","","","","","","",""))</f>
        <v/>
      </c>
      <c r="BD129" s="1" t="str">
        <f>IF($AF129=0,"",CHOOSE($AF129,IF(INDEX(nINT_K_HasC,$AH129)=1,INDEX(nINT_Constraint_Source,$AH129)&amp;"",""),"","","","","","","","","","",""))</f>
        <v/>
      </c>
      <c r="BE129" s="1" t="str">
        <f>IF($AF129=0,"",CHOOSE($AF129,"",INDEX(nQ1_Results_Text,$AH129)&amp;"",INDEX(nQ2_Results_Text,$AH129)&amp;"",INDEX(nQ3_Results_Text,$AH129)&amp;"",INDEX(nQ4_Results_Text,$AH129)&amp;"",INDEX(nQ5_Results_Text,$AH129)&amp;"",INDEX(nQ6_Results_Text,$AH129)&amp;"",INDEX(nQ7_Results_Text,$AH129)&amp;"",INDEX(nQ8_Results_Text,$AH129)&amp;"",INDEX(nQ9_Results_Text,$AH129)&amp;"",INDEX(nQ10_Results_Text,$AH129)&amp;"",INDEX(nQ11_Results_Text,$AH129)&amp;""))</f>
        <v/>
      </c>
      <c r="BF129" s="1" t="str">
        <f>IF($AF129=0,"",CHOOSE($AF129,INDEX(nINT_Parameter_Set,$AH129)&amp;"",INDEX(nQ1_Parameter_Set,$AH129)&amp;"",INDEX(nQ2_Parameter_Set,$AH129)&amp;"",INDEX(nQ3_Parameter_Set,$AH129)&amp;"",INDEX(nQ4_Parameter_Set,$AH129)&amp;"",INDEX(nQ5_Parameter_Set,$AH129)&amp;"",INDEX(nQ6_Parameter_Set,$AH129)&amp;"",INDEX(nQ7_Parameter_Set,$AH129)&amp;"",INDEX(nQ8_Parameter_Set,$AH129)&amp;"",INDEX(nQ9_Parameter_Set,$AH129)&amp;"",INDEX(nQ10_Parameter_Set,$AH129)&amp;"",INDEX(nQ11_Parameter_Set,$AH129)&amp;""))</f>
        <v/>
      </c>
      <c r="BG129" s="1" t="str">
        <f>IF($AF129=0,"",CHOOSE($AF129,INDEX(nINT_Assumptions,$AH129)&amp;"",INDEX(nQ1_Assumptions,$AH129)&amp;"",INDEX(nQ2_Assumptions,$AH129)&amp;"",INDEX(nQ3_Assumptions,$AH129)&amp;"",INDEX(nQ4_Assumptions,$AH129)&amp;"",INDEX(nQ5_Assumptions,$AH129)&amp;"",INDEX(nQ6_Assumptions,$AH129)&amp;"",INDEX(nQ7_Assumptions,$AH129)&amp;"",INDEX(nQ8_Assumptions,$AH129)&amp;"",INDEX(nQ9_Assumptions,$AH129)&amp;"",INDEX(nQ10_Assumptions,$AH129)&amp;"",INDEX(nQ11_Assumptions,$AH129)&amp;""))</f>
        <v/>
      </c>
      <c r="BH129" s="1" t="str">
        <f>IF($AF129=0,"",CHOOSE($AF129,INDEX(nINT_Calculation_Version,$AH129)&amp;"",INDEX(nQ1_Calculation_Version,$AH129)&amp;"",INDEX(nQ2_Calculation_Version,$AH129)&amp;"",INDEX(nQ3_Calculation_Version,$AH129)&amp;"",INDEX(nQ4_Calculation_Version,$AH129)&amp;"",INDEX(nQ5_Calculation_Version,$AH129)&amp;"",INDEX(nQ6_Calculation_Version,$AH129)&amp;"",INDEX(nQ7_Calculation_Version,$AH129)&amp;"",INDEX(nQ8_Calculation_Version,$AH129)&amp;"",INDEX(nQ9_Calculation_Version,$AH129)&amp;"",INDEX(nQ10_Calculation_Version,$AH129)&amp;"",INDEX(nQ11_Calculation_Version,$AH129)&amp;""))</f>
        <v/>
      </c>
      <c r="BI129" s="1" t="str">
        <f>IF($AF129=0,"",CHOOSE($AF129,INDEX(nINT_QC_Flags,$AH129)&amp;"",INDEX(nQ1_QC_Flags,$AH129)&amp;"",INDEX(nQ2_QC_Flags,$AH129)&amp;"",INDEX(nQ3_QC_Flags,$AH129)&amp;"",INDEX(nQ4_QC_Flags,$AH129)&amp;"",INDEX(nQ5_QC_Flags,$AH129)&amp;"",INDEX(nQ6_QC_Flags,$AH129)&amp;"",INDEX(nQ7_QC_Flags,$AH129)&amp;"",INDEX(nQ8_QC_Flags,$AH129)&amp;"",INDEX(nQ9_QC_Flags,$AH129)&amp;"",INDEX(nQ10_QC_Flags,$AH129)&amp;"",INDEX(nQ11_QC_Flags,$AH129)&amp;""))</f>
        <v/>
      </c>
      <c r="BJ129" s="1" t="str">
        <f>IF($AF129=0,"",CHOOSE($AF129,INDEX(nINT_Messages,$AH129)&amp;"",INDEX(nQ1_Messages,$AH129)&amp;"",INDEX(nQ2_Messages,$AH129)&amp;"",INDEX(nQ3_Messages,$AH129)&amp;"",INDEX(nQ4_Messages,$AH129)&amp;"",INDEX(nQ5_Messages,$AH129)&amp;"",INDEX(nQ6_Messages,$AH129)&amp;"",INDEX(nQ7_Messages,$AH129)&amp;"",INDEX(nQ8_Messages,$AH129)&amp;"",INDEX(nQ9_Messages,$AH129)&amp;"",INDEX(nQ10_Messages,$AH129)&amp;"",INDEX(nQ11_Messages,$AH129)&amp;""))</f>
        <v/>
      </c>
      <c r="BK129" s="1" t="str">
        <f>IF($AF129=0,"",CHOOSE($AF129,INDEX(nINT_Limitations,$AH129)&amp;"",INDEX(nQ1_Mandatory_Text,$AH129)&amp;"",INDEX(nQ2_Mandatory_Text,$AH129)&amp;"",INDEX(nQ3_Mandatory_Text,$AH129)&amp;"",INDEX(nQ4_Mandatory_Text,$AH129)&amp;"",INDEX(nQ5_Mandatory_Text,$AH129)&amp;"",INDEX(nQ6_Mandatory_Text,$AH129)&amp;"",INDEX(nQ7_Mandatory_Text,$AH129)&amp;"",INDEX(nQ8_Mandatory_Text,$AH129)&amp;"",INDEX(nQ9_Mandatory_Text,$AH129)&amp;"",INDEX(nQ10_Mandatory_Text,$AH129)&amp;"",INDEX(nQ11_Mandatory_Text,$AH129)&amp;""))</f>
        <v/>
      </c>
      <c r="BL129" s="1" t="str">
        <f t="shared" si="68"/>
        <v/>
      </c>
      <c r="BM129" s="1" t="str">
        <f t="shared" si="69"/>
        <v/>
      </c>
    </row>
    <row r="130" spans="1:65" x14ac:dyDescent="0.2">
      <c r="A130" s="21" t="str">
        <f t="shared" si="35"/>
        <v/>
      </c>
      <c r="B130" s="21" t="str">
        <f t="shared" si="36"/>
        <v/>
      </c>
      <c r="C130" s="21" t="str">
        <f t="shared" si="37"/>
        <v/>
      </c>
      <c r="D130" s="21" t="str">
        <f t="shared" si="38"/>
        <v/>
      </c>
      <c r="E130" s="21" t="str">
        <f t="shared" si="39"/>
        <v/>
      </c>
      <c r="F130" s="21" t="str">
        <f t="shared" si="40"/>
        <v/>
      </c>
      <c r="G130" s="21" t="str">
        <f t="shared" si="41"/>
        <v/>
      </c>
      <c r="H130" s="21" t="str">
        <f t="shared" si="42"/>
        <v/>
      </c>
      <c r="I130" s="21" t="str">
        <f t="shared" si="43"/>
        <v/>
      </c>
      <c r="J130" s="21" t="str">
        <f t="shared" si="44"/>
        <v/>
      </c>
      <c r="K130" s="21" t="str">
        <f t="shared" si="45"/>
        <v/>
      </c>
      <c r="L130" s="21" t="str">
        <f t="shared" si="46"/>
        <v/>
      </c>
      <c r="M130" s="21" t="str">
        <f t="shared" si="47"/>
        <v/>
      </c>
      <c r="N130" s="21" t="str">
        <f t="shared" si="48"/>
        <v/>
      </c>
      <c r="O130" s="21" t="str">
        <f t="shared" si="49"/>
        <v/>
      </c>
      <c r="P130" s="21" t="str">
        <f t="shared" si="50"/>
        <v/>
      </c>
      <c r="Q130" s="21" t="str">
        <f t="shared" si="51"/>
        <v/>
      </c>
      <c r="R130" s="21" t="str">
        <f t="shared" si="52"/>
        <v/>
      </c>
      <c r="S130" s="21" t="str">
        <f t="shared" si="53"/>
        <v/>
      </c>
      <c r="T130" s="21" t="str">
        <f t="shared" si="54"/>
        <v/>
      </c>
      <c r="U130" s="21" t="str">
        <f t="shared" si="55"/>
        <v/>
      </c>
      <c r="V130" s="21" t="str">
        <f t="shared" si="56"/>
        <v/>
      </c>
      <c r="W130" s="21" t="str">
        <f t="shared" si="57"/>
        <v/>
      </c>
      <c r="X130" s="21" t="str">
        <f t="shared" si="58"/>
        <v/>
      </c>
      <c r="Y130" s="21" t="str">
        <f t="shared" si="59"/>
        <v/>
      </c>
      <c r="Z130" s="21" t="str">
        <f t="shared" si="60"/>
        <v/>
      </c>
      <c r="AA130" s="21" t="str">
        <f t="shared" si="61"/>
        <v/>
      </c>
      <c r="AB130" s="21" t="str">
        <f t="shared" si="62"/>
        <v/>
      </c>
      <c r="AC130" s="21" t="str">
        <f t="shared" si="63"/>
        <v/>
      </c>
      <c r="AD130" s="21" t="str">
        <f t="shared" si="64"/>
        <v/>
      </c>
      <c r="AE130" s="1">
        <f t="shared" si="65"/>
        <v>123</v>
      </c>
      <c r="AF130" s="1">
        <f t="shared" si="66"/>
        <v>0</v>
      </c>
      <c r="AG130" s="1">
        <f t="shared" si="67"/>
        <v>0</v>
      </c>
      <c r="AH130" s="1">
        <f>IF(AF130=0,0,CHOOSE(AF130,IFERROR(_xlfn.AGGREGATE(15,6,(ROW(nINT_CaseKey)-ROW(INDEX(nINT_CaseKey,1,1))+1)/((nINT_CaseKey=$H$4)*(nINT_RowEmpty=0)),AG130),0),IFERROR(_xlfn.AGGREGATE(15,6,(ROW(nQ1_CaseKey)-ROW(INDEX(nQ1_CaseKey,1,1))+1)/((nQ1_CaseKey=$H$4)),AG130),0),IFERROR(_xlfn.AGGREGATE(15,6,(ROW(nQ2_CaseKey)-ROW(INDEX(nQ2_CaseKey,1,1))+1)/((nQ2_CaseKey=$H$4)),AG130),0),IFERROR(_xlfn.AGGREGATE(15,6,(ROW(nQ3_CaseKey)-ROW(INDEX(nQ3_CaseKey,1,1))+1)/((nQ3_CaseKey=$H$4)),AG130),0),IFERROR(_xlfn.AGGREGATE(15,6,(ROW(nQ4_CaseKey)-ROW(INDEX(nQ4_CaseKey,1,1))+1)/((nQ4_CaseKey=$H$4)),AG130),0),IFERROR(_xlfn.AGGREGATE(15,6,(ROW(nQ5_CaseKey)-ROW(INDEX(nQ5_CaseKey,1,1))+1)/((nQ5_CaseKey=$H$4)),AG130),0),IFERROR(_xlfn.AGGREGATE(15,6,(ROW(nQ6_CaseKey)-ROW(INDEX(nQ6_CaseKey,1,1))+1)/((nQ6_CaseKey=$H$4)),AG130),0),IFERROR(_xlfn.AGGREGATE(15,6,(ROW(nQ7_CaseKey)-ROW(INDEX(nQ7_CaseKey,1,1))+1)/((nQ7_CaseKey=$H$4)),AG130),0),IFERROR(_xlfn.AGGREGATE(15,6,(ROW(nQ8_CaseKey)-ROW(INDEX(nQ8_CaseKey,1,1))+1)/((nQ8_CaseKey=$H$4)),AG130),0),IFERROR(_xlfn.AGGREGATE(15,6,(ROW(nQ9_CaseKey)-ROW(INDEX(nQ9_CaseKey,1,1))+1)/((nQ9_CaseKey=$H$4)),AG130),0),IFERROR(_xlfn.AGGREGATE(15,6,(ROW(nQ10_CaseKey)-ROW(INDEX(nQ10_CaseKey,1,1))+1)/((nQ10_CaseKey=$H$4)),AG130),0),IFERROR(_xlfn.AGGREGATE(15,6,(ROW(nQ11_CaseKey)-ROW(INDEX(nQ11_CaseKey,1,1))+1)/((nQ11_CaseKey=$H$4)),AG130),0)))</f>
        <v>0</v>
      </c>
      <c r="AJ130" s="1" t="str">
        <f>IF($AF130=0,"",CHOOSE($AF130,INDEX(nINT_Case_ID,$AH130)&amp;"",INDEX(nQ1_Case_ID,$AH130)&amp;"",INDEX(nQ2_Case_ID,$AH130)&amp;"",INDEX(nQ3_Case_ID,$AH130)&amp;"",INDEX(nQ4_Case_ID,$AH130)&amp;"",INDEX(nQ5_Case_ID,$AH130)&amp;"",INDEX(nQ6_Case_ID,$AH130)&amp;"",INDEX(nQ7_Case_ID,$AH130)&amp;"",INDEX(nQ8_Case_ID,$AH130)&amp;"",INDEX(nQ9_Case_ID,$AH130)&amp;"",INDEX(nQ10_Case_ID,$AH130)&amp;"",INDEX(nQ11_Case_ID,$AH130)&amp;""))</f>
        <v/>
      </c>
      <c r="AK130" s="1" t="str">
        <f>IF($AF130=0,"",CHOOSE($AF130,INDEX(nINT_Case_Version,$AH130),INDEX(nQ1_Case_Version,$AH130),INDEX(nQ2_Case_Version,$AH130),INDEX(nQ3_Case_Version,$AH130),INDEX(nQ4_Case_Version,$AH130),INDEX(nQ5_Case_Version,$AH130),INDEX(nQ6_Case_Version,$AH130),INDEX(nQ7_Case_Version,$AH130),INDEX(nQ8_Case_Version,$AH130),INDEX(nQ9_Case_Version,$AH130),INDEX(nQ10_Case_Version,$AH130),INDEX(nQ11_Case_Version,$AH130)))</f>
        <v/>
      </c>
      <c r="AL130" s="1" t="str">
        <f>IF($AF130=0,"",CHOOSE($AF130,INDEX(nINT_Interval_ID,$AH130)&amp;"",INDEX(nQ1_Calc_ID,$AH130)&amp;"",INDEX(nQ2_Calc_ID,$AH130)&amp;"",INDEX(nQ3_Calc_ID,$AH130)&amp;"",INDEX(nQ4_Calc_ID,$AH130)&amp;"",INDEX(nQ5_Calc_ID,$AH130)&amp;"",INDEX(nQ6_Calc_ID,$AH130)&amp;"",INDEX(nQ7_Calc_ID,$AH130)&amp;"",INDEX(nQ8_Calc_ID,$AH130)&amp;"",INDEX(nQ9_Calc_ID,$AH130)&amp;"",INDEX(nQ10_Calc_ID,$AH130)&amp;"",INDEX(nQ11_Calc_ID,$AH130)&amp;""))</f>
        <v/>
      </c>
      <c r="AM130" s="1" t="str">
        <f>IF($AF130=0,"",CHOOSE($AF130,INDEX(nINT_Label,$AH130)&amp;"",INDEX(nQ1_Label_Out,$AH130)&amp;"",INDEX(nQ2_Label_Out,$AH130)&amp;"",INDEX(nQ3_Label_Out,$AH130)&amp;"",INDEX(nQ4_Label_Out,$AH130)&amp;"",INDEX(nQ5_Label_Out,$AH130)&amp;"",INDEX(nQ6_Label_Out,$AH130)&amp;"",INDEX(nQ7_Label_Out,$AH130)&amp;"",INDEX(nQ8_Label_Out,$AH130)&amp;"",INDEX(nQ9_Label_Out,$AH130)&amp;"",INDEX(nQ10_Label_Out,$AH130)&amp;"",INDEX(nQ11_Label_Out,$AH130)&amp;""))</f>
        <v/>
      </c>
      <c r="AN130" s="1" t="str">
        <f>IF($AF130=0,"",CHOOSE($AF130,IF(INDEX(nINT_LinkRow,$AH130)=0,"",INDEX(nINT_Link_ID,$AH130)&amp;""),"","","","","","","","","","",""))</f>
        <v/>
      </c>
      <c r="AO130" s="1" t="str">
        <f>IF($AF130=0,"",CHOOSE($AF130,INDEX(nINT_Exposure_Episode_ID,$AH130)&amp;"","","","","","","","","","","",""))</f>
        <v/>
      </c>
      <c r="AP130" s="1" t="str">
        <f>IF($AF130=0,"",CHOOSE($AF130,INDEX(nINT_Event_Episode_ID,$AH130)&amp;"","","","","","","","","","","",""))</f>
        <v/>
      </c>
      <c r="AQ130" s="1" t="str">
        <f>IF($AF130=0,"",CHOOSE($AF130,INDEX(nINT_End_Record_ID_Used,$AH130)&amp;"","","","","","","","","","","",""))</f>
        <v/>
      </c>
      <c r="AR130" s="1" t="str">
        <f>IF($AF130=0,"",CHOOSE($AF130,INDEX(nINT_Interval_Value,$AH130),"","","","","","","","","","",""))</f>
        <v/>
      </c>
      <c r="AS130" s="1" t="str">
        <f>IF($AF130=0,"",CHOOSE($AF130,INDEX(nINT_Interval_Minimum,$AH130),"","","","","","","","","","",""))</f>
        <v/>
      </c>
      <c r="AT130" s="1" t="str">
        <f>IF($AF130=0,"",CHOOSE($AF130,INDEX(nINT_Interval_Maximum,$AH130),"","","","","","","","","","",""))</f>
        <v/>
      </c>
      <c r="AU130" s="1" t="str">
        <f>IF($AF130=0,"",CHOOSE($AF130,INDEX(nINT_Unit,$AH130)&amp;"",INDEX(nQ1_Unit_Out,$AH130)&amp;"",INDEX(nQ2_Unit_Out,$AH130)&amp;"",INDEX(nQ3_Unit_Out,$AH130)&amp;"",INDEX(nQ4_Unit_Out,$AH130)&amp;"",INDEX(nQ5_Unit_Out,$AH130)&amp;"",INDEX(nQ6_Unit_Out,$AH130)&amp;"",INDEX(nQ7_Unit_Out,$AH130)&amp;"",INDEX(nQ8_Unit_Out,$AH130)&amp;"",INDEX(nQ9_Unit_Out,$AH130)&amp;"",INDEX(nQ10_Unit_Out,$AH130)&amp;"",INDEX(nQ11_Unit_Out,$AH130)&amp;""))</f>
        <v/>
      </c>
      <c r="AV130" s="1" t="str">
        <f>IF($AF130=0,"",CHOOSE($AF130,INDEX(nINT_Displayed_Value,$AH130)&amp;"",INDEX(nQ1_Displayed_Value,$AH130)&amp;"",INDEX(nQ2_Displayed_Value,$AH130)&amp;"",INDEX(nQ3_Displayed_Value,$AH130)&amp;"",INDEX(nQ4_Displayed_Value,$AH130)&amp;"",INDEX(nQ5_Displayed_Value,$AH130)&amp;"",INDEX(nQ6_Displayed_Value,$AH130)&amp;"",INDEX(nQ7_Displayed_Value,$AH130)&amp;"",INDEX(nQ8_Displayed_Value,$AH130)&amp;"",INDEX(nQ9_Displayed_Value,$AH130)&amp;"",INDEX(nQ10_Displayed_Value,$AH130)&amp;"",INDEX(nQ11_Displayed_Value,$AH130)&amp;""))</f>
        <v/>
      </c>
      <c r="AW130" s="1" t="str">
        <f>IF($AF130=0,"",CHOOSE($AF130,INDEX(nINT_Calculation_Mode_Used,$AH130)&amp;"","Q1","Q2","Q3","Q4","Q5","Q6","Q7","Q8","Q9","Q10","Q11"))</f>
        <v/>
      </c>
      <c r="AX130" s="1" t="str">
        <f>IF($AF130=0,"",CHOOSE($AF130,INDEX(nINT_Anchor_Type,$AH130)&amp;"","","","","","","","","","","",""))</f>
        <v/>
      </c>
      <c r="AY130" s="1" t="str">
        <f>IF($AF130=0,"",CHOOSE($AF130,IF(INDEX(nINT_K_Ok,$AH130)=1,INDEX(nINT_Anchor_Record_ID_Used,$AH130)&amp;"",""),"","","","","","","","","","",""))</f>
        <v/>
      </c>
      <c r="AZ130" s="1" t="str">
        <f>IF($AF130=0,"",CHOOSE($AF130,INDEX(nINT_Anchor_Description,$AH130)&amp;"","","","","","","","","","","",""))</f>
        <v/>
      </c>
      <c r="BA130" s="1" t="str">
        <f>IF($AF130=0,"",CHOOSE($AF130,INDEX(nINT_Sequence_Status,$AH130)&amp;"","","","","","","","","","","",""))</f>
        <v/>
      </c>
      <c r="BB130" s="1" t="str">
        <f>IF($AF130=0,"",CHOOSE($AF130,INDEX(nINT_Treatment_Day,$AH130),"","","","","","","","","","",""))</f>
        <v/>
      </c>
      <c r="BC130" s="1" t="str">
        <f>IF($AF130=0,"",CHOOSE($AF130,INDEX(nINT_Reported_Timing_Result,$AH130)&amp;"","","","","","","","","","","",""))</f>
        <v/>
      </c>
      <c r="BD130" s="1" t="str">
        <f>IF($AF130=0,"",CHOOSE($AF130,IF(INDEX(nINT_K_HasC,$AH130)=1,INDEX(nINT_Constraint_Source,$AH130)&amp;"",""),"","","","","","","","","","",""))</f>
        <v/>
      </c>
      <c r="BE130" s="1" t="str">
        <f>IF($AF130=0,"",CHOOSE($AF130,"",INDEX(nQ1_Results_Text,$AH130)&amp;"",INDEX(nQ2_Results_Text,$AH130)&amp;"",INDEX(nQ3_Results_Text,$AH130)&amp;"",INDEX(nQ4_Results_Text,$AH130)&amp;"",INDEX(nQ5_Results_Text,$AH130)&amp;"",INDEX(nQ6_Results_Text,$AH130)&amp;"",INDEX(nQ7_Results_Text,$AH130)&amp;"",INDEX(nQ8_Results_Text,$AH130)&amp;"",INDEX(nQ9_Results_Text,$AH130)&amp;"",INDEX(nQ10_Results_Text,$AH130)&amp;"",INDEX(nQ11_Results_Text,$AH130)&amp;""))</f>
        <v/>
      </c>
      <c r="BF130" s="1" t="str">
        <f>IF($AF130=0,"",CHOOSE($AF130,INDEX(nINT_Parameter_Set,$AH130)&amp;"",INDEX(nQ1_Parameter_Set,$AH130)&amp;"",INDEX(nQ2_Parameter_Set,$AH130)&amp;"",INDEX(nQ3_Parameter_Set,$AH130)&amp;"",INDEX(nQ4_Parameter_Set,$AH130)&amp;"",INDEX(nQ5_Parameter_Set,$AH130)&amp;"",INDEX(nQ6_Parameter_Set,$AH130)&amp;"",INDEX(nQ7_Parameter_Set,$AH130)&amp;"",INDEX(nQ8_Parameter_Set,$AH130)&amp;"",INDEX(nQ9_Parameter_Set,$AH130)&amp;"",INDEX(nQ10_Parameter_Set,$AH130)&amp;"",INDEX(nQ11_Parameter_Set,$AH130)&amp;""))</f>
        <v/>
      </c>
      <c r="BG130" s="1" t="str">
        <f>IF($AF130=0,"",CHOOSE($AF130,INDEX(nINT_Assumptions,$AH130)&amp;"",INDEX(nQ1_Assumptions,$AH130)&amp;"",INDEX(nQ2_Assumptions,$AH130)&amp;"",INDEX(nQ3_Assumptions,$AH130)&amp;"",INDEX(nQ4_Assumptions,$AH130)&amp;"",INDEX(nQ5_Assumptions,$AH130)&amp;"",INDEX(nQ6_Assumptions,$AH130)&amp;"",INDEX(nQ7_Assumptions,$AH130)&amp;"",INDEX(nQ8_Assumptions,$AH130)&amp;"",INDEX(nQ9_Assumptions,$AH130)&amp;"",INDEX(nQ10_Assumptions,$AH130)&amp;"",INDEX(nQ11_Assumptions,$AH130)&amp;""))</f>
        <v/>
      </c>
      <c r="BH130" s="1" t="str">
        <f>IF($AF130=0,"",CHOOSE($AF130,INDEX(nINT_Calculation_Version,$AH130)&amp;"",INDEX(nQ1_Calculation_Version,$AH130)&amp;"",INDEX(nQ2_Calculation_Version,$AH130)&amp;"",INDEX(nQ3_Calculation_Version,$AH130)&amp;"",INDEX(nQ4_Calculation_Version,$AH130)&amp;"",INDEX(nQ5_Calculation_Version,$AH130)&amp;"",INDEX(nQ6_Calculation_Version,$AH130)&amp;"",INDEX(nQ7_Calculation_Version,$AH130)&amp;"",INDEX(nQ8_Calculation_Version,$AH130)&amp;"",INDEX(nQ9_Calculation_Version,$AH130)&amp;"",INDEX(nQ10_Calculation_Version,$AH130)&amp;"",INDEX(nQ11_Calculation_Version,$AH130)&amp;""))</f>
        <v/>
      </c>
      <c r="BI130" s="1" t="str">
        <f>IF($AF130=0,"",CHOOSE($AF130,INDEX(nINT_QC_Flags,$AH130)&amp;"",INDEX(nQ1_QC_Flags,$AH130)&amp;"",INDEX(nQ2_QC_Flags,$AH130)&amp;"",INDEX(nQ3_QC_Flags,$AH130)&amp;"",INDEX(nQ4_QC_Flags,$AH130)&amp;"",INDEX(nQ5_QC_Flags,$AH130)&amp;"",INDEX(nQ6_QC_Flags,$AH130)&amp;"",INDEX(nQ7_QC_Flags,$AH130)&amp;"",INDEX(nQ8_QC_Flags,$AH130)&amp;"",INDEX(nQ9_QC_Flags,$AH130)&amp;"",INDEX(nQ10_QC_Flags,$AH130)&amp;"",INDEX(nQ11_QC_Flags,$AH130)&amp;""))</f>
        <v/>
      </c>
      <c r="BJ130" s="1" t="str">
        <f>IF($AF130=0,"",CHOOSE($AF130,INDEX(nINT_Messages,$AH130)&amp;"",INDEX(nQ1_Messages,$AH130)&amp;"",INDEX(nQ2_Messages,$AH130)&amp;"",INDEX(nQ3_Messages,$AH130)&amp;"",INDEX(nQ4_Messages,$AH130)&amp;"",INDEX(nQ5_Messages,$AH130)&amp;"",INDEX(nQ6_Messages,$AH130)&amp;"",INDEX(nQ7_Messages,$AH130)&amp;"",INDEX(nQ8_Messages,$AH130)&amp;"",INDEX(nQ9_Messages,$AH130)&amp;"",INDEX(nQ10_Messages,$AH130)&amp;"",INDEX(nQ11_Messages,$AH130)&amp;""))</f>
        <v/>
      </c>
      <c r="BK130" s="1" t="str">
        <f>IF($AF130=0,"",CHOOSE($AF130,INDEX(nINT_Limitations,$AH130)&amp;"",INDEX(nQ1_Mandatory_Text,$AH130)&amp;"",INDEX(nQ2_Mandatory_Text,$AH130)&amp;"",INDEX(nQ3_Mandatory_Text,$AH130)&amp;"",INDEX(nQ4_Mandatory_Text,$AH130)&amp;"",INDEX(nQ5_Mandatory_Text,$AH130)&amp;"",INDEX(nQ6_Mandatory_Text,$AH130)&amp;"",INDEX(nQ7_Mandatory_Text,$AH130)&amp;"",INDEX(nQ8_Mandatory_Text,$AH130)&amp;"",INDEX(nQ9_Mandatory_Text,$AH130)&amp;"",INDEX(nQ10_Mandatory_Text,$AH130)&amp;"",INDEX(nQ11_Mandatory_Text,$AH130)&amp;""))</f>
        <v/>
      </c>
      <c r="BL130" s="1" t="str">
        <f t="shared" si="68"/>
        <v/>
      </c>
      <c r="BM130" s="1" t="str">
        <f t="shared" si="69"/>
        <v/>
      </c>
    </row>
    <row r="131" spans="1:65" x14ac:dyDescent="0.2">
      <c r="A131" s="21" t="str">
        <f t="shared" si="35"/>
        <v/>
      </c>
      <c r="B131" s="21" t="str">
        <f t="shared" si="36"/>
        <v/>
      </c>
      <c r="C131" s="21" t="str">
        <f t="shared" si="37"/>
        <v/>
      </c>
      <c r="D131" s="21" t="str">
        <f t="shared" si="38"/>
        <v/>
      </c>
      <c r="E131" s="21" t="str">
        <f t="shared" si="39"/>
        <v/>
      </c>
      <c r="F131" s="21" t="str">
        <f t="shared" si="40"/>
        <v/>
      </c>
      <c r="G131" s="21" t="str">
        <f t="shared" si="41"/>
        <v/>
      </c>
      <c r="H131" s="21" t="str">
        <f t="shared" si="42"/>
        <v/>
      </c>
      <c r="I131" s="21" t="str">
        <f t="shared" si="43"/>
        <v/>
      </c>
      <c r="J131" s="21" t="str">
        <f t="shared" si="44"/>
        <v/>
      </c>
      <c r="K131" s="21" t="str">
        <f t="shared" si="45"/>
        <v/>
      </c>
      <c r="L131" s="21" t="str">
        <f t="shared" si="46"/>
        <v/>
      </c>
      <c r="M131" s="21" t="str">
        <f t="shared" si="47"/>
        <v/>
      </c>
      <c r="N131" s="21" t="str">
        <f t="shared" si="48"/>
        <v/>
      </c>
      <c r="O131" s="21" t="str">
        <f t="shared" si="49"/>
        <v/>
      </c>
      <c r="P131" s="21" t="str">
        <f t="shared" si="50"/>
        <v/>
      </c>
      <c r="Q131" s="21" t="str">
        <f t="shared" si="51"/>
        <v/>
      </c>
      <c r="R131" s="21" t="str">
        <f t="shared" si="52"/>
        <v/>
      </c>
      <c r="S131" s="21" t="str">
        <f t="shared" si="53"/>
        <v/>
      </c>
      <c r="T131" s="21" t="str">
        <f t="shared" si="54"/>
        <v/>
      </c>
      <c r="U131" s="21" t="str">
        <f t="shared" si="55"/>
        <v/>
      </c>
      <c r="V131" s="21" t="str">
        <f t="shared" si="56"/>
        <v/>
      </c>
      <c r="W131" s="21" t="str">
        <f t="shared" si="57"/>
        <v/>
      </c>
      <c r="X131" s="21" t="str">
        <f t="shared" si="58"/>
        <v/>
      </c>
      <c r="Y131" s="21" t="str">
        <f t="shared" si="59"/>
        <v/>
      </c>
      <c r="Z131" s="21" t="str">
        <f t="shared" si="60"/>
        <v/>
      </c>
      <c r="AA131" s="21" t="str">
        <f t="shared" si="61"/>
        <v/>
      </c>
      <c r="AB131" s="21" t="str">
        <f t="shared" si="62"/>
        <v/>
      </c>
      <c r="AC131" s="21" t="str">
        <f t="shared" si="63"/>
        <v/>
      </c>
      <c r="AD131" s="21" t="str">
        <f t="shared" si="64"/>
        <v/>
      </c>
      <c r="AE131" s="1">
        <f t="shared" si="65"/>
        <v>124</v>
      </c>
      <c r="AF131" s="1">
        <f t="shared" si="66"/>
        <v>0</v>
      </c>
      <c r="AG131" s="1">
        <f t="shared" si="67"/>
        <v>0</v>
      </c>
      <c r="AH131" s="1">
        <f>IF(AF131=0,0,CHOOSE(AF131,IFERROR(_xlfn.AGGREGATE(15,6,(ROW(nINT_CaseKey)-ROW(INDEX(nINT_CaseKey,1,1))+1)/((nINT_CaseKey=$H$4)*(nINT_RowEmpty=0)),AG131),0),IFERROR(_xlfn.AGGREGATE(15,6,(ROW(nQ1_CaseKey)-ROW(INDEX(nQ1_CaseKey,1,1))+1)/((nQ1_CaseKey=$H$4)),AG131),0),IFERROR(_xlfn.AGGREGATE(15,6,(ROW(nQ2_CaseKey)-ROW(INDEX(nQ2_CaseKey,1,1))+1)/((nQ2_CaseKey=$H$4)),AG131),0),IFERROR(_xlfn.AGGREGATE(15,6,(ROW(nQ3_CaseKey)-ROW(INDEX(nQ3_CaseKey,1,1))+1)/((nQ3_CaseKey=$H$4)),AG131),0),IFERROR(_xlfn.AGGREGATE(15,6,(ROW(nQ4_CaseKey)-ROW(INDEX(nQ4_CaseKey,1,1))+1)/((nQ4_CaseKey=$H$4)),AG131),0),IFERROR(_xlfn.AGGREGATE(15,6,(ROW(nQ5_CaseKey)-ROW(INDEX(nQ5_CaseKey,1,1))+1)/((nQ5_CaseKey=$H$4)),AG131),0),IFERROR(_xlfn.AGGREGATE(15,6,(ROW(nQ6_CaseKey)-ROW(INDEX(nQ6_CaseKey,1,1))+1)/((nQ6_CaseKey=$H$4)),AG131),0),IFERROR(_xlfn.AGGREGATE(15,6,(ROW(nQ7_CaseKey)-ROW(INDEX(nQ7_CaseKey,1,1))+1)/((nQ7_CaseKey=$H$4)),AG131),0),IFERROR(_xlfn.AGGREGATE(15,6,(ROW(nQ8_CaseKey)-ROW(INDEX(nQ8_CaseKey,1,1))+1)/((nQ8_CaseKey=$H$4)),AG131),0),IFERROR(_xlfn.AGGREGATE(15,6,(ROW(nQ9_CaseKey)-ROW(INDEX(nQ9_CaseKey,1,1))+1)/((nQ9_CaseKey=$H$4)),AG131),0),IFERROR(_xlfn.AGGREGATE(15,6,(ROW(nQ10_CaseKey)-ROW(INDEX(nQ10_CaseKey,1,1))+1)/((nQ10_CaseKey=$H$4)),AG131),0),IFERROR(_xlfn.AGGREGATE(15,6,(ROW(nQ11_CaseKey)-ROW(INDEX(nQ11_CaseKey,1,1))+1)/((nQ11_CaseKey=$H$4)),AG131),0)))</f>
        <v>0</v>
      </c>
      <c r="AJ131" s="1" t="str">
        <f>IF($AF131=0,"",CHOOSE($AF131,INDEX(nINT_Case_ID,$AH131)&amp;"",INDEX(nQ1_Case_ID,$AH131)&amp;"",INDEX(nQ2_Case_ID,$AH131)&amp;"",INDEX(nQ3_Case_ID,$AH131)&amp;"",INDEX(nQ4_Case_ID,$AH131)&amp;"",INDEX(nQ5_Case_ID,$AH131)&amp;"",INDEX(nQ6_Case_ID,$AH131)&amp;"",INDEX(nQ7_Case_ID,$AH131)&amp;"",INDEX(nQ8_Case_ID,$AH131)&amp;"",INDEX(nQ9_Case_ID,$AH131)&amp;"",INDEX(nQ10_Case_ID,$AH131)&amp;"",INDEX(nQ11_Case_ID,$AH131)&amp;""))</f>
        <v/>
      </c>
      <c r="AK131" s="1" t="str">
        <f>IF($AF131=0,"",CHOOSE($AF131,INDEX(nINT_Case_Version,$AH131),INDEX(nQ1_Case_Version,$AH131),INDEX(nQ2_Case_Version,$AH131),INDEX(nQ3_Case_Version,$AH131),INDEX(nQ4_Case_Version,$AH131),INDEX(nQ5_Case_Version,$AH131),INDEX(nQ6_Case_Version,$AH131),INDEX(nQ7_Case_Version,$AH131),INDEX(nQ8_Case_Version,$AH131),INDEX(nQ9_Case_Version,$AH131),INDEX(nQ10_Case_Version,$AH131),INDEX(nQ11_Case_Version,$AH131)))</f>
        <v/>
      </c>
      <c r="AL131" s="1" t="str">
        <f>IF($AF131=0,"",CHOOSE($AF131,INDEX(nINT_Interval_ID,$AH131)&amp;"",INDEX(nQ1_Calc_ID,$AH131)&amp;"",INDEX(nQ2_Calc_ID,$AH131)&amp;"",INDEX(nQ3_Calc_ID,$AH131)&amp;"",INDEX(nQ4_Calc_ID,$AH131)&amp;"",INDEX(nQ5_Calc_ID,$AH131)&amp;"",INDEX(nQ6_Calc_ID,$AH131)&amp;"",INDEX(nQ7_Calc_ID,$AH131)&amp;"",INDEX(nQ8_Calc_ID,$AH131)&amp;"",INDEX(nQ9_Calc_ID,$AH131)&amp;"",INDEX(nQ10_Calc_ID,$AH131)&amp;"",INDEX(nQ11_Calc_ID,$AH131)&amp;""))</f>
        <v/>
      </c>
      <c r="AM131" s="1" t="str">
        <f>IF($AF131=0,"",CHOOSE($AF131,INDEX(nINT_Label,$AH131)&amp;"",INDEX(nQ1_Label_Out,$AH131)&amp;"",INDEX(nQ2_Label_Out,$AH131)&amp;"",INDEX(nQ3_Label_Out,$AH131)&amp;"",INDEX(nQ4_Label_Out,$AH131)&amp;"",INDEX(nQ5_Label_Out,$AH131)&amp;"",INDEX(nQ6_Label_Out,$AH131)&amp;"",INDEX(nQ7_Label_Out,$AH131)&amp;"",INDEX(nQ8_Label_Out,$AH131)&amp;"",INDEX(nQ9_Label_Out,$AH131)&amp;"",INDEX(nQ10_Label_Out,$AH131)&amp;"",INDEX(nQ11_Label_Out,$AH131)&amp;""))</f>
        <v/>
      </c>
      <c r="AN131" s="1" t="str">
        <f>IF($AF131=0,"",CHOOSE($AF131,IF(INDEX(nINT_LinkRow,$AH131)=0,"",INDEX(nINT_Link_ID,$AH131)&amp;""),"","","","","","","","","","",""))</f>
        <v/>
      </c>
      <c r="AO131" s="1" t="str">
        <f>IF($AF131=0,"",CHOOSE($AF131,INDEX(nINT_Exposure_Episode_ID,$AH131)&amp;"","","","","","","","","","","",""))</f>
        <v/>
      </c>
      <c r="AP131" s="1" t="str">
        <f>IF($AF131=0,"",CHOOSE($AF131,INDEX(nINT_Event_Episode_ID,$AH131)&amp;"","","","","","","","","","","",""))</f>
        <v/>
      </c>
      <c r="AQ131" s="1" t="str">
        <f>IF($AF131=0,"",CHOOSE($AF131,INDEX(nINT_End_Record_ID_Used,$AH131)&amp;"","","","","","","","","","","",""))</f>
        <v/>
      </c>
      <c r="AR131" s="1" t="str">
        <f>IF($AF131=0,"",CHOOSE($AF131,INDEX(nINT_Interval_Value,$AH131),"","","","","","","","","","",""))</f>
        <v/>
      </c>
      <c r="AS131" s="1" t="str">
        <f>IF($AF131=0,"",CHOOSE($AF131,INDEX(nINT_Interval_Minimum,$AH131),"","","","","","","","","","",""))</f>
        <v/>
      </c>
      <c r="AT131" s="1" t="str">
        <f>IF($AF131=0,"",CHOOSE($AF131,INDEX(nINT_Interval_Maximum,$AH131),"","","","","","","","","","",""))</f>
        <v/>
      </c>
      <c r="AU131" s="1" t="str">
        <f>IF($AF131=0,"",CHOOSE($AF131,INDEX(nINT_Unit,$AH131)&amp;"",INDEX(nQ1_Unit_Out,$AH131)&amp;"",INDEX(nQ2_Unit_Out,$AH131)&amp;"",INDEX(nQ3_Unit_Out,$AH131)&amp;"",INDEX(nQ4_Unit_Out,$AH131)&amp;"",INDEX(nQ5_Unit_Out,$AH131)&amp;"",INDEX(nQ6_Unit_Out,$AH131)&amp;"",INDEX(nQ7_Unit_Out,$AH131)&amp;"",INDEX(nQ8_Unit_Out,$AH131)&amp;"",INDEX(nQ9_Unit_Out,$AH131)&amp;"",INDEX(nQ10_Unit_Out,$AH131)&amp;"",INDEX(nQ11_Unit_Out,$AH131)&amp;""))</f>
        <v/>
      </c>
      <c r="AV131" s="1" t="str">
        <f>IF($AF131=0,"",CHOOSE($AF131,INDEX(nINT_Displayed_Value,$AH131)&amp;"",INDEX(nQ1_Displayed_Value,$AH131)&amp;"",INDEX(nQ2_Displayed_Value,$AH131)&amp;"",INDEX(nQ3_Displayed_Value,$AH131)&amp;"",INDEX(nQ4_Displayed_Value,$AH131)&amp;"",INDEX(nQ5_Displayed_Value,$AH131)&amp;"",INDEX(nQ6_Displayed_Value,$AH131)&amp;"",INDEX(nQ7_Displayed_Value,$AH131)&amp;"",INDEX(nQ8_Displayed_Value,$AH131)&amp;"",INDEX(nQ9_Displayed_Value,$AH131)&amp;"",INDEX(nQ10_Displayed_Value,$AH131)&amp;"",INDEX(nQ11_Displayed_Value,$AH131)&amp;""))</f>
        <v/>
      </c>
      <c r="AW131" s="1" t="str">
        <f>IF($AF131=0,"",CHOOSE($AF131,INDEX(nINT_Calculation_Mode_Used,$AH131)&amp;"","Q1","Q2","Q3","Q4","Q5","Q6","Q7","Q8","Q9","Q10","Q11"))</f>
        <v/>
      </c>
      <c r="AX131" s="1" t="str">
        <f>IF($AF131=0,"",CHOOSE($AF131,INDEX(nINT_Anchor_Type,$AH131)&amp;"","","","","","","","","","","",""))</f>
        <v/>
      </c>
      <c r="AY131" s="1" t="str">
        <f>IF($AF131=0,"",CHOOSE($AF131,IF(INDEX(nINT_K_Ok,$AH131)=1,INDEX(nINT_Anchor_Record_ID_Used,$AH131)&amp;"",""),"","","","","","","","","","",""))</f>
        <v/>
      </c>
      <c r="AZ131" s="1" t="str">
        <f>IF($AF131=0,"",CHOOSE($AF131,INDEX(nINT_Anchor_Description,$AH131)&amp;"","","","","","","","","","","",""))</f>
        <v/>
      </c>
      <c r="BA131" s="1" t="str">
        <f>IF($AF131=0,"",CHOOSE($AF131,INDEX(nINT_Sequence_Status,$AH131)&amp;"","","","","","","","","","","",""))</f>
        <v/>
      </c>
      <c r="BB131" s="1" t="str">
        <f>IF($AF131=0,"",CHOOSE($AF131,INDEX(nINT_Treatment_Day,$AH131),"","","","","","","","","","",""))</f>
        <v/>
      </c>
      <c r="BC131" s="1" t="str">
        <f>IF($AF131=0,"",CHOOSE($AF131,INDEX(nINT_Reported_Timing_Result,$AH131)&amp;"","","","","","","","","","","",""))</f>
        <v/>
      </c>
      <c r="BD131" s="1" t="str">
        <f>IF($AF131=0,"",CHOOSE($AF131,IF(INDEX(nINT_K_HasC,$AH131)=1,INDEX(nINT_Constraint_Source,$AH131)&amp;"",""),"","","","","","","","","","",""))</f>
        <v/>
      </c>
      <c r="BE131" s="1" t="str">
        <f>IF($AF131=0,"",CHOOSE($AF131,"",INDEX(nQ1_Results_Text,$AH131)&amp;"",INDEX(nQ2_Results_Text,$AH131)&amp;"",INDEX(nQ3_Results_Text,$AH131)&amp;"",INDEX(nQ4_Results_Text,$AH131)&amp;"",INDEX(nQ5_Results_Text,$AH131)&amp;"",INDEX(nQ6_Results_Text,$AH131)&amp;"",INDEX(nQ7_Results_Text,$AH131)&amp;"",INDEX(nQ8_Results_Text,$AH131)&amp;"",INDEX(nQ9_Results_Text,$AH131)&amp;"",INDEX(nQ10_Results_Text,$AH131)&amp;"",INDEX(nQ11_Results_Text,$AH131)&amp;""))</f>
        <v/>
      </c>
      <c r="BF131" s="1" t="str">
        <f>IF($AF131=0,"",CHOOSE($AF131,INDEX(nINT_Parameter_Set,$AH131)&amp;"",INDEX(nQ1_Parameter_Set,$AH131)&amp;"",INDEX(nQ2_Parameter_Set,$AH131)&amp;"",INDEX(nQ3_Parameter_Set,$AH131)&amp;"",INDEX(nQ4_Parameter_Set,$AH131)&amp;"",INDEX(nQ5_Parameter_Set,$AH131)&amp;"",INDEX(nQ6_Parameter_Set,$AH131)&amp;"",INDEX(nQ7_Parameter_Set,$AH131)&amp;"",INDEX(nQ8_Parameter_Set,$AH131)&amp;"",INDEX(nQ9_Parameter_Set,$AH131)&amp;"",INDEX(nQ10_Parameter_Set,$AH131)&amp;"",INDEX(nQ11_Parameter_Set,$AH131)&amp;""))</f>
        <v/>
      </c>
      <c r="BG131" s="1" t="str">
        <f>IF($AF131=0,"",CHOOSE($AF131,INDEX(nINT_Assumptions,$AH131)&amp;"",INDEX(nQ1_Assumptions,$AH131)&amp;"",INDEX(nQ2_Assumptions,$AH131)&amp;"",INDEX(nQ3_Assumptions,$AH131)&amp;"",INDEX(nQ4_Assumptions,$AH131)&amp;"",INDEX(nQ5_Assumptions,$AH131)&amp;"",INDEX(nQ6_Assumptions,$AH131)&amp;"",INDEX(nQ7_Assumptions,$AH131)&amp;"",INDEX(nQ8_Assumptions,$AH131)&amp;"",INDEX(nQ9_Assumptions,$AH131)&amp;"",INDEX(nQ10_Assumptions,$AH131)&amp;"",INDEX(nQ11_Assumptions,$AH131)&amp;""))</f>
        <v/>
      </c>
      <c r="BH131" s="1" t="str">
        <f>IF($AF131=0,"",CHOOSE($AF131,INDEX(nINT_Calculation_Version,$AH131)&amp;"",INDEX(nQ1_Calculation_Version,$AH131)&amp;"",INDEX(nQ2_Calculation_Version,$AH131)&amp;"",INDEX(nQ3_Calculation_Version,$AH131)&amp;"",INDEX(nQ4_Calculation_Version,$AH131)&amp;"",INDEX(nQ5_Calculation_Version,$AH131)&amp;"",INDEX(nQ6_Calculation_Version,$AH131)&amp;"",INDEX(nQ7_Calculation_Version,$AH131)&amp;"",INDEX(nQ8_Calculation_Version,$AH131)&amp;"",INDEX(nQ9_Calculation_Version,$AH131)&amp;"",INDEX(nQ10_Calculation_Version,$AH131)&amp;"",INDEX(nQ11_Calculation_Version,$AH131)&amp;""))</f>
        <v/>
      </c>
      <c r="BI131" s="1" t="str">
        <f>IF($AF131=0,"",CHOOSE($AF131,INDEX(nINT_QC_Flags,$AH131)&amp;"",INDEX(nQ1_QC_Flags,$AH131)&amp;"",INDEX(nQ2_QC_Flags,$AH131)&amp;"",INDEX(nQ3_QC_Flags,$AH131)&amp;"",INDEX(nQ4_QC_Flags,$AH131)&amp;"",INDEX(nQ5_QC_Flags,$AH131)&amp;"",INDEX(nQ6_QC_Flags,$AH131)&amp;"",INDEX(nQ7_QC_Flags,$AH131)&amp;"",INDEX(nQ8_QC_Flags,$AH131)&amp;"",INDEX(nQ9_QC_Flags,$AH131)&amp;"",INDEX(nQ10_QC_Flags,$AH131)&amp;"",INDEX(nQ11_QC_Flags,$AH131)&amp;""))</f>
        <v/>
      </c>
      <c r="BJ131" s="1" t="str">
        <f>IF($AF131=0,"",CHOOSE($AF131,INDEX(nINT_Messages,$AH131)&amp;"",INDEX(nQ1_Messages,$AH131)&amp;"",INDEX(nQ2_Messages,$AH131)&amp;"",INDEX(nQ3_Messages,$AH131)&amp;"",INDEX(nQ4_Messages,$AH131)&amp;"",INDEX(nQ5_Messages,$AH131)&amp;"",INDEX(nQ6_Messages,$AH131)&amp;"",INDEX(nQ7_Messages,$AH131)&amp;"",INDEX(nQ8_Messages,$AH131)&amp;"",INDEX(nQ9_Messages,$AH131)&amp;"",INDEX(nQ10_Messages,$AH131)&amp;"",INDEX(nQ11_Messages,$AH131)&amp;""))</f>
        <v/>
      </c>
      <c r="BK131" s="1" t="str">
        <f>IF($AF131=0,"",CHOOSE($AF131,INDEX(nINT_Limitations,$AH131)&amp;"",INDEX(nQ1_Mandatory_Text,$AH131)&amp;"",INDEX(nQ2_Mandatory_Text,$AH131)&amp;"",INDEX(nQ3_Mandatory_Text,$AH131)&amp;"",INDEX(nQ4_Mandatory_Text,$AH131)&amp;"",INDEX(nQ5_Mandatory_Text,$AH131)&amp;"",INDEX(nQ6_Mandatory_Text,$AH131)&amp;"",INDEX(nQ7_Mandatory_Text,$AH131)&amp;"",INDEX(nQ8_Mandatory_Text,$AH131)&amp;"",INDEX(nQ9_Mandatory_Text,$AH131)&amp;"",INDEX(nQ10_Mandatory_Text,$AH131)&amp;"",INDEX(nQ11_Mandatory_Text,$AH131)&amp;""))</f>
        <v/>
      </c>
      <c r="BL131" s="1" t="str">
        <f t="shared" si="68"/>
        <v/>
      </c>
      <c r="BM131" s="1" t="str">
        <f t="shared" si="69"/>
        <v/>
      </c>
    </row>
    <row r="132" spans="1:65" x14ac:dyDescent="0.2">
      <c r="A132" s="21" t="str">
        <f t="shared" si="35"/>
        <v/>
      </c>
      <c r="B132" s="21" t="str">
        <f t="shared" si="36"/>
        <v/>
      </c>
      <c r="C132" s="21" t="str">
        <f t="shared" si="37"/>
        <v/>
      </c>
      <c r="D132" s="21" t="str">
        <f t="shared" si="38"/>
        <v/>
      </c>
      <c r="E132" s="21" t="str">
        <f t="shared" si="39"/>
        <v/>
      </c>
      <c r="F132" s="21" t="str">
        <f t="shared" si="40"/>
        <v/>
      </c>
      <c r="G132" s="21" t="str">
        <f t="shared" si="41"/>
        <v/>
      </c>
      <c r="H132" s="21" t="str">
        <f t="shared" si="42"/>
        <v/>
      </c>
      <c r="I132" s="21" t="str">
        <f t="shared" si="43"/>
        <v/>
      </c>
      <c r="J132" s="21" t="str">
        <f t="shared" si="44"/>
        <v/>
      </c>
      <c r="K132" s="21" t="str">
        <f t="shared" si="45"/>
        <v/>
      </c>
      <c r="L132" s="21" t="str">
        <f t="shared" si="46"/>
        <v/>
      </c>
      <c r="M132" s="21" t="str">
        <f t="shared" si="47"/>
        <v/>
      </c>
      <c r="N132" s="21" t="str">
        <f t="shared" si="48"/>
        <v/>
      </c>
      <c r="O132" s="21" t="str">
        <f t="shared" si="49"/>
        <v/>
      </c>
      <c r="P132" s="21" t="str">
        <f t="shared" si="50"/>
        <v/>
      </c>
      <c r="Q132" s="21" t="str">
        <f t="shared" si="51"/>
        <v/>
      </c>
      <c r="R132" s="21" t="str">
        <f t="shared" si="52"/>
        <v/>
      </c>
      <c r="S132" s="21" t="str">
        <f t="shared" si="53"/>
        <v/>
      </c>
      <c r="T132" s="21" t="str">
        <f t="shared" si="54"/>
        <v/>
      </c>
      <c r="U132" s="21" t="str">
        <f t="shared" si="55"/>
        <v/>
      </c>
      <c r="V132" s="21" t="str">
        <f t="shared" si="56"/>
        <v/>
      </c>
      <c r="W132" s="21" t="str">
        <f t="shared" si="57"/>
        <v/>
      </c>
      <c r="X132" s="21" t="str">
        <f t="shared" si="58"/>
        <v/>
      </c>
      <c r="Y132" s="21" t="str">
        <f t="shared" si="59"/>
        <v/>
      </c>
      <c r="Z132" s="21" t="str">
        <f t="shared" si="60"/>
        <v/>
      </c>
      <c r="AA132" s="21" t="str">
        <f t="shared" si="61"/>
        <v/>
      </c>
      <c r="AB132" s="21" t="str">
        <f t="shared" si="62"/>
        <v/>
      </c>
      <c r="AC132" s="21" t="str">
        <f t="shared" si="63"/>
        <v/>
      </c>
      <c r="AD132" s="21" t="str">
        <f t="shared" si="64"/>
        <v/>
      </c>
      <c r="AE132" s="1">
        <f t="shared" si="65"/>
        <v>125</v>
      </c>
      <c r="AF132" s="1">
        <f t="shared" si="66"/>
        <v>0</v>
      </c>
      <c r="AG132" s="1">
        <f t="shared" si="67"/>
        <v>0</v>
      </c>
      <c r="AH132" s="1">
        <f>IF(AF132=0,0,CHOOSE(AF132,IFERROR(_xlfn.AGGREGATE(15,6,(ROW(nINT_CaseKey)-ROW(INDEX(nINT_CaseKey,1,1))+1)/((nINT_CaseKey=$H$4)*(nINT_RowEmpty=0)),AG132),0),IFERROR(_xlfn.AGGREGATE(15,6,(ROW(nQ1_CaseKey)-ROW(INDEX(nQ1_CaseKey,1,1))+1)/((nQ1_CaseKey=$H$4)),AG132),0),IFERROR(_xlfn.AGGREGATE(15,6,(ROW(nQ2_CaseKey)-ROW(INDEX(nQ2_CaseKey,1,1))+1)/((nQ2_CaseKey=$H$4)),AG132),0),IFERROR(_xlfn.AGGREGATE(15,6,(ROW(nQ3_CaseKey)-ROW(INDEX(nQ3_CaseKey,1,1))+1)/((nQ3_CaseKey=$H$4)),AG132),0),IFERROR(_xlfn.AGGREGATE(15,6,(ROW(nQ4_CaseKey)-ROW(INDEX(nQ4_CaseKey,1,1))+1)/((nQ4_CaseKey=$H$4)),AG132),0),IFERROR(_xlfn.AGGREGATE(15,6,(ROW(nQ5_CaseKey)-ROW(INDEX(nQ5_CaseKey,1,1))+1)/((nQ5_CaseKey=$H$4)),AG132),0),IFERROR(_xlfn.AGGREGATE(15,6,(ROW(nQ6_CaseKey)-ROW(INDEX(nQ6_CaseKey,1,1))+1)/((nQ6_CaseKey=$H$4)),AG132),0),IFERROR(_xlfn.AGGREGATE(15,6,(ROW(nQ7_CaseKey)-ROW(INDEX(nQ7_CaseKey,1,1))+1)/((nQ7_CaseKey=$H$4)),AG132),0),IFERROR(_xlfn.AGGREGATE(15,6,(ROW(nQ8_CaseKey)-ROW(INDEX(nQ8_CaseKey,1,1))+1)/((nQ8_CaseKey=$H$4)),AG132),0),IFERROR(_xlfn.AGGREGATE(15,6,(ROW(nQ9_CaseKey)-ROW(INDEX(nQ9_CaseKey,1,1))+1)/((nQ9_CaseKey=$H$4)),AG132),0),IFERROR(_xlfn.AGGREGATE(15,6,(ROW(nQ10_CaseKey)-ROW(INDEX(nQ10_CaseKey,1,1))+1)/((nQ10_CaseKey=$H$4)),AG132),0),IFERROR(_xlfn.AGGREGATE(15,6,(ROW(nQ11_CaseKey)-ROW(INDEX(nQ11_CaseKey,1,1))+1)/((nQ11_CaseKey=$H$4)),AG132),0)))</f>
        <v>0</v>
      </c>
      <c r="AJ132" s="1" t="str">
        <f>IF($AF132=0,"",CHOOSE($AF132,INDEX(nINT_Case_ID,$AH132)&amp;"",INDEX(nQ1_Case_ID,$AH132)&amp;"",INDEX(nQ2_Case_ID,$AH132)&amp;"",INDEX(nQ3_Case_ID,$AH132)&amp;"",INDEX(nQ4_Case_ID,$AH132)&amp;"",INDEX(nQ5_Case_ID,$AH132)&amp;"",INDEX(nQ6_Case_ID,$AH132)&amp;"",INDEX(nQ7_Case_ID,$AH132)&amp;"",INDEX(nQ8_Case_ID,$AH132)&amp;"",INDEX(nQ9_Case_ID,$AH132)&amp;"",INDEX(nQ10_Case_ID,$AH132)&amp;"",INDEX(nQ11_Case_ID,$AH132)&amp;""))</f>
        <v/>
      </c>
      <c r="AK132" s="1" t="str">
        <f>IF($AF132=0,"",CHOOSE($AF132,INDEX(nINT_Case_Version,$AH132),INDEX(nQ1_Case_Version,$AH132),INDEX(nQ2_Case_Version,$AH132),INDEX(nQ3_Case_Version,$AH132),INDEX(nQ4_Case_Version,$AH132),INDEX(nQ5_Case_Version,$AH132),INDEX(nQ6_Case_Version,$AH132),INDEX(nQ7_Case_Version,$AH132),INDEX(nQ8_Case_Version,$AH132),INDEX(nQ9_Case_Version,$AH132),INDEX(nQ10_Case_Version,$AH132),INDEX(nQ11_Case_Version,$AH132)))</f>
        <v/>
      </c>
      <c r="AL132" s="1" t="str">
        <f>IF($AF132=0,"",CHOOSE($AF132,INDEX(nINT_Interval_ID,$AH132)&amp;"",INDEX(nQ1_Calc_ID,$AH132)&amp;"",INDEX(nQ2_Calc_ID,$AH132)&amp;"",INDEX(nQ3_Calc_ID,$AH132)&amp;"",INDEX(nQ4_Calc_ID,$AH132)&amp;"",INDEX(nQ5_Calc_ID,$AH132)&amp;"",INDEX(nQ6_Calc_ID,$AH132)&amp;"",INDEX(nQ7_Calc_ID,$AH132)&amp;"",INDEX(nQ8_Calc_ID,$AH132)&amp;"",INDEX(nQ9_Calc_ID,$AH132)&amp;"",INDEX(nQ10_Calc_ID,$AH132)&amp;"",INDEX(nQ11_Calc_ID,$AH132)&amp;""))</f>
        <v/>
      </c>
      <c r="AM132" s="1" t="str">
        <f>IF($AF132=0,"",CHOOSE($AF132,INDEX(nINT_Label,$AH132)&amp;"",INDEX(nQ1_Label_Out,$AH132)&amp;"",INDEX(nQ2_Label_Out,$AH132)&amp;"",INDEX(nQ3_Label_Out,$AH132)&amp;"",INDEX(nQ4_Label_Out,$AH132)&amp;"",INDEX(nQ5_Label_Out,$AH132)&amp;"",INDEX(nQ6_Label_Out,$AH132)&amp;"",INDEX(nQ7_Label_Out,$AH132)&amp;"",INDEX(nQ8_Label_Out,$AH132)&amp;"",INDEX(nQ9_Label_Out,$AH132)&amp;"",INDEX(nQ10_Label_Out,$AH132)&amp;"",INDEX(nQ11_Label_Out,$AH132)&amp;""))</f>
        <v/>
      </c>
      <c r="AN132" s="1" t="str">
        <f>IF($AF132=0,"",CHOOSE($AF132,IF(INDEX(nINT_LinkRow,$AH132)=0,"",INDEX(nINT_Link_ID,$AH132)&amp;""),"","","","","","","","","","",""))</f>
        <v/>
      </c>
      <c r="AO132" s="1" t="str">
        <f>IF($AF132=0,"",CHOOSE($AF132,INDEX(nINT_Exposure_Episode_ID,$AH132)&amp;"","","","","","","","","","","",""))</f>
        <v/>
      </c>
      <c r="AP132" s="1" t="str">
        <f>IF($AF132=0,"",CHOOSE($AF132,INDEX(nINT_Event_Episode_ID,$AH132)&amp;"","","","","","","","","","","",""))</f>
        <v/>
      </c>
      <c r="AQ132" s="1" t="str">
        <f>IF($AF132=0,"",CHOOSE($AF132,INDEX(nINT_End_Record_ID_Used,$AH132)&amp;"","","","","","","","","","","",""))</f>
        <v/>
      </c>
      <c r="AR132" s="1" t="str">
        <f>IF($AF132=0,"",CHOOSE($AF132,INDEX(nINT_Interval_Value,$AH132),"","","","","","","","","","",""))</f>
        <v/>
      </c>
      <c r="AS132" s="1" t="str">
        <f>IF($AF132=0,"",CHOOSE($AF132,INDEX(nINT_Interval_Minimum,$AH132),"","","","","","","","","","",""))</f>
        <v/>
      </c>
      <c r="AT132" s="1" t="str">
        <f>IF($AF132=0,"",CHOOSE($AF132,INDEX(nINT_Interval_Maximum,$AH132),"","","","","","","","","","",""))</f>
        <v/>
      </c>
      <c r="AU132" s="1" t="str">
        <f>IF($AF132=0,"",CHOOSE($AF132,INDEX(nINT_Unit,$AH132)&amp;"",INDEX(nQ1_Unit_Out,$AH132)&amp;"",INDEX(nQ2_Unit_Out,$AH132)&amp;"",INDEX(nQ3_Unit_Out,$AH132)&amp;"",INDEX(nQ4_Unit_Out,$AH132)&amp;"",INDEX(nQ5_Unit_Out,$AH132)&amp;"",INDEX(nQ6_Unit_Out,$AH132)&amp;"",INDEX(nQ7_Unit_Out,$AH132)&amp;"",INDEX(nQ8_Unit_Out,$AH132)&amp;"",INDEX(nQ9_Unit_Out,$AH132)&amp;"",INDEX(nQ10_Unit_Out,$AH132)&amp;"",INDEX(nQ11_Unit_Out,$AH132)&amp;""))</f>
        <v/>
      </c>
      <c r="AV132" s="1" t="str">
        <f>IF($AF132=0,"",CHOOSE($AF132,INDEX(nINT_Displayed_Value,$AH132)&amp;"",INDEX(nQ1_Displayed_Value,$AH132)&amp;"",INDEX(nQ2_Displayed_Value,$AH132)&amp;"",INDEX(nQ3_Displayed_Value,$AH132)&amp;"",INDEX(nQ4_Displayed_Value,$AH132)&amp;"",INDEX(nQ5_Displayed_Value,$AH132)&amp;"",INDEX(nQ6_Displayed_Value,$AH132)&amp;"",INDEX(nQ7_Displayed_Value,$AH132)&amp;"",INDEX(nQ8_Displayed_Value,$AH132)&amp;"",INDEX(nQ9_Displayed_Value,$AH132)&amp;"",INDEX(nQ10_Displayed_Value,$AH132)&amp;"",INDEX(nQ11_Displayed_Value,$AH132)&amp;""))</f>
        <v/>
      </c>
      <c r="AW132" s="1" t="str">
        <f>IF($AF132=0,"",CHOOSE($AF132,INDEX(nINT_Calculation_Mode_Used,$AH132)&amp;"","Q1","Q2","Q3","Q4","Q5","Q6","Q7","Q8","Q9","Q10","Q11"))</f>
        <v/>
      </c>
      <c r="AX132" s="1" t="str">
        <f>IF($AF132=0,"",CHOOSE($AF132,INDEX(nINT_Anchor_Type,$AH132)&amp;"","","","","","","","","","","",""))</f>
        <v/>
      </c>
      <c r="AY132" s="1" t="str">
        <f>IF($AF132=0,"",CHOOSE($AF132,IF(INDEX(nINT_K_Ok,$AH132)=1,INDEX(nINT_Anchor_Record_ID_Used,$AH132)&amp;"",""),"","","","","","","","","","",""))</f>
        <v/>
      </c>
      <c r="AZ132" s="1" t="str">
        <f>IF($AF132=0,"",CHOOSE($AF132,INDEX(nINT_Anchor_Description,$AH132)&amp;"","","","","","","","","","","",""))</f>
        <v/>
      </c>
      <c r="BA132" s="1" t="str">
        <f>IF($AF132=0,"",CHOOSE($AF132,INDEX(nINT_Sequence_Status,$AH132)&amp;"","","","","","","","","","","",""))</f>
        <v/>
      </c>
      <c r="BB132" s="1" t="str">
        <f>IF($AF132=0,"",CHOOSE($AF132,INDEX(nINT_Treatment_Day,$AH132),"","","","","","","","","","",""))</f>
        <v/>
      </c>
      <c r="BC132" s="1" t="str">
        <f>IF($AF132=0,"",CHOOSE($AF132,INDEX(nINT_Reported_Timing_Result,$AH132)&amp;"","","","","","","","","","","",""))</f>
        <v/>
      </c>
      <c r="BD132" s="1" t="str">
        <f>IF($AF132=0,"",CHOOSE($AF132,IF(INDEX(nINT_K_HasC,$AH132)=1,INDEX(nINT_Constraint_Source,$AH132)&amp;"",""),"","","","","","","","","","",""))</f>
        <v/>
      </c>
      <c r="BE132" s="1" t="str">
        <f>IF($AF132=0,"",CHOOSE($AF132,"",INDEX(nQ1_Results_Text,$AH132)&amp;"",INDEX(nQ2_Results_Text,$AH132)&amp;"",INDEX(nQ3_Results_Text,$AH132)&amp;"",INDEX(nQ4_Results_Text,$AH132)&amp;"",INDEX(nQ5_Results_Text,$AH132)&amp;"",INDEX(nQ6_Results_Text,$AH132)&amp;"",INDEX(nQ7_Results_Text,$AH132)&amp;"",INDEX(nQ8_Results_Text,$AH132)&amp;"",INDEX(nQ9_Results_Text,$AH132)&amp;"",INDEX(nQ10_Results_Text,$AH132)&amp;"",INDEX(nQ11_Results_Text,$AH132)&amp;""))</f>
        <v/>
      </c>
      <c r="BF132" s="1" t="str">
        <f>IF($AF132=0,"",CHOOSE($AF132,INDEX(nINT_Parameter_Set,$AH132)&amp;"",INDEX(nQ1_Parameter_Set,$AH132)&amp;"",INDEX(nQ2_Parameter_Set,$AH132)&amp;"",INDEX(nQ3_Parameter_Set,$AH132)&amp;"",INDEX(nQ4_Parameter_Set,$AH132)&amp;"",INDEX(nQ5_Parameter_Set,$AH132)&amp;"",INDEX(nQ6_Parameter_Set,$AH132)&amp;"",INDEX(nQ7_Parameter_Set,$AH132)&amp;"",INDEX(nQ8_Parameter_Set,$AH132)&amp;"",INDEX(nQ9_Parameter_Set,$AH132)&amp;"",INDEX(nQ10_Parameter_Set,$AH132)&amp;"",INDEX(nQ11_Parameter_Set,$AH132)&amp;""))</f>
        <v/>
      </c>
      <c r="BG132" s="1" t="str">
        <f>IF($AF132=0,"",CHOOSE($AF132,INDEX(nINT_Assumptions,$AH132)&amp;"",INDEX(nQ1_Assumptions,$AH132)&amp;"",INDEX(nQ2_Assumptions,$AH132)&amp;"",INDEX(nQ3_Assumptions,$AH132)&amp;"",INDEX(nQ4_Assumptions,$AH132)&amp;"",INDEX(nQ5_Assumptions,$AH132)&amp;"",INDEX(nQ6_Assumptions,$AH132)&amp;"",INDEX(nQ7_Assumptions,$AH132)&amp;"",INDEX(nQ8_Assumptions,$AH132)&amp;"",INDEX(nQ9_Assumptions,$AH132)&amp;"",INDEX(nQ10_Assumptions,$AH132)&amp;"",INDEX(nQ11_Assumptions,$AH132)&amp;""))</f>
        <v/>
      </c>
      <c r="BH132" s="1" t="str">
        <f>IF($AF132=0,"",CHOOSE($AF132,INDEX(nINT_Calculation_Version,$AH132)&amp;"",INDEX(nQ1_Calculation_Version,$AH132)&amp;"",INDEX(nQ2_Calculation_Version,$AH132)&amp;"",INDEX(nQ3_Calculation_Version,$AH132)&amp;"",INDEX(nQ4_Calculation_Version,$AH132)&amp;"",INDEX(nQ5_Calculation_Version,$AH132)&amp;"",INDEX(nQ6_Calculation_Version,$AH132)&amp;"",INDEX(nQ7_Calculation_Version,$AH132)&amp;"",INDEX(nQ8_Calculation_Version,$AH132)&amp;"",INDEX(nQ9_Calculation_Version,$AH132)&amp;"",INDEX(nQ10_Calculation_Version,$AH132)&amp;"",INDEX(nQ11_Calculation_Version,$AH132)&amp;""))</f>
        <v/>
      </c>
      <c r="BI132" s="1" t="str">
        <f>IF($AF132=0,"",CHOOSE($AF132,INDEX(nINT_QC_Flags,$AH132)&amp;"",INDEX(nQ1_QC_Flags,$AH132)&amp;"",INDEX(nQ2_QC_Flags,$AH132)&amp;"",INDEX(nQ3_QC_Flags,$AH132)&amp;"",INDEX(nQ4_QC_Flags,$AH132)&amp;"",INDEX(nQ5_QC_Flags,$AH132)&amp;"",INDEX(nQ6_QC_Flags,$AH132)&amp;"",INDEX(nQ7_QC_Flags,$AH132)&amp;"",INDEX(nQ8_QC_Flags,$AH132)&amp;"",INDEX(nQ9_QC_Flags,$AH132)&amp;"",INDEX(nQ10_QC_Flags,$AH132)&amp;"",INDEX(nQ11_QC_Flags,$AH132)&amp;""))</f>
        <v/>
      </c>
      <c r="BJ132" s="1" t="str">
        <f>IF($AF132=0,"",CHOOSE($AF132,INDEX(nINT_Messages,$AH132)&amp;"",INDEX(nQ1_Messages,$AH132)&amp;"",INDEX(nQ2_Messages,$AH132)&amp;"",INDEX(nQ3_Messages,$AH132)&amp;"",INDEX(nQ4_Messages,$AH132)&amp;"",INDEX(nQ5_Messages,$AH132)&amp;"",INDEX(nQ6_Messages,$AH132)&amp;"",INDEX(nQ7_Messages,$AH132)&amp;"",INDEX(nQ8_Messages,$AH132)&amp;"",INDEX(nQ9_Messages,$AH132)&amp;"",INDEX(nQ10_Messages,$AH132)&amp;"",INDEX(nQ11_Messages,$AH132)&amp;""))</f>
        <v/>
      </c>
      <c r="BK132" s="1" t="str">
        <f>IF($AF132=0,"",CHOOSE($AF132,INDEX(nINT_Limitations,$AH132)&amp;"",INDEX(nQ1_Mandatory_Text,$AH132)&amp;"",INDEX(nQ2_Mandatory_Text,$AH132)&amp;"",INDEX(nQ3_Mandatory_Text,$AH132)&amp;"",INDEX(nQ4_Mandatory_Text,$AH132)&amp;"",INDEX(nQ5_Mandatory_Text,$AH132)&amp;"",INDEX(nQ6_Mandatory_Text,$AH132)&amp;"",INDEX(nQ7_Mandatory_Text,$AH132)&amp;"",INDEX(nQ8_Mandatory_Text,$AH132)&amp;"",INDEX(nQ9_Mandatory_Text,$AH132)&amp;"",INDEX(nQ10_Mandatory_Text,$AH132)&amp;"",INDEX(nQ11_Mandatory_Text,$AH132)&amp;""))</f>
        <v/>
      </c>
      <c r="BL132" s="1" t="str">
        <f t="shared" si="68"/>
        <v/>
      </c>
      <c r="BM132" s="1" t="str">
        <f t="shared" si="69"/>
        <v/>
      </c>
    </row>
    <row r="133" spans="1:65" x14ac:dyDescent="0.2">
      <c r="A133" s="21" t="str">
        <f t="shared" si="35"/>
        <v/>
      </c>
      <c r="B133" s="21" t="str">
        <f t="shared" si="36"/>
        <v/>
      </c>
      <c r="C133" s="21" t="str">
        <f t="shared" si="37"/>
        <v/>
      </c>
      <c r="D133" s="21" t="str">
        <f t="shared" si="38"/>
        <v/>
      </c>
      <c r="E133" s="21" t="str">
        <f t="shared" si="39"/>
        <v/>
      </c>
      <c r="F133" s="21" t="str">
        <f t="shared" si="40"/>
        <v/>
      </c>
      <c r="G133" s="21" t="str">
        <f t="shared" si="41"/>
        <v/>
      </c>
      <c r="H133" s="21" t="str">
        <f t="shared" si="42"/>
        <v/>
      </c>
      <c r="I133" s="21" t="str">
        <f t="shared" si="43"/>
        <v/>
      </c>
      <c r="J133" s="21" t="str">
        <f t="shared" si="44"/>
        <v/>
      </c>
      <c r="K133" s="21" t="str">
        <f t="shared" si="45"/>
        <v/>
      </c>
      <c r="L133" s="21" t="str">
        <f t="shared" si="46"/>
        <v/>
      </c>
      <c r="M133" s="21" t="str">
        <f t="shared" si="47"/>
        <v/>
      </c>
      <c r="N133" s="21" t="str">
        <f t="shared" si="48"/>
        <v/>
      </c>
      <c r="O133" s="21" t="str">
        <f t="shared" si="49"/>
        <v/>
      </c>
      <c r="P133" s="21" t="str">
        <f t="shared" si="50"/>
        <v/>
      </c>
      <c r="Q133" s="21" t="str">
        <f t="shared" si="51"/>
        <v/>
      </c>
      <c r="R133" s="21" t="str">
        <f t="shared" si="52"/>
        <v/>
      </c>
      <c r="S133" s="21" t="str">
        <f t="shared" si="53"/>
        <v/>
      </c>
      <c r="T133" s="21" t="str">
        <f t="shared" si="54"/>
        <v/>
      </c>
      <c r="U133" s="21" t="str">
        <f t="shared" si="55"/>
        <v/>
      </c>
      <c r="V133" s="21" t="str">
        <f t="shared" si="56"/>
        <v/>
      </c>
      <c r="W133" s="21" t="str">
        <f t="shared" si="57"/>
        <v/>
      </c>
      <c r="X133" s="21" t="str">
        <f t="shared" si="58"/>
        <v/>
      </c>
      <c r="Y133" s="21" t="str">
        <f t="shared" si="59"/>
        <v/>
      </c>
      <c r="Z133" s="21" t="str">
        <f t="shared" si="60"/>
        <v/>
      </c>
      <c r="AA133" s="21" t="str">
        <f t="shared" si="61"/>
        <v/>
      </c>
      <c r="AB133" s="21" t="str">
        <f t="shared" si="62"/>
        <v/>
      </c>
      <c r="AC133" s="21" t="str">
        <f t="shared" si="63"/>
        <v/>
      </c>
      <c r="AD133" s="21" t="str">
        <f t="shared" si="64"/>
        <v/>
      </c>
      <c r="AE133" s="1">
        <f t="shared" si="65"/>
        <v>126</v>
      </c>
      <c r="AF133" s="1">
        <f t="shared" si="66"/>
        <v>0</v>
      </c>
      <c r="AG133" s="1">
        <f t="shared" si="67"/>
        <v>0</v>
      </c>
      <c r="AH133" s="1">
        <f>IF(AF133=0,0,CHOOSE(AF133,IFERROR(_xlfn.AGGREGATE(15,6,(ROW(nINT_CaseKey)-ROW(INDEX(nINT_CaseKey,1,1))+1)/((nINT_CaseKey=$H$4)*(nINT_RowEmpty=0)),AG133),0),IFERROR(_xlfn.AGGREGATE(15,6,(ROW(nQ1_CaseKey)-ROW(INDEX(nQ1_CaseKey,1,1))+1)/((nQ1_CaseKey=$H$4)),AG133),0),IFERROR(_xlfn.AGGREGATE(15,6,(ROW(nQ2_CaseKey)-ROW(INDEX(nQ2_CaseKey,1,1))+1)/((nQ2_CaseKey=$H$4)),AG133),0),IFERROR(_xlfn.AGGREGATE(15,6,(ROW(nQ3_CaseKey)-ROW(INDEX(nQ3_CaseKey,1,1))+1)/((nQ3_CaseKey=$H$4)),AG133),0),IFERROR(_xlfn.AGGREGATE(15,6,(ROW(nQ4_CaseKey)-ROW(INDEX(nQ4_CaseKey,1,1))+1)/((nQ4_CaseKey=$H$4)),AG133),0),IFERROR(_xlfn.AGGREGATE(15,6,(ROW(nQ5_CaseKey)-ROW(INDEX(nQ5_CaseKey,1,1))+1)/((nQ5_CaseKey=$H$4)),AG133),0),IFERROR(_xlfn.AGGREGATE(15,6,(ROW(nQ6_CaseKey)-ROW(INDEX(nQ6_CaseKey,1,1))+1)/((nQ6_CaseKey=$H$4)),AG133),0),IFERROR(_xlfn.AGGREGATE(15,6,(ROW(nQ7_CaseKey)-ROW(INDEX(nQ7_CaseKey,1,1))+1)/((nQ7_CaseKey=$H$4)),AG133),0),IFERROR(_xlfn.AGGREGATE(15,6,(ROW(nQ8_CaseKey)-ROW(INDEX(nQ8_CaseKey,1,1))+1)/((nQ8_CaseKey=$H$4)),AG133),0),IFERROR(_xlfn.AGGREGATE(15,6,(ROW(nQ9_CaseKey)-ROW(INDEX(nQ9_CaseKey,1,1))+1)/((nQ9_CaseKey=$H$4)),AG133),0),IFERROR(_xlfn.AGGREGATE(15,6,(ROW(nQ10_CaseKey)-ROW(INDEX(nQ10_CaseKey,1,1))+1)/((nQ10_CaseKey=$H$4)),AG133),0),IFERROR(_xlfn.AGGREGATE(15,6,(ROW(nQ11_CaseKey)-ROW(INDEX(nQ11_CaseKey,1,1))+1)/((nQ11_CaseKey=$H$4)),AG133),0)))</f>
        <v>0</v>
      </c>
      <c r="AJ133" s="1" t="str">
        <f>IF($AF133=0,"",CHOOSE($AF133,INDEX(nINT_Case_ID,$AH133)&amp;"",INDEX(nQ1_Case_ID,$AH133)&amp;"",INDEX(nQ2_Case_ID,$AH133)&amp;"",INDEX(nQ3_Case_ID,$AH133)&amp;"",INDEX(nQ4_Case_ID,$AH133)&amp;"",INDEX(nQ5_Case_ID,$AH133)&amp;"",INDEX(nQ6_Case_ID,$AH133)&amp;"",INDEX(nQ7_Case_ID,$AH133)&amp;"",INDEX(nQ8_Case_ID,$AH133)&amp;"",INDEX(nQ9_Case_ID,$AH133)&amp;"",INDEX(nQ10_Case_ID,$AH133)&amp;"",INDEX(nQ11_Case_ID,$AH133)&amp;""))</f>
        <v/>
      </c>
      <c r="AK133" s="1" t="str">
        <f>IF($AF133=0,"",CHOOSE($AF133,INDEX(nINT_Case_Version,$AH133),INDEX(nQ1_Case_Version,$AH133),INDEX(nQ2_Case_Version,$AH133),INDEX(nQ3_Case_Version,$AH133),INDEX(nQ4_Case_Version,$AH133),INDEX(nQ5_Case_Version,$AH133),INDEX(nQ6_Case_Version,$AH133),INDEX(nQ7_Case_Version,$AH133),INDEX(nQ8_Case_Version,$AH133),INDEX(nQ9_Case_Version,$AH133),INDEX(nQ10_Case_Version,$AH133),INDEX(nQ11_Case_Version,$AH133)))</f>
        <v/>
      </c>
      <c r="AL133" s="1" t="str">
        <f>IF($AF133=0,"",CHOOSE($AF133,INDEX(nINT_Interval_ID,$AH133)&amp;"",INDEX(nQ1_Calc_ID,$AH133)&amp;"",INDEX(nQ2_Calc_ID,$AH133)&amp;"",INDEX(nQ3_Calc_ID,$AH133)&amp;"",INDEX(nQ4_Calc_ID,$AH133)&amp;"",INDEX(nQ5_Calc_ID,$AH133)&amp;"",INDEX(nQ6_Calc_ID,$AH133)&amp;"",INDEX(nQ7_Calc_ID,$AH133)&amp;"",INDEX(nQ8_Calc_ID,$AH133)&amp;"",INDEX(nQ9_Calc_ID,$AH133)&amp;"",INDEX(nQ10_Calc_ID,$AH133)&amp;"",INDEX(nQ11_Calc_ID,$AH133)&amp;""))</f>
        <v/>
      </c>
      <c r="AM133" s="1" t="str">
        <f>IF($AF133=0,"",CHOOSE($AF133,INDEX(nINT_Label,$AH133)&amp;"",INDEX(nQ1_Label_Out,$AH133)&amp;"",INDEX(nQ2_Label_Out,$AH133)&amp;"",INDEX(nQ3_Label_Out,$AH133)&amp;"",INDEX(nQ4_Label_Out,$AH133)&amp;"",INDEX(nQ5_Label_Out,$AH133)&amp;"",INDEX(nQ6_Label_Out,$AH133)&amp;"",INDEX(nQ7_Label_Out,$AH133)&amp;"",INDEX(nQ8_Label_Out,$AH133)&amp;"",INDEX(nQ9_Label_Out,$AH133)&amp;"",INDEX(nQ10_Label_Out,$AH133)&amp;"",INDEX(nQ11_Label_Out,$AH133)&amp;""))</f>
        <v/>
      </c>
      <c r="AN133" s="1" t="str">
        <f>IF($AF133=0,"",CHOOSE($AF133,IF(INDEX(nINT_LinkRow,$AH133)=0,"",INDEX(nINT_Link_ID,$AH133)&amp;""),"","","","","","","","","","",""))</f>
        <v/>
      </c>
      <c r="AO133" s="1" t="str">
        <f>IF($AF133=0,"",CHOOSE($AF133,INDEX(nINT_Exposure_Episode_ID,$AH133)&amp;"","","","","","","","","","","",""))</f>
        <v/>
      </c>
      <c r="AP133" s="1" t="str">
        <f>IF($AF133=0,"",CHOOSE($AF133,INDEX(nINT_Event_Episode_ID,$AH133)&amp;"","","","","","","","","","","",""))</f>
        <v/>
      </c>
      <c r="AQ133" s="1" t="str">
        <f>IF($AF133=0,"",CHOOSE($AF133,INDEX(nINT_End_Record_ID_Used,$AH133)&amp;"","","","","","","","","","","",""))</f>
        <v/>
      </c>
      <c r="AR133" s="1" t="str">
        <f>IF($AF133=0,"",CHOOSE($AF133,INDEX(nINT_Interval_Value,$AH133),"","","","","","","","","","",""))</f>
        <v/>
      </c>
      <c r="AS133" s="1" t="str">
        <f>IF($AF133=0,"",CHOOSE($AF133,INDEX(nINT_Interval_Minimum,$AH133),"","","","","","","","","","",""))</f>
        <v/>
      </c>
      <c r="AT133" s="1" t="str">
        <f>IF($AF133=0,"",CHOOSE($AF133,INDEX(nINT_Interval_Maximum,$AH133),"","","","","","","","","","",""))</f>
        <v/>
      </c>
      <c r="AU133" s="1" t="str">
        <f>IF($AF133=0,"",CHOOSE($AF133,INDEX(nINT_Unit,$AH133)&amp;"",INDEX(nQ1_Unit_Out,$AH133)&amp;"",INDEX(nQ2_Unit_Out,$AH133)&amp;"",INDEX(nQ3_Unit_Out,$AH133)&amp;"",INDEX(nQ4_Unit_Out,$AH133)&amp;"",INDEX(nQ5_Unit_Out,$AH133)&amp;"",INDEX(nQ6_Unit_Out,$AH133)&amp;"",INDEX(nQ7_Unit_Out,$AH133)&amp;"",INDEX(nQ8_Unit_Out,$AH133)&amp;"",INDEX(nQ9_Unit_Out,$AH133)&amp;"",INDEX(nQ10_Unit_Out,$AH133)&amp;"",INDEX(nQ11_Unit_Out,$AH133)&amp;""))</f>
        <v/>
      </c>
      <c r="AV133" s="1" t="str">
        <f>IF($AF133=0,"",CHOOSE($AF133,INDEX(nINT_Displayed_Value,$AH133)&amp;"",INDEX(nQ1_Displayed_Value,$AH133)&amp;"",INDEX(nQ2_Displayed_Value,$AH133)&amp;"",INDEX(nQ3_Displayed_Value,$AH133)&amp;"",INDEX(nQ4_Displayed_Value,$AH133)&amp;"",INDEX(nQ5_Displayed_Value,$AH133)&amp;"",INDEX(nQ6_Displayed_Value,$AH133)&amp;"",INDEX(nQ7_Displayed_Value,$AH133)&amp;"",INDEX(nQ8_Displayed_Value,$AH133)&amp;"",INDEX(nQ9_Displayed_Value,$AH133)&amp;"",INDEX(nQ10_Displayed_Value,$AH133)&amp;"",INDEX(nQ11_Displayed_Value,$AH133)&amp;""))</f>
        <v/>
      </c>
      <c r="AW133" s="1" t="str">
        <f>IF($AF133=0,"",CHOOSE($AF133,INDEX(nINT_Calculation_Mode_Used,$AH133)&amp;"","Q1","Q2","Q3","Q4","Q5","Q6","Q7","Q8","Q9","Q10","Q11"))</f>
        <v/>
      </c>
      <c r="AX133" s="1" t="str">
        <f>IF($AF133=0,"",CHOOSE($AF133,INDEX(nINT_Anchor_Type,$AH133)&amp;"","","","","","","","","","","",""))</f>
        <v/>
      </c>
      <c r="AY133" s="1" t="str">
        <f>IF($AF133=0,"",CHOOSE($AF133,IF(INDEX(nINT_K_Ok,$AH133)=1,INDEX(nINT_Anchor_Record_ID_Used,$AH133)&amp;"",""),"","","","","","","","","","",""))</f>
        <v/>
      </c>
      <c r="AZ133" s="1" t="str">
        <f>IF($AF133=0,"",CHOOSE($AF133,INDEX(nINT_Anchor_Description,$AH133)&amp;"","","","","","","","","","","",""))</f>
        <v/>
      </c>
      <c r="BA133" s="1" t="str">
        <f>IF($AF133=0,"",CHOOSE($AF133,INDEX(nINT_Sequence_Status,$AH133)&amp;"","","","","","","","","","","",""))</f>
        <v/>
      </c>
      <c r="BB133" s="1" t="str">
        <f>IF($AF133=0,"",CHOOSE($AF133,INDEX(nINT_Treatment_Day,$AH133),"","","","","","","","","","",""))</f>
        <v/>
      </c>
      <c r="BC133" s="1" t="str">
        <f>IF($AF133=0,"",CHOOSE($AF133,INDEX(nINT_Reported_Timing_Result,$AH133)&amp;"","","","","","","","","","","",""))</f>
        <v/>
      </c>
      <c r="BD133" s="1" t="str">
        <f>IF($AF133=0,"",CHOOSE($AF133,IF(INDEX(nINT_K_HasC,$AH133)=1,INDEX(nINT_Constraint_Source,$AH133)&amp;"",""),"","","","","","","","","","",""))</f>
        <v/>
      </c>
      <c r="BE133" s="1" t="str">
        <f>IF($AF133=0,"",CHOOSE($AF133,"",INDEX(nQ1_Results_Text,$AH133)&amp;"",INDEX(nQ2_Results_Text,$AH133)&amp;"",INDEX(nQ3_Results_Text,$AH133)&amp;"",INDEX(nQ4_Results_Text,$AH133)&amp;"",INDEX(nQ5_Results_Text,$AH133)&amp;"",INDEX(nQ6_Results_Text,$AH133)&amp;"",INDEX(nQ7_Results_Text,$AH133)&amp;"",INDEX(nQ8_Results_Text,$AH133)&amp;"",INDEX(nQ9_Results_Text,$AH133)&amp;"",INDEX(nQ10_Results_Text,$AH133)&amp;"",INDEX(nQ11_Results_Text,$AH133)&amp;""))</f>
        <v/>
      </c>
      <c r="BF133" s="1" t="str">
        <f>IF($AF133=0,"",CHOOSE($AF133,INDEX(nINT_Parameter_Set,$AH133)&amp;"",INDEX(nQ1_Parameter_Set,$AH133)&amp;"",INDEX(nQ2_Parameter_Set,$AH133)&amp;"",INDEX(nQ3_Parameter_Set,$AH133)&amp;"",INDEX(nQ4_Parameter_Set,$AH133)&amp;"",INDEX(nQ5_Parameter_Set,$AH133)&amp;"",INDEX(nQ6_Parameter_Set,$AH133)&amp;"",INDEX(nQ7_Parameter_Set,$AH133)&amp;"",INDEX(nQ8_Parameter_Set,$AH133)&amp;"",INDEX(nQ9_Parameter_Set,$AH133)&amp;"",INDEX(nQ10_Parameter_Set,$AH133)&amp;"",INDEX(nQ11_Parameter_Set,$AH133)&amp;""))</f>
        <v/>
      </c>
      <c r="BG133" s="1" t="str">
        <f>IF($AF133=0,"",CHOOSE($AF133,INDEX(nINT_Assumptions,$AH133)&amp;"",INDEX(nQ1_Assumptions,$AH133)&amp;"",INDEX(nQ2_Assumptions,$AH133)&amp;"",INDEX(nQ3_Assumptions,$AH133)&amp;"",INDEX(nQ4_Assumptions,$AH133)&amp;"",INDEX(nQ5_Assumptions,$AH133)&amp;"",INDEX(nQ6_Assumptions,$AH133)&amp;"",INDEX(nQ7_Assumptions,$AH133)&amp;"",INDEX(nQ8_Assumptions,$AH133)&amp;"",INDEX(nQ9_Assumptions,$AH133)&amp;"",INDEX(nQ10_Assumptions,$AH133)&amp;"",INDEX(nQ11_Assumptions,$AH133)&amp;""))</f>
        <v/>
      </c>
      <c r="BH133" s="1" t="str">
        <f>IF($AF133=0,"",CHOOSE($AF133,INDEX(nINT_Calculation_Version,$AH133)&amp;"",INDEX(nQ1_Calculation_Version,$AH133)&amp;"",INDEX(nQ2_Calculation_Version,$AH133)&amp;"",INDEX(nQ3_Calculation_Version,$AH133)&amp;"",INDEX(nQ4_Calculation_Version,$AH133)&amp;"",INDEX(nQ5_Calculation_Version,$AH133)&amp;"",INDEX(nQ6_Calculation_Version,$AH133)&amp;"",INDEX(nQ7_Calculation_Version,$AH133)&amp;"",INDEX(nQ8_Calculation_Version,$AH133)&amp;"",INDEX(nQ9_Calculation_Version,$AH133)&amp;"",INDEX(nQ10_Calculation_Version,$AH133)&amp;"",INDEX(nQ11_Calculation_Version,$AH133)&amp;""))</f>
        <v/>
      </c>
      <c r="BI133" s="1" t="str">
        <f>IF($AF133=0,"",CHOOSE($AF133,INDEX(nINT_QC_Flags,$AH133)&amp;"",INDEX(nQ1_QC_Flags,$AH133)&amp;"",INDEX(nQ2_QC_Flags,$AH133)&amp;"",INDEX(nQ3_QC_Flags,$AH133)&amp;"",INDEX(nQ4_QC_Flags,$AH133)&amp;"",INDEX(nQ5_QC_Flags,$AH133)&amp;"",INDEX(nQ6_QC_Flags,$AH133)&amp;"",INDEX(nQ7_QC_Flags,$AH133)&amp;"",INDEX(nQ8_QC_Flags,$AH133)&amp;"",INDEX(nQ9_QC_Flags,$AH133)&amp;"",INDEX(nQ10_QC_Flags,$AH133)&amp;"",INDEX(nQ11_QC_Flags,$AH133)&amp;""))</f>
        <v/>
      </c>
      <c r="BJ133" s="1" t="str">
        <f>IF($AF133=0,"",CHOOSE($AF133,INDEX(nINT_Messages,$AH133)&amp;"",INDEX(nQ1_Messages,$AH133)&amp;"",INDEX(nQ2_Messages,$AH133)&amp;"",INDEX(nQ3_Messages,$AH133)&amp;"",INDEX(nQ4_Messages,$AH133)&amp;"",INDEX(nQ5_Messages,$AH133)&amp;"",INDEX(nQ6_Messages,$AH133)&amp;"",INDEX(nQ7_Messages,$AH133)&amp;"",INDEX(nQ8_Messages,$AH133)&amp;"",INDEX(nQ9_Messages,$AH133)&amp;"",INDEX(nQ10_Messages,$AH133)&amp;"",INDEX(nQ11_Messages,$AH133)&amp;""))</f>
        <v/>
      </c>
      <c r="BK133" s="1" t="str">
        <f>IF($AF133=0,"",CHOOSE($AF133,INDEX(nINT_Limitations,$AH133)&amp;"",INDEX(nQ1_Mandatory_Text,$AH133)&amp;"",INDEX(nQ2_Mandatory_Text,$AH133)&amp;"",INDEX(nQ3_Mandatory_Text,$AH133)&amp;"",INDEX(nQ4_Mandatory_Text,$AH133)&amp;"",INDEX(nQ5_Mandatory_Text,$AH133)&amp;"",INDEX(nQ6_Mandatory_Text,$AH133)&amp;"",INDEX(nQ7_Mandatory_Text,$AH133)&amp;"",INDEX(nQ8_Mandatory_Text,$AH133)&amp;"",INDEX(nQ9_Mandatory_Text,$AH133)&amp;"",INDEX(nQ10_Mandatory_Text,$AH133)&amp;"",INDEX(nQ11_Mandatory_Text,$AH133)&amp;""))</f>
        <v/>
      </c>
      <c r="BL133" s="1" t="str">
        <f t="shared" si="68"/>
        <v/>
      </c>
      <c r="BM133" s="1" t="str">
        <f t="shared" si="69"/>
        <v/>
      </c>
    </row>
    <row r="134" spans="1:65" x14ac:dyDescent="0.2">
      <c r="A134" s="21" t="str">
        <f t="shared" si="35"/>
        <v/>
      </c>
      <c r="B134" s="21" t="str">
        <f t="shared" si="36"/>
        <v/>
      </c>
      <c r="C134" s="21" t="str">
        <f t="shared" si="37"/>
        <v/>
      </c>
      <c r="D134" s="21" t="str">
        <f t="shared" si="38"/>
        <v/>
      </c>
      <c r="E134" s="21" t="str">
        <f t="shared" si="39"/>
        <v/>
      </c>
      <c r="F134" s="21" t="str">
        <f t="shared" si="40"/>
        <v/>
      </c>
      <c r="G134" s="21" t="str">
        <f t="shared" si="41"/>
        <v/>
      </c>
      <c r="H134" s="21" t="str">
        <f t="shared" si="42"/>
        <v/>
      </c>
      <c r="I134" s="21" t="str">
        <f t="shared" si="43"/>
        <v/>
      </c>
      <c r="J134" s="21" t="str">
        <f t="shared" si="44"/>
        <v/>
      </c>
      <c r="K134" s="21" t="str">
        <f t="shared" si="45"/>
        <v/>
      </c>
      <c r="L134" s="21" t="str">
        <f t="shared" si="46"/>
        <v/>
      </c>
      <c r="M134" s="21" t="str">
        <f t="shared" si="47"/>
        <v/>
      </c>
      <c r="N134" s="21" t="str">
        <f t="shared" si="48"/>
        <v/>
      </c>
      <c r="O134" s="21" t="str">
        <f t="shared" si="49"/>
        <v/>
      </c>
      <c r="P134" s="21" t="str">
        <f t="shared" si="50"/>
        <v/>
      </c>
      <c r="Q134" s="21" t="str">
        <f t="shared" si="51"/>
        <v/>
      </c>
      <c r="R134" s="21" t="str">
        <f t="shared" si="52"/>
        <v/>
      </c>
      <c r="S134" s="21" t="str">
        <f t="shared" si="53"/>
        <v/>
      </c>
      <c r="T134" s="21" t="str">
        <f t="shared" si="54"/>
        <v/>
      </c>
      <c r="U134" s="21" t="str">
        <f t="shared" si="55"/>
        <v/>
      </c>
      <c r="V134" s="21" t="str">
        <f t="shared" si="56"/>
        <v/>
      </c>
      <c r="W134" s="21" t="str">
        <f t="shared" si="57"/>
        <v/>
      </c>
      <c r="X134" s="21" t="str">
        <f t="shared" si="58"/>
        <v/>
      </c>
      <c r="Y134" s="21" t="str">
        <f t="shared" si="59"/>
        <v/>
      </c>
      <c r="Z134" s="21" t="str">
        <f t="shared" si="60"/>
        <v/>
      </c>
      <c r="AA134" s="21" t="str">
        <f t="shared" si="61"/>
        <v/>
      </c>
      <c r="AB134" s="21" t="str">
        <f t="shared" si="62"/>
        <v/>
      </c>
      <c r="AC134" s="21" t="str">
        <f t="shared" si="63"/>
        <v/>
      </c>
      <c r="AD134" s="21" t="str">
        <f t="shared" si="64"/>
        <v/>
      </c>
      <c r="AE134" s="1">
        <f t="shared" si="65"/>
        <v>127</v>
      </c>
      <c r="AF134" s="1">
        <f t="shared" si="66"/>
        <v>0</v>
      </c>
      <c r="AG134" s="1">
        <f t="shared" si="67"/>
        <v>0</v>
      </c>
      <c r="AH134" s="1">
        <f>IF(AF134=0,0,CHOOSE(AF134,IFERROR(_xlfn.AGGREGATE(15,6,(ROW(nINT_CaseKey)-ROW(INDEX(nINT_CaseKey,1,1))+1)/((nINT_CaseKey=$H$4)*(nINT_RowEmpty=0)),AG134),0),IFERROR(_xlfn.AGGREGATE(15,6,(ROW(nQ1_CaseKey)-ROW(INDEX(nQ1_CaseKey,1,1))+1)/((nQ1_CaseKey=$H$4)),AG134),0),IFERROR(_xlfn.AGGREGATE(15,6,(ROW(nQ2_CaseKey)-ROW(INDEX(nQ2_CaseKey,1,1))+1)/((nQ2_CaseKey=$H$4)),AG134),0),IFERROR(_xlfn.AGGREGATE(15,6,(ROW(nQ3_CaseKey)-ROW(INDEX(nQ3_CaseKey,1,1))+1)/((nQ3_CaseKey=$H$4)),AG134),0),IFERROR(_xlfn.AGGREGATE(15,6,(ROW(nQ4_CaseKey)-ROW(INDEX(nQ4_CaseKey,1,1))+1)/((nQ4_CaseKey=$H$4)),AG134),0),IFERROR(_xlfn.AGGREGATE(15,6,(ROW(nQ5_CaseKey)-ROW(INDEX(nQ5_CaseKey,1,1))+1)/((nQ5_CaseKey=$H$4)),AG134),0),IFERROR(_xlfn.AGGREGATE(15,6,(ROW(nQ6_CaseKey)-ROW(INDEX(nQ6_CaseKey,1,1))+1)/((nQ6_CaseKey=$H$4)),AG134),0),IFERROR(_xlfn.AGGREGATE(15,6,(ROW(nQ7_CaseKey)-ROW(INDEX(nQ7_CaseKey,1,1))+1)/((nQ7_CaseKey=$H$4)),AG134),0),IFERROR(_xlfn.AGGREGATE(15,6,(ROW(nQ8_CaseKey)-ROW(INDEX(nQ8_CaseKey,1,1))+1)/((nQ8_CaseKey=$H$4)),AG134),0),IFERROR(_xlfn.AGGREGATE(15,6,(ROW(nQ9_CaseKey)-ROW(INDEX(nQ9_CaseKey,1,1))+1)/((nQ9_CaseKey=$H$4)),AG134),0),IFERROR(_xlfn.AGGREGATE(15,6,(ROW(nQ10_CaseKey)-ROW(INDEX(nQ10_CaseKey,1,1))+1)/((nQ10_CaseKey=$H$4)),AG134),0),IFERROR(_xlfn.AGGREGATE(15,6,(ROW(nQ11_CaseKey)-ROW(INDEX(nQ11_CaseKey,1,1))+1)/((nQ11_CaseKey=$H$4)),AG134),0)))</f>
        <v>0</v>
      </c>
      <c r="AJ134" s="1" t="str">
        <f>IF($AF134=0,"",CHOOSE($AF134,INDEX(nINT_Case_ID,$AH134)&amp;"",INDEX(nQ1_Case_ID,$AH134)&amp;"",INDEX(nQ2_Case_ID,$AH134)&amp;"",INDEX(nQ3_Case_ID,$AH134)&amp;"",INDEX(nQ4_Case_ID,$AH134)&amp;"",INDEX(nQ5_Case_ID,$AH134)&amp;"",INDEX(nQ6_Case_ID,$AH134)&amp;"",INDEX(nQ7_Case_ID,$AH134)&amp;"",INDEX(nQ8_Case_ID,$AH134)&amp;"",INDEX(nQ9_Case_ID,$AH134)&amp;"",INDEX(nQ10_Case_ID,$AH134)&amp;"",INDEX(nQ11_Case_ID,$AH134)&amp;""))</f>
        <v/>
      </c>
      <c r="AK134" s="1" t="str">
        <f>IF($AF134=0,"",CHOOSE($AF134,INDEX(nINT_Case_Version,$AH134),INDEX(nQ1_Case_Version,$AH134),INDEX(nQ2_Case_Version,$AH134),INDEX(nQ3_Case_Version,$AH134),INDEX(nQ4_Case_Version,$AH134),INDEX(nQ5_Case_Version,$AH134),INDEX(nQ6_Case_Version,$AH134),INDEX(nQ7_Case_Version,$AH134),INDEX(nQ8_Case_Version,$AH134),INDEX(nQ9_Case_Version,$AH134),INDEX(nQ10_Case_Version,$AH134),INDEX(nQ11_Case_Version,$AH134)))</f>
        <v/>
      </c>
      <c r="AL134" s="1" t="str">
        <f>IF($AF134=0,"",CHOOSE($AF134,INDEX(nINT_Interval_ID,$AH134)&amp;"",INDEX(nQ1_Calc_ID,$AH134)&amp;"",INDEX(nQ2_Calc_ID,$AH134)&amp;"",INDEX(nQ3_Calc_ID,$AH134)&amp;"",INDEX(nQ4_Calc_ID,$AH134)&amp;"",INDEX(nQ5_Calc_ID,$AH134)&amp;"",INDEX(nQ6_Calc_ID,$AH134)&amp;"",INDEX(nQ7_Calc_ID,$AH134)&amp;"",INDEX(nQ8_Calc_ID,$AH134)&amp;"",INDEX(nQ9_Calc_ID,$AH134)&amp;"",INDEX(nQ10_Calc_ID,$AH134)&amp;"",INDEX(nQ11_Calc_ID,$AH134)&amp;""))</f>
        <v/>
      </c>
      <c r="AM134" s="1" t="str">
        <f>IF($AF134=0,"",CHOOSE($AF134,INDEX(nINT_Label,$AH134)&amp;"",INDEX(nQ1_Label_Out,$AH134)&amp;"",INDEX(nQ2_Label_Out,$AH134)&amp;"",INDEX(nQ3_Label_Out,$AH134)&amp;"",INDEX(nQ4_Label_Out,$AH134)&amp;"",INDEX(nQ5_Label_Out,$AH134)&amp;"",INDEX(nQ6_Label_Out,$AH134)&amp;"",INDEX(nQ7_Label_Out,$AH134)&amp;"",INDEX(nQ8_Label_Out,$AH134)&amp;"",INDEX(nQ9_Label_Out,$AH134)&amp;"",INDEX(nQ10_Label_Out,$AH134)&amp;"",INDEX(nQ11_Label_Out,$AH134)&amp;""))</f>
        <v/>
      </c>
      <c r="AN134" s="1" t="str">
        <f>IF($AF134=0,"",CHOOSE($AF134,IF(INDEX(nINT_LinkRow,$AH134)=0,"",INDEX(nINT_Link_ID,$AH134)&amp;""),"","","","","","","","","","",""))</f>
        <v/>
      </c>
      <c r="AO134" s="1" t="str">
        <f>IF($AF134=0,"",CHOOSE($AF134,INDEX(nINT_Exposure_Episode_ID,$AH134)&amp;"","","","","","","","","","","",""))</f>
        <v/>
      </c>
      <c r="AP134" s="1" t="str">
        <f>IF($AF134=0,"",CHOOSE($AF134,INDEX(nINT_Event_Episode_ID,$AH134)&amp;"","","","","","","","","","","",""))</f>
        <v/>
      </c>
      <c r="AQ134" s="1" t="str">
        <f>IF($AF134=0,"",CHOOSE($AF134,INDEX(nINT_End_Record_ID_Used,$AH134)&amp;"","","","","","","","","","","",""))</f>
        <v/>
      </c>
      <c r="AR134" s="1" t="str">
        <f>IF($AF134=0,"",CHOOSE($AF134,INDEX(nINT_Interval_Value,$AH134),"","","","","","","","","","",""))</f>
        <v/>
      </c>
      <c r="AS134" s="1" t="str">
        <f>IF($AF134=0,"",CHOOSE($AF134,INDEX(nINT_Interval_Minimum,$AH134),"","","","","","","","","","",""))</f>
        <v/>
      </c>
      <c r="AT134" s="1" t="str">
        <f>IF($AF134=0,"",CHOOSE($AF134,INDEX(nINT_Interval_Maximum,$AH134),"","","","","","","","","","",""))</f>
        <v/>
      </c>
      <c r="AU134" s="1" t="str">
        <f>IF($AF134=0,"",CHOOSE($AF134,INDEX(nINT_Unit,$AH134)&amp;"",INDEX(nQ1_Unit_Out,$AH134)&amp;"",INDEX(nQ2_Unit_Out,$AH134)&amp;"",INDEX(nQ3_Unit_Out,$AH134)&amp;"",INDEX(nQ4_Unit_Out,$AH134)&amp;"",INDEX(nQ5_Unit_Out,$AH134)&amp;"",INDEX(nQ6_Unit_Out,$AH134)&amp;"",INDEX(nQ7_Unit_Out,$AH134)&amp;"",INDEX(nQ8_Unit_Out,$AH134)&amp;"",INDEX(nQ9_Unit_Out,$AH134)&amp;"",INDEX(nQ10_Unit_Out,$AH134)&amp;"",INDEX(nQ11_Unit_Out,$AH134)&amp;""))</f>
        <v/>
      </c>
      <c r="AV134" s="1" t="str">
        <f>IF($AF134=0,"",CHOOSE($AF134,INDEX(nINT_Displayed_Value,$AH134)&amp;"",INDEX(nQ1_Displayed_Value,$AH134)&amp;"",INDEX(nQ2_Displayed_Value,$AH134)&amp;"",INDEX(nQ3_Displayed_Value,$AH134)&amp;"",INDEX(nQ4_Displayed_Value,$AH134)&amp;"",INDEX(nQ5_Displayed_Value,$AH134)&amp;"",INDEX(nQ6_Displayed_Value,$AH134)&amp;"",INDEX(nQ7_Displayed_Value,$AH134)&amp;"",INDEX(nQ8_Displayed_Value,$AH134)&amp;"",INDEX(nQ9_Displayed_Value,$AH134)&amp;"",INDEX(nQ10_Displayed_Value,$AH134)&amp;"",INDEX(nQ11_Displayed_Value,$AH134)&amp;""))</f>
        <v/>
      </c>
      <c r="AW134" s="1" t="str">
        <f>IF($AF134=0,"",CHOOSE($AF134,INDEX(nINT_Calculation_Mode_Used,$AH134)&amp;"","Q1","Q2","Q3","Q4","Q5","Q6","Q7","Q8","Q9","Q10","Q11"))</f>
        <v/>
      </c>
      <c r="AX134" s="1" t="str">
        <f>IF($AF134=0,"",CHOOSE($AF134,INDEX(nINT_Anchor_Type,$AH134)&amp;"","","","","","","","","","","",""))</f>
        <v/>
      </c>
      <c r="AY134" s="1" t="str">
        <f>IF($AF134=0,"",CHOOSE($AF134,IF(INDEX(nINT_K_Ok,$AH134)=1,INDEX(nINT_Anchor_Record_ID_Used,$AH134)&amp;"",""),"","","","","","","","","","",""))</f>
        <v/>
      </c>
      <c r="AZ134" s="1" t="str">
        <f>IF($AF134=0,"",CHOOSE($AF134,INDEX(nINT_Anchor_Description,$AH134)&amp;"","","","","","","","","","","",""))</f>
        <v/>
      </c>
      <c r="BA134" s="1" t="str">
        <f>IF($AF134=0,"",CHOOSE($AF134,INDEX(nINT_Sequence_Status,$AH134)&amp;"","","","","","","","","","","",""))</f>
        <v/>
      </c>
      <c r="BB134" s="1" t="str">
        <f>IF($AF134=0,"",CHOOSE($AF134,INDEX(nINT_Treatment_Day,$AH134),"","","","","","","","","","",""))</f>
        <v/>
      </c>
      <c r="BC134" s="1" t="str">
        <f>IF($AF134=0,"",CHOOSE($AF134,INDEX(nINT_Reported_Timing_Result,$AH134)&amp;"","","","","","","","","","","",""))</f>
        <v/>
      </c>
      <c r="BD134" s="1" t="str">
        <f>IF($AF134=0,"",CHOOSE($AF134,IF(INDEX(nINT_K_HasC,$AH134)=1,INDEX(nINT_Constraint_Source,$AH134)&amp;"",""),"","","","","","","","","","",""))</f>
        <v/>
      </c>
      <c r="BE134" s="1" t="str">
        <f>IF($AF134=0,"",CHOOSE($AF134,"",INDEX(nQ1_Results_Text,$AH134)&amp;"",INDEX(nQ2_Results_Text,$AH134)&amp;"",INDEX(nQ3_Results_Text,$AH134)&amp;"",INDEX(nQ4_Results_Text,$AH134)&amp;"",INDEX(nQ5_Results_Text,$AH134)&amp;"",INDEX(nQ6_Results_Text,$AH134)&amp;"",INDEX(nQ7_Results_Text,$AH134)&amp;"",INDEX(nQ8_Results_Text,$AH134)&amp;"",INDEX(nQ9_Results_Text,$AH134)&amp;"",INDEX(nQ10_Results_Text,$AH134)&amp;"",INDEX(nQ11_Results_Text,$AH134)&amp;""))</f>
        <v/>
      </c>
      <c r="BF134" s="1" t="str">
        <f>IF($AF134=0,"",CHOOSE($AF134,INDEX(nINT_Parameter_Set,$AH134)&amp;"",INDEX(nQ1_Parameter_Set,$AH134)&amp;"",INDEX(nQ2_Parameter_Set,$AH134)&amp;"",INDEX(nQ3_Parameter_Set,$AH134)&amp;"",INDEX(nQ4_Parameter_Set,$AH134)&amp;"",INDEX(nQ5_Parameter_Set,$AH134)&amp;"",INDEX(nQ6_Parameter_Set,$AH134)&amp;"",INDEX(nQ7_Parameter_Set,$AH134)&amp;"",INDEX(nQ8_Parameter_Set,$AH134)&amp;"",INDEX(nQ9_Parameter_Set,$AH134)&amp;"",INDEX(nQ10_Parameter_Set,$AH134)&amp;"",INDEX(nQ11_Parameter_Set,$AH134)&amp;""))</f>
        <v/>
      </c>
      <c r="BG134" s="1" t="str">
        <f>IF($AF134=0,"",CHOOSE($AF134,INDEX(nINT_Assumptions,$AH134)&amp;"",INDEX(nQ1_Assumptions,$AH134)&amp;"",INDEX(nQ2_Assumptions,$AH134)&amp;"",INDEX(nQ3_Assumptions,$AH134)&amp;"",INDEX(nQ4_Assumptions,$AH134)&amp;"",INDEX(nQ5_Assumptions,$AH134)&amp;"",INDEX(nQ6_Assumptions,$AH134)&amp;"",INDEX(nQ7_Assumptions,$AH134)&amp;"",INDEX(nQ8_Assumptions,$AH134)&amp;"",INDEX(nQ9_Assumptions,$AH134)&amp;"",INDEX(nQ10_Assumptions,$AH134)&amp;"",INDEX(nQ11_Assumptions,$AH134)&amp;""))</f>
        <v/>
      </c>
      <c r="BH134" s="1" t="str">
        <f>IF($AF134=0,"",CHOOSE($AF134,INDEX(nINT_Calculation_Version,$AH134)&amp;"",INDEX(nQ1_Calculation_Version,$AH134)&amp;"",INDEX(nQ2_Calculation_Version,$AH134)&amp;"",INDEX(nQ3_Calculation_Version,$AH134)&amp;"",INDEX(nQ4_Calculation_Version,$AH134)&amp;"",INDEX(nQ5_Calculation_Version,$AH134)&amp;"",INDEX(nQ6_Calculation_Version,$AH134)&amp;"",INDEX(nQ7_Calculation_Version,$AH134)&amp;"",INDEX(nQ8_Calculation_Version,$AH134)&amp;"",INDEX(nQ9_Calculation_Version,$AH134)&amp;"",INDEX(nQ10_Calculation_Version,$AH134)&amp;"",INDEX(nQ11_Calculation_Version,$AH134)&amp;""))</f>
        <v/>
      </c>
      <c r="BI134" s="1" t="str">
        <f>IF($AF134=0,"",CHOOSE($AF134,INDEX(nINT_QC_Flags,$AH134)&amp;"",INDEX(nQ1_QC_Flags,$AH134)&amp;"",INDEX(nQ2_QC_Flags,$AH134)&amp;"",INDEX(nQ3_QC_Flags,$AH134)&amp;"",INDEX(nQ4_QC_Flags,$AH134)&amp;"",INDEX(nQ5_QC_Flags,$AH134)&amp;"",INDEX(nQ6_QC_Flags,$AH134)&amp;"",INDEX(nQ7_QC_Flags,$AH134)&amp;"",INDEX(nQ8_QC_Flags,$AH134)&amp;"",INDEX(nQ9_QC_Flags,$AH134)&amp;"",INDEX(nQ10_QC_Flags,$AH134)&amp;"",INDEX(nQ11_QC_Flags,$AH134)&amp;""))</f>
        <v/>
      </c>
      <c r="BJ134" s="1" t="str">
        <f>IF($AF134=0,"",CHOOSE($AF134,INDEX(nINT_Messages,$AH134)&amp;"",INDEX(nQ1_Messages,$AH134)&amp;"",INDEX(nQ2_Messages,$AH134)&amp;"",INDEX(nQ3_Messages,$AH134)&amp;"",INDEX(nQ4_Messages,$AH134)&amp;"",INDEX(nQ5_Messages,$AH134)&amp;"",INDEX(nQ6_Messages,$AH134)&amp;"",INDEX(nQ7_Messages,$AH134)&amp;"",INDEX(nQ8_Messages,$AH134)&amp;"",INDEX(nQ9_Messages,$AH134)&amp;"",INDEX(nQ10_Messages,$AH134)&amp;"",INDEX(nQ11_Messages,$AH134)&amp;""))</f>
        <v/>
      </c>
      <c r="BK134" s="1" t="str">
        <f>IF($AF134=0,"",CHOOSE($AF134,INDEX(nINT_Limitations,$AH134)&amp;"",INDEX(nQ1_Mandatory_Text,$AH134)&amp;"",INDEX(nQ2_Mandatory_Text,$AH134)&amp;"",INDEX(nQ3_Mandatory_Text,$AH134)&amp;"",INDEX(nQ4_Mandatory_Text,$AH134)&amp;"",INDEX(nQ5_Mandatory_Text,$AH134)&amp;"",INDEX(nQ6_Mandatory_Text,$AH134)&amp;"",INDEX(nQ7_Mandatory_Text,$AH134)&amp;"",INDEX(nQ8_Mandatory_Text,$AH134)&amp;"",INDEX(nQ9_Mandatory_Text,$AH134)&amp;"",INDEX(nQ10_Mandatory_Text,$AH134)&amp;"",INDEX(nQ11_Mandatory_Text,$AH134)&amp;""))</f>
        <v/>
      </c>
      <c r="BL134" s="1" t="str">
        <f t="shared" si="68"/>
        <v/>
      </c>
      <c r="BM134" s="1" t="str">
        <f t="shared" si="69"/>
        <v/>
      </c>
    </row>
    <row r="135" spans="1:65" x14ac:dyDescent="0.2">
      <c r="A135" s="21" t="str">
        <f t="shared" si="35"/>
        <v/>
      </c>
      <c r="B135" s="21" t="str">
        <f t="shared" si="36"/>
        <v/>
      </c>
      <c r="C135" s="21" t="str">
        <f t="shared" si="37"/>
        <v/>
      </c>
      <c r="D135" s="21" t="str">
        <f t="shared" si="38"/>
        <v/>
      </c>
      <c r="E135" s="21" t="str">
        <f t="shared" si="39"/>
        <v/>
      </c>
      <c r="F135" s="21" t="str">
        <f t="shared" si="40"/>
        <v/>
      </c>
      <c r="G135" s="21" t="str">
        <f t="shared" si="41"/>
        <v/>
      </c>
      <c r="H135" s="21" t="str">
        <f t="shared" si="42"/>
        <v/>
      </c>
      <c r="I135" s="21" t="str">
        <f t="shared" si="43"/>
        <v/>
      </c>
      <c r="J135" s="21" t="str">
        <f t="shared" si="44"/>
        <v/>
      </c>
      <c r="K135" s="21" t="str">
        <f t="shared" si="45"/>
        <v/>
      </c>
      <c r="L135" s="21" t="str">
        <f t="shared" si="46"/>
        <v/>
      </c>
      <c r="M135" s="21" t="str">
        <f t="shared" si="47"/>
        <v/>
      </c>
      <c r="N135" s="21" t="str">
        <f t="shared" si="48"/>
        <v/>
      </c>
      <c r="O135" s="21" t="str">
        <f t="shared" si="49"/>
        <v/>
      </c>
      <c r="P135" s="21" t="str">
        <f t="shared" si="50"/>
        <v/>
      </c>
      <c r="Q135" s="21" t="str">
        <f t="shared" si="51"/>
        <v/>
      </c>
      <c r="R135" s="21" t="str">
        <f t="shared" si="52"/>
        <v/>
      </c>
      <c r="S135" s="21" t="str">
        <f t="shared" si="53"/>
        <v/>
      </c>
      <c r="T135" s="21" t="str">
        <f t="shared" si="54"/>
        <v/>
      </c>
      <c r="U135" s="21" t="str">
        <f t="shared" si="55"/>
        <v/>
      </c>
      <c r="V135" s="21" t="str">
        <f t="shared" si="56"/>
        <v/>
      </c>
      <c r="W135" s="21" t="str">
        <f t="shared" si="57"/>
        <v/>
      </c>
      <c r="X135" s="21" t="str">
        <f t="shared" si="58"/>
        <v/>
      </c>
      <c r="Y135" s="21" t="str">
        <f t="shared" si="59"/>
        <v/>
      </c>
      <c r="Z135" s="21" t="str">
        <f t="shared" si="60"/>
        <v/>
      </c>
      <c r="AA135" s="21" t="str">
        <f t="shared" si="61"/>
        <v/>
      </c>
      <c r="AB135" s="21" t="str">
        <f t="shared" si="62"/>
        <v/>
      </c>
      <c r="AC135" s="21" t="str">
        <f t="shared" si="63"/>
        <v/>
      </c>
      <c r="AD135" s="21" t="str">
        <f t="shared" si="64"/>
        <v/>
      </c>
      <c r="AE135" s="1">
        <f t="shared" si="65"/>
        <v>128</v>
      </c>
      <c r="AF135" s="1">
        <f t="shared" si="66"/>
        <v>0</v>
      </c>
      <c r="AG135" s="1">
        <f t="shared" si="67"/>
        <v>0</v>
      </c>
      <c r="AH135" s="1">
        <f>IF(AF135=0,0,CHOOSE(AF135,IFERROR(_xlfn.AGGREGATE(15,6,(ROW(nINT_CaseKey)-ROW(INDEX(nINT_CaseKey,1,1))+1)/((nINT_CaseKey=$H$4)*(nINT_RowEmpty=0)),AG135),0),IFERROR(_xlfn.AGGREGATE(15,6,(ROW(nQ1_CaseKey)-ROW(INDEX(nQ1_CaseKey,1,1))+1)/((nQ1_CaseKey=$H$4)),AG135),0),IFERROR(_xlfn.AGGREGATE(15,6,(ROW(nQ2_CaseKey)-ROW(INDEX(nQ2_CaseKey,1,1))+1)/((nQ2_CaseKey=$H$4)),AG135),0),IFERROR(_xlfn.AGGREGATE(15,6,(ROW(nQ3_CaseKey)-ROW(INDEX(nQ3_CaseKey,1,1))+1)/((nQ3_CaseKey=$H$4)),AG135),0),IFERROR(_xlfn.AGGREGATE(15,6,(ROW(nQ4_CaseKey)-ROW(INDEX(nQ4_CaseKey,1,1))+1)/((nQ4_CaseKey=$H$4)),AG135),0),IFERROR(_xlfn.AGGREGATE(15,6,(ROW(nQ5_CaseKey)-ROW(INDEX(nQ5_CaseKey,1,1))+1)/((nQ5_CaseKey=$H$4)),AG135),0),IFERROR(_xlfn.AGGREGATE(15,6,(ROW(nQ6_CaseKey)-ROW(INDEX(nQ6_CaseKey,1,1))+1)/((nQ6_CaseKey=$H$4)),AG135),0),IFERROR(_xlfn.AGGREGATE(15,6,(ROW(nQ7_CaseKey)-ROW(INDEX(nQ7_CaseKey,1,1))+1)/((nQ7_CaseKey=$H$4)),AG135),0),IFERROR(_xlfn.AGGREGATE(15,6,(ROW(nQ8_CaseKey)-ROW(INDEX(nQ8_CaseKey,1,1))+1)/((nQ8_CaseKey=$H$4)),AG135),0),IFERROR(_xlfn.AGGREGATE(15,6,(ROW(nQ9_CaseKey)-ROW(INDEX(nQ9_CaseKey,1,1))+1)/((nQ9_CaseKey=$H$4)),AG135),0),IFERROR(_xlfn.AGGREGATE(15,6,(ROW(nQ10_CaseKey)-ROW(INDEX(nQ10_CaseKey,1,1))+1)/((nQ10_CaseKey=$H$4)),AG135),0),IFERROR(_xlfn.AGGREGATE(15,6,(ROW(nQ11_CaseKey)-ROW(INDEX(nQ11_CaseKey,1,1))+1)/((nQ11_CaseKey=$H$4)),AG135),0)))</f>
        <v>0</v>
      </c>
      <c r="AJ135" s="1" t="str">
        <f>IF($AF135=0,"",CHOOSE($AF135,INDEX(nINT_Case_ID,$AH135)&amp;"",INDEX(nQ1_Case_ID,$AH135)&amp;"",INDEX(nQ2_Case_ID,$AH135)&amp;"",INDEX(nQ3_Case_ID,$AH135)&amp;"",INDEX(nQ4_Case_ID,$AH135)&amp;"",INDEX(nQ5_Case_ID,$AH135)&amp;"",INDEX(nQ6_Case_ID,$AH135)&amp;"",INDEX(nQ7_Case_ID,$AH135)&amp;"",INDEX(nQ8_Case_ID,$AH135)&amp;"",INDEX(nQ9_Case_ID,$AH135)&amp;"",INDEX(nQ10_Case_ID,$AH135)&amp;"",INDEX(nQ11_Case_ID,$AH135)&amp;""))</f>
        <v/>
      </c>
      <c r="AK135" s="1" t="str">
        <f>IF($AF135=0,"",CHOOSE($AF135,INDEX(nINT_Case_Version,$AH135),INDEX(nQ1_Case_Version,$AH135),INDEX(nQ2_Case_Version,$AH135),INDEX(nQ3_Case_Version,$AH135),INDEX(nQ4_Case_Version,$AH135),INDEX(nQ5_Case_Version,$AH135),INDEX(nQ6_Case_Version,$AH135),INDEX(nQ7_Case_Version,$AH135),INDEX(nQ8_Case_Version,$AH135),INDEX(nQ9_Case_Version,$AH135),INDEX(nQ10_Case_Version,$AH135),INDEX(nQ11_Case_Version,$AH135)))</f>
        <v/>
      </c>
      <c r="AL135" s="1" t="str">
        <f>IF($AF135=0,"",CHOOSE($AF135,INDEX(nINT_Interval_ID,$AH135)&amp;"",INDEX(nQ1_Calc_ID,$AH135)&amp;"",INDEX(nQ2_Calc_ID,$AH135)&amp;"",INDEX(nQ3_Calc_ID,$AH135)&amp;"",INDEX(nQ4_Calc_ID,$AH135)&amp;"",INDEX(nQ5_Calc_ID,$AH135)&amp;"",INDEX(nQ6_Calc_ID,$AH135)&amp;"",INDEX(nQ7_Calc_ID,$AH135)&amp;"",INDEX(nQ8_Calc_ID,$AH135)&amp;"",INDEX(nQ9_Calc_ID,$AH135)&amp;"",INDEX(nQ10_Calc_ID,$AH135)&amp;"",INDEX(nQ11_Calc_ID,$AH135)&amp;""))</f>
        <v/>
      </c>
      <c r="AM135" s="1" t="str">
        <f>IF($AF135=0,"",CHOOSE($AF135,INDEX(nINT_Label,$AH135)&amp;"",INDEX(nQ1_Label_Out,$AH135)&amp;"",INDEX(nQ2_Label_Out,$AH135)&amp;"",INDEX(nQ3_Label_Out,$AH135)&amp;"",INDEX(nQ4_Label_Out,$AH135)&amp;"",INDEX(nQ5_Label_Out,$AH135)&amp;"",INDEX(nQ6_Label_Out,$AH135)&amp;"",INDEX(nQ7_Label_Out,$AH135)&amp;"",INDEX(nQ8_Label_Out,$AH135)&amp;"",INDEX(nQ9_Label_Out,$AH135)&amp;"",INDEX(nQ10_Label_Out,$AH135)&amp;"",INDEX(nQ11_Label_Out,$AH135)&amp;""))</f>
        <v/>
      </c>
      <c r="AN135" s="1" t="str">
        <f>IF($AF135=0,"",CHOOSE($AF135,IF(INDEX(nINT_LinkRow,$AH135)=0,"",INDEX(nINT_Link_ID,$AH135)&amp;""),"","","","","","","","","","",""))</f>
        <v/>
      </c>
      <c r="AO135" s="1" t="str">
        <f>IF($AF135=0,"",CHOOSE($AF135,INDEX(nINT_Exposure_Episode_ID,$AH135)&amp;"","","","","","","","","","","",""))</f>
        <v/>
      </c>
      <c r="AP135" s="1" t="str">
        <f>IF($AF135=0,"",CHOOSE($AF135,INDEX(nINT_Event_Episode_ID,$AH135)&amp;"","","","","","","","","","","",""))</f>
        <v/>
      </c>
      <c r="AQ135" s="1" t="str">
        <f>IF($AF135=0,"",CHOOSE($AF135,INDEX(nINT_End_Record_ID_Used,$AH135)&amp;"","","","","","","","","","","",""))</f>
        <v/>
      </c>
      <c r="AR135" s="1" t="str">
        <f>IF($AF135=0,"",CHOOSE($AF135,INDEX(nINT_Interval_Value,$AH135),"","","","","","","","","","",""))</f>
        <v/>
      </c>
      <c r="AS135" s="1" t="str">
        <f>IF($AF135=0,"",CHOOSE($AF135,INDEX(nINT_Interval_Minimum,$AH135),"","","","","","","","","","",""))</f>
        <v/>
      </c>
      <c r="AT135" s="1" t="str">
        <f>IF($AF135=0,"",CHOOSE($AF135,INDEX(nINT_Interval_Maximum,$AH135),"","","","","","","","","","",""))</f>
        <v/>
      </c>
      <c r="AU135" s="1" t="str">
        <f>IF($AF135=0,"",CHOOSE($AF135,INDEX(nINT_Unit,$AH135)&amp;"",INDEX(nQ1_Unit_Out,$AH135)&amp;"",INDEX(nQ2_Unit_Out,$AH135)&amp;"",INDEX(nQ3_Unit_Out,$AH135)&amp;"",INDEX(nQ4_Unit_Out,$AH135)&amp;"",INDEX(nQ5_Unit_Out,$AH135)&amp;"",INDEX(nQ6_Unit_Out,$AH135)&amp;"",INDEX(nQ7_Unit_Out,$AH135)&amp;"",INDEX(nQ8_Unit_Out,$AH135)&amp;"",INDEX(nQ9_Unit_Out,$AH135)&amp;"",INDEX(nQ10_Unit_Out,$AH135)&amp;"",INDEX(nQ11_Unit_Out,$AH135)&amp;""))</f>
        <v/>
      </c>
      <c r="AV135" s="1" t="str">
        <f>IF($AF135=0,"",CHOOSE($AF135,INDEX(nINT_Displayed_Value,$AH135)&amp;"",INDEX(nQ1_Displayed_Value,$AH135)&amp;"",INDEX(nQ2_Displayed_Value,$AH135)&amp;"",INDEX(nQ3_Displayed_Value,$AH135)&amp;"",INDEX(nQ4_Displayed_Value,$AH135)&amp;"",INDEX(nQ5_Displayed_Value,$AH135)&amp;"",INDEX(nQ6_Displayed_Value,$AH135)&amp;"",INDEX(nQ7_Displayed_Value,$AH135)&amp;"",INDEX(nQ8_Displayed_Value,$AH135)&amp;"",INDEX(nQ9_Displayed_Value,$AH135)&amp;"",INDEX(nQ10_Displayed_Value,$AH135)&amp;"",INDEX(nQ11_Displayed_Value,$AH135)&amp;""))</f>
        <v/>
      </c>
      <c r="AW135" s="1" t="str">
        <f>IF($AF135=0,"",CHOOSE($AF135,INDEX(nINT_Calculation_Mode_Used,$AH135)&amp;"","Q1","Q2","Q3","Q4","Q5","Q6","Q7","Q8","Q9","Q10","Q11"))</f>
        <v/>
      </c>
      <c r="AX135" s="1" t="str">
        <f>IF($AF135=0,"",CHOOSE($AF135,INDEX(nINT_Anchor_Type,$AH135)&amp;"","","","","","","","","","","",""))</f>
        <v/>
      </c>
      <c r="AY135" s="1" t="str">
        <f>IF($AF135=0,"",CHOOSE($AF135,IF(INDEX(nINT_K_Ok,$AH135)=1,INDEX(nINT_Anchor_Record_ID_Used,$AH135)&amp;"",""),"","","","","","","","","","",""))</f>
        <v/>
      </c>
      <c r="AZ135" s="1" t="str">
        <f>IF($AF135=0,"",CHOOSE($AF135,INDEX(nINT_Anchor_Description,$AH135)&amp;"","","","","","","","","","","",""))</f>
        <v/>
      </c>
      <c r="BA135" s="1" t="str">
        <f>IF($AF135=0,"",CHOOSE($AF135,INDEX(nINT_Sequence_Status,$AH135)&amp;"","","","","","","","","","","",""))</f>
        <v/>
      </c>
      <c r="BB135" s="1" t="str">
        <f>IF($AF135=0,"",CHOOSE($AF135,INDEX(nINT_Treatment_Day,$AH135),"","","","","","","","","","",""))</f>
        <v/>
      </c>
      <c r="BC135" s="1" t="str">
        <f>IF($AF135=0,"",CHOOSE($AF135,INDEX(nINT_Reported_Timing_Result,$AH135)&amp;"","","","","","","","","","","",""))</f>
        <v/>
      </c>
      <c r="BD135" s="1" t="str">
        <f>IF($AF135=0,"",CHOOSE($AF135,IF(INDEX(nINT_K_HasC,$AH135)=1,INDEX(nINT_Constraint_Source,$AH135)&amp;"",""),"","","","","","","","","","",""))</f>
        <v/>
      </c>
      <c r="BE135" s="1" t="str">
        <f>IF($AF135=0,"",CHOOSE($AF135,"",INDEX(nQ1_Results_Text,$AH135)&amp;"",INDEX(nQ2_Results_Text,$AH135)&amp;"",INDEX(nQ3_Results_Text,$AH135)&amp;"",INDEX(nQ4_Results_Text,$AH135)&amp;"",INDEX(nQ5_Results_Text,$AH135)&amp;"",INDEX(nQ6_Results_Text,$AH135)&amp;"",INDEX(nQ7_Results_Text,$AH135)&amp;"",INDEX(nQ8_Results_Text,$AH135)&amp;"",INDEX(nQ9_Results_Text,$AH135)&amp;"",INDEX(nQ10_Results_Text,$AH135)&amp;"",INDEX(nQ11_Results_Text,$AH135)&amp;""))</f>
        <v/>
      </c>
      <c r="BF135" s="1" t="str">
        <f>IF($AF135=0,"",CHOOSE($AF135,INDEX(nINT_Parameter_Set,$AH135)&amp;"",INDEX(nQ1_Parameter_Set,$AH135)&amp;"",INDEX(nQ2_Parameter_Set,$AH135)&amp;"",INDEX(nQ3_Parameter_Set,$AH135)&amp;"",INDEX(nQ4_Parameter_Set,$AH135)&amp;"",INDEX(nQ5_Parameter_Set,$AH135)&amp;"",INDEX(nQ6_Parameter_Set,$AH135)&amp;"",INDEX(nQ7_Parameter_Set,$AH135)&amp;"",INDEX(nQ8_Parameter_Set,$AH135)&amp;"",INDEX(nQ9_Parameter_Set,$AH135)&amp;"",INDEX(nQ10_Parameter_Set,$AH135)&amp;"",INDEX(nQ11_Parameter_Set,$AH135)&amp;""))</f>
        <v/>
      </c>
      <c r="BG135" s="1" t="str">
        <f>IF($AF135=0,"",CHOOSE($AF135,INDEX(nINT_Assumptions,$AH135)&amp;"",INDEX(nQ1_Assumptions,$AH135)&amp;"",INDEX(nQ2_Assumptions,$AH135)&amp;"",INDEX(nQ3_Assumptions,$AH135)&amp;"",INDEX(nQ4_Assumptions,$AH135)&amp;"",INDEX(nQ5_Assumptions,$AH135)&amp;"",INDEX(nQ6_Assumptions,$AH135)&amp;"",INDEX(nQ7_Assumptions,$AH135)&amp;"",INDEX(nQ8_Assumptions,$AH135)&amp;"",INDEX(nQ9_Assumptions,$AH135)&amp;"",INDEX(nQ10_Assumptions,$AH135)&amp;"",INDEX(nQ11_Assumptions,$AH135)&amp;""))</f>
        <v/>
      </c>
      <c r="BH135" s="1" t="str">
        <f>IF($AF135=0,"",CHOOSE($AF135,INDEX(nINT_Calculation_Version,$AH135)&amp;"",INDEX(nQ1_Calculation_Version,$AH135)&amp;"",INDEX(nQ2_Calculation_Version,$AH135)&amp;"",INDEX(nQ3_Calculation_Version,$AH135)&amp;"",INDEX(nQ4_Calculation_Version,$AH135)&amp;"",INDEX(nQ5_Calculation_Version,$AH135)&amp;"",INDEX(nQ6_Calculation_Version,$AH135)&amp;"",INDEX(nQ7_Calculation_Version,$AH135)&amp;"",INDEX(nQ8_Calculation_Version,$AH135)&amp;"",INDEX(nQ9_Calculation_Version,$AH135)&amp;"",INDEX(nQ10_Calculation_Version,$AH135)&amp;"",INDEX(nQ11_Calculation_Version,$AH135)&amp;""))</f>
        <v/>
      </c>
      <c r="BI135" s="1" t="str">
        <f>IF($AF135=0,"",CHOOSE($AF135,INDEX(nINT_QC_Flags,$AH135)&amp;"",INDEX(nQ1_QC_Flags,$AH135)&amp;"",INDEX(nQ2_QC_Flags,$AH135)&amp;"",INDEX(nQ3_QC_Flags,$AH135)&amp;"",INDEX(nQ4_QC_Flags,$AH135)&amp;"",INDEX(nQ5_QC_Flags,$AH135)&amp;"",INDEX(nQ6_QC_Flags,$AH135)&amp;"",INDEX(nQ7_QC_Flags,$AH135)&amp;"",INDEX(nQ8_QC_Flags,$AH135)&amp;"",INDEX(nQ9_QC_Flags,$AH135)&amp;"",INDEX(nQ10_QC_Flags,$AH135)&amp;"",INDEX(nQ11_QC_Flags,$AH135)&amp;""))</f>
        <v/>
      </c>
      <c r="BJ135" s="1" t="str">
        <f>IF($AF135=0,"",CHOOSE($AF135,INDEX(nINT_Messages,$AH135)&amp;"",INDEX(nQ1_Messages,$AH135)&amp;"",INDEX(nQ2_Messages,$AH135)&amp;"",INDEX(nQ3_Messages,$AH135)&amp;"",INDEX(nQ4_Messages,$AH135)&amp;"",INDEX(nQ5_Messages,$AH135)&amp;"",INDEX(nQ6_Messages,$AH135)&amp;"",INDEX(nQ7_Messages,$AH135)&amp;"",INDEX(nQ8_Messages,$AH135)&amp;"",INDEX(nQ9_Messages,$AH135)&amp;"",INDEX(nQ10_Messages,$AH135)&amp;"",INDEX(nQ11_Messages,$AH135)&amp;""))</f>
        <v/>
      </c>
      <c r="BK135" s="1" t="str">
        <f>IF($AF135=0,"",CHOOSE($AF135,INDEX(nINT_Limitations,$AH135)&amp;"",INDEX(nQ1_Mandatory_Text,$AH135)&amp;"",INDEX(nQ2_Mandatory_Text,$AH135)&amp;"",INDEX(nQ3_Mandatory_Text,$AH135)&amp;"",INDEX(nQ4_Mandatory_Text,$AH135)&amp;"",INDEX(nQ5_Mandatory_Text,$AH135)&amp;"",INDEX(nQ6_Mandatory_Text,$AH135)&amp;"",INDEX(nQ7_Mandatory_Text,$AH135)&amp;"",INDEX(nQ8_Mandatory_Text,$AH135)&amp;"",INDEX(nQ9_Mandatory_Text,$AH135)&amp;"",INDEX(nQ10_Mandatory_Text,$AH135)&amp;"",INDEX(nQ11_Mandatory_Text,$AH135)&amp;""))</f>
        <v/>
      </c>
      <c r="BL135" s="1" t="str">
        <f t="shared" si="68"/>
        <v/>
      </c>
      <c r="BM135" s="1" t="str">
        <f t="shared" si="69"/>
        <v/>
      </c>
    </row>
    <row r="136" spans="1:65" x14ac:dyDescent="0.2">
      <c r="A136" s="21" t="str">
        <f t="shared" si="35"/>
        <v/>
      </c>
      <c r="B136" s="21" t="str">
        <f t="shared" si="36"/>
        <v/>
      </c>
      <c r="C136" s="21" t="str">
        <f t="shared" si="37"/>
        <v/>
      </c>
      <c r="D136" s="21" t="str">
        <f t="shared" si="38"/>
        <v/>
      </c>
      <c r="E136" s="21" t="str">
        <f t="shared" si="39"/>
        <v/>
      </c>
      <c r="F136" s="21" t="str">
        <f t="shared" si="40"/>
        <v/>
      </c>
      <c r="G136" s="21" t="str">
        <f t="shared" si="41"/>
        <v/>
      </c>
      <c r="H136" s="21" t="str">
        <f t="shared" si="42"/>
        <v/>
      </c>
      <c r="I136" s="21" t="str">
        <f t="shared" si="43"/>
        <v/>
      </c>
      <c r="J136" s="21" t="str">
        <f t="shared" si="44"/>
        <v/>
      </c>
      <c r="K136" s="21" t="str">
        <f t="shared" si="45"/>
        <v/>
      </c>
      <c r="L136" s="21" t="str">
        <f t="shared" si="46"/>
        <v/>
      </c>
      <c r="M136" s="21" t="str">
        <f t="shared" si="47"/>
        <v/>
      </c>
      <c r="N136" s="21" t="str">
        <f t="shared" si="48"/>
        <v/>
      </c>
      <c r="O136" s="21" t="str">
        <f t="shared" si="49"/>
        <v/>
      </c>
      <c r="P136" s="21" t="str">
        <f t="shared" si="50"/>
        <v/>
      </c>
      <c r="Q136" s="21" t="str">
        <f t="shared" si="51"/>
        <v/>
      </c>
      <c r="R136" s="21" t="str">
        <f t="shared" si="52"/>
        <v/>
      </c>
      <c r="S136" s="21" t="str">
        <f t="shared" si="53"/>
        <v/>
      </c>
      <c r="T136" s="21" t="str">
        <f t="shared" si="54"/>
        <v/>
      </c>
      <c r="U136" s="21" t="str">
        <f t="shared" si="55"/>
        <v/>
      </c>
      <c r="V136" s="21" t="str">
        <f t="shared" si="56"/>
        <v/>
      </c>
      <c r="W136" s="21" t="str">
        <f t="shared" si="57"/>
        <v/>
      </c>
      <c r="X136" s="21" t="str">
        <f t="shared" si="58"/>
        <v/>
      </c>
      <c r="Y136" s="21" t="str">
        <f t="shared" si="59"/>
        <v/>
      </c>
      <c r="Z136" s="21" t="str">
        <f t="shared" si="60"/>
        <v/>
      </c>
      <c r="AA136" s="21" t="str">
        <f t="shared" si="61"/>
        <v/>
      </c>
      <c r="AB136" s="21" t="str">
        <f t="shared" si="62"/>
        <v/>
      </c>
      <c r="AC136" s="21" t="str">
        <f t="shared" si="63"/>
        <v/>
      </c>
      <c r="AD136" s="21" t="str">
        <f t="shared" si="64"/>
        <v/>
      </c>
      <c r="AE136" s="1">
        <f t="shared" si="65"/>
        <v>129</v>
      </c>
      <c r="AF136" s="1">
        <f t="shared" si="66"/>
        <v>0</v>
      </c>
      <c r="AG136" s="1">
        <f t="shared" si="67"/>
        <v>0</v>
      </c>
      <c r="AH136" s="1">
        <f>IF(AF136=0,0,CHOOSE(AF136,IFERROR(_xlfn.AGGREGATE(15,6,(ROW(nINT_CaseKey)-ROW(INDEX(nINT_CaseKey,1,1))+1)/((nINT_CaseKey=$H$4)*(nINT_RowEmpty=0)),AG136),0),IFERROR(_xlfn.AGGREGATE(15,6,(ROW(nQ1_CaseKey)-ROW(INDEX(nQ1_CaseKey,1,1))+1)/((nQ1_CaseKey=$H$4)),AG136),0),IFERROR(_xlfn.AGGREGATE(15,6,(ROW(nQ2_CaseKey)-ROW(INDEX(nQ2_CaseKey,1,1))+1)/((nQ2_CaseKey=$H$4)),AG136),0),IFERROR(_xlfn.AGGREGATE(15,6,(ROW(nQ3_CaseKey)-ROW(INDEX(nQ3_CaseKey,1,1))+1)/((nQ3_CaseKey=$H$4)),AG136),0),IFERROR(_xlfn.AGGREGATE(15,6,(ROW(nQ4_CaseKey)-ROW(INDEX(nQ4_CaseKey,1,1))+1)/((nQ4_CaseKey=$H$4)),AG136),0),IFERROR(_xlfn.AGGREGATE(15,6,(ROW(nQ5_CaseKey)-ROW(INDEX(nQ5_CaseKey,1,1))+1)/((nQ5_CaseKey=$H$4)),AG136),0),IFERROR(_xlfn.AGGREGATE(15,6,(ROW(nQ6_CaseKey)-ROW(INDEX(nQ6_CaseKey,1,1))+1)/((nQ6_CaseKey=$H$4)),AG136),0),IFERROR(_xlfn.AGGREGATE(15,6,(ROW(nQ7_CaseKey)-ROW(INDEX(nQ7_CaseKey,1,1))+1)/((nQ7_CaseKey=$H$4)),AG136),0),IFERROR(_xlfn.AGGREGATE(15,6,(ROW(nQ8_CaseKey)-ROW(INDEX(nQ8_CaseKey,1,1))+1)/((nQ8_CaseKey=$H$4)),AG136),0),IFERROR(_xlfn.AGGREGATE(15,6,(ROW(nQ9_CaseKey)-ROW(INDEX(nQ9_CaseKey,1,1))+1)/((nQ9_CaseKey=$H$4)),AG136),0),IFERROR(_xlfn.AGGREGATE(15,6,(ROW(nQ10_CaseKey)-ROW(INDEX(nQ10_CaseKey,1,1))+1)/((nQ10_CaseKey=$H$4)),AG136),0),IFERROR(_xlfn.AGGREGATE(15,6,(ROW(nQ11_CaseKey)-ROW(INDEX(nQ11_CaseKey,1,1))+1)/((nQ11_CaseKey=$H$4)),AG136),0)))</f>
        <v>0</v>
      </c>
      <c r="AJ136" s="1" t="str">
        <f>IF($AF136=0,"",CHOOSE($AF136,INDEX(nINT_Case_ID,$AH136)&amp;"",INDEX(nQ1_Case_ID,$AH136)&amp;"",INDEX(nQ2_Case_ID,$AH136)&amp;"",INDEX(nQ3_Case_ID,$AH136)&amp;"",INDEX(nQ4_Case_ID,$AH136)&amp;"",INDEX(nQ5_Case_ID,$AH136)&amp;"",INDEX(nQ6_Case_ID,$AH136)&amp;"",INDEX(nQ7_Case_ID,$AH136)&amp;"",INDEX(nQ8_Case_ID,$AH136)&amp;"",INDEX(nQ9_Case_ID,$AH136)&amp;"",INDEX(nQ10_Case_ID,$AH136)&amp;"",INDEX(nQ11_Case_ID,$AH136)&amp;""))</f>
        <v/>
      </c>
      <c r="AK136" s="1" t="str">
        <f>IF($AF136=0,"",CHOOSE($AF136,INDEX(nINT_Case_Version,$AH136),INDEX(nQ1_Case_Version,$AH136),INDEX(nQ2_Case_Version,$AH136),INDEX(nQ3_Case_Version,$AH136),INDEX(nQ4_Case_Version,$AH136),INDEX(nQ5_Case_Version,$AH136),INDEX(nQ6_Case_Version,$AH136),INDEX(nQ7_Case_Version,$AH136),INDEX(nQ8_Case_Version,$AH136),INDEX(nQ9_Case_Version,$AH136),INDEX(nQ10_Case_Version,$AH136),INDEX(nQ11_Case_Version,$AH136)))</f>
        <v/>
      </c>
      <c r="AL136" s="1" t="str">
        <f>IF($AF136=0,"",CHOOSE($AF136,INDEX(nINT_Interval_ID,$AH136)&amp;"",INDEX(nQ1_Calc_ID,$AH136)&amp;"",INDEX(nQ2_Calc_ID,$AH136)&amp;"",INDEX(nQ3_Calc_ID,$AH136)&amp;"",INDEX(nQ4_Calc_ID,$AH136)&amp;"",INDEX(nQ5_Calc_ID,$AH136)&amp;"",INDEX(nQ6_Calc_ID,$AH136)&amp;"",INDEX(nQ7_Calc_ID,$AH136)&amp;"",INDEX(nQ8_Calc_ID,$AH136)&amp;"",INDEX(nQ9_Calc_ID,$AH136)&amp;"",INDEX(nQ10_Calc_ID,$AH136)&amp;"",INDEX(nQ11_Calc_ID,$AH136)&amp;""))</f>
        <v/>
      </c>
      <c r="AM136" s="1" t="str">
        <f>IF($AF136=0,"",CHOOSE($AF136,INDEX(nINT_Label,$AH136)&amp;"",INDEX(nQ1_Label_Out,$AH136)&amp;"",INDEX(nQ2_Label_Out,$AH136)&amp;"",INDEX(nQ3_Label_Out,$AH136)&amp;"",INDEX(nQ4_Label_Out,$AH136)&amp;"",INDEX(nQ5_Label_Out,$AH136)&amp;"",INDEX(nQ6_Label_Out,$AH136)&amp;"",INDEX(nQ7_Label_Out,$AH136)&amp;"",INDEX(nQ8_Label_Out,$AH136)&amp;"",INDEX(nQ9_Label_Out,$AH136)&amp;"",INDEX(nQ10_Label_Out,$AH136)&amp;"",INDEX(nQ11_Label_Out,$AH136)&amp;""))</f>
        <v/>
      </c>
      <c r="AN136" s="1" t="str">
        <f>IF($AF136=0,"",CHOOSE($AF136,IF(INDEX(nINT_LinkRow,$AH136)=0,"",INDEX(nINT_Link_ID,$AH136)&amp;""),"","","","","","","","","","",""))</f>
        <v/>
      </c>
      <c r="AO136" s="1" t="str">
        <f>IF($AF136=0,"",CHOOSE($AF136,INDEX(nINT_Exposure_Episode_ID,$AH136)&amp;"","","","","","","","","","","",""))</f>
        <v/>
      </c>
      <c r="AP136" s="1" t="str">
        <f>IF($AF136=0,"",CHOOSE($AF136,INDEX(nINT_Event_Episode_ID,$AH136)&amp;"","","","","","","","","","","",""))</f>
        <v/>
      </c>
      <c r="AQ136" s="1" t="str">
        <f>IF($AF136=0,"",CHOOSE($AF136,INDEX(nINT_End_Record_ID_Used,$AH136)&amp;"","","","","","","","","","","",""))</f>
        <v/>
      </c>
      <c r="AR136" s="1" t="str">
        <f>IF($AF136=0,"",CHOOSE($AF136,INDEX(nINT_Interval_Value,$AH136),"","","","","","","","","","",""))</f>
        <v/>
      </c>
      <c r="AS136" s="1" t="str">
        <f>IF($AF136=0,"",CHOOSE($AF136,INDEX(nINT_Interval_Minimum,$AH136),"","","","","","","","","","",""))</f>
        <v/>
      </c>
      <c r="AT136" s="1" t="str">
        <f>IF($AF136=0,"",CHOOSE($AF136,INDEX(nINT_Interval_Maximum,$AH136),"","","","","","","","","","",""))</f>
        <v/>
      </c>
      <c r="AU136" s="1" t="str">
        <f>IF($AF136=0,"",CHOOSE($AF136,INDEX(nINT_Unit,$AH136)&amp;"",INDEX(nQ1_Unit_Out,$AH136)&amp;"",INDEX(nQ2_Unit_Out,$AH136)&amp;"",INDEX(nQ3_Unit_Out,$AH136)&amp;"",INDEX(nQ4_Unit_Out,$AH136)&amp;"",INDEX(nQ5_Unit_Out,$AH136)&amp;"",INDEX(nQ6_Unit_Out,$AH136)&amp;"",INDEX(nQ7_Unit_Out,$AH136)&amp;"",INDEX(nQ8_Unit_Out,$AH136)&amp;"",INDEX(nQ9_Unit_Out,$AH136)&amp;"",INDEX(nQ10_Unit_Out,$AH136)&amp;"",INDEX(nQ11_Unit_Out,$AH136)&amp;""))</f>
        <v/>
      </c>
      <c r="AV136" s="1" t="str">
        <f>IF($AF136=0,"",CHOOSE($AF136,INDEX(nINT_Displayed_Value,$AH136)&amp;"",INDEX(nQ1_Displayed_Value,$AH136)&amp;"",INDEX(nQ2_Displayed_Value,$AH136)&amp;"",INDEX(nQ3_Displayed_Value,$AH136)&amp;"",INDEX(nQ4_Displayed_Value,$AH136)&amp;"",INDEX(nQ5_Displayed_Value,$AH136)&amp;"",INDEX(nQ6_Displayed_Value,$AH136)&amp;"",INDEX(nQ7_Displayed_Value,$AH136)&amp;"",INDEX(nQ8_Displayed_Value,$AH136)&amp;"",INDEX(nQ9_Displayed_Value,$AH136)&amp;"",INDEX(nQ10_Displayed_Value,$AH136)&amp;"",INDEX(nQ11_Displayed_Value,$AH136)&amp;""))</f>
        <v/>
      </c>
      <c r="AW136" s="1" t="str">
        <f>IF($AF136=0,"",CHOOSE($AF136,INDEX(nINT_Calculation_Mode_Used,$AH136)&amp;"","Q1","Q2","Q3","Q4","Q5","Q6","Q7","Q8","Q9","Q10","Q11"))</f>
        <v/>
      </c>
      <c r="AX136" s="1" t="str">
        <f>IF($AF136=0,"",CHOOSE($AF136,INDEX(nINT_Anchor_Type,$AH136)&amp;"","","","","","","","","","","",""))</f>
        <v/>
      </c>
      <c r="AY136" s="1" t="str">
        <f>IF($AF136=0,"",CHOOSE($AF136,IF(INDEX(nINT_K_Ok,$AH136)=1,INDEX(nINT_Anchor_Record_ID_Used,$AH136)&amp;"",""),"","","","","","","","","","",""))</f>
        <v/>
      </c>
      <c r="AZ136" s="1" t="str">
        <f>IF($AF136=0,"",CHOOSE($AF136,INDEX(nINT_Anchor_Description,$AH136)&amp;"","","","","","","","","","","",""))</f>
        <v/>
      </c>
      <c r="BA136" s="1" t="str">
        <f>IF($AF136=0,"",CHOOSE($AF136,INDEX(nINT_Sequence_Status,$AH136)&amp;"","","","","","","","","","","",""))</f>
        <v/>
      </c>
      <c r="BB136" s="1" t="str">
        <f>IF($AF136=0,"",CHOOSE($AF136,INDEX(nINT_Treatment_Day,$AH136),"","","","","","","","","","",""))</f>
        <v/>
      </c>
      <c r="BC136" s="1" t="str">
        <f>IF($AF136=0,"",CHOOSE($AF136,INDEX(nINT_Reported_Timing_Result,$AH136)&amp;"","","","","","","","","","","",""))</f>
        <v/>
      </c>
      <c r="BD136" s="1" t="str">
        <f>IF($AF136=0,"",CHOOSE($AF136,IF(INDEX(nINT_K_HasC,$AH136)=1,INDEX(nINT_Constraint_Source,$AH136)&amp;"",""),"","","","","","","","","","",""))</f>
        <v/>
      </c>
      <c r="BE136" s="1" t="str">
        <f>IF($AF136=0,"",CHOOSE($AF136,"",INDEX(nQ1_Results_Text,$AH136)&amp;"",INDEX(nQ2_Results_Text,$AH136)&amp;"",INDEX(nQ3_Results_Text,$AH136)&amp;"",INDEX(nQ4_Results_Text,$AH136)&amp;"",INDEX(nQ5_Results_Text,$AH136)&amp;"",INDEX(nQ6_Results_Text,$AH136)&amp;"",INDEX(nQ7_Results_Text,$AH136)&amp;"",INDEX(nQ8_Results_Text,$AH136)&amp;"",INDEX(nQ9_Results_Text,$AH136)&amp;"",INDEX(nQ10_Results_Text,$AH136)&amp;"",INDEX(nQ11_Results_Text,$AH136)&amp;""))</f>
        <v/>
      </c>
      <c r="BF136" s="1" t="str">
        <f>IF($AF136=0,"",CHOOSE($AF136,INDEX(nINT_Parameter_Set,$AH136)&amp;"",INDEX(nQ1_Parameter_Set,$AH136)&amp;"",INDEX(nQ2_Parameter_Set,$AH136)&amp;"",INDEX(nQ3_Parameter_Set,$AH136)&amp;"",INDEX(nQ4_Parameter_Set,$AH136)&amp;"",INDEX(nQ5_Parameter_Set,$AH136)&amp;"",INDEX(nQ6_Parameter_Set,$AH136)&amp;"",INDEX(nQ7_Parameter_Set,$AH136)&amp;"",INDEX(nQ8_Parameter_Set,$AH136)&amp;"",INDEX(nQ9_Parameter_Set,$AH136)&amp;"",INDEX(nQ10_Parameter_Set,$AH136)&amp;"",INDEX(nQ11_Parameter_Set,$AH136)&amp;""))</f>
        <v/>
      </c>
      <c r="BG136" s="1" t="str">
        <f>IF($AF136=0,"",CHOOSE($AF136,INDEX(nINT_Assumptions,$AH136)&amp;"",INDEX(nQ1_Assumptions,$AH136)&amp;"",INDEX(nQ2_Assumptions,$AH136)&amp;"",INDEX(nQ3_Assumptions,$AH136)&amp;"",INDEX(nQ4_Assumptions,$AH136)&amp;"",INDEX(nQ5_Assumptions,$AH136)&amp;"",INDEX(nQ6_Assumptions,$AH136)&amp;"",INDEX(nQ7_Assumptions,$AH136)&amp;"",INDEX(nQ8_Assumptions,$AH136)&amp;"",INDEX(nQ9_Assumptions,$AH136)&amp;"",INDEX(nQ10_Assumptions,$AH136)&amp;"",INDEX(nQ11_Assumptions,$AH136)&amp;""))</f>
        <v/>
      </c>
      <c r="BH136" s="1" t="str">
        <f>IF($AF136=0,"",CHOOSE($AF136,INDEX(nINT_Calculation_Version,$AH136)&amp;"",INDEX(nQ1_Calculation_Version,$AH136)&amp;"",INDEX(nQ2_Calculation_Version,$AH136)&amp;"",INDEX(nQ3_Calculation_Version,$AH136)&amp;"",INDEX(nQ4_Calculation_Version,$AH136)&amp;"",INDEX(nQ5_Calculation_Version,$AH136)&amp;"",INDEX(nQ6_Calculation_Version,$AH136)&amp;"",INDEX(nQ7_Calculation_Version,$AH136)&amp;"",INDEX(nQ8_Calculation_Version,$AH136)&amp;"",INDEX(nQ9_Calculation_Version,$AH136)&amp;"",INDEX(nQ10_Calculation_Version,$AH136)&amp;"",INDEX(nQ11_Calculation_Version,$AH136)&amp;""))</f>
        <v/>
      </c>
      <c r="BI136" s="1" t="str">
        <f>IF($AF136=0,"",CHOOSE($AF136,INDEX(nINT_QC_Flags,$AH136)&amp;"",INDEX(nQ1_QC_Flags,$AH136)&amp;"",INDEX(nQ2_QC_Flags,$AH136)&amp;"",INDEX(nQ3_QC_Flags,$AH136)&amp;"",INDEX(nQ4_QC_Flags,$AH136)&amp;"",INDEX(nQ5_QC_Flags,$AH136)&amp;"",INDEX(nQ6_QC_Flags,$AH136)&amp;"",INDEX(nQ7_QC_Flags,$AH136)&amp;"",INDEX(nQ8_QC_Flags,$AH136)&amp;"",INDEX(nQ9_QC_Flags,$AH136)&amp;"",INDEX(nQ10_QC_Flags,$AH136)&amp;"",INDEX(nQ11_QC_Flags,$AH136)&amp;""))</f>
        <v/>
      </c>
      <c r="BJ136" s="1" t="str">
        <f>IF($AF136=0,"",CHOOSE($AF136,INDEX(nINT_Messages,$AH136)&amp;"",INDEX(nQ1_Messages,$AH136)&amp;"",INDEX(nQ2_Messages,$AH136)&amp;"",INDEX(nQ3_Messages,$AH136)&amp;"",INDEX(nQ4_Messages,$AH136)&amp;"",INDEX(nQ5_Messages,$AH136)&amp;"",INDEX(nQ6_Messages,$AH136)&amp;"",INDEX(nQ7_Messages,$AH136)&amp;"",INDEX(nQ8_Messages,$AH136)&amp;"",INDEX(nQ9_Messages,$AH136)&amp;"",INDEX(nQ10_Messages,$AH136)&amp;"",INDEX(nQ11_Messages,$AH136)&amp;""))</f>
        <v/>
      </c>
      <c r="BK136" s="1" t="str">
        <f>IF($AF136=0,"",CHOOSE($AF136,INDEX(nINT_Limitations,$AH136)&amp;"",INDEX(nQ1_Mandatory_Text,$AH136)&amp;"",INDEX(nQ2_Mandatory_Text,$AH136)&amp;"",INDEX(nQ3_Mandatory_Text,$AH136)&amp;"",INDEX(nQ4_Mandatory_Text,$AH136)&amp;"",INDEX(nQ5_Mandatory_Text,$AH136)&amp;"",INDEX(nQ6_Mandatory_Text,$AH136)&amp;"",INDEX(nQ7_Mandatory_Text,$AH136)&amp;"",INDEX(nQ8_Mandatory_Text,$AH136)&amp;"",INDEX(nQ9_Mandatory_Text,$AH136)&amp;"",INDEX(nQ10_Mandatory_Text,$AH136)&amp;"",INDEX(nQ11_Mandatory_Text,$AH136)&amp;""))</f>
        <v/>
      </c>
      <c r="BL136" s="1" t="str">
        <f t="shared" si="68"/>
        <v/>
      </c>
      <c r="BM136" s="1" t="str">
        <f t="shared" si="69"/>
        <v/>
      </c>
    </row>
    <row r="137" spans="1:65" x14ac:dyDescent="0.2">
      <c r="A137" s="21" t="str">
        <f t="shared" ref="A137:A157" si="70">IF(ISNUMBER($AJ137),$AJ137,IF($AJ137="","",IF(OR(LEFT($AJ137,1)="=",LEFT($AJ137,1)="+",LEFT($AJ137,1)="-",LEFT($AJ137,1)="@",LEFT($AJ137,1)=CHAR(9),LEFT($AJ137,1)=CHAR(13)),"'"&amp;$AJ137,$AJ137)))</f>
        <v/>
      </c>
      <c r="B137" s="21" t="str">
        <f t="shared" ref="B137:B157" si="71">IF(ISNUMBER($AK137),$AK137,IF($AK137="","",IF(OR(LEFT($AK137,1)="=",LEFT($AK137,1)="+",LEFT($AK137,1)="-",LEFT($AK137,1)="@",LEFT($AK137,1)=CHAR(9),LEFT($AK137,1)=CHAR(13)),"'"&amp;$AK137,$AK137)))</f>
        <v/>
      </c>
      <c r="C137" s="21" t="str">
        <f t="shared" ref="C137:C157" si="72">IF(ISNUMBER($AL137),$AL137,IF($AL137="","",IF(OR(LEFT($AL137,1)="=",LEFT($AL137,1)="+",LEFT($AL137,1)="-",LEFT($AL137,1)="@",LEFT($AL137,1)=CHAR(9),LEFT($AL137,1)=CHAR(13)),"'"&amp;$AL137,$AL137)))</f>
        <v/>
      </c>
      <c r="D137" s="21" t="str">
        <f t="shared" ref="D137:D157" si="73">IF(ISNUMBER($AM137),$AM137,IF($AM137="","",IF(OR(LEFT($AM137,1)="=",LEFT($AM137,1)="+",LEFT($AM137,1)="-",LEFT($AM137,1)="@",LEFT($AM137,1)=CHAR(9),LEFT($AM137,1)=CHAR(13)),"'"&amp;$AM137,$AM137)))</f>
        <v/>
      </c>
      <c r="E137" s="21" t="str">
        <f t="shared" ref="E137:E157" si="74">IF(ISNUMBER($AN137),$AN137,IF($AN137="","",IF(OR(LEFT($AN137,1)="=",LEFT($AN137,1)="+",LEFT($AN137,1)="-",LEFT($AN137,1)="@",LEFT($AN137,1)=CHAR(9),LEFT($AN137,1)=CHAR(13)),"'"&amp;$AN137,$AN137)))</f>
        <v/>
      </c>
      <c r="F137" s="21" t="str">
        <f t="shared" ref="F137:F157" si="75">IF(ISNUMBER($AO137),$AO137,IF($AO137="","",IF(OR(LEFT($AO137,1)="=",LEFT($AO137,1)="+",LEFT($AO137,1)="-",LEFT($AO137,1)="@",LEFT($AO137,1)=CHAR(9),LEFT($AO137,1)=CHAR(13)),"'"&amp;$AO137,$AO137)))</f>
        <v/>
      </c>
      <c r="G137" s="21" t="str">
        <f t="shared" ref="G137:G157" si="76">IF(ISNUMBER($AP137),$AP137,IF($AP137="","",IF(OR(LEFT($AP137,1)="=",LEFT($AP137,1)="+",LEFT($AP137,1)="-",LEFT($AP137,1)="@",LEFT($AP137,1)=CHAR(9),LEFT($AP137,1)=CHAR(13)),"'"&amp;$AP137,$AP137)))</f>
        <v/>
      </c>
      <c r="H137" s="21" t="str">
        <f t="shared" ref="H137:H157" si="77">IF(ISNUMBER($AQ137),$AQ137,IF($AQ137="","",IF(OR(LEFT($AQ137,1)="=",LEFT($AQ137,1)="+",LEFT($AQ137,1)="-",LEFT($AQ137,1)="@",LEFT($AQ137,1)=CHAR(9),LEFT($AQ137,1)=CHAR(13)),"'"&amp;$AQ137,$AQ137)))</f>
        <v/>
      </c>
      <c r="I137" s="21" t="str">
        <f t="shared" ref="I137:I157" si="78">IF(ISNUMBER($AR137),$AR137,IF($AR137="","",IF(OR(LEFT($AR137,1)="=",LEFT($AR137,1)="+",LEFT($AR137,1)="-",LEFT($AR137,1)="@",LEFT($AR137,1)=CHAR(9),LEFT($AR137,1)=CHAR(13)),"'"&amp;$AR137,$AR137)))</f>
        <v/>
      </c>
      <c r="J137" s="21" t="str">
        <f t="shared" ref="J137:J157" si="79">IF(ISNUMBER($AS137),$AS137,IF($AS137="","",IF(OR(LEFT($AS137,1)="=",LEFT($AS137,1)="+",LEFT($AS137,1)="-",LEFT($AS137,1)="@",LEFT($AS137,1)=CHAR(9),LEFT($AS137,1)=CHAR(13)),"'"&amp;$AS137,$AS137)))</f>
        <v/>
      </c>
      <c r="K137" s="21" t="str">
        <f t="shared" ref="K137:K157" si="80">IF(ISNUMBER($AT137),$AT137,IF($AT137="","",IF(OR(LEFT($AT137,1)="=",LEFT($AT137,1)="+",LEFT($AT137,1)="-",LEFT($AT137,1)="@",LEFT($AT137,1)=CHAR(9),LEFT($AT137,1)=CHAR(13)),"'"&amp;$AT137,$AT137)))</f>
        <v/>
      </c>
      <c r="L137" s="21" t="str">
        <f t="shared" ref="L137:L157" si="81">IF(ISNUMBER($AU137),$AU137,IF($AU137="","",IF(OR(LEFT($AU137,1)="=",LEFT($AU137,1)="+",LEFT($AU137,1)="-",LEFT($AU137,1)="@",LEFT($AU137,1)=CHAR(9),LEFT($AU137,1)=CHAR(13)),"'"&amp;$AU137,$AU137)))</f>
        <v/>
      </c>
      <c r="M137" s="21" t="str">
        <f t="shared" ref="M137:M157" si="82">IF(ISNUMBER($AV137),$AV137,IF($AV137="","",IF(OR(LEFT($AV137,1)="=",LEFT($AV137,1)="+",LEFT($AV137,1)="-",LEFT($AV137,1)="@",LEFT($AV137,1)=CHAR(9),LEFT($AV137,1)=CHAR(13)),"'"&amp;$AV137,$AV137)))</f>
        <v/>
      </c>
      <c r="N137" s="21" t="str">
        <f t="shared" ref="N137:N157" si="83">IF(ISNUMBER($AW137),$AW137,IF($AW137="","",IF(OR(LEFT($AW137,1)="=",LEFT($AW137,1)="+",LEFT($AW137,1)="-",LEFT($AW137,1)="@",LEFT($AW137,1)=CHAR(9),LEFT($AW137,1)=CHAR(13)),"'"&amp;$AW137,$AW137)))</f>
        <v/>
      </c>
      <c r="O137" s="21" t="str">
        <f t="shared" ref="O137:O157" si="84">IF(ISNUMBER($AX137),$AX137,IF($AX137="","",IF(OR(LEFT($AX137,1)="=",LEFT($AX137,1)="+",LEFT($AX137,1)="-",LEFT($AX137,1)="@",LEFT($AX137,1)=CHAR(9),LEFT($AX137,1)=CHAR(13)),"'"&amp;$AX137,$AX137)))</f>
        <v/>
      </c>
      <c r="P137" s="21" t="str">
        <f t="shared" ref="P137:P157" si="85">IF(ISNUMBER($AY137),$AY137,IF($AY137="","",IF(OR(LEFT($AY137,1)="=",LEFT($AY137,1)="+",LEFT($AY137,1)="-",LEFT($AY137,1)="@",LEFT($AY137,1)=CHAR(9),LEFT($AY137,1)=CHAR(13)),"'"&amp;$AY137,$AY137)))</f>
        <v/>
      </c>
      <c r="Q137" s="21" t="str">
        <f t="shared" ref="Q137:Q157" si="86">IF(ISNUMBER($AZ137),$AZ137,IF($AZ137="","",IF(OR(LEFT($AZ137,1)="=",LEFT($AZ137,1)="+",LEFT($AZ137,1)="-",LEFT($AZ137,1)="@",LEFT($AZ137,1)=CHAR(9),LEFT($AZ137,1)=CHAR(13)),"'"&amp;$AZ137,$AZ137)))</f>
        <v/>
      </c>
      <c r="R137" s="21" t="str">
        <f t="shared" ref="R137:R157" si="87">IF(ISNUMBER($BA137),$BA137,IF($BA137="","",IF(OR(LEFT($BA137,1)="=",LEFT($BA137,1)="+",LEFT($BA137,1)="-",LEFT($BA137,1)="@",LEFT($BA137,1)=CHAR(9),LEFT($BA137,1)=CHAR(13)),"'"&amp;$BA137,$BA137)))</f>
        <v/>
      </c>
      <c r="S137" s="21" t="str">
        <f t="shared" ref="S137:S157" si="88">IF(ISNUMBER($BB137),$BB137,IF($BB137="","",IF(OR(LEFT($BB137,1)="=",LEFT($BB137,1)="+",LEFT($BB137,1)="-",LEFT($BB137,1)="@",LEFT($BB137,1)=CHAR(9),LEFT($BB137,1)=CHAR(13)),"'"&amp;$BB137,$BB137)))</f>
        <v/>
      </c>
      <c r="T137" s="21" t="str">
        <f t="shared" ref="T137:T157" si="89">IF(ISNUMBER($BC137),$BC137,IF($BC137="","",IF(OR(LEFT($BC137,1)="=",LEFT($BC137,1)="+",LEFT($BC137,1)="-",LEFT($BC137,1)="@",LEFT($BC137,1)=CHAR(9),LEFT($BC137,1)=CHAR(13)),"'"&amp;$BC137,$BC137)))</f>
        <v/>
      </c>
      <c r="U137" s="21" t="str">
        <f t="shared" ref="U137:U157" si="90">IF(ISNUMBER($BD137),$BD137,IF($BD137="","",IF(OR(LEFT($BD137,1)="=",LEFT($BD137,1)="+",LEFT($BD137,1)="-",LEFT($BD137,1)="@",LEFT($BD137,1)=CHAR(9),LEFT($BD137,1)=CHAR(13)),"'"&amp;$BD137,$BD137)))</f>
        <v/>
      </c>
      <c r="V137" s="21" t="str">
        <f t="shared" ref="V137:V157" si="91">IF(ISNUMBER($BE137),$BE137,IF($BE137="","",IF(OR(LEFT($BE137,1)="=",LEFT($BE137,1)="+",LEFT($BE137,1)="-",LEFT($BE137,1)="@",LEFT($BE137,1)=CHAR(9),LEFT($BE137,1)=CHAR(13)),"'"&amp;$BE137,$BE137)))</f>
        <v/>
      </c>
      <c r="W137" s="21" t="str">
        <f t="shared" ref="W137:W157" si="92">IF(ISNUMBER($BF137),$BF137,IF($BF137="","",IF(OR(LEFT($BF137,1)="=",LEFT($BF137,1)="+",LEFT($BF137,1)="-",LEFT($BF137,1)="@",LEFT($BF137,1)=CHAR(9),LEFT($BF137,1)=CHAR(13)),"'"&amp;$BF137,$BF137)))</f>
        <v/>
      </c>
      <c r="X137" s="21" t="str">
        <f t="shared" ref="X137:X157" si="93">IF(ISNUMBER($BG137),$BG137,IF($BG137="","",IF(OR(LEFT($BG137,1)="=",LEFT($BG137,1)="+",LEFT($BG137,1)="-",LEFT($BG137,1)="@",LEFT($BG137,1)=CHAR(9),LEFT($BG137,1)=CHAR(13)),"'"&amp;$BG137,$BG137)))</f>
        <v/>
      </c>
      <c r="Y137" s="21" t="str">
        <f t="shared" ref="Y137:Y157" si="94">IF(ISNUMBER($BH137),$BH137,IF($BH137="","",IF(OR(LEFT($BH137,1)="=",LEFT($BH137,1)="+",LEFT($BH137,1)="-",LEFT($BH137,1)="@",LEFT($BH137,1)=CHAR(9),LEFT($BH137,1)=CHAR(13)),"'"&amp;$BH137,$BH137)))</f>
        <v/>
      </c>
      <c r="Z137" s="21" t="str">
        <f t="shared" ref="Z137:Z157" si="95">IF(ISNUMBER($BI137),$BI137,IF($BI137="","",IF(OR(LEFT($BI137,1)="=",LEFT($BI137,1)="+",LEFT($BI137,1)="-",LEFT($BI137,1)="@",LEFT($BI137,1)=CHAR(9),LEFT($BI137,1)=CHAR(13)),"'"&amp;$BI137,$BI137)))</f>
        <v/>
      </c>
      <c r="AA137" s="21" t="str">
        <f t="shared" ref="AA137:AA157" si="96">IF(ISNUMBER($BJ137),$BJ137,IF($BJ137="","",IF(OR(LEFT($BJ137,1)="=",LEFT($BJ137,1)="+",LEFT($BJ137,1)="-",LEFT($BJ137,1)="@",LEFT($BJ137,1)=CHAR(9),LEFT($BJ137,1)=CHAR(13)),"'"&amp;$BJ137,$BJ137)))</f>
        <v/>
      </c>
      <c r="AB137" s="21" t="str">
        <f t="shared" ref="AB137:AB157" si="97">IF(ISNUMBER($BK137),$BK137,IF($BK137="","",IF(OR(LEFT($BK137,1)="=",LEFT($BK137,1)="+",LEFT($BK137,1)="-",LEFT($BK137,1)="@",LEFT($BK137,1)=CHAR(9),LEFT($BK137,1)=CHAR(13)),"'"&amp;$BK137,$BK137)))</f>
        <v/>
      </c>
      <c r="AC137" s="21" t="str">
        <f t="shared" ref="AC137:AC157" si="98">IF(ISNUMBER($BL137),$BL137,IF($BL137="","",IF(OR(LEFT($BL137,1)="=",LEFT($BL137,1)="+",LEFT($BL137,1)="-",LEFT($BL137,1)="@",LEFT($BL137,1)=CHAR(9),LEFT($BL137,1)=CHAR(13)),"'"&amp;$BL137,$BL137)))</f>
        <v/>
      </c>
      <c r="AD137" s="21" t="str">
        <f t="shared" ref="AD137:AD157" si="99">IF(ISNUMBER($BM137),$BM137,IF($BM137="","",IF(OR(LEFT($BM137,1)="=",LEFT($BM137,1)="+",LEFT($BM137,1)="-",LEFT($BM137,1)="@",LEFT($BM137,1)=CHAR(9),LEFT($BM137,1)=CHAR(13)),"'"&amp;$BM137,$BM137)))</f>
        <v/>
      </c>
      <c r="AE137" s="1">
        <f t="shared" ref="AE137:AE157" si="100">ROW()-7</f>
        <v>130</v>
      </c>
      <c r="AF137" s="1">
        <f t="shared" ref="AF137:AF157" si="101">IF(AE137&gt;SUM($CB$8:$CB$19),0,MATCH(AE137-1,$CC$8:$CC$19,1))</f>
        <v>0</v>
      </c>
      <c r="AG137" s="1">
        <f t="shared" ref="AG137:AG157" si="102">IF(AF137=0,0,AE137-INDEX($CC$8:$CC$19,AF137))</f>
        <v>0</v>
      </c>
      <c r="AH137" s="1">
        <f>IF(AF137=0,0,CHOOSE(AF137,IFERROR(_xlfn.AGGREGATE(15,6,(ROW(nINT_CaseKey)-ROW(INDEX(nINT_CaseKey,1,1))+1)/((nINT_CaseKey=$H$4)*(nINT_RowEmpty=0)),AG137),0),IFERROR(_xlfn.AGGREGATE(15,6,(ROW(nQ1_CaseKey)-ROW(INDEX(nQ1_CaseKey,1,1))+1)/((nQ1_CaseKey=$H$4)),AG137),0),IFERROR(_xlfn.AGGREGATE(15,6,(ROW(nQ2_CaseKey)-ROW(INDEX(nQ2_CaseKey,1,1))+1)/((nQ2_CaseKey=$H$4)),AG137),0),IFERROR(_xlfn.AGGREGATE(15,6,(ROW(nQ3_CaseKey)-ROW(INDEX(nQ3_CaseKey,1,1))+1)/((nQ3_CaseKey=$H$4)),AG137),0),IFERROR(_xlfn.AGGREGATE(15,6,(ROW(nQ4_CaseKey)-ROW(INDEX(nQ4_CaseKey,1,1))+1)/((nQ4_CaseKey=$H$4)),AG137),0),IFERROR(_xlfn.AGGREGATE(15,6,(ROW(nQ5_CaseKey)-ROW(INDEX(nQ5_CaseKey,1,1))+1)/((nQ5_CaseKey=$H$4)),AG137),0),IFERROR(_xlfn.AGGREGATE(15,6,(ROW(nQ6_CaseKey)-ROW(INDEX(nQ6_CaseKey,1,1))+1)/((nQ6_CaseKey=$H$4)),AG137),0),IFERROR(_xlfn.AGGREGATE(15,6,(ROW(nQ7_CaseKey)-ROW(INDEX(nQ7_CaseKey,1,1))+1)/((nQ7_CaseKey=$H$4)),AG137),0),IFERROR(_xlfn.AGGREGATE(15,6,(ROW(nQ8_CaseKey)-ROW(INDEX(nQ8_CaseKey,1,1))+1)/((nQ8_CaseKey=$H$4)),AG137),0),IFERROR(_xlfn.AGGREGATE(15,6,(ROW(nQ9_CaseKey)-ROW(INDEX(nQ9_CaseKey,1,1))+1)/((nQ9_CaseKey=$H$4)),AG137),0),IFERROR(_xlfn.AGGREGATE(15,6,(ROW(nQ10_CaseKey)-ROW(INDEX(nQ10_CaseKey,1,1))+1)/((nQ10_CaseKey=$H$4)),AG137),0),IFERROR(_xlfn.AGGREGATE(15,6,(ROW(nQ11_CaseKey)-ROW(INDEX(nQ11_CaseKey,1,1))+1)/((nQ11_CaseKey=$H$4)),AG137),0)))</f>
        <v>0</v>
      </c>
      <c r="AJ137" s="1" t="str">
        <f>IF($AF137=0,"",CHOOSE($AF137,INDEX(nINT_Case_ID,$AH137)&amp;"",INDEX(nQ1_Case_ID,$AH137)&amp;"",INDEX(nQ2_Case_ID,$AH137)&amp;"",INDEX(nQ3_Case_ID,$AH137)&amp;"",INDEX(nQ4_Case_ID,$AH137)&amp;"",INDEX(nQ5_Case_ID,$AH137)&amp;"",INDEX(nQ6_Case_ID,$AH137)&amp;"",INDEX(nQ7_Case_ID,$AH137)&amp;"",INDEX(nQ8_Case_ID,$AH137)&amp;"",INDEX(nQ9_Case_ID,$AH137)&amp;"",INDEX(nQ10_Case_ID,$AH137)&amp;"",INDEX(nQ11_Case_ID,$AH137)&amp;""))</f>
        <v/>
      </c>
      <c r="AK137" s="1" t="str">
        <f>IF($AF137=0,"",CHOOSE($AF137,INDEX(nINT_Case_Version,$AH137),INDEX(nQ1_Case_Version,$AH137),INDEX(nQ2_Case_Version,$AH137),INDEX(nQ3_Case_Version,$AH137),INDEX(nQ4_Case_Version,$AH137),INDEX(nQ5_Case_Version,$AH137),INDEX(nQ6_Case_Version,$AH137),INDEX(nQ7_Case_Version,$AH137),INDEX(nQ8_Case_Version,$AH137),INDEX(nQ9_Case_Version,$AH137),INDEX(nQ10_Case_Version,$AH137),INDEX(nQ11_Case_Version,$AH137)))</f>
        <v/>
      </c>
      <c r="AL137" s="1" t="str">
        <f>IF($AF137=0,"",CHOOSE($AF137,INDEX(nINT_Interval_ID,$AH137)&amp;"",INDEX(nQ1_Calc_ID,$AH137)&amp;"",INDEX(nQ2_Calc_ID,$AH137)&amp;"",INDEX(nQ3_Calc_ID,$AH137)&amp;"",INDEX(nQ4_Calc_ID,$AH137)&amp;"",INDEX(nQ5_Calc_ID,$AH137)&amp;"",INDEX(nQ6_Calc_ID,$AH137)&amp;"",INDEX(nQ7_Calc_ID,$AH137)&amp;"",INDEX(nQ8_Calc_ID,$AH137)&amp;"",INDEX(nQ9_Calc_ID,$AH137)&amp;"",INDEX(nQ10_Calc_ID,$AH137)&amp;"",INDEX(nQ11_Calc_ID,$AH137)&amp;""))</f>
        <v/>
      </c>
      <c r="AM137" s="1" t="str">
        <f>IF($AF137=0,"",CHOOSE($AF137,INDEX(nINT_Label,$AH137)&amp;"",INDEX(nQ1_Label_Out,$AH137)&amp;"",INDEX(nQ2_Label_Out,$AH137)&amp;"",INDEX(nQ3_Label_Out,$AH137)&amp;"",INDEX(nQ4_Label_Out,$AH137)&amp;"",INDEX(nQ5_Label_Out,$AH137)&amp;"",INDEX(nQ6_Label_Out,$AH137)&amp;"",INDEX(nQ7_Label_Out,$AH137)&amp;"",INDEX(nQ8_Label_Out,$AH137)&amp;"",INDEX(nQ9_Label_Out,$AH137)&amp;"",INDEX(nQ10_Label_Out,$AH137)&amp;"",INDEX(nQ11_Label_Out,$AH137)&amp;""))</f>
        <v/>
      </c>
      <c r="AN137" s="1" t="str">
        <f>IF($AF137=0,"",CHOOSE($AF137,IF(INDEX(nINT_LinkRow,$AH137)=0,"",INDEX(nINT_Link_ID,$AH137)&amp;""),"","","","","","","","","","",""))</f>
        <v/>
      </c>
      <c r="AO137" s="1" t="str">
        <f>IF($AF137=0,"",CHOOSE($AF137,INDEX(nINT_Exposure_Episode_ID,$AH137)&amp;"","","","","","","","","","","",""))</f>
        <v/>
      </c>
      <c r="AP137" s="1" t="str">
        <f>IF($AF137=0,"",CHOOSE($AF137,INDEX(nINT_Event_Episode_ID,$AH137)&amp;"","","","","","","","","","","",""))</f>
        <v/>
      </c>
      <c r="AQ137" s="1" t="str">
        <f>IF($AF137=0,"",CHOOSE($AF137,INDEX(nINT_End_Record_ID_Used,$AH137)&amp;"","","","","","","","","","","",""))</f>
        <v/>
      </c>
      <c r="AR137" s="1" t="str">
        <f>IF($AF137=0,"",CHOOSE($AF137,INDEX(nINT_Interval_Value,$AH137),"","","","","","","","","","",""))</f>
        <v/>
      </c>
      <c r="AS137" s="1" t="str">
        <f>IF($AF137=0,"",CHOOSE($AF137,INDEX(nINT_Interval_Minimum,$AH137),"","","","","","","","","","",""))</f>
        <v/>
      </c>
      <c r="AT137" s="1" t="str">
        <f>IF($AF137=0,"",CHOOSE($AF137,INDEX(nINT_Interval_Maximum,$AH137),"","","","","","","","","","",""))</f>
        <v/>
      </c>
      <c r="AU137" s="1" t="str">
        <f>IF($AF137=0,"",CHOOSE($AF137,INDEX(nINT_Unit,$AH137)&amp;"",INDEX(nQ1_Unit_Out,$AH137)&amp;"",INDEX(nQ2_Unit_Out,$AH137)&amp;"",INDEX(nQ3_Unit_Out,$AH137)&amp;"",INDEX(nQ4_Unit_Out,$AH137)&amp;"",INDEX(nQ5_Unit_Out,$AH137)&amp;"",INDEX(nQ6_Unit_Out,$AH137)&amp;"",INDEX(nQ7_Unit_Out,$AH137)&amp;"",INDEX(nQ8_Unit_Out,$AH137)&amp;"",INDEX(nQ9_Unit_Out,$AH137)&amp;"",INDEX(nQ10_Unit_Out,$AH137)&amp;"",INDEX(nQ11_Unit_Out,$AH137)&amp;""))</f>
        <v/>
      </c>
      <c r="AV137" s="1" t="str">
        <f>IF($AF137=0,"",CHOOSE($AF137,INDEX(nINT_Displayed_Value,$AH137)&amp;"",INDEX(nQ1_Displayed_Value,$AH137)&amp;"",INDEX(nQ2_Displayed_Value,$AH137)&amp;"",INDEX(nQ3_Displayed_Value,$AH137)&amp;"",INDEX(nQ4_Displayed_Value,$AH137)&amp;"",INDEX(nQ5_Displayed_Value,$AH137)&amp;"",INDEX(nQ6_Displayed_Value,$AH137)&amp;"",INDEX(nQ7_Displayed_Value,$AH137)&amp;"",INDEX(nQ8_Displayed_Value,$AH137)&amp;"",INDEX(nQ9_Displayed_Value,$AH137)&amp;"",INDEX(nQ10_Displayed_Value,$AH137)&amp;"",INDEX(nQ11_Displayed_Value,$AH137)&amp;""))</f>
        <v/>
      </c>
      <c r="AW137" s="1" t="str">
        <f>IF($AF137=0,"",CHOOSE($AF137,INDEX(nINT_Calculation_Mode_Used,$AH137)&amp;"","Q1","Q2","Q3","Q4","Q5","Q6","Q7","Q8","Q9","Q10","Q11"))</f>
        <v/>
      </c>
      <c r="AX137" s="1" t="str">
        <f>IF($AF137=0,"",CHOOSE($AF137,INDEX(nINT_Anchor_Type,$AH137)&amp;"","","","","","","","","","","",""))</f>
        <v/>
      </c>
      <c r="AY137" s="1" t="str">
        <f>IF($AF137=0,"",CHOOSE($AF137,IF(INDEX(nINT_K_Ok,$AH137)=1,INDEX(nINT_Anchor_Record_ID_Used,$AH137)&amp;"",""),"","","","","","","","","","",""))</f>
        <v/>
      </c>
      <c r="AZ137" s="1" t="str">
        <f>IF($AF137=0,"",CHOOSE($AF137,INDEX(nINT_Anchor_Description,$AH137)&amp;"","","","","","","","","","","",""))</f>
        <v/>
      </c>
      <c r="BA137" s="1" t="str">
        <f>IF($AF137=0,"",CHOOSE($AF137,INDEX(nINT_Sequence_Status,$AH137)&amp;"","","","","","","","","","","",""))</f>
        <v/>
      </c>
      <c r="BB137" s="1" t="str">
        <f>IF($AF137=0,"",CHOOSE($AF137,INDEX(nINT_Treatment_Day,$AH137),"","","","","","","","","","",""))</f>
        <v/>
      </c>
      <c r="BC137" s="1" t="str">
        <f>IF($AF137=0,"",CHOOSE($AF137,INDEX(nINT_Reported_Timing_Result,$AH137)&amp;"","","","","","","","","","","",""))</f>
        <v/>
      </c>
      <c r="BD137" s="1" t="str">
        <f>IF($AF137=0,"",CHOOSE($AF137,IF(INDEX(nINT_K_HasC,$AH137)=1,INDEX(nINT_Constraint_Source,$AH137)&amp;"",""),"","","","","","","","","","",""))</f>
        <v/>
      </c>
      <c r="BE137" s="1" t="str">
        <f>IF($AF137=0,"",CHOOSE($AF137,"",INDEX(nQ1_Results_Text,$AH137)&amp;"",INDEX(nQ2_Results_Text,$AH137)&amp;"",INDEX(nQ3_Results_Text,$AH137)&amp;"",INDEX(nQ4_Results_Text,$AH137)&amp;"",INDEX(nQ5_Results_Text,$AH137)&amp;"",INDEX(nQ6_Results_Text,$AH137)&amp;"",INDEX(nQ7_Results_Text,$AH137)&amp;"",INDEX(nQ8_Results_Text,$AH137)&amp;"",INDEX(nQ9_Results_Text,$AH137)&amp;"",INDEX(nQ10_Results_Text,$AH137)&amp;"",INDEX(nQ11_Results_Text,$AH137)&amp;""))</f>
        <v/>
      </c>
      <c r="BF137" s="1" t="str">
        <f>IF($AF137=0,"",CHOOSE($AF137,INDEX(nINT_Parameter_Set,$AH137)&amp;"",INDEX(nQ1_Parameter_Set,$AH137)&amp;"",INDEX(nQ2_Parameter_Set,$AH137)&amp;"",INDEX(nQ3_Parameter_Set,$AH137)&amp;"",INDEX(nQ4_Parameter_Set,$AH137)&amp;"",INDEX(nQ5_Parameter_Set,$AH137)&amp;"",INDEX(nQ6_Parameter_Set,$AH137)&amp;"",INDEX(nQ7_Parameter_Set,$AH137)&amp;"",INDEX(nQ8_Parameter_Set,$AH137)&amp;"",INDEX(nQ9_Parameter_Set,$AH137)&amp;"",INDEX(nQ10_Parameter_Set,$AH137)&amp;"",INDEX(nQ11_Parameter_Set,$AH137)&amp;""))</f>
        <v/>
      </c>
      <c r="BG137" s="1" t="str">
        <f>IF($AF137=0,"",CHOOSE($AF137,INDEX(nINT_Assumptions,$AH137)&amp;"",INDEX(nQ1_Assumptions,$AH137)&amp;"",INDEX(nQ2_Assumptions,$AH137)&amp;"",INDEX(nQ3_Assumptions,$AH137)&amp;"",INDEX(nQ4_Assumptions,$AH137)&amp;"",INDEX(nQ5_Assumptions,$AH137)&amp;"",INDEX(nQ6_Assumptions,$AH137)&amp;"",INDEX(nQ7_Assumptions,$AH137)&amp;"",INDEX(nQ8_Assumptions,$AH137)&amp;"",INDEX(nQ9_Assumptions,$AH137)&amp;"",INDEX(nQ10_Assumptions,$AH137)&amp;"",INDEX(nQ11_Assumptions,$AH137)&amp;""))</f>
        <v/>
      </c>
      <c r="BH137" s="1" t="str">
        <f>IF($AF137=0,"",CHOOSE($AF137,INDEX(nINT_Calculation_Version,$AH137)&amp;"",INDEX(nQ1_Calculation_Version,$AH137)&amp;"",INDEX(nQ2_Calculation_Version,$AH137)&amp;"",INDEX(nQ3_Calculation_Version,$AH137)&amp;"",INDEX(nQ4_Calculation_Version,$AH137)&amp;"",INDEX(nQ5_Calculation_Version,$AH137)&amp;"",INDEX(nQ6_Calculation_Version,$AH137)&amp;"",INDEX(nQ7_Calculation_Version,$AH137)&amp;"",INDEX(nQ8_Calculation_Version,$AH137)&amp;"",INDEX(nQ9_Calculation_Version,$AH137)&amp;"",INDEX(nQ10_Calculation_Version,$AH137)&amp;"",INDEX(nQ11_Calculation_Version,$AH137)&amp;""))</f>
        <v/>
      </c>
      <c r="BI137" s="1" t="str">
        <f>IF($AF137=0,"",CHOOSE($AF137,INDEX(nINT_QC_Flags,$AH137)&amp;"",INDEX(nQ1_QC_Flags,$AH137)&amp;"",INDEX(nQ2_QC_Flags,$AH137)&amp;"",INDEX(nQ3_QC_Flags,$AH137)&amp;"",INDEX(nQ4_QC_Flags,$AH137)&amp;"",INDEX(nQ5_QC_Flags,$AH137)&amp;"",INDEX(nQ6_QC_Flags,$AH137)&amp;"",INDEX(nQ7_QC_Flags,$AH137)&amp;"",INDEX(nQ8_QC_Flags,$AH137)&amp;"",INDEX(nQ9_QC_Flags,$AH137)&amp;"",INDEX(nQ10_QC_Flags,$AH137)&amp;"",INDEX(nQ11_QC_Flags,$AH137)&amp;""))</f>
        <v/>
      </c>
      <c r="BJ137" s="1" t="str">
        <f>IF($AF137=0,"",CHOOSE($AF137,INDEX(nINT_Messages,$AH137)&amp;"",INDEX(nQ1_Messages,$AH137)&amp;"",INDEX(nQ2_Messages,$AH137)&amp;"",INDEX(nQ3_Messages,$AH137)&amp;"",INDEX(nQ4_Messages,$AH137)&amp;"",INDEX(nQ5_Messages,$AH137)&amp;"",INDEX(nQ6_Messages,$AH137)&amp;"",INDEX(nQ7_Messages,$AH137)&amp;"",INDEX(nQ8_Messages,$AH137)&amp;"",INDEX(nQ9_Messages,$AH137)&amp;"",INDEX(nQ10_Messages,$AH137)&amp;"",INDEX(nQ11_Messages,$AH137)&amp;""))</f>
        <v/>
      </c>
      <c r="BK137" s="1" t="str">
        <f>IF($AF137=0,"",CHOOSE($AF137,INDEX(nINT_Limitations,$AH137)&amp;"",INDEX(nQ1_Mandatory_Text,$AH137)&amp;"",INDEX(nQ2_Mandatory_Text,$AH137)&amp;"",INDEX(nQ3_Mandatory_Text,$AH137)&amp;"",INDEX(nQ4_Mandatory_Text,$AH137)&amp;"",INDEX(nQ5_Mandatory_Text,$AH137)&amp;"",INDEX(nQ6_Mandatory_Text,$AH137)&amp;"",INDEX(nQ7_Mandatory_Text,$AH137)&amp;"",INDEX(nQ8_Mandatory_Text,$AH137)&amp;"",INDEX(nQ9_Mandatory_Text,$AH137)&amp;"",INDEX(nQ10_Mandatory_Text,$AH137)&amp;"",INDEX(nQ11_Mandatory_Text,$AH137)&amp;""))</f>
        <v/>
      </c>
      <c r="BL137" s="1" t="str">
        <f t="shared" ref="BL137:BL157" si="103">IF($AF137=0,"",IF(ISNUMBER($F$4),TEXT($F$4,"yyyy-mm-dd")&amp;"T"&amp;TEXT($F$4,"hh:mm")&amp;":00","not stamped"))</f>
        <v/>
      </c>
      <c r="BM137" s="1" t="str">
        <f t="shared" ref="BM137:BM157" si="104">IF($AF137=0,"","TTO Companion Tools v1.1")</f>
        <v/>
      </c>
    </row>
    <row r="138" spans="1:65" x14ac:dyDescent="0.2">
      <c r="A138" s="21" t="str">
        <f t="shared" si="70"/>
        <v/>
      </c>
      <c r="B138" s="21" t="str">
        <f t="shared" si="71"/>
        <v/>
      </c>
      <c r="C138" s="21" t="str">
        <f t="shared" si="72"/>
        <v/>
      </c>
      <c r="D138" s="21" t="str">
        <f t="shared" si="73"/>
        <v/>
      </c>
      <c r="E138" s="21" t="str">
        <f t="shared" si="74"/>
        <v/>
      </c>
      <c r="F138" s="21" t="str">
        <f t="shared" si="75"/>
        <v/>
      </c>
      <c r="G138" s="21" t="str">
        <f t="shared" si="76"/>
        <v/>
      </c>
      <c r="H138" s="21" t="str">
        <f t="shared" si="77"/>
        <v/>
      </c>
      <c r="I138" s="21" t="str">
        <f t="shared" si="78"/>
        <v/>
      </c>
      <c r="J138" s="21" t="str">
        <f t="shared" si="79"/>
        <v/>
      </c>
      <c r="K138" s="21" t="str">
        <f t="shared" si="80"/>
        <v/>
      </c>
      <c r="L138" s="21" t="str">
        <f t="shared" si="81"/>
        <v/>
      </c>
      <c r="M138" s="21" t="str">
        <f t="shared" si="82"/>
        <v/>
      </c>
      <c r="N138" s="21" t="str">
        <f t="shared" si="83"/>
        <v/>
      </c>
      <c r="O138" s="21" t="str">
        <f t="shared" si="84"/>
        <v/>
      </c>
      <c r="P138" s="21" t="str">
        <f t="shared" si="85"/>
        <v/>
      </c>
      <c r="Q138" s="21" t="str">
        <f t="shared" si="86"/>
        <v/>
      </c>
      <c r="R138" s="21" t="str">
        <f t="shared" si="87"/>
        <v/>
      </c>
      <c r="S138" s="21" t="str">
        <f t="shared" si="88"/>
        <v/>
      </c>
      <c r="T138" s="21" t="str">
        <f t="shared" si="89"/>
        <v/>
      </c>
      <c r="U138" s="21" t="str">
        <f t="shared" si="90"/>
        <v/>
      </c>
      <c r="V138" s="21" t="str">
        <f t="shared" si="91"/>
        <v/>
      </c>
      <c r="W138" s="21" t="str">
        <f t="shared" si="92"/>
        <v/>
      </c>
      <c r="X138" s="21" t="str">
        <f t="shared" si="93"/>
        <v/>
      </c>
      <c r="Y138" s="21" t="str">
        <f t="shared" si="94"/>
        <v/>
      </c>
      <c r="Z138" s="21" t="str">
        <f t="shared" si="95"/>
        <v/>
      </c>
      <c r="AA138" s="21" t="str">
        <f t="shared" si="96"/>
        <v/>
      </c>
      <c r="AB138" s="21" t="str">
        <f t="shared" si="97"/>
        <v/>
      </c>
      <c r="AC138" s="21" t="str">
        <f t="shared" si="98"/>
        <v/>
      </c>
      <c r="AD138" s="21" t="str">
        <f t="shared" si="99"/>
        <v/>
      </c>
      <c r="AE138" s="1">
        <f t="shared" si="100"/>
        <v>131</v>
      </c>
      <c r="AF138" s="1">
        <f t="shared" si="101"/>
        <v>0</v>
      </c>
      <c r="AG138" s="1">
        <f t="shared" si="102"/>
        <v>0</v>
      </c>
      <c r="AH138" s="1">
        <f>IF(AF138=0,0,CHOOSE(AF138,IFERROR(_xlfn.AGGREGATE(15,6,(ROW(nINT_CaseKey)-ROW(INDEX(nINT_CaseKey,1,1))+1)/((nINT_CaseKey=$H$4)*(nINT_RowEmpty=0)),AG138),0),IFERROR(_xlfn.AGGREGATE(15,6,(ROW(nQ1_CaseKey)-ROW(INDEX(nQ1_CaseKey,1,1))+1)/((nQ1_CaseKey=$H$4)),AG138),0),IFERROR(_xlfn.AGGREGATE(15,6,(ROW(nQ2_CaseKey)-ROW(INDEX(nQ2_CaseKey,1,1))+1)/((nQ2_CaseKey=$H$4)),AG138),0),IFERROR(_xlfn.AGGREGATE(15,6,(ROW(nQ3_CaseKey)-ROW(INDEX(nQ3_CaseKey,1,1))+1)/((nQ3_CaseKey=$H$4)),AG138),0),IFERROR(_xlfn.AGGREGATE(15,6,(ROW(nQ4_CaseKey)-ROW(INDEX(nQ4_CaseKey,1,1))+1)/((nQ4_CaseKey=$H$4)),AG138),0),IFERROR(_xlfn.AGGREGATE(15,6,(ROW(nQ5_CaseKey)-ROW(INDEX(nQ5_CaseKey,1,1))+1)/((nQ5_CaseKey=$H$4)),AG138),0),IFERROR(_xlfn.AGGREGATE(15,6,(ROW(nQ6_CaseKey)-ROW(INDEX(nQ6_CaseKey,1,1))+1)/((nQ6_CaseKey=$H$4)),AG138),0),IFERROR(_xlfn.AGGREGATE(15,6,(ROW(nQ7_CaseKey)-ROW(INDEX(nQ7_CaseKey,1,1))+1)/((nQ7_CaseKey=$H$4)),AG138),0),IFERROR(_xlfn.AGGREGATE(15,6,(ROW(nQ8_CaseKey)-ROW(INDEX(nQ8_CaseKey,1,1))+1)/((nQ8_CaseKey=$H$4)),AG138),0),IFERROR(_xlfn.AGGREGATE(15,6,(ROW(nQ9_CaseKey)-ROW(INDEX(nQ9_CaseKey,1,1))+1)/((nQ9_CaseKey=$H$4)),AG138),0),IFERROR(_xlfn.AGGREGATE(15,6,(ROW(nQ10_CaseKey)-ROW(INDEX(nQ10_CaseKey,1,1))+1)/((nQ10_CaseKey=$H$4)),AG138),0),IFERROR(_xlfn.AGGREGATE(15,6,(ROW(nQ11_CaseKey)-ROW(INDEX(nQ11_CaseKey,1,1))+1)/((nQ11_CaseKey=$H$4)),AG138),0)))</f>
        <v>0</v>
      </c>
      <c r="AJ138" s="1" t="str">
        <f>IF($AF138=0,"",CHOOSE($AF138,INDEX(nINT_Case_ID,$AH138)&amp;"",INDEX(nQ1_Case_ID,$AH138)&amp;"",INDEX(nQ2_Case_ID,$AH138)&amp;"",INDEX(nQ3_Case_ID,$AH138)&amp;"",INDEX(nQ4_Case_ID,$AH138)&amp;"",INDEX(nQ5_Case_ID,$AH138)&amp;"",INDEX(nQ6_Case_ID,$AH138)&amp;"",INDEX(nQ7_Case_ID,$AH138)&amp;"",INDEX(nQ8_Case_ID,$AH138)&amp;"",INDEX(nQ9_Case_ID,$AH138)&amp;"",INDEX(nQ10_Case_ID,$AH138)&amp;"",INDEX(nQ11_Case_ID,$AH138)&amp;""))</f>
        <v/>
      </c>
      <c r="AK138" s="1" t="str">
        <f>IF($AF138=0,"",CHOOSE($AF138,INDEX(nINT_Case_Version,$AH138),INDEX(nQ1_Case_Version,$AH138),INDEX(nQ2_Case_Version,$AH138),INDEX(nQ3_Case_Version,$AH138),INDEX(nQ4_Case_Version,$AH138),INDEX(nQ5_Case_Version,$AH138),INDEX(nQ6_Case_Version,$AH138),INDEX(nQ7_Case_Version,$AH138),INDEX(nQ8_Case_Version,$AH138),INDEX(nQ9_Case_Version,$AH138),INDEX(nQ10_Case_Version,$AH138),INDEX(nQ11_Case_Version,$AH138)))</f>
        <v/>
      </c>
      <c r="AL138" s="1" t="str">
        <f>IF($AF138=0,"",CHOOSE($AF138,INDEX(nINT_Interval_ID,$AH138)&amp;"",INDEX(nQ1_Calc_ID,$AH138)&amp;"",INDEX(nQ2_Calc_ID,$AH138)&amp;"",INDEX(nQ3_Calc_ID,$AH138)&amp;"",INDEX(nQ4_Calc_ID,$AH138)&amp;"",INDEX(nQ5_Calc_ID,$AH138)&amp;"",INDEX(nQ6_Calc_ID,$AH138)&amp;"",INDEX(nQ7_Calc_ID,$AH138)&amp;"",INDEX(nQ8_Calc_ID,$AH138)&amp;"",INDEX(nQ9_Calc_ID,$AH138)&amp;"",INDEX(nQ10_Calc_ID,$AH138)&amp;"",INDEX(nQ11_Calc_ID,$AH138)&amp;""))</f>
        <v/>
      </c>
      <c r="AM138" s="1" t="str">
        <f>IF($AF138=0,"",CHOOSE($AF138,INDEX(nINT_Label,$AH138)&amp;"",INDEX(nQ1_Label_Out,$AH138)&amp;"",INDEX(nQ2_Label_Out,$AH138)&amp;"",INDEX(nQ3_Label_Out,$AH138)&amp;"",INDEX(nQ4_Label_Out,$AH138)&amp;"",INDEX(nQ5_Label_Out,$AH138)&amp;"",INDEX(nQ6_Label_Out,$AH138)&amp;"",INDEX(nQ7_Label_Out,$AH138)&amp;"",INDEX(nQ8_Label_Out,$AH138)&amp;"",INDEX(nQ9_Label_Out,$AH138)&amp;"",INDEX(nQ10_Label_Out,$AH138)&amp;"",INDEX(nQ11_Label_Out,$AH138)&amp;""))</f>
        <v/>
      </c>
      <c r="AN138" s="1" t="str">
        <f>IF($AF138=0,"",CHOOSE($AF138,IF(INDEX(nINT_LinkRow,$AH138)=0,"",INDEX(nINT_Link_ID,$AH138)&amp;""),"","","","","","","","","","",""))</f>
        <v/>
      </c>
      <c r="AO138" s="1" t="str">
        <f>IF($AF138=0,"",CHOOSE($AF138,INDEX(nINT_Exposure_Episode_ID,$AH138)&amp;"","","","","","","","","","","",""))</f>
        <v/>
      </c>
      <c r="AP138" s="1" t="str">
        <f>IF($AF138=0,"",CHOOSE($AF138,INDEX(nINT_Event_Episode_ID,$AH138)&amp;"","","","","","","","","","","",""))</f>
        <v/>
      </c>
      <c r="AQ138" s="1" t="str">
        <f>IF($AF138=0,"",CHOOSE($AF138,INDEX(nINT_End_Record_ID_Used,$AH138)&amp;"","","","","","","","","","","",""))</f>
        <v/>
      </c>
      <c r="AR138" s="1" t="str">
        <f>IF($AF138=0,"",CHOOSE($AF138,INDEX(nINT_Interval_Value,$AH138),"","","","","","","","","","",""))</f>
        <v/>
      </c>
      <c r="AS138" s="1" t="str">
        <f>IF($AF138=0,"",CHOOSE($AF138,INDEX(nINT_Interval_Minimum,$AH138),"","","","","","","","","","",""))</f>
        <v/>
      </c>
      <c r="AT138" s="1" t="str">
        <f>IF($AF138=0,"",CHOOSE($AF138,INDEX(nINT_Interval_Maximum,$AH138),"","","","","","","","","","",""))</f>
        <v/>
      </c>
      <c r="AU138" s="1" t="str">
        <f>IF($AF138=0,"",CHOOSE($AF138,INDEX(nINT_Unit,$AH138)&amp;"",INDEX(nQ1_Unit_Out,$AH138)&amp;"",INDEX(nQ2_Unit_Out,$AH138)&amp;"",INDEX(nQ3_Unit_Out,$AH138)&amp;"",INDEX(nQ4_Unit_Out,$AH138)&amp;"",INDEX(nQ5_Unit_Out,$AH138)&amp;"",INDEX(nQ6_Unit_Out,$AH138)&amp;"",INDEX(nQ7_Unit_Out,$AH138)&amp;"",INDEX(nQ8_Unit_Out,$AH138)&amp;"",INDEX(nQ9_Unit_Out,$AH138)&amp;"",INDEX(nQ10_Unit_Out,$AH138)&amp;"",INDEX(nQ11_Unit_Out,$AH138)&amp;""))</f>
        <v/>
      </c>
      <c r="AV138" s="1" t="str">
        <f>IF($AF138=0,"",CHOOSE($AF138,INDEX(nINT_Displayed_Value,$AH138)&amp;"",INDEX(nQ1_Displayed_Value,$AH138)&amp;"",INDEX(nQ2_Displayed_Value,$AH138)&amp;"",INDEX(nQ3_Displayed_Value,$AH138)&amp;"",INDEX(nQ4_Displayed_Value,$AH138)&amp;"",INDEX(nQ5_Displayed_Value,$AH138)&amp;"",INDEX(nQ6_Displayed_Value,$AH138)&amp;"",INDEX(nQ7_Displayed_Value,$AH138)&amp;"",INDEX(nQ8_Displayed_Value,$AH138)&amp;"",INDEX(nQ9_Displayed_Value,$AH138)&amp;"",INDEX(nQ10_Displayed_Value,$AH138)&amp;"",INDEX(nQ11_Displayed_Value,$AH138)&amp;""))</f>
        <v/>
      </c>
      <c r="AW138" s="1" t="str">
        <f>IF($AF138=0,"",CHOOSE($AF138,INDEX(nINT_Calculation_Mode_Used,$AH138)&amp;"","Q1","Q2","Q3","Q4","Q5","Q6","Q7","Q8","Q9","Q10","Q11"))</f>
        <v/>
      </c>
      <c r="AX138" s="1" t="str">
        <f>IF($AF138=0,"",CHOOSE($AF138,INDEX(nINT_Anchor_Type,$AH138)&amp;"","","","","","","","","","","",""))</f>
        <v/>
      </c>
      <c r="AY138" s="1" t="str">
        <f>IF($AF138=0,"",CHOOSE($AF138,IF(INDEX(nINT_K_Ok,$AH138)=1,INDEX(nINT_Anchor_Record_ID_Used,$AH138)&amp;"",""),"","","","","","","","","","",""))</f>
        <v/>
      </c>
      <c r="AZ138" s="1" t="str">
        <f>IF($AF138=0,"",CHOOSE($AF138,INDEX(nINT_Anchor_Description,$AH138)&amp;"","","","","","","","","","","",""))</f>
        <v/>
      </c>
      <c r="BA138" s="1" t="str">
        <f>IF($AF138=0,"",CHOOSE($AF138,INDEX(nINT_Sequence_Status,$AH138)&amp;"","","","","","","","","","","",""))</f>
        <v/>
      </c>
      <c r="BB138" s="1" t="str">
        <f>IF($AF138=0,"",CHOOSE($AF138,INDEX(nINT_Treatment_Day,$AH138),"","","","","","","","","","",""))</f>
        <v/>
      </c>
      <c r="BC138" s="1" t="str">
        <f>IF($AF138=0,"",CHOOSE($AF138,INDEX(nINT_Reported_Timing_Result,$AH138)&amp;"","","","","","","","","","","",""))</f>
        <v/>
      </c>
      <c r="BD138" s="1" t="str">
        <f>IF($AF138=0,"",CHOOSE($AF138,IF(INDEX(nINT_K_HasC,$AH138)=1,INDEX(nINT_Constraint_Source,$AH138)&amp;"",""),"","","","","","","","","","",""))</f>
        <v/>
      </c>
      <c r="BE138" s="1" t="str">
        <f>IF($AF138=0,"",CHOOSE($AF138,"",INDEX(nQ1_Results_Text,$AH138)&amp;"",INDEX(nQ2_Results_Text,$AH138)&amp;"",INDEX(nQ3_Results_Text,$AH138)&amp;"",INDEX(nQ4_Results_Text,$AH138)&amp;"",INDEX(nQ5_Results_Text,$AH138)&amp;"",INDEX(nQ6_Results_Text,$AH138)&amp;"",INDEX(nQ7_Results_Text,$AH138)&amp;"",INDEX(nQ8_Results_Text,$AH138)&amp;"",INDEX(nQ9_Results_Text,$AH138)&amp;"",INDEX(nQ10_Results_Text,$AH138)&amp;"",INDEX(nQ11_Results_Text,$AH138)&amp;""))</f>
        <v/>
      </c>
      <c r="BF138" s="1" t="str">
        <f>IF($AF138=0,"",CHOOSE($AF138,INDEX(nINT_Parameter_Set,$AH138)&amp;"",INDEX(nQ1_Parameter_Set,$AH138)&amp;"",INDEX(nQ2_Parameter_Set,$AH138)&amp;"",INDEX(nQ3_Parameter_Set,$AH138)&amp;"",INDEX(nQ4_Parameter_Set,$AH138)&amp;"",INDEX(nQ5_Parameter_Set,$AH138)&amp;"",INDEX(nQ6_Parameter_Set,$AH138)&amp;"",INDEX(nQ7_Parameter_Set,$AH138)&amp;"",INDEX(nQ8_Parameter_Set,$AH138)&amp;"",INDEX(nQ9_Parameter_Set,$AH138)&amp;"",INDEX(nQ10_Parameter_Set,$AH138)&amp;"",INDEX(nQ11_Parameter_Set,$AH138)&amp;""))</f>
        <v/>
      </c>
      <c r="BG138" s="1" t="str">
        <f>IF($AF138=0,"",CHOOSE($AF138,INDEX(nINT_Assumptions,$AH138)&amp;"",INDEX(nQ1_Assumptions,$AH138)&amp;"",INDEX(nQ2_Assumptions,$AH138)&amp;"",INDEX(nQ3_Assumptions,$AH138)&amp;"",INDEX(nQ4_Assumptions,$AH138)&amp;"",INDEX(nQ5_Assumptions,$AH138)&amp;"",INDEX(nQ6_Assumptions,$AH138)&amp;"",INDEX(nQ7_Assumptions,$AH138)&amp;"",INDEX(nQ8_Assumptions,$AH138)&amp;"",INDEX(nQ9_Assumptions,$AH138)&amp;"",INDEX(nQ10_Assumptions,$AH138)&amp;"",INDEX(nQ11_Assumptions,$AH138)&amp;""))</f>
        <v/>
      </c>
      <c r="BH138" s="1" t="str">
        <f>IF($AF138=0,"",CHOOSE($AF138,INDEX(nINT_Calculation_Version,$AH138)&amp;"",INDEX(nQ1_Calculation_Version,$AH138)&amp;"",INDEX(nQ2_Calculation_Version,$AH138)&amp;"",INDEX(nQ3_Calculation_Version,$AH138)&amp;"",INDEX(nQ4_Calculation_Version,$AH138)&amp;"",INDEX(nQ5_Calculation_Version,$AH138)&amp;"",INDEX(nQ6_Calculation_Version,$AH138)&amp;"",INDEX(nQ7_Calculation_Version,$AH138)&amp;"",INDEX(nQ8_Calculation_Version,$AH138)&amp;"",INDEX(nQ9_Calculation_Version,$AH138)&amp;"",INDEX(nQ10_Calculation_Version,$AH138)&amp;"",INDEX(nQ11_Calculation_Version,$AH138)&amp;""))</f>
        <v/>
      </c>
      <c r="BI138" s="1" t="str">
        <f>IF($AF138=0,"",CHOOSE($AF138,INDEX(nINT_QC_Flags,$AH138)&amp;"",INDEX(nQ1_QC_Flags,$AH138)&amp;"",INDEX(nQ2_QC_Flags,$AH138)&amp;"",INDEX(nQ3_QC_Flags,$AH138)&amp;"",INDEX(nQ4_QC_Flags,$AH138)&amp;"",INDEX(nQ5_QC_Flags,$AH138)&amp;"",INDEX(nQ6_QC_Flags,$AH138)&amp;"",INDEX(nQ7_QC_Flags,$AH138)&amp;"",INDEX(nQ8_QC_Flags,$AH138)&amp;"",INDEX(nQ9_QC_Flags,$AH138)&amp;"",INDEX(nQ10_QC_Flags,$AH138)&amp;"",INDEX(nQ11_QC_Flags,$AH138)&amp;""))</f>
        <v/>
      </c>
      <c r="BJ138" s="1" t="str">
        <f>IF($AF138=0,"",CHOOSE($AF138,INDEX(nINT_Messages,$AH138)&amp;"",INDEX(nQ1_Messages,$AH138)&amp;"",INDEX(nQ2_Messages,$AH138)&amp;"",INDEX(nQ3_Messages,$AH138)&amp;"",INDEX(nQ4_Messages,$AH138)&amp;"",INDEX(nQ5_Messages,$AH138)&amp;"",INDEX(nQ6_Messages,$AH138)&amp;"",INDEX(nQ7_Messages,$AH138)&amp;"",INDEX(nQ8_Messages,$AH138)&amp;"",INDEX(nQ9_Messages,$AH138)&amp;"",INDEX(nQ10_Messages,$AH138)&amp;"",INDEX(nQ11_Messages,$AH138)&amp;""))</f>
        <v/>
      </c>
      <c r="BK138" s="1" t="str">
        <f>IF($AF138=0,"",CHOOSE($AF138,INDEX(nINT_Limitations,$AH138)&amp;"",INDEX(nQ1_Mandatory_Text,$AH138)&amp;"",INDEX(nQ2_Mandatory_Text,$AH138)&amp;"",INDEX(nQ3_Mandatory_Text,$AH138)&amp;"",INDEX(nQ4_Mandatory_Text,$AH138)&amp;"",INDEX(nQ5_Mandatory_Text,$AH138)&amp;"",INDEX(nQ6_Mandatory_Text,$AH138)&amp;"",INDEX(nQ7_Mandatory_Text,$AH138)&amp;"",INDEX(nQ8_Mandatory_Text,$AH138)&amp;"",INDEX(nQ9_Mandatory_Text,$AH138)&amp;"",INDEX(nQ10_Mandatory_Text,$AH138)&amp;"",INDEX(nQ11_Mandatory_Text,$AH138)&amp;""))</f>
        <v/>
      </c>
      <c r="BL138" s="1" t="str">
        <f t="shared" si="103"/>
        <v/>
      </c>
      <c r="BM138" s="1" t="str">
        <f t="shared" si="104"/>
        <v/>
      </c>
    </row>
    <row r="139" spans="1:65" x14ac:dyDescent="0.2">
      <c r="A139" s="21" t="str">
        <f t="shared" si="70"/>
        <v/>
      </c>
      <c r="B139" s="21" t="str">
        <f t="shared" si="71"/>
        <v/>
      </c>
      <c r="C139" s="21" t="str">
        <f t="shared" si="72"/>
        <v/>
      </c>
      <c r="D139" s="21" t="str">
        <f t="shared" si="73"/>
        <v/>
      </c>
      <c r="E139" s="21" t="str">
        <f t="shared" si="74"/>
        <v/>
      </c>
      <c r="F139" s="21" t="str">
        <f t="shared" si="75"/>
        <v/>
      </c>
      <c r="G139" s="21" t="str">
        <f t="shared" si="76"/>
        <v/>
      </c>
      <c r="H139" s="21" t="str">
        <f t="shared" si="77"/>
        <v/>
      </c>
      <c r="I139" s="21" t="str">
        <f t="shared" si="78"/>
        <v/>
      </c>
      <c r="J139" s="21" t="str">
        <f t="shared" si="79"/>
        <v/>
      </c>
      <c r="K139" s="21" t="str">
        <f t="shared" si="80"/>
        <v/>
      </c>
      <c r="L139" s="21" t="str">
        <f t="shared" si="81"/>
        <v/>
      </c>
      <c r="M139" s="21" t="str">
        <f t="shared" si="82"/>
        <v/>
      </c>
      <c r="N139" s="21" t="str">
        <f t="shared" si="83"/>
        <v/>
      </c>
      <c r="O139" s="21" t="str">
        <f t="shared" si="84"/>
        <v/>
      </c>
      <c r="P139" s="21" t="str">
        <f t="shared" si="85"/>
        <v/>
      </c>
      <c r="Q139" s="21" t="str">
        <f t="shared" si="86"/>
        <v/>
      </c>
      <c r="R139" s="21" t="str">
        <f t="shared" si="87"/>
        <v/>
      </c>
      <c r="S139" s="21" t="str">
        <f t="shared" si="88"/>
        <v/>
      </c>
      <c r="T139" s="21" t="str">
        <f t="shared" si="89"/>
        <v/>
      </c>
      <c r="U139" s="21" t="str">
        <f t="shared" si="90"/>
        <v/>
      </c>
      <c r="V139" s="21" t="str">
        <f t="shared" si="91"/>
        <v/>
      </c>
      <c r="W139" s="21" t="str">
        <f t="shared" si="92"/>
        <v/>
      </c>
      <c r="X139" s="21" t="str">
        <f t="shared" si="93"/>
        <v/>
      </c>
      <c r="Y139" s="21" t="str">
        <f t="shared" si="94"/>
        <v/>
      </c>
      <c r="Z139" s="21" t="str">
        <f t="shared" si="95"/>
        <v/>
      </c>
      <c r="AA139" s="21" t="str">
        <f t="shared" si="96"/>
        <v/>
      </c>
      <c r="AB139" s="21" t="str">
        <f t="shared" si="97"/>
        <v/>
      </c>
      <c r="AC139" s="21" t="str">
        <f t="shared" si="98"/>
        <v/>
      </c>
      <c r="AD139" s="21" t="str">
        <f t="shared" si="99"/>
        <v/>
      </c>
      <c r="AE139" s="1">
        <f t="shared" si="100"/>
        <v>132</v>
      </c>
      <c r="AF139" s="1">
        <f t="shared" si="101"/>
        <v>0</v>
      </c>
      <c r="AG139" s="1">
        <f t="shared" si="102"/>
        <v>0</v>
      </c>
      <c r="AH139" s="1">
        <f>IF(AF139=0,0,CHOOSE(AF139,IFERROR(_xlfn.AGGREGATE(15,6,(ROW(nINT_CaseKey)-ROW(INDEX(nINT_CaseKey,1,1))+1)/((nINT_CaseKey=$H$4)*(nINT_RowEmpty=0)),AG139),0),IFERROR(_xlfn.AGGREGATE(15,6,(ROW(nQ1_CaseKey)-ROW(INDEX(nQ1_CaseKey,1,1))+1)/((nQ1_CaseKey=$H$4)),AG139),0),IFERROR(_xlfn.AGGREGATE(15,6,(ROW(nQ2_CaseKey)-ROW(INDEX(nQ2_CaseKey,1,1))+1)/((nQ2_CaseKey=$H$4)),AG139),0),IFERROR(_xlfn.AGGREGATE(15,6,(ROW(nQ3_CaseKey)-ROW(INDEX(nQ3_CaseKey,1,1))+1)/((nQ3_CaseKey=$H$4)),AG139),0),IFERROR(_xlfn.AGGREGATE(15,6,(ROW(nQ4_CaseKey)-ROW(INDEX(nQ4_CaseKey,1,1))+1)/((nQ4_CaseKey=$H$4)),AG139),0),IFERROR(_xlfn.AGGREGATE(15,6,(ROW(nQ5_CaseKey)-ROW(INDEX(nQ5_CaseKey,1,1))+1)/((nQ5_CaseKey=$H$4)),AG139),0),IFERROR(_xlfn.AGGREGATE(15,6,(ROW(nQ6_CaseKey)-ROW(INDEX(nQ6_CaseKey,1,1))+1)/((nQ6_CaseKey=$H$4)),AG139),0),IFERROR(_xlfn.AGGREGATE(15,6,(ROW(nQ7_CaseKey)-ROW(INDEX(nQ7_CaseKey,1,1))+1)/((nQ7_CaseKey=$H$4)),AG139),0),IFERROR(_xlfn.AGGREGATE(15,6,(ROW(nQ8_CaseKey)-ROW(INDEX(nQ8_CaseKey,1,1))+1)/((nQ8_CaseKey=$H$4)),AG139),0),IFERROR(_xlfn.AGGREGATE(15,6,(ROW(nQ9_CaseKey)-ROW(INDEX(nQ9_CaseKey,1,1))+1)/((nQ9_CaseKey=$H$4)),AG139),0),IFERROR(_xlfn.AGGREGATE(15,6,(ROW(nQ10_CaseKey)-ROW(INDEX(nQ10_CaseKey,1,1))+1)/((nQ10_CaseKey=$H$4)),AG139),0),IFERROR(_xlfn.AGGREGATE(15,6,(ROW(nQ11_CaseKey)-ROW(INDEX(nQ11_CaseKey,1,1))+1)/((nQ11_CaseKey=$H$4)),AG139),0)))</f>
        <v>0</v>
      </c>
      <c r="AJ139" s="1" t="str">
        <f>IF($AF139=0,"",CHOOSE($AF139,INDEX(nINT_Case_ID,$AH139)&amp;"",INDEX(nQ1_Case_ID,$AH139)&amp;"",INDEX(nQ2_Case_ID,$AH139)&amp;"",INDEX(nQ3_Case_ID,$AH139)&amp;"",INDEX(nQ4_Case_ID,$AH139)&amp;"",INDEX(nQ5_Case_ID,$AH139)&amp;"",INDEX(nQ6_Case_ID,$AH139)&amp;"",INDEX(nQ7_Case_ID,$AH139)&amp;"",INDEX(nQ8_Case_ID,$AH139)&amp;"",INDEX(nQ9_Case_ID,$AH139)&amp;"",INDEX(nQ10_Case_ID,$AH139)&amp;"",INDEX(nQ11_Case_ID,$AH139)&amp;""))</f>
        <v/>
      </c>
      <c r="AK139" s="1" t="str">
        <f>IF($AF139=0,"",CHOOSE($AF139,INDEX(nINT_Case_Version,$AH139),INDEX(nQ1_Case_Version,$AH139),INDEX(nQ2_Case_Version,$AH139),INDEX(nQ3_Case_Version,$AH139),INDEX(nQ4_Case_Version,$AH139),INDEX(nQ5_Case_Version,$AH139),INDEX(nQ6_Case_Version,$AH139),INDEX(nQ7_Case_Version,$AH139),INDEX(nQ8_Case_Version,$AH139),INDEX(nQ9_Case_Version,$AH139),INDEX(nQ10_Case_Version,$AH139),INDEX(nQ11_Case_Version,$AH139)))</f>
        <v/>
      </c>
      <c r="AL139" s="1" t="str">
        <f>IF($AF139=0,"",CHOOSE($AF139,INDEX(nINT_Interval_ID,$AH139)&amp;"",INDEX(nQ1_Calc_ID,$AH139)&amp;"",INDEX(nQ2_Calc_ID,$AH139)&amp;"",INDEX(nQ3_Calc_ID,$AH139)&amp;"",INDEX(nQ4_Calc_ID,$AH139)&amp;"",INDEX(nQ5_Calc_ID,$AH139)&amp;"",INDEX(nQ6_Calc_ID,$AH139)&amp;"",INDEX(nQ7_Calc_ID,$AH139)&amp;"",INDEX(nQ8_Calc_ID,$AH139)&amp;"",INDEX(nQ9_Calc_ID,$AH139)&amp;"",INDEX(nQ10_Calc_ID,$AH139)&amp;"",INDEX(nQ11_Calc_ID,$AH139)&amp;""))</f>
        <v/>
      </c>
      <c r="AM139" s="1" t="str">
        <f>IF($AF139=0,"",CHOOSE($AF139,INDEX(nINT_Label,$AH139)&amp;"",INDEX(nQ1_Label_Out,$AH139)&amp;"",INDEX(nQ2_Label_Out,$AH139)&amp;"",INDEX(nQ3_Label_Out,$AH139)&amp;"",INDEX(nQ4_Label_Out,$AH139)&amp;"",INDEX(nQ5_Label_Out,$AH139)&amp;"",INDEX(nQ6_Label_Out,$AH139)&amp;"",INDEX(nQ7_Label_Out,$AH139)&amp;"",INDEX(nQ8_Label_Out,$AH139)&amp;"",INDEX(nQ9_Label_Out,$AH139)&amp;"",INDEX(nQ10_Label_Out,$AH139)&amp;"",INDEX(nQ11_Label_Out,$AH139)&amp;""))</f>
        <v/>
      </c>
      <c r="AN139" s="1" t="str">
        <f>IF($AF139=0,"",CHOOSE($AF139,IF(INDEX(nINT_LinkRow,$AH139)=0,"",INDEX(nINT_Link_ID,$AH139)&amp;""),"","","","","","","","","","",""))</f>
        <v/>
      </c>
      <c r="AO139" s="1" t="str">
        <f>IF($AF139=0,"",CHOOSE($AF139,INDEX(nINT_Exposure_Episode_ID,$AH139)&amp;"","","","","","","","","","","",""))</f>
        <v/>
      </c>
      <c r="AP139" s="1" t="str">
        <f>IF($AF139=0,"",CHOOSE($AF139,INDEX(nINT_Event_Episode_ID,$AH139)&amp;"","","","","","","","","","","",""))</f>
        <v/>
      </c>
      <c r="AQ139" s="1" t="str">
        <f>IF($AF139=0,"",CHOOSE($AF139,INDEX(nINT_End_Record_ID_Used,$AH139)&amp;"","","","","","","","","","","",""))</f>
        <v/>
      </c>
      <c r="AR139" s="1" t="str">
        <f>IF($AF139=0,"",CHOOSE($AF139,INDEX(nINT_Interval_Value,$AH139),"","","","","","","","","","",""))</f>
        <v/>
      </c>
      <c r="AS139" s="1" t="str">
        <f>IF($AF139=0,"",CHOOSE($AF139,INDEX(nINT_Interval_Minimum,$AH139),"","","","","","","","","","",""))</f>
        <v/>
      </c>
      <c r="AT139" s="1" t="str">
        <f>IF($AF139=0,"",CHOOSE($AF139,INDEX(nINT_Interval_Maximum,$AH139),"","","","","","","","","","",""))</f>
        <v/>
      </c>
      <c r="AU139" s="1" t="str">
        <f>IF($AF139=0,"",CHOOSE($AF139,INDEX(nINT_Unit,$AH139)&amp;"",INDEX(nQ1_Unit_Out,$AH139)&amp;"",INDEX(nQ2_Unit_Out,$AH139)&amp;"",INDEX(nQ3_Unit_Out,$AH139)&amp;"",INDEX(nQ4_Unit_Out,$AH139)&amp;"",INDEX(nQ5_Unit_Out,$AH139)&amp;"",INDEX(nQ6_Unit_Out,$AH139)&amp;"",INDEX(nQ7_Unit_Out,$AH139)&amp;"",INDEX(nQ8_Unit_Out,$AH139)&amp;"",INDEX(nQ9_Unit_Out,$AH139)&amp;"",INDEX(nQ10_Unit_Out,$AH139)&amp;"",INDEX(nQ11_Unit_Out,$AH139)&amp;""))</f>
        <v/>
      </c>
      <c r="AV139" s="1" t="str">
        <f>IF($AF139=0,"",CHOOSE($AF139,INDEX(nINT_Displayed_Value,$AH139)&amp;"",INDEX(nQ1_Displayed_Value,$AH139)&amp;"",INDEX(nQ2_Displayed_Value,$AH139)&amp;"",INDEX(nQ3_Displayed_Value,$AH139)&amp;"",INDEX(nQ4_Displayed_Value,$AH139)&amp;"",INDEX(nQ5_Displayed_Value,$AH139)&amp;"",INDEX(nQ6_Displayed_Value,$AH139)&amp;"",INDEX(nQ7_Displayed_Value,$AH139)&amp;"",INDEX(nQ8_Displayed_Value,$AH139)&amp;"",INDEX(nQ9_Displayed_Value,$AH139)&amp;"",INDEX(nQ10_Displayed_Value,$AH139)&amp;"",INDEX(nQ11_Displayed_Value,$AH139)&amp;""))</f>
        <v/>
      </c>
      <c r="AW139" s="1" t="str">
        <f>IF($AF139=0,"",CHOOSE($AF139,INDEX(nINT_Calculation_Mode_Used,$AH139)&amp;"","Q1","Q2","Q3","Q4","Q5","Q6","Q7","Q8","Q9","Q10","Q11"))</f>
        <v/>
      </c>
      <c r="AX139" s="1" t="str">
        <f>IF($AF139=0,"",CHOOSE($AF139,INDEX(nINT_Anchor_Type,$AH139)&amp;"","","","","","","","","","","",""))</f>
        <v/>
      </c>
      <c r="AY139" s="1" t="str">
        <f>IF($AF139=0,"",CHOOSE($AF139,IF(INDEX(nINT_K_Ok,$AH139)=1,INDEX(nINT_Anchor_Record_ID_Used,$AH139)&amp;"",""),"","","","","","","","","","",""))</f>
        <v/>
      </c>
      <c r="AZ139" s="1" t="str">
        <f>IF($AF139=0,"",CHOOSE($AF139,INDEX(nINT_Anchor_Description,$AH139)&amp;"","","","","","","","","","","",""))</f>
        <v/>
      </c>
      <c r="BA139" s="1" t="str">
        <f>IF($AF139=0,"",CHOOSE($AF139,INDEX(nINT_Sequence_Status,$AH139)&amp;"","","","","","","","","","","",""))</f>
        <v/>
      </c>
      <c r="BB139" s="1" t="str">
        <f>IF($AF139=0,"",CHOOSE($AF139,INDEX(nINT_Treatment_Day,$AH139),"","","","","","","","","","",""))</f>
        <v/>
      </c>
      <c r="BC139" s="1" t="str">
        <f>IF($AF139=0,"",CHOOSE($AF139,INDEX(nINT_Reported_Timing_Result,$AH139)&amp;"","","","","","","","","","","",""))</f>
        <v/>
      </c>
      <c r="BD139" s="1" t="str">
        <f>IF($AF139=0,"",CHOOSE($AF139,IF(INDEX(nINT_K_HasC,$AH139)=1,INDEX(nINT_Constraint_Source,$AH139)&amp;"",""),"","","","","","","","","","",""))</f>
        <v/>
      </c>
      <c r="BE139" s="1" t="str">
        <f>IF($AF139=0,"",CHOOSE($AF139,"",INDEX(nQ1_Results_Text,$AH139)&amp;"",INDEX(nQ2_Results_Text,$AH139)&amp;"",INDEX(nQ3_Results_Text,$AH139)&amp;"",INDEX(nQ4_Results_Text,$AH139)&amp;"",INDEX(nQ5_Results_Text,$AH139)&amp;"",INDEX(nQ6_Results_Text,$AH139)&amp;"",INDEX(nQ7_Results_Text,$AH139)&amp;"",INDEX(nQ8_Results_Text,$AH139)&amp;"",INDEX(nQ9_Results_Text,$AH139)&amp;"",INDEX(nQ10_Results_Text,$AH139)&amp;"",INDEX(nQ11_Results_Text,$AH139)&amp;""))</f>
        <v/>
      </c>
      <c r="BF139" s="1" t="str">
        <f>IF($AF139=0,"",CHOOSE($AF139,INDEX(nINT_Parameter_Set,$AH139)&amp;"",INDEX(nQ1_Parameter_Set,$AH139)&amp;"",INDEX(nQ2_Parameter_Set,$AH139)&amp;"",INDEX(nQ3_Parameter_Set,$AH139)&amp;"",INDEX(nQ4_Parameter_Set,$AH139)&amp;"",INDEX(nQ5_Parameter_Set,$AH139)&amp;"",INDEX(nQ6_Parameter_Set,$AH139)&amp;"",INDEX(nQ7_Parameter_Set,$AH139)&amp;"",INDEX(nQ8_Parameter_Set,$AH139)&amp;"",INDEX(nQ9_Parameter_Set,$AH139)&amp;"",INDEX(nQ10_Parameter_Set,$AH139)&amp;"",INDEX(nQ11_Parameter_Set,$AH139)&amp;""))</f>
        <v/>
      </c>
      <c r="BG139" s="1" t="str">
        <f>IF($AF139=0,"",CHOOSE($AF139,INDEX(nINT_Assumptions,$AH139)&amp;"",INDEX(nQ1_Assumptions,$AH139)&amp;"",INDEX(nQ2_Assumptions,$AH139)&amp;"",INDEX(nQ3_Assumptions,$AH139)&amp;"",INDEX(nQ4_Assumptions,$AH139)&amp;"",INDEX(nQ5_Assumptions,$AH139)&amp;"",INDEX(nQ6_Assumptions,$AH139)&amp;"",INDEX(nQ7_Assumptions,$AH139)&amp;"",INDEX(nQ8_Assumptions,$AH139)&amp;"",INDEX(nQ9_Assumptions,$AH139)&amp;"",INDEX(nQ10_Assumptions,$AH139)&amp;"",INDEX(nQ11_Assumptions,$AH139)&amp;""))</f>
        <v/>
      </c>
      <c r="BH139" s="1" t="str">
        <f>IF($AF139=0,"",CHOOSE($AF139,INDEX(nINT_Calculation_Version,$AH139)&amp;"",INDEX(nQ1_Calculation_Version,$AH139)&amp;"",INDEX(nQ2_Calculation_Version,$AH139)&amp;"",INDEX(nQ3_Calculation_Version,$AH139)&amp;"",INDEX(nQ4_Calculation_Version,$AH139)&amp;"",INDEX(nQ5_Calculation_Version,$AH139)&amp;"",INDEX(nQ6_Calculation_Version,$AH139)&amp;"",INDEX(nQ7_Calculation_Version,$AH139)&amp;"",INDEX(nQ8_Calculation_Version,$AH139)&amp;"",INDEX(nQ9_Calculation_Version,$AH139)&amp;"",INDEX(nQ10_Calculation_Version,$AH139)&amp;"",INDEX(nQ11_Calculation_Version,$AH139)&amp;""))</f>
        <v/>
      </c>
      <c r="BI139" s="1" t="str">
        <f>IF($AF139=0,"",CHOOSE($AF139,INDEX(nINT_QC_Flags,$AH139)&amp;"",INDEX(nQ1_QC_Flags,$AH139)&amp;"",INDEX(nQ2_QC_Flags,$AH139)&amp;"",INDEX(nQ3_QC_Flags,$AH139)&amp;"",INDEX(nQ4_QC_Flags,$AH139)&amp;"",INDEX(nQ5_QC_Flags,$AH139)&amp;"",INDEX(nQ6_QC_Flags,$AH139)&amp;"",INDEX(nQ7_QC_Flags,$AH139)&amp;"",INDEX(nQ8_QC_Flags,$AH139)&amp;"",INDEX(nQ9_QC_Flags,$AH139)&amp;"",INDEX(nQ10_QC_Flags,$AH139)&amp;"",INDEX(nQ11_QC_Flags,$AH139)&amp;""))</f>
        <v/>
      </c>
      <c r="BJ139" s="1" t="str">
        <f>IF($AF139=0,"",CHOOSE($AF139,INDEX(nINT_Messages,$AH139)&amp;"",INDEX(nQ1_Messages,$AH139)&amp;"",INDEX(nQ2_Messages,$AH139)&amp;"",INDEX(nQ3_Messages,$AH139)&amp;"",INDEX(nQ4_Messages,$AH139)&amp;"",INDEX(nQ5_Messages,$AH139)&amp;"",INDEX(nQ6_Messages,$AH139)&amp;"",INDEX(nQ7_Messages,$AH139)&amp;"",INDEX(nQ8_Messages,$AH139)&amp;"",INDEX(nQ9_Messages,$AH139)&amp;"",INDEX(nQ10_Messages,$AH139)&amp;"",INDEX(nQ11_Messages,$AH139)&amp;""))</f>
        <v/>
      </c>
      <c r="BK139" s="1" t="str">
        <f>IF($AF139=0,"",CHOOSE($AF139,INDEX(nINT_Limitations,$AH139)&amp;"",INDEX(nQ1_Mandatory_Text,$AH139)&amp;"",INDEX(nQ2_Mandatory_Text,$AH139)&amp;"",INDEX(nQ3_Mandatory_Text,$AH139)&amp;"",INDEX(nQ4_Mandatory_Text,$AH139)&amp;"",INDEX(nQ5_Mandatory_Text,$AH139)&amp;"",INDEX(nQ6_Mandatory_Text,$AH139)&amp;"",INDEX(nQ7_Mandatory_Text,$AH139)&amp;"",INDEX(nQ8_Mandatory_Text,$AH139)&amp;"",INDEX(nQ9_Mandatory_Text,$AH139)&amp;"",INDEX(nQ10_Mandatory_Text,$AH139)&amp;"",INDEX(nQ11_Mandatory_Text,$AH139)&amp;""))</f>
        <v/>
      </c>
      <c r="BL139" s="1" t="str">
        <f t="shared" si="103"/>
        <v/>
      </c>
      <c r="BM139" s="1" t="str">
        <f t="shared" si="104"/>
        <v/>
      </c>
    </row>
    <row r="140" spans="1:65" x14ac:dyDescent="0.2">
      <c r="A140" s="21" t="str">
        <f t="shared" si="70"/>
        <v/>
      </c>
      <c r="B140" s="21" t="str">
        <f t="shared" si="71"/>
        <v/>
      </c>
      <c r="C140" s="21" t="str">
        <f t="shared" si="72"/>
        <v/>
      </c>
      <c r="D140" s="21" t="str">
        <f t="shared" si="73"/>
        <v/>
      </c>
      <c r="E140" s="21" t="str">
        <f t="shared" si="74"/>
        <v/>
      </c>
      <c r="F140" s="21" t="str">
        <f t="shared" si="75"/>
        <v/>
      </c>
      <c r="G140" s="21" t="str">
        <f t="shared" si="76"/>
        <v/>
      </c>
      <c r="H140" s="21" t="str">
        <f t="shared" si="77"/>
        <v/>
      </c>
      <c r="I140" s="21" t="str">
        <f t="shared" si="78"/>
        <v/>
      </c>
      <c r="J140" s="21" t="str">
        <f t="shared" si="79"/>
        <v/>
      </c>
      <c r="K140" s="21" t="str">
        <f t="shared" si="80"/>
        <v/>
      </c>
      <c r="L140" s="21" t="str">
        <f t="shared" si="81"/>
        <v/>
      </c>
      <c r="M140" s="21" t="str">
        <f t="shared" si="82"/>
        <v/>
      </c>
      <c r="N140" s="21" t="str">
        <f t="shared" si="83"/>
        <v/>
      </c>
      <c r="O140" s="21" t="str">
        <f t="shared" si="84"/>
        <v/>
      </c>
      <c r="P140" s="21" t="str">
        <f t="shared" si="85"/>
        <v/>
      </c>
      <c r="Q140" s="21" t="str">
        <f t="shared" si="86"/>
        <v/>
      </c>
      <c r="R140" s="21" t="str">
        <f t="shared" si="87"/>
        <v/>
      </c>
      <c r="S140" s="21" t="str">
        <f t="shared" si="88"/>
        <v/>
      </c>
      <c r="T140" s="21" t="str">
        <f t="shared" si="89"/>
        <v/>
      </c>
      <c r="U140" s="21" t="str">
        <f t="shared" si="90"/>
        <v/>
      </c>
      <c r="V140" s="21" t="str">
        <f t="shared" si="91"/>
        <v/>
      </c>
      <c r="W140" s="21" t="str">
        <f t="shared" si="92"/>
        <v/>
      </c>
      <c r="X140" s="21" t="str">
        <f t="shared" si="93"/>
        <v/>
      </c>
      <c r="Y140" s="21" t="str">
        <f t="shared" si="94"/>
        <v/>
      </c>
      <c r="Z140" s="21" t="str">
        <f t="shared" si="95"/>
        <v/>
      </c>
      <c r="AA140" s="21" t="str">
        <f t="shared" si="96"/>
        <v/>
      </c>
      <c r="AB140" s="21" t="str">
        <f t="shared" si="97"/>
        <v/>
      </c>
      <c r="AC140" s="21" t="str">
        <f t="shared" si="98"/>
        <v/>
      </c>
      <c r="AD140" s="21" t="str">
        <f t="shared" si="99"/>
        <v/>
      </c>
      <c r="AE140" s="1">
        <f t="shared" si="100"/>
        <v>133</v>
      </c>
      <c r="AF140" s="1">
        <f t="shared" si="101"/>
        <v>0</v>
      </c>
      <c r="AG140" s="1">
        <f t="shared" si="102"/>
        <v>0</v>
      </c>
      <c r="AH140" s="1">
        <f>IF(AF140=0,0,CHOOSE(AF140,IFERROR(_xlfn.AGGREGATE(15,6,(ROW(nINT_CaseKey)-ROW(INDEX(nINT_CaseKey,1,1))+1)/((nINT_CaseKey=$H$4)*(nINT_RowEmpty=0)),AG140),0),IFERROR(_xlfn.AGGREGATE(15,6,(ROW(nQ1_CaseKey)-ROW(INDEX(nQ1_CaseKey,1,1))+1)/((nQ1_CaseKey=$H$4)),AG140),0),IFERROR(_xlfn.AGGREGATE(15,6,(ROW(nQ2_CaseKey)-ROW(INDEX(nQ2_CaseKey,1,1))+1)/((nQ2_CaseKey=$H$4)),AG140),0),IFERROR(_xlfn.AGGREGATE(15,6,(ROW(nQ3_CaseKey)-ROW(INDEX(nQ3_CaseKey,1,1))+1)/((nQ3_CaseKey=$H$4)),AG140),0),IFERROR(_xlfn.AGGREGATE(15,6,(ROW(nQ4_CaseKey)-ROW(INDEX(nQ4_CaseKey,1,1))+1)/((nQ4_CaseKey=$H$4)),AG140),0),IFERROR(_xlfn.AGGREGATE(15,6,(ROW(nQ5_CaseKey)-ROW(INDEX(nQ5_CaseKey,1,1))+1)/((nQ5_CaseKey=$H$4)),AG140),0),IFERROR(_xlfn.AGGREGATE(15,6,(ROW(nQ6_CaseKey)-ROW(INDEX(nQ6_CaseKey,1,1))+1)/((nQ6_CaseKey=$H$4)),AG140),0),IFERROR(_xlfn.AGGREGATE(15,6,(ROW(nQ7_CaseKey)-ROW(INDEX(nQ7_CaseKey,1,1))+1)/((nQ7_CaseKey=$H$4)),AG140),0),IFERROR(_xlfn.AGGREGATE(15,6,(ROW(nQ8_CaseKey)-ROW(INDEX(nQ8_CaseKey,1,1))+1)/((nQ8_CaseKey=$H$4)),AG140),0),IFERROR(_xlfn.AGGREGATE(15,6,(ROW(nQ9_CaseKey)-ROW(INDEX(nQ9_CaseKey,1,1))+1)/((nQ9_CaseKey=$H$4)),AG140),0),IFERROR(_xlfn.AGGREGATE(15,6,(ROW(nQ10_CaseKey)-ROW(INDEX(nQ10_CaseKey,1,1))+1)/((nQ10_CaseKey=$H$4)),AG140),0),IFERROR(_xlfn.AGGREGATE(15,6,(ROW(nQ11_CaseKey)-ROW(INDEX(nQ11_CaseKey,1,1))+1)/((nQ11_CaseKey=$H$4)),AG140),0)))</f>
        <v>0</v>
      </c>
      <c r="AJ140" s="1" t="str">
        <f>IF($AF140=0,"",CHOOSE($AF140,INDEX(nINT_Case_ID,$AH140)&amp;"",INDEX(nQ1_Case_ID,$AH140)&amp;"",INDEX(nQ2_Case_ID,$AH140)&amp;"",INDEX(nQ3_Case_ID,$AH140)&amp;"",INDEX(nQ4_Case_ID,$AH140)&amp;"",INDEX(nQ5_Case_ID,$AH140)&amp;"",INDEX(nQ6_Case_ID,$AH140)&amp;"",INDEX(nQ7_Case_ID,$AH140)&amp;"",INDEX(nQ8_Case_ID,$AH140)&amp;"",INDEX(nQ9_Case_ID,$AH140)&amp;"",INDEX(nQ10_Case_ID,$AH140)&amp;"",INDEX(nQ11_Case_ID,$AH140)&amp;""))</f>
        <v/>
      </c>
      <c r="AK140" s="1" t="str">
        <f>IF($AF140=0,"",CHOOSE($AF140,INDEX(nINT_Case_Version,$AH140),INDEX(nQ1_Case_Version,$AH140),INDEX(nQ2_Case_Version,$AH140),INDEX(nQ3_Case_Version,$AH140),INDEX(nQ4_Case_Version,$AH140),INDEX(nQ5_Case_Version,$AH140),INDEX(nQ6_Case_Version,$AH140),INDEX(nQ7_Case_Version,$AH140),INDEX(nQ8_Case_Version,$AH140),INDEX(nQ9_Case_Version,$AH140),INDEX(nQ10_Case_Version,$AH140),INDEX(nQ11_Case_Version,$AH140)))</f>
        <v/>
      </c>
      <c r="AL140" s="1" t="str">
        <f>IF($AF140=0,"",CHOOSE($AF140,INDEX(nINT_Interval_ID,$AH140)&amp;"",INDEX(nQ1_Calc_ID,$AH140)&amp;"",INDEX(nQ2_Calc_ID,$AH140)&amp;"",INDEX(nQ3_Calc_ID,$AH140)&amp;"",INDEX(nQ4_Calc_ID,$AH140)&amp;"",INDEX(nQ5_Calc_ID,$AH140)&amp;"",INDEX(nQ6_Calc_ID,$AH140)&amp;"",INDEX(nQ7_Calc_ID,$AH140)&amp;"",INDEX(nQ8_Calc_ID,$AH140)&amp;"",INDEX(nQ9_Calc_ID,$AH140)&amp;"",INDEX(nQ10_Calc_ID,$AH140)&amp;"",INDEX(nQ11_Calc_ID,$AH140)&amp;""))</f>
        <v/>
      </c>
      <c r="AM140" s="1" t="str">
        <f>IF($AF140=0,"",CHOOSE($AF140,INDEX(nINT_Label,$AH140)&amp;"",INDEX(nQ1_Label_Out,$AH140)&amp;"",INDEX(nQ2_Label_Out,$AH140)&amp;"",INDEX(nQ3_Label_Out,$AH140)&amp;"",INDEX(nQ4_Label_Out,$AH140)&amp;"",INDEX(nQ5_Label_Out,$AH140)&amp;"",INDEX(nQ6_Label_Out,$AH140)&amp;"",INDEX(nQ7_Label_Out,$AH140)&amp;"",INDEX(nQ8_Label_Out,$AH140)&amp;"",INDEX(nQ9_Label_Out,$AH140)&amp;"",INDEX(nQ10_Label_Out,$AH140)&amp;"",INDEX(nQ11_Label_Out,$AH140)&amp;""))</f>
        <v/>
      </c>
      <c r="AN140" s="1" t="str">
        <f>IF($AF140=0,"",CHOOSE($AF140,IF(INDEX(nINT_LinkRow,$AH140)=0,"",INDEX(nINT_Link_ID,$AH140)&amp;""),"","","","","","","","","","",""))</f>
        <v/>
      </c>
      <c r="AO140" s="1" t="str">
        <f>IF($AF140=0,"",CHOOSE($AF140,INDEX(nINT_Exposure_Episode_ID,$AH140)&amp;"","","","","","","","","","","",""))</f>
        <v/>
      </c>
      <c r="AP140" s="1" t="str">
        <f>IF($AF140=0,"",CHOOSE($AF140,INDEX(nINT_Event_Episode_ID,$AH140)&amp;"","","","","","","","","","","",""))</f>
        <v/>
      </c>
      <c r="AQ140" s="1" t="str">
        <f>IF($AF140=0,"",CHOOSE($AF140,INDEX(nINT_End_Record_ID_Used,$AH140)&amp;"","","","","","","","","","","",""))</f>
        <v/>
      </c>
      <c r="AR140" s="1" t="str">
        <f>IF($AF140=0,"",CHOOSE($AF140,INDEX(nINT_Interval_Value,$AH140),"","","","","","","","","","",""))</f>
        <v/>
      </c>
      <c r="AS140" s="1" t="str">
        <f>IF($AF140=0,"",CHOOSE($AF140,INDEX(nINT_Interval_Minimum,$AH140),"","","","","","","","","","",""))</f>
        <v/>
      </c>
      <c r="AT140" s="1" t="str">
        <f>IF($AF140=0,"",CHOOSE($AF140,INDEX(nINT_Interval_Maximum,$AH140),"","","","","","","","","","",""))</f>
        <v/>
      </c>
      <c r="AU140" s="1" t="str">
        <f>IF($AF140=0,"",CHOOSE($AF140,INDEX(nINT_Unit,$AH140)&amp;"",INDEX(nQ1_Unit_Out,$AH140)&amp;"",INDEX(nQ2_Unit_Out,$AH140)&amp;"",INDEX(nQ3_Unit_Out,$AH140)&amp;"",INDEX(nQ4_Unit_Out,$AH140)&amp;"",INDEX(nQ5_Unit_Out,$AH140)&amp;"",INDEX(nQ6_Unit_Out,$AH140)&amp;"",INDEX(nQ7_Unit_Out,$AH140)&amp;"",INDEX(nQ8_Unit_Out,$AH140)&amp;"",INDEX(nQ9_Unit_Out,$AH140)&amp;"",INDEX(nQ10_Unit_Out,$AH140)&amp;"",INDEX(nQ11_Unit_Out,$AH140)&amp;""))</f>
        <v/>
      </c>
      <c r="AV140" s="1" t="str">
        <f>IF($AF140=0,"",CHOOSE($AF140,INDEX(nINT_Displayed_Value,$AH140)&amp;"",INDEX(nQ1_Displayed_Value,$AH140)&amp;"",INDEX(nQ2_Displayed_Value,$AH140)&amp;"",INDEX(nQ3_Displayed_Value,$AH140)&amp;"",INDEX(nQ4_Displayed_Value,$AH140)&amp;"",INDEX(nQ5_Displayed_Value,$AH140)&amp;"",INDEX(nQ6_Displayed_Value,$AH140)&amp;"",INDEX(nQ7_Displayed_Value,$AH140)&amp;"",INDEX(nQ8_Displayed_Value,$AH140)&amp;"",INDEX(nQ9_Displayed_Value,$AH140)&amp;"",INDEX(nQ10_Displayed_Value,$AH140)&amp;"",INDEX(nQ11_Displayed_Value,$AH140)&amp;""))</f>
        <v/>
      </c>
      <c r="AW140" s="1" t="str">
        <f>IF($AF140=0,"",CHOOSE($AF140,INDEX(nINT_Calculation_Mode_Used,$AH140)&amp;"","Q1","Q2","Q3","Q4","Q5","Q6","Q7","Q8","Q9","Q10","Q11"))</f>
        <v/>
      </c>
      <c r="AX140" s="1" t="str">
        <f>IF($AF140=0,"",CHOOSE($AF140,INDEX(nINT_Anchor_Type,$AH140)&amp;"","","","","","","","","","","",""))</f>
        <v/>
      </c>
      <c r="AY140" s="1" t="str">
        <f>IF($AF140=0,"",CHOOSE($AF140,IF(INDEX(nINT_K_Ok,$AH140)=1,INDEX(nINT_Anchor_Record_ID_Used,$AH140)&amp;"",""),"","","","","","","","","","",""))</f>
        <v/>
      </c>
      <c r="AZ140" s="1" t="str">
        <f>IF($AF140=0,"",CHOOSE($AF140,INDEX(nINT_Anchor_Description,$AH140)&amp;"","","","","","","","","","","",""))</f>
        <v/>
      </c>
      <c r="BA140" s="1" t="str">
        <f>IF($AF140=0,"",CHOOSE($AF140,INDEX(nINT_Sequence_Status,$AH140)&amp;"","","","","","","","","","","",""))</f>
        <v/>
      </c>
      <c r="BB140" s="1" t="str">
        <f>IF($AF140=0,"",CHOOSE($AF140,INDEX(nINT_Treatment_Day,$AH140),"","","","","","","","","","",""))</f>
        <v/>
      </c>
      <c r="BC140" s="1" t="str">
        <f>IF($AF140=0,"",CHOOSE($AF140,INDEX(nINT_Reported_Timing_Result,$AH140)&amp;"","","","","","","","","","","",""))</f>
        <v/>
      </c>
      <c r="BD140" s="1" t="str">
        <f>IF($AF140=0,"",CHOOSE($AF140,IF(INDEX(nINT_K_HasC,$AH140)=1,INDEX(nINT_Constraint_Source,$AH140)&amp;"",""),"","","","","","","","","","",""))</f>
        <v/>
      </c>
      <c r="BE140" s="1" t="str">
        <f>IF($AF140=0,"",CHOOSE($AF140,"",INDEX(nQ1_Results_Text,$AH140)&amp;"",INDEX(nQ2_Results_Text,$AH140)&amp;"",INDEX(nQ3_Results_Text,$AH140)&amp;"",INDEX(nQ4_Results_Text,$AH140)&amp;"",INDEX(nQ5_Results_Text,$AH140)&amp;"",INDEX(nQ6_Results_Text,$AH140)&amp;"",INDEX(nQ7_Results_Text,$AH140)&amp;"",INDEX(nQ8_Results_Text,$AH140)&amp;"",INDEX(nQ9_Results_Text,$AH140)&amp;"",INDEX(nQ10_Results_Text,$AH140)&amp;"",INDEX(nQ11_Results_Text,$AH140)&amp;""))</f>
        <v/>
      </c>
      <c r="BF140" s="1" t="str">
        <f>IF($AF140=0,"",CHOOSE($AF140,INDEX(nINT_Parameter_Set,$AH140)&amp;"",INDEX(nQ1_Parameter_Set,$AH140)&amp;"",INDEX(nQ2_Parameter_Set,$AH140)&amp;"",INDEX(nQ3_Parameter_Set,$AH140)&amp;"",INDEX(nQ4_Parameter_Set,$AH140)&amp;"",INDEX(nQ5_Parameter_Set,$AH140)&amp;"",INDEX(nQ6_Parameter_Set,$AH140)&amp;"",INDEX(nQ7_Parameter_Set,$AH140)&amp;"",INDEX(nQ8_Parameter_Set,$AH140)&amp;"",INDEX(nQ9_Parameter_Set,$AH140)&amp;"",INDEX(nQ10_Parameter_Set,$AH140)&amp;"",INDEX(nQ11_Parameter_Set,$AH140)&amp;""))</f>
        <v/>
      </c>
      <c r="BG140" s="1" t="str">
        <f>IF($AF140=0,"",CHOOSE($AF140,INDEX(nINT_Assumptions,$AH140)&amp;"",INDEX(nQ1_Assumptions,$AH140)&amp;"",INDEX(nQ2_Assumptions,$AH140)&amp;"",INDEX(nQ3_Assumptions,$AH140)&amp;"",INDEX(nQ4_Assumptions,$AH140)&amp;"",INDEX(nQ5_Assumptions,$AH140)&amp;"",INDEX(nQ6_Assumptions,$AH140)&amp;"",INDEX(nQ7_Assumptions,$AH140)&amp;"",INDEX(nQ8_Assumptions,$AH140)&amp;"",INDEX(nQ9_Assumptions,$AH140)&amp;"",INDEX(nQ10_Assumptions,$AH140)&amp;"",INDEX(nQ11_Assumptions,$AH140)&amp;""))</f>
        <v/>
      </c>
      <c r="BH140" s="1" t="str">
        <f>IF($AF140=0,"",CHOOSE($AF140,INDEX(nINT_Calculation_Version,$AH140)&amp;"",INDEX(nQ1_Calculation_Version,$AH140)&amp;"",INDEX(nQ2_Calculation_Version,$AH140)&amp;"",INDEX(nQ3_Calculation_Version,$AH140)&amp;"",INDEX(nQ4_Calculation_Version,$AH140)&amp;"",INDEX(nQ5_Calculation_Version,$AH140)&amp;"",INDEX(nQ6_Calculation_Version,$AH140)&amp;"",INDEX(nQ7_Calculation_Version,$AH140)&amp;"",INDEX(nQ8_Calculation_Version,$AH140)&amp;"",INDEX(nQ9_Calculation_Version,$AH140)&amp;"",INDEX(nQ10_Calculation_Version,$AH140)&amp;"",INDEX(nQ11_Calculation_Version,$AH140)&amp;""))</f>
        <v/>
      </c>
      <c r="BI140" s="1" t="str">
        <f>IF($AF140=0,"",CHOOSE($AF140,INDEX(nINT_QC_Flags,$AH140)&amp;"",INDEX(nQ1_QC_Flags,$AH140)&amp;"",INDEX(nQ2_QC_Flags,$AH140)&amp;"",INDEX(nQ3_QC_Flags,$AH140)&amp;"",INDEX(nQ4_QC_Flags,$AH140)&amp;"",INDEX(nQ5_QC_Flags,$AH140)&amp;"",INDEX(nQ6_QC_Flags,$AH140)&amp;"",INDEX(nQ7_QC_Flags,$AH140)&amp;"",INDEX(nQ8_QC_Flags,$AH140)&amp;"",INDEX(nQ9_QC_Flags,$AH140)&amp;"",INDEX(nQ10_QC_Flags,$AH140)&amp;"",INDEX(nQ11_QC_Flags,$AH140)&amp;""))</f>
        <v/>
      </c>
      <c r="BJ140" s="1" t="str">
        <f>IF($AF140=0,"",CHOOSE($AF140,INDEX(nINT_Messages,$AH140)&amp;"",INDEX(nQ1_Messages,$AH140)&amp;"",INDEX(nQ2_Messages,$AH140)&amp;"",INDEX(nQ3_Messages,$AH140)&amp;"",INDEX(nQ4_Messages,$AH140)&amp;"",INDEX(nQ5_Messages,$AH140)&amp;"",INDEX(nQ6_Messages,$AH140)&amp;"",INDEX(nQ7_Messages,$AH140)&amp;"",INDEX(nQ8_Messages,$AH140)&amp;"",INDEX(nQ9_Messages,$AH140)&amp;"",INDEX(nQ10_Messages,$AH140)&amp;"",INDEX(nQ11_Messages,$AH140)&amp;""))</f>
        <v/>
      </c>
      <c r="BK140" s="1" t="str">
        <f>IF($AF140=0,"",CHOOSE($AF140,INDEX(nINT_Limitations,$AH140)&amp;"",INDEX(nQ1_Mandatory_Text,$AH140)&amp;"",INDEX(nQ2_Mandatory_Text,$AH140)&amp;"",INDEX(nQ3_Mandatory_Text,$AH140)&amp;"",INDEX(nQ4_Mandatory_Text,$AH140)&amp;"",INDEX(nQ5_Mandatory_Text,$AH140)&amp;"",INDEX(nQ6_Mandatory_Text,$AH140)&amp;"",INDEX(nQ7_Mandatory_Text,$AH140)&amp;"",INDEX(nQ8_Mandatory_Text,$AH140)&amp;"",INDEX(nQ9_Mandatory_Text,$AH140)&amp;"",INDEX(nQ10_Mandatory_Text,$AH140)&amp;"",INDEX(nQ11_Mandatory_Text,$AH140)&amp;""))</f>
        <v/>
      </c>
      <c r="BL140" s="1" t="str">
        <f t="shared" si="103"/>
        <v/>
      </c>
      <c r="BM140" s="1" t="str">
        <f t="shared" si="104"/>
        <v/>
      </c>
    </row>
    <row r="141" spans="1:65" x14ac:dyDescent="0.2">
      <c r="A141" s="21" t="str">
        <f t="shared" si="70"/>
        <v/>
      </c>
      <c r="B141" s="21" t="str">
        <f t="shared" si="71"/>
        <v/>
      </c>
      <c r="C141" s="21" t="str">
        <f t="shared" si="72"/>
        <v/>
      </c>
      <c r="D141" s="21" t="str">
        <f t="shared" si="73"/>
        <v/>
      </c>
      <c r="E141" s="21" t="str">
        <f t="shared" si="74"/>
        <v/>
      </c>
      <c r="F141" s="21" t="str">
        <f t="shared" si="75"/>
        <v/>
      </c>
      <c r="G141" s="21" t="str">
        <f t="shared" si="76"/>
        <v/>
      </c>
      <c r="H141" s="21" t="str">
        <f t="shared" si="77"/>
        <v/>
      </c>
      <c r="I141" s="21" t="str">
        <f t="shared" si="78"/>
        <v/>
      </c>
      <c r="J141" s="21" t="str">
        <f t="shared" si="79"/>
        <v/>
      </c>
      <c r="K141" s="21" t="str">
        <f t="shared" si="80"/>
        <v/>
      </c>
      <c r="L141" s="21" t="str">
        <f t="shared" si="81"/>
        <v/>
      </c>
      <c r="M141" s="21" t="str">
        <f t="shared" si="82"/>
        <v/>
      </c>
      <c r="N141" s="21" t="str">
        <f t="shared" si="83"/>
        <v/>
      </c>
      <c r="O141" s="21" t="str">
        <f t="shared" si="84"/>
        <v/>
      </c>
      <c r="P141" s="21" t="str">
        <f t="shared" si="85"/>
        <v/>
      </c>
      <c r="Q141" s="21" t="str">
        <f t="shared" si="86"/>
        <v/>
      </c>
      <c r="R141" s="21" t="str">
        <f t="shared" si="87"/>
        <v/>
      </c>
      <c r="S141" s="21" t="str">
        <f t="shared" si="88"/>
        <v/>
      </c>
      <c r="T141" s="21" t="str">
        <f t="shared" si="89"/>
        <v/>
      </c>
      <c r="U141" s="21" t="str">
        <f t="shared" si="90"/>
        <v/>
      </c>
      <c r="V141" s="21" t="str">
        <f t="shared" si="91"/>
        <v/>
      </c>
      <c r="W141" s="21" t="str">
        <f t="shared" si="92"/>
        <v/>
      </c>
      <c r="X141" s="21" t="str">
        <f t="shared" si="93"/>
        <v/>
      </c>
      <c r="Y141" s="21" t="str">
        <f t="shared" si="94"/>
        <v/>
      </c>
      <c r="Z141" s="21" t="str">
        <f t="shared" si="95"/>
        <v/>
      </c>
      <c r="AA141" s="21" t="str">
        <f t="shared" si="96"/>
        <v/>
      </c>
      <c r="AB141" s="21" t="str">
        <f t="shared" si="97"/>
        <v/>
      </c>
      <c r="AC141" s="21" t="str">
        <f t="shared" si="98"/>
        <v/>
      </c>
      <c r="AD141" s="21" t="str">
        <f t="shared" si="99"/>
        <v/>
      </c>
      <c r="AE141" s="1">
        <f t="shared" si="100"/>
        <v>134</v>
      </c>
      <c r="AF141" s="1">
        <f t="shared" si="101"/>
        <v>0</v>
      </c>
      <c r="AG141" s="1">
        <f t="shared" si="102"/>
        <v>0</v>
      </c>
      <c r="AH141" s="1">
        <f>IF(AF141=0,0,CHOOSE(AF141,IFERROR(_xlfn.AGGREGATE(15,6,(ROW(nINT_CaseKey)-ROW(INDEX(nINT_CaseKey,1,1))+1)/((nINT_CaseKey=$H$4)*(nINT_RowEmpty=0)),AG141),0),IFERROR(_xlfn.AGGREGATE(15,6,(ROW(nQ1_CaseKey)-ROW(INDEX(nQ1_CaseKey,1,1))+1)/((nQ1_CaseKey=$H$4)),AG141),0),IFERROR(_xlfn.AGGREGATE(15,6,(ROW(nQ2_CaseKey)-ROW(INDEX(nQ2_CaseKey,1,1))+1)/((nQ2_CaseKey=$H$4)),AG141),0),IFERROR(_xlfn.AGGREGATE(15,6,(ROW(nQ3_CaseKey)-ROW(INDEX(nQ3_CaseKey,1,1))+1)/((nQ3_CaseKey=$H$4)),AG141),0),IFERROR(_xlfn.AGGREGATE(15,6,(ROW(nQ4_CaseKey)-ROW(INDEX(nQ4_CaseKey,1,1))+1)/((nQ4_CaseKey=$H$4)),AG141),0),IFERROR(_xlfn.AGGREGATE(15,6,(ROW(nQ5_CaseKey)-ROW(INDEX(nQ5_CaseKey,1,1))+1)/((nQ5_CaseKey=$H$4)),AG141),0),IFERROR(_xlfn.AGGREGATE(15,6,(ROW(nQ6_CaseKey)-ROW(INDEX(nQ6_CaseKey,1,1))+1)/((nQ6_CaseKey=$H$4)),AG141),0),IFERROR(_xlfn.AGGREGATE(15,6,(ROW(nQ7_CaseKey)-ROW(INDEX(nQ7_CaseKey,1,1))+1)/((nQ7_CaseKey=$H$4)),AG141),0),IFERROR(_xlfn.AGGREGATE(15,6,(ROW(nQ8_CaseKey)-ROW(INDEX(nQ8_CaseKey,1,1))+1)/((nQ8_CaseKey=$H$4)),AG141),0),IFERROR(_xlfn.AGGREGATE(15,6,(ROW(nQ9_CaseKey)-ROW(INDEX(nQ9_CaseKey,1,1))+1)/((nQ9_CaseKey=$H$4)),AG141),0),IFERROR(_xlfn.AGGREGATE(15,6,(ROW(nQ10_CaseKey)-ROW(INDEX(nQ10_CaseKey,1,1))+1)/((nQ10_CaseKey=$H$4)),AG141),0),IFERROR(_xlfn.AGGREGATE(15,6,(ROW(nQ11_CaseKey)-ROW(INDEX(nQ11_CaseKey,1,1))+1)/((nQ11_CaseKey=$H$4)),AG141),0)))</f>
        <v>0</v>
      </c>
      <c r="AJ141" s="1" t="str">
        <f>IF($AF141=0,"",CHOOSE($AF141,INDEX(nINT_Case_ID,$AH141)&amp;"",INDEX(nQ1_Case_ID,$AH141)&amp;"",INDEX(nQ2_Case_ID,$AH141)&amp;"",INDEX(nQ3_Case_ID,$AH141)&amp;"",INDEX(nQ4_Case_ID,$AH141)&amp;"",INDEX(nQ5_Case_ID,$AH141)&amp;"",INDEX(nQ6_Case_ID,$AH141)&amp;"",INDEX(nQ7_Case_ID,$AH141)&amp;"",INDEX(nQ8_Case_ID,$AH141)&amp;"",INDEX(nQ9_Case_ID,$AH141)&amp;"",INDEX(nQ10_Case_ID,$AH141)&amp;"",INDEX(nQ11_Case_ID,$AH141)&amp;""))</f>
        <v/>
      </c>
      <c r="AK141" s="1" t="str">
        <f>IF($AF141=0,"",CHOOSE($AF141,INDEX(nINT_Case_Version,$AH141),INDEX(nQ1_Case_Version,$AH141),INDEX(nQ2_Case_Version,$AH141),INDEX(nQ3_Case_Version,$AH141),INDEX(nQ4_Case_Version,$AH141),INDEX(nQ5_Case_Version,$AH141),INDEX(nQ6_Case_Version,$AH141),INDEX(nQ7_Case_Version,$AH141),INDEX(nQ8_Case_Version,$AH141),INDEX(nQ9_Case_Version,$AH141),INDEX(nQ10_Case_Version,$AH141),INDEX(nQ11_Case_Version,$AH141)))</f>
        <v/>
      </c>
      <c r="AL141" s="1" t="str">
        <f>IF($AF141=0,"",CHOOSE($AF141,INDEX(nINT_Interval_ID,$AH141)&amp;"",INDEX(nQ1_Calc_ID,$AH141)&amp;"",INDEX(nQ2_Calc_ID,$AH141)&amp;"",INDEX(nQ3_Calc_ID,$AH141)&amp;"",INDEX(nQ4_Calc_ID,$AH141)&amp;"",INDEX(nQ5_Calc_ID,$AH141)&amp;"",INDEX(nQ6_Calc_ID,$AH141)&amp;"",INDEX(nQ7_Calc_ID,$AH141)&amp;"",INDEX(nQ8_Calc_ID,$AH141)&amp;"",INDEX(nQ9_Calc_ID,$AH141)&amp;"",INDEX(nQ10_Calc_ID,$AH141)&amp;"",INDEX(nQ11_Calc_ID,$AH141)&amp;""))</f>
        <v/>
      </c>
      <c r="AM141" s="1" t="str">
        <f>IF($AF141=0,"",CHOOSE($AF141,INDEX(nINT_Label,$AH141)&amp;"",INDEX(nQ1_Label_Out,$AH141)&amp;"",INDEX(nQ2_Label_Out,$AH141)&amp;"",INDEX(nQ3_Label_Out,$AH141)&amp;"",INDEX(nQ4_Label_Out,$AH141)&amp;"",INDEX(nQ5_Label_Out,$AH141)&amp;"",INDEX(nQ6_Label_Out,$AH141)&amp;"",INDEX(nQ7_Label_Out,$AH141)&amp;"",INDEX(nQ8_Label_Out,$AH141)&amp;"",INDEX(nQ9_Label_Out,$AH141)&amp;"",INDEX(nQ10_Label_Out,$AH141)&amp;"",INDEX(nQ11_Label_Out,$AH141)&amp;""))</f>
        <v/>
      </c>
      <c r="AN141" s="1" t="str">
        <f>IF($AF141=0,"",CHOOSE($AF141,IF(INDEX(nINT_LinkRow,$AH141)=0,"",INDEX(nINT_Link_ID,$AH141)&amp;""),"","","","","","","","","","",""))</f>
        <v/>
      </c>
      <c r="AO141" s="1" t="str">
        <f>IF($AF141=0,"",CHOOSE($AF141,INDEX(nINT_Exposure_Episode_ID,$AH141)&amp;"","","","","","","","","","","",""))</f>
        <v/>
      </c>
      <c r="AP141" s="1" t="str">
        <f>IF($AF141=0,"",CHOOSE($AF141,INDEX(nINT_Event_Episode_ID,$AH141)&amp;"","","","","","","","","","","",""))</f>
        <v/>
      </c>
      <c r="AQ141" s="1" t="str">
        <f>IF($AF141=0,"",CHOOSE($AF141,INDEX(nINT_End_Record_ID_Used,$AH141)&amp;"","","","","","","","","","","",""))</f>
        <v/>
      </c>
      <c r="AR141" s="1" t="str">
        <f>IF($AF141=0,"",CHOOSE($AF141,INDEX(nINT_Interval_Value,$AH141),"","","","","","","","","","",""))</f>
        <v/>
      </c>
      <c r="AS141" s="1" t="str">
        <f>IF($AF141=0,"",CHOOSE($AF141,INDEX(nINT_Interval_Minimum,$AH141),"","","","","","","","","","",""))</f>
        <v/>
      </c>
      <c r="AT141" s="1" t="str">
        <f>IF($AF141=0,"",CHOOSE($AF141,INDEX(nINT_Interval_Maximum,$AH141),"","","","","","","","","","",""))</f>
        <v/>
      </c>
      <c r="AU141" s="1" t="str">
        <f>IF($AF141=0,"",CHOOSE($AF141,INDEX(nINT_Unit,$AH141)&amp;"",INDEX(nQ1_Unit_Out,$AH141)&amp;"",INDEX(nQ2_Unit_Out,$AH141)&amp;"",INDEX(nQ3_Unit_Out,$AH141)&amp;"",INDEX(nQ4_Unit_Out,$AH141)&amp;"",INDEX(nQ5_Unit_Out,$AH141)&amp;"",INDEX(nQ6_Unit_Out,$AH141)&amp;"",INDEX(nQ7_Unit_Out,$AH141)&amp;"",INDEX(nQ8_Unit_Out,$AH141)&amp;"",INDEX(nQ9_Unit_Out,$AH141)&amp;"",INDEX(nQ10_Unit_Out,$AH141)&amp;"",INDEX(nQ11_Unit_Out,$AH141)&amp;""))</f>
        <v/>
      </c>
      <c r="AV141" s="1" t="str">
        <f>IF($AF141=0,"",CHOOSE($AF141,INDEX(nINT_Displayed_Value,$AH141)&amp;"",INDEX(nQ1_Displayed_Value,$AH141)&amp;"",INDEX(nQ2_Displayed_Value,$AH141)&amp;"",INDEX(nQ3_Displayed_Value,$AH141)&amp;"",INDEX(nQ4_Displayed_Value,$AH141)&amp;"",INDEX(nQ5_Displayed_Value,$AH141)&amp;"",INDEX(nQ6_Displayed_Value,$AH141)&amp;"",INDEX(nQ7_Displayed_Value,$AH141)&amp;"",INDEX(nQ8_Displayed_Value,$AH141)&amp;"",INDEX(nQ9_Displayed_Value,$AH141)&amp;"",INDEX(nQ10_Displayed_Value,$AH141)&amp;"",INDEX(nQ11_Displayed_Value,$AH141)&amp;""))</f>
        <v/>
      </c>
      <c r="AW141" s="1" t="str">
        <f>IF($AF141=0,"",CHOOSE($AF141,INDEX(nINT_Calculation_Mode_Used,$AH141)&amp;"","Q1","Q2","Q3","Q4","Q5","Q6","Q7","Q8","Q9","Q10","Q11"))</f>
        <v/>
      </c>
      <c r="AX141" s="1" t="str">
        <f>IF($AF141=0,"",CHOOSE($AF141,INDEX(nINT_Anchor_Type,$AH141)&amp;"","","","","","","","","","","",""))</f>
        <v/>
      </c>
      <c r="AY141" s="1" t="str">
        <f>IF($AF141=0,"",CHOOSE($AF141,IF(INDEX(nINT_K_Ok,$AH141)=1,INDEX(nINT_Anchor_Record_ID_Used,$AH141)&amp;"",""),"","","","","","","","","","",""))</f>
        <v/>
      </c>
      <c r="AZ141" s="1" t="str">
        <f>IF($AF141=0,"",CHOOSE($AF141,INDEX(nINT_Anchor_Description,$AH141)&amp;"","","","","","","","","","","",""))</f>
        <v/>
      </c>
      <c r="BA141" s="1" t="str">
        <f>IF($AF141=0,"",CHOOSE($AF141,INDEX(nINT_Sequence_Status,$AH141)&amp;"","","","","","","","","","","",""))</f>
        <v/>
      </c>
      <c r="BB141" s="1" t="str">
        <f>IF($AF141=0,"",CHOOSE($AF141,INDEX(nINT_Treatment_Day,$AH141),"","","","","","","","","","",""))</f>
        <v/>
      </c>
      <c r="BC141" s="1" t="str">
        <f>IF($AF141=0,"",CHOOSE($AF141,INDEX(nINT_Reported_Timing_Result,$AH141)&amp;"","","","","","","","","","","",""))</f>
        <v/>
      </c>
      <c r="BD141" s="1" t="str">
        <f>IF($AF141=0,"",CHOOSE($AF141,IF(INDEX(nINT_K_HasC,$AH141)=1,INDEX(nINT_Constraint_Source,$AH141)&amp;"",""),"","","","","","","","","","",""))</f>
        <v/>
      </c>
      <c r="BE141" s="1" t="str">
        <f>IF($AF141=0,"",CHOOSE($AF141,"",INDEX(nQ1_Results_Text,$AH141)&amp;"",INDEX(nQ2_Results_Text,$AH141)&amp;"",INDEX(nQ3_Results_Text,$AH141)&amp;"",INDEX(nQ4_Results_Text,$AH141)&amp;"",INDEX(nQ5_Results_Text,$AH141)&amp;"",INDEX(nQ6_Results_Text,$AH141)&amp;"",INDEX(nQ7_Results_Text,$AH141)&amp;"",INDEX(nQ8_Results_Text,$AH141)&amp;"",INDEX(nQ9_Results_Text,$AH141)&amp;"",INDEX(nQ10_Results_Text,$AH141)&amp;"",INDEX(nQ11_Results_Text,$AH141)&amp;""))</f>
        <v/>
      </c>
      <c r="BF141" s="1" t="str">
        <f>IF($AF141=0,"",CHOOSE($AF141,INDEX(nINT_Parameter_Set,$AH141)&amp;"",INDEX(nQ1_Parameter_Set,$AH141)&amp;"",INDEX(nQ2_Parameter_Set,$AH141)&amp;"",INDEX(nQ3_Parameter_Set,$AH141)&amp;"",INDEX(nQ4_Parameter_Set,$AH141)&amp;"",INDEX(nQ5_Parameter_Set,$AH141)&amp;"",INDEX(nQ6_Parameter_Set,$AH141)&amp;"",INDEX(nQ7_Parameter_Set,$AH141)&amp;"",INDEX(nQ8_Parameter_Set,$AH141)&amp;"",INDEX(nQ9_Parameter_Set,$AH141)&amp;"",INDEX(nQ10_Parameter_Set,$AH141)&amp;"",INDEX(nQ11_Parameter_Set,$AH141)&amp;""))</f>
        <v/>
      </c>
      <c r="BG141" s="1" t="str">
        <f>IF($AF141=0,"",CHOOSE($AF141,INDEX(nINT_Assumptions,$AH141)&amp;"",INDEX(nQ1_Assumptions,$AH141)&amp;"",INDEX(nQ2_Assumptions,$AH141)&amp;"",INDEX(nQ3_Assumptions,$AH141)&amp;"",INDEX(nQ4_Assumptions,$AH141)&amp;"",INDEX(nQ5_Assumptions,$AH141)&amp;"",INDEX(nQ6_Assumptions,$AH141)&amp;"",INDEX(nQ7_Assumptions,$AH141)&amp;"",INDEX(nQ8_Assumptions,$AH141)&amp;"",INDEX(nQ9_Assumptions,$AH141)&amp;"",INDEX(nQ10_Assumptions,$AH141)&amp;"",INDEX(nQ11_Assumptions,$AH141)&amp;""))</f>
        <v/>
      </c>
      <c r="BH141" s="1" t="str">
        <f>IF($AF141=0,"",CHOOSE($AF141,INDEX(nINT_Calculation_Version,$AH141)&amp;"",INDEX(nQ1_Calculation_Version,$AH141)&amp;"",INDEX(nQ2_Calculation_Version,$AH141)&amp;"",INDEX(nQ3_Calculation_Version,$AH141)&amp;"",INDEX(nQ4_Calculation_Version,$AH141)&amp;"",INDEX(nQ5_Calculation_Version,$AH141)&amp;"",INDEX(nQ6_Calculation_Version,$AH141)&amp;"",INDEX(nQ7_Calculation_Version,$AH141)&amp;"",INDEX(nQ8_Calculation_Version,$AH141)&amp;"",INDEX(nQ9_Calculation_Version,$AH141)&amp;"",INDEX(nQ10_Calculation_Version,$AH141)&amp;"",INDEX(nQ11_Calculation_Version,$AH141)&amp;""))</f>
        <v/>
      </c>
      <c r="BI141" s="1" t="str">
        <f>IF($AF141=0,"",CHOOSE($AF141,INDEX(nINT_QC_Flags,$AH141)&amp;"",INDEX(nQ1_QC_Flags,$AH141)&amp;"",INDEX(nQ2_QC_Flags,$AH141)&amp;"",INDEX(nQ3_QC_Flags,$AH141)&amp;"",INDEX(nQ4_QC_Flags,$AH141)&amp;"",INDEX(nQ5_QC_Flags,$AH141)&amp;"",INDEX(nQ6_QC_Flags,$AH141)&amp;"",INDEX(nQ7_QC_Flags,$AH141)&amp;"",INDEX(nQ8_QC_Flags,$AH141)&amp;"",INDEX(nQ9_QC_Flags,$AH141)&amp;"",INDEX(nQ10_QC_Flags,$AH141)&amp;"",INDEX(nQ11_QC_Flags,$AH141)&amp;""))</f>
        <v/>
      </c>
      <c r="BJ141" s="1" t="str">
        <f>IF($AF141=0,"",CHOOSE($AF141,INDEX(nINT_Messages,$AH141)&amp;"",INDEX(nQ1_Messages,$AH141)&amp;"",INDEX(nQ2_Messages,$AH141)&amp;"",INDEX(nQ3_Messages,$AH141)&amp;"",INDEX(nQ4_Messages,$AH141)&amp;"",INDEX(nQ5_Messages,$AH141)&amp;"",INDEX(nQ6_Messages,$AH141)&amp;"",INDEX(nQ7_Messages,$AH141)&amp;"",INDEX(nQ8_Messages,$AH141)&amp;"",INDEX(nQ9_Messages,$AH141)&amp;"",INDEX(nQ10_Messages,$AH141)&amp;"",INDEX(nQ11_Messages,$AH141)&amp;""))</f>
        <v/>
      </c>
      <c r="BK141" s="1" t="str">
        <f>IF($AF141=0,"",CHOOSE($AF141,INDEX(nINT_Limitations,$AH141)&amp;"",INDEX(nQ1_Mandatory_Text,$AH141)&amp;"",INDEX(nQ2_Mandatory_Text,$AH141)&amp;"",INDEX(nQ3_Mandatory_Text,$AH141)&amp;"",INDEX(nQ4_Mandatory_Text,$AH141)&amp;"",INDEX(nQ5_Mandatory_Text,$AH141)&amp;"",INDEX(nQ6_Mandatory_Text,$AH141)&amp;"",INDEX(nQ7_Mandatory_Text,$AH141)&amp;"",INDEX(nQ8_Mandatory_Text,$AH141)&amp;"",INDEX(nQ9_Mandatory_Text,$AH141)&amp;"",INDEX(nQ10_Mandatory_Text,$AH141)&amp;"",INDEX(nQ11_Mandatory_Text,$AH141)&amp;""))</f>
        <v/>
      </c>
      <c r="BL141" s="1" t="str">
        <f t="shared" si="103"/>
        <v/>
      </c>
      <c r="BM141" s="1" t="str">
        <f t="shared" si="104"/>
        <v/>
      </c>
    </row>
    <row r="142" spans="1:65" x14ac:dyDescent="0.2">
      <c r="A142" s="21" t="str">
        <f t="shared" si="70"/>
        <v/>
      </c>
      <c r="B142" s="21" t="str">
        <f t="shared" si="71"/>
        <v/>
      </c>
      <c r="C142" s="21" t="str">
        <f t="shared" si="72"/>
        <v/>
      </c>
      <c r="D142" s="21" t="str">
        <f t="shared" si="73"/>
        <v/>
      </c>
      <c r="E142" s="21" t="str">
        <f t="shared" si="74"/>
        <v/>
      </c>
      <c r="F142" s="21" t="str">
        <f t="shared" si="75"/>
        <v/>
      </c>
      <c r="G142" s="21" t="str">
        <f t="shared" si="76"/>
        <v/>
      </c>
      <c r="H142" s="21" t="str">
        <f t="shared" si="77"/>
        <v/>
      </c>
      <c r="I142" s="21" t="str">
        <f t="shared" si="78"/>
        <v/>
      </c>
      <c r="J142" s="21" t="str">
        <f t="shared" si="79"/>
        <v/>
      </c>
      <c r="K142" s="21" t="str">
        <f t="shared" si="80"/>
        <v/>
      </c>
      <c r="L142" s="21" t="str">
        <f t="shared" si="81"/>
        <v/>
      </c>
      <c r="M142" s="21" t="str">
        <f t="shared" si="82"/>
        <v/>
      </c>
      <c r="N142" s="21" t="str">
        <f t="shared" si="83"/>
        <v/>
      </c>
      <c r="O142" s="21" t="str">
        <f t="shared" si="84"/>
        <v/>
      </c>
      <c r="P142" s="21" t="str">
        <f t="shared" si="85"/>
        <v/>
      </c>
      <c r="Q142" s="21" t="str">
        <f t="shared" si="86"/>
        <v/>
      </c>
      <c r="R142" s="21" t="str">
        <f t="shared" si="87"/>
        <v/>
      </c>
      <c r="S142" s="21" t="str">
        <f t="shared" si="88"/>
        <v/>
      </c>
      <c r="T142" s="21" t="str">
        <f t="shared" si="89"/>
        <v/>
      </c>
      <c r="U142" s="21" t="str">
        <f t="shared" si="90"/>
        <v/>
      </c>
      <c r="V142" s="21" t="str">
        <f t="shared" si="91"/>
        <v/>
      </c>
      <c r="W142" s="21" t="str">
        <f t="shared" si="92"/>
        <v/>
      </c>
      <c r="X142" s="21" t="str">
        <f t="shared" si="93"/>
        <v/>
      </c>
      <c r="Y142" s="21" t="str">
        <f t="shared" si="94"/>
        <v/>
      </c>
      <c r="Z142" s="21" t="str">
        <f t="shared" si="95"/>
        <v/>
      </c>
      <c r="AA142" s="21" t="str">
        <f t="shared" si="96"/>
        <v/>
      </c>
      <c r="AB142" s="21" t="str">
        <f t="shared" si="97"/>
        <v/>
      </c>
      <c r="AC142" s="21" t="str">
        <f t="shared" si="98"/>
        <v/>
      </c>
      <c r="AD142" s="21" t="str">
        <f t="shared" si="99"/>
        <v/>
      </c>
      <c r="AE142" s="1">
        <f t="shared" si="100"/>
        <v>135</v>
      </c>
      <c r="AF142" s="1">
        <f t="shared" si="101"/>
        <v>0</v>
      </c>
      <c r="AG142" s="1">
        <f t="shared" si="102"/>
        <v>0</v>
      </c>
      <c r="AH142" s="1">
        <f>IF(AF142=0,0,CHOOSE(AF142,IFERROR(_xlfn.AGGREGATE(15,6,(ROW(nINT_CaseKey)-ROW(INDEX(nINT_CaseKey,1,1))+1)/((nINT_CaseKey=$H$4)*(nINT_RowEmpty=0)),AG142),0),IFERROR(_xlfn.AGGREGATE(15,6,(ROW(nQ1_CaseKey)-ROW(INDEX(nQ1_CaseKey,1,1))+1)/((nQ1_CaseKey=$H$4)),AG142),0),IFERROR(_xlfn.AGGREGATE(15,6,(ROW(nQ2_CaseKey)-ROW(INDEX(nQ2_CaseKey,1,1))+1)/((nQ2_CaseKey=$H$4)),AG142),0),IFERROR(_xlfn.AGGREGATE(15,6,(ROW(nQ3_CaseKey)-ROW(INDEX(nQ3_CaseKey,1,1))+1)/((nQ3_CaseKey=$H$4)),AG142),0),IFERROR(_xlfn.AGGREGATE(15,6,(ROW(nQ4_CaseKey)-ROW(INDEX(nQ4_CaseKey,1,1))+1)/((nQ4_CaseKey=$H$4)),AG142),0),IFERROR(_xlfn.AGGREGATE(15,6,(ROW(nQ5_CaseKey)-ROW(INDEX(nQ5_CaseKey,1,1))+1)/((nQ5_CaseKey=$H$4)),AG142),0),IFERROR(_xlfn.AGGREGATE(15,6,(ROW(nQ6_CaseKey)-ROW(INDEX(nQ6_CaseKey,1,1))+1)/((nQ6_CaseKey=$H$4)),AG142),0),IFERROR(_xlfn.AGGREGATE(15,6,(ROW(nQ7_CaseKey)-ROW(INDEX(nQ7_CaseKey,1,1))+1)/((nQ7_CaseKey=$H$4)),AG142),0),IFERROR(_xlfn.AGGREGATE(15,6,(ROW(nQ8_CaseKey)-ROW(INDEX(nQ8_CaseKey,1,1))+1)/((nQ8_CaseKey=$H$4)),AG142),0),IFERROR(_xlfn.AGGREGATE(15,6,(ROW(nQ9_CaseKey)-ROW(INDEX(nQ9_CaseKey,1,1))+1)/((nQ9_CaseKey=$H$4)),AG142),0),IFERROR(_xlfn.AGGREGATE(15,6,(ROW(nQ10_CaseKey)-ROW(INDEX(nQ10_CaseKey,1,1))+1)/((nQ10_CaseKey=$H$4)),AG142),0),IFERROR(_xlfn.AGGREGATE(15,6,(ROW(nQ11_CaseKey)-ROW(INDEX(nQ11_CaseKey,1,1))+1)/((nQ11_CaseKey=$H$4)),AG142),0)))</f>
        <v>0</v>
      </c>
      <c r="AJ142" s="1" t="str">
        <f>IF($AF142=0,"",CHOOSE($AF142,INDEX(nINT_Case_ID,$AH142)&amp;"",INDEX(nQ1_Case_ID,$AH142)&amp;"",INDEX(nQ2_Case_ID,$AH142)&amp;"",INDEX(nQ3_Case_ID,$AH142)&amp;"",INDEX(nQ4_Case_ID,$AH142)&amp;"",INDEX(nQ5_Case_ID,$AH142)&amp;"",INDEX(nQ6_Case_ID,$AH142)&amp;"",INDEX(nQ7_Case_ID,$AH142)&amp;"",INDEX(nQ8_Case_ID,$AH142)&amp;"",INDEX(nQ9_Case_ID,$AH142)&amp;"",INDEX(nQ10_Case_ID,$AH142)&amp;"",INDEX(nQ11_Case_ID,$AH142)&amp;""))</f>
        <v/>
      </c>
      <c r="AK142" s="1" t="str">
        <f>IF($AF142=0,"",CHOOSE($AF142,INDEX(nINT_Case_Version,$AH142),INDEX(nQ1_Case_Version,$AH142),INDEX(nQ2_Case_Version,$AH142),INDEX(nQ3_Case_Version,$AH142),INDEX(nQ4_Case_Version,$AH142),INDEX(nQ5_Case_Version,$AH142),INDEX(nQ6_Case_Version,$AH142),INDEX(nQ7_Case_Version,$AH142),INDEX(nQ8_Case_Version,$AH142),INDEX(nQ9_Case_Version,$AH142),INDEX(nQ10_Case_Version,$AH142),INDEX(nQ11_Case_Version,$AH142)))</f>
        <v/>
      </c>
      <c r="AL142" s="1" t="str">
        <f>IF($AF142=0,"",CHOOSE($AF142,INDEX(nINT_Interval_ID,$AH142)&amp;"",INDEX(nQ1_Calc_ID,$AH142)&amp;"",INDEX(nQ2_Calc_ID,$AH142)&amp;"",INDEX(nQ3_Calc_ID,$AH142)&amp;"",INDEX(nQ4_Calc_ID,$AH142)&amp;"",INDEX(nQ5_Calc_ID,$AH142)&amp;"",INDEX(nQ6_Calc_ID,$AH142)&amp;"",INDEX(nQ7_Calc_ID,$AH142)&amp;"",INDEX(nQ8_Calc_ID,$AH142)&amp;"",INDEX(nQ9_Calc_ID,$AH142)&amp;"",INDEX(nQ10_Calc_ID,$AH142)&amp;"",INDEX(nQ11_Calc_ID,$AH142)&amp;""))</f>
        <v/>
      </c>
      <c r="AM142" s="1" t="str">
        <f>IF($AF142=0,"",CHOOSE($AF142,INDEX(nINT_Label,$AH142)&amp;"",INDEX(nQ1_Label_Out,$AH142)&amp;"",INDEX(nQ2_Label_Out,$AH142)&amp;"",INDEX(nQ3_Label_Out,$AH142)&amp;"",INDEX(nQ4_Label_Out,$AH142)&amp;"",INDEX(nQ5_Label_Out,$AH142)&amp;"",INDEX(nQ6_Label_Out,$AH142)&amp;"",INDEX(nQ7_Label_Out,$AH142)&amp;"",INDEX(nQ8_Label_Out,$AH142)&amp;"",INDEX(nQ9_Label_Out,$AH142)&amp;"",INDEX(nQ10_Label_Out,$AH142)&amp;"",INDEX(nQ11_Label_Out,$AH142)&amp;""))</f>
        <v/>
      </c>
      <c r="AN142" s="1" t="str">
        <f>IF($AF142=0,"",CHOOSE($AF142,IF(INDEX(nINT_LinkRow,$AH142)=0,"",INDEX(nINT_Link_ID,$AH142)&amp;""),"","","","","","","","","","",""))</f>
        <v/>
      </c>
      <c r="AO142" s="1" t="str">
        <f>IF($AF142=0,"",CHOOSE($AF142,INDEX(nINT_Exposure_Episode_ID,$AH142)&amp;"","","","","","","","","","","",""))</f>
        <v/>
      </c>
      <c r="AP142" s="1" t="str">
        <f>IF($AF142=0,"",CHOOSE($AF142,INDEX(nINT_Event_Episode_ID,$AH142)&amp;"","","","","","","","","","","",""))</f>
        <v/>
      </c>
      <c r="AQ142" s="1" t="str">
        <f>IF($AF142=0,"",CHOOSE($AF142,INDEX(nINT_End_Record_ID_Used,$AH142)&amp;"","","","","","","","","","","",""))</f>
        <v/>
      </c>
      <c r="AR142" s="1" t="str">
        <f>IF($AF142=0,"",CHOOSE($AF142,INDEX(nINT_Interval_Value,$AH142),"","","","","","","","","","",""))</f>
        <v/>
      </c>
      <c r="AS142" s="1" t="str">
        <f>IF($AF142=0,"",CHOOSE($AF142,INDEX(nINT_Interval_Minimum,$AH142),"","","","","","","","","","",""))</f>
        <v/>
      </c>
      <c r="AT142" s="1" t="str">
        <f>IF($AF142=0,"",CHOOSE($AF142,INDEX(nINT_Interval_Maximum,$AH142),"","","","","","","","","","",""))</f>
        <v/>
      </c>
      <c r="AU142" s="1" t="str">
        <f>IF($AF142=0,"",CHOOSE($AF142,INDEX(nINT_Unit,$AH142)&amp;"",INDEX(nQ1_Unit_Out,$AH142)&amp;"",INDEX(nQ2_Unit_Out,$AH142)&amp;"",INDEX(nQ3_Unit_Out,$AH142)&amp;"",INDEX(nQ4_Unit_Out,$AH142)&amp;"",INDEX(nQ5_Unit_Out,$AH142)&amp;"",INDEX(nQ6_Unit_Out,$AH142)&amp;"",INDEX(nQ7_Unit_Out,$AH142)&amp;"",INDEX(nQ8_Unit_Out,$AH142)&amp;"",INDEX(nQ9_Unit_Out,$AH142)&amp;"",INDEX(nQ10_Unit_Out,$AH142)&amp;"",INDEX(nQ11_Unit_Out,$AH142)&amp;""))</f>
        <v/>
      </c>
      <c r="AV142" s="1" t="str">
        <f>IF($AF142=0,"",CHOOSE($AF142,INDEX(nINT_Displayed_Value,$AH142)&amp;"",INDEX(nQ1_Displayed_Value,$AH142)&amp;"",INDEX(nQ2_Displayed_Value,$AH142)&amp;"",INDEX(nQ3_Displayed_Value,$AH142)&amp;"",INDEX(nQ4_Displayed_Value,$AH142)&amp;"",INDEX(nQ5_Displayed_Value,$AH142)&amp;"",INDEX(nQ6_Displayed_Value,$AH142)&amp;"",INDEX(nQ7_Displayed_Value,$AH142)&amp;"",INDEX(nQ8_Displayed_Value,$AH142)&amp;"",INDEX(nQ9_Displayed_Value,$AH142)&amp;"",INDEX(nQ10_Displayed_Value,$AH142)&amp;"",INDEX(nQ11_Displayed_Value,$AH142)&amp;""))</f>
        <v/>
      </c>
      <c r="AW142" s="1" t="str">
        <f>IF($AF142=0,"",CHOOSE($AF142,INDEX(nINT_Calculation_Mode_Used,$AH142)&amp;"","Q1","Q2","Q3","Q4","Q5","Q6","Q7","Q8","Q9","Q10","Q11"))</f>
        <v/>
      </c>
      <c r="AX142" s="1" t="str">
        <f>IF($AF142=0,"",CHOOSE($AF142,INDEX(nINT_Anchor_Type,$AH142)&amp;"","","","","","","","","","","",""))</f>
        <v/>
      </c>
      <c r="AY142" s="1" t="str">
        <f>IF($AF142=0,"",CHOOSE($AF142,IF(INDEX(nINT_K_Ok,$AH142)=1,INDEX(nINT_Anchor_Record_ID_Used,$AH142)&amp;"",""),"","","","","","","","","","",""))</f>
        <v/>
      </c>
      <c r="AZ142" s="1" t="str">
        <f>IF($AF142=0,"",CHOOSE($AF142,INDEX(nINT_Anchor_Description,$AH142)&amp;"","","","","","","","","","","",""))</f>
        <v/>
      </c>
      <c r="BA142" s="1" t="str">
        <f>IF($AF142=0,"",CHOOSE($AF142,INDEX(nINT_Sequence_Status,$AH142)&amp;"","","","","","","","","","","",""))</f>
        <v/>
      </c>
      <c r="BB142" s="1" t="str">
        <f>IF($AF142=0,"",CHOOSE($AF142,INDEX(nINT_Treatment_Day,$AH142),"","","","","","","","","","",""))</f>
        <v/>
      </c>
      <c r="BC142" s="1" t="str">
        <f>IF($AF142=0,"",CHOOSE($AF142,INDEX(nINT_Reported_Timing_Result,$AH142)&amp;"","","","","","","","","","","",""))</f>
        <v/>
      </c>
      <c r="BD142" s="1" t="str">
        <f>IF($AF142=0,"",CHOOSE($AF142,IF(INDEX(nINT_K_HasC,$AH142)=1,INDEX(nINT_Constraint_Source,$AH142)&amp;"",""),"","","","","","","","","","",""))</f>
        <v/>
      </c>
      <c r="BE142" s="1" t="str">
        <f>IF($AF142=0,"",CHOOSE($AF142,"",INDEX(nQ1_Results_Text,$AH142)&amp;"",INDEX(nQ2_Results_Text,$AH142)&amp;"",INDEX(nQ3_Results_Text,$AH142)&amp;"",INDEX(nQ4_Results_Text,$AH142)&amp;"",INDEX(nQ5_Results_Text,$AH142)&amp;"",INDEX(nQ6_Results_Text,$AH142)&amp;"",INDEX(nQ7_Results_Text,$AH142)&amp;"",INDEX(nQ8_Results_Text,$AH142)&amp;"",INDEX(nQ9_Results_Text,$AH142)&amp;"",INDEX(nQ10_Results_Text,$AH142)&amp;"",INDEX(nQ11_Results_Text,$AH142)&amp;""))</f>
        <v/>
      </c>
      <c r="BF142" s="1" t="str">
        <f>IF($AF142=0,"",CHOOSE($AF142,INDEX(nINT_Parameter_Set,$AH142)&amp;"",INDEX(nQ1_Parameter_Set,$AH142)&amp;"",INDEX(nQ2_Parameter_Set,$AH142)&amp;"",INDEX(nQ3_Parameter_Set,$AH142)&amp;"",INDEX(nQ4_Parameter_Set,$AH142)&amp;"",INDEX(nQ5_Parameter_Set,$AH142)&amp;"",INDEX(nQ6_Parameter_Set,$AH142)&amp;"",INDEX(nQ7_Parameter_Set,$AH142)&amp;"",INDEX(nQ8_Parameter_Set,$AH142)&amp;"",INDEX(nQ9_Parameter_Set,$AH142)&amp;"",INDEX(nQ10_Parameter_Set,$AH142)&amp;"",INDEX(nQ11_Parameter_Set,$AH142)&amp;""))</f>
        <v/>
      </c>
      <c r="BG142" s="1" t="str">
        <f>IF($AF142=0,"",CHOOSE($AF142,INDEX(nINT_Assumptions,$AH142)&amp;"",INDEX(nQ1_Assumptions,$AH142)&amp;"",INDEX(nQ2_Assumptions,$AH142)&amp;"",INDEX(nQ3_Assumptions,$AH142)&amp;"",INDEX(nQ4_Assumptions,$AH142)&amp;"",INDEX(nQ5_Assumptions,$AH142)&amp;"",INDEX(nQ6_Assumptions,$AH142)&amp;"",INDEX(nQ7_Assumptions,$AH142)&amp;"",INDEX(nQ8_Assumptions,$AH142)&amp;"",INDEX(nQ9_Assumptions,$AH142)&amp;"",INDEX(nQ10_Assumptions,$AH142)&amp;"",INDEX(nQ11_Assumptions,$AH142)&amp;""))</f>
        <v/>
      </c>
      <c r="BH142" s="1" t="str">
        <f>IF($AF142=0,"",CHOOSE($AF142,INDEX(nINT_Calculation_Version,$AH142)&amp;"",INDEX(nQ1_Calculation_Version,$AH142)&amp;"",INDEX(nQ2_Calculation_Version,$AH142)&amp;"",INDEX(nQ3_Calculation_Version,$AH142)&amp;"",INDEX(nQ4_Calculation_Version,$AH142)&amp;"",INDEX(nQ5_Calculation_Version,$AH142)&amp;"",INDEX(nQ6_Calculation_Version,$AH142)&amp;"",INDEX(nQ7_Calculation_Version,$AH142)&amp;"",INDEX(nQ8_Calculation_Version,$AH142)&amp;"",INDEX(nQ9_Calculation_Version,$AH142)&amp;"",INDEX(nQ10_Calculation_Version,$AH142)&amp;"",INDEX(nQ11_Calculation_Version,$AH142)&amp;""))</f>
        <v/>
      </c>
      <c r="BI142" s="1" t="str">
        <f>IF($AF142=0,"",CHOOSE($AF142,INDEX(nINT_QC_Flags,$AH142)&amp;"",INDEX(nQ1_QC_Flags,$AH142)&amp;"",INDEX(nQ2_QC_Flags,$AH142)&amp;"",INDEX(nQ3_QC_Flags,$AH142)&amp;"",INDEX(nQ4_QC_Flags,$AH142)&amp;"",INDEX(nQ5_QC_Flags,$AH142)&amp;"",INDEX(nQ6_QC_Flags,$AH142)&amp;"",INDEX(nQ7_QC_Flags,$AH142)&amp;"",INDEX(nQ8_QC_Flags,$AH142)&amp;"",INDEX(nQ9_QC_Flags,$AH142)&amp;"",INDEX(nQ10_QC_Flags,$AH142)&amp;"",INDEX(nQ11_QC_Flags,$AH142)&amp;""))</f>
        <v/>
      </c>
      <c r="BJ142" s="1" t="str">
        <f>IF($AF142=0,"",CHOOSE($AF142,INDEX(nINT_Messages,$AH142)&amp;"",INDEX(nQ1_Messages,$AH142)&amp;"",INDEX(nQ2_Messages,$AH142)&amp;"",INDEX(nQ3_Messages,$AH142)&amp;"",INDEX(nQ4_Messages,$AH142)&amp;"",INDEX(nQ5_Messages,$AH142)&amp;"",INDEX(nQ6_Messages,$AH142)&amp;"",INDEX(nQ7_Messages,$AH142)&amp;"",INDEX(nQ8_Messages,$AH142)&amp;"",INDEX(nQ9_Messages,$AH142)&amp;"",INDEX(nQ10_Messages,$AH142)&amp;"",INDEX(nQ11_Messages,$AH142)&amp;""))</f>
        <v/>
      </c>
      <c r="BK142" s="1" t="str">
        <f>IF($AF142=0,"",CHOOSE($AF142,INDEX(nINT_Limitations,$AH142)&amp;"",INDEX(nQ1_Mandatory_Text,$AH142)&amp;"",INDEX(nQ2_Mandatory_Text,$AH142)&amp;"",INDEX(nQ3_Mandatory_Text,$AH142)&amp;"",INDEX(nQ4_Mandatory_Text,$AH142)&amp;"",INDEX(nQ5_Mandatory_Text,$AH142)&amp;"",INDEX(nQ6_Mandatory_Text,$AH142)&amp;"",INDEX(nQ7_Mandatory_Text,$AH142)&amp;"",INDEX(nQ8_Mandatory_Text,$AH142)&amp;"",INDEX(nQ9_Mandatory_Text,$AH142)&amp;"",INDEX(nQ10_Mandatory_Text,$AH142)&amp;"",INDEX(nQ11_Mandatory_Text,$AH142)&amp;""))</f>
        <v/>
      </c>
      <c r="BL142" s="1" t="str">
        <f t="shared" si="103"/>
        <v/>
      </c>
      <c r="BM142" s="1" t="str">
        <f t="shared" si="104"/>
        <v/>
      </c>
    </row>
    <row r="143" spans="1:65" x14ac:dyDescent="0.2">
      <c r="A143" s="21" t="str">
        <f t="shared" si="70"/>
        <v/>
      </c>
      <c r="B143" s="21" t="str">
        <f t="shared" si="71"/>
        <v/>
      </c>
      <c r="C143" s="21" t="str">
        <f t="shared" si="72"/>
        <v/>
      </c>
      <c r="D143" s="21" t="str">
        <f t="shared" si="73"/>
        <v/>
      </c>
      <c r="E143" s="21" t="str">
        <f t="shared" si="74"/>
        <v/>
      </c>
      <c r="F143" s="21" t="str">
        <f t="shared" si="75"/>
        <v/>
      </c>
      <c r="G143" s="21" t="str">
        <f t="shared" si="76"/>
        <v/>
      </c>
      <c r="H143" s="21" t="str">
        <f t="shared" si="77"/>
        <v/>
      </c>
      <c r="I143" s="21" t="str">
        <f t="shared" si="78"/>
        <v/>
      </c>
      <c r="J143" s="21" t="str">
        <f t="shared" si="79"/>
        <v/>
      </c>
      <c r="K143" s="21" t="str">
        <f t="shared" si="80"/>
        <v/>
      </c>
      <c r="L143" s="21" t="str">
        <f t="shared" si="81"/>
        <v/>
      </c>
      <c r="M143" s="21" t="str">
        <f t="shared" si="82"/>
        <v/>
      </c>
      <c r="N143" s="21" t="str">
        <f t="shared" si="83"/>
        <v/>
      </c>
      <c r="O143" s="21" t="str">
        <f t="shared" si="84"/>
        <v/>
      </c>
      <c r="P143" s="21" t="str">
        <f t="shared" si="85"/>
        <v/>
      </c>
      <c r="Q143" s="21" t="str">
        <f t="shared" si="86"/>
        <v/>
      </c>
      <c r="R143" s="21" t="str">
        <f t="shared" si="87"/>
        <v/>
      </c>
      <c r="S143" s="21" t="str">
        <f t="shared" si="88"/>
        <v/>
      </c>
      <c r="T143" s="21" t="str">
        <f t="shared" si="89"/>
        <v/>
      </c>
      <c r="U143" s="21" t="str">
        <f t="shared" si="90"/>
        <v/>
      </c>
      <c r="V143" s="21" t="str">
        <f t="shared" si="91"/>
        <v/>
      </c>
      <c r="W143" s="21" t="str">
        <f t="shared" si="92"/>
        <v/>
      </c>
      <c r="X143" s="21" t="str">
        <f t="shared" si="93"/>
        <v/>
      </c>
      <c r="Y143" s="21" t="str">
        <f t="shared" si="94"/>
        <v/>
      </c>
      <c r="Z143" s="21" t="str">
        <f t="shared" si="95"/>
        <v/>
      </c>
      <c r="AA143" s="21" t="str">
        <f t="shared" si="96"/>
        <v/>
      </c>
      <c r="AB143" s="21" t="str">
        <f t="shared" si="97"/>
        <v/>
      </c>
      <c r="AC143" s="21" t="str">
        <f t="shared" si="98"/>
        <v/>
      </c>
      <c r="AD143" s="21" t="str">
        <f t="shared" si="99"/>
        <v/>
      </c>
      <c r="AE143" s="1">
        <f t="shared" si="100"/>
        <v>136</v>
      </c>
      <c r="AF143" s="1">
        <f t="shared" si="101"/>
        <v>0</v>
      </c>
      <c r="AG143" s="1">
        <f t="shared" si="102"/>
        <v>0</v>
      </c>
      <c r="AH143" s="1">
        <f>IF(AF143=0,0,CHOOSE(AF143,IFERROR(_xlfn.AGGREGATE(15,6,(ROW(nINT_CaseKey)-ROW(INDEX(nINT_CaseKey,1,1))+1)/((nINT_CaseKey=$H$4)*(nINT_RowEmpty=0)),AG143),0),IFERROR(_xlfn.AGGREGATE(15,6,(ROW(nQ1_CaseKey)-ROW(INDEX(nQ1_CaseKey,1,1))+1)/((nQ1_CaseKey=$H$4)),AG143),0),IFERROR(_xlfn.AGGREGATE(15,6,(ROW(nQ2_CaseKey)-ROW(INDEX(nQ2_CaseKey,1,1))+1)/((nQ2_CaseKey=$H$4)),AG143),0),IFERROR(_xlfn.AGGREGATE(15,6,(ROW(nQ3_CaseKey)-ROW(INDEX(nQ3_CaseKey,1,1))+1)/((nQ3_CaseKey=$H$4)),AG143),0),IFERROR(_xlfn.AGGREGATE(15,6,(ROW(nQ4_CaseKey)-ROW(INDEX(nQ4_CaseKey,1,1))+1)/((nQ4_CaseKey=$H$4)),AG143),0),IFERROR(_xlfn.AGGREGATE(15,6,(ROW(nQ5_CaseKey)-ROW(INDEX(nQ5_CaseKey,1,1))+1)/((nQ5_CaseKey=$H$4)),AG143),0),IFERROR(_xlfn.AGGREGATE(15,6,(ROW(nQ6_CaseKey)-ROW(INDEX(nQ6_CaseKey,1,1))+1)/((nQ6_CaseKey=$H$4)),AG143),0),IFERROR(_xlfn.AGGREGATE(15,6,(ROW(nQ7_CaseKey)-ROW(INDEX(nQ7_CaseKey,1,1))+1)/((nQ7_CaseKey=$H$4)),AG143),0),IFERROR(_xlfn.AGGREGATE(15,6,(ROW(nQ8_CaseKey)-ROW(INDEX(nQ8_CaseKey,1,1))+1)/((nQ8_CaseKey=$H$4)),AG143),0),IFERROR(_xlfn.AGGREGATE(15,6,(ROW(nQ9_CaseKey)-ROW(INDEX(nQ9_CaseKey,1,1))+1)/((nQ9_CaseKey=$H$4)),AG143),0),IFERROR(_xlfn.AGGREGATE(15,6,(ROW(nQ10_CaseKey)-ROW(INDEX(nQ10_CaseKey,1,1))+1)/((nQ10_CaseKey=$H$4)),AG143),0),IFERROR(_xlfn.AGGREGATE(15,6,(ROW(nQ11_CaseKey)-ROW(INDEX(nQ11_CaseKey,1,1))+1)/((nQ11_CaseKey=$H$4)),AG143),0)))</f>
        <v>0</v>
      </c>
      <c r="AJ143" s="1" t="str">
        <f>IF($AF143=0,"",CHOOSE($AF143,INDEX(nINT_Case_ID,$AH143)&amp;"",INDEX(nQ1_Case_ID,$AH143)&amp;"",INDEX(nQ2_Case_ID,$AH143)&amp;"",INDEX(nQ3_Case_ID,$AH143)&amp;"",INDEX(nQ4_Case_ID,$AH143)&amp;"",INDEX(nQ5_Case_ID,$AH143)&amp;"",INDEX(nQ6_Case_ID,$AH143)&amp;"",INDEX(nQ7_Case_ID,$AH143)&amp;"",INDEX(nQ8_Case_ID,$AH143)&amp;"",INDEX(nQ9_Case_ID,$AH143)&amp;"",INDEX(nQ10_Case_ID,$AH143)&amp;"",INDEX(nQ11_Case_ID,$AH143)&amp;""))</f>
        <v/>
      </c>
      <c r="AK143" s="1" t="str">
        <f>IF($AF143=0,"",CHOOSE($AF143,INDEX(nINT_Case_Version,$AH143),INDEX(nQ1_Case_Version,$AH143),INDEX(nQ2_Case_Version,$AH143),INDEX(nQ3_Case_Version,$AH143),INDEX(nQ4_Case_Version,$AH143),INDEX(nQ5_Case_Version,$AH143),INDEX(nQ6_Case_Version,$AH143),INDEX(nQ7_Case_Version,$AH143),INDEX(nQ8_Case_Version,$AH143),INDEX(nQ9_Case_Version,$AH143),INDEX(nQ10_Case_Version,$AH143),INDEX(nQ11_Case_Version,$AH143)))</f>
        <v/>
      </c>
      <c r="AL143" s="1" t="str">
        <f>IF($AF143=0,"",CHOOSE($AF143,INDEX(nINT_Interval_ID,$AH143)&amp;"",INDEX(nQ1_Calc_ID,$AH143)&amp;"",INDEX(nQ2_Calc_ID,$AH143)&amp;"",INDEX(nQ3_Calc_ID,$AH143)&amp;"",INDEX(nQ4_Calc_ID,$AH143)&amp;"",INDEX(nQ5_Calc_ID,$AH143)&amp;"",INDEX(nQ6_Calc_ID,$AH143)&amp;"",INDEX(nQ7_Calc_ID,$AH143)&amp;"",INDEX(nQ8_Calc_ID,$AH143)&amp;"",INDEX(nQ9_Calc_ID,$AH143)&amp;"",INDEX(nQ10_Calc_ID,$AH143)&amp;"",INDEX(nQ11_Calc_ID,$AH143)&amp;""))</f>
        <v/>
      </c>
      <c r="AM143" s="1" t="str">
        <f>IF($AF143=0,"",CHOOSE($AF143,INDEX(nINT_Label,$AH143)&amp;"",INDEX(nQ1_Label_Out,$AH143)&amp;"",INDEX(nQ2_Label_Out,$AH143)&amp;"",INDEX(nQ3_Label_Out,$AH143)&amp;"",INDEX(nQ4_Label_Out,$AH143)&amp;"",INDEX(nQ5_Label_Out,$AH143)&amp;"",INDEX(nQ6_Label_Out,$AH143)&amp;"",INDEX(nQ7_Label_Out,$AH143)&amp;"",INDEX(nQ8_Label_Out,$AH143)&amp;"",INDEX(nQ9_Label_Out,$AH143)&amp;"",INDEX(nQ10_Label_Out,$AH143)&amp;"",INDEX(nQ11_Label_Out,$AH143)&amp;""))</f>
        <v/>
      </c>
      <c r="AN143" s="1" t="str">
        <f>IF($AF143=0,"",CHOOSE($AF143,IF(INDEX(nINT_LinkRow,$AH143)=0,"",INDEX(nINT_Link_ID,$AH143)&amp;""),"","","","","","","","","","",""))</f>
        <v/>
      </c>
      <c r="AO143" s="1" t="str">
        <f>IF($AF143=0,"",CHOOSE($AF143,INDEX(nINT_Exposure_Episode_ID,$AH143)&amp;"","","","","","","","","","","",""))</f>
        <v/>
      </c>
      <c r="AP143" s="1" t="str">
        <f>IF($AF143=0,"",CHOOSE($AF143,INDEX(nINT_Event_Episode_ID,$AH143)&amp;"","","","","","","","","","","",""))</f>
        <v/>
      </c>
      <c r="AQ143" s="1" t="str">
        <f>IF($AF143=0,"",CHOOSE($AF143,INDEX(nINT_End_Record_ID_Used,$AH143)&amp;"","","","","","","","","","","",""))</f>
        <v/>
      </c>
      <c r="AR143" s="1" t="str">
        <f>IF($AF143=0,"",CHOOSE($AF143,INDEX(nINT_Interval_Value,$AH143),"","","","","","","","","","",""))</f>
        <v/>
      </c>
      <c r="AS143" s="1" t="str">
        <f>IF($AF143=0,"",CHOOSE($AF143,INDEX(nINT_Interval_Minimum,$AH143),"","","","","","","","","","",""))</f>
        <v/>
      </c>
      <c r="AT143" s="1" t="str">
        <f>IF($AF143=0,"",CHOOSE($AF143,INDEX(nINT_Interval_Maximum,$AH143),"","","","","","","","","","",""))</f>
        <v/>
      </c>
      <c r="AU143" s="1" t="str">
        <f>IF($AF143=0,"",CHOOSE($AF143,INDEX(nINT_Unit,$AH143)&amp;"",INDEX(nQ1_Unit_Out,$AH143)&amp;"",INDEX(nQ2_Unit_Out,$AH143)&amp;"",INDEX(nQ3_Unit_Out,$AH143)&amp;"",INDEX(nQ4_Unit_Out,$AH143)&amp;"",INDEX(nQ5_Unit_Out,$AH143)&amp;"",INDEX(nQ6_Unit_Out,$AH143)&amp;"",INDEX(nQ7_Unit_Out,$AH143)&amp;"",INDEX(nQ8_Unit_Out,$AH143)&amp;"",INDEX(nQ9_Unit_Out,$AH143)&amp;"",INDEX(nQ10_Unit_Out,$AH143)&amp;"",INDEX(nQ11_Unit_Out,$AH143)&amp;""))</f>
        <v/>
      </c>
      <c r="AV143" s="1" t="str">
        <f>IF($AF143=0,"",CHOOSE($AF143,INDEX(nINT_Displayed_Value,$AH143)&amp;"",INDEX(nQ1_Displayed_Value,$AH143)&amp;"",INDEX(nQ2_Displayed_Value,$AH143)&amp;"",INDEX(nQ3_Displayed_Value,$AH143)&amp;"",INDEX(nQ4_Displayed_Value,$AH143)&amp;"",INDEX(nQ5_Displayed_Value,$AH143)&amp;"",INDEX(nQ6_Displayed_Value,$AH143)&amp;"",INDEX(nQ7_Displayed_Value,$AH143)&amp;"",INDEX(nQ8_Displayed_Value,$AH143)&amp;"",INDEX(nQ9_Displayed_Value,$AH143)&amp;"",INDEX(nQ10_Displayed_Value,$AH143)&amp;"",INDEX(nQ11_Displayed_Value,$AH143)&amp;""))</f>
        <v/>
      </c>
      <c r="AW143" s="1" t="str">
        <f>IF($AF143=0,"",CHOOSE($AF143,INDEX(nINT_Calculation_Mode_Used,$AH143)&amp;"","Q1","Q2","Q3","Q4","Q5","Q6","Q7","Q8","Q9","Q10","Q11"))</f>
        <v/>
      </c>
      <c r="AX143" s="1" t="str">
        <f>IF($AF143=0,"",CHOOSE($AF143,INDEX(nINT_Anchor_Type,$AH143)&amp;"","","","","","","","","","","",""))</f>
        <v/>
      </c>
      <c r="AY143" s="1" t="str">
        <f>IF($AF143=0,"",CHOOSE($AF143,IF(INDEX(nINT_K_Ok,$AH143)=1,INDEX(nINT_Anchor_Record_ID_Used,$AH143)&amp;"",""),"","","","","","","","","","",""))</f>
        <v/>
      </c>
      <c r="AZ143" s="1" t="str">
        <f>IF($AF143=0,"",CHOOSE($AF143,INDEX(nINT_Anchor_Description,$AH143)&amp;"","","","","","","","","","","",""))</f>
        <v/>
      </c>
      <c r="BA143" s="1" t="str">
        <f>IF($AF143=0,"",CHOOSE($AF143,INDEX(nINT_Sequence_Status,$AH143)&amp;"","","","","","","","","","","",""))</f>
        <v/>
      </c>
      <c r="BB143" s="1" t="str">
        <f>IF($AF143=0,"",CHOOSE($AF143,INDEX(nINT_Treatment_Day,$AH143),"","","","","","","","","","",""))</f>
        <v/>
      </c>
      <c r="BC143" s="1" t="str">
        <f>IF($AF143=0,"",CHOOSE($AF143,INDEX(nINT_Reported_Timing_Result,$AH143)&amp;"","","","","","","","","","","",""))</f>
        <v/>
      </c>
      <c r="BD143" s="1" t="str">
        <f>IF($AF143=0,"",CHOOSE($AF143,IF(INDEX(nINT_K_HasC,$AH143)=1,INDEX(nINT_Constraint_Source,$AH143)&amp;"",""),"","","","","","","","","","",""))</f>
        <v/>
      </c>
      <c r="BE143" s="1" t="str">
        <f>IF($AF143=0,"",CHOOSE($AF143,"",INDEX(nQ1_Results_Text,$AH143)&amp;"",INDEX(nQ2_Results_Text,$AH143)&amp;"",INDEX(nQ3_Results_Text,$AH143)&amp;"",INDEX(nQ4_Results_Text,$AH143)&amp;"",INDEX(nQ5_Results_Text,$AH143)&amp;"",INDEX(nQ6_Results_Text,$AH143)&amp;"",INDEX(nQ7_Results_Text,$AH143)&amp;"",INDEX(nQ8_Results_Text,$AH143)&amp;"",INDEX(nQ9_Results_Text,$AH143)&amp;"",INDEX(nQ10_Results_Text,$AH143)&amp;"",INDEX(nQ11_Results_Text,$AH143)&amp;""))</f>
        <v/>
      </c>
      <c r="BF143" s="1" t="str">
        <f>IF($AF143=0,"",CHOOSE($AF143,INDEX(nINT_Parameter_Set,$AH143)&amp;"",INDEX(nQ1_Parameter_Set,$AH143)&amp;"",INDEX(nQ2_Parameter_Set,$AH143)&amp;"",INDEX(nQ3_Parameter_Set,$AH143)&amp;"",INDEX(nQ4_Parameter_Set,$AH143)&amp;"",INDEX(nQ5_Parameter_Set,$AH143)&amp;"",INDEX(nQ6_Parameter_Set,$AH143)&amp;"",INDEX(nQ7_Parameter_Set,$AH143)&amp;"",INDEX(nQ8_Parameter_Set,$AH143)&amp;"",INDEX(nQ9_Parameter_Set,$AH143)&amp;"",INDEX(nQ10_Parameter_Set,$AH143)&amp;"",INDEX(nQ11_Parameter_Set,$AH143)&amp;""))</f>
        <v/>
      </c>
      <c r="BG143" s="1" t="str">
        <f>IF($AF143=0,"",CHOOSE($AF143,INDEX(nINT_Assumptions,$AH143)&amp;"",INDEX(nQ1_Assumptions,$AH143)&amp;"",INDEX(nQ2_Assumptions,$AH143)&amp;"",INDEX(nQ3_Assumptions,$AH143)&amp;"",INDEX(nQ4_Assumptions,$AH143)&amp;"",INDEX(nQ5_Assumptions,$AH143)&amp;"",INDEX(nQ6_Assumptions,$AH143)&amp;"",INDEX(nQ7_Assumptions,$AH143)&amp;"",INDEX(nQ8_Assumptions,$AH143)&amp;"",INDEX(nQ9_Assumptions,$AH143)&amp;"",INDEX(nQ10_Assumptions,$AH143)&amp;"",INDEX(nQ11_Assumptions,$AH143)&amp;""))</f>
        <v/>
      </c>
      <c r="BH143" s="1" t="str">
        <f>IF($AF143=0,"",CHOOSE($AF143,INDEX(nINT_Calculation_Version,$AH143)&amp;"",INDEX(nQ1_Calculation_Version,$AH143)&amp;"",INDEX(nQ2_Calculation_Version,$AH143)&amp;"",INDEX(nQ3_Calculation_Version,$AH143)&amp;"",INDEX(nQ4_Calculation_Version,$AH143)&amp;"",INDEX(nQ5_Calculation_Version,$AH143)&amp;"",INDEX(nQ6_Calculation_Version,$AH143)&amp;"",INDEX(nQ7_Calculation_Version,$AH143)&amp;"",INDEX(nQ8_Calculation_Version,$AH143)&amp;"",INDEX(nQ9_Calculation_Version,$AH143)&amp;"",INDEX(nQ10_Calculation_Version,$AH143)&amp;"",INDEX(nQ11_Calculation_Version,$AH143)&amp;""))</f>
        <v/>
      </c>
      <c r="BI143" s="1" t="str">
        <f>IF($AF143=0,"",CHOOSE($AF143,INDEX(nINT_QC_Flags,$AH143)&amp;"",INDEX(nQ1_QC_Flags,$AH143)&amp;"",INDEX(nQ2_QC_Flags,$AH143)&amp;"",INDEX(nQ3_QC_Flags,$AH143)&amp;"",INDEX(nQ4_QC_Flags,$AH143)&amp;"",INDEX(nQ5_QC_Flags,$AH143)&amp;"",INDEX(nQ6_QC_Flags,$AH143)&amp;"",INDEX(nQ7_QC_Flags,$AH143)&amp;"",INDEX(nQ8_QC_Flags,$AH143)&amp;"",INDEX(nQ9_QC_Flags,$AH143)&amp;"",INDEX(nQ10_QC_Flags,$AH143)&amp;"",INDEX(nQ11_QC_Flags,$AH143)&amp;""))</f>
        <v/>
      </c>
      <c r="BJ143" s="1" t="str">
        <f>IF($AF143=0,"",CHOOSE($AF143,INDEX(nINT_Messages,$AH143)&amp;"",INDEX(nQ1_Messages,$AH143)&amp;"",INDEX(nQ2_Messages,$AH143)&amp;"",INDEX(nQ3_Messages,$AH143)&amp;"",INDEX(nQ4_Messages,$AH143)&amp;"",INDEX(nQ5_Messages,$AH143)&amp;"",INDEX(nQ6_Messages,$AH143)&amp;"",INDEX(nQ7_Messages,$AH143)&amp;"",INDEX(nQ8_Messages,$AH143)&amp;"",INDEX(nQ9_Messages,$AH143)&amp;"",INDEX(nQ10_Messages,$AH143)&amp;"",INDEX(nQ11_Messages,$AH143)&amp;""))</f>
        <v/>
      </c>
      <c r="BK143" s="1" t="str">
        <f>IF($AF143=0,"",CHOOSE($AF143,INDEX(nINT_Limitations,$AH143)&amp;"",INDEX(nQ1_Mandatory_Text,$AH143)&amp;"",INDEX(nQ2_Mandatory_Text,$AH143)&amp;"",INDEX(nQ3_Mandatory_Text,$AH143)&amp;"",INDEX(nQ4_Mandatory_Text,$AH143)&amp;"",INDEX(nQ5_Mandatory_Text,$AH143)&amp;"",INDEX(nQ6_Mandatory_Text,$AH143)&amp;"",INDEX(nQ7_Mandatory_Text,$AH143)&amp;"",INDEX(nQ8_Mandatory_Text,$AH143)&amp;"",INDEX(nQ9_Mandatory_Text,$AH143)&amp;"",INDEX(nQ10_Mandatory_Text,$AH143)&amp;"",INDEX(nQ11_Mandatory_Text,$AH143)&amp;""))</f>
        <v/>
      </c>
      <c r="BL143" s="1" t="str">
        <f t="shared" si="103"/>
        <v/>
      </c>
      <c r="BM143" s="1" t="str">
        <f t="shared" si="104"/>
        <v/>
      </c>
    </row>
    <row r="144" spans="1:65" x14ac:dyDescent="0.2">
      <c r="A144" s="21" t="str">
        <f t="shared" si="70"/>
        <v/>
      </c>
      <c r="B144" s="21" t="str">
        <f t="shared" si="71"/>
        <v/>
      </c>
      <c r="C144" s="21" t="str">
        <f t="shared" si="72"/>
        <v/>
      </c>
      <c r="D144" s="21" t="str">
        <f t="shared" si="73"/>
        <v/>
      </c>
      <c r="E144" s="21" t="str">
        <f t="shared" si="74"/>
        <v/>
      </c>
      <c r="F144" s="21" t="str">
        <f t="shared" si="75"/>
        <v/>
      </c>
      <c r="G144" s="21" t="str">
        <f t="shared" si="76"/>
        <v/>
      </c>
      <c r="H144" s="21" t="str">
        <f t="shared" si="77"/>
        <v/>
      </c>
      <c r="I144" s="21" t="str">
        <f t="shared" si="78"/>
        <v/>
      </c>
      <c r="J144" s="21" t="str">
        <f t="shared" si="79"/>
        <v/>
      </c>
      <c r="K144" s="21" t="str">
        <f t="shared" si="80"/>
        <v/>
      </c>
      <c r="L144" s="21" t="str">
        <f t="shared" si="81"/>
        <v/>
      </c>
      <c r="M144" s="21" t="str">
        <f t="shared" si="82"/>
        <v/>
      </c>
      <c r="N144" s="21" t="str">
        <f t="shared" si="83"/>
        <v/>
      </c>
      <c r="O144" s="21" t="str">
        <f t="shared" si="84"/>
        <v/>
      </c>
      <c r="P144" s="21" t="str">
        <f t="shared" si="85"/>
        <v/>
      </c>
      <c r="Q144" s="21" t="str">
        <f t="shared" si="86"/>
        <v/>
      </c>
      <c r="R144" s="21" t="str">
        <f t="shared" si="87"/>
        <v/>
      </c>
      <c r="S144" s="21" t="str">
        <f t="shared" si="88"/>
        <v/>
      </c>
      <c r="T144" s="21" t="str">
        <f t="shared" si="89"/>
        <v/>
      </c>
      <c r="U144" s="21" t="str">
        <f t="shared" si="90"/>
        <v/>
      </c>
      <c r="V144" s="21" t="str">
        <f t="shared" si="91"/>
        <v/>
      </c>
      <c r="W144" s="21" t="str">
        <f t="shared" si="92"/>
        <v/>
      </c>
      <c r="X144" s="21" t="str">
        <f t="shared" si="93"/>
        <v/>
      </c>
      <c r="Y144" s="21" t="str">
        <f t="shared" si="94"/>
        <v/>
      </c>
      <c r="Z144" s="21" t="str">
        <f t="shared" si="95"/>
        <v/>
      </c>
      <c r="AA144" s="21" t="str">
        <f t="shared" si="96"/>
        <v/>
      </c>
      <c r="AB144" s="21" t="str">
        <f t="shared" si="97"/>
        <v/>
      </c>
      <c r="AC144" s="21" t="str">
        <f t="shared" si="98"/>
        <v/>
      </c>
      <c r="AD144" s="21" t="str">
        <f t="shared" si="99"/>
        <v/>
      </c>
      <c r="AE144" s="1">
        <f t="shared" si="100"/>
        <v>137</v>
      </c>
      <c r="AF144" s="1">
        <f t="shared" si="101"/>
        <v>0</v>
      </c>
      <c r="AG144" s="1">
        <f t="shared" si="102"/>
        <v>0</v>
      </c>
      <c r="AH144" s="1">
        <f>IF(AF144=0,0,CHOOSE(AF144,IFERROR(_xlfn.AGGREGATE(15,6,(ROW(nINT_CaseKey)-ROW(INDEX(nINT_CaseKey,1,1))+1)/((nINT_CaseKey=$H$4)*(nINT_RowEmpty=0)),AG144),0),IFERROR(_xlfn.AGGREGATE(15,6,(ROW(nQ1_CaseKey)-ROW(INDEX(nQ1_CaseKey,1,1))+1)/((nQ1_CaseKey=$H$4)),AG144),0),IFERROR(_xlfn.AGGREGATE(15,6,(ROW(nQ2_CaseKey)-ROW(INDEX(nQ2_CaseKey,1,1))+1)/((nQ2_CaseKey=$H$4)),AG144),0),IFERROR(_xlfn.AGGREGATE(15,6,(ROW(nQ3_CaseKey)-ROW(INDEX(nQ3_CaseKey,1,1))+1)/((nQ3_CaseKey=$H$4)),AG144),0),IFERROR(_xlfn.AGGREGATE(15,6,(ROW(nQ4_CaseKey)-ROW(INDEX(nQ4_CaseKey,1,1))+1)/((nQ4_CaseKey=$H$4)),AG144),0),IFERROR(_xlfn.AGGREGATE(15,6,(ROW(nQ5_CaseKey)-ROW(INDEX(nQ5_CaseKey,1,1))+1)/((nQ5_CaseKey=$H$4)),AG144),0),IFERROR(_xlfn.AGGREGATE(15,6,(ROW(nQ6_CaseKey)-ROW(INDEX(nQ6_CaseKey,1,1))+1)/((nQ6_CaseKey=$H$4)),AG144),0),IFERROR(_xlfn.AGGREGATE(15,6,(ROW(nQ7_CaseKey)-ROW(INDEX(nQ7_CaseKey,1,1))+1)/((nQ7_CaseKey=$H$4)),AG144),0),IFERROR(_xlfn.AGGREGATE(15,6,(ROW(nQ8_CaseKey)-ROW(INDEX(nQ8_CaseKey,1,1))+1)/((nQ8_CaseKey=$H$4)),AG144),0),IFERROR(_xlfn.AGGREGATE(15,6,(ROW(nQ9_CaseKey)-ROW(INDEX(nQ9_CaseKey,1,1))+1)/((nQ9_CaseKey=$H$4)),AG144),0),IFERROR(_xlfn.AGGREGATE(15,6,(ROW(nQ10_CaseKey)-ROW(INDEX(nQ10_CaseKey,1,1))+1)/((nQ10_CaseKey=$H$4)),AG144),0),IFERROR(_xlfn.AGGREGATE(15,6,(ROW(nQ11_CaseKey)-ROW(INDEX(nQ11_CaseKey,1,1))+1)/((nQ11_CaseKey=$H$4)),AG144),0)))</f>
        <v>0</v>
      </c>
      <c r="AJ144" s="1" t="str">
        <f>IF($AF144=0,"",CHOOSE($AF144,INDEX(nINT_Case_ID,$AH144)&amp;"",INDEX(nQ1_Case_ID,$AH144)&amp;"",INDEX(nQ2_Case_ID,$AH144)&amp;"",INDEX(nQ3_Case_ID,$AH144)&amp;"",INDEX(nQ4_Case_ID,$AH144)&amp;"",INDEX(nQ5_Case_ID,$AH144)&amp;"",INDEX(nQ6_Case_ID,$AH144)&amp;"",INDEX(nQ7_Case_ID,$AH144)&amp;"",INDEX(nQ8_Case_ID,$AH144)&amp;"",INDEX(nQ9_Case_ID,$AH144)&amp;"",INDEX(nQ10_Case_ID,$AH144)&amp;"",INDEX(nQ11_Case_ID,$AH144)&amp;""))</f>
        <v/>
      </c>
      <c r="AK144" s="1" t="str">
        <f>IF($AF144=0,"",CHOOSE($AF144,INDEX(nINT_Case_Version,$AH144),INDEX(nQ1_Case_Version,$AH144),INDEX(nQ2_Case_Version,$AH144),INDEX(nQ3_Case_Version,$AH144),INDEX(nQ4_Case_Version,$AH144),INDEX(nQ5_Case_Version,$AH144),INDEX(nQ6_Case_Version,$AH144),INDEX(nQ7_Case_Version,$AH144),INDEX(nQ8_Case_Version,$AH144),INDEX(nQ9_Case_Version,$AH144),INDEX(nQ10_Case_Version,$AH144),INDEX(nQ11_Case_Version,$AH144)))</f>
        <v/>
      </c>
      <c r="AL144" s="1" t="str">
        <f>IF($AF144=0,"",CHOOSE($AF144,INDEX(nINT_Interval_ID,$AH144)&amp;"",INDEX(nQ1_Calc_ID,$AH144)&amp;"",INDEX(nQ2_Calc_ID,$AH144)&amp;"",INDEX(nQ3_Calc_ID,$AH144)&amp;"",INDEX(nQ4_Calc_ID,$AH144)&amp;"",INDEX(nQ5_Calc_ID,$AH144)&amp;"",INDEX(nQ6_Calc_ID,$AH144)&amp;"",INDEX(nQ7_Calc_ID,$AH144)&amp;"",INDEX(nQ8_Calc_ID,$AH144)&amp;"",INDEX(nQ9_Calc_ID,$AH144)&amp;"",INDEX(nQ10_Calc_ID,$AH144)&amp;"",INDEX(nQ11_Calc_ID,$AH144)&amp;""))</f>
        <v/>
      </c>
      <c r="AM144" s="1" t="str">
        <f>IF($AF144=0,"",CHOOSE($AF144,INDEX(nINT_Label,$AH144)&amp;"",INDEX(nQ1_Label_Out,$AH144)&amp;"",INDEX(nQ2_Label_Out,$AH144)&amp;"",INDEX(nQ3_Label_Out,$AH144)&amp;"",INDEX(nQ4_Label_Out,$AH144)&amp;"",INDEX(nQ5_Label_Out,$AH144)&amp;"",INDEX(nQ6_Label_Out,$AH144)&amp;"",INDEX(nQ7_Label_Out,$AH144)&amp;"",INDEX(nQ8_Label_Out,$AH144)&amp;"",INDEX(nQ9_Label_Out,$AH144)&amp;"",INDEX(nQ10_Label_Out,$AH144)&amp;"",INDEX(nQ11_Label_Out,$AH144)&amp;""))</f>
        <v/>
      </c>
      <c r="AN144" s="1" t="str">
        <f>IF($AF144=0,"",CHOOSE($AF144,IF(INDEX(nINT_LinkRow,$AH144)=0,"",INDEX(nINT_Link_ID,$AH144)&amp;""),"","","","","","","","","","",""))</f>
        <v/>
      </c>
      <c r="AO144" s="1" t="str">
        <f>IF($AF144=0,"",CHOOSE($AF144,INDEX(nINT_Exposure_Episode_ID,$AH144)&amp;"","","","","","","","","","","",""))</f>
        <v/>
      </c>
      <c r="AP144" s="1" t="str">
        <f>IF($AF144=0,"",CHOOSE($AF144,INDEX(nINT_Event_Episode_ID,$AH144)&amp;"","","","","","","","","","","",""))</f>
        <v/>
      </c>
      <c r="AQ144" s="1" t="str">
        <f>IF($AF144=0,"",CHOOSE($AF144,INDEX(nINT_End_Record_ID_Used,$AH144)&amp;"","","","","","","","","","","",""))</f>
        <v/>
      </c>
      <c r="AR144" s="1" t="str">
        <f>IF($AF144=0,"",CHOOSE($AF144,INDEX(nINT_Interval_Value,$AH144),"","","","","","","","","","",""))</f>
        <v/>
      </c>
      <c r="AS144" s="1" t="str">
        <f>IF($AF144=0,"",CHOOSE($AF144,INDEX(nINT_Interval_Minimum,$AH144),"","","","","","","","","","",""))</f>
        <v/>
      </c>
      <c r="AT144" s="1" t="str">
        <f>IF($AF144=0,"",CHOOSE($AF144,INDEX(nINT_Interval_Maximum,$AH144),"","","","","","","","","","",""))</f>
        <v/>
      </c>
      <c r="AU144" s="1" t="str">
        <f>IF($AF144=0,"",CHOOSE($AF144,INDEX(nINT_Unit,$AH144)&amp;"",INDEX(nQ1_Unit_Out,$AH144)&amp;"",INDEX(nQ2_Unit_Out,$AH144)&amp;"",INDEX(nQ3_Unit_Out,$AH144)&amp;"",INDEX(nQ4_Unit_Out,$AH144)&amp;"",INDEX(nQ5_Unit_Out,$AH144)&amp;"",INDEX(nQ6_Unit_Out,$AH144)&amp;"",INDEX(nQ7_Unit_Out,$AH144)&amp;"",INDEX(nQ8_Unit_Out,$AH144)&amp;"",INDEX(nQ9_Unit_Out,$AH144)&amp;"",INDEX(nQ10_Unit_Out,$AH144)&amp;"",INDEX(nQ11_Unit_Out,$AH144)&amp;""))</f>
        <v/>
      </c>
      <c r="AV144" s="1" t="str">
        <f>IF($AF144=0,"",CHOOSE($AF144,INDEX(nINT_Displayed_Value,$AH144)&amp;"",INDEX(nQ1_Displayed_Value,$AH144)&amp;"",INDEX(nQ2_Displayed_Value,$AH144)&amp;"",INDEX(nQ3_Displayed_Value,$AH144)&amp;"",INDEX(nQ4_Displayed_Value,$AH144)&amp;"",INDEX(nQ5_Displayed_Value,$AH144)&amp;"",INDEX(nQ6_Displayed_Value,$AH144)&amp;"",INDEX(nQ7_Displayed_Value,$AH144)&amp;"",INDEX(nQ8_Displayed_Value,$AH144)&amp;"",INDEX(nQ9_Displayed_Value,$AH144)&amp;"",INDEX(nQ10_Displayed_Value,$AH144)&amp;"",INDEX(nQ11_Displayed_Value,$AH144)&amp;""))</f>
        <v/>
      </c>
      <c r="AW144" s="1" t="str">
        <f>IF($AF144=0,"",CHOOSE($AF144,INDEX(nINT_Calculation_Mode_Used,$AH144)&amp;"","Q1","Q2","Q3","Q4","Q5","Q6","Q7","Q8","Q9","Q10","Q11"))</f>
        <v/>
      </c>
      <c r="AX144" s="1" t="str">
        <f>IF($AF144=0,"",CHOOSE($AF144,INDEX(nINT_Anchor_Type,$AH144)&amp;"","","","","","","","","","","",""))</f>
        <v/>
      </c>
      <c r="AY144" s="1" t="str">
        <f>IF($AF144=0,"",CHOOSE($AF144,IF(INDEX(nINT_K_Ok,$AH144)=1,INDEX(nINT_Anchor_Record_ID_Used,$AH144)&amp;"",""),"","","","","","","","","","",""))</f>
        <v/>
      </c>
      <c r="AZ144" s="1" t="str">
        <f>IF($AF144=0,"",CHOOSE($AF144,INDEX(nINT_Anchor_Description,$AH144)&amp;"","","","","","","","","","","",""))</f>
        <v/>
      </c>
      <c r="BA144" s="1" t="str">
        <f>IF($AF144=0,"",CHOOSE($AF144,INDEX(nINT_Sequence_Status,$AH144)&amp;"","","","","","","","","","","",""))</f>
        <v/>
      </c>
      <c r="BB144" s="1" t="str">
        <f>IF($AF144=0,"",CHOOSE($AF144,INDEX(nINT_Treatment_Day,$AH144),"","","","","","","","","","",""))</f>
        <v/>
      </c>
      <c r="BC144" s="1" t="str">
        <f>IF($AF144=0,"",CHOOSE($AF144,INDEX(nINT_Reported_Timing_Result,$AH144)&amp;"","","","","","","","","","","",""))</f>
        <v/>
      </c>
      <c r="BD144" s="1" t="str">
        <f>IF($AF144=0,"",CHOOSE($AF144,IF(INDEX(nINT_K_HasC,$AH144)=1,INDEX(nINT_Constraint_Source,$AH144)&amp;"",""),"","","","","","","","","","",""))</f>
        <v/>
      </c>
      <c r="BE144" s="1" t="str">
        <f>IF($AF144=0,"",CHOOSE($AF144,"",INDEX(nQ1_Results_Text,$AH144)&amp;"",INDEX(nQ2_Results_Text,$AH144)&amp;"",INDEX(nQ3_Results_Text,$AH144)&amp;"",INDEX(nQ4_Results_Text,$AH144)&amp;"",INDEX(nQ5_Results_Text,$AH144)&amp;"",INDEX(nQ6_Results_Text,$AH144)&amp;"",INDEX(nQ7_Results_Text,$AH144)&amp;"",INDEX(nQ8_Results_Text,$AH144)&amp;"",INDEX(nQ9_Results_Text,$AH144)&amp;"",INDEX(nQ10_Results_Text,$AH144)&amp;"",INDEX(nQ11_Results_Text,$AH144)&amp;""))</f>
        <v/>
      </c>
      <c r="BF144" s="1" t="str">
        <f>IF($AF144=0,"",CHOOSE($AF144,INDEX(nINT_Parameter_Set,$AH144)&amp;"",INDEX(nQ1_Parameter_Set,$AH144)&amp;"",INDEX(nQ2_Parameter_Set,$AH144)&amp;"",INDEX(nQ3_Parameter_Set,$AH144)&amp;"",INDEX(nQ4_Parameter_Set,$AH144)&amp;"",INDEX(nQ5_Parameter_Set,$AH144)&amp;"",INDEX(nQ6_Parameter_Set,$AH144)&amp;"",INDEX(nQ7_Parameter_Set,$AH144)&amp;"",INDEX(nQ8_Parameter_Set,$AH144)&amp;"",INDEX(nQ9_Parameter_Set,$AH144)&amp;"",INDEX(nQ10_Parameter_Set,$AH144)&amp;"",INDEX(nQ11_Parameter_Set,$AH144)&amp;""))</f>
        <v/>
      </c>
      <c r="BG144" s="1" t="str">
        <f>IF($AF144=0,"",CHOOSE($AF144,INDEX(nINT_Assumptions,$AH144)&amp;"",INDEX(nQ1_Assumptions,$AH144)&amp;"",INDEX(nQ2_Assumptions,$AH144)&amp;"",INDEX(nQ3_Assumptions,$AH144)&amp;"",INDEX(nQ4_Assumptions,$AH144)&amp;"",INDEX(nQ5_Assumptions,$AH144)&amp;"",INDEX(nQ6_Assumptions,$AH144)&amp;"",INDEX(nQ7_Assumptions,$AH144)&amp;"",INDEX(nQ8_Assumptions,$AH144)&amp;"",INDEX(nQ9_Assumptions,$AH144)&amp;"",INDEX(nQ10_Assumptions,$AH144)&amp;"",INDEX(nQ11_Assumptions,$AH144)&amp;""))</f>
        <v/>
      </c>
      <c r="BH144" s="1" t="str">
        <f>IF($AF144=0,"",CHOOSE($AF144,INDEX(nINT_Calculation_Version,$AH144)&amp;"",INDEX(nQ1_Calculation_Version,$AH144)&amp;"",INDEX(nQ2_Calculation_Version,$AH144)&amp;"",INDEX(nQ3_Calculation_Version,$AH144)&amp;"",INDEX(nQ4_Calculation_Version,$AH144)&amp;"",INDEX(nQ5_Calculation_Version,$AH144)&amp;"",INDEX(nQ6_Calculation_Version,$AH144)&amp;"",INDEX(nQ7_Calculation_Version,$AH144)&amp;"",INDEX(nQ8_Calculation_Version,$AH144)&amp;"",INDEX(nQ9_Calculation_Version,$AH144)&amp;"",INDEX(nQ10_Calculation_Version,$AH144)&amp;"",INDEX(nQ11_Calculation_Version,$AH144)&amp;""))</f>
        <v/>
      </c>
      <c r="BI144" s="1" t="str">
        <f>IF($AF144=0,"",CHOOSE($AF144,INDEX(nINT_QC_Flags,$AH144)&amp;"",INDEX(nQ1_QC_Flags,$AH144)&amp;"",INDEX(nQ2_QC_Flags,$AH144)&amp;"",INDEX(nQ3_QC_Flags,$AH144)&amp;"",INDEX(nQ4_QC_Flags,$AH144)&amp;"",INDEX(nQ5_QC_Flags,$AH144)&amp;"",INDEX(nQ6_QC_Flags,$AH144)&amp;"",INDEX(nQ7_QC_Flags,$AH144)&amp;"",INDEX(nQ8_QC_Flags,$AH144)&amp;"",INDEX(nQ9_QC_Flags,$AH144)&amp;"",INDEX(nQ10_QC_Flags,$AH144)&amp;"",INDEX(nQ11_QC_Flags,$AH144)&amp;""))</f>
        <v/>
      </c>
      <c r="BJ144" s="1" t="str">
        <f>IF($AF144=0,"",CHOOSE($AF144,INDEX(nINT_Messages,$AH144)&amp;"",INDEX(nQ1_Messages,$AH144)&amp;"",INDEX(nQ2_Messages,$AH144)&amp;"",INDEX(nQ3_Messages,$AH144)&amp;"",INDEX(nQ4_Messages,$AH144)&amp;"",INDEX(nQ5_Messages,$AH144)&amp;"",INDEX(nQ6_Messages,$AH144)&amp;"",INDEX(nQ7_Messages,$AH144)&amp;"",INDEX(nQ8_Messages,$AH144)&amp;"",INDEX(nQ9_Messages,$AH144)&amp;"",INDEX(nQ10_Messages,$AH144)&amp;"",INDEX(nQ11_Messages,$AH144)&amp;""))</f>
        <v/>
      </c>
      <c r="BK144" s="1" t="str">
        <f>IF($AF144=0,"",CHOOSE($AF144,INDEX(nINT_Limitations,$AH144)&amp;"",INDEX(nQ1_Mandatory_Text,$AH144)&amp;"",INDEX(nQ2_Mandatory_Text,$AH144)&amp;"",INDEX(nQ3_Mandatory_Text,$AH144)&amp;"",INDEX(nQ4_Mandatory_Text,$AH144)&amp;"",INDEX(nQ5_Mandatory_Text,$AH144)&amp;"",INDEX(nQ6_Mandatory_Text,$AH144)&amp;"",INDEX(nQ7_Mandatory_Text,$AH144)&amp;"",INDEX(nQ8_Mandatory_Text,$AH144)&amp;"",INDEX(nQ9_Mandatory_Text,$AH144)&amp;"",INDEX(nQ10_Mandatory_Text,$AH144)&amp;"",INDEX(nQ11_Mandatory_Text,$AH144)&amp;""))</f>
        <v/>
      </c>
      <c r="BL144" s="1" t="str">
        <f t="shared" si="103"/>
        <v/>
      </c>
      <c r="BM144" s="1" t="str">
        <f t="shared" si="104"/>
        <v/>
      </c>
    </row>
    <row r="145" spans="1:65" x14ac:dyDescent="0.2">
      <c r="A145" s="21" t="str">
        <f t="shared" si="70"/>
        <v/>
      </c>
      <c r="B145" s="21" t="str">
        <f t="shared" si="71"/>
        <v/>
      </c>
      <c r="C145" s="21" t="str">
        <f t="shared" si="72"/>
        <v/>
      </c>
      <c r="D145" s="21" t="str">
        <f t="shared" si="73"/>
        <v/>
      </c>
      <c r="E145" s="21" t="str">
        <f t="shared" si="74"/>
        <v/>
      </c>
      <c r="F145" s="21" t="str">
        <f t="shared" si="75"/>
        <v/>
      </c>
      <c r="G145" s="21" t="str">
        <f t="shared" si="76"/>
        <v/>
      </c>
      <c r="H145" s="21" t="str">
        <f t="shared" si="77"/>
        <v/>
      </c>
      <c r="I145" s="21" t="str">
        <f t="shared" si="78"/>
        <v/>
      </c>
      <c r="J145" s="21" t="str">
        <f t="shared" si="79"/>
        <v/>
      </c>
      <c r="K145" s="21" t="str">
        <f t="shared" si="80"/>
        <v/>
      </c>
      <c r="L145" s="21" t="str">
        <f t="shared" si="81"/>
        <v/>
      </c>
      <c r="M145" s="21" t="str">
        <f t="shared" si="82"/>
        <v/>
      </c>
      <c r="N145" s="21" t="str">
        <f t="shared" si="83"/>
        <v/>
      </c>
      <c r="O145" s="21" t="str">
        <f t="shared" si="84"/>
        <v/>
      </c>
      <c r="P145" s="21" t="str">
        <f t="shared" si="85"/>
        <v/>
      </c>
      <c r="Q145" s="21" t="str">
        <f t="shared" si="86"/>
        <v/>
      </c>
      <c r="R145" s="21" t="str">
        <f t="shared" si="87"/>
        <v/>
      </c>
      <c r="S145" s="21" t="str">
        <f t="shared" si="88"/>
        <v/>
      </c>
      <c r="T145" s="21" t="str">
        <f t="shared" si="89"/>
        <v/>
      </c>
      <c r="U145" s="21" t="str">
        <f t="shared" si="90"/>
        <v/>
      </c>
      <c r="V145" s="21" t="str">
        <f t="shared" si="91"/>
        <v/>
      </c>
      <c r="W145" s="21" t="str">
        <f t="shared" si="92"/>
        <v/>
      </c>
      <c r="X145" s="21" t="str">
        <f t="shared" si="93"/>
        <v/>
      </c>
      <c r="Y145" s="21" t="str">
        <f t="shared" si="94"/>
        <v/>
      </c>
      <c r="Z145" s="21" t="str">
        <f t="shared" si="95"/>
        <v/>
      </c>
      <c r="AA145" s="21" t="str">
        <f t="shared" si="96"/>
        <v/>
      </c>
      <c r="AB145" s="21" t="str">
        <f t="shared" si="97"/>
        <v/>
      </c>
      <c r="AC145" s="21" t="str">
        <f t="shared" si="98"/>
        <v/>
      </c>
      <c r="AD145" s="21" t="str">
        <f t="shared" si="99"/>
        <v/>
      </c>
      <c r="AE145" s="1">
        <f t="shared" si="100"/>
        <v>138</v>
      </c>
      <c r="AF145" s="1">
        <f t="shared" si="101"/>
        <v>0</v>
      </c>
      <c r="AG145" s="1">
        <f t="shared" si="102"/>
        <v>0</v>
      </c>
      <c r="AH145" s="1">
        <f>IF(AF145=0,0,CHOOSE(AF145,IFERROR(_xlfn.AGGREGATE(15,6,(ROW(nINT_CaseKey)-ROW(INDEX(nINT_CaseKey,1,1))+1)/((nINT_CaseKey=$H$4)*(nINT_RowEmpty=0)),AG145),0),IFERROR(_xlfn.AGGREGATE(15,6,(ROW(nQ1_CaseKey)-ROW(INDEX(nQ1_CaseKey,1,1))+1)/((nQ1_CaseKey=$H$4)),AG145),0),IFERROR(_xlfn.AGGREGATE(15,6,(ROW(nQ2_CaseKey)-ROW(INDEX(nQ2_CaseKey,1,1))+1)/((nQ2_CaseKey=$H$4)),AG145),0),IFERROR(_xlfn.AGGREGATE(15,6,(ROW(nQ3_CaseKey)-ROW(INDEX(nQ3_CaseKey,1,1))+1)/((nQ3_CaseKey=$H$4)),AG145),0),IFERROR(_xlfn.AGGREGATE(15,6,(ROW(nQ4_CaseKey)-ROW(INDEX(nQ4_CaseKey,1,1))+1)/((nQ4_CaseKey=$H$4)),AG145),0),IFERROR(_xlfn.AGGREGATE(15,6,(ROW(nQ5_CaseKey)-ROW(INDEX(nQ5_CaseKey,1,1))+1)/((nQ5_CaseKey=$H$4)),AG145),0),IFERROR(_xlfn.AGGREGATE(15,6,(ROW(nQ6_CaseKey)-ROW(INDEX(nQ6_CaseKey,1,1))+1)/((nQ6_CaseKey=$H$4)),AG145),0),IFERROR(_xlfn.AGGREGATE(15,6,(ROW(nQ7_CaseKey)-ROW(INDEX(nQ7_CaseKey,1,1))+1)/((nQ7_CaseKey=$H$4)),AG145),0),IFERROR(_xlfn.AGGREGATE(15,6,(ROW(nQ8_CaseKey)-ROW(INDEX(nQ8_CaseKey,1,1))+1)/((nQ8_CaseKey=$H$4)),AG145),0),IFERROR(_xlfn.AGGREGATE(15,6,(ROW(nQ9_CaseKey)-ROW(INDEX(nQ9_CaseKey,1,1))+1)/((nQ9_CaseKey=$H$4)),AG145),0),IFERROR(_xlfn.AGGREGATE(15,6,(ROW(nQ10_CaseKey)-ROW(INDEX(nQ10_CaseKey,1,1))+1)/((nQ10_CaseKey=$H$4)),AG145),0),IFERROR(_xlfn.AGGREGATE(15,6,(ROW(nQ11_CaseKey)-ROW(INDEX(nQ11_CaseKey,1,1))+1)/((nQ11_CaseKey=$H$4)),AG145),0)))</f>
        <v>0</v>
      </c>
      <c r="AJ145" s="1" t="str">
        <f>IF($AF145=0,"",CHOOSE($AF145,INDEX(nINT_Case_ID,$AH145)&amp;"",INDEX(nQ1_Case_ID,$AH145)&amp;"",INDEX(nQ2_Case_ID,$AH145)&amp;"",INDEX(nQ3_Case_ID,$AH145)&amp;"",INDEX(nQ4_Case_ID,$AH145)&amp;"",INDEX(nQ5_Case_ID,$AH145)&amp;"",INDEX(nQ6_Case_ID,$AH145)&amp;"",INDEX(nQ7_Case_ID,$AH145)&amp;"",INDEX(nQ8_Case_ID,$AH145)&amp;"",INDEX(nQ9_Case_ID,$AH145)&amp;"",INDEX(nQ10_Case_ID,$AH145)&amp;"",INDEX(nQ11_Case_ID,$AH145)&amp;""))</f>
        <v/>
      </c>
      <c r="AK145" s="1" t="str">
        <f>IF($AF145=0,"",CHOOSE($AF145,INDEX(nINT_Case_Version,$AH145),INDEX(nQ1_Case_Version,$AH145),INDEX(nQ2_Case_Version,$AH145),INDEX(nQ3_Case_Version,$AH145),INDEX(nQ4_Case_Version,$AH145),INDEX(nQ5_Case_Version,$AH145),INDEX(nQ6_Case_Version,$AH145),INDEX(nQ7_Case_Version,$AH145),INDEX(nQ8_Case_Version,$AH145),INDEX(nQ9_Case_Version,$AH145),INDEX(nQ10_Case_Version,$AH145),INDEX(nQ11_Case_Version,$AH145)))</f>
        <v/>
      </c>
      <c r="AL145" s="1" t="str">
        <f>IF($AF145=0,"",CHOOSE($AF145,INDEX(nINT_Interval_ID,$AH145)&amp;"",INDEX(nQ1_Calc_ID,$AH145)&amp;"",INDEX(nQ2_Calc_ID,$AH145)&amp;"",INDEX(nQ3_Calc_ID,$AH145)&amp;"",INDEX(nQ4_Calc_ID,$AH145)&amp;"",INDEX(nQ5_Calc_ID,$AH145)&amp;"",INDEX(nQ6_Calc_ID,$AH145)&amp;"",INDEX(nQ7_Calc_ID,$AH145)&amp;"",INDEX(nQ8_Calc_ID,$AH145)&amp;"",INDEX(nQ9_Calc_ID,$AH145)&amp;"",INDEX(nQ10_Calc_ID,$AH145)&amp;"",INDEX(nQ11_Calc_ID,$AH145)&amp;""))</f>
        <v/>
      </c>
      <c r="AM145" s="1" t="str">
        <f>IF($AF145=0,"",CHOOSE($AF145,INDEX(nINT_Label,$AH145)&amp;"",INDEX(nQ1_Label_Out,$AH145)&amp;"",INDEX(nQ2_Label_Out,$AH145)&amp;"",INDEX(nQ3_Label_Out,$AH145)&amp;"",INDEX(nQ4_Label_Out,$AH145)&amp;"",INDEX(nQ5_Label_Out,$AH145)&amp;"",INDEX(nQ6_Label_Out,$AH145)&amp;"",INDEX(nQ7_Label_Out,$AH145)&amp;"",INDEX(nQ8_Label_Out,$AH145)&amp;"",INDEX(nQ9_Label_Out,$AH145)&amp;"",INDEX(nQ10_Label_Out,$AH145)&amp;"",INDEX(nQ11_Label_Out,$AH145)&amp;""))</f>
        <v/>
      </c>
      <c r="AN145" s="1" t="str">
        <f>IF($AF145=0,"",CHOOSE($AF145,IF(INDEX(nINT_LinkRow,$AH145)=0,"",INDEX(nINT_Link_ID,$AH145)&amp;""),"","","","","","","","","","",""))</f>
        <v/>
      </c>
      <c r="AO145" s="1" t="str">
        <f>IF($AF145=0,"",CHOOSE($AF145,INDEX(nINT_Exposure_Episode_ID,$AH145)&amp;"","","","","","","","","","","",""))</f>
        <v/>
      </c>
      <c r="AP145" s="1" t="str">
        <f>IF($AF145=0,"",CHOOSE($AF145,INDEX(nINT_Event_Episode_ID,$AH145)&amp;"","","","","","","","","","","",""))</f>
        <v/>
      </c>
      <c r="AQ145" s="1" t="str">
        <f>IF($AF145=0,"",CHOOSE($AF145,INDEX(nINT_End_Record_ID_Used,$AH145)&amp;"","","","","","","","","","","",""))</f>
        <v/>
      </c>
      <c r="AR145" s="1" t="str">
        <f>IF($AF145=0,"",CHOOSE($AF145,INDEX(nINT_Interval_Value,$AH145),"","","","","","","","","","",""))</f>
        <v/>
      </c>
      <c r="AS145" s="1" t="str">
        <f>IF($AF145=0,"",CHOOSE($AF145,INDEX(nINT_Interval_Minimum,$AH145),"","","","","","","","","","",""))</f>
        <v/>
      </c>
      <c r="AT145" s="1" t="str">
        <f>IF($AF145=0,"",CHOOSE($AF145,INDEX(nINT_Interval_Maximum,$AH145),"","","","","","","","","","",""))</f>
        <v/>
      </c>
      <c r="AU145" s="1" t="str">
        <f>IF($AF145=0,"",CHOOSE($AF145,INDEX(nINT_Unit,$AH145)&amp;"",INDEX(nQ1_Unit_Out,$AH145)&amp;"",INDEX(nQ2_Unit_Out,$AH145)&amp;"",INDEX(nQ3_Unit_Out,$AH145)&amp;"",INDEX(nQ4_Unit_Out,$AH145)&amp;"",INDEX(nQ5_Unit_Out,$AH145)&amp;"",INDEX(nQ6_Unit_Out,$AH145)&amp;"",INDEX(nQ7_Unit_Out,$AH145)&amp;"",INDEX(nQ8_Unit_Out,$AH145)&amp;"",INDEX(nQ9_Unit_Out,$AH145)&amp;"",INDEX(nQ10_Unit_Out,$AH145)&amp;"",INDEX(nQ11_Unit_Out,$AH145)&amp;""))</f>
        <v/>
      </c>
      <c r="AV145" s="1" t="str">
        <f>IF($AF145=0,"",CHOOSE($AF145,INDEX(nINT_Displayed_Value,$AH145)&amp;"",INDEX(nQ1_Displayed_Value,$AH145)&amp;"",INDEX(nQ2_Displayed_Value,$AH145)&amp;"",INDEX(nQ3_Displayed_Value,$AH145)&amp;"",INDEX(nQ4_Displayed_Value,$AH145)&amp;"",INDEX(nQ5_Displayed_Value,$AH145)&amp;"",INDEX(nQ6_Displayed_Value,$AH145)&amp;"",INDEX(nQ7_Displayed_Value,$AH145)&amp;"",INDEX(nQ8_Displayed_Value,$AH145)&amp;"",INDEX(nQ9_Displayed_Value,$AH145)&amp;"",INDEX(nQ10_Displayed_Value,$AH145)&amp;"",INDEX(nQ11_Displayed_Value,$AH145)&amp;""))</f>
        <v/>
      </c>
      <c r="AW145" s="1" t="str">
        <f>IF($AF145=0,"",CHOOSE($AF145,INDEX(nINT_Calculation_Mode_Used,$AH145)&amp;"","Q1","Q2","Q3","Q4","Q5","Q6","Q7","Q8","Q9","Q10","Q11"))</f>
        <v/>
      </c>
      <c r="AX145" s="1" t="str">
        <f>IF($AF145=0,"",CHOOSE($AF145,INDEX(nINT_Anchor_Type,$AH145)&amp;"","","","","","","","","","","",""))</f>
        <v/>
      </c>
      <c r="AY145" s="1" t="str">
        <f>IF($AF145=0,"",CHOOSE($AF145,IF(INDEX(nINT_K_Ok,$AH145)=1,INDEX(nINT_Anchor_Record_ID_Used,$AH145)&amp;"",""),"","","","","","","","","","",""))</f>
        <v/>
      </c>
      <c r="AZ145" s="1" t="str">
        <f>IF($AF145=0,"",CHOOSE($AF145,INDEX(nINT_Anchor_Description,$AH145)&amp;"","","","","","","","","","","",""))</f>
        <v/>
      </c>
      <c r="BA145" s="1" t="str">
        <f>IF($AF145=0,"",CHOOSE($AF145,INDEX(nINT_Sequence_Status,$AH145)&amp;"","","","","","","","","","","",""))</f>
        <v/>
      </c>
      <c r="BB145" s="1" t="str">
        <f>IF($AF145=0,"",CHOOSE($AF145,INDEX(nINT_Treatment_Day,$AH145),"","","","","","","","","","",""))</f>
        <v/>
      </c>
      <c r="BC145" s="1" t="str">
        <f>IF($AF145=0,"",CHOOSE($AF145,INDEX(nINT_Reported_Timing_Result,$AH145)&amp;"","","","","","","","","","","",""))</f>
        <v/>
      </c>
      <c r="BD145" s="1" t="str">
        <f>IF($AF145=0,"",CHOOSE($AF145,IF(INDEX(nINT_K_HasC,$AH145)=1,INDEX(nINT_Constraint_Source,$AH145)&amp;"",""),"","","","","","","","","","",""))</f>
        <v/>
      </c>
      <c r="BE145" s="1" t="str">
        <f>IF($AF145=0,"",CHOOSE($AF145,"",INDEX(nQ1_Results_Text,$AH145)&amp;"",INDEX(nQ2_Results_Text,$AH145)&amp;"",INDEX(nQ3_Results_Text,$AH145)&amp;"",INDEX(nQ4_Results_Text,$AH145)&amp;"",INDEX(nQ5_Results_Text,$AH145)&amp;"",INDEX(nQ6_Results_Text,$AH145)&amp;"",INDEX(nQ7_Results_Text,$AH145)&amp;"",INDEX(nQ8_Results_Text,$AH145)&amp;"",INDEX(nQ9_Results_Text,$AH145)&amp;"",INDEX(nQ10_Results_Text,$AH145)&amp;"",INDEX(nQ11_Results_Text,$AH145)&amp;""))</f>
        <v/>
      </c>
      <c r="BF145" s="1" t="str">
        <f>IF($AF145=0,"",CHOOSE($AF145,INDEX(nINT_Parameter_Set,$AH145)&amp;"",INDEX(nQ1_Parameter_Set,$AH145)&amp;"",INDEX(nQ2_Parameter_Set,$AH145)&amp;"",INDEX(nQ3_Parameter_Set,$AH145)&amp;"",INDEX(nQ4_Parameter_Set,$AH145)&amp;"",INDEX(nQ5_Parameter_Set,$AH145)&amp;"",INDEX(nQ6_Parameter_Set,$AH145)&amp;"",INDEX(nQ7_Parameter_Set,$AH145)&amp;"",INDEX(nQ8_Parameter_Set,$AH145)&amp;"",INDEX(nQ9_Parameter_Set,$AH145)&amp;"",INDEX(nQ10_Parameter_Set,$AH145)&amp;"",INDEX(nQ11_Parameter_Set,$AH145)&amp;""))</f>
        <v/>
      </c>
      <c r="BG145" s="1" t="str">
        <f>IF($AF145=0,"",CHOOSE($AF145,INDEX(nINT_Assumptions,$AH145)&amp;"",INDEX(nQ1_Assumptions,$AH145)&amp;"",INDEX(nQ2_Assumptions,$AH145)&amp;"",INDEX(nQ3_Assumptions,$AH145)&amp;"",INDEX(nQ4_Assumptions,$AH145)&amp;"",INDEX(nQ5_Assumptions,$AH145)&amp;"",INDEX(nQ6_Assumptions,$AH145)&amp;"",INDEX(nQ7_Assumptions,$AH145)&amp;"",INDEX(nQ8_Assumptions,$AH145)&amp;"",INDEX(nQ9_Assumptions,$AH145)&amp;"",INDEX(nQ10_Assumptions,$AH145)&amp;"",INDEX(nQ11_Assumptions,$AH145)&amp;""))</f>
        <v/>
      </c>
      <c r="BH145" s="1" t="str">
        <f>IF($AF145=0,"",CHOOSE($AF145,INDEX(nINT_Calculation_Version,$AH145)&amp;"",INDEX(nQ1_Calculation_Version,$AH145)&amp;"",INDEX(nQ2_Calculation_Version,$AH145)&amp;"",INDEX(nQ3_Calculation_Version,$AH145)&amp;"",INDEX(nQ4_Calculation_Version,$AH145)&amp;"",INDEX(nQ5_Calculation_Version,$AH145)&amp;"",INDEX(nQ6_Calculation_Version,$AH145)&amp;"",INDEX(nQ7_Calculation_Version,$AH145)&amp;"",INDEX(nQ8_Calculation_Version,$AH145)&amp;"",INDEX(nQ9_Calculation_Version,$AH145)&amp;"",INDEX(nQ10_Calculation_Version,$AH145)&amp;"",INDEX(nQ11_Calculation_Version,$AH145)&amp;""))</f>
        <v/>
      </c>
      <c r="BI145" s="1" t="str">
        <f>IF($AF145=0,"",CHOOSE($AF145,INDEX(nINT_QC_Flags,$AH145)&amp;"",INDEX(nQ1_QC_Flags,$AH145)&amp;"",INDEX(nQ2_QC_Flags,$AH145)&amp;"",INDEX(nQ3_QC_Flags,$AH145)&amp;"",INDEX(nQ4_QC_Flags,$AH145)&amp;"",INDEX(nQ5_QC_Flags,$AH145)&amp;"",INDEX(nQ6_QC_Flags,$AH145)&amp;"",INDEX(nQ7_QC_Flags,$AH145)&amp;"",INDEX(nQ8_QC_Flags,$AH145)&amp;"",INDEX(nQ9_QC_Flags,$AH145)&amp;"",INDEX(nQ10_QC_Flags,$AH145)&amp;"",INDEX(nQ11_QC_Flags,$AH145)&amp;""))</f>
        <v/>
      </c>
      <c r="BJ145" s="1" t="str">
        <f>IF($AF145=0,"",CHOOSE($AF145,INDEX(nINT_Messages,$AH145)&amp;"",INDEX(nQ1_Messages,$AH145)&amp;"",INDEX(nQ2_Messages,$AH145)&amp;"",INDEX(nQ3_Messages,$AH145)&amp;"",INDEX(nQ4_Messages,$AH145)&amp;"",INDEX(nQ5_Messages,$AH145)&amp;"",INDEX(nQ6_Messages,$AH145)&amp;"",INDEX(nQ7_Messages,$AH145)&amp;"",INDEX(nQ8_Messages,$AH145)&amp;"",INDEX(nQ9_Messages,$AH145)&amp;"",INDEX(nQ10_Messages,$AH145)&amp;"",INDEX(nQ11_Messages,$AH145)&amp;""))</f>
        <v/>
      </c>
      <c r="BK145" s="1" t="str">
        <f>IF($AF145=0,"",CHOOSE($AF145,INDEX(nINT_Limitations,$AH145)&amp;"",INDEX(nQ1_Mandatory_Text,$AH145)&amp;"",INDEX(nQ2_Mandatory_Text,$AH145)&amp;"",INDEX(nQ3_Mandatory_Text,$AH145)&amp;"",INDEX(nQ4_Mandatory_Text,$AH145)&amp;"",INDEX(nQ5_Mandatory_Text,$AH145)&amp;"",INDEX(nQ6_Mandatory_Text,$AH145)&amp;"",INDEX(nQ7_Mandatory_Text,$AH145)&amp;"",INDEX(nQ8_Mandatory_Text,$AH145)&amp;"",INDEX(nQ9_Mandatory_Text,$AH145)&amp;"",INDEX(nQ10_Mandatory_Text,$AH145)&amp;"",INDEX(nQ11_Mandatory_Text,$AH145)&amp;""))</f>
        <v/>
      </c>
      <c r="BL145" s="1" t="str">
        <f t="shared" si="103"/>
        <v/>
      </c>
      <c r="BM145" s="1" t="str">
        <f t="shared" si="104"/>
        <v/>
      </c>
    </row>
    <row r="146" spans="1:65" x14ac:dyDescent="0.2">
      <c r="A146" s="21" t="str">
        <f t="shared" si="70"/>
        <v/>
      </c>
      <c r="B146" s="21" t="str">
        <f t="shared" si="71"/>
        <v/>
      </c>
      <c r="C146" s="21" t="str">
        <f t="shared" si="72"/>
        <v/>
      </c>
      <c r="D146" s="21" t="str">
        <f t="shared" si="73"/>
        <v/>
      </c>
      <c r="E146" s="21" t="str">
        <f t="shared" si="74"/>
        <v/>
      </c>
      <c r="F146" s="21" t="str">
        <f t="shared" si="75"/>
        <v/>
      </c>
      <c r="G146" s="21" t="str">
        <f t="shared" si="76"/>
        <v/>
      </c>
      <c r="H146" s="21" t="str">
        <f t="shared" si="77"/>
        <v/>
      </c>
      <c r="I146" s="21" t="str">
        <f t="shared" si="78"/>
        <v/>
      </c>
      <c r="J146" s="21" t="str">
        <f t="shared" si="79"/>
        <v/>
      </c>
      <c r="K146" s="21" t="str">
        <f t="shared" si="80"/>
        <v/>
      </c>
      <c r="L146" s="21" t="str">
        <f t="shared" si="81"/>
        <v/>
      </c>
      <c r="M146" s="21" t="str">
        <f t="shared" si="82"/>
        <v/>
      </c>
      <c r="N146" s="21" t="str">
        <f t="shared" si="83"/>
        <v/>
      </c>
      <c r="O146" s="21" t="str">
        <f t="shared" si="84"/>
        <v/>
      </c>
      <c r="P146" s="21" t="str">
        <f t="shared" si="85"/>
        <v/>
      </c>
      <c r="Q146" s="21" t="str">
        <f t="shared" si="86"/>
        <v/>
      </c>
      <c r="R146" s="21" t="str">
        <f t="shared" si="87"/>
        <v/>
      </c>
      <c r="S146" s="21" t="str">
        <f t="shared" si="88"/>
        <v/>
      </c>
      <c r="T146" s="21" t="str">
        <f t="shared" si="89"/>
        <v/>
      </c>
      <c r="U146" s="21" t="str">
        <f t="shared" si="90"/>
        <v/>
      </c>
      <c r="V146" s="21" t="str">
        <f t="shared" si="91"/>
        <v/>
      </c>
      <c r="W146" s="21" t="str">
        <f t="shared" si="92"/>
        <v/>
      </c>
      <c r="X146" s="21" t="str">
        <f t="shared" si="93"/>
        <v/>
      </c>
      <c r="Y146" s="21" t="str">
        <f t="shared" si="94"/>
        <v/>
      </c>
      <c r="Z146" s="21" t="str">
        <f t="shared" si="95"/>
        <v/>
      </c>
      <c r="AA146" s="21" t="str">
        <f t="shared" si="96"/>
        <v/>
      </c>
      <c r="AB146" s="21" t="str">
        <f t="shared" si="97"/>
        <v/>
      </c>
      <c r="AC146" s="21" t="str">
        <f t="shared" si="98"/>
        <v/>
      </c>
      <c r="AD146" s="21" t="str">
        <f t="shared" si="99"/>
        <v/>
      </c>
      <c r="AE146" s="1">
        <f t="shared" si="100"/>
        <v>139</v>
      </c>
      <c r="AF146" s="1">
        <f t="shared" si="101"/>
        <v>0</v>
      </c>
      <c r="AG146" s="1">
        <f t="shared" si="102"/>
        <v>0</v>
      </c>
      <c r="AH146" s="1">
        <f>IF(AF146=0,0,CHOOSE(AF146,IFERROR(_xlfn.AGGREGATE(15,6,(ROW(nINT_CaseKey)-ROW(INDEX(nINT_CaseKey,1,1))+1)/((nINT_CaseKey=$H$4)*(nINT_RowEmpty=0)),AG146),0),IFERROR(_xlfn.AGGREGATE(15,6,(ROW(nQ1_CaseKey)-ROW(INDEX(nQ1_CaseKey,1,1))+1)/((nQ1_CaseKey=$H$4)),AG146),0),IFERROR(_xlfn.AGGREGATE(15,6,(ROW(nQ2_CaseKey)-ROW(INDEX(nQ2_CaseKey,1,1))+1)/((nQ2_CaseKey=$H$4)),AG146),0),IFERROR(_xlfn.AGGREGATE(15,6,(ROW(nQ3_CaseKey)-ROW(INDEX(nQ3_CaseKey,1,1))+1)/((nQ3_CaseKey=$H$4)),AG146),0),IFERROR(_xlfn.AGGREGATE(15,6,(ROW(nQ4_CaseKey)-ROW(INDEX(nQ4_CaseKey,1,1))+1)/((nQ4_CaseKey=$H$4)),AG146),0),IFERROR(_xlfn.AGGREGATE(15,6,(ROW(nQ5_CaseKey)-ROW(INDEX(nQ5_CaseKey,1,1))+1)/((nQ5_CaseKey=$H$4)),AG146),0),IFERROR(_xlfn.AGGREGATE(15,6,(ROW(nQ6_CaseKey)-ROW(INDEX(nQ6_CaseKey,1,1))+1)/((nQ6_CaseKey=$H$4)),AG146),0),IFERROR(_xlfn.AGGREGATE(15,6,(ROW(nQ7_CaseKey)-ROW(INDEX(nQ7_CaseKey,1,1))+1)/((nQ7_CaseKey=$H$4)),AG146),0),IFERROR(_xlfn.AGGREGATE(15,6,(ROW(nQ8_CaseKey)-ROW(INDEX(nQ8_CaseKey,1,1))+1)/((nQ8_CaseKey=$H$4)),AG146),0),IFERROR(_xlfn.AGGREGATE(15,6,(ROW(nQ9_CaseKey)-ROW(INDEX(nQ9_CaseKey,1,1))+1)/((nQ9_CaseKey=$H$4)),AG146),0),IFERROR(_xlfn.AGGREGATE(15,6,(ROW(nQ10_CaseKey)-ROW(INDEX(nQ10_CaseKey,1,1))+1)/((nQ10_CaseKey=$H$4)),AG146),0),IFERROR(_xlfn.AGGREGATE(15,6,(ROW(nQ11_CaseKey)-ROW(INDEX(nQ11_CaseKey,1,1))+1)/((nQ11_CaseKey=$H$4)),AG146),0)))</f>
        <v>0</v>
      </c>
      <c r="AJ146" s="1" t="str">
        <f>IF($AF146=0,"",CHOOSE($AF146,INDEX(nINT_Case_ID,$AH146)&amp;"",INDEX(nQ1_Case_ID,$AH146)&amp;"",INDEX(nQ2_Case_ID,$AH146)&amp;"",INDEX(nQ3_Case_ID,$AH146)&amp;"",INDEX(nQ4_Case_ID,$AH146)&amp;"",INDEX(nQ5_Case_ID,$AH146)&amp;"",INDEX(nQ6_Case_ID,$AH146)&amp;"",INDEX(nQ7_Case_ID,$AH146)&amp;"",INDEX(nQ8_Case_ID,$AH146)&amp;"",INDEX(nQ9_Case_ID,$AH146)&amp;"",INDEX(nQ10_Case_ID,$AH146)&amp;"",INDEX(nQ11_Case_ID,$AH146)&amp;""))</f>
        <v/>
      </c>
      <c r="AK146" s="1" t="str">
        <f>IF($AF146=0,"",CHOOSE($AF146,INDEX(nINT_Case_Version,$AH146),INDEX(nQ1_Case_Version,$AH146),INDEX(nQ2_Case_Version,$AH146),INDEX(nQ3_Case_Version,$AH146),INDEX(nQ4_Case_Version,$AH146),INDEX(nQ5_Case_Version,$AH146),INDEX(nQ6_Case_Version,$AH146),INDEX(nQ7_Case_Version,$AH146),INDEX(nQ8_Case_Version,$AH146),INDEX(nQ9_Case_Version,$AH146),INDEX(nQ10_Case_Version,$AH146),INDEX(nQ11_Case_Version,$AH146)))</f>
        <v/>
      </c>
      <c r="AL146" s="1" t="str">
        <f>IF($AF146=0,"",CHOOSE($AF146,INDEX(nINT_Interval_ID,$AH146)&amp;"",INDEX(nQ1_Calc_ID,$AH146)&amp;"",INDEX(nQ2_Calc_ID,$AH146)&amp;"",INDEX(nQ3_Calc_ID,$AH146)&amp;"",INDEX(nQ4_Calc_ID,$AH146)&amp;"",INDEX(nQ5_Calc_ID,$AH146)&amp;"",INDEX(nQ6_Calc_ID,$AH146)&amp;"",INDEX(nQ7_Calc_ID,$AH146)&amp;"",INDEX(nQ8_Calc_ID,$AH146)&amp;"",INDEX(nQ9_Calc_ID,$AH146)&amp;"",INDEX(nQ10_Calc_ID,$AH146)&amp;"",INDEX(nQ11_Calc_ID,$AH146)&amp;""))</f>
        <v/>
      </c>
      <c r="AM146" s="1" t="str">
        <f>IF($AF146=0,"",CHOOSE($AF146,INDEX(nINT_Label,$AH146)&amp;"",INDEX(nQ1_Label_Out,$AH146)&amp;"",INDEX(nQ2_Label_Out,$AH146)&amp;"",INDEX(nQ3_Label_Out,$AH146)&amp;"",INDEX(nQ4_Label_Out,$AH146)&amp;"",INDEX(nQ5_Label_Out,$AH146)&amp;"",INDEX(nQ6_Label_Out,$AH146)&amp;"",INDEX(nQ7_Label_Out,$AH146)&amp;"",INDEX(nQ8_Label_Out,$AH146)&amp;"",INDEX(nQ9_Label_Out,$AH146)&amp;"",INDEX(nQ10_Label_Out,$AH146)&amp;"",INDEX(nQ11_Label_Out,$AH146)&amp;""))</f>
        <v/>
      </c>
      <c r="AN146" s="1" t="str">
        <f>IF($AF146=0,"",CHOOSE($AF146,IF(INDEX(nINT_LinkRow,$AH146)=0,"",INDEX(nINT_Link_ID,$AH146)&amp;""),"","","","","","","","","","",""))</f>
        <v/>
      </c>
      <c r="AO146" s="1" t="str">
        <f>IF($AF146=0,"",CHOOSE($AF146,INDEX(nINT_Exposure_Episode_ID,$AH146)&amp;"","","","","","","","","","","",""))</f>
        <v/>
      </c>
      <c r="AP146" s="1" t="str">
        <f>IF($AF146=0,"",CHOOSE($AF146,INDEX(nINT_Event_Episode_ID,$AH146)&amp;"","","","","","","","","","","",""))</f>
        <v/>
      </c>
      <c r="AQ146" s="1" t="str">
        <f>IF($AF146=0,"",CHOOSE($AF146,INDEX(nINT_End_Record_ID_Used,$AH146)&amp;"","","","","","","","","","","",""))</f>
        <v/>
      </c>
      <c r="AR146" s="1" t="str">
        <f>IF($AF146=0,"",CHOOSE($AF146,INDEX(nINT_Interval_Value,$AH146),"","","","","","","","","","",""))</f>
        <v/>
      </c>
      <c r="AS146" s="1" t="str">
        <f>IF($AF146=0,"",CHOOSE($AF146,INDEX(nINT_Interval_Minimum,$AH146),"","","","","","","","","","",""))</f>
        <v/>
      </c>
      <c r="AT146" s="1" t="str">
        <f>IF($AF146=0,"",CHOOSE($AF146,INDEX(nINT_Interval_Maximum,$AH146),"","","","","","","","","","",""))</f>
        <v/>
      </c>
      <c r="AU146" s="1" t="str">
        <f>IF($AF146=0,"",CHOOSE($AF146,INDEX(nINT_Unit,$AH146)&amp;"",INDEX(nQ1_Unit_Out,$AH146)&amp;"",INDEX(nQ2_Unit_Out,$AH146)&amp;"",INDEX(nQ3_Unit_Out,$AH146)&amp;"",INDEX(nQ4_Unit_Out,$AH146)&amp;"",INDEX(nQ5_Unit_Out,$AH146)&amp;"",INDEX(nQ6_Unit_Out,$AH146)&amp;"",INDEX(nQ7_Unit_Out,$AH146)&amp;"",INDEX(nQ8_Unit_Out,$AH146)&amp;"",INDEX(nQ9_Unit_Out,$AH146)&amp;"",INDEX(nQ10_Unit_Out,$AH146)&amp;"",INDEX(nQ11_Unit_Out,$AH146)&amp;""))</f>
        <v/>
      </c>
      <c r="AV146" s="1" t="str">
        <f>IF($AF146=0,"",CHOOSE($AF146,INDEX(nINT_Displayed_Value,$AH146)&amp;"",INDEX(nQ1_Displayed_Value,$AH146)&amp;"",INDEX(nQ2_Displayed_Value,$AH146)&amp;"",INDEX(nQ3_Displayed_Value,$AH146)&amp;"",INDEX(nQ4_Displayed_Value,$AH146)&amp;"",INDEX(nQ5_Displayed_Value,$AH146)&amp;"",INDEX(nQ6_Displayed_Value,$AH146)&amp;"",INDEX(nQ7_Displayed_Value,$AH146)&amp;"",INDEX(nQ8_Displayed_Value,$AH146)&amp;"",INDEX(nQ9_Displayed_Value,$AH146)&amp;"",INDEX(nQ10_Displayed_Value,$AH146)&amp;"",INDEX(nQ11_Displayed_Value,$AH146)&amp;""))</f>
        <v/>
      </c>
      <c r="AW146" s="1" t="str">
        <f>IF($AF146=0,"",CHOOSE($AF146,INDEX(nINT_Calculation_Mode_Used,$AH146)&amp;"","Q1","Q2","Q3","Q4","Q5","Q6","Q7","Q8","Q9","Q10","Q11"))</f>
        <v/>
      </c>
      <c r="AX146" s="1" t="str">
        <f>IF($AF146=0,"",CHOOSE($AF146,INDEX(nINT_Anchor_Type,$AH146)&amp;"","","","","","","","","","","",""))</f>
        <v/>
      </c>
      <c r="AY146" s="1" t="str">
        <f>IF($AF146=0,"",CHOOSE($AF146,IF(INDEX(nINT_K_Ok,$AH146)=1,INDEX(nINT_Anchor_Record_ID_Used,$AH146)&amp;"",""),"","","","","","","","","","",""))</f>
        <v/>
      </c>
      <c r="AZ146" s="1" t="str">
        <f>IF($AF146=0,"",CHOOSE($AF146,INDEX(nINT_Anchor_Description,$AH146)&amp;"","","","","","","","","","","",""))</f>
        <v/>
      </c>
      <c r="BA146" s="1" t="str">
        <f>IF($AF146=0,"",CHOOSE($AF146,INDEX(nINT_Sequence_Status,$AH146)&amp;"","","","","","","","","","","",""))</f>
        <v/>
      </c>
      <c r="BB146" s="1" t="str">
        <f>IF($AF146=0,"",CHOOSE($AF146,INDEX(nINT_Treatment_Day,$AH146),"","","","","","","","","","",""))</f>
        <v/>
      </c>
      <c r="BC146" s="1" t="str">
        <f>IF($AF146=0,"",CHOOSE($AF146,INDEX(nINT_Reported_Timing_Result,$AH146)&amp;"","","","","","","","","","","",""))</f>
        <v/>
      </c>
      <c r="BD146" s="1" t="str">
        <f>IF($AF146=0,"",CHOOSE($AF146,IF(INDEX(nINT_K_HasC,$AH146)=1,INDEX(nINT_Constraint_Source,$AH146)&amp;"",""),"","","","","","","","","","",""))</f>
        <v/>
      </c>
      <c r="BE146" s="1" t="str">
        <f>IF($AF146=0,"",CHOOSE($AF146,"",INDEX(nQ1_Results_Text,$AH146)&amp;"",INDEX(nQ2_Results_Text,$AH146)&amp;"",INDEX(nQ3_Results_Text,$AH146)&amp;"",INDEX(nQ4_Results_Text,$AH146)&amp;"",INDEX(nQ5_Results_Text,$AH146)&amp;"",INDEX(nQ6_Results_Text,$AH146)&amp;"",INDEX(nQ7_Results_Text,$AH146)&amp;"",INDEX(nQ8_Results_Text,$AH146)&amp;"",INDEX(nQ9_Results_Text,$AH146)&amp;"",INDEX(nQ10_Results_Text,$AH146)&amp;"",INDEX(nQ11_Results_Text,$AH146)&amp;""))</f>
        <v/>
      </c>
      <c r="BF146" s="1" t="str">
        <f>IF($AF146=0,"",CHOOSE($AF146,INDEX(nINT_Parameter_Set,$AH146)&amp;"",INDEX(nQ1_Parameter_Set,$AH146)&amp;"",INDEX(nQ2_Parameter_Set,$AH146)&amp;"",INDEX(nQ3_Parameter_Set,$AH146)&amp;"",INDEX(nQ4_Parameter_Set,$AH146)&amp;"",INDEX(nQ5_Parameter_Set,$AH146)&amp;"",INDEX(nQ6_Parameter_Set,$AH146)&amp;"",INDEX(nQ7_Parameter_Set,$AH146)&amp;"",INDEX(nQ8_Parameter_Set,$AH146)&amp;"",INDEX(nQ9_Parameter_Set,$AH146)&amp;"",INDEX(nQ10_Parameter_Set,$AH146)&amp;"",INDEX(nQ11_Parameter_Set,$AH146)&amp;""))</f>
        <v/>
      </c>
      <c r="BG146" s="1" t="str">
        <f>IF($AF146=0,"",CHOOSE($AF146,INDEX(nINT_Assumptions,$AH146)&amp;"",INDEX(nQ1_Assumptions,$AH146)&amp;"",INDEX(nQ2_Assumptions,$AH146)&amp;"",INDEX(nQ3_Assumptions,$AH146)&amp;"",INDEX(nQ4_Assumptions,$AH146)&amp;"",INDEX(nQ5_Assumptions,$AH146)&amp;"",INDEX(nQ6_Assumptions,$AH146)&amp;"",INDEX(nQ7_Assumptions,$AH146)&amp;"",INDEX(nQ8_Assumptions,$AH146)&amp;"",INDEX(nQ9_Assumptions,$AH146)&amp;"",INDEX(nQ10_Assumptions,$AH146)&amp;"",INDEX(nQ11_Assumptions,$AH146)&amp;""))</f>
        <v/>
      </c>
      <c r="BH146" s="1" t="str">
        <f>IF($AF146=0,"",CHOOSE($AF146,INDEX(nINT_Calculation_Version,$AH146)&amp;"",INDEX(nQ1_Calculation_Version,$AH146)&amp;"",INDEX(nQ2_Calculation_Version,$AH146)&amp;"",INDEX(nQ3_Calculation_Version,$AH146)&amp;"",INDEX(nQ4_Calculation_Version,$AH146)&amp;"",INDEX(nQ5_Calculation_Version,$AH146)&amp;"",INDEX(nQ6_Calculation_Version,$AH146)&amp;"",INDEX(nQ7_Calculation_Version,$AH146)&amp;"",INDEX(nQ8_Calculation_Version,$AH146)&amp;"",INDEX(nQ9_Calculation_Version,$AH146)&amp;"",INDEX(nQ10_Calculation_Version,$AH146)&amp;"",INDEX(nQ11_Calculation_Version,$AH146)&amp;""))</f>
        <v/>
      </c>
      <c r="BI146" s="1" t="str">
        <f>IF($AF146=0,"",CHOOSE($AF146,INDEX(nINT_QC_Flags,$AH146)&amp;"",INDEX(nQ1_QC_Flags,$AH146)&amp;"",INDEX(nQ2_QC_Flags,$AH146)&amp;"",INDEX(nQ3_QC_Flags,$AH146)&amp;"",INDEX(nQ4_QC_Flags,$AH146)&amp;"",INDEX(nQ5_QC_Flags,$AH146)&amp;"",INDEX(nQ6_QC_Flags,$AH146)&amp;"",INDEX(nQ7_QC_Flags,$AH146)&amp;"",INDEX(nQ8_QC_Flags,$AH146)&amp;"",INDEX(nQ9_QC_Flags,$AH146)&amp;"",INDEX(nQ10_QC_Flags,$AH146)&amp;"",INDEX(nQ11_QC_Flags,$AH146)&amp;""))</f>
        <v/>
      </c>
      <c r="BJ146" s="1" t="str">
        <f>IF($AF146=0,"",CHOOSE($AF146,INDEX(nINT_Messages,$AH146)&amp;"",INDEX(nQ1_Messages,$AH146)&amp;"",INDEX(nQ2_Messages,$AH146)&amp;"",INDEX(nQ3_Messages,$AH146)&amp;"",INDEX(nQ4_Messages,$AH146)&amp;"",INDEX(nQ5_Messages,$AH146)&amp;"",INDEX(nQ6_Messages,$AH146)&amp;"",INDEX(nQ7_Messages,$AH146)&amp;"",INDEX(nQ8_Messages,$AH146)&amp;"",INDEX(nQ9_Messages,$AH146)&amp;"",INDEX(nQ10_Messages,$AH146)&amp;"",INDEX(nQ11_Messages,$AH146)&amp;""))</f>
        <v/>
      </c>
      <c r="BK146" s="1" t="str">
        <f>IF($AF146=0,"",CHOOSE($AF146,INDEX(nINT_Limitations,$AH146)&amp;"",INDEX(nQ1_Mandatory_Text,$AH146)&amp;"",INDEX(nQ2_Mandatory_Text,$AH146)&amp;"",INDEX(nQ3_Mandatory_Text,$AH146)&amp;"",INDEX(nQ4_Mandatory_Text,$AH146)&amp;"",INDEX(nQ5_Mandatory_Text,$AH146)&amp;"",INDEX(nQ6_Mandatory_Text,$AH146)&amp;"",INDEX(nQ7_Mandatory_Text,$AH146)&amp;"",INDEX(nQ8_Mandatory_Text,$AH146)&amp;"",INDEX(nQ9_Mandatory_Text,$AH146)&amp;"",INDEX(nQ10_Mandatory_Text,$AH146)&amp;"",INDEX(nQ11_Mandatory_Text,$AH146)&amp;""))</f>
        <v/>
      </c>
      <c r="BL146" s="1" t="str">
        <f t="shared" si="103"/>
        <v/>
      </c>
      <c r="BM146" s="1" t="str">
        <f t="shared" si="104"/>
        <v/>
      </c>
    </row>
    <row r="147" spans="1:65" x14ac:dyDescent="0.2">
      <c r="A147" s="21" t="str">
        <f t="shared" si="70"/>
        <v/>
      </c>
      <c r="B147" s="21" t="str">
        <f t="shared" si="71"/>
        <v/>
      </c>
      <c r="C147" s="21" t="str">
        <f t="shared" si="72"/>
        <v/>
      </c>
      <c r="D147" s="21" t="str">
        <f t="shared" si="73"/>
        <v/>
      </c>
      <c r="E147" s="21" t="str">
        <f t="shared" si="74"/>
        <v/>
      </c>
      <c r="F147" s="21" t="str">
        <f t="shared" si="75"/>
        <v/>
      </c>
      <c r="G147" s="21" t="str">
        <f t="shared" si="76"/>
        <v/>
      </c>
      <c r="H147" s="21" t="str">
        <f t="shared" si="77"/>
        <v/>
      </c>
      <c r="I147" s="21" t="str">
        <f t="shared" si="78"/>
        <v/>
      </c>
      <c r="J147" s="21" t="str">
        <f t="shared" si="79"/>
        <v/>
      </c>
      <c r="K147" s="21" t="str">
        <f t="shared" si="80"/>
        <v/>
      </c>
      <c r="L147" s="21" t="str">
        <f t="shared" si="81"/>
        <v/>
      </c>
      <c r="M147" s="21" t="str">
        <f t="shared" si="82"/>
        <v/>
      </c>
      <c r="N147" s="21" t="str">
        <f t="shared" si="83"/>
        <v/>
      </c>
      <c r="O147" s="21" t="str">
        <f t="shared" si="84"/>
        <v/>
      </c>
      <c r="P147" s="21" t="str">
        <f t="shared" si="85"/>
        <v/>
      </c>
      <c r="Q147" s="21" t="str">
        <f t="shared" si="86"/>
        <v/>
      </c>
      <c r="R147" s="21" t="str">
        <f t="shared" si="87"/>
        <v/>
      </c>
      <c r="S147" s="21" t="str">
        <f t="shared" si="88"/>
        <v/>
      </c>
      <c r="T147" s="21" t="str">
        <f t="shared" si="89"/>
        <v/>
      </c>
      <c r="U147" s="21" t="str">
        <f t="shared" si="90"/>
        <v/>
      </c>
      <c r="V147" s="21" t="str">
        <f t="shared" si="91"/>
        <v/>
      </c>
      <c r="W147" s="21" t="str">
        <f t="shared" si="92"/>
        <v/>
      </c>
      <c r="X147" s="21" t="str">
        <f t="shared" si="93"/>
        <v/>
      </c>
      <c r="Y147" s="21" t="str">
        <f t="shared" si="94"/>
        <v/>
      </c>
      <c r="Z147" s="21" t="str">
        <f t="shared" si="95"/>
        <v/>
      </c>
      <c r="AA147" s="21" t="str">
        <f t="shared" si="96"/>
        <v/>
      </c>
      <c r="AB147" s="21" t="str">
        <f t="shared" si="97"/>
        <v/>
      </c>
      <c r="AC147" s="21" t="str">
        <f t="shared" si="98"/>
        <v/>
      </c>
      <c r="AD147" s="21" t="str">
        <f t="shared" si="99"/>
        <v/>
      </c>
      <c r="AE147" s="1">
        <f t="shared" si="100"/>
        <v>140</v>
      </c>
      <c r="AF147" s="1">
        <f t="shared" si="101"/>
        <v>0</v>
      </c>
      <c r="AG147" s="1">
        <f t="shared" si="102"/>
        <v>0</v>
      </c>
      <c r="AH147" s="1">
        <f>IF(AF147=0,0,CHOOSE(AF147,IFERROR(_xlfn.AGGREGATE(15,6,(ROW(nINT_CaseKey)-ROW(INDEX(nINT_CaseKey,1,1))+1)/((nINT_CaseKey=$H$4)*(nINT_RowEmpty=0)),AG147),0),IFERROR(_xlfn.AGGREGATE(15,6,(ROW(nQ1_CaseKey)-ROW(INDEX(nQ1_CaseKey,1,1))+1)/((nQ1_CaseKey=$H$4)),AG147),0),IFERROR(_xlfn.AGGREGATE(15,6,(ROW(nQ2_CaseKey)-ROW(INDEX(nQ2_CaseKey,1,1))+1)/((nQ2_CaseKey=$H$4)),AG147),0),IFERROR(_xlfn.AGGREGATE(15,6,(ROW(nQ3_CaseKey)-ROW(INDEX(nQ3_CaseKey,1,1))+1)/((nQ3_CaseKey=$H$4)),AG147),0),IFERROR(_xlfn.AGGREGATE(15,6,(ROW(nQ4_CaseKey)-ROW(INDEX(nQ4_CaseKey,1,1))+1)/((nQ4_CaseKey=$H$4)),AG147),0),IFERROR(_xlfn.AGGREGATE(15,6,(ROW(nQ5_CaseKey)-ROW(INDEX(nQ5_CaseKey,1,1))+1)/((nQ5_CaseKey=$H$4)),AG147),0),IFERROR(_xlfn.AGGREGATE(15,6,(ROW(nQ6_CaseKey)-ROW(INDEX(nQ6_CaseKey,1,1))+1)/((nQ6_CaseKey=$H$4)),AG147),0),IFERROR(_xlfn.AGGREGATE(15,6,(ROW(nQ7_CaseKey)-ROW(INDEX(nQ7_CaseKey,1,1))+1)/((nQ7_CaseKey=$H$4)),AG147),0),IFERROR(_xlfn.AGGREGATE(15,6,(ROW(nQ8_CaseKey)-ROW(INDEX(nQ8_CaseKey,1,1))+1)/((nQ8_CaseKey=$H$4)),AG147),0),IFERROR(_xlfn.AGGREGATE(15,6,(ROW(nQ9_CaseKey)-ROW(INDEX(nQ9_CaseKey,1,1))+1)/((nQ9_CaseKey=$H$4)),AG147),0),IFERROR(_xlfn.AGGREGATE(15,6,(ROW(nQ10_CaseKey)-ROW(INDEX(nQ10_CaseKey,1,1))+1)/((nQ10_CaseKey=$H$4)),AG147),0),IFERROR(_xlfn.AGGREGATE(15,6,(ROW(nQ11_CaseKey)-ROW(INDEX(nQ11_CaseKey,1,1))+1)/((nQ11_CaseKey=$H$4)),AG147),0)))</f>
        <v>0</v>
      </c>
      <c r="AJ147" s="1" t="str">
        <f>IF($AF147=0,"",CHOOSE($AF147,INDEX(nINT_Case_ID,$AH147)&amp;"",INDEX(nQ1_Case_ID,$AH147)&amp;"",INDEX(nQ2_Case_ID,$AH147)&amp;"",INDEX(nQ3_Case_ID,$AH147)&amp;"",INDEX(nQ4_Case_ID,$AH147)&amp;"",INDEX(nQ5_Case_ID,$AH147)&amp;"",INDEX(nQ6_Case_ID,$AH147)&amp;"",INDEX(nQ7_Case_ID,$AH147)&amp;"",INDEX(nQ8_Case_ID,$AH147)&amp;"",INDEX(nQ9_Case_ID,$AH147)&amp;"",INDEX(nQ10_Case_ID,$AH147)&amp;"",INDEX(nQ11_Case_ID,$AH147)&amp;""))</f>
        <v/>
      </c>
      <c r="AK147" s="1" t="str">
        <f>IF($AF147=0,"",CHOOSE($AF147,INDEX(nINT_Case_Version,$AH147),INDEX(nQ1_Case_Version,$AH147),INDEX(nQ2_Case_Version,$AH147),INDEX(nQ3_Case_Version,$AH147),INDEX(nQ4_Case_Version,$AH147),INDEX(nQ5_Case_Version,$AH147),INDEX(nQ6_Case_Version,$AH147),INDEX(nQ7_Case_Version,$AH147),INDEX(nQ8_Case_Version,$AH147),INDEX(nQ9_Case_Version,$AH147),INDEX(nQ10_Case_Version,$AH147),INDEX(nQ11_Case_Version,$AH147)))</f>
        <v/>
      </c>
      <c r="AL147" s="1" t="str">
        <f>IF($AF147=0,"",CHOOSE($AF147,INDEX(nINT_Interval_ID,$AH147)&amp;"",INDEX(nQ1_Calc_ID,$AH147)&amp;"",INDEX(nQ2_Calc_ID,$AH147)&amp;"",INDEX(nQ3_Calc_ID,$AH147)&amp;"",INDEX(nQ4_Calc_ID,$AH147)&amp;"",INDEX(nQ5_Calc_ID,$AH147)&amp;"",INDEX(nQ6_Calc_ID,$AH147)&amp;"",INDEX(nQ7_Calc_ID,$AH147)&amp;"",INDEX(nQ8_Calc_ID,$AH147)&amp;"",INDEX(nQ9_Calc_ID,$AH147)&amp;"",INDEX(nQ10_Calc_ID,$AH147)&amp;"",INDEX(nQ11_Calc_ID,$AH147)&amp;""))</f>
        <v/>
      </c>
      <c r="AM147" s="1" t="str">
        <f>IF($AF147=0,"",CHOOSE($AF147,INDEX(nINT_Label,$AH147)&amp;"",INDEX(nQ1_Label_Out,$AH147)&amp;"",INDEX(nQ2_Label_Out,$AH147)&amp;"",INDEX(nQ3_Label_Out,$AH147)&amp;"",INDEX(nQ4_Label_Out,$AH147)&amp;"",INDEX(nQ5_Label_Out,$AH147)&amp;"",INDEX(nQ6_Label_Out,$AH147)&amp;"",INDEX(nQ7_Label_Out,$AH147)&amp;"",INDEX(nQ8_Label_Out,$AH147)&amp;"",INDEX(nQ9_Label_Out,$AH147)&amp;"",INDEX(nQ10_Label_Out,$AH147)&amp;"",INDEX(nQ11_Label_Out,$AH147)&amp;""))</f>
        <v/>
      </c>
      <c r="AN147" s="1" t="str">
        <f>IF($AF147=0,"",CHOOSE($AF147,IF(INDEX(nINT_LinkRow,$AH147)=0,"",INDEX(nINT_Link_ID,$AH147)&amp;""),"","","","","","","","","","",""))</f>
        <v/>
      </c>
      <c r="AO147" s="1" t="str">
        <f>IF($AF147=0,"",CHOOSE($AF147,INDEX(nINT_Exposure_Episode_ID,$AH147)&amp;"","","","","","","","","","","",""))</f>
        <v/>
      </c>
      <c r="AP147" s="1" t="str">
        <f>IF($AF147=0,"",CHOOSE($AF147,INDEX(nINT_Event_Episode_ID,$AH147)&amp;"","","","","","","","","","","",""))</f>
        <v/>
      </c>
      <c r="AQ147" s="1" t="str">
        <f>IF($AF147=0,"",CHOOSE($AF147,INDEX(nINT_End_Record_ID_Used,$AH147)&amp;"","","","","","","","","","","",""))</f>
        <v/>
      </c>
      <c r="AR147" s="1" t="str">
        <f>IF($AF147=0,"",CHOOSE($AF147,INDEX(nINT_Interval_Value,$AH147),"","","","","","","","","","",""))</f>
        <v/>
      </c>
      <c r="AS147" s="1" t="str">
        <f>IF($AF147=0,"",CHOOSE($AF147,INDEX(nINT_Interval_Minimum,$AH147),"","","","","","","","","","",""))</f>
        <v/>
      </c>
      <c r="AT147" s="1" t="str">
        <f>IF($AF147=0,"",CHOOSE($AF147,INDEX(nINT_Interval_Maximum,$AH147),"","","","","","","","","","",""))</f>
        <v/>
      </c>
      <c r="AU147" s="1" t="str">
        <f>IF($AF147=0,"",CHOOSE($AF147,INDEX(nINT_Unit,$AH147)&amp;"",INDEX(nQ1_Unit_Out,$AH147)&amp;"",INDEX(nQ2_Unit_Out,$AH147)&amp;"",INDEX(nQ3_Unit_Out,$AH147)&amp;"",INDEX(nQ4_Unit_Out,$AH147)&amp;"",INDEX(nQ5_Unit_Out,$AH147)&amp;"",INDEX(nQ6_Unit_Out,$AH147)&amp;"",INDEX(nQ7_Unit_Out,$AH147)&amp;"",INDEX(nQ8_Unit_Out,$AH147)&amp;"",INDEX(nQ9_Unit_Out,$AH147)&amp;"",INDEX(nQ10_Unit_Out,$AH147)&amp;"",INDEX(nQ11_Unit_Out,$AH147)&amp;""))</f>
        <v/>
      </c>
      <c r="AV147" s="1" t="str">
        <f>IF($AF147=0,"",CHOOSE($AF147,INDEX(nINT_Displayed_Value,$AH147)&amp;"",INDEX(nQ1_Displayed_Value,$AH147)&amp;"",INDEX(nQ2_Displayed_Value,$AH147)&amp;"",INDEX(nQ3_Displayed_Value,$AH147)&amp;"",INDEX(nQ4_Displayed_Value,$AH147)&amp;"",INDEX(nQ5_Displayed_Value,$AH147)&amp;"",INDEX(nQ6_Displayed_Value,$AH147)&amp;"",INDEX(nQ7_Displayed_Value,$AH147)&amp;"",INDEX(nQ8_Displayed_Value,$AH147)&amp;"",INDEX(nQ9_Displayed_Value,$AH147)&amp;"",INDEX(nQ10_Displayed_Value,$AH147)&amp;"",INDEX(nQ11_Displayed_Value,$AH147)&amp;""))</f>
        <v/>
      </c>
      <c r="AW147" s="1" t="str">
        <f>IF($AF147=0,"",CHOOSE($AF147,INDEX(nINT_Calculation_Mode_Used,$AH147)&amp;"","Q1","Q2","Q3","Q4","Q5","Q6","Q7","Q8","Q9","Q10","Q11"))</f>
        <v/>
      </c>
      <c r="AX147" s="1" t="str">
        <f>IF($AF147=0,"",CHOOSE($AF147,INDEX(nINT_Anchor_Type,$AH147)&amp;"","","","","","","","","","","",""))</f>
        <v/>
      </c>
      <c r="AY147" s="1" t="str">
        <f>IF($AF147=0,"",CHOOSE($AF147,IF(INDEX(nINT_K_Ok,$AH147)=1,INDEX(nINT_Anchor_Record_ID_Used,$AH147)&amp;"",""),"","","","","","","","","","",""))</f>
        <v/>
      </c>
      <c r="AZ147" s="1" t="str">
        <f>IF($AF147=0,"",CHOOSE($AF147,INDEX(nINT_Anchor_Description,$AH147)&amp;"","","","","","","","","","","",""))</f>
        <v/>
      </c>
      <c r="BA147" s="1" t="str">
        <f>IF($AF147=0,"",CHOOSE($AF147,INDEX(nINT_Sequence_Status,$AH147)&amp;"","","","","","","","","","","",""))</f>
        <v/>
      </c>
      <c r="BB147" s="1" t="str">
        <f>IF($AF147=0,"",CHOOSE($AF147,INDEX(nINT_Treatment_Day,$AH147),"","","","","","","","","","",""))</f>
        <v/>
      </c>
      <c r="BC147" s="1" t="str">
        <f>IF($AF147=0,"",CHOOSE($AF147,INDEX(nINT_Reported_Timing_Result,$AH147)&amp;"","","","","","","","","","","",""))</f>
        <v/>
      </c>
      <c r="BD147" s="1" t="str">
        <f>IF($AF147=0,"",CHOOSE($AF147,IF(INDEX(nINT_K_HasC,$AH147)=1,INDEX(nINT_Constraint_Source,$AH147)&amp;"",""),"","","","","","","","","","",""))</f>
        <v/>
      </c>
      <c r="BE147" s="1" t="str">
        <f>IF($AF147=0,"",CHOOSE($AF147,"",INDEX(nQ1_Results_Text,$AH147)&amp;"",INDEX(nQ2_Results_Text,$AH147)&amp;"",INDEX(nQ3_Results_Text,$AH147)&amp;"",INDEX(nQ4_Results_Text,$AH147)&amp;"",INDEX(nQ5_Results_Text,$AH147)&amp;"",INDEX(nQ6_Results_Text,$AH147)&amp;"",INDEX(nQ7_Results_Text,$AH147)&amp;"",INDEX(nQ8_Results_Text,$AH147)&amp;"",INDEX(nQ9_Results_Text,$AH147)&amp;"",INDEX(nQ10_Results_Text,$AH147)&amp;"",INDEX(nQ11_Results_Text,$AH147)&amp;""))</f>
        <v/>
      </c>
      <c r="BF147" s="1" t="str">
        <f>IF($AF147=0,"",CHOOSE($AF147,INDEX(nINT_Parameter_Set,$AH147)&amp;"",INDEX(nQ1_Parameter_Set,$AH147)&amp;"",INDEX(nQ2_Parameter_Set,$AH147)&amp;"",INDEX(nQ3_Parameter_Set,$AH147)&amp;"",INDEX(nQ4_Parameter_Set,$AH147)&amp;"",INDEX(nQ5_Parameter_Set,$AH147)&amp;"",INDEX(nQ6_Parameter_Set,$AH147)&amp;"",INDEX(nQ7_Parameter_Set,$AH147)&amp;"",INDEX(nQ8_Parameter_Set,$AH147)&amp;"",INDEX(nQ9_Parameter_Set,$AH147)&amp;"",INDEX(nQ10_Parameter_Set,$AH147)&amp;"",INDEX(nQ11_Parameter_Set,$AH147)&amp;""))</f>
        <v/>
      </c>
      <c r="BG147" s="1" t="str">
        <f>IF($AF147=0,"",CHOOSE($AF147,INDEX(nINT_Assumptions,$AH147)&amp;"",INDEX(nQ1_Assumptions,$AH147)&amp;"",INDEX(nQ2_Assumptions,$AH147)&amp;"",INDEX(nQ3_Assumptions,$AH147)&amp;"",INDEX(nQ4_Assumptions,$AH147)&amp;"",INDEX(nQ5_Assumptions,$AH147)&amp;"",INDEX(nQ6_Assumptions,$AH147)&amp;"",INDEX(nQ7_Assumptions,$AH147)&amp;"",INDEX(nQ8_Assumptions,$AH147)&amp;"",INDEX(nQ9_Assumptions,$AH147)&amp;"",INDEX(nQ10_Assumptions,$AH147)&amp;"",INDEX(nQ11_Assumptions,$AH147)&amp;""))</f>
        <v/>
      </c>
      <c r="BH147" s="1" t="str">
        <f>IF($AF147=0,"",CHOOSE($AF147,INDEX(nINT_Calculation_Version,$AH147)&amp;"",INDEX(nQ1_Calculation_Version,$AH147)&amp;"",INDEX(nQ2_Calculation_Version,$AH147)&amp;"",INDEX(nQ3_Calculation_Version,$AH147)&amp;"",INDEX(nQ4_Calculation_Version,$AH147)&amp;"",INDEX(nQ5_Calculation_Version,$AH147)&amp;"",INDEX(nQ6_Calculation_Version,$AH147)&amp;"",INDEX(nQ7_Calculation_Version,$AH147)&amp;"",INDEX(nQ8_Calculation_Version,$AH147)&amp;"",INDEX(nQ9_Calculation_Version,$AH147)&amp;"",INDEX(nQ10_Calculation_Version,$AH147)&amp;"",INDEX(nQ11_Calculation_Version,$AH147)&amp;""))</f>
        <v/>
      </c>
      <c r="BI147" s="1" t="str">
        <f>IF($AF147=0,"",CHOOSE($AF147,INDEX(nINT_QC_Flags,$AH147)&amp;"",INDEX(nQ1_QC_Flags,$AH147)&amp;"",INDEX(nQ2_QC_Flags,$AH147)&amp;"",INDEX(nQ3_QC_Flags,$AH147)&amp;"",INDEX(nQ4_QC_Flags,$AH147)&amp;"",INDEX(nQ5_QC_Flags,$AH147)&amp;"",INDEX(nQ6_QC_Flags,$AH147)&amp;"",INDEX(nQ7_QC_Flags,$AH147)&amp;"",INDEX(nQ8_QC_Flags,$AH147)&amp;"",INDEX(nQ9_QC_Flags,$AH147)&amp;"",INDEX(nQ10_QC_Flags,$AH147)&amp;"",INDEX(nQ11_QC_Flags,$AH147)&amp;""))</f>
        <v/>
      </c>
      <c r="BJ147" s="1" t="str">
        <f>IF($AF147=0,"",CHOOSE($AF147,INDEX(nINT_Messages,$AH147)&amp;"",INDEX(nQ1_Messages,$AH147)&amp;"",INDEX(nQ2_Messages,$AH147)&amp;"",INDEX(nQ3_Messages,$AH147)&amp;"",INDEX(nQ4_Messages,$AH147)&amp;"",INDEX(nQ5_Messages,$AH147)&amp;"",INDEX(nQ6_Messages,$AH147)&amp;"",INDEX(nQ7_Messages,$AH147)&amp;"",INDEX(nQ8_Messages,$AH147)&amp;"",INDEX(nQ9_Messages,$AH147)&amp;"",INDEX(nQ10_Messages,$AH147)&amp;"",INDEX(nQ11_Messages,$AH147)&amp;""))</f>
        <v/>
      </c>
      <c r="BK147" s="1" t="str">
        <f>IF($AF147=0,"",CHOOSE($AF147,INDEX(nINT_Limitations,$AH147)&amp;"",INDEX(nQ1_Mandatory_Text,$AH147)&amp;"",INDEX(nQ2_Mandatory_Text,$AH147)&amp;"",INDEX(nQ3_Mandatory_Text,$AH147)&amp;"",INDEX(nQ4_Mandatory_Text,$AH147)&amp;"",INDEX(nQ5_Mandatory_Text,$AH147)&amp;"",INDEX(nQ6_Mandatory_Text,$AH147)&amp;"",INDEX(nQ7_Mandatory_Text,$AH147)&amp;"",INDEX(nQ8_Mandatory_Text,$AH147)&amp;"",INDEX(nQ9_Mandatory_Text,$AH147)&amp;"",INDEX(nQ10_Mandatory_Text,$AH147)&amp;"",INDEX(nQ11_Mandatory_Text,$AH147)&amp;""))</f>
        <v/>
      </c>
      <c r="BL147" s="1" t="str">
        <f t="shared" si="103"/>
        <v/>
      </c>
      <c r="BM147" s="1" t="str">
        <f t="shared" si="104"/>
        <v/>
      </c>
    </row>
    <row r="148" spans="1:65" x14ac:dyDescent="0.2">
      <c r="A148" s="21" t="str">
        <f t="shared" si="70"/>
        <v/>
      </c>
      <c r="B148" s="21" t="str">
        <f t="shared" si="71"/>
        <v/>
      </c>
      <c r="C148" s="21" t="str">
        <f t="shared" si="72"/>
        <v/>
      </c>
      <c r="D148" s="21" t="str">
        <f t="shared" si="73"/>
        <v/>
      </c>
      <c r="E148" s="21" t="str">
        <f t="shared" si="74"/>
        <v/>
      </c>
      <c r="F148" s="21" t="str">
        <f t="shared" si="75"/>
        <v/>
      </c>
      <c r="G148" s="21" t="str">
        <f t="shared" si="76"/>
        <v/>
      </c>
      <c r="H148" s="21" t="str">
        <f t="shared" si="77"/>
        <v/>
      </c>
      <c r="I148" s="21" t="str">
        <f t="shared" si="78"/>
        <v/>
      </c>
      <c r="J148" s="21" t="str">
        <f t="shared" si="79"/>
        <v/>
      </c>
      <c r="K148" s="21" t="str">
        <f t="shared" si="80"/>
        <v/>
      </c>
      <c r="L148" s="21" t="str">
        <f t="shared" si="81"/>
        <v/>
      </c>
      <c r="M148" s="21" t="str">
        <f t="shared" si="82"/>
        <v/>
      </c>
      <c r="N148" s="21" t="str">
        <f t="shared" si="83"/>
        <v/>
      </c>
      <c r="O148" s="21" t="str">
        <f t="shared" si="84"/>
        <v/>
      </c>
      <c r="P148" s="21" t="str">
        <f t="shared" si="85"/>
        <v/>
      </c>
      <c r="Q148" s="21" t="str">
        <f t="shared" si="86"/>
        <v/>
      </c>
      <c r="R148" s="21" t="str">
        <f t="shared" si="87"/>
        <v/>
      </c>
      <c r="S148" s="21" t="str">
        <f t="shared" si="88"/>
        <v/>
      </c>
      <c r="T148" s="21" t="str">
        <f t="shared" si="89"/>
        <v/>
      </c>
      <c r="U148" s="21" t="str">
        <f t="shared" si="90"/>
        <v/>
      </c>
      <c r="V148" s="21" t="str">
        <f t="shared" si="91"/>
        <v/>
      </c>
      <c r="W148" s="21" t="str">
        <f t="shared" si="92"/>
        <v/>
      </c>
      <c r="X148" s="21" t="str">
        <f t="shared" si="93"/>
        <v/>
      </c>
      <c r="Y148" s="21" t="str">
        <f t="shared" si="94"/>
        <v/>
      </c>
      <c r="Z148" s="21" t="str">
        <f t="shared" si="95"/>
        <v/>
      </c>
      <c r="AA148" s="21" t="str">
        <f t="shared" si="96"/>
        <v/>
      </c>
      <c r="AB148" s="21" t="str">
        <f t="shared" si="97"/>
        <v/>
      </c>
      <c r="AC148" s="21" t="str">
        <f t="shared" si="98"/>
        <v/>
      </c>
      <c r="AD148" s="21" t="str">
        <f t="shared" si="99"/>
        <v/>
      </c>
      <c r="AE148" s="1">
        <f t="shared" si="100"/>
        <v>141</v>
      </c>
      <c r="AF148" s="1">
        <f t="shared" si="101"/>
        <v>0</v>
      </c>
      <c r="AG148" s="1">
        <f t="shared" si="102"/>
        <v>0</v>
      </c>
      <c r="AH148" s="1">
        <f>IF(AF148=0,0,CHOOSE(AF148,IFERROR(_xlfn.AGGREGATE(15,6,(ROW(nINT_CaseKey)-ROW(INDEX(nINT_CaseKey,1,1))+1)/((nINT_CaseKey=$H$4)*(nINT_RowEmpty=0)),AG148),0),IFERROR(_xlfn.AGGREGATE(15,6,(ROW(nQ1_CaseKey)-ROW(INDEX(nQ1_CaseKey,1,1))+1)/((nQ1_CaseKey=$H$4)),AG148),0),IFERROR(_xlfn.AGGREGATE(15,6,(ROW(nQ2_CaseKey)-ROW(INDEX(nQ2_CaseKey,1,1))+1)/((nQ2_CaseKey=$H$4)),AG148),0),IFERROR(_xlfn.AGGREGATE(15,6,(ROW(nQ3_CaseKey)-ROW(INDEX(nQ3_CaseKey,1,1))+1)/((nQ3_CaseKey=$H$4)),AG148),0),IFERROR(_xlfn.AGGREGATE(15,6,(ROW(nQ4_CaseKey)-ROW(INDEX(nQ4_CaseKey,1,1))+1)/((nQ4_CaseKey=$H$4)),AG148),0),IFERROR(_xlfn.AGGREGATE(15,6,(ROW(nQ5_CaseKey)-ROW(INDEX(nQ5_CaseKey,1,1))+1)/((nQ5_CaseKey=$H$4)),AG148),0),IFERROR(_xlfn.AGGREGATE(15,6,(ROW(nQ6_CaseKey)-ROW(INDEX(nQ6_CaseKey,1,1))+1)/((nQ6_CaseKey=$H$4)),AG148),0),IFERROR(_xlfn.AGGREGATE(15,6,(ROW(nQ7_CaseKey)-ROW(INDEX(nQ7_CaseKey,1,1))+1)/((nQ7_CaseKey=$H$4)),AG148),0),IFERROR(_xlfn.AGGREGATE(15,6,(ROW(nQ8_CaseKey)-ROW(INDEX(nQ8_CaseKey,1,1))+1)/((nQ8_CaseKey=$H$4)),AG148),0),IFERROR(_xlfn.AGGREGATE(15,6,(ROW(nQ9_CaseKey)-ROW(INDEX(nQ9_CaseKey,1,1))+1)/((nQ9_CaseKey=$H$4)),AG148),0),IFERROR(_xlfn.AGGREGATE(15,6,(ROW(nQ10_CaseKey)-ROW(INDEX(nQ10_CaseKey,1,1))+1)/((nQ10_CaseKey=$H$4)),AG148),0),IFERROR(_xlfn.AGGREGATE(15,6,(ROW(nQ11_CaseKey)-ROW(INDEX(nQ11_CaseKey,1,1))+1)/((nQ11_CaseKey=$H$4)),AG148),0)))</f>
        <v>0</v>
      </c>
      <c r="AJ148" s="1" t="str">
        <f>IF($AF148=0,"",CHOOSE($AF148,INDEX(nINT_Case_ID,$AH148)&amp;"",INDEX(nQ1_Case_ID,$AH148)&amp;"",INDEX(nQ2_Case_ID,$AH148)&amp;"",INDEX(nQ3_Case_ID,$AH148)&amp;"",INDEX(nQ4_Case_ID,$AH148)&amp;"",INDEX(nQ5_Case_ID,$AH148)&amp;"",INDEX(nQ6_Case_ID,$AH148)&amp;"",INDEX(nQ7_Case_ID,$AH148)&amp;"",INDEX(nQ8_Case_ID,$AH148)&amp;"",INDEX(nQ9_Case_ID,$AH148)&amp;"",INDEX(nQ10_Case_ID,$AH148)&amp;"",INDEX(nQ11_Case_ID,$AH148)&amp;""))</f>
        <v/>
      </c>
      <c r="AK148" s="1" t="str">
        <f>IF($AF148=0,"",CHOOSE($AF148,INDEX(nINT_Case_Version,$AH148),INDEX(nQ1_Case_Version,$AH148),INDEX(nQ2_Case_Version,$AH148),INDEX(nQ3_Case_Version,$AH148),INDEX(nQ4_Case_Version,$AH148),INDEX(nQ5_Case_Version,$AH148),INDEX(nQ6_Case_Version,$AH148),INDEX(nQ7_Case_Version,$AH148),INDEX(nQ8_Case_Version,$AH148),INDEX(nQ9_Case_Version,$AH148),INDEX(nQ10_Case_Version,$AH148),INDEX(nQ11_Case_Version,$AH148)))</f>
        <v/>
      </c>
      <c r="AL148" s="1" t="str">
        <f>IF($AF148=0,"",CHOOSE($AF148,INDEX(nINT_Interval_ID,$AH148)&amp;"",INDEX(nQ1_Calc_ID,$AH148)&amp;"",INDEX(nQ2_Calc_ID,$AH148)&amp;"",INDEX(nQ3_Calc_ID,$AH148)&amp;"",INDEX(nQ4_Calc_ID,$AH148)&amp;"",INDEX(nQ5_Calc_ID,$AH148)&amp;"",INDEX(nQ6_Calc_ID,$AH148)&amp;"",INDEX(nQ7_Calc_ID,$AH148)&amp;"",INDEX(nQ8_Calc_ID,$AH148)&amp;"",INDEX(nQ9_Calc_ID,$AH148)&amp;"",INDEX(nQ10_Calc_ID,$AH148)&amp;"",INDEX(nQ11_Calc_ID,$AH148)&amp;""))</f>
        <v/>
      </c>
      <c r="AM148" s="1" t="str">
        <f>IF($AF148=0,"",CHOOSE($AF148,INDEX(nINT_Label,$AH148)&amp;"",INDEX(nQ1_Label_Out,$AH148)&amp;"",INDEX(nQ2_Label_Out,$AH148)&amp;"",INDEX(nQ3_Label_Out,$AH148)&amp;"",INDEX(nQ4_Label_Out,$AH148)&amp;"",INDEX(nQ5_Label_Out,$AH148)&amp;"",INDEX(nQ6_Label_Out,$AH148)&amp;"",INDEX(nQ7_Label_Out,$AH148)&amp;"",INDEX(nQ8_Label_Out,$AH148)&amp;"",INDEX(nQ9_Label_Out,$AH148)&amp;"",INDEX(nQ10_Label_Out,$AH148)&amp;"",INDEX(nQ11_Label_Out,$AH148)&amp;""))</f>
        <v/>
      </c>
      <c r="AN148" s="1" t="str">
        <f>IF($AF148=0,"",CHOOSE($AF148,IF(INDEX(nINT_LinkRow,$AH148)=0,"",INDEX(nINT_Link_ID,$AH148)&amp;""),"","","","","","","","","","",""))</f>
        <v/>
      </c>
      <c r="AO148" s="1" t="str">
        <f>IF($AF148=0,"",CHOOSE($AF148,INDEX(nINT_Exposure_Episode_ID,$AH148)&amp;"","","","","","","","","","","",""))</f>
        <v/>
      </c>
      <c r="AP148" s="1" t="str">
        <f>IF($AF148=0,"",CHOOSE($AF148,INDEX(nINT_Event_Episode_ID,$AH148)&amp;"","","","","","","","","","","",""))</f>
        <v/>
      </c>
      <c r="AQ148" s="1" t="str">
        <f>IF($AF148=0,"",CHOOSE($AF148,INDEX(nINT_End_Record_ID_Used,$AH148)&amp;"","","","","","","","","","","",""))</f>
        <v/>
      </c>
      <c r="AR148" s="1" t="str">
        <f>IF($AF148=0,"",CHOOSE($AF148,INDEX(nINT_Interval_Value,$AH148),"","","","","","","","","","",""))</f>
        <v/>
      </c>
      <c r="AS148" s="1" t="str">
        <f>IF($AF148=0,"",CHOOSE($AF148,INDEX(nINT_Interval_Minimum,$AH148),"","","","","","","","","","",""))</f>
        <v/>
      </c>
      <c r="AT148" s="1" t="str">
        <f>IF($AF148=0,"",CHOOSE($AF148,INDEX(nINT_Interval_Maximum,$AH148),"","","","","","","","","","",""))</f>
        <v/>
      </c>
      <c r="AU148" s="1" t="str">
        <f>IF($AF148=0,"",CHOOSE($AF148,INDEX(nINT_Unit,$AH148)&amp;"",INDEX(nQ1_Unit_Out,$AH148)&amp;"",INDEX(nQ2_Unit_Out,$AH148)&amp;"",INDEX(nQ3_Unit_Out,$AH148)&amp;"",INDEX(nQ4_Unit_Out,$AH148)&amp;"",INDEX(nQ5_Unit_Out,$AH148)&amp;"",INDEX(nQ6_Unit_Out,$AH148)&amp;"",INDEX(nQ7_Unit_Out,$AH148)&amp;"",INDEX(nQ8_Unit_Out,$AH148)&amp;"",INDEX(nQ9_Unit_Out,$AH148)&amp;"",INDEX(nQ10_Unit_Out,$AH148)&amp;"",INDEX(nQ11_Unit_Out,$AH148)&amp;""))</f>
        <v/>
      </c>
      <c r="AV148" s="1" t="str">
        <f>IF($AF148=0,"",CHOOSE($AF148,INDEX(nINT_Displayed_Value,$AH148)&amp;"",INDEX(nQ1_Displayed_Value,$AH148)&amp;"",INDEX(nQ2_Displayed_Value,$AH148)&amp;"",INDEX(nQ3_Displayed_Value,$AH148)&amp;"",INDEX(nQ4_Displayed_Value,$AH148)&amp;"",INDEX(nQ5_Displayed_Value,$AH148)&amp;"",INDEX(nQ6_Displayed_Value,$AH148)&amp;"",INDEX(nQ7_Displayed_Value,$AH148)&amp;"",INDEX(nQ8_Displayed_Value,$AH148)&amp;"",INDEX(nQ9_Displayed_Value,$AH148)&amp;"",INDEX(nQ10_Displayed_Value,$AH148)&amp;"",INDEX(nQ11_Displayed_Value,$AH148)&amp;""))</f>
        <v/>
      </c>
      <c r="AW148" s="1" t="str">
        <f>IF($AF148=0,"",CHOOSE($AF148,INDEX(nINT_Calculation_Mode_Used,$AH148)&amp;"","Q1","Q2","Q3","Q4","Q5","Q6","Q7","Q8","Q9","Q10","Q11"))</f>
        <v/>
      </c>
      <c r="AX148" s="1" t="str">
        <f>IF($AF148=0,"",CHOOSE($AF148,INDEX(nINT_Anchor_Type,$AH148)&amp;"","","","","","","","","","","",""))</f>
        <v/>
      </c>
      <c r="AY148" s="1" t="str">
        <f>IF($AF148=0,"",CHOOSE($AF148,IF(INDEX(nINT_K_Ok,$AH148)=1,INDEX(nINT_Anchor_Record_ID_Used,$AH148)&amp;"",""),"","","","","","","","","","",""))</f>
        <v/>
      </c>
      <c r="AZ148" s="1" t="str">
        <f>IF($AF148=0,"",CHOOSE($AF148,INDEX(nINT_Anchor_Description,$AH148)&amp;"","","","","","","","","","","",""))</f>
        <v/>
      </c>
      <c r="BA148" s="1" t="str">
        <f>IF($AF148=0,"",CHOOSE($AF148,INDEX(nINT_Sequence_Status,$AH148)&amp;"","","","","","","","","","","",""))</f>
        <v/>
      </c>
      <c r="BB148" s="1" t="str">
        <f>IF($AF148=0,"",CHOOSE($AF148,INDEX(nINT_Treatment_Day,$AH148),"","","","","","","","","","",""))</f>
        <v/>
      </c>
      <c r="BC148" s="1" t="str">
        <f>IF($AF148=0,"",CHOOSE($AF148,INDEX(nINT_Reported_Timing_Result,$AH148)&amp;"","","","","","","","","","","",""))</f>
        <v/>
      </c>
      <c r="BD148" s="1" t="str">
        <f>IF($AF148=0,"",CHOOSE($AF148,IF(INDEX(nINT_K_HasC,$AH148)=1,INDEX(nINT_Constraint_Source,$AH148)&amp;"",""),"","","","","","","","","","",""))</f>
        <v/>
      </c>
      <c r="BE148" s="1" t="str">
        <f>IF($AF148=0,"",CHOOSE($AF148,"",INDEX(nQ1_Results_Text,$AH148)&amp;"",INDEX(nQ2_Results_Text,$AH148)&amp;"",INDEX(nQ3_Results_Text,$AH148)&amp;"",INDEX(nQ4_Results_Text,$AH148)&amp;"",INDEX(nQ5_Results_Text,$AH148)&amp;"",INDEX(nQ6_Results_Text,$AH148)&amp;"",INDEX(nQ7_Results_Text,$AH148)&amp;"",INDEX(nQ8_Results_Text,$AH148)&amp;"",INDEX(nQ9_Results_Text,$AH148)&amp;"",INDEX(nQ10_Results_Text,$AH148)&amp;"",INDEX(nQ11_Results_Text,$AH148)&amp;""))</f>
        <v/>
      </c>
      <c r="BF148" s="1" t="str">
        <f>IF($AF148=0,"",CHOOSE($AF148,INDEX(nINT_Parameter_Set,$AH148)&amp;"",INDEX(nQ1_Parameter_Set,$AH148)&amp;"",INDEX(nQ2_Parameter_Set,$AH148)&amp;"",INDEX(nQ3_Parameter_Set,$AH148)&amp;"",INDEX(nQ4_Parameter_Set,$AH148)&amp;"",INDEX(nQ5_Parameter_Set,$AH148)&amp;"",INDEX(nQ6_Parameter_Set,$AH148)&amp;"",INDEX(nQ7_Parameter_Set,$AH148)&amp;"",INDEX(nQ8_Parameter_Set,$AH148)&amp;"",INDEX(nQ9_Parameter_Set,$AH148)&amp;"",INDEX(nQ10_Parameter_Set,$AH148)&amp;"",INDEX(nQ11_Parameter_Set,$AH148)&amp;""))</f>
        <v/>
      </c>
      <c r="BG148" s="1" t="str">
        <f>IF($AF148=0,"",CHOOSE($AF148,INDEX(nINT_Assumptions,$AH148)&amp;"",INDEX(nQ1_Assumptions,$AH148)&amp;"",INDEX(nQ2_Assumptions,$AH148)&amp;"",INDEX(nQ3_Assumptions,$AH148)&amp;"",INDEX(nQ4_Assumptions,$AH148)&amp;"",INDEX(nQ5_Assumptions,$AH148)&amp;"",INDEX(nQ6_Assumptions,$AH148)&amp;"",INDEX(nQ7_Assumptions,$AH148)&amp;"",INDEX(nQ8_Assumptions,$AH148)&amp;"",INDEX(nQ9_Assumptions,$AH148)&amp;"",INDEX(nQ10_Assumptions,$AH148)&amp;"",INDEX(nQ11_Assumptions,$AH148)&amp;""))</f>
        <v/>
      </c>
      <c r="BH148" s="1" t="str">
        <f>IF($AF148=0,"",CHOOSE($AF148,INDEX(nINT_Calculation_Version,$AH148)&amp;"",INDEX(nQ1_Calculation_Version,$AH148)&amp;"",INDEX(nQ2_Calculation_Version,$AH148)&amp;"",INDEX(nQ3_Calculation_Version,$AH148)&amp;"",INDEX(nQ4_Calculation_Version,$AH148)&amp;"",INDEX(nQ5_Calculation_Version,$AH148)&amp;"",INDEX(nQ6_Calculation_Version,$AH148)&amp;"",INDEX(nQ7_Calculation_Version,$AH148)&amp;"",INDEX(nQ8_Calculation_Version,$AH148)&amp;"",INDEX(nQ9_Calculation_Version,$AH148)&amp;"",INDEX(nQ10_Calculation_Version,$AH148)&amp;"",INDEX(nQ11_Calculation_Version,$AH148)&amp;""))</f>
        <v/>
      </c>
      <c r="BI148" s="1" t="str">
        <f>IF($AF148=0,"",CHOOSE($AF148,INDEX(nINT_QC_Flags,$AH148)&amp;"",INDEX(nQ1_QC_Flags,$AH148)&amp;"",INDEX(nQ2_QC_Flags,$AH148)&amp;"",INDEX(nQ3_QC_Flags,$AH148)&amp;"",INDEX(nQ4_QC_Flags,$AH148)&amp;"",INDEX(nQ5_QC_Flags,$AH148)&amp;"",INDEX(nQ6_QC_Flags,$AH148)&amp;"",INDEX(nQ7_QC_Flags,$AH148)&amp;"",INDEX(nQ8_QC_Flags,$AH148)&amp;"",INDEX(nQ9_QC_Flags,$AH148)&amp;"",INDEX(nQ10_QC_Flags,$AH148)&amp;"",INDEX(nQ11_QC_Flags,$AH148)&amp;""))</f>
        <v/>
      </c>
      <c r="BJ148" s="1" t="str">
        <f>IF($AF148=0,"",CHOOSE($AF148,INDEX(nINT_Messages,$AH148)&amp;"",INDEX(nQ1_Messages,$AH148)&amp;"",INDEX(nQ2_Messages,$AH148)&amp;"",INDEX(nQ3_Messages,$AH148)&amp;"",INDEX(nQ4_Messages,$AH148)&amp;"",INDEX(nQ5_Messages,$AH148)&amp;"",INDEX(nQ6_Messages,$AH148)&amp;"",INDEX(nQ7_Messages,$AH148)&amp;"",INDEX(nQ8_Messages,$AH148)&amp;"",INDEX(nQ9_Messages,$AH148)&amp;"",INDEX(nQ10_Messages,$AH148)&amp;"",INDEX(nQ11_Messages,$AH148)&amp;""))</f>
        <v/>
      </c>
      <c r="BK148" s="1" t="str">
        <f>IF($AF148=0,"",CHOOSE($AF148,INDEX(nINT_Limitations,$AH148)&amp;"",INDEX(nQ1_Mandatory_Text,$AH148)&amp;"",INDEX(nQ2_Mandatory_Text,$AH148)&amp;"",INDEX(nQ3_Mandatory_Text,$AH148)&amp;"",INDEX(nQ4_Mandatory_Text,$AH148)&amp;"",INDEX(nQ5_Mandatory_Text,$AH148)&amp;"",INDEX(nQ6_Mandatory_Text,$AH148)&amp;"",INDEX(nQ7_Mandatory_Text,$AH148)&amp;"",INDEX(nQ8_Mandatory_Text,$AH148)&amp;"",INDEX(nQ9_Mandatory_Text,$AH148)&amp;"",INDEX(nQ10_Mandatory_Text,$AH148)&amp;"",INDEX(nQ11_Mandatory_Text,$AH148)&amp;""))</f>
        <v/>
      </c>
      <c r="BL148" s="1" t="str">
        <f t="shared" si="103"/>
        <v/>
      </c>
      <c r="BM148" s="1" t="str">
        <f t="shared" si="104"/>
        <v/>
      </c>
    </row>
    <row r="149" spans="1:65" x14ac:dyDescent="0.2">
      <c r="A149" s="21" t="str">
        <f t="shared" si="70"/>
        <v/>
      </c>
      <c r="B149" s="21" t="str">
        <f t="shared" si="71"/>
        <v/>
      </c>
      <c r="C149" s="21" t="str">
        <f t="shared" si="72"/>
        <v/>
      </c>
      <c r="D149" s="21" t="str">
        <f t="shared" si="73"/>
        <v/>
      </c>
      <c r="E149" s="21" t="str">
        <f t="shared" si="74"/>
        <v/>
      </c>
      <c r="F149" s="21" t="str">
        <f t="shared" si="75"/>
        <v/>
      </c>
      <c r="G149" s="21" t="str">
        <f t="shared" si="76"/>
        <v/>
      </c>
      <c r="H149" s="21" t="str">
        <f t="shared" si="77"/>
        <v/>
      </c>
      <c r="I149" s="21" t="str">
        <f t="shared" si="78"/>
        <v/>
      </c>
      <c r="J149" s="21" t="str">
        <f t="shared" si="79"/>
        <v/>
      </c>
      <c r="K149" s="21" t="str">
        <f t="shared" si="80"/>
        <v/>
      </c>
      <c r="L149" s="21" t="str">
        <f t="shared" si="81"/>
        <v/>
      </c>
      <c r="M149" s="21" t="str">
        <f t="shared" si="82"/>
        <v/>
      </c>
      <c r="N149" s="21" t="str">
        <f t="shared" si="83"/>
        <v/>
      </c>
      <c r="O149" s="21" t="str">
        <f t="shared" si="84"/>
        <v/>
      </c>
      <c r="P149" s="21" t="str">
        <f t="shared" si="85"/>
        <v/>
      </c>
      <c r="Q149" s="21" t="str">
        <f t="shared" si="86"/>
        <v/>
      </c>
      <c r="R149" s="21" t="str">
        <f t="shared" si="87"/>
        <v/>
      </c>
      <c r="S149" s="21" t="str">
        <f t="shared" si="88"/>
        <v/>
      </c>
      <c r="T149" s="21" t="str">
        <f t="shared" si="89"/>
        <v/>
      </c>
      <c r="U149" s="21" t="str">
        <f t="shared" si="90"/>
        <v/>
      </c>
      <c r="V149" s="21" t="str">
        <f t="shared" si="91"/>
        <v/>
      </c>
      <c r="W149" s="21" t="str">
        <f t="shared" si="92"/>
        <v/>
      </c>
      <c r="X149" s="21" t="str">
        <f t="shared" si="93"/>
        <v/>
      </c>
      <c r="Y149" s="21" t="str">
        <f t="shared" si="94"/>
        <v/>
      </c>
      <c r="Z149" s="21" t="str">
        <f t="shared" si="95"/>
        <v/>
      </c>
      <c r="AA149" s="21" t="str">
        <f t="shared" si="96"/>
        <v/>
      </c>
      <c r="AB149" s="21" t="str">
        <f t="shared" si="97"/>
        <v/>
      </c>
      <c r="AC149" s="21" t="str">
        <f t="shared" si="98"/>
        <v/>
      </c>
      <c r="AD149" s="21" t="str">
        <f t="shared" si="99"/>
        <v/>
      </c>
      <c r="AE149" s="1">
        <f t="shared" si="100"/>
        <v>142</v>
      </c>
      <c r="AF149" s="1">
        <f t="shared" si="101"/>
        <v>0</v>
      </c>
      <c r="AG149" s="1">
        <f t="shared" si="102"/>
        <v>0</v>
      </c>
      <c r="AH149" s="1">
        <f>IF(AF149=0,0,CHOOSE(AF149,IFERROR(_xlfn.AGGREGATE(15,6,(ROW(nINT_CaseKey)-ROW(INDEX(nINT_CaseKey,1,1))+1)/((nINT_CaseKey=$H$4)*(nINT_RowEmpty=0)),AG149),0),IFERROR(_xlfn.AGGREGATE(15,6,(ROW(nQ1_CaseKey)-ROW(INDEX(nQ1_CaseKey,1,1))+1)/((nQ1_CaseKey=$H$4)),AG149),0),IFERROR(_xlfn.AGGREGATE(15,6,(ROW(nQ2_CaseKey)-ROW(INDEX(nQ2_CaseKey,1,1))+1)/((nQ2_CaseKey=$H$4)),AG149),0),IFERROR(_xlfn.AGGREGATE(15,6,(ROW(nQ3_CaseKey)-ROW(INDEX(nQ3_CaseKey,1,1))+1)/((nQ3_CaseKey=$H$4)),AG149),0),IFERROR(_xlfn.AGGREGATE(15,6,(ROW(nQ4_CaseKey)-ROW(INDEX(nQ4_CaseKey,1,1))+1)/((nQ4_CaseKey=$H$4)),AG149),0),IFERROR(_xlfn.AGGREGATE(15,6,(ROW(nQ5_CaseKey)-ROW(INDEX(nQ5_CaseKey,1,1))+1)/((nQ5_CaseKey=$H$4)),AG149),0),IFERROR(_xlfn.AGGREGATE(15,6,(ROW(nQ6_CaseKey)-ROW(INDEX(nQ6_CaseKey,1,1))+1)/((nQ6_CaseKey=$H$4)),AG149),0),IFERROR(_xlfn.AGGREGATE(15,6,(ROW(nQ7_CaseKey)-ROW(INDEX(nQ7_CaseKey,1,1))+1)/((nQ7_CaseKey=$H$4)),AG149),0),IFERROR(_xlfn.AGGREGATE(15,6,(ROW(nQ8_CaseKey)-ROW(INDEX(nQ8_CaseKey,1,1))+1)/((nQ8_CaseKey=$H$4)),AG149),0),IFERROR(_xlfn.AGGREGATE(15,6,(ROW(nQ9_CaseKey)-ROW(INDEX(nQ9_CaseKey,1,1))+1)/((nQ9_CaseKey=$H$4)),AG149),0),IFERROR(_xlfn.AGGREGATE(15,6,(ROW(nQ10_CaseKey)-ROW(INDEX(nQ10_CaseKey,1,1))+1)/((nQ10_CaseKey=$H$4)),AG149),0),IFERROR(_xlfn.AGGREGATE(15,6,(ROW(nQ11_CaseKey)-ROW(INDEX(nQ11_CaseKey,1,1))+1)/((nQ11_CaseKey=$H$4)),AG149),0)))</f>
        <v>0</v>
      </c>
      <c r="AJ149" s="1" t="str">
        <f>IF($AF149=0,"",CHOOSE($AF149,INDEX(nINT_Case_ID,$AH149)&amp;"",INDEX(nQ1_Case_ID,$AH149)&amp;"",INDEX(nQ2_Case_ID,$AH149)&amp;"",INDEX(nQ3_Case_ID,$AH149)&amp;"",INDEX(nQ4_Case_ID,$AH149)&amp;"",INDEX(nQ5_Case_ID,$AH149)&amp;"",INDEX(nQ6_Case_ID,$AH149)&amp;"",INDEX(nQ7_Case_ID,$AH149)&amp;"",INDEX(nQ8_Case_ID,$AH149)&amp;"",INDEX(nQ9_Case_ID,$AH149)&amp;"",INDEX(nQ10_Case_ID,$AH149)&amp;"",INDEX(nQ11_Case_ID,$AH149)&amp;""))</f>
        <v/>
      </c>
      <c r="AK149" s="1" t="str">
        <f>IF($AF149=0,"",CHOOSE($AF149,INDEX(nINT_Case_Version,$AH149),INDEX(nQ1_Case_Version,$AH149),INDEX(nQ2_Case_Version,$AH149),INDEX(nQ3_Case_Version,$AH149),INDEX(nQ4_Case_Version,$AH149),INDEX(nQ5_Case_Version,$AH149),INDEX(nQ6_Case_Version,$AH149),INDEX(nQ7_Case_Version,$AH149),INDEX(nQ8_Case_Version,$AH149),INDEX(nQ9_Case_Version,$AH149),INDEX(nQ10_Case_Version,$AH149),INDEX(nQ11_Case_Version,$AH149)))</f>
        <v/>
      </c>
      <c r="AL149" s="1" t="str">
        <f>IF($AF149=0,"",CHOOSE($AF149,INDEX(nINT_Interval_ID,$AH149)&amp;"",INDEX(nQ1_Calc_ID,$AH149)&amp;"",INDEX(nQ2_Calc_ID,$AH149)&amp;"",INDEX(nQ3_Calc_ID,$AH149)&amp;"",INDEX(nQ4_Calc_ID,$AH149)&amp;"",INDEX(nQ5_Calc_ID,$AH149)&amp;"",INDEX(nQ6_Calc_ID,$AH149)&amp;"",INDEX(nQ7_Calc_ID,$AH149)&amp;"",INDEX(nQ8_Calc_ID,$AH149)&amp;"",INDEX(nQ9_Calc_ID,$AH149)&amp;"",INDEX(nQ10_Calc_ID,$AH149)&amp;"",INDEX(nQ11_Calc_ID,$AH149)&amp;""))</f>
        <v/>
      </c>
      <c r="AM149" s="1" t="str">
        <f>IF($AF149=0,"",CHOOSE($AF149,INDEX(nINT_Label,$AH149)&amp;"",INDEX(nQ1_Label_Out,$AH149)&amp;"",INDEX(nQ2_Label_Out,$AH149)&amp;"",INDEX(nQ3_Label_Out,$AH149)&amp;"",INDEX(nQ4_Label_Out,$AH149)&amp;"",INDEX(nQ5_Label_Out,$AH149)&amp;"",INDEX(nQ6_Label_Out,$AH149)&amp;"",INDEX(nQ7_Label_Out,$AH149)&amp;"",INDEX(nQ8_Label_Out,$AH149)&amp;"",INDEX(nQ9_Label_Out,$AH149)&amp;"",INDEX(nQ10_Label_Out,$AH149)&amp;"",INDEX(nQ11_Label_Out,$AH149)&amp;""))</f>
        <v/>
      </c>
      <c r="AN149" s="1" t="str">
        <f>IF($AF149=0,"",CHOOSE($AF149,IF(INDEX(nINT_LinkRow,$AH149)=0,"",INDEX(nINT_Link_ID,$AH149)&amp;""),"","","","","","","","","","",""))</f>
        <v/>
      </c>
      <c r="AO149" s="1" t="str">
        <f>IF($AF149=0,"",CHOOSE($AF149,INDEX(nINT_Exposure_Episode_ID,$AH149)&amp;"","","","","","","","","","","",""))</f>
        <v/>
      </c>
      <c r="AP149" s="1" t="str">
        <f>IF($AF149=0,"",CHOOSE($AF149,INDEX(nINT_Event_Episode_ID,$AH149)&amp;"","","","","","","","","","","",""))</f>
        <v/>
      </c>
      <c r="AQ149" s="1" t="str">
        <f>IF($AF149=0,"",CHOOSE($AF149,INDEX(nINT_End_Record_ID_Used,$AH149)&amp;"","","","","","","","","","","",""))</f>
        <v/>
      </c>
      <c r="AR149" s="1" t="str">
        <f>IF($AF149=0,"",CHOOSE($AF149,INDEX(nINT_Interval_Value,$AH149),"","","","","","","","","","",""))</f>
        <v/>
      </c>
      <c r="AS149" s="1" t="str">
        <f>IF($AF149=0,"",CHOOSE($AF149,INDEX(nINT_Interval_Minimum,$AH149),"","","","","","","","","","",""))</f>
        <v/>
      </c>
      <c r="AT149" s="1" t="str">
        <f>IF($AF149=0,"",CHOOSE($AF149,INDEX(nINT_Interval_Maximum,$AH149),"","","","","","","","","","",""))</f>
        <v/>
      </c>
      <c r="AU149" s="1" t="str">
        <f>IF($AF149=0,"",CHOOSE($AF149,INDEX(nINT_Unit,$AH149)&amp;"",INDEX(nQ1_Unit_Out,$AH149)&amp;"",INDEX(nQ2_Unit_Out,$AH149)&amp;"",INDEX(nQ3_Unit_Out,$AH149)&amp;"",INDEX(nQ4_Unit_Out,$AH149)&amp;"",INDEX(nQ5_Unit_Out,$AH149)&amp;"",INDEX(nQ6_Unit_Out,$AH149)&amp;"",INDEX(nQ7_Unit_Out,$AH149)&amp;"",INDEX(nQ8_Unit_Out,$AH149)&amp;"",INDEX(nQ9_Unit_Out,$AH149)&amp;"",INDEX(nQ10_Unit_Out,$AH149)&amp;"",INDEX(nQ11_Unit_Out,$AH149)&amp;""))</f>
        <v/>
      </c>
      <c r="AV149" s="1" t="str">
        <f>IF($AF149=0,"",CHOOSE($AF149,INDEX(nINT_Displayed_Value,$AH149)&amp;"",INDEX(nQ1_Displayed_Value,$AH149)&amp;"",INDEX(nQ2_Displayed_Value,$AH149)&amp;"",INDEX(nQ3_Displayed_Value,$AH149)&amp;"",INDEX(nQ4_Displayed_Value,$AH149)&amp;"",INDEX(nQ5_Displayed_Value,$AH149)&amp;"",INDEX(nQ6_Displayed_Value,$AH149)&amp;"",INDEX(nQ7_Displayed_Value,$AH149)&amp;"",INDEX(nQ8_Displayed_Value,$AH149)&amp;"",INDEX(nQ9_Displayed_Value,$AH149)&amp;"",INDEX(nQ10_Displayed_Value,$AH149)&amp;"",INDEX(nQ11_Displayed_Value,$AH149)&amp;""))</f>
        <v/>
      </c>
      <c r="AW149" s="1" t="str">
        <f>IF($AF149=0,"",CHOOSE($AF149,INDEX(nINT_Calculation_Mode_Used,$AH149)&amp;"","Q1","Q2","Q3","Q4","Q5","Q6","Q7","Q8","Q9","Q10","Q11"))</f>
        <v/>
      </c>
      <c r="AX149" s="1" t="str">
        <f>IF($AF149=0,"",CHOOSE($AF149,INDEX(nINT_Anchor_Type,$AH149)&amp;"","","","","","","","","","","",""))</f>
        <v/>
      </c>
      <c r="AY149" s="1" t="str">
        <f>IF($AF149=0,"",CHOOSE($AF149,IF(INDEX(nINT_K_Ok,$AH149)=1,INDEX(nINT_Anchor_Record_ID_Used,$AH149)&amp;"",""),"","","","","","","","","","",""))</f>
        <v/>
      </c>
      <c r="AZ149" s="1" t="str">
        <f>IF($AF149=0,"",CHOOSE($AF149,INDEX(nINT_Anchor_Description,$AH149)&amp;"","","","","","","","","","","",""))</f>
        <v/>
      </c>
      <c r="BA149" s="1" t="str">
        <f>IF($AF149=0,"",CHOOSE($AF149,INDEX(nINT_Sequence_Status,$AH149)&amp;"","","","","","","","","","","",""))</f>
        <v/>
      </c>
      <c r="BB149" s="1" t="str">
        <f>IF($AF149=0,"",CHOOSE($AF149,INDEX(nINT_Treatment_Day,$AH149),"","","","","","","","","","",""))</f>
        <v/>
      </c>
      <c r="BC149" s="1" t="str">
        <f>IF($AF149=0,"",CHOOSE($AF149,INDEX(nINT_Reported_Timing_Result,$AH149)&amp;"","","","","","","","","","","",""))</f>
        <v/>
      </c>
      <c r="BD149" s="1" t="str">
        <f>IF($AF149=0,"",CHOOSE($AF149,IF(INDEX(nINT_K_HasC,$AH149)=1,INDEX(nINT_Constraint_Source,$AH149)&amp;"",""),"","","","","","","","","","",""))</f>
        <v/>
      </c>
      <c r="BE149" s="1" t="str">
        <f>IF($AF149=0,"",CHOOSE($AF149,"",INDEX(nQ1_Results_Text,$AH149)&amp;"",INDEX(nQ2_Results_Text,$AH149)&amp;"",INDEX(nQ3_Results_Text,$AH149)&amp;"",INDEX(nQ4_Results_Text,$AH149)&amp;"",INDEX(nQ5_Results_Text,$AH149)&amp;"",INDEX(nQ6_Results_Text,$AH149)&amp;"",INDEX(nQ7_Results_Text,$AH149)&amp;"",INDEX(nQ8_Results_Text,$AH149)&amp;"",INDEX(nQ9_Results_Text,$AH149)&amp;"",INDEX(nQ10_Results_Text,$AH149)&amp;"",INDEX(nQ11_Results_Text,$AH149)&amp;""))</f>
        <v/>
      </c>
      <c r="BF149" s="1" t="str">
        <f>IF($AF149=0,"",CHOOSE($AF149,INDEX(nINT_Parameter_Set,$AH149)&amp;"",INDEX(nQ1_Parameter_Set,$AH149)&amp;"",INDEX(nQ2_Parameter_Set,$AH149)&amp;"",INDEX(nQ3_Parameter_Set,$AH149)&amp;"",INDEX(nQ4_Parameter_Set,$AH149)&amp;"",INDEX(nQ5_Parameter_Set,$AH149)&amp;"",INDEX(nQ6_Parameter_Set,$AH149)&amp;"",INDEX(nQ7_Parameter_Set,$AH149)&amp;"",INDEX(nQ8_Parameter_Set,$AH149)&amp;"",INDEX(nQ9_Parameter_Set,$AH149)&amp;"",INDEX(nQ10_Parameter_Set,$AH149)&amp;"",INDEX(nQ11_Parameter_Set,$AH149)&amp;""))</f>
        <v/>
      </c>
      <c r="BG149" s="1" t="str">
        <f>IF($AF149=0,"",CHOOSE($AF149,INDEX(nINT_Assumptions,$AH149)&amp;"",INDEX(nQ1_Assumptions,$AH149)&amp;"",INDEX(nQ2_Assumptions,$AH149)&amp;"",INDEX(nQ3_Assumptions,$AH149)&amp;"",INDEX(nQ4_Assumptions,$AH149)&amp;"",INDEX(nQ5_Assumptions,$AH149)&amp;"",INDEX(nQ6_Assumptions,$AH149)&amp;"",INDEX(nQ7_Assumptions,$AH149)&amp;"",INDEX(nQ8_Assumptions,$AH149)&amp;"",INDEX(nQ9_Assumptions,$AH149)&amp;"",INDEX(nQ10_Assumptions,$AH149)&amp;"",INDEX(nQ11_Assumptions,$AH149)&amp;""))</f>
        <v/>
      </c>
      <c r="BH149" s="1" t="str">
        <f>IF($AF149=0,"",CHOOSE($AF149,INDEX(nINT_Calculation_Version,$AH149)&amp;"",INDEX(nQ1_Calculation_Version,$AH149)&amp;"",INDEX(nQ2_Calculation_Version,$AH149)&amp;"",INDEX(nQ3_Calculation_Version,$AH149)&amp;"",INDEX(nQ4_Calculation_Version,$AH149)&amp;"",INDEX(nQ5_Calculation_Version,$AH149)&amp;"",INDEX(nQ6_Calculation_Version,$AH149)&amp;"",INDEX(nQ7_Calculation_Version,$AH149)&amp;"",INDEX(nQ8_Calculation_Version,$AH149)&amp;"",INDEX(nQ9_Calculation_Version,$AH149)&amp;"",INDEX(nQ10_Calculation_Version,$AH149)&amp;"",INDEX(nQ11_Calculation_Version,$AH149)&amp;""))</f>
        <v/>
      </c>
      <c r="BI149" s="1" t="str">
        <f>IF($AF149=0,"",CHOOSE($AF149,INDEX(nINT_QC_Flags,$AH149)&amp;"",INDEX(nQ1_QC_Flags,$AH149)&amp;"",INDEX(nQ2_QC_Flags,$AH149)&amp;"",INDEX(nQ3_QC_Flags,$AH149)&amp;"",INDEX(nQ4_QC_Flags,$AH149)&amp;"",INDEX(nQ5_QC_Flags,$AH149)&amp;"",INDEX(nQ6_QC_Flags,$AH149)&amp;"",INDEX(nQ7_QC_Flags,$AH149)&amp;"",INDEX(nQ8_QC_Flags,$AH149)&amp;"",INDEX(nQ9_QC_Flags,$AH149)&amp;"",INDEX(nQ10_QC_Flags,$AH149)&amp;"",INDEX(nQ11_QC_Flags,$AH149)&amp;""))</f>
        <v/>
      </c>
      <c r="BJ149" s="1" t="str">
        <f>IF($AF149=0,"",CHOOSE($AF149,INDEX(nINT_Messages,$AH149)&amp;"",INDEX(nQ1_Messages,$AH149)&amp;"",INDEX(nQ2_Messages,$AH149)&amp;"",INDEX(nQ3_Messages,$AH149)&amp;"",INDEX(nQ4_Messages,$AH149)&amp;"",INDEX(nQ5_Messages,$AH149)&amp;"",INDEX(nQ6_Messages,$AH149)&amp;"",INDEX(nQ7_Messages,$AH149)&amp;"",INDEX(nQ8_Messages,$AH149)&amp;"",INDEX(nQ9_Messages,$AH149)&amp;"",INDEX(nQ10_Messages,$AH149)&amp;"",INDEX(nQ11_Messages,$AH149)&amp;""))</f>
        <v/>
      </c>
      <c r="BK149" s="1" t="str">
        <f>IF($AF149=0,"",CHOOSE($AF149,INDEX(nINT_Limitations,$AH149)&amp;"",INDEX(nQ1_Mandatory_Text,$AH149)&amp;"",INDEX(nQ2_Mandatory_Text,$AH149)&amp;"",INDEX(nQ3_Mandatory_Text,$AH149)&amp;"",INDEX(nQ4_Mandatory_Text,$AH149)&amp;"",INDEX(nQ5_Mandatory_Text,$AH149)&amp;"",INDEX(nQ6_Mandatory_Text,$AH149)&amp;"",INDEX(nQ7_Mandatory_Text,$AH149)&amp;"",INDEX(nQ8_Mandatory_Text,$AH149)&amp;"",INDEX(nQ9_Mandatory_Text,$AH149)&amp;"",INDEX(nQ10_Mandatory_Text,$AH149)&amp;"",INDEX(nQ11_Mandatory_Text,$AH149)&amp;""))</f>
        <v/>
      </c>
      <c r="BL149" s="1" t="str">
        <f t="shared" si="103"/>
        <v/>
      </c>
      <c r="BM149" s="1" t="str">
        <f t="shared" si="104"/>
        <v/>
      </c>
    </row>
    <row r="150" spans="1:65" x14ac:dyDescent="0.2">
      <c r="A150" s="21" t="str">
        <f t="shared" si="70"/>
        <v/>
      </c>
      <c r="B150" s="21" t="str">
        <f t="shared" si="71"/>
        <v/>
      </c>
      <c r="C150" s="21" t="str">
        <f t="shared" si="72"/>
        <v/>
      </c>
      <c r="D150" s="21" t="str">
        <f t="shared" si="73"/>
        <v/>
      </c>
      <c r="E150" s="21" t="str">
        <f t="shared" si="74"/>
        <v/>
      </c>
      <c r="F150" s="21" t="str">
        <f t="shared" si="75"/>
        <v/>
      </c>
      <c r="G150" s="21" t="str">
        <f t="shared" si="76"/>
        <v/>
      </c>
      <c r="H150" s="21" t="str">
        <f t="shared" si="77"/>
        <v/>
      </c>
      <c r="I150" s="21" t="str">
        <f t="shared" si="78"/>
        <v/>
      </c>
      <c r="J150" s="21" t="str">
        <f t="shared" si="79"/>
        <v/>
      </c>
      <c r="K150" s="21" t="str">
        <f t="shared" si="80"/>
        <v/>
      </c>
      <c r="L150" s="21" t="str">
        <f t="shared" si="81"/>
        <v/>
      </c>
      <c r="M150" s="21" t="str">
        <f t="shared" si="82"/>
        <v/>
      </c>
      <c r="N150" s="21" t="str">
        <f t="shared" si="83"/>
        <v/>
      </c>
      <c r="O150" s="21" t="str">
        <f t="shared" si="84"/>
        <v/>
      </c>
      <c r="P150" s="21" t="str">
        <f t="shared" si="85"/>
        <v/>
      </c>
      <c r="Q150" s="21" t="str">
        <f t="shared" si="86"/>
        <v/>
      </c>
      <c r="R150" s="21" t="str">
        <f t="shared" si="87"/>
        <v/>
      </c>
      <c r="S150" s="21" t="str">
        <f t="shared" si="88"/>
        <v/>
      </c>
      <c r="T150" s="21" t="str">
        <f t="shared" si="89"/>
        <v/>
      </c>
      <c r="U150" s="21" t="str">
        <f t="shared" si="90"/>
        <v/>
      </c>
      <c r="V150" s="21" t="str">
        <f t="shared" si="91"/>
        <v/>
      </c>
      <c r="W150" s="21" t="str">
        <f t="shared" si="92"/>
        <v/>
      </c>
      <c r="X150" s="21" t="str">
        <f t="shared" si="93"/>
        <v/>
      </c>
      <c r="Y150" s="21" t="str">
        <f t="shared" si="94"/>
        <v/>
      </c>
      <c r="Z150" s="21" t="str">
        <f t="shared" si="95"/>
        <v/>
      </c>
      <c r="AA150" s="21" t="str">
        <f t="shared" si="96"/>
        <v/>
      </c>
      <c r="AB150" s="21" t="str">
        <f t="shared" si="97"/>
        <v/>
      </c>
      <c r="AC150" s="21" t="str">
        <f t="shared" si="98"/>
        <v/>
      </c>
      <c r="AD150" s="21" t="str">
        <f t="shared" si="99"/>
        <v/>
      </c>
      <c r="AE150" s="1">
        <f t="shared" si="100"/>
        <v>143</v>
      </c>
      <c r="AF150" s="1">
        <f t="shared" si="101"/>
        <v>0</v>
      </c>
      <c r="AG150" s="1">
        <f t="shared" si="102"/>
        <v>0</v>
      </c>
      <c r="AH150" s="1">
        <f>IF(AF150=0,0,CHOOSE(AF150,IFERROR(_xlfn.AGGREGATE(15,6,(ROW(nINT_CaseKey)-ROW(INDEX(nINT_CaseKey,1,1))+1)/((nINT_CaseKey=$H$4)*(nINT_RowEmpty=0)),AG150),0),IFERROR(_xlfn.AGGREGATE(15,6,(ROW(nQ1_CaseKey)-ROW(INDEX(nQ1_CaseKey,1,1))+1)/((nQ1_CaseKey=$H$4)),AG150),0),IFERROR(_xlfn.AGGREGATE(15,6,(ROW(nQ2_CaseKey)-ROW(INDEX(nQ2_CaseKey,1,1))+1)/((nQ2_CaseKey=$H$4)),AG150),0),IFERROR(_xlfn.AGGREGATE(15,6,(ROW(nQ3_CaseKey)-ROW(INDEX(nQ3_CaseKey,1,1))+1)/((nQ3_CaseKey=$H$4)),AG150),0),IFERROR(_xlfn.AGGREGATE(15,6,(ROW(nQ4_CaseKey)-ROW(INDEX(nQ4_CaseKey,1,1))+1)/((nQ4_CaseKey=$H$4)),AG150),0),IFERROR(_xlfn.AGGREGATE(15,6,(ROW(nQ5_CaseKey)-ROW(INDEX(nQ5_CaseKey,1,1))+1)/((nQ5_CaseKey=$H$4)),AG150),0),IFERROR(_xlfn.AGGREGATE(15,6,(ROW(nQ6_CaseKey)-ROW(INDEX(nQ6_CaseKey,1,1))+1)/((nQ6_CaseKey=$H$4)),AG150),0),IFERROR(_xlfn.AGGREGATE(15,6,(ROW(nQ7_CaseKey)-ROW(INDEX(nQ7_CaseKey,1,1))+1)/((nQ7_CaseKey=$H$4)),AG150),0),IFERROR(_xlfn.AGGREGATE(15,6,(ROW(nQ8_CaseKey)-ROW(INDEX(nQ8_CaseKey,1,1))+1)/((nQ8_CaseKey=$H$4)),AG150),0),IFERROR(_xlfn.AGGREGATE(15,6,(ROW(nQ9_CaseKey)-ROW(INDEX(nQ9_CaseKey,1,1))+1)/((nQ9_CaseKey=$H$4)),AG150),0),IFERROR(_xlfn.AGGREGATE(15,6,(ROW(nQ10_CaseKey)-ROW(INDEX(nQ10_CaseKey,1,1))+1)/((nQ10_CaseKey=$H$4)),AG150),0),IFERROR(_xlfn.AGGREGATE(15,6,(ROW(nQ11_CaseKey)-ROW(INDEX(nQ11_CaseKey,1,1))+1)/((nQ11_CaseKey=$H$4)),AG150),0)))</f>
        <v>0</v>
      </c>
      <c r="AJ150" s="1" t="str">
        <f>IF($AF150=0,"",CHOOSE($AF150,INDEX(nINT_Case_ID,$AH150)&amp;"",INDEX(nQ1_Case_ID,$AH150)&amp;"",INDEX(nQ2_Case_ID,$AH150)&amp;"",INDEX(nQ3_Case_ID,$AH150)&amp;"",INDEX(nQ4_Case_ID,$AH150)&amp;"",INDEX(nQ5_Case_ID,$AH150)&amp;"",INDEX(nQ6_Case_ID,$AH150)&amp;"",INDEX(nQ7_Case_ID,$AH150)&amp;"",INDEX(nQ8_Case_ID,$AH150)&amp;"",INDEX(nQ9_Case_ID,$AH150)&amp;"",INDEX(nQ10_Case_ID,$AH150)&amp;"",INDEX(nQ11_Case_ID,$AH150)&amp;""))</f>
        <v/>
      </c>
      <c r="AK150" s="1" t="str">
        <f>IF($AF150=0,"",CHOOSE($AF150,INDEX(nINT_Case_Version,$AH150),INDEX(nQ1_Case_Version,$AH150),INDEX(nQ2_Case_Version,$AH150),INDEX(nQ3_Case_Version,$AH150),INDEX(nQ4_Case_Version,$AH150),INDEX(nQ5_Case_Version,$AH150),INDEX(nQ6_Case_Version,$AH150),INDEX(nQ7_Case_Version,$AH150),INDEX(nQ8_Case_Version,$AH150),INDEX(nQ9_Case_Version,$AH150),INDEX(nQ10_Case_Version,$AH150),INDEX(nQ11_Case_Version,$AH150)))</f>
        <v/>
      </c>
      <c r="AL150" s="1" t="str">
        <f>IF($AF150=0,"",CHOOSE($AF150,INDEX(nINT_Interval_ID,$AH150)&amp;"",INDEX(nQ1_Calc_ID,$AH150)&amp;"",INDEX(nQ2_Calc_ID,$AH150)&amp;"",INDEX(nQ3_Calc_ID,$AH150)&amp;"",INDEX(nQ4_Calc_ID,$AH150)&amp;"",INDEX(nQ5_Calc_ID,$AH150)&amp;"",INDEX(nQ6_Calc_ID,$AH150)&amp;"",INDEX(nQ7_Calc_ID,$AH150)&amp;"",INDEX(nQ8_Calc_ID,$AH150)&amp;"",INDEX(nQ9_Calc_ID,$AH150)&amp;"",INDEX(nQ10_Calc_ID,$AH150)&amp;"",INDEX(nQ11_Calc_ID,$AH150)&amp;""))</f>
        <v/>
      </c>
      <c r="AM150" s="1" t="str">
        <f>IF($AF150=0,"",CHOOSE($AF150,INDEX(nINT_Label,$AH150)&amp;"",INDEX(nQ1_Label_Out,$AH150)&amp;"",INDEX(nQ2_Label_Out,$AH150)&amp;"",INDEX(nQ3_Label_Out,$AH150)&amp;"",INDEX(nQ4_Label_Out,$AH150)&amp;"",INDEX(nQ5_Label_Out,$AH150)&amp;"",INDEX(nQ6_Label_Out,$AH150)&amp;"",INDEX(nQ7_Label_Out,$AH150)&amp;"",INDEX(nQ8_Label_Out,$AH150)&amp;"",INDEX(nQ9_Label_Out,$AH150)&amp;"",INDEX(nQ10_Label_Out,$AH150)&amp;"",INDEX(nQ11_Label_Out,$AH150)&amp;""))</f>
        <v/>
      </c>
      <c r="AN150" s="1" t="str">
        <f>IF($AF150=0,"",CHOOSE($AF150,IF(INDEX(nINT_LinkRow,$AH150)=0,"",INDEX(nINT_Link_ID,$AH150)&amp;""),"","","","","","","","","","",""))</f>
        <v/>
      </c>
      <c r="AO150" s="1" t="str">
        <f>IF($AF150=0,"",CHOOSE($AF150,INDEX(nINT_Exposure_Episode_ID,$AH150)&amp;"","","","","","","","","","","",""))</f>
        <v/>
      </c>
      <c r="AP150" s="1" t="str">
        <f>IF($AF150=0,"",CHOOSE($AF150,INDEX(nINT_Event_Episode_ID,$AH150)&amp;"","","","","","","","","","","",""))</f>
        <v/>
      </c>
      <c r="AQ150" s="1" t="str">
        <f>IF($AF150=0,"",CHOOSE($AF150,INDEX(nINT_End_Record_ID_Used,$AH150)&amp;"","","","","","","","","","","",""))</f>
        <v/>
      </c>
      <c r="AR150" s="1" t="str">
        <f>IF($AF150=0,"",CHOOSE($AF150,INDEX(nINT_Interval_Value,$AH150),"","","","","","","","","","",""))</f>
        <v/>
      </c>
      <c r="AS150" s="1" t="str">
        <f>IF($AF150=0,"",CHOOSE($AF150,INDEX(nINT_Interval_Minimum,$AH150),"","","","","","","","","","",""))</f>
        <v/>
      </c>
      <c r="AT150" s="1" t="str">
        <f>IF($AF150=0,"",CHOOSE($AF150,INDEX(nINT_Interval_Maximum,$AH150),"","","","","","","","","","",""))</f>
        <v/>
      </c>
      <c r="AU150" s="1" t="str">
        <f>IF($AF150=0,"",CHOOSE($AF150,INDEX(nINT_Unit,$AH150)&amp;"",INDEX(nQ1_Unit_Out,$AH150)&amp;"",INDEX(nQ2_Unit_Out,$AH150)&amp;"",INDEX(nQ3_Unit_Out,$AH150)&amp;"",INDEX(nQ4_Unit_Out,$AH150)&amp;"",INDEX(nQ5_Unit_Out,$AH150)&amp;"",INDEX(nQ6_Unit_Out,$AH150)&amp;"",INDEX(nQ7_Unit_Out,$AH150)&amp;"",INDEX(nQ8_Unit_Out,$AH150)&amp;"",INDEX(nQ9_Unit_Out,$AH150)&amp;"",INDEX(nQ10_Unit_Out,$AH150)&amp;"",INDEX(nQ11_Unit_Out,$AH150)&amp;""))</f>
        <v/>
      </c>
      <c r="AV150" s="1" t="str">
        <f>IF($AF150=0,"",CHOOSE($AF150,INDEX(nINT_Displayed_Value,$AH150)&amp;"",INDEX(nQ1_Displayed_Value,$AH150)&amp;"",INDEX(nQ2_Displayed_Value,$AH150)&amp;"",INDEX(nQ3_Displayed_Value,$AH150)&amp;"",INDEX(nQ4_Displayed_Value,$AH150)&amp;"",INDEX(nQ5_Displayed_Value,$AH150)&amp;"",INDEX(nQ6_Displayed_Value,$AH150)&amp;"",INDEX(nQ7_Displayed_Value,$AH150)&amp;"",INDEX(nQ8_Displayed_Value,$AH150)&amp;"",INDEX(nQ9_Displayed_Value,$AH150)&amp;"",INDEX(nQ10_Displayed_Value,$AH150)&amp;"",INDEX(nQ11_Displayed_Value,$AH150)&amp;""))</f>
        <v/>
      </c>
      <c r="AW150" s="1" t="str">
        <f>IF($AF150=0,"",CHOOSE($AF150,INDEX(nINT_Calculation_Mode_Used,$AH150)&amp;"","Q1","Q2","Q3","Q4","Q5","Q6","Q7","Q8","Q9","Q10","Q11"))</f>
        <v/>
      </c>
      <c r="AX150" s="1" t="str">
        <f>IF($AF150=0,"",CHOOSE($AF150,INDEX(nINT_Anchor_Type,$AH150)&amp;"","","","","","","","","","","",""))</f>
        <v/>
      </c>
      <c r="AY150" s="1" t="str">
        <f>IF($AF150=0,"",CHOOSE($AF150,IF(INDEX(nINT_K_Ok,$AH150)=1,INDEX(nINT_Anchor_Record_ID_Used,$AH150)&amp;"",""),"","","","","","","","","","",""))</f>
        <v/>
      </c>
      <c r="AZ150" s="1" t="str">
        <f>IF($AF150=0,"",CHOOSE($AF150,INDEX(nINT_Anchor_Description,$AH150)&amp;"","","","","","","","","","","",""))</f>
        <v/>
      </c>
      <c r="BA150" s="1" t="str">
        <f>IF($AF150=0,"",CHOOSE($AF150,INDEX(nINT_Sequence_Status,$AH150)&amp;"","","","","","","","","","","",""))</f>
        <v/>
      </c>
      <c r="BB150" s="1" t="str">
        <f>IF($AF150=0,"",CHOOSE($AF150,INDEX(nINT_Treatment_Day,$AH150),"","","","","","","","","","",""))</f>
        <v/>
      </c>
      <c r="BC150" s="1" t="str">
        <f>IF($AF150=0,"",CHOOSE($AF150,INDEX(nINT_Reported_Timing_Result,$AH150)&amp;"","","","","","","","","","","",""))</f>
        <v/>
      </c>
      <c r="BD150" s="1" t="str">
        <f>IF($AF150=0,"",CHOOSE($AF150,IF(INDEX(nINT_K_HasC,$AH150)=1,INDEX(nINT_Constraint_Source,$AH150)&amp;"",""),"","","","","","","","","","",""))</f>
        <v/>
      </c>
      <c r="BE150" s="1" t="str">
        <f>IF($AF150=0,"",CHOOSE($AF150,"",INDEX(nQ1_Results_Text,$AH150)&amp;"",INDEX(nQ2_Results_Text,$AH150)&amp;"",INDEX(nQ3_Results_Text,$AH150)&amp;"",INDEX(nQ4_Results_Text,$AH150)&amp;"",INDEX(nQ5_Results_Text,$AH150)&amp;"",INDEX(nQ6_Results_Text,$AH150)&amp;"",INDEX(nQ7_Results_Text,$AH150)&amp;"",INDEX(nQ8_Results_Text,$AH150)&amp;"",INDEX(nQ9_Results_Text,$AH150)&amp;"",INDEX(nQ10_Results_Text,$AH150)&amp;"",INDEX(nQ11_Results_Text,$AH150)&amp;""))</f>
        <v/>
      </c>
      <c r="BF150" s="1" t="str">
        <f>IF($AF150=0,"",CHOOSE($AF150,INDEX(nINT_Parameter_Set,$AH150)&amp;"",INDEX(nQ1_Parameter_Set,$AH150)&amp;"",INDEX(nQ2_Parameter_Set,$AH150)&amp;"",INDEX(nQ3_Parameter_Set,$AH150)&amp;"",INDEX(nQ4_Parameter_Set,$AH150)&amp;"",INDEX(nQ5_Parameter_Set,$AH150)&amp;"",INDEX(nQ6_Parameter_Set,$AH150)&amp;"",INDEX(nQ7_Parameter_Set,$AH150)&amp;"",INDEX(nQ8_Parameter_Set,$AH150)&amp;"",INDEX(nQ9_Parameter_Set,$AH150)&amp;"",INDEX(nQ10_Parameter_Set,$AH150)&amp;"",INDEX(nQ11_Parameter_Set,$AH150)&amp;""))</f>
        <v/>
      </c>
      <c r="BG150" s="1" t="str">
        <f>IF($AF150=0,"",CHOOSE($AF150,INDEX(nINT_Assumptions,$AH150)&amp;"",INDEX(nQ1_Assumptions,$AH150)&amp;"",INDEX(nQ2_Assumptions,$AH150)&amp;"",INDEX(nQ3_Assumptions,$AH150)&amp;"",INDEX(nQ4_Assumptions,$AH150)&amp;"",INDEX(nQ5_Assumptions,$AH150)&amp;"",INDEX(nQ6_Assumptions,$AH150)&amp;"",INDEX(nQ7_Assumptions,$AH150)&amp;"",INDEX(nQ8_Assumptions,$AH150)&amp;"",INDEX(nQ9_Assumptions,$AH150)&amp;"",INDEX(nQ10_Assumptions,$AH150)&amp;"",INDEX(nQ11_Assumptions,$AH150)&amp;""))</f>
        <v/>
      </c>
      <c r="BH150" s="1" t="str">
        <f>IF($AF150=0,"",CHOOSE($AF150,INDEX(nINT_Calculation_Version,$AH150)&amp;"",INDEX(nQ1_Calculation_Version,$AH150)&amp;"",INDEX(nQ2_Calculation_Version,$AH150)&amp;"",INDEX(nQ3_Calculation_Version,$AH150)&amp;"",INDEX(nQ4_Calculation_Version,$AH150)&amp;"",INDEX(nQ5_Calculation_Version,$AH150)&amp;"",INDEX(nQ6_Calculation_Version,$AH150)&amp;"",INDEX(nQ7_Calculation_Version,$AH150)&amp;"",INDEX(nQ8_Calculation_Version,$AH150)&amp;"",INDEX(nQ9_Calculation_Version,$AH150)&amp;"",INDEX(nQ10_Calculation_Version,$AH150)&amp;"",INDEX(nQ11_Calculation_Version,$AH150)&amp;""))</f>
        <v/>
      </c>
      <c r="BI150" s="1" t="str">
        <f>IF($AF150=0,"",CHOOSE($AF150,INDEX(nINT_QC_Flags,$AH150)&amp;"",INDEX(nQ1_QC_Flags,$AH150)&amp;"",INDEX(nQ2_QC_Flags,$AH150)&amp;"",INDEX(nQ3_QC_Flags,$AH150)&amp;"",INDEX(nQ4_QC_Flags,$AH150)&amp;"",INDEX(nQ5_QC_Flags,$AH150)&amp;"",INDEX(nQ6_QC_Flags,$AH150)&amp;"",INDEX(nQ7_QC_Flags,$AH150)&amp;"",INDEX(nQ8_QC_Flags,$AH150)&amp;"",INDEX(nQ9_QC_Flags,$AH150)&amp;"",INDEX(nQ10_QC_Flags,$AH150)&amp;"",INDEX(nQ11_QC_Flags,$AH150)&amp;""))</f>
        <v/>
      </c>
      <c r="BJ150" s="1" t="str">
        <f>IF($AF150=0,"",CHOOSE($AF150,INDEX(nINT_Messages,$AH150)&amp;"",INDEX(nQ1_Messages,$AH150)&amp;"",INDEX(nQ2_Messages,$AH150)&amp;"",INDEX(nQ3_Messages,$AH150)&amp;"",INDEX(nQ4_Messages,$AH150)&amp;"",INDEX(nQ5_Messages,$AH150)&amp;"",INDEX(nQ6_Messages,$AH150)&amp;"",INDEX(nQ7_Messages,$AH150)&amp;"",INDEX(nQ8_Messages,$AH150)&amp;"",INDEX(nQ9_Messages,$AH150)&amp;"",INDEX(nQ10_Messages,$AH150)&amp;"",INDEX(nQ11_Messages,$AH150)&amp;""))</f>
        <v/>
      </c>
      <c r="BK150" s="1" t="str">
        <f>IF($AF150=0,"",CHOOSE($AF150,INDEX(nINT_Limitations,$AH150)&amp;"",INDEX(nQ1_Mandatory_Text,$AH150)&amp;"",INDEX(nQ2_Mandatory_Text,$AH150)&amp;"",INDEX(nQ3_Mandatory_Text,$AH150)&amp;"",INDEX(nQ4_Mandatory_Text,$AH150)&amp;"",INDEX(nQ5_Mandatory_Text,$AH150)&amp;"",INDEX(nQ6_Mandatory_Text,$AH150)&amp;"",INDEX(nQ7_Mandatory_Text,$AH150)&amp;"",INDEX(nQ8_Mandatory_Text,$AH150)&amp;"",INDEX(nQ9_Mandatory_Text,$AH150)&amp;"",INDEX(nQ10_Mandatory_Text,$AH150)&amp;"",INDEX(nQ11_Mandatory_Text,$AH150)&amp;""))</f>
        <v/>
      </c>
      <c r="BL150" s="1" t="str">
        <f t="shared" si="103"/>
        <v/>
      </c>
      <c r="BM150" s="1" t="str">
        <f t="shared" si="104"/>
        <v/>
      </c>
    </row>
    <row r="151" spans="1:65" x14ac:dyDescent="0.2">
      <c r="A151" s="21" t="str">
        <f t="shared" si="70"/>
        <v/>
      </c>
      <c r="B151" s="21" t="str">
        <f t="shared" si="71"/>
        <v/>
      </c>
      <c r="C151" s="21" t="str">
        <f t="shared" si="72"/>
        <v/>
      </c>
      <c r="D151" s="21" t="str">
        <f t="shared" si="73"/>
        <v/>
      </c>
      <c r="E151" s="21" t="str">
        <f t="shared" si="74"/>
        <v/>
      </c>
      <c r="F151" s="21" t="str">
        <f t="shared" si="75"/>
        <v/>
      </c>
      <c r="G151" s="21" t="str">
        <f t="shared" si="76"/>
        <v/>
      </c>
      <c r="H151" s="21" t="str">
        <f t="shared" si="77"/>
        <v/>
      </c>
      <c r="I151" s="21" t="str">
        <f t="shared" si="78"/>
        <v/>
      </c>
      <c r="J151" s="21" t="str">
        <f t="shared" si="79"/>
        <v/>
      </c>
      <c r="K151" s="21" t="str">
        <f t="shared" si="80"/>
        <v/>
      </c>
      <c r="L151" s="21" t="str">
        <f t="shared" si="81"/>
        <v/>
      </c>
      <c r="M151" s="21" t="str">
        <f t="shared" si="82"/>
        <v/>
      </c>
      <c r="N151" s="21" t="str">
        <f t="shared" si="83"/>
        <v/>
      </c>
      <c r="O151" s="21" t="str">
        <f t="shared" si="84"/>
        <v/>
      </c>
      <c r="P151" s="21" t="str">
        <f t="shared" si="85"/>
        <v/>
      </c>
      <c r="Q151" s="21" t="str">
        <f t="shared" si="86"/>
        <v/>
      </c>
      <c r="R151" s="21" t="str">
        <f t="shared" si="87"/>
        <v/>
      </c>
      <c r="S151" s="21" t="str">
        <f t="shared" si="88"/>
        <v/>
      </c>
      <c r="T151" s="21" t="str">
        <f t="shared" si="89"/>
        <v/>
      </c>
      <c r="U151" s="21" t="str">
        <f t="shared" si="90"/>
        <v/>
      </c>
      <c r="V151" s="21" t="str">
        <f t="shared" si="91"/>
        <v/>
      </c>
      <c r="W151" s="21" t="str">
        <f t="shared" si="92"/>
        <v/>
      </c>
      <c r="X151" s="21" t="str">
        <f t="shared" si="93"/>
        <v/>
      </c>
      <c r="Y151" s="21" t="str">
        <f t="shared" si="94"/>
        <v/>
      </c>
      <c r="Z151" s="21" t="str">
        <f t="shared" si="95"/>
        <v/>
      </c>
      <c r="AA151" s="21" t="str">
        <f t="shared" si="96"/>
        <v/>
      </c>
      <c r="AB151" s="21" t="str">
        <f t="shared" si="97"/>
        <v/>
      </c>
      <c r="AC151" s="21" t="str">
        <f t="shared" si="98"/>
        <v/>
      </c>
      <c r="AD151" s="21" t="str">
        <f t="shared" si="99"/>
        <v/>
      </c>
      <c r="AE151" s="1">
        <f t="shared" si="100"/>
        <v>144</v>
      </c>
      <c r="AF151" s="1">
        <f t="shared" si="101"/>
        <v>0</v>
      </c>
      <c r="AG151" s="1">
        <f t="shared" si="102"/>
        <v>0</v>
      </c>
      <c r="AH151" s="1">
        <f>IF(AF151=0,0,CHOOSE(AF151,IFERROR(_xlfn.AGGREGATE(15,6,(ROW(nINT_CaseKey)-ROW(INDEX(nINT_CaseKey,1,1))+1)/((nINT_CaseKey=$H$4)*(nINT_RowEmpty=0)),AG151),0),IFERROR(_xlfn.AGGREGATE(15,6,(ROW(nQ1_CaseKey)-ROW(INDEX(nQ1_CaseKey,1,1))+1)/((nQ1_CaseKey=$H$4)),AG151),0),IFERROR(_xlfn.AGGREGATE(15,6,(ROW(nQ2_CaseKey)-ROW(INDEX(nQ2_CaseKey,1,1))+1)/((nQ2_CaseKey=$H$4)),AG151),0),IFERROR(_xlfn.AGGREGATE(15,6,(ROW(nQ3_CaseKey)-ROW(INDEX(nQ3_CaseKey,1,1))+1)/((nQ3_CaseKey=$H$4)),AG151),0),IFERROR(_xlfn.AGGREGATE(15,6,(ROW(nQ4_CaseKey)-ROW(INDEX(nQ4_CaseKey,1,1))+1)/((nQ4_CaseKey=$H$4)),AG151),0),IFERROR(_xlfn.AGGREGATE(15,6,(ROW(nQ5_CaseKey)-ROW(INDEX(nQ5_CaseKey,1,1))+1)/((nQ5_CaseKey=$H$4)),AG151),0),IFERROR(_xlfn.AGGREGATE(15,6,(ROW(nQ6_CaseKey)-ROW(INDEX(nQ6_CaseKey,1,1))+1)/((nQ6_CaseKey=$H$4)),AG151),0),IFERROR(_xlfn.AGGREGATE(15,6,(ROW(nQ7_CaseKey)-ROW(INDEX(nQ7_CaseKey,1,1))+1)/((nQ7_CaseKey=$H$4)),AG151),0),IFERROR(_xlfn.AGGREGATE(15,6,(ROW(nQ8_CaseKey)-ROW(INDEX(nQ8_CaseKey,1,1))+1)/((nQ8_CaseKey=$H$4)),AG151),0),IFERROR(_xlfn.AGGREGATE(15,6,(ROW(nQ9_CaseKey)-ROW(INDEX(nQ9_CaseKey,1,1))+1)/((nQ9_CaseKey=$H$4)),AG151),0),IFERROR(_xlfn.AGGREGATE(15,6,(ROW(nQ10_CaseKey)-ROW(INDEX(nQ10_CaseKey,1,1))+1)/((nQ10_CaseKey=$H$4)),AG151),0),IFERROR(_xlfn.AGGREGATE(15,6,(ROW(nQ11_CaseKey)-ROW(INDEX(nQ11_CaseKey,1,1))+1)/((nQ11_CaseKey=$H$4)),AG151),0)))</f>
        <v>0</v>
      </c>
      <c r="AJ151" s="1" t="str">
        <f>IF($AF151=0,"",CHOOSE($AF151,INDEX(nINT_Case_ID,$AH151)&amp;"",INDEX(nQ1_Case_ID,$AH151)&amp;"",INDEX(nQ2_Case_ID,$AH151)&amp;"",INDEX(nQ3_Case_ID,$AH151)&amp;"",INDEX(nQ4_Case_ID,$AH151)&amp;"",INDEX(nQ5_Case_ID,$AH151)&amp;"",INDEX(nQ6_Case_ID,$AH151)&amp;"",INDEX(nQ7_Case_ID,$AH151)&amp;"",INDEX(nQ8_Case_ID,$AH151)&amp;"",INDEX(nQ9_Case_ID,$AH151)&amp;"",INDEX(nQ10_Case_ID,$AH151)&amp;"",INDEX(nQ11_Case_ID,$AH151)&amp;""))</f>
        <v/>
      </c>
      <c r="AK151" s="1" t="str">
        <f>IF($AF151=0,"",CHOOSE($AF151,INDEX(nINT_Case_Version,$AH151),INDEX(nQ1_Case_Version,$AH151),INDEX(nQ2_Case_Version,$AH151),INDEX(nQ3_Case_Version,$AH151),INDEX(nQ4_Case_Version,$AH151),INDEX(nQ5_Case_Version,$AH151),INDEX(nQ6_Case_Version,$AH151),INDEX(nQ7_Case_Version,$AH151),INDEX(nQ8_Case_Version,$AH151),INDEX(nQ9_Case_Version,$AH151),INDEX(nQ10_Case_Version,$AH151),INDEX(nQ11_Case_Version,$AH151)))</f>
        <v/>
      </c>
      <c r="AL151" s="1" t="str">
        <f>IF($AF151=0,"",CHOOSE($AF151,INDEX(nINT_Interval_ID,$AH151)&amp;"",INDEX(nQ1_Calc_ID,$AH151)&amp;"",INDEX(nQ2_Calc_ID,$AH151)&amp;"",INDEX(nQ3_Calc_ID,$AH151)&amp;"",INDEX(nQ4_Calc_ID,$AH151)&amp;"",INDEX(nQ5_Calc_ID,$AH151)&amp;"",INDEX(nQ6_Calc_ID,$AH151)&amp;"",INDEX(nQ7_Calc_ID,$AH151)&amp;"",INDEX(nQ8_Calc_ID,$AH151)&amp;"",INDEX(nQ9_Calc_ID,$AH151)&amp;"",INDEX(nQ10_Calc_ID,$AH151)&amp;"",INDEX(nQ11_Calc_ID,$AH151)&amp;""))</f>
        <v/>
      </c>
      <c r="AM151" s="1" t="str">
        <f>IF($AF151=0,"",CHOOSE($AF151,INDEX(nINT_Label,$AH151)&amp;"",INDEX(nQ1_Label_Out,$AH151)&amp;"",INDEX(nQ2_Label_Out,$AH151)&amp;"",INDEX(nQ3_Label_Out,$AH151)&amp;"",INDEX(nQ4_Label_Out,$AH151)&amp;"",INDEX(nQ5_Label_Out,$AH151)&amp;"",INDEX(nQ6_Label_Out,$AH151)&amp;"",INDEX(nQ7_Label_Out,$AH151)&amp;"",INDEX(nQ8_Label_Out,$AH151)&amp;"",INDEX(nQ9_Label_Out,$AH151)&amp;"",INDEX(nQ10_Label_Out,$AH151)&amp;"",INDEX(nQ11_Label_Out,$AH151)&amp;""))</f>
        <v/>
      </c>
      <c r="AN151" s="1" t="str">
        <f>IF($AF151=0,"",CHOOSE($AF151,IF(INDEX(nINT_LinkRow,$AH151)=0,"",INDEX(nINT_Link_ID,$AH151)&amp;""),"","","","","","","","","","",""))</f>
        <v/>
      </c>
      <c r="AO151" s="1" t="str">
        <f>IF($AF151=0,"",CHOOSE($AF151,INDEX(nINT_Exposure_Episode_ID,$AH151)&amp;"","","","","","","","","","","",""))</f>
        <v/>
      </c>
      <c r="AP151" s="1" t="str">
        <f>IF($AF151=0,"",CHOOSE($AF151,INDEX(nINT_Event_Episode_ID,$AH151)&amp;"","","","","","","","","","","",""))</f>
        <v/>
      </c>
      <c r="AQ151" s="1" t="str">
        <f>IF($AF151=0,"",CHOOSE($AF151,INDEX(nINT_End_Record_ID_Used,$AH151)&amp;"","","","","","","","","","","",""))</f>
        <v/>
      </c>
      <c r="AR151" s="1" t="str">
        <f>IF($AF151=0,"",CHOOSE($AF151,INDEX(nINT_Interval_Value,$AH151),"","","","","","","","","","",""))</f>
        <v/>
      </c>
      <c r="AS151" s="1" t="str">
        <f>IF($AF151=0,"",CHOOSE($AF151,INDEX(nINT_Interval_Minimum,$AH151),"","","","","","","","","","",""))</f>
        <v/>
      </c>
      <c r="AT151" s="1" t="str">
        <f>IF($AF151=0,"",CHOOSE($AF151,INDEX(nINT_Interval_Maximum,$AH151),"","","","","","","","","","",""))</f>
        <v/>
      </c>
      <c r="AU151" s="1" t="str">
        <f>IF($AF151=0,"",CHOOSE($AF151,INDEX(nINT_Unit,$AH151)&amp;"",INDEX(nQ1_Unit_Out,$AH151)&amp;"",INDEX(nQ2_Unit_Out,$AH151)&amp;"",INDEX(nQ3_Unit_Out,$AH151)&amp;"",INDEX(nQ4_Unit_Out,$AH151)&amp;"",INDEX(nQ5_Unit_Out,$AH151)&amp;"",INDEX(nQ6_Unit_Out,$AH151)&amp;"",INDEX(nQ7_Unit_Out,$AH151)&amp;"",INDEX(nQ8_Unit_Out,$AH151)&amp;"",INDEX(nQ9_Unit_Out,$AH151)&amp;"",INDEX(nQ10_Unit_Out,$AH151)&amp;"",INDEX(nQ11_Unit_Out,$AH151)&amp;""))</f>
        <v/>
      </c>
      <c r="AV151" s="1" t="str">
        <f>IF($AF151=0,"",CHOOSE($AF151,INDEX(nINT_Displayed_Value,$AH151)&amp;"",INDEX(nQ1_Displayed_Value,$AH151)&amp;"",INDEX(nQ2_Displayed_Value,$AH151)&amp;"",INDEX(nQ3_Displayed_Value,$AH151)&amp;"",INDEX(nQ4_Displayed_Value,$AH151)&amp;"",INDEX(nQ5_Displayed_Value,$AH151)&amp;"",INDEX(nQ6_Displayed_Value,$AH151)&amp;"",INDEX(nQ7_Displayed_Value,$AH151)&amp;"",INDEX(nQ8_Displayed_Value,$AH151)&amp;"",INDEX(nQ9_Displayed_Value,$AH151)&amp;"",INDEX(nQ10_Displayed_Value,$AH151)&amp;"",INDEX(nQ11_Displayed_Value,$AH151)&amp;""))</f>
        <v/>
      </c>
      <c r="AW151" s="1" t="str">
        <f>IF($AF151=0,"",CHOOSE($AF151,INDEX(nINT_Calculation_Mode_Used,$AH151)&amp;"","Q1","Q2","Q3","Q4","Q5","Q6","Q7","Q8","Q9","Q10","Q11"))</f>
        <v/>
      </c>
      <c r="AX151" s="1" t="str">
        <f>IF($AF151=0,"",CHOOSE($AF151,INDEX(nINT_Anchor_Type,$AH151)&amp;"","","","","","","","","","","",""))</f>
        <v/>
      </c>
      <c r="AY151" s="1" t="str">
        <f>IF($AF151=0,"",CHOOSE($AF151,IF(INDEX(nINT_K_Ok,$AH151)=1,INDEX(nINT_Anchor_Record_ID_Used,$AH151)&amp;"",""),"","","","","","","","","","",""))</f>
        <v/>
      </c>
      <c r="AZ151" s="1" t="str">
        <f>IF($AF151=0,"",CHOOSE($AF151,INDEX(nINT_Anchor_Description,$AH151)&amp;"","","","","","","","","","","",""))</f>
        <v/>
      </c>
      <c r="BA151" s="1" t="str">
        <f>IF($AF151=0,"",CHOOSE($AF151,INDEX(nINT_Sequence_Status,$AH151)&amp;"","","","","","","","","","","",""))</f>
        <v/>
      </c>
      <c r="BB151" s="1" t="str">
        <f>IF($AF151=0,"",CHOOSE($AF151,INDEX(nINT_Treatment_Day,$AH151),"","","","","","","","","","",""))</f>
        <v/>
      </c>
      <c r="BC151" s="1" t="str">
        <f>IF($AF151=0,"",CHOOSE($AF151,INDEX(nINT_Reported_Timing_Result,$AH151)&amp;"","","","","","","","","","","",""))</f>
        <v/>
      </c>
      <c r="BD151" s="1" t="str">
        <f>IF($AF151=0,"",CHOOSE($AF151,IF(INDEX(nINT_K_HasC,$AH151)=1,INDEX(nINT_Constraint_Source,$AH151)&amp;"",""),"","","","","","","","","","",""))</f>
        <v/>
      </c>
      <c r="BE151" s="1" t="str">
        <f>IF($AF151=0,"",CHOOSE($AF151,"",INDEX(nQ1_Results_Text,$AH151)&amp;"",INDEX(nQ2_Results_Text,$AH151)&amp;"",INDEX(nQ3_Results_Text,$AH151)&amp;"",INDEX(nQ4_Results_Text,$AH151)&amp;"",INDEX(nQ5_Results_Text,$AH151)&amp;"",INDEX(nQ6_Results_Text,$AH151)&amp;"",INDEX(nQ7_Results_Text,$AH151)&amp;"",INDEX(nQ8_Results_Text,$AH151)&amp;"",INDEX(nQ9_Results_Text,$AH151)&amp;"",INDEX(nQ10_Results_Text,$AH151)&amp;"",INDEX(nQ11_Results_Text,$AH151)&amp;""))</f>
        <v/>
      </c>
      <c r="BF151" s="1" t="str">
        <f>IF($AF151=0,"",CHOOSE($AF151,INDEX(nINT_Parameter_Set,$AH151)&amp;"",INDEX(nQ1_Parameter_Set,$AH151)&amp;"",INDEX(nQ2_Parameter_Set,$AH151)&amp;"",INDEX(nQ3_Parameter_Set,$AH151)&amp;"",INDEX(nQ4_Parameter_Set,$AH151)&amp;"",INDEX(nQ5_Parameter_Set,$AH151)&amp;"",INDEX(nQ6_Parameter_Set,$AH151)&amp;"",INDEX(nQ7_Parameter_Set,$AH151)&amp;"",INDEX(nQ8_Parameter_Set,$AH151)&amp;"",INDEX(nQ9_Parameter_Set,$AH151)&amp;"",INDEX(nQ10_Parameter_Set,$AH151)&amp;"",INDEX(nQ11_Parameter_Set,$AH151)&amp;""))</f>
        <v/>
      </c>
      <c r="BG151" s="1" t="str">
        <f>IF($AF151=0,"",CHOOSE($AF151,INDEX(nINT_Assumptions,$AH151)&amp;"",INDEX(nQ1_Assumptions,$AH151)&amp;"",INDEX(nQ2_Assumptions,$AH151)&amp;"",INDEX(nQ3_Assumptions,$AH151)&amp;"",INDEX(nQ4_Assumptions,$AH151)&amp;"",INDEX(nQ5_Assumptions,$AH151)&amp;"",INDEX(nQ6_Assumptions,$AH151)&amp;"",INDEX(nQ7_Assumptions,$AH151)&amp;"",INDEX(nQ8_Assumptions,$AH151)&amp;"",INDEX(nQ9_Assumptions,$AH151)&amp;"",INDEX(nQ10_Assumptions,$AH151)&amp;"",INDEX(nQ11_Assumptions,$AH151)&amp;""))</f>
        <v/>
      </c>
      <c r="BH151" s="1" t="str">
        <f>IF($AF151=0,"",CHOOSE($AF151,INDEX(nINT_Calculation_Version,$AH151)&amp;"",INDEX(nQ1_Calculation_Version,$AH151)&amp;"",INDEX(nQ2_Calculation_Version,$AH151)&amp;"",INDEX(nQ3_Calculation_Version,$AH151)&amp;"",INDEX(nQ4_Calculation_Version,$AH151)&amp;"",INDEX(nQ5_Calculation_Version,$AH151)&amp;"",INDEX(nQ6_Calculation_Version,$AH151)&amp;"",INDEX(nQ7_Calculation_Version,$AH151)&amp;"",INDEX(nQ8_Calculation_Version,$AH151)&amp;"",INDEX(nQ9_Calculation_Version,$AH151)&amp;"",INDEX(nQ10_Calculation_Version,$AH151)&amp;"",INDEX(nQ11_Calculation_Version,$AH151)&amp;""))</f>
        <v/>
      </c>
      <c r="BI151" s="1" t="str">
        <f>IF($AF151=0,"",CHOOSE($AF151,INDEX(nINT_QC_Flags,$AH151)&amp;"",INDEX(nQ1_QC_Flags,$AH151)&amp;"",INDEX(nQ2_QC_Flags,$AH151)&amp;"",INDEX(nQ3_QC_Flags,$AH151)&amp;"",INDEX(nQ4_QC_Flags,$AH151)&amp;"",INDEX(nQ5_QC_Flags,$AH151)&amp;"",INDEX(nQ6_QC_Flags,$AH151)&amp;"",INDEX(nQ7_QC_Flags,$AH151)&amp;"",INDEX(nQ8_QC_Flags,$AH151)&amp;"",INDEX(nQ9_QC_Flags,$AH151)&amp;"",INDEX(nQ10_QC_Flags,$AH151)&amp;"",INDEX(nQ11_QC_Flags,$AH151)&amp;""))</f>
        <v/>
      </c>
      <c r="BJ151" s="1" t="str">
        <f>IF($AF151=0,"",CHOOSE($AF151,INDEX(nINT_Messages,$AH151)&amp;"",INDEX(nQ1_Messages,$AH151)&amp;"",INDEX(nQ2_Messages,$AH151)&amp;"",INDEX(nQ3_Messages,$AH151)&amp;"",INDEX(nQ4_Messages,$AH151)&amp;"",INDEX(nQ5_Messages,$AH151)&amp;"",INDEX(nQ6_Messages,$AH151)&amp;"",INDEX(nQ7_Messages,$AH151)&amp;"",INDEX(nQ8_Messages,$AH151)&amp;"",INDEX(nQ9_Messages,$AH151)&amp;"",INDEX(nQ10_Messages,$AH151)&amp;"",INDEX(nQ11_Messages,$AH151)&amp;""))</f>
        <v/>
      </c>
      <c r="BK151" s="1" t="str">
        <f>IF($AF151=0,"",CHOOSE($AF151,INDEX(nINT_Limitations,$AH151)&amp;"",INDEX(nQ1_Mandatory_Text,$AH151)&amp;"",INDEX(nQ2_Mandatory_Text,$AH151)&amp;"",INDEX(nQ3_Mandatory_Text,$AH151)&amp;"",INDEX(nQ4_Mandatory_Text,$AH151)&amp;"",INDEX(nQ5_Mandatory_Text,$AH151)&amp;"",INDEX(nQ6_Mandatory_Text,$AH151)&amp;"",INDEX(nQ7_Mandatory_Text,$AH151)&amp;"",INDEX(nQ8_Mandatory_Text,$AH151)&amp;"",INDEX(nQ9_Mandatory_Text,$AH151)&amp;"",INDEX(nQ10_Mandatory_Text,$AH151)&amp;"",INDEX(nQ11_Mandatory_Text,$AH151)&amp;""))</f>
        <v/>
      </c>
      <c r="BL151" s="1" t="str">
        <f t="shared" si="103"/>
        <v/>
      </c>
      <c r="BM151" s="1" t="str">
        <f t="shared" si="104"/>
        <v/>
      </c>
    </row>
    <row r="152" spans="1:65" x14ac:dyDescent="0.2">
      <c r="A152" s="21" t="str">
        <f t="shared" si="70"/>
        <v/>
      </c>
      <c r="B152" s="21" t="str">
        <f t="shared" si="71"/>
        <v/>
      </c>
      <c r="C152" s="21" t="str">
        <f t="shared" si="72"/>
        <v/>
      </c>
      <c r="D152" s="21" t="str">
        <f t="shared" si="73"/>
        <v/>
      </c>
      <c r="E152" s="21" t="str">
        <f t="shared" si="74"/>
        <v/>
      </c>
      <c r="F152" s="21" t="str">
        <f t="shared" si="75"/>
        <v/>
      </c>
      <c r="G152" s="21" t="str">
        <f t="shared" si="76"/>
        <v/>
      </c>
      <c r="H152" s="21" t="str">
        <f t="shared" si="77"/>
        <v/>
      </c>
      <c r="I152" s="21" t="str">
        <f t="shared" si="78"/>
        <v/>
      </c>
      <c r="J152" s="21" t="str">
        <f t="shared" si="79"/>
        <v/>
      </c>
      <c r="K152" s="21" t="str">
        <f t="shared" si="80"/>
        <v/>
      </c>
      <c r="L152" s="21" t="str">
        <f t="shared" si="81"/>
        <v/>
      </c>
      <c r="M152" s="21" t="str">
        <f t="shared" si="82"/>
        <v/>
      </c>
      <c r="N152" s="21" t="str">
        <f t="shared" si="83"/>
        <v/>
      </c>
      <c r="O152" s="21" t="str">
        <f t="shared" si="84"/>
        <v/>
      </c>
      <c r="P152" s="21" t="str">
        <f t="shared" si="85"/>
        <v/>
      </c>
      <c r="Q152" s="21" t="str">
        <f t="shared" si="86"/>
        <v/>
      </c>
      <c r="R152" s="21" t="str">
        <f t="shared" si="87"/>
        <v/>
      </c>
      <c r="S152" s="21" t="str">
        <f t="shared" si="88"/>
        <v/>
      </c>
      <c r="T152" s="21" t="str">
        <f t="shared" si="89"/>
        <v/>
      </c>
      <c r="U152" s="21" t="str">
        <f t="shared" si="90"/>
        <v/>
      </c>
      <c r="V152" s="21" t="str">
        <f t="shared" si="91"/>
        <v/>
      </c>
      <c r="W152" s="21" t="str">
        <f t="shared" si="92"/>
        <v/>
      </c>
      <c r="X152" s="21" t="str">
        <f t="shared" si="93"/>
        <v/>
      </c>
      <c r="Y152" s="21" t="str">
        <f t="shared" si="94"/>
        <v/>
      </c>
      <c r="Z152" s="21" t="str">
        <f t="shared" si="95"/>
        <v/>
      </c>
      <c r="AA152" s="21" t="str">
        <f t="shared" si="96"/>
        <v/>
      </c>
      <c r="AB152" s="21" t="str">
        <f t="shared" si="97"/>
        <v/>
      </c>
      <c r="AC152" s="21" t="str">
        <f t="shared" si="98"/>
        <v/>
      </c>
      <c r="AD152" s="21" t="str">
        <f t="shared" si="99"/>
        <v/>
      </c>
      <c r="AE152" s="1">
        <f t="shared" si="100"/>
        <v>145</v>
      </c>
      <c r="AF152" s="1">
        <f t="shared" si="101"/>
        <v>0</v>
      </c>
      <c r="AG152" s="1">
        <f t="shared" si="102"/>
        <v>0</v>
      </c>
      <c r="AH152" s="1">
        <f>IF(AF152=0,0,CHOOSE(AF152,IFERROR(_xlfn.AGGREGATE(15,6,(ROW(nINT_CaseKey)-ROW(INDEX(nINT_CaseKey,1,1))+1)/((nINT_CaseKey=$H$4)*(nINT_RowEmpty=0)),AG152),0),IFERROR(_xlfn.AGGREGATE(15,6,(ROW(nQ1_CaseKey)-ROW(INDEX(nQ1_CaseKey,1,1))+1)/((nQ1_CaseKey=$H$4)),AG152),0),IFERROR(_xlfn.AGGREGATE(15,6,(ROW(nQ2_CaseKey)-ROW(INDEX(nQ2_CaseKey,1,1))+1)/((nQ2_CaseKey=$H$4)),AG152),0),IFERROR(_xlfn.AGGREGATE(15,6,(ROW(nQ3_CaseKey)-ROW(INDEX(nQ3_CaseKey,1,1))+1)/((nQ3_CaseKey=$H$4)),AG152),0),IFERROR(_xlfn.AGGREGATE(15,6,(ROW(nQ4_CaseKey)-ROW(INDEX(nQ4_CaseKey,1,1))+1)/((nQ4_CaseKey=$H$4)),AG152),0),IFERROR(_xlfn.AGGREGATE(15,6,(ROW(nQ5_CaseKey)-ROW(INDEX(nQ5_CaseKey,1,1))+1)/((nQ5_CaseKey=$H$4)),AG152),0),IFERROR(_xlfn.AGGREGATE(15,6,(ROW(nQ6_CaseKey)-ROW(INDEX(nQ6_CaseKey,1,1))+1)/((nQ6_CaseKey=$H$4)),AG152),0),IFERROR(_xlfn.AGGREGATE(15,6,(ROW(nQ7_CaseKey)-ROW(INDEX(nQ7_CaseKey,1,1))+1)/((nQ7_CaseKey=$H$4)),AG152),0),IFERROR(_xlfn.AGGREGATE(15,6,(ROW(nQ8_CaseKey)-ROW(INDEX(nQ8_CaseKey,1,1))+1)/((nQ8_CaseKey=$H$4)),AG152),0),IFERROR(_xlfn.AGGREGATE(15,6,(ROW(nQ9_CaseKey)-ROW(INDEX(nQ9_CaseKey,1,1))+1)/((nQ9_CaseKey=$H$4)),AG152),0),IFERROR(_xlfn.AGGREGATE(15,6,(ROW(nQ10_CaseKey)-ROW(INDEX(nQ10_CaseKey,1,1))+1)/((nQ10_CaseKey=$H$4)),AG152),0),IFERROR(_xlfn.AGGREGATE(15,6,(ROW(nQ11_CaseKey)-ROW(INDEX(nQ11_CaseKey,1,1))+1)/((nQ11_CaseKey=$H$4)),AG152),0)))</f>
        <v>0</v>
      </c>
      <c r="AJ152" s="1" t="str">
        <f>IF($AF152=0,"",CHOOSE($AF152,INDEX(nINT_Case_ID,$AH152)&amp;"",INDEX(nQ1_Case_ID,$AH152)&amp;"",INDEX(nQ2_Case_ID,$AH152)&amp;"",INDEX(nQ3_Case_ID,$AH152)&amp;"",INDEX(nQ4_Case_ID,$AH152)&amp;"",INDEX(nQ5_Case_ID,$AH152)&amp;"",INDEX(nQ6_Case_ID,$AH152)&amp;"",INDEX(nQ7_Case_ID,$AH152)&amp;"",INDEX(nQ8_Case_ID,$AH152)&amp;"",INDEX(nQ9_Case_ID,$AH152)&amp;"",INDEX(nQ10_Case_ID,$AH152)&amp;"",INDEX(nQ11_Case_ID,$AH152)&amp;""))</f>
        <v/>
      </c>
      <c r="AK152" s="1" t="str">
        <f>IF($AF152=0,"",CHOOSE($AF152,INDEX(nINT_Case_Version,$AH152),INDEX(nQ1_Case_Version,$AH152),INDEX(nQ2_Case_Version,$AH152),INDEX(nQ3_Case_Version,$AH152),INDEX(nQ4_Case_Version,$AH152),INDEX(nQ5_Case_Version,$AH152),INDEX(nQ6_Case_Version,$AH152),INDEX(nQ7_Case_Version,$AH152),INDEX(nQ8_Case_Version,$AH152),INDEX(nQ9_Case_Version,$AH152),INDEX(nQ10_Case_Version,$AH152),INDEX(nQ11_Case_Version,$AH152)))</f>
        <v/>
      </c>
      <c r="AL152" s="1" t="str">
        <f>IF($AF152=0,"",CHOOSE($AF152,INDEX(nINT_Interval_ID,$AH152)&amp;"",INDEX(nQ1_Calc_ID,$AH152)&amp;"",INDEX(nQ2_Calc_ID,$AH152)&amp;"",INDEX(nQ3_Calc_ID,$AH152)&amp;"",INDEX(nQ4_Calc_ID,$AH152)&amp;"",INDEX(nQ5_Calc_ID,$AH152)&amp;"",INDEX(nQ6_Calc_ID,$AH152)&amp;"",INDEX(nQ7_Calc_ID,$AH152)&amp;"",INDEX(nQ8_Calc_ID,$AH152)&amp;"",INDEX(nQ9_Calc_ID,$AH152)&amp;"",INDEX(nQ10_Calc_ID,$AH152)&amp;"",INDEX(nQ11_Calc_ID,$AH152)&amp;""))</f>
        <v/>
      </c>
      <c r="AM152" s="1" t="str">
        <f>IF($AF152=0,"",CHOOSE($AF152,INDEX(nINT_Label,$AH152)&amp;"",INDEX(nQ1_Label_Out,$AH152)&amp;"",INDEX(nQ2_Label_Out,$AH152)&amp;"",INDEX(nQ3_Label_Out,$AH152)&amp;"",INDEX(nQ4_Label_Out,$AH152)&amp;"",INDEX(nQ5_Label_Out,$AH152)&amp;"",INDEX(nQ6_Label_Out,$AH152)&amp;"",INDEX(nQ7_Label_Out,$AH152)&amp;"",INDEX(nQ8_Label_Out,$AH152)&amp;"",INDEX(nQ9_Label_Out,$AH152)&amp;"",INDEX(nQ10_Label_Out,$AH152)&amp;"",INDEX(nQ11_Label_Out,$AH152)&amp;""))</f>
        <v/>
      </c>
      <c r="AN152" s="1" t="str">
        <f>IF($AF152=0,"",CHOOSE($AF152,IF(INDEX(nINT_LinkRow,$AH152)=0,"",INDEX(nINT_Link_ID,$AH152)&amp;""),"","","","","","","","","","",""))</f>
        <v/>
      </c>
      <c r="AO152" s="1" t="str">
        <f>IF($AF152=0,"",CHOOSE($AF152,INDEX(nINT_Exposure_Episode_ID,$AH152)&amp;"","","","","","","","","","","",""))</f>
        <v/>
      </c>
      <c r="AP152" s="1" t="str">
        <f>IF($AF152=0,"",CHOOSE($AF152,INDEX(nINT_Event_Episode_ID,$AH152)&amp;"","","","","","","","","","","",""))</f>
        <v/>
      </c>
      <c r="AQ152" s="1" t="str">
        <f>IF($AF152=0,"",CHOOSE($AF152,INDEX(nINT_End_Record_ID_Used,$AH152)&amp;"","","","","","","","","","","",""))</f>
        <v/>
      </c>
      <c r="AR152" s="1" t="str">
        <f>IF($AF152=0,"",CHOOSE($AF152,INDEX(nINT_Interval_Value,$AH152),"","","","","","","","","","",""))</f>
        <v/>
      </c>
      <c r="AS152" s="1" t="str">
        <f>IF($AF152=0,"",CHOOSE($AF152,INDEX(nINT_Interval_Minimum,$AH152),"","","","","","","","","","",""))</f>
        <v/>
      </c>
      <c r="AT152" s="1" t="str">
        <f>IF($AF152=0,"",CHOOSE($AF152,INDEX(nINT_Interval_Maximum,$AH152),"","","","","","","","","","",""))</f>
        <v/>
      </c>
      <c r="AU152" s="1" t="str">
        <f>IF($AF152=0,"",CHOOSE($AF152,INDEX(nINT_Unit,$AH152)&amp;"",INDEX(nQ1_Unit_Out,$AH152)&amp;"",INDEX(nQ2_Unit_Out,$AH152)&amp;"",INDEX(nQ3_Unit_Out,$AH152)&amp;"",INDEX(nQ4_Unit_Out,$AH152)&amp;"",INDEX(nQ5_Unit_Out,$AH152)&amp;"",INDEX(nQ6_Unit_Out,$AH152)&amp;"",INDEX(nQ7_Unit_Out,$AH152)&amp;"",INDEX(nQ8_Unit_Out,$AH152)&amp;"",INDEX(nQ9_Unit_Out,$AH152)&amp;"",INDEX(nQ10_Unit_Out,$AH152)&amp;"",INDEX(nQ11_Unit_Out,$AH152)&amp;""))</f>
        <v/>
      </c>
      <c r="AV152" s="1" t="str">
        <f>IF($AF152=0,"",CHOOSE($AF152,INDEX(nINT_Displayed_Value,$AH152)&amp;"",INDEX(nQ1_Displayed_Value,$AH152)&amp;"",INDEX(nQ2_Displayed_Value,$AH152)&amp;"",INDEX(nQ3_Displayed_Value,$AH152)&amp;"",INDEX(nQ4_Displayed_Value,$AH152)&amp;"",INDEX(nQ5_Displayed_Value,$AH152)&amp;"",INDEX(nQ6_Displayed_Value,$AH152)&amp;"",INDEX(nQ7_Displayed_Value,$AH152)&amp;"",INDEX(nQ8_Displayed_Value,$AH152)&amp;"",INDEX(nQ9_Displayed_Value,$AH152)&amp;"",INDEX(nQ10_Displayed_Value,$AH152)&amp;"",INDEX(nQ11_Displayed_Value,$AH152)&amp;""))</f>
        <v/>
      </c>
      <c r="AW152" s="1" t="str">
        <f>IF($AF152=0,"",CHOOSE($AF152,INDEX(nINT_Calculation_Mode_Used,$AH152)&amp;"","Q1","Q2","Q3","Q4","Q5","Q6","Q7","Q8","Q9","Q10","Q11"))</f>
        <v/>
      </c>
      <c r="AX152" s="1" t="str">
        <f>IF($AF152=0,"",CHOOSE($AF152,INDEX(nINT_Anchor_Type,$AH152)&amp;"","","","","","","","","","","",""))</f>
        <v/>
      </c>
      <c r="AY152" s="1" t="str">
        <f>IF($AF152=0,"",CHOOSE($AF152,IF(INDEX(nINT_K_Ok,$AH152)=1,INDEX(nINT_Anchor_Record_ID_Used,$AH152)&amp;"",""),"","","","","","","","","","",""))</f>
        <v/>
      </c>
      <c r="AZ152" s="1" t="str">
        <f>IF($AF152=0,"",CHOOSE($AF152,INDEX(nINT_Anchor_Description,$AH152)&amp;"","","","","","","","","","","",""))</f>
        <v/>
      </c>
      <c r="BA152" s="1" t="str">
        <f>IF($AF152=0,"",CHOOSE($AF152,INDEX(nINT_Sequence_Status,$AH152)&amp;"","","","","","","","","","","",""))</f>
        <v/>
      </c>
      <c r="BB152" s="1" t="str">
        <f>IF($AF152=0,"",CHOOSE($AF152,INDEX(nINT_Treatment_Day,$AH152),"","","","","","","","","","",""))</f>
        <v/>
      </c>
      <c r="BC152" s="1" t="str">
        <f>IF($AF152=0,"",CHOOSE($AF152,INDEX(nINT_Reported_Timing_Result,$AH152)&amp;"","","","","","","","","","","",""))</f>
        <v/>
      </c>
      <c r="BD152" s="1" t="str">
        <f>IF($AF152=0,"",CHOOSE($AF152,IF(INDEX(nINT_K_HasC,$AH152)=1,INDEX(nINT_Constraint_Source,$AH152)&amp;"",""),"","","","","","","","","","",""))</f>
        <v/>
      </c>
      <c r="BE152" s="1" t="str">
        <f>IF($AF152=0,"",CHOOSE($AF152,"",INDEX(nQ1_Results_Text,$AH152)&amp;"",INDEX(nQ2_Results_Text,$AH152)&amp;"",INDEX(nQ3_Results_Text,$AH152)&amp;"",INDEX(nQ4_Results_Text,$AH152)&amp;"",INDEX(nQ5_Results_Text,$AH152)&amp;"",INDEX(nQ6_Results_Text,$AH152)&amp;"",INDEX(nQ7_Results_Text,$AH152)&amp;"",INDEX(nQ8_Results_Text,$AH152)&amp;"",INDEX(nQ9_Results_Text,$AH152)&amp;"",INDEX(nQ10_Results_Text,$AH152)&amp;"",INDEX(nQ11_Results_Text,$AH152)&amp;""))</f>
        <v/>
      </c>
      <c r="BF152" s="1" t="str">
        <f>IF($AF152=0,"",CHOOSE($AF152,INDEX(nINT_Parameter_Set,$AH152)&amp;"",INDEX(nQ1_Parameter_Set,$AH152)&amp;"",INDEX(nQ2_Parameter_Set,$AH152)&amp;"",INDEX(nQ3_Parameter_Set,$AH152)&amp;"",INDEX(nQ4_Parameter_Set,$AH152)&amp;"",INDEX(nQ5_Parameter_Set,$AH152)&amp;"",INDEX(nQ6_Parameter_Set,$AH152)&amp;"",INDEX(nQ7_Parameter_Set,$AH152)&amp;"",INDEX(nQ8_Parameter_Set,$AH152)&amp;"",INDEX(nQ9_Parameter_Set,$AH152)&amp;"",INDEX(nQ10_Parameter_Set,$AH152)&amp;"",INDEX(nQ11_Parameter_Set,$AH152)&amp;""))</f>
        <v/>
      </c>
      <c r="BG152" s="1" t="str">
        <f>IF($AF152=0,"",CHOOSE($AF152,INDEX(nINT_Assumptions,$AH152)&amp;"",INDEX(nQ1_Assumptions,$AH152)&amp;"",INDEX(nQ2_Assumptions,$AH152)&amp;"",INDEX(nQ3_Assumptions,$AH152)&amp;"",INDEX(nQ4_Assumptions,$AH152)&amp;"",INDEX(nQ5_Assumptions,$AH152)&amp;"",INDEX(nQ6_Assumptions,$AH152)&amp;"",INDEX(nQ7_Assumptions,$AH152)&amp;"",INDEX(nQ8_Assumptions,$AH152)&amp;"",INDEX(nQ9_Assumptions,$AH152)&amp;"",INDEX(nQ10_Assumptions,$AH152)&amp;"",INDEX(nQ11_Assumptions,$AH152)&amp;""))</f>
        <v/>
      </c>
      <c r="BH152" s="1" t="str">
        <f>IF($AF152=0,"",CHOOSE($AF152,INDEX(nINT_Calculation_Version,$AH152)&amp;"",INDEX(nQ1_Calculation_Version,$AH152)&amp;"",INDEX(nQ2_Calculation_Version,$AH152)&amp;"",INDEX(nQ3_Calculation_Version,$AH152)&amp;"",INDEX(nQ4_Calculation_Version,$AH152)&amp;"",INDEX(nQ5_Calculation_Version,$AH152)&amp;"",INDEX(nQ6_Calculation_Version,$AH152)&amp;"",INDEX(nQ7_Calculation_Version,$AH152)&amp;"",INDEX(nQ8_Calculation_Version,$AH152)&amp;"",INDEX(nQ9_Calculation_Version,$AH152)&amp;"",INDEX(nQ10_Calculation_Version,$AH152)&amp;"",INDEX(nQ11_Calculation_Version,$AH152)&amp;""))</f>
        <v/>
      </c>
      <c r="BI152" s="1" t="str">
        <f>IF($AF152=0,"",CHOOSE($AF152,INDEX(nINT_QC_Flags,$AH152)&amp;"",INDEX(nQ1_QC_Flags,$AH152)&amp;"",INDEX(nQ2_QC_Flags,$AH152)&amp;"",INDEX(nQ3_QC_Flags,$AH152)&amp;"",INDEX(nQ4_QC_Flags,$AH152)&amp;"",INDEX(nQ5_QC_Flags,$AH152)&amp;"",INDEX(nQ6_QC_Flags,$AH152)&amp;"",INDEX(nQ7_QC_Flags,$AH152)&amp;"",INDEX(nQ8_QC_Flags,$AH152)&amp;"",INDEX(nQ9_QC_Flags,$AH152)&amp;"",INDEX(nQ10_QC_Flags,$AH152)&amp;"",INDEX(nQ11_QC_Flags,$AH152)&amp;""))</f>
        <v/>
      </c>
      <c r="BJ152" s="1" t="str">
        <f>IF($AF152=0,"",CHOOSE($AF152,INDEX(nINT_Messages,$AH152)&amp;"",INDEX(nQ1_Messages,$AH152)&amp;"",INDEX(nQ2_Messages,$AH152)&amp;"",INDEX(nQ3_Messages,$AH152)&amp;"",INDEX(nQ4_Messages,$AH152)&amp;"",INDEX(nQ5_Messages,$AH152)&amp;"",INDEX(nQ6_Messages,$AH152)&amp;"",INDEX(nQ7_Messages,$AH152)&amp;"",INDEX(nQ8_Messages,$AH152)&amp;"",INDEX(nQ9_Messages,$AH152)&amp;"",INDEX(nQ10_Messages,$AH152)&amp;"",INDEX(nQ11_Messages,$AH152)&amp;""))</f>
        <v/>
      </c>
      <c r="BK152" s="1" t="str">
        <f>IF($AF152=0,"",CHOOSE($AF152,INDEX(nINT_Limitations,$AH152)&amp;"",INDEX(nQ1_Mandatory_Text,$AH152)&amp;"",INDEX(nQ2_Mandatory_Text,$AH152)&amp;"",INDEX(nQ3_Mandatory_Text,$AH152)&amp;"",INDEX(nQ4_Mandatory_Text,$AH152)&amp;"",INDEX(nQ5_Mandatory_Text,$AH152)&amp;"",INDEX(nQ6_Mandatory_Text,$AH152)&amp;"",INDEX(nQ7_Mandatory_Text,$AH152)&amp;"",INDEX(nQ8_Mandatory_Text,$AH152)&amp;"",INDEX(nQ9_Mandatory_Text,$AH152)&amp;"",INDEX(nQ10_Mandatory_Text,$AH152)&amp;"",INDEX(nQ11_Mandatory_Text,$AH152)&amp;""))</f>
        <v/>
      </c>
      <c r="BL152" s="1" t="str">
        <f t="shared" si="103"/>
        <v/>
      </c>
      <c r="BM152" s="1" t="str">
        <f t="shared" si="104"/>
        <v/>
      </c>
    </row>
    <row r="153" spans="1:65" x14ac:dyDescent="0.2">
      <c r="A153" s="21" t="str">
        <f t="shared" si="70"/>
        <v/>
      </c>
      <c r="B153" s="21" t="str">
        <f t="shared" si="71"/>
        <v/>
      </c>
      <c r="C153" s="21" t="str">
        <f t="shared" si="72"/>
        <v/>
      </c>
      <c r="D153" s="21" t="str">
        <f t="shared" si="73"/>
        <v/>
      </c>
      <c r="E153" s="21" t="str">
        <f t="shared" si="74"/>
        <v/>
      </c>
      <c r="F153" s="21" t="str">
        <f t="shared" si="75"/>
        <v/>
      </c>
      <c r="G153" s="21" t="str">
        <f t="shared" si="76"/>
        <v/>
      </c>
      <c r="H153" s="21" t="str">
        <f t="shared" si="77"/>
        <v/>
      </c>
      <c r="I153" s="21" t="str">
        <f t="shared" si="78"/>
        <v/>
      </c>
      <c r="J153" s="21" t="str">
        <f t="shared" si="79"/>
        <v/>
      </c>
      <c r="K153" s="21" t="str">
        <f t="shared" si="80"/>
        <v/>
      </c>
      <c r="L153" s="21" t="str">
        <f t="shared" si="81"/>
        <v/>
      </c>
      <c r="M153" s="21" t="str">
        <f t="shared" si="82"/>
        <v/>
      </c>
      <c r="N153" s="21" t="str">
        <f t="shared" si="83"/>
        <v/>
      </c>
      <c r="O153" s="21" t="str">
        <f t="shared" si="84"/>
        <v/>
      </c>
      <c r="P153" s="21" t="str">
        <f t="shared" si="85"/>
        <v/>
      </c>
      <c r="Q153" s="21" t="str">
        <f t="shared" si="86"/>
        <v/>
      </c>
      <c r="R153" s="21" t="str">
        <f t="shared" si="87"/>
        <v/>
      </c>
      <c r="S153" s="21" t="str">
        <f t="shared" si="88"/>
        <v/>
      </c>
      <c r="T153" s="21" t="str">
        <f t="shared" si="89"/>
        <v/>
      </c>
      <c r="U153" s="21" t="str">
        <f t="shared" si="90"/>
        <v/>
      </c>
      <c r="V153" s="21" t="str">
        <f t="shared" si="91"/>
        <v/>
      </c>
      <c r="W153" s="21" t="str">
        <f t="shared" si="92"/>
        <v/>
      </c>
      <c r="X153" s="21" t="str">
        <f t="shared" si="93"/>
        <v/>
      </c>
      <c r="Y153" s="21" t="str">
        <f t="shared" si="94"/>
        <v/>
      </c>
      <c r="Z153" s="21" t="str">
        <f t="shared" si="95"/>
        <v/>
      </c>
      <c r="AA153" s="21" t="str">
        <f t="shared" si="96"/>
        <v/>
      </c>
      <c r="AB153" s="21" t="str">
        <f t="shared" si="97"/>
        <v/>
      </c>
      <c r="AC153" s="21" t="str">
        <f t="shared" si="98"/>
        <v/>
      </c>
      <c r="AD153" s="21" t="str">
        <f t="shared" si="99"/>
        <v/>
      </c>
      <c r="AE153" s="1">
        <f t="shared" si="100"/>
        <v>146</v>
      </c>
      <c r="AF153" s="1">
        <f t="shared" si="101"/>
        <v>0</v>
      </c>
      <c r="AG153" s="1">
        <f t="shared" si="102"/>
        <v>0</v>
      </c>
      <c r="AH153" s="1">
        <f>IF(AF153=0,0,CHOOSE(AF153,IFERROR(_xlfn.AGGREGATE(15,6,(ROW(nINT_CaseKey)-ROW(INDEX(nINT_CaseKey,1,1))+1)/((nINT_CaseKey=$H$4)*(nINT_RowEmpty=0)),AG153),0),IFERROR(_xlfn.AGGREGATE(15,6,(ROW(nQ1_CaseKey)-ROW(INDEX(nQ1_CaseKey,1,1))+1)/((nQ1_CaseKey=$H$4)),AG153),0),IFERROR(_xlfn.AGGREGATE(15,6,(ROW(nQ2_CaseKey)-ROW(INDEX(nQ2_CaseKey,1,1))+1)/((nQ2_CaseKey=$H$4)),AG153),0),IFERROR(_xlfn.AGGREGATE(15,6,(ROW(nQ3_CaseKey)-ROW(INDEX(nQ3_CaseKey,1,1))+1)/((nQ3_CaseKey=$H$4)),AG153),0),IFERROR(_xlfn.AGGREGATE(15,6,(ROW(nQ4_CaseKey)-ROW(INDEX(nQ4_CaseKey,1,1))+1)/((nQ4_CaseKey=$H$4)),AG153),0),IFERROR(_xlfn.AGGREGATE(15,6,(ROW(nQ5_CaseKey)-ROW(INDEX(nQ5_CaseKey,1,1))+1)/((nQ5_CaseKey=$H$4)),AG153),0),IFERROR(_xlfn.AGGREGATE(15,6,(ROW(nQ6_CaseKey)-ROW(INDEX(nQ6_CaseKey,1,1))+1)/((nQ6_CaseKey=$H$4)),AG153),0),IFERROR(_xlfn.AGGREGATE(15,6,(ROW(nQ7_CaseKey)-ROW(INDEX(nQ7_CaseKey,1,1))+1)/((nQ7_CaseKey=$H$4)),AG153),0),IFERROR(_xlfn.AGGREGATE(15,6,(ROW(nQ8_CaseKey)-ROW(INDEX(nQ8_CaseKey,1,1))+1)/((nQ8_CaseKey=$H$4)),AG153),0),IFERROR(_xlfn.AGGREGATE(15,6,(ROW(nQ9_CaseKey)-ROW(INDEX(nQ9_CaseKey,1,1))+1)/((nQ9_CaseKey=$H$4)),AG153),0),IFERROR(_xlfn.AGGREGATE(15,6,(ROW(nQ10_CaseKey)-ROW(INDEX(nQ10_CaseKey,1,1))+1)/((nQ10_CaseKey=$H$4)),AG153),0),IFERROR(_xlfn.AGGREGATE(15,6,(ROW(nQ11_CaseKey)-ROW(INDEX(nQ11_CaseKey,1,1))+1)/((nQ11_CaseKey=$H$4)),AG153),0)))</f>
        <v>0</v>
      </c>
      <c r="AJ153" s="1" t="str">
        <f>IF($AF153=0,"",CHOOSE($AF153,INDEX(nINT_Case_ID,$AH153)&amp;"",INDEX(nQ1_Case_ID,$AH153)&amp;"",INDEX(nQ2_Case_ID,$AH153)&amp;"",INDEX(nQ3_Case_ID,$AH153)&amp;"",INDEX(nQ4_Case_ID,$AH153)&amp;"",INDEX(nQ5_Case_ID,$AH153)&amp;"",INDEX(nQ6_Case_ID,$AH153)&amp;"",INDEX(nQ7_Case_ID,$AH153)&amp;"",INDEX(nQ8_Case_ID,$AH153)&amp;"",INDEX(nQ9_Case_ID,$AH153)&amp;"",INDEX(nQ10_Case_ID,$AH153)&amp;"",INDEX(nQ11_Case_ID,$AH153)&amp;""))</f>
        <v/>
      </c>
      <c r="AK153" s="1" t="str">
        <f>IF($AF153=0,"",CHOOSE($AF153,INDEX(nINT_Case_Version,$AH153),INDEX(nQ1_Case_Version,$AH153),INDEX(nQ2_Case_Version,$AH153),INDEX(nQ3_Case_Version,$AH153),INDEX(nQ4_Case_Version,$AH153),INDEX(nQ5_Case_Version,$AH153),INDEX(nQ6_Case_Version,$AH153),INDEX(nQ7_Case_Version,$AH153),INDEX(nQ8_Case_Version,$AH153),INDEX(nQ9_Case_Version,$AH153),INDEX(nQ10_Case_Version,$AH153),INDEX(nQ11_Case_Version,$AH153)))</f>
        <v/>
      </c>
      <c r="AL153" s="1" t="str">
        <f>IF($AF153=0,"",CHOOSE($AF153,INDEX(nINT_Interval_ID,$AH153)&amp;"",INDEX(nQ1_Calc_ID,$AH153)&amp;"",INDEX(nQ2_Calc_ID,$AH153)&amp;"",INDEX(nQ3_Calc_ID,$AH153)&amp;"",INDEX(nQ4_Calc_ID,$AH153)&amp;"",INDEX(nQ5_Calc_ID,$AH153)&amp;"",INDEX(nQ6_Calc_ID,$AH153)&amp;"",INDEX(nQ7_Calc_ID,$AH153)&amp;"",INDEX(nQ8_Calc_ID,$AH153)&amp;"",INDEX(nQ9_Calc_ID,$AH153)&amp;"",INDEX(nQ10_Calc_ID,$AH153)&amp;"",INDEX(nQ11_Calc_ID,$AH153)&amp;""))</f>
        <v/>
      </c>
      <c r="AM153" s="1" t="str">
        <f>IF($AF153=0,"",CHOOSE($AF153,INDEX(nINT_Label,$AH153)&amp;"",INDEX(nQ1_Label_Out,$AH153)&amp;"",INDEX(nQ2_Label_Out,$AH153)&amp;"",INDEX(nQ3_Label_Out,$AH153)&amp;"",INDEX(nQ4_Label_Out,$AH153)&amp;"",INDEX(nQ5_Label_Out,$AH153)&amp;"",INDEX(nQ6_Label_Out,$AH153)&amp;"",INDEX(nQ7_Label_Out,$AH153)&amp;"",INDEX(nQ8_Label_Out,$AH153)&amp;"",INDEX(nQ9_Label_Out,$AH153)&amp;"",INDEX(nQ10_Label_Out,$AH153)&amp;"",INDEX(nQ11_Label_Out,$AH153)&amp;""))</f>
        <v/>
      </c>
      <c r="AN153" s="1" t="str">
        <f>IF($AF153=0,"",CHOOSE($AF153,IF(INDEX(nINT_LinkRow,$AH153)=0,"",INDEX(nINT_Link_ID,$AH153)&amp;""),"","","","","","","","","","",""))</f>
        <v/>
      </c>
      <c r="AO153" s="1" t="str">
        <f>IF($AF153=0,"",CHOOSE($AF153,INDEX(nINT_Exposure_Episode_ID,$AH153)&amp;"","","","","","","","","","","",""))</f>
        <v/>
      </c>
      <c r="AP153" s="1" t="str">
        <f>IF($AF153=0,"",CHOOSE($AF153,INDEX(nINT_Event_Episode_ID,$AH153)&amp;"","","","","","","","","","","",""))</f>
        <v/>
      </c>
      <c r="AQ153" s="1" t="str">
        <f>IF($AF153=0,"",CHOOSE($AF153,INDEX(nINT_End_Record_ID_Used,$AH153)&amp;"","","","","","","","","","","",""))</f>
        <v/>
      </c>
      <c r="AR153" s="1" t="str">
        <f>IF($AF153=0,"",CHOOSE($AF153,INDEX(nINT_Interval_Value,$AH153),"","","","","","","","","","",""))</f>
        <v/>
      </c>
      <c r="AS153" s="1" t="str">
        <f>IF($AF153=0,"",CHOOSE($AF153,INDEX(nINT_Interval_Minimum,$AH153),"","","","","","","","","","",""))</f>
        <v/>
      </c>
      <c r="AT153" s="1" t="str">
        <f>IF($AF153=0,"",CHOOSE($AF153,INDEX(nINT_Interval_Maximum,$AH153),"","","","","","","","","","",""))</f>
        <v/>
      </c>
      <c r="AU153" s="1" t="str">
        <f>IF($AF153=0,"",CHOOSE($AF153,INDEX(nINT_Unit,$AH153)&amp;"",INDEX(nQ1_Unit_Out,$AH153)&amp;"",INDEX(nQ2_Unit_Out,$AH153)&amp;"",INDEX(nQ3_Unit_Out,$AH153)&amp;"",INDEX(nQ4_Unit_Out,$AH153)&amp;"",INDEX(nQ5_Unit_Out,$AH153)&amp;"",INDEX(nQ6_Unit_Out,$AH153)&amp;"",INDEX(nQ7_Unit_Out,$AH153)&amp;"",INDEX(nQ8_Unit_Out,$AH153)&amp;"",INDEX(nQ9_Unit_Out,$AH153)&amp;"",INDEX(nQ10_Unit_Out,$AH153)&amp;"",INDEX(nQ11_Unit_Out,$AH153)&amp;""))</f>
        <v/>
      </c>
      <c r="AV153" s="1" t="str">
        <f>IF($AF153=0,"",CHOOSE($AF153,INDEX(nINT_Displayed_Value,$AH153)&amp;"",INDEX(nQ1_Displayed_Value,$AH153)&amp;"",INDEX(nQ2_Displayed_Value,$AH153)&amp;"",INDEX(nQ3_Displayed_Value,$AH153)&amp;"",INDEX(nQ4_Displayed_Value,$AH153)&amp;"",INDEX(nQ5_Displayed_Value,$AH153)&amp;"",INDEX(nQ6_Displayed_Value,$AH153)&amp;"",INDEX(nQ7_Displayed_Value,$AH153)&amp;"",INDEX(nQ8_Displayed_Value,$AH153)&amp;"",INDEX(nQ9_Displayed_Value,$AH153)&amp;"",INDEX(nQ10_Displayed_Value,$AH153)&amp;"",INDEX(nQ11_Displayed_Value,$AH153)&amp;""))</f>
        <v/>
      </c>
      <c r="AW153" s="1" t="str">
        <f>IF($AF153=0,"",CHOOSE($AF153,INDEX(nINT_Calculation_Mode_Used,$AH153)&amp;"","Q1","Q2","Q3","Q4","Q5","Q6","Q7","Q8","Q9","Q10","Q11"))</f>
        <v/>
      </c>
      <c r="AX153" s="1" t="str">
        <f>IF($AF153=0,"",CHOOSE($AF153,INDEX(nINT_Anchor_Type,$AH153)&amp;"","","","","","","","","","","",""))</f>
        <v/>
      </c>
      <c r="AY153" s="1" t="str">
        <f>IF($AF153=0,"",CHOOSE($AF153,IF(INDEX(nINT_K_Ok,$AH153)=1,INDEX(nINT_Anchor_Record_ID_Used,$AH153)&amp;"",""),"","","","","","","","","","",""))</f>
        <v/>
      </c>
      <c r="AZ153" s="1" t="str">
        <f>IF($AF153=0,"",CHOOSE($AF153,INDEX(nINT_Anchor_Description,$AH153)&amp;"","","","","","","","","","","",""))</f>
        <v/>
      </c>
      <c r="BA153" s="1" t="str">
        <f>IF($AF153=0,"",CHOOSE($AF153,INDEX(nINT_Sequence_Status,$AH153)&amp;"","","","","","","","","","","",""))</f>
        <v/>
      </c>
      <c r="BB153" s="1" t="str">
        <f>IF($AF153=0,"",CHOOSE($AF153,INDEX(nINT_Treatment_Day,$AH153),"","","","","","","","","","",""))</f>
        <v/>
      </c>
      <c r="BC153" s="1" t="str">
        <f>IF($AF153=0,"",CHOOSE($AF153,INDEX(nINT_Reported_Timing_Result,$AH153)&amp;"","","","","","","","","","","",""))</f>
        <v/>
      </c>
      <c r="BD153" s="1" t="str">
        <f>IF($AF153=0,"",CHOOSE($AF153,IF(INDEX(nINT_K_HasC,$AH153)=1,INDEX(nINT_Constraint_Source,$AH153)&amp;"",""),"","","","","","","","","","",""))</f>
        <v/>
      </c>
      <c r="BE153" s="1" t="str">
        <f>IF($AF153=0,"",CHOOSE($AF153,"",INDEX(nQ1_Results_Text,$AH153)&amp;"",INDEX(nQ2_Results_Text,$AH153)&amp;"",INDEX(nQ3_Results_Text,$AH153)&amp;"",INDEX(nQ4_Results_Text,$AH153)&amp;"",INDEX(nQ5_Results_Text,$AH153)&amp;"",INDEX(nQ6_Results_Text,$AH153)&amp;"",INDEX(nQ7_Results_Text,$AH153)&amp;"",INDEX(nQ8_Results_Text,$AH153)&amp;"",INDEX(nQ9_Results_Text,$AH153)&amp;"",INDEX(nQ10_Results_Text,$AH153)&amp;"",INDEX(nQ11_Results_Text,$AH153)&amp;""))</f>
        <v/>
      </c>
      <c r="BF153" s="1" t="str">
        <f>IF($AF153=0,"",CHOOSE($AF153,INDEX(nINT_Parameter_Set,$AH153)&amp;"",INDEX(nQ1_Parameter_Set,$AH153)&amp;"",INDEX(nQ2_Parameter_Set,$AH153)&amp;"",INDEX(nQ3_Parameter_Set,$AH153)&amp;"",INDEX(nQ4_Parameter_Set,$AH153)&amp;"",INDEX(nQ5_Parameter_Set,$AH153)&amp;"",INDEX(nQ6_Parameter_Set,$AH153)&amp;"",INDEX(nQ7_Parameter_Set,$AH153)&amp;"",INDEX(nQ8_Parameter_Set,$AH153)&amp;"",INDEX(nQ9_Parameter_Set,$AH153)&amp;"",INDEX(nQ10_Parameter_Set,$AH153)&amp;"",INDEX(nQ11_Parameter_Set,$AH153)&amp;""))</f>
        <v/>
      </c>
      <c r="BG153" s="1" t="str">
        <f>IF($AF153=0,"",CHOOSE($AF153,INDEX(nINT_Assumptions,$AH153)&amp;"",INDEX(nQ1_Assumptions,$AH153)&amp;"",INDEX(nQ2_Assumptions,$AH153)&amp;"",INDEX(nQ3_Assumptions,$AH153)&amp;"",INDEX(nQ4_Assumptions,$AH153)&amp;"",INDEX(nQ5_Assumptions,$AH153)&amp;"",INDEX(nQ6_Assumptions,$AH153)&amp;"",INDEX(nQ7_Assumptions,$AH153)&amp;"",INDEX(nQ8_Assumptions,$AH153)&amp;"",INDEX(nQ9_Assumptions,$AH153)&amp;"",INDEX(nQ10_Assumptions,$AH153)&amp;"",INDEX(nQ11_Assumptions,$AH153)&amp;""))</f>
        <v/>
      </c>
      <c r="BH153" s="1" t="str">
        <f>IF($AF153=0,"",CHOOSE($AF153,INDEX(nINT_Calculation_Version,$AH153)&amp;"",INDEX(nQ1_Calculation_Version,$AH153)&amp;"",INDEX(nQ2_Calculation_Version,$AH153)&amp;"",INDEX(nQ3_Calculation_Version,$AH153)&amp;"",INDEX(nQ4_Calculation_Version,$AH153)&amp;"",INDEX(nQ5_Calculation_Version,$AH153)&amp;"",INDEX(nQ6_Calculation_Version,$AH153)&amp;"",INDEX(nQ7_Calculation_Version,$AH153)&amp;"",INDEX(nQ8_Calculation_Version,$AH153)&amp;"",INDEX(nQ9_Calculation_Version,$AH153)&amp;"",INDEX(nQ10_Calculation_Version,$AH153)&amp;"",INDEX(nQ11_Calculation_Version,$AH153)&amp;""))</f>
        <v/>
      </c>
      <c r="BI153" s="1" t="str">
        <f>IF($AF153=0,"",CHOOSE($AF153,INDEX(nINT_QC_Flags,$AH153)&amp;"",INDEX(nQ1_QC_Flags,$AH153)&amp;"",INDEX(nQ2_QC_Flags,$AH153)&amp;"",INDEX(nQ3_QC_Flags,$AH153)&amp;"",INDEX(nQ4_QC_Flags,$AH153)&amp;"",INDEX(nQ5_QC_Flags,$AH153)&amp;"",INDEX(nQ6_QC_Flags,$AH153)&amp;"",INDEX(nQ7_QC_Flags,$AH153)&amp;"",INDEX(nQ8_QC_Flags,$AH153)&amp;"",INDEX(nQ9_QC_Flags,$AH153)&amp;"",INDEX(nQ10_QC_Flags,$AH153)&amp;"",INDEX(nQ11_QC_Flags,$AH153)&amp;""))</f>
        <v/>
      </c>
      <c r="BJ153" s="1" t="str">
        <f>IF($AF153=0,"",CHOOSE($AF153,INDEX(nINT_Messages,$AH153)&amp;"",INDEX(nQ1_Messages,$AH153)&amp;"",INDEX(nQ2_Messages,$AH153)&amp;"",INDEX(nQ3_Messages,$AH153)&amp;"",INDEX(nQ4_Messages,$AH153)&amp;"",INDEX(nQ5_Messages,$AH153)&amp;"",INDEX(nQ6_Messages,$AH153)&amp;"",INDEX(nQ7_Messages,$AH153)&amp;"",INDEX(nQ8_Messages,$AH153)&amp;"",INDEX(nQ9_Messages,$AH153)&amp;"",INDEX(nQ10_Messages,$AH153)&amp;"",INDEX(nQ11_Messages,$AH153)&amp;""))</f>
        <v/>
      </c>
      <c r="BK153" s="1" t="str">
        <f>IF($AF153=0,"",CHOOSE($AF153,INDEX(nINT_Limitations,$AH153)&amp;"",INDEX(nQ1_Mandatory_Text,$AH153)&amp;"",INDEX(nQ2_Mandatory_Text,$AH153)&amp;"",INDEX(nQ3_Mandatory_Text,$AH153)&amp;"",INDEX(nQ4_Mandatory_Text,$AH153)&amp;"",INDEX(nQ5_Mandatory_Text,$AH153)&amp;"",INDEX(nQ6_Mandatory_Text,$AH153)&amp;"",INDEX(nQ7_Mandatory_Text,$AH153)&amp;"",INDEX(nQ8_Mandatory_Text,$AH153)&amp;"",INDEX(nQ9_Mandatory_Text,$AH153)&amp;"",INDEX(nQ10_Mandatory_Text,$AH153)&amp;"",INDEX(nQ11_Mandatory_Text,$AH153)&amp;""))</f>
        <v/>
      </c>
      <c r="BL153" s="1" t="str">
        <f t="shared" si="103"/>
        <v/>
      </c>
      <c r="BM153" s="1" t="str">
        <f t="shared" si="104"/>
        <v/>
      </c>
    </row>
    <row r="154" spans="1:65" x14ac:dyDescent="0.2">
      <c r="A154" s="21" t="str">
        <f t="shared" si="70"/>
        <v/>
      </c>
      <c r="B154" s="21" t="str">
        <f t="shared" si="71"/>
        <v/>
      </c>
      <c r="C154" s="21" t="str">
        <f t="shared" si="72"/>
        <v/>
      </c>
      <c r="D154" s="21" t="str">
        <f t="shared" si="73"/>
        <v/>
      </c>
      <c r="E154" s="21" t="str">
        <f t="shared" si="74"/>
        <v/>
      </c>
      <c r="F154" s="21" t="str">
        <f t="shared" si="75"/>
        <v/>
      </c>
      <c r="G154" s="21" t="str">
        <f t="shared" si="76"/>
        <v/>
      </c>
      <c r="H154" s="21" t="str">
        <f t="shared" si="77"/>
        <v/>
      </c>
      <c r="I154" s="21" t="str">
        <f t="shared" si="78"/>
        <v/>
      </c>
      <c r="J154" s="21" t="str">
        <f t="shared" si="79"/>
        <v/>
      </c>
      <c r="K154" s="21" t="str">
        <f t="shared" si="80"/>
        <v/>
      </c>
      <c r="L154" s="21" t="str">
        <f t="shared" si="81"/>
        <v/>
      </c>
      <c r="M154" s="21" t="str">
        <f t="shared" si="82"/>
        <v/>
      </c>
      <c r="N154" s="21" t="str">
        <f t="shared" si="83"/>
        <v/>
      </c>
      <c r="O154" s="21" t="str">
        <f t="shared" si="84"/>
        <v/>
      </c>
      <c r="P154" s="21" t="str">
        <f t="shared" si="85"/>
        <v/>
      </c>
      <c r="Q154" s="21" t="str">
        <f t="shared" si="86"/>
        <v/>
      </c>
      <c r="R154" s="21" t="str">
        <f t="shared" si="87"/>
        <v/>
      </c>
      <c r="S154" s="21" t="str">
        <f t="shared" si="88"/>
        <v/>
      </c>
      <c r="T154" s="21" t="str">
        <f t="shared" si="89"/>
        <v/>
      </c>
      <c r="U154" s="21" t="str">
        <f t="shared" si="90"/>
        <v/>
      </c>
      <c r="V154" s="21" t="str">
        <f t="shared" si="91"/>
        <v/>
      </c>
      <c r="W154" s="21" t="str">
        <f t="shared" si="92"/>
        <v/>
      </c>
      <c r="X154" s="21" t="str">
        <f t="shared" si="93"/>
        <v/>
      </c>
      <c r="Y154" s="21" t="str">
        <f t="shared" si="94"/>
        <v/>
      </c>
      <c r="Z154" s="21" t="str">
        <f t="shared" si="95"/>
        <v/>
      </c>
      <c r="AA154" s="21" t="str">
        <f t="shared" si="96"/>
        <v/>
      </c>
      <c r="AB154" s="21" t="str">
        <f t="shared" si="97"/>
        <v/>
      </c>
      <c r="AC154" s="21" t="str">
        <f t="shared" si="98"/>
        <v/>
      </c>
      <c r="AD154" s="21" t="str">
        <f t="shared" si="99"/>
        <v/>
      </c>
      <c r="AE154" s="1">
        <f t="shared" si="100"/>
        <v>147</v>
      </c>
      <c r="AF154" s="1">
        <f t="shared" si="101"/>
        <v>0</v>
      </c>
      <c r="AG154" s="1">
        <f t="shared" si="102"/>
        <v>0</v>
      </c>
      <c r="AH154" s="1">
        <f>IF(AF154=0,0,CHOOSE(AF154,IFERROR(_xlfn.AGGREGATE(15,6,(ROW(nINT_CaseKey)-ROW(INDEX(nINT_CaseKey,1,1))+1)/((nINT_CaseKey=$H$4)*(nINT_RowEmpty=0)),AG154),0),IFERROR(_xlfn.AGGREGATE(15,6,(ROW(nQ1_CaseKey)-ROW(INDEX(nQ1_CaseKey,1,1))+1)/((nQ1_CaseKey=$H$4)),AG154),0),IFERROR(_xlfn.AGGREGATE(15,6,(ROW(nQ2_CaseKey)-ROW(INDEX(nQ2_CaseKey,1,1))+1)/((nQ2_CaseKey=$H$4)),AG154),0),IFERROR(_xlfn.AGGREGATE(15,6,(ROW(nQ3_CaseKey)-ROW(INDEX(nQ3_CaseKey,1,1))+1)/((nQ3_CaseKey=$H$4)),AG154),0),IFERROR(_xlfn.AGGREGATE(15,6,(ROW(nQ4_CaseKey)-ROW(INDEX(nQ4_CaseKey,1,1))+1)/((nQ4_CaseKey=$H$4)),AG154),0),IFERROR(_xlfn.AGGREGATE(15,6,(ROW(nQ5_CaseKey)-ROW(INDEX(nQ5_CaseKey,1,1))+1)/((nQ5_CaseKey=$H$4)),AG154),0),IFERROR(_xlfn.AGGREGATE(15,6,(ROW(nQ6_CaseKey)-ROW(INDEX(nQ6_CaseKey,1,1))+1)/((nQ6_CaseKey=$H$4)),AG154),0),IFERROR(_xlfn.AGGREGATE(15,6,(ROW(nQ7_CaseKey)-ROW(INDEX(nQ7_CaseKey,1,1))+1)/((nQ7_CaseKey=$H$4)),AG154),0),IFERROR(_xlfn.AGGREGATE(15,6,(ROW(nQ8_CaseKey)-ROW(INDEX(nQ8_CaseKey,1,1))+1)/((nQ8_CaseKey=$H$4)),AG154),0),IFERROR(_xlfn.AGGREGATE(15,6,(ROW(nQ9_CaseKey)-ROW(INDEX(nQ9_CaseKey,1,1))+1)/((nQ9_CaseKey=$H$4)),AG154),0),IFERROR(_xlfn.AGGREGATE(15,6,(ROW(nQ10_CaseKey)-ROW(INDEX(nQ10_CaseKey,1,1))+1)/((nQ10_CaseKey=$H$4)),AG154),0),IFERROR(_xlfn.AGGREGATE(15,6,(ROW(nQ11_CaseKey)-ROW(INDEX(nQ11_CaseKey,1,1))+1)/((nQ11_CaseKey=$H$4)),AG154),0)))</f>
        <v>0</v>
      </c>
      <c r="AJ154" s="1" t="str">
        <f>IF($AF154=0,"",CHOOSE($AF154,INDEX(nINT_Case_ID,$AH154)&amp;"",INDEX(nQ1_Case_ID,$AH154)&amp;"",INDEX(nQ2_Case_ID,$AH154)&amp;"",INDEX(nQ3_Case_ID,$AH154)&amp;"",INDEX(nQ4_Case_ID,$AH154)&amp;"",INDEX(nQ5_Case_ID,$AH154)&amp;"",INDEX(nQ6_Case_ID,$AH154)&amp;"",INDEX(nQ7_Case_ID,$AH154)&amp;"",INDEX(nQ8_Case_ID,$AH154)&amp;"",INDEX(nQ9_Case_ID,$AH154)&amp;"",INDEX(nQ10_Case_ID,$AH154)&amp;"",INDEX(nQ11_Case_ID,$AH154)&amp;""))</f>
        <v/>
      </c>
      <c r="AK154" s="1" t="str">
        <f>IF($AF154=0,"",CHOOSE($AF154,INDEX(nINT_Case_Version,$AH154),INDEX(nQ1_Case_Version,$AH154),INDEX(nQ2_Case_Version,$AH154),INDEX(nQ3_Case_Version,$AH154),INDEX(nQ4_Case_Version,$AH154),INDEX(nQ5_Case_Version,$AH154),INDEX(nQ6_Case_Version,$AH154),INDEX(nQ7_Case_Version,$AH154),INDEX(nQ8_Case_Version,$AH154),INDEX(nQ9_Case_Version,$AH154),INDEX(nQ10_Case_Version,$AH154),INDEX(nQ11_Case_Version,$AH154)))</f>
        <v/>
      </c>
      <c r="AL154" s="1" t="str">
        <f>IF($AF154=0,"",CHOOSE($AF154,INDEX(nINT_Interval_ID,$AH154)&amp;"",INDEX(nQ1_Calc_ID,$AH154)&amp;"",INDEX(nQ2_Calc_ID,$AH154)&amp;"",INDEX(nQ3_Calc_ID,$AH154)&amp;"",INDEX(nQ4_Calc_ID,$AH154)&amp;"",INDEX(nQ5_Calc_ID,$AH154)&amp;"",INDEX(nQ6_Calc_ID,$AH154)&amp;"",INDEX(nQ7_Calc_ID,$AH154)&amp;"",INDEX(nQ8_Calc_ID,$AH154)&amp;"",INDEX(nQ9_Calc_ID,$AH154)&amp;"",INDEX(nQ10_Calc_ID,$AH154)&amp;"",INDEX(nQ11_Calc_ID,$AH154)&amp;""))</f>
        <v/>
      </c>
      <c r="AM154" s="1" t="str">
        <f>IF($AF154=0,"",CHOOSE($AF154,INDEX(nINT_Label,$AH154)&amp;"",INDEX(nQ1_Label_Out,$AH154)&amp;"",INDEX(nQ2_Label_Out,$AH154)&amp;"",INDEX(nQ3_Label_Out,$AH154)&amp;"",INDEX(nQ4_Label_Out,$AH154)&amp;"",INDEX(nQ5_Label_Out,$AH154)&amp;"",INDEX(nQ6_Label_Out,$AH154)&amp;"",INDEX(nQ7_Label_Out,$AH154)&amp;"",INDEX(nQ8_Label_Out,$AH154)&amp;"",INDEX(nQ9_Label_Out,$AH154)&amp;"",INDEX(nQ10_Label_Out,$AH154)&amp;"",INDEX(nQ11_Label_Out,$AH154)&amp;""))</f>
        <v/>
      </c>
      <c r="AN154" s="1" t="str">
        <f>IF($AF154=0,"",CHOOSE($AF154,IF(INDEX(nINT_LinkRow,$AH154)=0,"",INDEX(nINT_Link_ID,$AH154)&amp;""),"","","","","","","","","","",""))</f>
        <v/>
      </c>
      <c r="AO154" s="1" t="str">
        <f>IF($AF154=0,"",CHOOSE($AF154,INDEX(nINT_Exposure_Episode_ID,$AH154)&amp;"","","","","","","","","","","",""))</f>
        <v/>
      </c>
      <c r="AP154" s="1" t="str">
        <f>IF($AF154=0,"",CHOOSE($AF154,INDEX(nINT_Event_Episode_ID,$AH154)&amp;"","","","","","","","","","","",""))</f>
        <v/>
      </c>
      <c r="AQ154" s="1" t="str">
        <f>IF($AF154=0,"",CHOOSE($AF154,INDEX(nINT_End_Record_ID_Used,$AH154)&amp;"","","","","","","","","","","",""))</f>
        <v/>
      </c>
      <c r="AR154" s="1" t="str">
        <f>IF($AF154=0,"",CHOOSE($AF154,INDEX(nINT_Interval_Value,$AH154),"","","","","","","","","","",""))</f>
        <v/>
      </c>
      <c r="AS154" s="1" t="str">
        <f>IF($AF154=0,"",CHOOSE($AF154,INDEX(nINT_Interval_Minimum,$AH154),"","","","","","","","","","",""))</f>
        <v/>
      </c>
      <c r="AT154" s="1" t="str">
        <f>IF($AF154=0,"",CHOOSE($AF154,INDEX(nINT_Interval_Maximum,$AH154),"","","","","","","","","","",""))</f>
        <v/>
      </c>
      <c r="AU154" s="1" t="str">
        <f>IF($AF154=0,"",CHOOSE($AF154,INDEX(nINT_Unit,$AH154)&amp;"",INDEX(nQ1_Unit_Out,$AH154)&amp;"",INDEX(nQ2_Unit_Out,$AH154)&amp;"",INDEX(nQ3_Unit_Out,$AH154)&amp;"",INDEX(nQ4_Unit_Out,$AH154)&amp;"",INDEX(nQ5_Unit_Out,$AH154)&amp;"",INDEX(nQ6_Unit_Out,$AH154)&amp;"",INDEX(nQ7_Unit_Out,$AH154)&amp;"",INDEX(nQ8_Unit_Out,$AH154)&amp;"",INDEX(nQ9_Unit_Out,$AH154)&amp;"",INDEX(nQ10_Unit_Out,$AH154)&amp;"",INDEX(nQ11_Unit_Out,$AH154)&amp;""))</f>
        <v/>
      </c>
      <c r="AV154" s="1" t="str">
        <f>IF($AF154=0,"",CHOOSE($AF154,INDEX(nINT_Displayed_Value,$AH154)&amp;"",INDEX(nQ1_Displayed_Value,$AH154)&amp;"",INDEX(nQ2_Displayed_Value,$AH154)&amp;"",INDEX(nQ3_Displayed_Value,$AH154)&amp;"",INDEX(nQ4_Displayed_Value,$AH154)&amp;"",INDEX(nQ5_Displayed_Value,$AH154)&amp;"",INDEX(nQ6_Displayed_Value,$AH154)&amp;"",INDEX(nQ7_Displayed_Value,$AH154)&amp;"",INDEX(nQ8_Displayed_Value,$AH154)&amp;"",INDEX(nQ9_Displayed_Value,$AH154)&amp;"",INDEX(nQ10_Displayed_Value,$AH154)&amp;"",INDEX(nQ11_Displayed_Value,$AH154)&amp;""))</f>
        <v/>
      </c>
      <c r="AW154" s="1" t="str">
        <f>IF($AF154=0,"",CHOOSE($AF154,INDEX(nINT_Calculation_Mode_Used,$AH154)&amp;"","Q1","Q2","Q3","Q4","Q5","Q6","Q7","Q8","Q9","Q10","Q11"))</f>
        <v/>
      </c>
      <c r="AX154" s="1" t="str">
        <f>IF($AF154=0,"",CHOOSE($AF154,INDEX(nINT_Anchor_Type,$AH154)&amp;"","","","","","","","","","","",""))</f>
        <v/>
      </c>
      <c r="AY154" s="1" t="str">
        <f>IF($AF154=0,"",CHOOSE($AF154,IF(INDEX(nINT_K_Ok,$AH154)=1,INDEX(nINT_Anchor_Record_ID_Used,$AH154)&amp;"",""),"","","","","","","","","","",""))</f>
        <v/>
      </c>
      <c r="AZ154" s="1" t="str">
        <f>IF($AF154=0,"",CHOOSE($AF154,INDEX(nINT_Anchor_Description,$AH154)&amp;"","","","","","","","","","","",""))</f>
        <v/>
      </c>
      <c r="BA154" s="1" t="str">
        <f>IF($AF154=0,"",CHOOSE($AF154,INDEX(nINT_Sequence_Status,$AH154)&amp;"","","","","","","","","","","",""))</f>
        <v/>
      </c>
      <c r="BB154" s="1" t="str">
        <f>IF($AF154=0,"",CHOOSE($AF154,INDEX(nINT_Treatment_Day,$AH154),"","","","","","","","","","",""))</f>
        <v/>
      </c>
      <c r="BC154" s="1" t="str">
        <f>IF($AF154=0,"",CHOOSE($AF154,INDEX(nINT_Reported_Timing_Result,$AH154)&amp;"","","","","","","","","","","",""))</f>
        <v/>
      </c>
      <c r="BD154" s="1" t="str">
        <f>IF($AF154=0,"",CHOOSE($AF154,IF(INDEX(nINT_K_HasC,$AH154)=1,INDEX(nINT_Constraint_Source,$AH154)&amp;"",""),"","","","","","","","","","",""))</f>
        <v/>
      </c>
      <c r="BE154" s="1" t="str">
        <f>IF($AF154=0,"",CHOOSE($AF154,"",INDEX(nQ1_Results_Text,$AH154)&amp;"",INDEX(nQ2_Results_Text,$AH154)&amp;"",INDEX(nQ3_Results_Text,$AH154)&amp;"",INDEX(nQ4_Results_Text,$AH154)&amp;"",INDEX(nQ5_Results_Text,$AH154)&amp;"",INDEX(nQ6_Results_Text,$AH154)&amp;"",INDEX(nQ7_Results_Text,$AH154)&amp;"",INDEX(nQ8_Results_Text,$AH154)&amp;"",INDEX(nQ9_Results_Text,$AH154)&amp;"",INDEX(nQ10_Results_Text,$AH154)&amp;"",INDEX(nQ11_Results_Text,$AH154)&amp;""))</f>
        <v/>
      </c>
      <c r="BF154" s="1" t="str">
        <f>IF($AF154=0,"",CHOOSE($AF154,INDEX(nINT_Parameter_Set,$AH154)&amp;"",INDEX(nQ1_Parameter_Set,$AH154)&amp;"",INDEX(nQ2_Parameter_Set,$AH154)&amp;"",INDEX(nQ3_Parameter_Set,$AH154)&amp;"",INDEX(nQ4_Parameter_Set,$AH154)&amp;"",INDEX(nQ5_Parameter_Set,$AH154)&amp;"",INDEX(nQ6_Parameter_Set,$AH154)&amp;"",INDEX(nQ7_Parameter_Set,$AH154)&amp;"",INDEX(nQ8_Parameter_Set,$AH154)&amp;"",INDEX(nQ9_Parameter_Set,$AH154)&amp;"",INDEX(nQ10_Parameter_Set,$AH154)&amp;"",INDEX(nQ11_Parameter_Set,$AH154)&amp;""))</f>
        <v/>
      </c>
      <c r="BG154" s="1" t="str">
        <f>IF($AF154=0,"",CHOOSE($AF154,INDEX(nINT_Assumptions,$AH154)&amp;"",INDEX(nQ1_Assumptions,$AH154)&amp;"",INDEX(nQ2_Assumptions,$AH154)&amp;"",INDEX(nQ3_Assumptions,$AH154)&amp;"",INDEX(nQ4_Assumptions,$AH154)&amp;"",INDEX(nQ5_Assumptions,$AH154)&amp;"",INDEX(nQ6_Assumptions,$AH154)&amp;"",INDEX(nQ7_Assumptions,$AH154)&amp;"",INDEX(nQ8_Assumptions,$AH154)&amp;"",INDEX(nQ9_Assumptions,$AH154)&amp;"",INDEX(nQ10_Assumptions,$AH154)&amp;"",INDEX(nQ11_Assumptions,$AH154)&amp;""))</f>
        <v/>
      </c>
      <c r="BH154" s="1" t="str">
        <f>IF($AF154=0,"",CHOOSE($AF154,INDEX(nINT_Calculation_Version,$AH154)&amp;"",INDEX(nQ1_Calculation_Version,$AH154)&amp;"",INDEX(nQ2_Calculation_Version,$AH154)&amp;"",INDEX(nQ3_Calculation_Version,$AH154)&amp;"",INDEX(nQ4_Calculation_Version,$AH154)&amp;"",INDEX(nQ5_Calculation_Version,$AH154)&amp;"",INDEX(nQ6_Calculation_Version,$AH154)&amp;"",INDEX(nQ7_Calculation_Version,$AH154)&amp;"",INDEX(nQ8_Calculation_Version,$AH154)&amp;"",INDEX(nQ9_Calculation_Version,$AH154)&amp;"",INDEX(nQ10_Calculation_Version,$AH154)&amp;"",INDEX(nQ11_Calculation_Version,$AH154)&amp;""))</f>
        <v/>
      </c>
      <c r="BI154" s="1" t="str">
        <f>IF($AF154=0,"",CHOOSE($AF154,INDEX(nINT_QC_Flags,$AH154)&amp;"",INDEX(nQ1_QC_Flags,$AH154)&amp;"",INDEX(nQ2_QC_Flags,$AH154)&amp;"",INDEX(nQ3_QC_Flags,$AH154)&amp;"",INDEX(nQ4_QC_Flags,$AH154)&amp;"",INDEX(nQ5_QC_Flags,$AH154)&amp;"",INDEX(nQ6_QC_Flags,$AH154)&amp;"",INDEX(nQ7_QC_Flags,$AH154)&amp;"",INDEX(nQ8_QC_Flags,$AH154)&amp;"",INDEX(nQ9_QC_Flags,$AH154)&amp;"",INDEX(nQ10_QC_Flags,$AH154)&amp;"",INDEX(nQ11_QC_Flags,$AH154)&amp;""))</f>
        <v/>
      </c>
      <c r="BJ154" s="1" t="str">
        <f>IF($AF154=0,"",CHOOSE($AF154,INDEX(nINT_Messages,$AH154)&amp;"",INDEX(nQ1_Messages,$AH154)&amp;"",INDEX(nQ2_Messages,$AH154)&amp;"",INDEX(nQ3_Messages,$AH154)&amp;"",INDEX(nQ4_Messages,$AH154)&amp;"",INDEX(nQ5_Messages,$AH154)&amp;"",INDEX(nQ6_Messages,$AH154)&amp;"",INDEX(nQ7_Messages,$AH154)&amp;"",INDEX(nQ8_Messages,$AH154)&amp;"",INDEX(nQ9_Messages,$AH154)&amp;"",INDEX(nQ10_Messages,$AH154)&amp;"",INDEX(nQ11_Messages,$AH154)&amp;""))</f>
        <v/>
      </c>
      <c r="BK154" s="1" t="str">
        <f>IF($AF154=0,"",CHOOSE($AF154,INDEX(nINT_Limitations,$AH154)&amp;"",INDEX(nQ1_Mandatory_Text,$AH154)&amp;"",INDEX(nQ2_Mandatory_Text,$AH154)&amp;"",INDEX(nQ3_Mandatory_Text,$AH154)&amp;"",INDEX(nQ4_Mandatory_Text,$AH154)&amp;"",INDEX(nQ5_Mandatory_Text,$AH154)&amp;"",INDEX(nQ6_Mandatory_Text,$AH154)&amp;"",INDEX(nQ7_Mandatory_Text,$AH154)&amp;"",INDEX(nQ8_Mandatory_Text,$AH154)&amp;"",INDEX(nQ9_Mandatory_Text,$AH154)&amp;"",INDEX(nQ10_Mandatory_Text,$AH154)&amp;"",INDEX(nQ11_Mandatory_Text,$AH154)&amp;""))</f>
        <v/>
      </c>
      <c r="BL154" s="1" t="str">
        <f t="shared" si="103"/>
        <v/>
      </c>
      <c r="BM154" s="1" t="str">
        <f t="shared" si="104"/>
        <v/>
      </c>
    </row>
    <row r="155" spans="1:65" x14ac:dyDescent="0.2">
      <c r="A155" s="21" t="str">
        <f t="shared" si="70"/>
        <v/>
      </c>
      <c r="B155" s="21" t="str">
        <f t="shared" si="71"/>
        <v/>
      </c>
      <c r="C155" s="21" t="str">
        <f t="shared" si="72"/>
        <v/>
      </c>
      <c r="D155" s="21" t="str">
        <f t="shared" si="73"/>
        <v/>
      </c>
      <c r="E155" s="21" t="str">
        <f t="shared" si="74"/>
        <v/>
      </c>
      <c r="F155" s="21" t="str">
        <f t="shared" si="75"/>
        <v/>
      </c>
      <c r="G155" s="21" t="str">
        <f t="shared" si="76"/>
        <v/>
      </c>
      <c r="H155" s="21" t="str">
        <f t="shared" si="77"/>
        <v/>
      </c>
      <c r="I155" s="21" t="str">
        <f t="shared" si="78"/>
        <v/>
      </c>
      <c r="J155" s="21" t="str">
        <f t="shared" si="79"/>
        <v/>
      </c>
      <c r="K155" s="21" t="str">
        <f t="shared" si="80"/>
        <v/>
      </c>
      <c r="L155" s="21" t="str">
        <f t="shared" si="81"/>
        <v/>
      </c>
      <c r="M155" s="21" t="str">
        <f t="shared" si="82"/>
        <v/>
      </c>
      <c r="N155" s="21" t="str">
        <f t="shared" si="83"/>
        <v/>
      </c>
      <c r="O155" s="21" t="str">
        <f t="shared" si="84"/>
        <v/>
      </c>
      <c r="P155" s="21" t="str">
        <f t="shared" si="85"/>
        <v/>
      </c>
      <c r="Q155" s="21" t="str">
        <f t="shared" si="86"/>
        <v/>
      </c>
      <c r="R155" s="21" t="str">
        <f t="shared" si="87"/>
        <v/>
      </c>
      <c r="S155" s="21" t="str">
        <f t="shared" si="88"/>
        <v/>
      </c>
      <c r="T155" s="21" t="str">
        <f t="shared" si="89"/>
        <v/>
      </c>
      <c r="U155" s="21" t="str">
        <f t="shared" si="90"/>
        <v/>
      </c>
      <c r="V155" s="21" t="str">
        <f t="shared" si="91"/>
        <v/>
      </c>
      <c r="W155" s="21" t="str">
        <f t="shared" si="92"/>
        <v/>
      </c>
      <c r="X155" s="21" t="str">
        <f t="shared" si="93"/>
        <v/>
      </c>
      <c r="Y155" s="21" t="str">
        <f t="shared" si="94"/>
        <v/>
      </c>
      <c r="Z155" s="21" t="str">
        <f t="shared" si="95"/>
        <v/>
      </c>
      <c r="AA155" s="21" t="str">
        <f t="shared" si="96"/>
        <v/>
      </c>
      <c r="AB155" s="21" t="str">
        <f t="shared" si="97"/>
        <v/>
      </c>
      <c r="AC155" s="21" t="str">
        <f t="shared" si="98"/>
        <v/>
      </c>
      <c r="AD155" s="21" t="str">
        <f t="shared" si="99"/>
        <v/>
      </c>
      <c r="AE155" s="1">
        <f t="shared" si="100"/>
        <v>148</v>
      </c>
      <c r="AF155" s="1">
        <f t="shared" si="101"/>
        <v>0</v>
      </c>
      <c r="AG155" s="1">
        <f t="shared" si="102"/>
        <v>0</v>
      </c>
      <c r="AH155" s="1">
        <f>IF(AF155=0,0,CHOOSE(AF155,IFERROR(_xlfn.AGGREGATE(15,6,(ROW(nINT_CaseKey)-ROW(INDEX(nINT_CaseKey,1,1))+1)/((nINT_CaseKey=$H$4)*(nINT_RowEmpty=0)),AG155),0),IFERROR(_xlfn.AGGREGATE(15,6,(ROW(nQ1_CaseKey)-ROW(INDEX(nQ1_CaseKey,1,1))+1)/((nQ1_CaseKey=$H$4)),AG155),0),IFERROR(_xlfn.AGGREGATE(15,6,(ROW(nQ2_CaseKey)-ROW(INDEX(nQ2_CaseKey,1,1))+1)/((nQ2_CaseKey=$H$4)),AG155),0),IFERROR(_xlfn.AGGREGATE(15,6,(ROW(nQ3_CaseKey)-ROW(INDEX(nQ3_CaseKey,1,1))+1)/((nQ3_CaseKey=$H$4)),AG155),0),IFERROR(_xlfn.AGGREGATE(15,6,(ROW(nQ4_CaseKey)-ROW(INDEX(nQ4_CaseKey,1,1))+1)/((nQ4_CaseKey=$H$4)),AG155),0),IFERROR(_xlfn.AGGREGATE(15,6,(ROW(nQ5_CaseKey)-ROW(INDEX(nQ5_CaseKey,1,1))+1)/((nQ5_CaseKey=$H$4)),AG155),0),IFERROR(_xlfn.AGGREGATE(15,6,(ROW(nQ6_CaseKey)-ROW(INDEX(nQ6_CaseKey,1,1))+1)/((nQ6_CaseKey=$H$4)),AG155),0),IFERROR(_xlfn.AGGREGATE(15,6,(ROW(nQ7_CaseKey)-ROW(INDEX(nQ7_CaseKey,1,1))+1)/((nQ7_CaseKey=$H$4)),AG155),0),IFERROR(_xlfn.AGGREGATE(15,6,(ROW(nQ8_CaseKey)-ROW(INDEX(nQ8_CaseKey,1,1))+1)/((nQ8_CaseKey=$H$4)),AG155),0),IFERROR(_xlfn.AGGREGATE(15,6,(ROW(nQ9_CaseKey)-ROW(INDEX(nQ9_CaseKey,1,1))+1)/((nQ9_CaseKey=$H$4)),AG155),0),IFERROR(_xlfn.AGGREGATE(15,6,(ROW(nQ10_CaseKey)-ROW(INDEX(nQ10_CaseKey,1,1))+1)/((nQ10_CaseKey=$H$4)),AG155),0),IFERROR(_xlfn.AGGREGATE(15,6,(ROW(nQ11_CaseKey)-ROW(INDEX(nQ11_CaseKey,1,1))+1)/((nQ11_CaseKey=$H$4)),AG155),0)))</f>
        <v>0</v>
      </c>
      <c r="AJ155" s="1" t="str">
        <f>IF($AF155=0,"",CHOOSE($AF155,INDEX(nINT_Case_ID,$AH155)&amp;"",INDEX(nQ1_Case_ID,$AH155)&amp;"",INDEX(nQ2_Case_ID,$AH155)&amp;"",INDEX(nQ3_Case_ID,$AH155)&amp;"",INDEX(nQ4_Case_ID,$AH155)&amp;"",INDEX(nQ5_Case_ID,$AH155)&amp;"",INDEX(nQ6_Case_ID,$AH155)&amp;"",INDEX(nQ7_Case_ID,$AH155)&amp;"",INDEX(nQ8_Case_ID,$AH155)&amp;"",INDEX(nQ9_Case_ID,$AH155)&amp;"",INDEX(nQ10_Case_ID,$AH155)&amp;"",INDEX(nQ11_Case_ID,$AH155)&amp;""))</f>
        <v/>
      </c>
      <c r="AK155" s="1" t="str">
        <f>IF($AF155=0,"",CHOOSE($AF155,INDEX(nINT_Case_Version,$AH155),INDEX(nQ1_Case_Version,$AH155),INDEX(nQ2_Case_Version,$AH155),INDEX(nQ3_Case_Version,$AH155),INDEX(nQ4_Case_Version,$AH155),INDEX(nQ5_Case_Version,$AH155),INDEX(nQ6_Case_Version,$AH155),INDEX(nQ7_Case_Version,$AH155),INDEX(nQ8_Case_Version,$AH155),INDEX(nQ9_Case_Version,$AH155),INDEX(nQ10_Case_Version,$AH155),INDEX(nQ11_Case_Version,$AH155)))</f>
        <v/>
      </c>
      <c r="AL155" s="1" t="str">
        <f>IF($AF155=0,"",CHOOSE($AF155,INDEX(nINT_Interval_ID,$AH155)&amp;"",INDEX(nQ1_Calc_ID,$AH155)&amp;"",INDEX(nQ2_Calc_ID,$AH155)&amp;"",INDEX(nQ3_Calc_ID,$AH155)&amp;"",INDEX(nQ4_Calc_ID,$AH155)&amp;"",INDEX(nQ5_Calc_ID,$AH155)&amp;"",INDEX(nQ6_Calc_ID,$AH155)&amp;"",INDEX(nQ7_Calc_ID,$AH155)&amp;"",INDEX(nQ8_Calc_ID,$AH155)&amp;"",INDEX(nQ9_Calc_ID,$AH155)&amp;"",INDEX(nQ10_Calc_ID,$AH155)&amp;"",INDEX(nQ11_Calc_ID,$AH155)&amp;""))</f>
        <v/>
      </c>
      <c r="AM155" s="1" t="str">
        <f>IF($AF155=0,"",CHOOSE($AF155,INDEX(nINT_Label,$AH155)&amp;"",INDEX(nQ1_Label_Out,$AH155)&amp;"",INDEX(nQ2_Label_Out,$AH155)&amp;"",INDEX(nQ3_Label_Out,$AH155)&amp;"",INDEX(nQ4_Label_Out,$AH155)&amp;"",INDEX(nQ5_Label_Out,$AH155)&amp;"",INDEX(nQ6_Label_Out,$AH155)&amp;"",INDEX(nQ7_Label_Out,$AH155)&amp;"",INDEX(nQ8_Label_Out,$AH155)&amp;"",INDEX(nQ9_Label_Out,$AH155)&amp;"",INDEX(nQ10_Label_Out,$AH155)&amp;"",INDEX(nQ11_Label_Out,$AH155)&amp;""))</f>
        <v/>
      </c>
      <c r="AN155" s="1" t="str">
        <f>IF($AF155=0,"",CHOOSE($AF155,IF(INDEX(nINT_LinkRow,$AH155)=0,"",INDEX(nINT_Link_ID,$AH155)&amp;""),"","","","","","","","","","",""))</f>
        <v/>
      </c>
      <c r="AO155" s="1" t="str">
        <f>IF($AF155=0,"",CHOOSE($AF155,INDEX(nINT_Exposure_Episode_ID,$AH155)&amp;"","","","","","","","","","","",""))</f>
        <v/>
      </c>
      <c r="AP155" s="1" t="str">
        <f>IF($AF155=0,"",CHOOSE($AF155,INDEX(nINT_Event_Episode_ID,$AH155)&amp;"","","","","","","","","","","",""))</f>
        <v/>
      </c>
      <c r="AQ155" s="1" t="str">
        <f>IF($AF155=0,"",CHOOSE($AF155,INDEX(nINT_End_Record_ID_Used,$AH155)&amp;"","","","","","","","","","","",""))</f>
        <v/>
      </c>
      <c r="AR155" s="1" t="str">
        <f>IF($AF155=0,"",CHOOSE($AF155,INDEX(nINT_Interval_Value,$AH155),"","","","","","","","","","",""))</f>
        <v/>
      </c>
      <c r="AS155" s="1" t="str">
        <f>IF($AF155=0,"",CHOOSE($AF155,INDEX(nINT_Interval_Minimum,$AH155),"","","","","","","","","","",""))</f>
        <v/>
      </c>
      <c r="AT155" s="1" t="str">
        <f>IF($AF155=0,"",CHOOSE($AF155,INDEX(nINT_Interval_Maximum,$AH155),"","","","","","","","","","",""))</f>
        <v/>
      </c>
      <c r="AU155" s="1" t="str">
        <f>IF($AF155=0,"",CHOOSE($AF155,INDEX(nINT_Unit,$AH155)&amp;"",INDEX(nQ1_Unit_Out,$AH155)&amp;"",INDEX(nQ2_Unit_Out,$AH155)&amp;"",INDEX(nQ3_Unit_Out,$AH155)&amp;"",INDEX(nQ4_Unit_Out,$AH155)&amp;"",INDEX(nQ5_Unit_Out,$AH155)&amp;"",INDEX(nQ6_Unit_Out,$AH155)&amp;"",INDEX(nQ7_Unit_Out,$AH155)&amp;"",INDEX(nQ8_Unit_Out,$AH155)&amp;"",INDEX(nQ9_Unit_Out,$AH155)&amp;"",INDEX(nQ10_Unit_Out,$AH155)&amp;"",INDEX(nQ11_Unit_Out,$AH155)&amp;""))</f>
        <v/>
      </c>
      <c r="AV155" s="1" t="str">
        <f>IF($AF155=0,"",CHOOSE($AF155,INDEX(nINT_Displayed_Value,$AH155)&amp;"",INDEX(nQ1_Displayed_Value,$AH155)&amp;"",INDEX(nQ2_Displayed_Value,$AH155)&amp;"",INDEX(nQ3_Displayed_Value,$AH155)&amp;"",INDEX(nQ4_Displayed_Value,$AH155)&amp;"",INDEX(nQ5_Displayed_Value,$AH155)&amp;"",INDEX(nQ6_Displayed_Value,$AH155)&amp;"",INDEX(nQ7_Displayed_Value,$AH155)&amp;"",INDEX(nQ8_Displayed_Value,$AH155)&amp;"",INDEX(nQ9_Displayed_Value,$AH155)&amp;"",INDEX(nQ10_Displayed_Value,$AH155)&amp;"",INDEX(nQ11_Displayed_Value,$AH155)&amp;""))</f>
        <v/>
      </c>
      <c r="AW155" s="1" t="str">
        <f>IF($AF155=0,"",CHOOSE($AF155,INDEX(nINT_Calculation_Mode_Used,$AH155)&amp;"","Q1","Q2","Q3","Q4","Q5","Q6","Q7","Q8","Q9","Q10","Q11"))</f>
        <v/>
      </c>
      <c r="AX155" s="1" t="str">
        <f>IF($AF155=0,"",CHOOSE($AF155,INDEX(nINT_Anchor_Type,$AH155)&amp;"","","","","","","","","","","",""))</f>
        <v/>
      </c>
      <c r="AY155" s="1" t="str">
        <f>IF($AF155=0,"",CHOOSE($AF155,IF(INDEX(nINT_K_Ok,$AH155)=1,INDEX(nINT_Anchor_Record_ID_Used,$AH155)&amp;"",""),"","","","","","","","","","",""))</f>
        <v/>
      </c>
      <c r="AZ155" s="1" t="str">
        <f>IF($AF155=0,"",CHOOSE($AF155,INDEX(nINT_Anchor_Description,$AH155)&amp;"","","","","","","","","","","",""))</f>
        <v/>
      </c>
      <c r="BA155" s="1" t="str">
        <f>IF($AF155=0,"",CHOOSE($AF155,INDEX(nINT_Sequence_Status,$AH155)&amp;"","","","","","","","","","","",""))</f>
        <v/>
      </c>
      <c r="BB155" s="1" t="str">
        <f>IF($AF155=0,"",CHOOSE($AF155,INDEX(nINT_Treatment_Day,$AH155),"","","","","","","","","","",""))</f>
        <v/>
      </c>
      <c r="BC155" s="1" t="str">
        <f>IF($AF155=0,"",CHOOSE($AF155,INDEX(nINT_Reported_Timing_Result,$AH155)&amp;"","","","","","","","","","","",""))</f>
        <v/>
      </c>
      <c r="BD155" s="1" t="str">
        <f>IF($AF155=0,"",CHOOSE($AF155,IF(INDEX(nINT_K_HasC,$AH155)=1,INDEX(nINT_Constraint_Source,$AH155)&amp;"",""),"","","","","","","","","","",""))</f>
        <v/>
      </c>
      <c r="BE155" s="1" t="str">
        <f>IF($AF155=0,"",CHOOSE($AF155,"",INDEX(nQ1_Results_Text,$AH155)&amp;"",INDEX(nQ2_Results_Text,$AH155)&amp;"",INDEX(nQ3_Results_Text,$AH155)&amp;"",INDEX(nQ4_Results_Text,$AH155)&amp;"",INDEX(nQ5_Results_Text,$AH155)&amp;"",INDEX(nQ6_Results_Text,$AH155)&amp;"",INDEX(nQ7_Results_Text,$AH155)&amp;"",INDEX(nQ8_Results_Text,$AH155)&amp;"",INDEX(nQ9_Results_Text,$AH155)&amp;"",INDEX(nQ10_Results_Text,$AH155)&amp;"",INDEX(nQ11_Results_Text,$AH155)&amp;""))</f>
        <v/>
      </c>
      <c r="BF155" s="1" t="str">
        <f>IF($AF155=0,"",CHOOSE($AF155,INDEX(nINT_Parameter_Set,$AH155)&amp;"",INDEX(nQ1_Parameter_Set,$AH155)&amp;"",INDEX(nQ2_Parameter_Set,$AH155)&amp;"",INDEX(nQ3_Parameter_Set,$AH155)&amp;"",INDEX(nQ4_Parameter_Set,$AH155)&amp;"",INDEX(nQ5_Parameter_Set,$AH155)&amp;"",INDEX(nQ6_Parameter_Set,$AH155)&amp;"",INDEX(nQ7_Parameter_Set,$AH155)&amp;"",INDEX(nQ8_Parameter_Set,$AH155)&amp;"",INDEX(nQ9_Parameter_Set,$AH155)&amp;"",INDEX(nQ10_Parameter_Set,$AH155)&amp;"",INDEX(nQ11_Parameter_Set,$AH155)&amp;""))</f>
        <v/>
      </c>
      <c r="BG155" s="1" t="str">
        <f>IF($AF155=0,"",CHOOSE($AF155,INDEX(nINT_Assumptions,$AH155)&amp;"",INDEX(nQ1_Assumptions,$AH155)&amp;"",INDEX(nQ2_Assumptions,$AH155)&amp;"",INDEX(nQ3_Assumptions,$AH155)&amp;"",INDEX(nQ4_Assumptions,$AH155)&amp;"",INDEX(nQ5_Assumptions,$AH155)&amp;"",INDEX(nQ6_Assumptions,$AH155)&amp;"",INDEX(nQ7_Assumptions,$AH155)&amp;"",INDEX(nQ8_Assumptions,$AH155)&amp;"",INDEX(nQ9_Assumptions,$AH155)&amp;"",INDEX(nQ10_Assumptions,$AH155)&amp;"",INDEX(nQ11_Assumptions,$AH155)&amp;""))</f>
        <v/>
      </c>
      <c r="BH155" s="1" t="str">
        <f>IF($AF155=0,"",CHOOSE($AF155,INDEX(nINT_Calculation_Version,$AH155)&amp;"",INDEX(nQ1_Calculation_Version,$AH155)&amp;"",INDEX(nQ2_Calculation_Version,$AH155)&amp;"",INDEX(nQ3_Calculation_Version,$AH155)&amp;"",INDEX(nQ4_Calculation_Version,$AH155)&amp;"",INDEX(nQ5_Calculation_Version,$AH155)&amp;"",INDEX(nQ6_Calculation_Version,$AH155)&amp;"",INDEX(nQ7_Calculation_Version,$AH155)&amp;"",INDEX(nQ8_Calculation_Version,$AH155)&amp;"",INDEX(nQ9_Calculation_Version,$AH155)&amp;"",INDEX(nQ10_Calculation_Version,$AH155)&amp;"",INDEX(nQ11_Calculation_Version,$AH155)&amp;""))</f>
        <v/>
      </c>
      <c r="BI155" s="1" t="str">
        <f>IF($AF155=0,"",CHOOSE($AF155,INDEX(nINT_QC_Flags,$AH155)&amp;"",INDEX(nQ1_QC_Flags,$AH155)&amp;"",INDEX(nQ2_QC_Flags,$AH155)&amp;"",INDEX(nQ3_QC_Flags,$AH155)&amp;"",INDEX(nQ4_QC_Flags,$AH155)&amp;"",INDEX(nQ5_QC_Flags,$AH155)&amp;"",INDEX(nQ6_QC_Flags,$AH155)&amp;"",INDEX(nQ7_QC_Flags,$AH155)&amp;"",INDEX(nQ8_QC_Flags,$AH155)&amp;"",INDEX(nQ9_QC_Flags,$AH155)&amp;"",INDEX(nQ10_QC_Flags,$AH155)&amp;"",INDEX(nQ11_QC_Flags,$AH155)&amp;""))</f>
        <v/>
      </c>
      <c r="BJ155" s="1" t="str">
        <f>IF($AF155=0,"",CHOOSE($AF155,INDEX(nINT_Messages,$AH155)&amp;"",INDEX(nQ1_Messages,$AH155)&amp;"",INDEX(nQ2_Messages,$AH155)&amp;"",INDEX(nQ3_Messages,$AH155)&amp;"",INDEX(nQ4_Messages,$AH155)&amp;"",INDEX(nQ5_Messages,$AH155)&amp;"",INDEX(nQ6_Messages,$AH155)&amp;"",INDEX(nQ7_Messages,$AH155)&amp;"",INDEX(nQ8_Messages,$AH155)&amp;"",INDEX(nQ9_Messages,$AH155)&amp;"",INDEX(nQ10_Messages,$AH155)&amp;"",INDEX(nQ11_Messages,$AH155)&amp;""))</f>
        <v/>
      </c>
      <c r="BK155" s="1" t="str">
        <f>IF($AF155=0,"",CHOOSE($AF155,INDEX(nINT_Limitations,$AH155)&amp;"",INDEX(nQ1_Mandatory_Text,$AH155)&amp;"",INDEX(nQ2_Mandatory_Text,$AH155)&amp;"",INDEX(nQ3_Mandatory_Text,$AH155)&amp;"",INDEX(nQ4_Mandatory_Text,$AH155)&amp;"",INDEX(nQ5_Mandatory_Text,$AH155)&amp;"",INDEX(nQ6_Mandatory_Text,$AH155)&amp;"",INDEX(nQ7_Mandatory_Text,$AH155)&amp;"",INDEX(nQ8_Mandatory_Text,$AH155)&amp;"",INDEX(nQ9_Mandatory_Text,$AH155)&amp;"",INDEX(nQ10_Mandatory_Text,$AH155)&amp;"",INDEX(nQ11_Mandatory_Text,$AH155)&amp;""))</f>
        <v/>
      </c>
      <c r="BL155" s="1" t="str">
        <f t="shared" si="103"/>
        <v/>
      </c>
      <c r="BM155" s="1" t="str">
        <f t="shared" si="104"/>
        <v/>
      </c>
    </row>
    <row r="156" spans="1:65" x14ac:dyDescent="0.2">
      <c r="A156" s="21" t="str">
        <f t="shared" si="70"/>
        <v/>
      </c>
      <c r="B156" s="21" t="str">
        <f t="shared" si="71"/>
        <v/>
      </c>
      <c r="C156" s="21" t="str">
        <f t="shared" si="72"/>
        <v/>
      </c>
      <c r="D156" s="21" t="str">
        <f t="shared" si="73"/>
        <v/>
      </c>
      <c r="E156" s="21" t="str">
        <f t="shared" si="74"/>
        <v/>
      </c>
      <c r="F156" s="21" t="str">
        <f t="shared" si="75"/>
        <v/>
      </c>
      <c r="G156" s="21" t="str">
        <f t="shared" si="76"/>
        <v/>
      </c>
      <c r="H156" s="21" t="str">
        <f t="shared" si="77"/>
        <v/>
      </c>
      <c r="I156" s="21" t="str">
        <f t="shared" si="78"/>
        <v/>
      </c>
      <c r="J156" s="21" t="str">
        <f t="shared" si="79"/>
        <v/>
      </c>
      <c r="K156" s="21" t="str">
        <f t="shared" si="80"/>
        <v/>
      </c>
      <c r="L156" s="21" t="str">
        <f t="shared" si="81"/>
        <v/>
      </c>
      <c r="M156" s="21" t="str">
        <f t="shared" si="82"/>
        <v/>
      </c>
      <c r="N156" s="21" t="str">
        <f t="shared" si="83"/>
        <v/>
      </c>
      <c r="O156" s="21" t="str">
        <f t="shared" si="84"/>
        <v/>
      </c>
      <c r="P156" s="21" t="str">
        <f t="shared" si="85"/>
        <v/>
      </c>
      <c r="Q156" s="21" t="str">
        <f t="shared" si="86"/>
        <v/>
      </c>
      <c r="R156" s="21" t="str">
        <f t="shared" si="87"/>
        <v/>
      </c>
      <c r="S156" s="21" t="str">
        <f t="shared" si="88"/>
        <v/>
      </c>
      <c r="T156" s="21" t="str">
        <f t="shared" si="89"/>
        <v/>
      </c>
      <c r="U156" s="21" t="str">
        <f t="shared" si="90"/>
        <v/>
      </c>
      <c r="V156" s="21" t="str">
        <f t="shared" si="91"/>
        <v/>
      </c>
      <c r="W156" s="21" t="str">
        <f t="shared" si="92"/>
        <v/>
      </c>
      <c r="X156" s="21" t="str">
        <f t="shared" si="93"/>
        <v/>
      </c>
      <c r="Y156" s="21" t="str">
        <f t="shared" si="94"/>
        <v/>
      </c>
      <c r="Z156" s="21" t="str">
        <f t="shared" si="95"/>
        <v/>
      </c>
      <c r="AA156" s="21" t="str">
        <f t="shared" si="96"/>
        <v/>
      </c>
      <c r="AB156" s="21" t="str">
        <f t="shared" si="97"/>
        <v/>
      </c>
      <c r="AC156" s="21" t="str">
        <f t="shared" si="98"/>
        <v/>
      </c>
      <c r="AD156" s="21" t="str">
        <f t="shared" si="99"/>
        <v/>
      </c>
      <c r="AE156" s="1">
        <f t="shared" si="100"/>
        <v>149</v>
      </c>
      <c r="AF156" s="1">
        <f t="shared" si="101"/>
        <v>0</v>
      </c>
      <c r="AG156" s="1">
        <f t="shared" si="102"/>
        <v>0</v>
      </c>
      <c r="AH156" s="1">
        <f>IF(AF156=0,0,CHOOSE(AF156,IFERROR(_xlfn.AGGREGATE(15,6,(ROW(nINT_CaseKey)-ROW(INDEX(nINT_CaseKey,1,1))+1)/((nINT_CaseKey=$H$4)*(nINT_RowEmpty=0)),AG156),0),IFERROR(_xlfn.AGGREGATE(15,6,(ROW(nQ1_CaseKey)-ROW(INDEX(nQ1_CaseKey,1,1))+1)/((nQ1_CaseKey=$H$4)),AG156),0),IFERROR(_xlfn.AGGREGATE(15,6,(ROW(nQ2_CaseKey)-ROW(INDEX(nQ2_CaseKey,1,1))+1)/((nQ2_CaseKey=$H$4)),AG156),0),IFERROR(_xlfn.AGGREGATE(15,6,(ROW(nQ3_CaseKey)-ROW(INDEX(nQ3_CaseKey,1,1))+1)/((nQ3_CaseKey=$H$4)),AG156),0),IFERROR(_xlfn.AGGREGATE(15,6,(ROW(nQ4_CaseKey)-ROW(INDEX(nQ4_CaseKey,1,1))+1)/((nQ4_CaseKey=$H$4)),AG156),0),IFERROR(_xlfn.AGGREGATE(15,6,(ROW(nQ5_CaseKey)-ROW(INDEX(nQ5_CaseKey,1,1))+1)/((nQ5_CaseKey=$H$4)),AG156),0),IFERROR(_xlfn.AGGREGATE(15,6,(ROW(nQ6_CaseKey)-ROW(INDEX(nQ6_CaseKey,1,1))+1)/((nQ6_CaseKey=$H$4)),AG156),0),IFERROR(_xlfn.AGGREGATE(15,6,(ROW(nQ7_CaseKey)-ROW(INDEX(nQ7_CaseKey,1,1))+1)/((nQ7_CaseKey=$H$4)),AG156),0),IFERROR(_xlfn.AGGREGATE(15,6,(ROW(nQ8_CaseKey)-ROW(INDEX(nQ8_CaseKey,1,1))+1)/((nQ8_CaseKey=$H$4)),AG156),0),IFERROR(_xlfn.AGGREGATE(15,6,(ROW(nQ9_CaseKey)-ROW(INDEX(nQ9_CaseKey,1,1))+1)/((nQ9_CaseKey=$H$4)),AG156),0),IFERROR(_xlfn.AGGREGATE(15,6,(ROW(nQ10_CaseKey)-ROW(INDEX(nQ10_CaseKey,1,1))+1)/((nQ10_CaseKey=$H$4)),AG156),0),IFERROR(_xlfn.AGGREGATE(15,6,(ROW(nQ11_CaseKey)-ROW(INDEX(nQ11_CaseKey,1,1))+1)/((nQ11_CaseKey=$H$4)),AG156),0)))</f>
        <v>0</v>
      </c>
      <c r="AJ156" s="1" t="str">
        <f>IF($AF156=0,"",CHOOSE($AF156,INDEX(nINT_Case_ID,$AH156)&amp;"",INDEX(nQ1_Case_ID,$AH156)&amp;"",INDEX(nQ2_Case_ID,$AH156)&amp;"",INDEX(nQ3_Case_ID,$AH156)&amp;"",INDEX(nQ4_Case_ID,$AH156)&amp;"",INDEX(nQ5_Case_ID,$AH156)&amp;"",INDEX(nQ6_Case_ID,$AH156)&amp;"",INDEX(nQ7_Case_ID,$AH156)&amp;"",INDEX(nQ8_Case_ID,$AH156)&amp;"",INDEX(nQ9_Case_ID,$AH156)&amp;"",INDEX(nQ10_Case_ID,$AH156)&amp;"",INDEX(nQ11_Case_ID,$AH156)&amp;""))</f>
        <v/>
      </c>
      <c r="AK156" s="1" t="str">
        <f>IF($AF156=0,"",CHOOSE($AF156,INDEX(nINT_Case_Version,$AH156),INDEX(nQ1_Case_Version,$AH156),INDEX(nQ2_Case_Version,$AH156),INDEX(nQ3_Case_Version,$AH156),INDEX(nQ4_Case_Version,$AH156),INDEX(nQ5_Case_Version,$AH156),INDEX(nQ6_Case_Version,$AH156),INDEX(nQ7_Case_Version,$AH156),INDEX(nQ8_Case_Version,$AH156),INDEX(nQ9_Case_Version,$AH156),INDEX(nQ10_Case_Version,$AH156),INDEX(nQ11_Case_Version,$AH156)))</f>
        <v/>
      </c>
      <c r="AL156" s="1" t="str">
        <f>IF($AF156=0,"",CHOOSE($AF156,INDEX(nINT_Interval_ID,$AH156)&amp;"",INDEX(nQ1_Calc_ID,$AH156)&amp;"",INDEX(nQ2_Calc_ID,$AH156)&amp;"",INDEX(nQ3_Calc_ID,$AH156)&amp;"",INDEX(nQ4_Calc_ID,$AH156)&amp;"",INDEX(nQ5_Calc_ID,$AH156)&amp;"",INDEX(nQ6_Calc_ID,$AH156)&amp;"",INDEX(nQ7_Calc_ID,$AH156)&amp;"",INDEX(nQ8_Calc_ID,$AH156)&amp;"",INDEX(nQ9_Calc_ID,$AH156)&amp;"",INDEX(nQ10_Calc_ID,$AH156)&amp;"",INDEX(nQ11_Calc_ID,$AH156)&amp;""))</f>
        <v/>
      </c>
      <c r="AM156" s="1" t="str">
        <f>IF($AF156=0,"",CHOOSE($AF156,INDEX(nINT_Label,$AH156)&amp;"",INDEX(nQ1_Label_Out,$AH156)&amp;"",INDEX(nQ2_Label_Out,$AH156)&amp;"",INDEX(nQ3_Label_Out,$AH156)&amp;"",INDEX(nQ4_Label_Out,$AH156)&amp;"",INDEX(nQ5_Label_Out,$AH156)&amp;"",INDEX(nQ6_Label_Out,$AH156)&amp;"",INDEX(nQ7_Label_Out,$AH156)&amp;"",INDEX(nQ8_Label_Out,$AH156)&amp;"",INDEX(nQ9_Label_Out,$AH156)&amp;"",INDEX(nQ10_Label_Out,$AH156)&amp;"",INDEX(nQ11_Label_Out,$AH156)&amp;""))</f>
        <v/>
      </c>
      <c r="AN156" s="1" t="str">
        <f>IF($AF156=0,"",CHOOSE($AF156,IF(INDEX(nINT_LinkRow,$AH156)=0,"",INDEX(nINT_Link_ID,$AH156)&amp;""),"","","","","","","","","","",""))</f>
        <v/>
      </c>
      <c r="AO156" s="1" t="str">
        <f>IF($AF156=0,"",CHOOSE($AF156,INDEX(nINT_Exposure_Episode_ID,$AH156)&amp;"","","","","","","","","","","",""))</f>
        <v/>
      </c>
      <c r="AP156" s="1" t="str">
        <f>IF($AF156=0,"",CHOOSE($AF156,INDEX(nINT_Event_Episode_ID,$AH156)&amp;"","","","","","","","","","","",""))</f>
        <v/>
      </c>
      <c r="AQ156" s="1" t="str">
        <f>IF($AF156=0,"",CHOOSE($AF156,INDEX(nINT_End_Record_ID_Used,$AH156)&amp;"","","","","","","","","","","",""))</f>
        <v/>
      </c>
      <c r="AR156" s="1" t="str">
        <f>IF($AF156=0,"",CHOOSE($AF156,INDEX(nINT_Interval_Value,$AH156),"","","","","","","","","","",""))</f>
        <v/>
      </c>
      <c r="AS156" s="1" t="str">
        <f>IF($AF156=0,"",CHOOSE($AF156,INDEX(nINT_Interval_Minimum,$AH156),"","","","","","","","","","",""))</f>
        <v/>
      </c>
      <c r="AT156" s="1" t="str">
        <f>IF($AF156=0,"",CHOOSE($AF156,INDEX(nINT_Interval_Maximum,$AH156),"","","","","","","","","","",""))</f>
        <v/>
      </c>
      <c r="AU156" s="1" t="str">
        <f>IF($AF156=0,"",CHOOSE($AF156,INDEX(nINT_Unit,$AH156)&amp;"",INDEX(nQ1_Unit_Out,$AH156)&amp;"",INDEX(nQ2_Unit_Out,$AH156)&amp;"",INDEX(nQ3_Unit_Out,$AH156)&amp;"",INDEX(nQ4_Unit_Out,$AH156)&amp;"",INDEX(nQ5_Unit_Out,$AH156)&amp;"",INDEX(nQ6_Unit_Out,$AH156)&amp;"",INDEX(nQ7_Unit_Out,$AH156)&amp;"",INDEX(nQ8_Unit_Out,$AH156)&amp;"",INDEX(nQ9_Unit_Out,$AH156)&amp;"",INDEX(nQ10_Unit_Out,$AH156)&amp;"",INDEX(nQ11_Unit_Out,$AH156)&amp;""))</f>
        <v/>
      </c>
      <c r="AV156" s="1" t="str">
        <f>IF($AF156=0,"",CHOOSE($AF156,INDEX(nINT_Displayed_Value,$AH156)&amp;"",INDEX(nQ1_Displayed_Value,$AH156)&amp;"",INDEX(nQ2_Displayed_Value,$AH156)&amp;"",INDEX(nQ3_Displayed_Value,$AH156)&amp;"",INDEX(nQ4_Displayed_Value,$AH156)&amp;"",INDEX(nQ5_Displayed_Value,$AH156)&amp;"",INDEX(nQ6_Displayed_Value,$AH156)&amp;"",INDEX(nQ7_Displayed_Value,$AH156)&amp;"",INDEX(nQ8_Displayed_Value,$AH156)&amp;"",INDEX(nQ9_Displayed_Value,$AH156)&amp;"",INDEX(nQ10_Displayed_Value,$AH156)&amp;"",INDEX(nQ11_Displayed_Value,$AH156)&amp;""))</f>
        <v/>
      </c>
      <c r="AW156" s="1" t="str">
        <f>IF($AF156=0,"",CHOOSE($AF156,INDEX(nINT_Calculation_Mode_Used,$AH156)&amp;"","Q1","Q2","Q3","Q4","Q5","Q6","Q7","Q8","Q9","Q10","Q11"))</f>
        <v/>
      </c>
      <c r="AX156" s="1" t="str">
        <f>IF($AF156=0,"",CHOOSE($AF156,INDEX(nINT_Anchor_Type,$AH156)&amp;"","","","","","","","","","","",""))</f>
        <v/>
      </c>
      <c r="AY156" s="1" t="str">
        <f>IF($AF156=0,"",CHOOSE($AF156,IF(INDEX(nINT_K_Ok,$AH156)=1,INDEX(nINT_Anchor_Record_ID_Used,$AH156)&amp;"",""),"","","","","","","","","","",""))</f>
        <v/>
      </c>
      <c r="AZ156" s="1" t="str">
        <f>IF($AF156=0,"",CHOOSE($AF156,INDEX(nINT_Anchor_Description,$AH156)&amp;"","","","","","","","","","","",""))</f>
        <v/>
      </c>
      <c r="BA156" s="1" t="str">
        <f>IF($AF156=0,"",CHOOSE($AF156,INDEX(nINT_Sequence_Status,$AH156)&amp;"","","","","","","","","","","",""))</f>
        <v/>
      </c>
      <c r="BB156" s="1" t="str">
        <f>IF($AF156=0,"",CHOOSE($AF156,INDEX(nINT_Treatment_Day,$AH156),"","","","","","","","","","",""))</f>
        <v/>
      </c>
      <c r="BC156" s="1" t="str">
        <f>IF($AF156=0,"",CHOOSE($AF156,INDEX(nINT_Reported_Timing_Result,$AH156)&amp;"","","","","","","","","","","",""))</f>
        <v/>
      </c>
      <c r="BD156" s="1" t="str">
        <f>IF($AF156=0,"",CHOOSE($AF156,IF(INDEX(nINT_K_HasC,$AH156)=1,INDEX(nINT_Constraint_Source,$AH156)&amp;"",""),"","","","","","","","","","",""))</f>
        <v/>
      </c>
      <c r="BE156" s="1" t="str">
        <f>IF($AF156=0,"",CHOOSE($AF156,"",INDEX(nQ1_Results_Text,$AH156)&amp;"",INDEX(nQ2_Results_Text,$AH156)&amp;"",INDEX(nQ3_Results_Text,$AH156)&amp;"",INDEX(nQ4_Results_Text,$AH156)&amp;"",INDEX(nQ5_Results_Text,$AH156)&amp;"",INDEX(nQ6_Results_Text,$AH156)&amp;"",INDEX(nQ7_Results_Text,$AH156)&amp;"",INDEX(nQ8_Results_Text,$AH156)&amp;"",INDEX(nQ9_Results_Text,$AH156)&amp;"",INDEX(nQ10_Results_Text,$AH156)&amp;"",INDEX(nQ11_Results_Text,$AH156)&amp;""))</f>
        <v/>
      </c>
      <c r="BF156" s="1" t="str">
        <f>IF($AF156=0,"",CHOOSE($AF156,INDEX(nINT_Parameter_Set,$AH156)&amp;"",INDEX(nQ1_Parameter_Set,$AH156)&amp;"",INDEX(nQ2_Parameter_Set,$AH156)&amp;"",INDEX(nQ3_Parameter_Set,$AH156)&amp;"",INDEX(nQ4_Parameter_Set,$AH156)&amp;"",INDEX(nQ5_Parameter_Set,$AH156)&amp;"",INDEX(nQ6_Parameter_Set,$AH156)&amp;"",INDEX(nQ7_Parameter_Set,$AH156)&amp;"",INDEX(nQ8_Parameter_Set,$AH156)&amp;"",INDEX(nQ9_Parameter_Set,$AH156)&amp;"",INDEX(nQ10_Parameter_Set,$AH156)&amp;"",INDEX(nQ11_Parameter_Set,$AH156)&amp;""))</f>
        <v/>
      </c>
      <c r="BG156" s="1" t="str">
        <f>IF($AF156=0,"",CHOOSE($AF156,INDEX(nINT_Assumptions,$AH156)&amp;"",INDEX(nQ1_Assumptions,$AH156)&amp;"",INDEX(nQ2_Assumptions,$AH156)&amp;"",INDEX(nQ3_Assumptions,$AH156)&amp;"",INDEX(nQ4_Assumptions,$AH156)&amp;"",INDEX(nQ5_Assumptions,$AH156)&amp;"",INDEX(nQ6_Assumptions,$AH156)&amp;"",INDEX(nQ7_Assumptions,$AH156)&amp;"",INDEX(nQ8_Assumptions,$AH156)&amp;"",INDEX(nQ9_Assumptions,$AH156)&amp;"",INDEX(nQ10_Assumptions,$AH156)&amp;"",INDEX(nQ11_Assumptions,$AH156)&amp;""))</f>
        <v/>
      </c>
      <c r="BH156" s="1" t="str">
        <f>IF($AF156=0,"",CHOOSE($AF156,INDEX(nINT_Calculation_Version,$AH156)&amp;"",INDEX(nQ1_Calculation_Version,$AH156)&amp;"",INDEX(nQ2_Calculation_Version,$AH156)&amp;"",INDEX(nQ3_Calculation_Version,$AH156)&amp;"",INDEX(nQ4_Calculation_Version,$AH156)&amp;"",INDEX(nQ5_Calculation_Version,$AH156)&amp;"",INDEX(nQ6_Calculation_Version,$AH156)&amp;"",INDEX(nQ7_Calculation_Version,$AH156)&amp;"",INDEX(nQ8_Calculation_Version,$AH156)&amp;"",INDEX(nQ9_Calculation_Version,$AH156)&amp;"",INDEX(nQ10_Calculation_Version,$AH156)&amp;"",INDEX(nQ11_Calculation_Version,$AH156)&amp;""))</f>
        <v/>
      </c>
      <c r="BI156" s="1" t="str">
        <f>IF($AF156=0,"",CHOOSE($AF156,INDEX(nINT_QC_Flags,$AH156)&amp;"",INDEX(nQ1_QC_Flags,$AH156)&amp;"",INDEX(nQ2_QC_Flags,$AH156)&amp;"",INDEX(nQ3_QC_Flags,$AH156)&amp;"",INDEX(nQ4_QC_Flags,$AH156)&amp;"",INDEX(nQ5_QC_Flags,$AH156)&amp;"",INDEX(nQ6_QC_Flags,$AH156)&amp;"",INDEX(nQ7_QC_Flags,$AH156)&amp;"",INDEX(nQ8_QC_Flags,$AH156)&amp;"",INDEX(nQ9_QC_Flags,$AH156)&amp;"",INDEX(nQ10_QC_Flags,$AH156)&amp;"",INDEX(nQ11_QC_Flags,$AH156)&amp;""))</f>
        <v/>
      </c>
      <c r="BJ156" s="1" t="str">
        <f>IF($AF156=0,"",CHOOSE($AF156,INDEX(nINT_Messages,$AH156)&amp;"",INDEX(nQ1_Messages,$AH156)&amp;"",INDEX(nQ2_Messages,$AH156)&amp;"",INDEX(nQ3_Messages,$AH156)&amp;"",INDEX(nQ4_Messages,$AH156)&amp;"",INDEX(nQ5_Messages,$AH156)&amp;"",INDEX(nQ6_Messages,$AH156)&amp;"",INDEX(nQ7_Messages,$AH156)&amp;"",INDEX(nQ8_Messages,$AH156)&amp;"",INDEX(nQ9_Messages,$AH156)&amp;"",INDEX(nQ10_Messages,$AH156)&amp;"",INDEX(nQ11_Messages,$AH156)&amp;""))</f>
        <v/>
      </c>
      <c r="BK156" s="1" t="str">
        <f>IF($AF156=0,"",CHOOSE($AF156,INDEX(nINT_Limitations,$AH156)&amp;"",INDEX(nQ1_Mandatory_Text,$AH156)&amp;"",INDEX(nQ2_Mandatory_Text,$AH156)&amp;"",INDEX(nQ3_Mandatory_Text,$AH156)&amp;"",INDEX(nQ4_Mandatory_Text,$AH156)&amp;"",INDEX(nQ5_Mandatory_Text,$AH156)&amp;"",INDEX(nQ6_Mandatory_Text,$AH156)&amp;"",INDEX(nQ7_Mandatory_Text,$AH156)&amp;"",INDEX(nQ8_Mandatory_Text,$AH156)&amp;"",INDEX(nQ9_Mandatory_Text,$AH156)&amp;"",INDEX(nQ10_Mandatory_Text,$AH156)&amp;"",INDEX(nQ11_Mandatory_Text,$AH156)&amp;""))</f>
        <v/>
      </c>
      <c r="BL156" s="1" t="str">
        <f t="shared" si="103"/>
        <v/>
      </c>
      <c r="BM156" s="1" t="str">
        <f t="shared" si="104"/>
        <v/>
      </c>
    </row>
    <row r="157" spans="1:65" x14ac:dyDescent="0.2">
      <c r="A157" s="21" t="str">
        <f t="shared" si="70"/>
        <v/>
      </c>
      <c r="B157" s="21" t="str">
        <f t="shared" si="71"/>
        <v/>
      </c>
      <c r="C157" s="21" t="str">
        <f t="shared" si="72"/>
        <v/>
      </c>
      <c r="D157" s="21" t="str">
        <f t="shared" si="73"/>
        <v/>
      </c>
      <c r="E157" s="21" t="str">
        <f t="shared" si="74"/>
        <v/>
      </c>
      <c r="F157" s="21" t="str">
        <f t="shared" si="75"/>
        <v/>
      </c>
      <c r="G157" s="21" t="str">
        <f t="shared" si="76"/>
        <v/>
      </c>
      <c r="H157" s="21" t="str">
        <f t="shared" si="77"/>
        <v/>
      </c>
      <c r="I157" s="21" t="str">
        <f t="shared" si="78"/>
        <v/>
      </c>
      <c r="J157" s="21" t="str">
        <f t="shared" si="79"/>
        <v/>
      </c>
      <c r="K157" s="21" t="str">
        <f t="shared" si="80"/>
        <v/>
      </c>
      <c r="L157" s="21" t="str">
        <f t="shared" si="81"/>
        <v/>
      </c>
      <c r="M157" s="21" t="str">
        <f t="shared" si="82"/>
        <v/>
      </c>
      <c r="N157" s="21" t="str">
        <f t="shared" si="83"/>
        <v/>
      </c>
      <c r="O157" s="21" t="str">
        <f t="shared" si="84"/>
        <v/>
      </c>
      <c r="P157" s="21" t="str">
        <f t="shared" si="85"/>
        <v/>
      </c>
      <c r="Q157" s="21" t="str">
        <f t="shared" si="86"/>
        <v/>
      </c>
      <c r="R157" s="21" t="str">
        <f t="shared" si="87"/>
        <v/>
      </c>
      <c r="S157" s="21" t="str">
        <f t="shared" si="88"/>
        <v/>
      </c>
      <c r="T157" s="21" t="str">
        <f t="shared" si="89"/>
        <v/>
      </c>
      <c r="U157" s="21" t="str">
        <f t="shared" si="90"/>
        <v/>
      </c>
      <c r="V157" s="21" t="str">
        <f t="shared" si="91"/>
        <v/>
      </c>
      <c r="W157" s="21" t="str">
        <f t="shared" si="92"/>
        <v/>
      </c>
      <c r="X157" s="21" t="str">
        <f t="shared" si="93"/>
        <v/>
      </c>
      <c r="Y157" s="21" t="str">
        <f t="shared" si="94"/>
        <v/>
      </c>
      <c r="Z157" s="21" t="str">
        <f t="shared" si="95"/>
        <v/>
      </c>
      <c r="AA157" s="21" t="str">
        <f t="shared" si="96"/>
        <v/>
      </c>
      <c r="AB157" s="21" t="str">
        <f t="shared" si="97"/>
        <v/>
      </c>
      <c r="AC157" s="21" t="str">
        <f t="shared" si="98"/>
        <v/>
      </c>
      <c r="AD157" s="21" t="str">
        <f t="shared" si="99"/>
        <v/>
      </c>
      <c r="AE157" s="1">
        <f t="shared" si="100"/>
        <v>150</v>
      </c>
      <c r="AF157" s="1">
        <f t="shared" si="101"/>
        <v>0</v>
      </c>
      <c r="AG157" s="1">
        <f t="shared" si="102"/>
        <v>0</v>
      </c>
      <c r="AH157" s="1">
        <f>IF(AF157=0,0,CHOOSE(AF157,IFERROR(_xlfn.AGGREGATE(15,6,(ROW(nINT_CaseKey)-ROW(INDEX(nINT_CaseKey,1,1))+1)/((nINT_CaseKey=$H$4)*(nINT_RowEmpty=0)),AG157),0),IFERROR(_xlfn.AGGREGATE(15,6,(ROW(nQ1_CaseKey)-ROW(INDEX(nQ1_CaseKey,1,1))+1)/((nQ1_CaseKey=$H$4)),AG157),0),IFERROR(_xlfn.AGGREGATE(15,6,(ROW(nQ2_CaseKey)-ROW(INDEX(nQ2_CaseKey,1,1))+1)/((nQ2_CaseKey=$H$4)),AG157),0),IFERROR(_xlfn.AGGREGATE(15,6,(ROW(nQ3_CaseKey)-ROW(INDEX(nQ3_CaseKey,1,1))+1)/((nQ3_CaseKey=$H$4)),AG157),0),IFERROR(_xlfn.AGGREGATE(15,6,(ROW(nQ4_CaseKey)-ROW(INDEX(nQ4_CaseKey,1,1))+1)/((nQ4_CaseKey=$H$4)),AG157),0),IFERROR(_xlfn.AGGREGATE(15,6,(ROW(nQ5_CaseKey)-ROW(INDEX(nQ5_CaseKey,1,1))+1)/((nQ5_CaseKey=$H$4)),AG157),0),IFERROR(_xlfn.AGGREGATE(15,6,(ROW(nQ6_CaseKey)-ROW(INDEX(nQ6_CaseKey,1,1))+1)/((nQ6_CaseKey=$H$4)),AG157),0),IFERROR(_xlfn.AGGREGATE(15,6,(ROW(nQ7_CaseKey)-ROW(INDEX(nQ7_CaseKey,1,1))+1)/((nQ7_CaseKey=$H$4)),AG157),0),IFERROR(_xlfn.AGGREGATE(15,6,(ROW(nQ8_CaseKey)-ROW(INDEX(nQ8_CaseKey,1,1))+1)/((nQ8_CaseKey=$H$4)),AG157),0),IFERROR(_xlfn.AGGREGATE(15,6,(ROW(nQ9_CaseKey)-ROW(INDEX(nQ9_CaseKey,1,1))+1)/((nQ9_CaseKey=$H$4)),AG157),0),IFERROR(_xlfn.AGGREGATE(15,6,(ROW(nQ10_CaseKey)-ROW(INDEX(nQ10_CaseKey,1,1))+1)/((nQ10_CaseKey=$H$4)),AG157),0),IFERROR(_xlfn.AGGREGATE(15,6,(ROW(nQ11_CaseKey)-ROW(INDEX(nQ11_CaseKey,1,1))+1)/((nQ11_CaseKey=$H$4)),AG157),0)))</f>
        <v>0</v>
      </c>
      <c r="AJ157" s="1" t="str">
        <f>IF($AF157=0,"",CHOOSE($AF157,INDEX(nINT_Case_ID,$AH157)&amp;"",INDEX(nQ1_Case_ID,$AH157)&amp;"",INDEX(nQ2_Case_ID,$AH157)&amp;"",INDEX(nQ3_Case_ID,$AH157)&amp;"",INDEX(nQ4_Case_ID,$AH157)&amp;"",INDEX(nQ5_Case_ID,$AH157)&amp;"",INDEX(nQ6_Case_ID,$AH157)&amp;"",INDEX(nQ7_Case_ID,$AH157)&amp;"",INDEX(nQ8_Case_ID,$AH157)&amp;"",INDEX(nQ9_Case_ID,$AH157)&amp;"",INDEX(nQ10_Case_ID,$AH157)&amp;"",INDEX(nQ11_Case_ID,$AH157)&amp;""))</f>
        <v/>
      </c>
      <c r="AK157" s="1" t="str">
        <f>IF($AF157=0,"",CHOOSE($AF157,INDEX(nINT_Case_Version,$AH157),INDEX(nQ1_Case_Version,$AH157),INDEX(nQ2_Case_Version,$AH157),INDEX(nQ3_Case_Version,$AH157),INDEX(nQ4_Case_Version,$AH157),INDEX(nQ5_Case_Version,$AH157),INDEX(nQ6_Case_Version,$AH157),INDEX(nQ7_Case_Version,$AH157),INDEX(nQ8_Case_Version,$AH157),INDEX(nQ9_Case_Version,$AH157),INDEX(nQ10_Case_Version,$AH157),INDEX(nQ11_Case_Version,$AH157)))</f>
        <v/>
      </c>
      <c r="AL157" s="1" t="str">
        <f>IF($AF157=0,"",CHOOSE($AF157,INDEX(nINT_Interval_ID,$AH157)&amp;"",INDEX(nQ1_Calc_ID,$AH157)&amp;"",INDEX(nQ2_Calc_ID,$AH157)&amp;"",INDEX(nQ3_Calc_ID,$AH157)&amp;"",INDEX(nQ4_Calc_ID,$AH157)&amp;"",INDEX(nQ5_Calc_ID,$AH157)&amp;"",INDEX(nQ6_Calc_ID,$AH157)&amp;"",INDEX(nQ7_Calc_ID,$AH157)&amp;"",INDEX(nQ8_Calc_ID,$AH157)&amp;"",INDEX(nQ9_Calc_ID,$AH157)&amp;"",INDEX(nQ10_Calc_ID,$AH157)&amp;"",INDEX(nQ11_Calc_ID,$AH157)&amp;""))</f>
        <v/>
      </c>
      <c r="AM157" s="1" t="str">
        <f>IF($AF157=0,"",CHOOSE($AF157,INDEX(nINT_Label,$AH157)&amp;"",INDEX(nQ1_Label_Out,$AH157)&amp;"",INDEX(nQ2_Label_Out,$AH157)&amp;"",INDEX(nQ3_Label_Out,$AH157)&amp;"",INDEX(nQ4_Label_Out,$AH157)&amp;"",INDEX(nQ5_Label_Out,$AH157)&amp;"",INDEX(nQ6_Label_Out,$AH157)&amp;"",INDEX(nQ7_Label_Out,$AH157)&amp;"",INDEX(nQ8_Label_Out,$AH157)&amp;"",INDEX(nQ9_Label_Out,$AH157)&amp;"",INDEX(nQ10_Label_Out,$AH157)&amp;"",INDEX(nQ11_Label_Out,$AH157)&amp;""))</f>
        <v/>
      </c>
      <c r="AN157" s="1" t="str">
        <f>IF($AF157=0,"",CHOOSE($AF157,IF(INDEX(nINT_LinkRow,$AH157)=0,"",INDEX(nINT_Link_ID,$AH157)&amp;""),"","","","","","","","","","",""))</f>
        <v/>
      </c>
      <c r="AO157" s="1" t="str">
        <f>IF($AF157=0,"",CHOOSE($AF157,INDEX(nINT_Exposure_Episode_ID,$AH157)&amp;"","","","","","","","","","","",""))</f>
        <v/>
      </c>
      <c r="AP157" s="1" t="str">
        <f>IF($AF157=0,"",CHOOSE($AF157,INDEX(nINT_Event_Episode_ID,$AH157)&amp;"","","","","","","","","","","",""))</f>
        <v/>
      </c>
      <c r="AQ157" s="1" t="str">
        <f>IF($AF157=0,"",CHOOSE($AF157,INDEX(nINT_End_Record_ID_Used,$AH157)&amp;"","","","","","","","","","","",""))</f>
        <v/>
      </c>
      <c r="AR157" s="1" t="str">
        <f>IF($AF157=0,"",CHOOSE($AF157,INDEX(nINT_Interval_Value,$AH157),"","","","","","","","","","",""))</f>
        <v/>
      </c>
      <c r="AS157" s="1" t="str">
        <f>IF($AF157=0,"",CHOOSE($AF157,INDEX(nINT_Interval_Minimum,$AH157),"","","","","","","","","","",""))</f>
        <v/>
      </c>
      <c r="AT157" s="1" t="str">
        <f>IF($AF157=0,"",CHOOSE($AF157,INDEX(nINT_Interval_Maximum,$AH157),"","","","","","","","","","",""))</f>
        <v/>
      </c>
      <c r="AU157" s="1" t="str">
        <f>IF($AF157=0,"",CHOOSE($AF157,INDEX(nINT_Unit,$AH157)&amp;"",INDEX(nQ1_Unit_Out,$AH157)&amp;"",INDEX(nQ2_Unit_Out,$AH157)&amp;"",INDEX(nQ3_Unit_Out,$AH157)&amp;"",INDEX(nQ4_Unit_Out,$AH157)&amp;"",INDEX(nQ5_Unit_Out,$AH157)&amp;"",INDEX(nQ6_Unit_Out,$AH157)&amp;"",INDEX(nQ7_Unit_Out,$AH157)&amp;"",INDEX(nQ8_Unit_Out,$AH157)&amp;"",INDEX(nQ9_Unit_Out,$AH157)&amp;"",INDEX(nQ10_Unit_Out,$AH157)&amp;"",INDEX(nQ11_Unit_Out,$AH157)&amp;""))</f>
        <v/>
      </c>
      <c r="AV157" s="1" t="str">
        <f>IF($AF157=0,"",CHOOSE($AF157,INDEX(nINT_Displayed_Value,$AH157)&amp;"",INDEX(nQ1_Displayed_Value,$AH157)&amp;"",INDEX(nQ2_Displayed_Value,$AH157)&amp;"",INDEX(nQ3_Displayed_Value,$AH157)&amp;"",INDEX(nQ4_Displayed_Value,$AH157)&amp;"",INDEX(nQ5_Displayed_Value,$AH157)&amp;"",INDEX(nQ6_Displayed_Value,$AH157)&amp;"",INDEX(nQ7_Displayed_Value,$AH157)&amp;"",INDEX(nQ8_Displayed_Value,$AH157)&amp;"",INDEX(nQ9_Displayed_Value,$AH157)&amp;"",INDEX(nQ10_Displayed_Value,$AH157)&amp;"",INDEX(nQ11_Displayed_Value,$AH157)&amp;""))</f>
        <v/>
      </c>
      <c r="AW157" s="1" t="str">
        <f>IF($AF157=0,"",CHOOSE($AF157,INDEX(nINT_Calculation_Mode_Used,$AH157)&amp;"","Q1","Q2","Q3","Q4","Q5","Q6","Q7","Q8","Q9","Q10","Q11"))</f>
        <v/>
      </c>
      <c r="AX157" s="1" t="str">
        <f>IF($AF157=0,"",CHOOSE($AF157,INDEX(nINT_Anchor_Type,$AH157)&amp;"","","","","","","","","","","",""))</f>
        <v/>
      </c>
      <c r="AY157" s="1" t="str">
        <f>IF($AF157=0,"",CHOOSE($AF157,IF(INDEX(nINT_K_Ok,$AH157)=1,INDEX(nINT_Anchor_Record_ID_Used,$AH157)&amp;"",""),"","","","","","","","","","",""))</f>
        <v/>
      </c>
      <c r="AZ157" s="1" t="str">
        <f>IF($AF157=0,"",CHOOSE($AF157,INDEX(nINT_Anchor_Description,$AH157)&amp;"","","","","","","","","","","",""))</f>
        <v/>
      </c>
      <c r="BA157" s="1" t="str">
        <f>IF($AF157=0,"",CHOOSE($AF157,INDEX(nINT_Sequence_Status,$AH157)&amp;"","","","","","","","","","","",""))</f>
        <v/>
      </c>
      <c r="BB157" s="1" t="str">
        <f>IF($AF157=0,"",CHOOSE($AF157,INDEX(nINT_Treatment_Day,$AH157),"","","","","","","","","","",""))</f>
        <v/>
      </c>
      <c r="BC157" s="1" t="str">
        <f>IF($AF157=0,"",CHOOSE($AF157,INDEX(nINT_Reported_Timing_Result,$AH157)&amp;"","","","","","","","","","","",""))</f>
        <v/>
      </c>
      <c r="BD157" s="1" t="str">
        <f>IF($AF157=0,"",CHOOSE($AF157,IF(INDEX(nINT_K_HasC,$AH157)=1,INDEX(nINT_Constraint_Source,$AH157)&amp;"",""),"","","","","","","","","","",""))</f>
        <v/>
      </c>
      <c r="BE157" s="1" t="str">
        <f>IF($AF157=0,"",CHOOSE($AF157,"",INDEX(nQ1_Results_Text,$AH157)&amp;"",INDEX(nQ2_Results_Text,$AH157)&amp;"",INDEX(nQ3_Results_Text,$AH157)&amp;"",INDEX(nQ4_Results_Text,$AH157)&amp;"",INDEX(nQ5_Results_Text,$AH157)&amp;"",INDEX(nQ6_Results_Text,$AH157)&amp;"",INDEX(nQ7_Results_Text,$AH157)&amp;"",INDEX(nQ8_Results_Text,$AH157)&amp;"",INDEX(nQ9_Results_Text,$AH157)&amp;"",INDEX(nQ10_Results_Text,$AH157)&amp;"",INDEX(nQ11_Results_Text,$AH157)&amp;""))</f>
        <v/>
      </c>
      <c r="BF157" s="1" t="str">
        <f>IF($AF157=0,"",CHOOSE($AF157,INDEX(nINT_Parameter_Set,$AH157)&amp;"",INDEX(nQ1_Parameter_Set,$AH157)&amp;"",INDEX(nQ2_Parameter_Set,$AH157)&amp;"",INDEX(nQ3_Parameter_Set,$AH157)&amp;"",INDEX(nQ4_Parameter_Set,$AH157)&amp;"",INDEX(nQ5_Parameter_Set,$AH157)&amp;"",INDEX(nQ6_Parameter_Set,$AH157)&amp;"",INDEX(nQ7_Parameter_Set,$AH157)&amp;"",INDEX(nQ8_Parameter_Set,$AH157)&amp;"",INDEX(nQ9_Parameter_Set,$AH157)&amp;"",INDEX(nQ10_Parameter_Set,$AH157)&amp;"",INDEX(nQ11_Parameter_Set,$AH157)&amp;""))</f>
        <v/>
      </c>
      <c r="BG157" s="1" t="str">
        <f>IF($AF157=0,"",CHOOSE($AF157,INDEX(nINT_Assumptions,$AH157)&amp;"",INDEX(nQ1_Assumptions,$AH157)&amp;"",INDEX(nQ2_Assumptions,$AH157)&amp;"",INDEX(nQ3_Assumptions,$AH157)&amp;"",INDEX(nQ4_Assumptions,$AH157)&amp;"",INDEX(nQ5_Assumptions,$AH157)&amp;"",INDEX(nQ6_Assumptions,$AH157)&amp;"",INDEX(nQ7_Assumptions,$AH157)&amp;"",INDEX(nQ8_Assumptions,$AH157)&amp;"",INDEX(nQ9_Assumptions,$AH157)&amp;"",INDEX(nQ10_Assumptions,$AH157)&amp;"",INDEX(nQ11_Assumptions,$AH157)&amp;""))</f>
        <v/>
      </c>
      <c r="BH157" s="1" t="str">
        <f>IF($AF157=0,"",CHOOSE($AF157,INDEX(nINT_Calculation_Version,$AH157)&amp;"",INDEX(nQ1_Calculation_Version,$AH157)&amp;"",INDEX(nQ2_Calculation_Version,$AH157)&amp;"",INDEX(nQ3_Calculation_Version,$AH157)&amp;"",INDEX(nQ4_Calculation_Version,$AH157)&amp;"",INDEX(nQ5_Calculation_Version,$AH157)&amp;"",INDEX(nQ6_Calculation_Version,$AH157)&amp;"",INDEX(nQ7_Calculation_Version,$AH157)&amp;"",INDEX(nQ8_Calculation_Version,$AH157)&amp;"",INDEX(nQ9_Calculation_Version,$AH157)&amp;"",INDEX(nQ10_Calculation_Version,$AH157)&amp;"",INDEX(nQ11_Calculation_Version,$AH157)&amp;""))</f>
        <v/>
      </c>
      <c r="BI157" s="1" t="str">
        <f>IF($AF157=0,"",CHOOSE($AF157,INDEX(nINT_QC_Flags,$AH157)&amp;"",INDEX(nQ1_QC_Flags,$AH157)&amp;"",INDEX(nQ2_QC_Flags,$AH157)&amp;"",INDEX(nQ3_QC_Flags,$AH157)&amp;"",INDEX(nQ4_QC_Flags,$AH157)&amp;"",INDEX(nQ5_QC_Flags,$AH157)&amp;"",INDEX(nQ6_QC_Flags,$AH157)&amp;"",INDEX(nQ7_QC_Flags,$AH157)&amp;"",INDEX(nQ8_QC_Flags,$AH157)&amp;"",INDEX(nQ9_QC_Flags,$AH157)&amp;"",INDEX(nQ10_QC_Flags,$AH157)&amp;"",INDEX(nQ11_QC_Flags,$AH157)&amp;""))</f>
        <v/>
      </c>
      <c r="BJ157" s="1" t="str">
        <f>IF($AF157=0,"",CHOOSE($AF157,INDEX(nINT_Messages,$AH157)&amp;"",INDEX(nQ1_Messages,$AH157)&amp;"",INDEX(nQ2_Messages,$AH157)&amp;"",INDEX(nQ3_Messages,$AH157)&amp;"",INDEX(nQ4_Messages,$AH157)&amp;"",INDEX(nQ5_Messages,$AH157)&amp;"",INDEX(nQ6_Messages,$AH157)&amp;"",INDEX(nQ7_Messages,$AH157)&amp;"",INDEX(nQ8_Messages,$AH157)&amp;"",INDEX(nQ9_Messages,$AH157)&amp;"",INDEX(nQ10_Messages,$AH157)&amp;"",INDEX(nQ11_Messages,$AH157)&amp;""))</f>
        <v/>
      </c>
      <c r="BK157" s="1" t="str">
        <f>IF($AF157=0,"",CHOOSE($AF157,INDEX(nINT_Limitations,$AH157)&amp;"",INDEX(nQ1_Mandatory_Text,$AH157)&amp;"",INDEX(nQ2_Mandatory_Text,$AH157)&amp;"",INDEX(nQ3_Mandatory_Text,$AH157)&amp;"",INDEX(nQ4_Mandatory_Text,$AH157)&amp;"",INDEX(nQ5_Mandatory_Text,$AH157)&amp;"",INDEX(nQ6_Mandatory_Text,$AH157)&amp;"",INDEX(nQ7_Mandatory_Text,$AH157)&amp;"",INDEX(nQ8_Mandatory_Text,$AH157)&amp;"",INDEX(nQ9_Mandatory_Text,$AH157)&amp;"",INDEX(nQ10_Mandatory_Text,$AH157)&amp;"",INDEX(nQ11_Mandatory_Text,$AH157)&amp;""))</f>
        <v/>
      </c>
      <c r="BL157" s="1" t="str">
        <f t="shared" si="103"/>
        <v/>
      </c>
      <c r="BM157" s="1" t="str">
        <f t="shared" si="104"/>
        <v/>
      </c>
    </row>
  </sheetData>
  <sheetProtection sheet="1" objects="1" scenarios="1" formatColumns="0" formatRows="0" autoFilter="0"/>
  <mergeCells count="1">
    <mergeCell ref="A2:L2"/>
  </mergeCells>
  <dataValidations count="2">
    <dataValidation type="whole" operator="greaterThanOrEqual" allowBlank="1" showInputMessage="1" showErrorMessage="1" prompt="Leave blank to export the latest version of the case." sqref="D4" xr:uid="{8B07B683-CE34-40BB-816F-E4B3313EADBF}">
      <formula1>1</formula1>
    </dataValidation>
    <dataValidation type="date" allowBlank="1" showInputMessage="1" showErrorMessage="1" prompt="Type or stamp the date and time of the export (Ctrl+; space Ctrl+Shift+;)." sqref="F4" xr:uid="{6B59BDE5-9969-42C4-B521-501CA28DB4BC}">
      <formula1>1</formula1>
      <formula2>2958465</formula2>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50AB5-7F72-4151-A8A0-88B75BB71AB6}">
  <sheetPr>
    <pageSetUpPr fitToPage="1"/>
  </sheetPr>
  <dimension ref="A1:L100"/>
  <sheetViews>
    <sheetView zoomScale="90" zoomScaleNormal="90" workbookViewId="0"/>
  </sheetViews>
  <sheetFormatPr defaultRowHeight="12.75" x14ac:dyDescent="0.2"/>
  <cols>
    <col min="1" max="1" width="4.7109375" style="1" customWidth="1"/>
    <col min="2" max="2" width="8.7109375" style="1" customWidth="1"/>
    <col min="3" max="3" width="22.7109375" style="1" customWidth="1"/>
    <col min="4" max="4" width="44.7109375" style="1" customWidth="1"/>
    <col min="5" max="5" width="34.7109375" style="1" customWidth="1"/>
    <col min="6" max="6" width="22.7109375" style="1" customWidth="1"/>
    <col min="7" max="7" width="8.7109375" style="1" customWidth="1"/>
    <col min="8" max="8" width="16.7109375" style="1" customWidth="1"/>
    <col min="9" max="9" width="6.7109375" style="1" customWidth="1"/>
    <col min="10" max="10" width="16.7109375" style="1" customWidth="1"/>
    <col min="11" max="11" width="50.7109375" style="1" customWidth="1"/>
    <col min="12" max="12" width="8.7109375" style="1" customWidth="1"/>
    <col min="13" max="16384" width="9.140625" style="1"/>
  </cols>
  <sheetData>
    <row r="1" spans="1:12" ht="18.75" x14ac:dyDescent="0.3">
      <c r="A1" s="30" t="s">
        <v>1745</v>
      </c>
    </row>
    <row r="2" spans="1:12" ht="42" customHeight="1" x14ac:dyDescent="0.2">
      <c r="A2" s="31" t="s">
        <v>1746</v>
      </c>
      <c r="B2" s="31"/>
      <c r="C2" s="31"/>
      <c r="D2" s="31"/>
      <c r="E2" s="31"/>
      <c r="F2" s="31"/>
      <c r="G2" s="31"/>
      <c r="H2" s="31"/>
      <c r="I2" s="31"/>
      <c r="J2" s="31"/>
      <c r="K2" s="31"/>
      <c r="L2" s="31"/>
    </row>
    <row r="4" spans="1:12" ht="15.75" x14ac:dyDescent="0.25">
      <c r="A4" s="2" t="s">
        <v>2047</v>
      </c>
      <c r="C4" s="32" t="str">
        <f>IF(COUNTIF(nEX_Match,TRUE)=ROWS(nEX_Match),"MATCH: all "&amp;ROWS(nEX_Match)&amp;" example checks reproduce the home chapters' numbers",COUNTIF(nEX_Match,TRUE)&amp;" of "&amp;ROWS(nEX_Match)&amp;" example checks match; see FALSE rows")</f>
        <v>MATCH: all 90 example checks reproduce the home chapters' numbers</v>
      </c>
    </row>
    <row r="6" spans="1:12" ht="30" customHeight="1" x14ac:dyDescent="0.2">
      <c r="A6" s="18" t="s">
        <v>1747</v>
      </c>
      <c r="B6" s="18" t="s">
        <v>1748</v>
      </c>
      <c r="C6" s="18" t="s">
        <v>1749</v>
      </c>
      <c r="D6" s="18" t="s">
        <v>1750</v>
      </c>
      <c r="E6" s="18" t="s">
        <v>1751</v>
      </c>
      <c r="F6" s="18" t="s">
        <v>1752</v>
      </c>
      <c r="G6" s="18" t="s">
        <v>1678</v>
      </c>
      <c r="H6" s="18" t="s">
        <v>1753</v>
      </c>
      <c r="I6" s="18" t="s">
        <v>1754</v>
      </c>
      <c r="J6" s="18" t="s">
        <v>1755</v>
      </c>
      <c r="K6" s="18" t="s">
        <v>1756</v>
      </c>
      <c r="L6" s="18" t="s">
        <v>1757</v>
      </c>
    </row>
    <row r="7" spans="1:12" x14ac:dyDescent="0.2">
      <c r="A7" s="1">
        <v>1</v>
      </c>
      <c r="B7" s="1" t="s">
        <v>297</v>
      </c>
      <c r="C7" s="1" t="s">
        <v>1758</v>
      </c>
      <c r="D7" s="1" t="s">
        <v>1759</v>
      </c>
      <c r="E7" s="1" t="s">
        <v>1760</v>
      </c>
      <c r="F7" s="4" t="s">
        <v>1761</v>
      </c>
      <c r="G7" s="1" t="s">
        <v>1762</v>
      </c>
      <c r="H7" s="1">
        <v>15</v>
      </c>
      <c r="I7" s="1">
        <v>0</v>
      </c>
      <c r="J7" s="1">
        <f>IFERROR(INDEX(nINT_Interval_Value,MATCH("EX-C01|2|I01",nINT_Key,0)),"(row not found)")</f>
        <v>15</v>
      </c>
      <c r="K7" s="1" t="str">
        <f>IFERROR(INDEX(nINT_Result_Display,MATCH("EX-C01|2|I01",nINT_Key,0)),"(row not found)")</f>
        <v>15 minutes</v>
      </c>
      <c r="L7" s="1" t="b">
        <f>IF(ISNUMBER(J7),ABS(ROUND(J7,I7)-H7)&lt;0.000000001,FALSE)</f>
        <v>1</v>
      </c>
    </row>
    <row r="8" spans="1:12" x14ac:dyDescent="0.2">
      <c r="A8" s="1">
        <v>2</v>
      </c>
      <c r="B8" s="1" t="s">
        <v>297</v>
      </c>
      <c r="C8" s="1" t="s">
        <v>1763</v>
      </c>
      <c r="D8" s="1" t="s">
        <v>1764</v>
      </c>
      <c r="E8" s="1" t="s">
        <v>1765</v>
      </c>
      <c r="F8" s="4" t="s">
        <v>1766</v>
      </c>
      <c r="G8" s="1" t="s">
        <v>1767</v>
      </c>
      <c r="H8" s="4" t="s">
        <v>1766</v>
      </c>
      <c r="J8" s="1" t="str">
        <f>IFERROR(INDEX(nINT_Sequence_Status,MATCH("EX-C01|2|I01",nINT_Key,0)),"(row not found)")</f>
        <v>AFTER</v>
      </c>
      <c r="K8" s="1" t="str">
        <f>IFERROR(INDEX(nINT_Result_Display,MATCH("EX-C01|2|I01",nINT_Key,0)),"(row not found)")</f>
        <v>15 minutes</v>
      </c>
      <c r="L8" s="1" t="b">
        <f>EXACT(J8&amp;"",H8&amp;"")</f>
        <v>1</v>
      </c>
    </row>
    <row r="9" spans="1:12" x14ac:dyDescent="0.2">
      <c r="A9" s="1">
        <v>3</v>
      </c>
      <c r="B9" s="1" t="s">
        <v>297</v>
      </c>
      <c r="C9" s="1" t="s">
        <v>1758</v>
      </c>
      <c r="D9" s="1" t="s">
        <v>1768</v>
      </c>
      <c r="E9" s="1" t="s">
        <v>1769</v>
      </c>
      <c r="F9" s="4" t="s">
        <v>1770</v>
      </c>
      <c r="G9" s="1" t="s">
        <v>1762</v>
      </c>
      <c r="H9" s="1">
        <v>0</v>
      </c>
      <c r="I9" s="1">
        <v>0</v>
      </c>
      <c r="J9" s="1">
        <f>IFERROR(INDEX(nINT_Interval_Value,MATCH("EX-C01|2|I02",nINT_Key,0)),"(row not found)")</f>
        <v>0</v>
      </c>
      <c r="K9" s="1" t="str">
        <f>IFERROR(INDEX(nINT_Result_Display,MATCH("EX-C01|2|I02",nINT_Key,0)),"(row not found)")</f>
        <v>0 calendar days (order within the day from C1: AFTER); treatment Day 1</v>
      </c>
      <c r="L9" s="1" t="b">
        <f>IF(ISNUMBER(J9),ABS(ROUND(J9,I9)-H9)&lt;0.000000001,FALSE)</f>
        <v>1</v>
      </c>
    </row>
    <row r="10" spans="1:12" x14ac:dyDescent="0.2">
      <c r="A10" s="1">
        <v>4</v>
      </c>
      <c r="B10" s="1" t="s">
        <v>297</v>
      </c>
      <c r="C10" s="1" t="s">
        <v>1758</v>
      </c>
      <c r="D10" s="1" t="s">
        <v>1771</v>
      </c>
      <c r="E10" s="1" t="s">
        <v>1772</v>
      </c>
      <c r="F10" s="4" t="s">
        <v>1773</v>
      </c>
      <c r="G10" s="1" t="s">
        <v>1767</v>
      </c>
      <c r="H10" s="4" t="s">
        <v>1766</v>
      </c>
      <c r="J10" s="1" t="str">
        <f>IFERROR(INDEX(nINT_Sequence_Status,MATCH("EX-C01|2|I02",nINT_Key,0)),"(row not found)")</f>
        <v>AFTER</v>
      </c>
      <c r="K10" s="1" t="str">
        <f>IFERROR(INDEX(nINT_Result_Display,MATCH("EX-C01|2|I02",nINT_Key,0)),"(row not found)")</f>
        <v>0 calendar days (order within the day from C1: AFTER); treatment Day 1</v>
      </c>
      <c r="L10" s="1" t="b">
        <f>EXACT(J10&amp;"",H10&amp;"")</f>
        <v>1</v>
      </c>
    </row>
    <row r="11" spans="1:12" x14ac:dyDescent="0.2">
      <c r="A11" s="1">
        <v>5</v>
      </c>
      <c r="B11" s="1" t="s">
        <v>297</v>
      </c>
      <c r="C11" s="1" t="s">
        <v>1774</v>
      </c>
      <c r="D11" s="1" t="s">
        <v>1775</v>
      </c>
      <c r="E11" s="1" t="s">
        <v>1776</v>
      </c>
      <c r="F11" s="4" t="s">
        <v>1777</v>
      </c>
      <c r="G11" s="1" t="s">
        <v>1762</v>
      </c>
      <c r="H11" s="1">
        <v>1</v>
      </c>
      <c r="I11" s="1">
        <v>0</v>
      </c>
      <c r="J11" s="1">
        <f>IFERROR(INDEX(nINT_Treatment_Day,MATCH("EX-C01|2|I02",nINT_Key,0)),"(row not found)")</f>
        <v>1</v>
      </c>
      <c r="K11" s="1" t="str">
        <f>IFERROR(INDEX(nINT_Result_Display,MATCH("EX-C01|2|I02",nINT_Key,0)),"(row not found)")</f>
        <v>0 calendar days (order within the day from C1: AFTER); treatment Day 1</v>
      </c>
      <c r="L11" s="1" t="b">
        <f>IF(ISNUMBER(J11),ABS(ROUND(J11,I11)-H11)&lt;0.000000001,FALSE)</f>
        <v>1</v>
      </c>
    </row>
    <row r="12" spans="1:12" x14ac:dyDescent="0.2">
      <c r="A12" s="1">
        <v>6</v>
      </c>
      <c r="B12" s="1" t="s">
        <v>297</v>
      </c>
      <c r="C12" s="1" t="s">
        <v>1778</v>
      </c>
      <c r="D12" s="1" t="s">
        <v>1779</v>
      </c>
      <c r="E12" s="1" t="s">
        <v>1780</v>
      </c>
      <c r="F12" s="4" t="s">
        <v>1781</v>
      </c>
      <c r="G12" s="1" t="s">
        <v>1767</v>
      </c>
      <c r="H12" s="4" t="s">
        <v>1126</v>
      </c>
      <c r="J12" s="1" t="str">
        <f>IFERROR(INDEX(nINT_Anchor_Record_ID_Used,MATCH("EX-C01|2|I03",nINT_Key,0)),"(row not found)")</f>
        <v>EX-A/START</v>
      </c>
      <c r="K12" s="1" t="str">
        <f>IFERROR(INDEX(nINT_Result_Display,MATCH("EX-C01|2|I03",nINT_Key,0)),"(row not found)")</f>
        <v>15 minutes</v>
      </c>
      <c r="L12" s="1" t="b">
        <f>EXACT(J12&amp;"",H12&amp;"")</f>
        <v>1</v>
      </c>
    </row>
    <row r="13" spans="1:12" x14ac:dyDescent="0.2">
      <c r="A13" s="1">
        <v>7</v>
      </c>
      <c r="B13" s="1" t="s">
        <v>297</v>
      </c>
      <c r="C13" s="1" t="s">
        <v>1782</v>
      </c>
      <c r="D13" s="1" t="s">
        <v>1783</v>
      </c>
      <c r="E13" s="1" t="s">
        <v>1784</v>
      </c>
      <c r="F13" s="4" t="s">
        <v>1761</v>
      </c>
      <c r="G13" s="1" t="s">
        <v>1762</v>
      </c>
      <c r="H13" s="1">
        <v>15</v>
      </c>
      <c r="I13" s="1">
        <v>0</v>
      </c>
      <c r="J13" s="1">
        <f>IFERROR(INDEX(nINT_Interval_Value,MATCH("EX-C01|2|I03",nINT_Key,0)),"(row not found)")</f>
        <v>15</v>
      </c>
      <c r="K13" s="1" t="str">
        <f>IFERROR(INDEX(nINT_Result_Display,MATCH("EX-C01|2|I03",nINT_Key,0)),"(row not found)")</f>
        <v>15 minutes</v>
      </c>
      <c r="L13" s="1" t="b">
        <f>IF(ISNUMBER(J13),ABS(ROUND(J13,I13)-H13)&lt;0.000000001,FALSE)</f>
        <v>1</v>
      </c>
    </row>
    <row r="14" spans="1:12" x14ac:dyDescent="0.2">
      <c r="A14" s="1">
        <v>8</v>
      </c>
      <c r="B14" s="1" t="s">
        <v>297</v>
      </c>
      <c r="C14" s="1" t="s">
        <v>1785</v>
      </c>
      <c r="D14" s="1" t="s">
        <v>1786</v>
      </c>
      <c r="E14" s="1" t="s">
        <v>1787</v>
      </c>
      <c r="F14" s="4" t="s">
        <v>1788</v>
      </c>
      <c r="G14" s="1" t="s">
        <v>1762</v>
      </c>
      <c r="H14" s="1">
        <v>55</v>
      </c>
      <c r="I14" s="1">
        <v>0</v>
      </c>
      <c r="J14" s="1">
        <f>IFERROR(INDEX(nINT_Interval_Value,MATCH("EX-C01|2|I04",nINT_Key,0)),"(row not found)")</f>
        <v>55</v>
      </c>
      <c r="K14" s="1" t="str">
        <f>IFERROR(INDEX(nINT_Result_Display,MATCH("EX-C01|2|I04",nINT_Key,0)),"(row not found)")</f>
        <v>55 minutes</v>
      </c>
      <c r="L14" s="1" t="b">
        <f>IF(ISNUMBER(J14),ABS(ROUND(J14,I14)-H14)&lt;0.000000001,FALSE)</f>
        <v>1</v>
      </c>
    </row>
    <row r="15" spans="1:12" x14ac:dyDescent="0.2">
      <c r="A15" s="1">
        <v>9</v>
      </c>
      <c r="B15" s="1" t="s">
        <v>297</v>
      </c>
      <c r="C15" s="1" t="s">
        <v>1785</v>
      </c>
      <c r="D15" s="1" t="s">
        <v>1789</v>
      </c>
      <c r="E15" s="1" t="s">
        <v>1790</v>
      </c>
      <c r="F15" s="4" t="s">
        <v>1791</v>
      </c>
      <c r="G15" s="1" t="s">
        <v>1762</v>
      </c>
      <c r="H15" s="1">
        <v>25</v>
      </c>
      <c r="I15" s="1">
        <v>0</v>
      </c>
      <c r="J15" s="1">
        <f>IFERROR(INDEX(nINT_Interval_Value,MATCH("EX-C01|2|I05",nINT_Key,0)),"(row not found)")</f>
        <v>25</v>
      </c>
      <c r="K15" s="1" t="str">
        <f>IFERROR(INDEX(nINT_Result_Display,MATCH("EX-C01|2|I05",nINT_Key,0)),"(row not found)")</f>
        <v>25 minutes</v>
      </c>
      <c r="L15" s="1" t="b">
        <f>IF(ISNUMBER(J15),ABS(ROUND(J15,I15)-H15)&lt;0.000000001,FALSE)</f>
        <v>1</v>
      </c>
    </row>
    <row r="16" spans="1:12" x14ac:dyDescent="0.2">
      <c r="A16" s="1">
        <v>10</v>
      </c>
      <c r="B16" s="1" t="s">
        <v>297</v>
      </c>
      <c r="C16" s="1" t="s">
        <v>1785</v>
      </c>
      <c r="D16" s="1" t="s">
        <v>1792</v>
      </c>
      <c r="E16" s="1" t="s">
        <v>1793</v>
      </c>
      <c r="F16" s="4" t="s">
        <v>1794</v>
      </c>
      <c r="G16" s="1" t="s">
        <v>1762</v>
      </c>
      <c r="H16" s="1">
        <v>60</v>
      </c>
      <c r="I16" s="1">
        <v>0</v>
      </c>
      <c r="J16" s="1">
        <f>IFERROR(INDEX(nINT_Interval_Value,MATCH("EX-C01|2|I06",nINT_Key,0)),"(row not found)")</f>
        <v>60</v>
      </c>
      <c r="K16" s="1" t="str">
        <f>IFERROR(INDEX(nINT_Result_Display,MATCH("EX-C01|2|I06",nINT_Key,0)),"(row not found)")</f>
        <v>60 minutes (1.0 hours)</v>
      </c>
      <c r="L16" s="1" t="b">
        <f>IF(ISNUMBER(J16),ABS(ROUND(J16,I16)-H16)&lt;0.000000001,FALSE)</f>
        <v>1</v>
      </c>
    </row>
    <row r="17" spans="1:12" x14ac:dyDescent="0.2">
      <c r="A17" s="1">
        <v>11</v>
      </c>
      <c r="B17" s="1" t="s">
        <v>297</v>
      </c>
      <c r="C17" s="1" t="s">
        <v>1785</v>
      </c>
      <c r="D17" s="1" t="s">
        <v>1795</v>
      </c>
      <c r="E17" s="1" t="s">
        <v>1796</v>
      </c>
      <c r="F17" s="4" t="s">
        <v>1791</v>
      </c>
      <c r="G17" s="1" t="s">
        <v>1762</v>
      </c>
      <c r="H17" s="1">
        <v>25</v>
      </c>
      <c r="I17" s="1">
        <v>0</v>
      </c>
      <c r="J17" s="1">
        <f>IFERROR(INDEX(nINT_Interval_Value,MATCH("EX-C01|2|I07",nINT_Key,0)),"(row not found)")</f>
        <v>25</v>
      </c>
      <c r="K17" s="1" t="str">
        <f>IFERROR(INDEX(nINT_Result_Display,MATCH("EX-C01|2|I07",nINT_Key,0)),"(row not found)")</f>
        <v>25 minutes</v>
      </c>
      <c r="L17" s="1" t="b">
        <f>IF(ISNUMBER(J17),ABS(ROUND(J17,I17)-H17)&lt;0.000000001,FALSE)</f>
        <v>1</v>
      </c>
    </row>
    <row r="18" spans="1:12" x14ac:dyDescent="0.2">
      <c r="A18" s="1">
        <v>12</v>
      </c>
      <c r="B18" s="1" t="s">
        <v>297</v>
      </c>
      <c r="C18" s="1" t="s">
        <v>1785</v>
      </c>
      <c r="D18" s="1" t="s">
        <v>1797</v>
      </c>
      <c r="E18" s="1" t="s">
        <v>1798</v>
      </c>
      <c r="F18" s="4" t="s">
        <v>1799</v>
      </c>
      <c r="G18" s="1" t="s">
        <v>1762</v>
      </c>
      <c r="H18" s="1">
        <v>-1</v>
      </c>
      <c r="I18" s="1">
        <v>0</v>
      </c>
      <c r="J18" s="1">
        <f>IFERROR(INDEX(nINT_Interval_Value,MATCH("EX-C01|2|I08",nINT_Key,0)),"(row not found)")</f>
        <v>-1</v>
      </c>
      <c r="K18" s="1" t="str">
        <f>IFERROR(INDEX(nINT_Result_Display,MATCH("EX-C01|2|I08",nINT_Key,0)),"(row not found)")</f>
        <v>−1 minute</v>
      </c>
      <c r="L18" s="1" t="b">
        <f>IF(ISNUMBER(J18),ABS(ROUND(J18,I18)-H18)&lt;0.000000001,FALSE)</f>
        <v>1</v>
      </c>
    </row>
    <row r="19" spans="1:12" x14ac:dyDescent="0.2">
      <c r="A19" s="1">
        <v>13</v>
      </c>
      <c r="B19" s="1" t="s">
        <v>297</v>
      </c>
      <c r="C19" s="1" t="s">
        <v>1785</v>
      </c>
      <c r="D19" s="1" t="s">
        <v>1800</v>
      </c>
      <c r="E19" s="1" t="s">
        <v>1801</v>
      </c>
      <c r="F19" s="4" t="s">
        <v>1802</v>
      </c>
      <c r="G19" s="1" t="s">
        <v>1767</v>
      </c>
      <c r="H19" s="4" t="s">
        <v>1803</v>
      </c>
      <c r="J19" s="1" t="str">
        <f>IFERROR(INDEX(nINT_Sequence_Status,MATCH("EX-C01|2|I08",nINT_Key,0)),"(row not found)")</f>
        <v>BEFORE</v>
      </c>
      <c r="K19" s="1" t="str">
        <f>IFERROR(INDEX(nINT_Result_Display,MATCH("EX-C01|2|I08",nINT_Key,0)),"(row not found)")</f>
        <v>−1 minute</v>
      </c>
      <c r="L19" s="1" t="b">
        <f>EXACT(J19&amp;"",H19&amp;"")</f>
        <v>1</v>
      </c>
    </row>
    <row r="20" spans="1:12" x14ac:dyDescent="0.2">
      <c r="A20" s="1">
        <v>14</v>
      </c>
      <c r="B20" s="1" t="s">
        <v>297</v>
      </c>
      <c r="C20" s="1" t="s">
        <v>1785</v>
      </c>
      <c r="D20" s="1" t="s">
        <v>1804</v>
      </c>
      <c r="E20" s="1" t="s">
        <v>1805</v>
      </c>
      <c r="F20" s="4" t="s">
        <v>1806</v>
      </c>
      <c r="G20" s="1" t="s">
        <v>1762</v>
      </c>
      <c r="H20" s="1">
        <v>-3</v>
      </c>
      <c r="I20" s="1">
        <v>0</v>
      </c>
      <c r="J20" s="1">
        <f>IFERROR(INDEX(nINT_Interval_Value,MATCH("EX-C01|2|I09",nINT_Key,0)),"(row not found)")</f>
        <v>-3</v>
      </c>
      <c r="K20" s="1" t="str">
        <f>IFERROR(INDEX(nINT_Result_Display,MATCH("EX-C01|2|I09",nINT_Key,0)),"(row not found)")</f>
        <v>−3 minutes</v>
      </c>
      <c r="L20" s="1" t="b">
        <f>IF(ISNUMBER(J20),ABS(ROUND(J20,I20)-H20)&lt;0.000000001,FALSE)</f>
        <v>1</v>
      </c>
    </row>
    <row r="21" spans="1:12" x14ac:dyDescent="0.2">
      <c r="A21" s="1">
        <v>15</v>
      </c>
      <c r="B21" s="1" t="s">
        <v>297</v>
      </c>
      <c r="C21" s="1" t="s">
        <v>1758</v>
      </c>
      <c r="D21" s="1" t="s">
        <v>1807</v>
      </c>
      <c r="E21" s="1" t="s">
        <v>1808</v>
      </c>
      <c r="F21" s="4" t="s">
        <v>1809</v>
      </c>
      <c r="G21" s="1" t="s">
        <v>1762</v>
      </c>
      <c r="H21" s="1">
        <v>19</v>
      </c>
      <c r="I21" s="1">
        <v>0</v>
      </c>
      <c r="J21" s="1">
        <f>IFERROR(INDEX(nINT_Interval_Value,MATCH("EX-C01|2|I10",nINT_Key,0)),"(row not found)")</f>
        <v>19</v>
      </c>
      <c r="K21" s="1" t="str">
        <f>IFERROR(INDEX(nINT_Result_Display,MATCH("EX-C01|2|I10",nINT_Key,0)),"(row not found)")</f>
        <v>19 minutes</v>
      </c>
      <c r="L21" s="1" t="b">
        <f>IF(ISNUMBER(J21),ABS(ROUND(J21,I21)-H21)&lt;0.000000001,FALSE)</f>
        <v>1</v>
      </c>
    </row>
    <row r="22" spans="1:12" x14ac:dyDescent="0.2">
      <c r="A22" s="1">
        <v>16</v>
      </c>
      <c r="B22" s="1" t="s">
        <v>297</v>
      </c>
      <c r="C22" s="1" t="s">
        <v>1758</v>
      </c>
      <c r="D22" s="1" t="s">
        <v>1810</v>
      </c>
      <c r="E22" s="1" t="s">
        <v>1811</v>
      </c>
      <c r="F22" s="4" t="s">
        <v>252</v>
      </c>
      <c r="G22" s="1" t="s">
        <v>1812</v>
      </c>
      <c r="H22" s="4" t="s">
        <v>252</v>
      </c>
      <c r="J22" s="1" t="str">
        <f>IFERROR(INDEX(nINT_QC_Flags,MATCH("EX-C01|2|I10",nINT_Key,0)),"(row not found)")</f>
        <v>W_INTERVENTION_BEFORE_RECOVERY</v>
      </c>
      <c r="K22" s="1" t="str">
        <f>IFERROR(INDEX(nINT_Result_Display,MATCH("EX-C01|2|I10",nINT_Key,0)),"(row not found)")</f>
        <v>19 minutes</v>
      </c>
      <c r="L22" s="1" t="b">
        <f>ISNUMBER(SEARCH(H22,J22))</f>
        <v>1</v>
      </c>
    </row>
    <row r="23" spans="1:12" x14ac:dyDescent="0.2">
      <c r="A23" s="1">
        <v>17</v>
      </c>
      <c r="B23" s="1" t="s">
        <v>297</v>
      </c>
      <c r="C23" s="1" t="s">
        <v>1763</v>
      </c>
      <c r="D23" s="1" t="s">
        <v>1813</v>
      </c>
      <c r="E23" s="1" t="s">
        <v>1814</v>
      </c>
      <c r="F23" s="4" t="s">
        <v>1815</v>
      </c>
      <c r="G23" s="1" t="s">
        <v>1767</v>
      </c>
      <c r="H23" s="4" t="s">
        <v>1816</v>
      </c>
      <c r="J23" s="1" t="str">
        <f>IFERROR(INDEX(nINT_Calculation_Mode_Used,MATCH("EX-C01|2|I10",nINT_Key,0)),"(row not found)")</f>
        <v>C7 (C1)</v>
      </c>
      <c r="K23" s="1" t="str">
        <f>IFERROR(INDEX(nINT_Result_Display,MATCH("EX-C01|2|I10",nINT_Key,0)),"(row not found)")</f>
        <v>19 minutes</v>
      </c>
      <c r="L23" s="1" t="b">
        <f>EXACT(J23&amp;"",H23&amp;"")</f>
        <v>1</v>
      </c>
    </row>
    <row r="24" spans="1:12" x14ac:dyDescent="0.2">
      <c r="A24" s="1">
        <v>18</v>
      </c>
      <c r="B24" s="1" t="s">
        <v>297</v>
      </c>
      <c r="C24" s="1" t="s">
        <v>1774</v>
      </c>
      <c r="D24" s="1" t="s">
        <v>1817</v>
      </c>
      <c r="E24" s="1" t="s">
        <v>1818</v>
      </c>
      <c r="F24" s="4" t="s">
        <v>1819</v>
      </c>
      <c r="G24" s="1" t="s">
        <v>1762</v>
      </c>
      <c r="H24" s="1">
        <v>17</v>
      </c>
      <c r="I24" s="1">
        <v>0</v>
      </c>
      <c r="J24" s="1">
        <f>IFERROR(INDEX(nINT_Interval_Value,MATCH("EX-C01|2|I11",nINT_Key,0)),"(row not found)")</f>
        <v>17</v>
      </c>
      <c r="K24" s="1" t="str">
        <f>IFERROR(INDEX(nINT_Result_Display,MATCH("EX-C01|2|I11",nINT_Key,0)),"(row not found)")</f>
        <v>17 minutes</v>
      </c>
      <c r="L24" s="1" t="b">
        <f>IF(ISNUMBER(J24),ABS(ROUND(J24,I24)-H24)&lt;0.000000001,FALSE)</f>
        <v>1</v>
      </c>
    </row>
    <row r="25" spans="1:12" x14ac:dyDescent="0.2">
      <c r="A25" s="1">
        <v>19</v>
      </c>
      <c r="B25" s="1" t="s">
        <v>297</v>
      </c>
      <c r="C25" s="1" t="s">
        <v>1774</v>
      </c>
      <c r="D25" s="1" t="s">
        <v>1820</v>
      </c>
      <c r="E25" s="1" t="s">
        <v>1821</v>
      </c>
      <c r="F25" s="4" t="s">
        <v>1822</v>
      </c>
      <c r="G25" s="1" t="s">
        <v>1762</v>
      </c>
      <c r="H25" s="1">
        <v>20</v>
      </c>
      <c r="I25" s="1">
        <v>0</v>
      </c>
      <c r="J25" s="1">
        <f>IFERROR(INDEX(nINT_Interval_Value,MATCH("EX-C01|2|I12",nINT_Key,0)),"(row not found)")</f>
        <v>20</v>
      </c>
      <c r="K25" s="1" t="str">
        <f>IFERROR(INDEX(nINT_Result_Display,MATCH("EX-C01|2|I12",nINT_Key,0)),"(row not found)")</f>
        <v>20 minutes</v>
      </c>
      <c r="L25" s="1" t="b">
        <f>IF(ISNUMBER(J25),ABS(ROUND(J25,I25)-H25)&lt;0.000000001,FALSE)</f>
        <v>1</v>
      </c>
    </row>
    <row r="26" spans="1:12" x14ac:dyDescent="0.2">
      <c r="A26" s="1">
        <v>20</v>
      </c>
      <c r="B26" s="1" t="s">
        <v>297</v>
      </c>
      <c r="C26" s="1" t="s">
        <v>1774</v>
      </c>
      <c r="D26" s="1" t="s">
        <v>1823</v>
      </c>
      <c r="E26" s="1" t="s">
        <v>1824</v>
      </c>
      <c r="F26" s="4" t="s">
        <v>1825</v>
      </c>
      <c r="G26" s="1" t="s">
        <v>1762</v>
      </c>
      <c r="H26" s="1">
        <v>16</v>
      </c>
      <c r="I26" s="1">
        <v>0</v>
      </c>
      <c r="J26" s="1">
        <f>IFERROR(INDEX(nINT_Interval_Value,MATCH("EX-C01|2|I13",nINT_Key,0)),"(row not found)")</f>
        <v>16</v>
      </c>
      <c r="K26" s="1" t="str">
        <f>IFERROR(INDEX(nINT_Result_Display,MATCH("EX-C01|2|I13",nINT_Key,0)),"(row not found)")</f>
        <v>16 minutes</v>
      </c>
      <c r="L26" s="1" t="b">
        <f>IF(ISNUMBER(J26),ABS(ROUND(J26,I26)-H26)&lt;0.000000001,FALSE)</f>
        <v>1</v>
      </c>
    </row>
    <row r="27" spans="1:12" x14ac:dyDescent="0.2">
      <c r="A27" s="1">
        <v>21</v>
      </c>
      <c r="B27" s="1" t="s">
        <v>297</v>
      </c>
      <c r="C27" s="1" t="s">
        <v>1826</v>
      </c>
      <c r="D27" s="1" t="s">
        <v>1827</v>
      </c>
      <c r="E27" s="1" t="s">
        <v>1828</v>
      </c>
      <c r="F27" s="4" t="s">
        <v>1829</v>
      </c>
      <c r="G27" s="1" t="s">
        <v>1762</v>
      </c>
      <c r="H27" s="1">
        <v>50</v>
      </c>
      <c r="I27" s="1">
        <v>0</v>
      </c>
      <c r="J27" s="1">
        <f>IFERROR(INDEX(nINT_Interval_Value,MATCH("EX-C01|2|I14",nINT_Key,0)),"(row not found)")</f>
        <v>50</v>
      </c>
      <c r="K27" s="1" t="str">
        <f>IFERROR(INDEX(nINT_Result_Display,MATCH("EX-C01|2|I14",nINT_Key,0)),"(row not found)")</f>
        <v>50 minutes</v>
      </c>
      <c r="L27" s="1" t="b">
        <f>IF(ISNUMBER(J27),ABS(ROUND(J27,I27)-H27)&lt;0.000000001,FALSE)</f>
        <v>1</v>
      </c>
    </row>
    <row r="28" spans="1:12" x14ac:dyDescent="0.2">
      <c r="A28" s="1">
        <v>22</v>
      </c>
      <c r="B28" s="1" t="s">
        <v>297</v>
      </c>
      <c r="C28" s="1" t="s">
        <v>1774</v>
      </c>
      <c r="D28" s="1" t="s">
        <v>1830</v>
      </c>
      <c r="E28" s="1" t="s">
        <v>1831</v>
      </c>
      <c r="F28" s="4" t="s">
        <v>1832</v>
      </c>
      <c r="G28" s="1" t="s">
        <v>1767</v>
      </c>
      <c r="H28" s="4" t="s">
        <v>218</v>
      </c>
      <c r="J28" s="1" t="str">
        <f>IFERROR(INDEX(nQ9_QC_Flags,MATCH("EX-C01|2|Q9-C01",nQ9_Key,0)),"(row not found)")</f>
        <v>E_INVALID_UNIT</v>
      </c>
      <c r="K28" s="1" t="str">
        <f>IFERROR(INDEX(nQ9_Result_Display,MATCH("EX-C01|2|Q9-C01",nQ9_Key,0)),"(row not found)")</f>
        <v>E_INVALID_UNIT: no result is shown (infusion rates must be in mg/hour; mL/hour needs a concentration and is not supported in CALC-SPEC 1.1)</v>
      </c>
      <c r="L28" s="1" t="b">
        <f>EXACT(J28&amp;"",H28&amp;"")</f>
        <v>1</v>
      </c>
    </row>
    <row r="29" spans="1:12" x14ac:dyDescent="0.2">
      <c r="A29" s="1">
        <v>23</v>
      </c>
      <c r="B29" s="1" t="s">
        <v>301</v>
      </c>
      <c r="C29" s="1" t="s">
        <v>1833</v>
      </c>
      <c r="D29" s="1" t="s">
        <v>1834</v>
      </c>
      <c r="E29" s="1" t="s">
        <v>1835</v>
      </c>
      <c r="F29" s="4" t="s">
        <v>1836</v>
      </c>
      <c r="G29" s="1" t="s">
        <v>1762</v>
      </c>
      <c r="H29" s="1">
        <v>185</v>
      </c>
      <c r="I29" s="1">
        <v>0</v>
      </c>
      <c r="J29" s="1">
        <f>IFERROR(INDEX(nINT_Interval_Value,MATCH("EX-C04|2|I01",nINT_Key,0)),"(row not found)")</f>
        <v>185</v>
      </c>
      <c r="K29" s="1" t="str">
        <f>IFERROR(INDEX(nINT_Result_Display,MATCH("EX-C04|2|I01",nINT_Key,0)),"(row not found)")</f>
        <v>185 calendar days</v>
      </c>
      <c r="L29" s="1" t="b">
        <f>IF(ISNUMBER(J29),ABS(ROUND(J29,I29)-H29)&lt;0.000000001,FALSE)</f>
        <v>1</v>
      </c>
    </row>
    <row r="30" spans="1:12" x14ac:dyDescent="0.2">
      <c r="A30" s="1">
        <v>24</v>
      </c>
      <c r="B30" s="1" t="s">
        <v>301</v>
      </c>
      <c r="C30" s="1" t="s">
        <v>1833</v>
      </c>
      <c r="D30" s="1" t="s">
        <v>1837</v>
      </c>
      <c r="E30" s="1" t="s">
        <v>1838</v>
      </c>
      <c r="F30" s="4" t="s">
        <v>1839</v>
      </c>
      <c r="G30" s="1" t="s">
        <v>1762</v>
      </c>
      <c r="H30" s="1">
        <v>4</v>
      </c>
      <c r="I30" s="1">
        <v>0</v>
      </c>
      <c r="J30" s="1">
        <f>IFERROR(INDEX(nINT_Interval_Value,MATCH("EX-C04|2|I02",nINT_Key,0)),"(row not found)")</f>
        <v>4</v>
      </c>
      <c r="K30" s="1" t="str">
        <f>IFERROR(INDEX(nINT_Result_Display,MATCH("EX-C04|2|I02",nINT_Key,0)),"(row not found)")</f>
        <v>4 calendar days</v>
      </c>
      <c r="L30" s="1" t="b">
        <f>IF(ISNUMBER(J30),ABS(ROUND(J30,I30)-H30)&lt;0.000000001,FALSE)</f>
        <v>1</v>
      </c>
    </row>
    <row r="31" spans="1:12" x14ac:dyDescent="0.2">
      <c r="A31" s="1">
        <v>25</v>
      </c>
      <c r="B31" s="1" t="s">
        <v>301</v>
      </c>
      <c r="C31" s="1" t="s">
        <v>1833</v>
      </c>
      <c r="D31" s="1" t="s">
        <v>1840</v>
      </c>
      <c r="E31" s="1" t="s">
        <v>1841</v>
      </c>
      <c r="F31" s="4" t="s">
        <v>1842</v>
      </c>
      <c r="G31" s="1" t="s">
        <v>1762</v>
      </c>
      <c r="H31" s="1">
        <v>9</v>
      </c>
      <c r="I31" s="1">
        <v>0</v>
      </c>
      <c r="J31" s="1">
        <f>IFERROR(INDEX(nINT_Interval_Value,MATCH("EX-C04|2|I03",nINT_Key,0)),"(row not found)")</f>
        <v>9</v>
      </c>
      <c r="K31" s="1" t="str">
        <f>IFERROR(INDEX(nINT_Result_Display,MATCH("EX-C04|2|I03",nINT_Key,0)),"(row not found)")</f>
        <v>9 calendar days</v>
      </c>
      <c r="L31" s="1" t="b">
        <f>IF(ISNUMBER(J31),ABS(ROUND(J31,I31)-H31)&lt;0.000000001,FALSE)</f>
        <v>1</v>
      </c>
    </row>
    <row r="32" spans="1:12" x14ac:dyDescent="0.2">
      <c r="A32" s="1">
        <v>26</v>
      </c>
      <c r="B32" s="1" t="s">
        <v>301</v>
      </c>
      <c r="C32" s="1" t="s">
        <v>1843</v>
      </c>
      <c r="D32" s="1" t="s">
        <v>1844</v>
      </c>
      <c r="E32" s="1" t="s">
        <v>1845</v>
      </c>
      <c r="F32" s="4" t="s">
        <v>1846</v>
      </c>
      <c r="G32" s="1" t="s">
        <v>1767</v>
      </c>
      <c r="H32" s="4" t="s">
        <v>652</v>
      </c>
      <c r="J32" s="1" t="str">
        <f>IFERROR(INDEX(nINT_Anchor_Record_ID_Used,MATCH("EX-C04|2|I04",nINT_Key,0)),"(row not found)")</f>
        <v>ADM-DIG-LAST</v>
      </c>
      <c r="K32" s="1" t="str">
        <f>IFERROR(INDEX(nINT_Result_Display,MATCH("EX-C04|2|I04",nINT_Key,0)),"(row not found)")</f>
        <v>1 calendar day</v>
      </c>
      <c r="L32" s="1" t="b">
        <f>EXACT(J32&amp;"",H32&amp;"")</f>
        <v>1</v>
      </c>
    </row>
    <row r="33" spans="1:12" x14ac:dyDescent="0.2">
      <c r="A33" s="1">
        <v>27</v>
      </c>
      <c r="B33" s="1" t="s">
        <v>301</v>
      </c>
      <c r="C33" s="1" t="s">
        <v>1843</v>
      </c>
      <c r="D33" s="1" t="s">
        <v>1847</v>
      </c>
      <c r="E33" s="1" t="s">
        <v>1848</v>
      </c>
      <c r="F33" s="4" t="s">
        <v>1849</v>
      </c>
      <c r="G33" s="1" t="s">
        <v>1762</v>
      </c>
      <c r="H33" s="1">
        <v>1</v>
      </c>
      <c r="I33" s="1">
        <v>0</v>
      </c>
      <c r="J33" s="1">
        <f>IFERROR(INDEX(nINT_Interval_Value,MATCH("EX-C04|2|I04",nINT_Key,0)),"(row not found)")</f>
        <v>1</v>
      </c>
      <c r="K33" s="1" t="str">
        <f>IFERROR(INDEX(nINT_Result_Display,MATCH("EX-C04|2|I04",nINT_Key,0)),"(row not found)")</f>
        <v>1 calendar day</v>
      </c>
      <c r="L33" s="1" t="b">
        <f>IF(ISNUMBER(J33),ABS(ROUND(J33,I33)-H33)&lt;0.000000001,FALSE)</f>
        <v>1</v>
      </c>
    </row>
    <row r="34" spans="1:12" x14ac:dyDescent="0.2">
      <c r="A34" s="1">
        <v>28</v>
      </c>
      <c r="B34" s="1" t="s">
        <v>301</v>
      </c>
      <c r="C34" s="1" t="s">
        <v>1850</v>
      </c>
      <c r="D34" s="1" t="s">
        <v>1851</v>
      </c>
      <c r="E34" s="1" t="s">
        <v>1852</v>
      </c>
      <c r="F34" s="4" t="s">
        <v>1853</v>
      </c>
      <c r="G34" s="1" t="s">
        <v>1762</v>
      </c>
      <c r="H34" s="1">
        <v>1660</v>
      </c>
      <c r="I34" s="1">
        <v>0</v>
      </c>
      <c r="J34" s="1">
        <f>IFERROR(INDEX(nINT_Interval_Value,MATCH("EX-C04|2|I05",nINT_Key,0)),"(row not found)")</f>
        <v>1660</v>
      </c>
      <c r="K34" s="1" t="str">
        <f>IFERROR(INDEX(nINT_Result_Display,MATCH("EX-C04|2|I05",nINT_Key,0)),"(row not found)")</f>
        <v>1,660 minutes (local clock) (27.7 hours)</v>
      </c>
      <c r="L34" s="1" t="b">
        <f>IF(ISNUMBER(J34),ABS(ROUND(J34,I34)-H34)&lt;0.000000001,FALSE)</f>
        <v>1</v>
      </c>
    </row>
    <row r="35" spans="1:12" x14ac:dyDescent="0.2">
      <c r="A35" s="1">
        <v>29</v>
      </c>
      <c r="B35" s="1" t="s">
        <v>301</v>
      </c>
      <c r="C35" s="1" t="s">
        <v>1850</v>
      </c>
      <c r="D35" s="1" t="s">
        <v>1854</v>
      </c>
      <c r="E35" s="1" t="s">
        <v>1855</v>
      </c>
      <c r="F35" s="4" t="s">
        <v>1856</v>
      </c>
      <c r="G35" s="1" t="s">
        <v>1767</v>
      </c>
      <c r="H35" s="4" t="s">
        <v>1857</v>
      </c>
      <c r="J35" s="1" t="str">
        <f>IFERROR(INDEX(nINT_Unit,MATCH("EX-C04|2|I05",nINT_Key,0)),"(row not found)")</f>
        <v>minutes (local clock)</v>
      </c>
      <c r="K35" s="1" t="str">
        <f>IFERROR(INDEX(nINT_Result_Display,MATCH("EX-C04|2|I05",nINT_Key,0)),"(row not found)")</f>
        <v>1,660 minutes (local clock) (27.7 hours)</v>
      </c>
      <c r="L35" s="1" t="b">
        <f>EXACT(J35&amp;"",H35&amp;"")</f>
        <v>1</v>
      </c>
    </row>
    <row r="36" spans="1:12" x14ac:dyDescent="0.2">
      <c r="A36" s="1">
        <v>30</v>
      </c>
      <c r="B36" s="1" t="s">
        <v>301</v>
      </c>
      <c r="C36" s="1" t="s">
        <v>1850</v>
      </c>
      <c r="D36" s="1" t="s">
        <v>1858</v>
      </c>
      <c r="E36" s="1" t="s">
        <v>1859</v>
      </c>
      <c r="F36" s="4" t="s">
        <v>236</v>
      </c>
      <c r="G36" s="1" t="s">
        <v>1812</v>
      </c>
      <c r="H36" s="4" t="s">
        <v>236</v>
      </c>
      <c r="J36" s="1" t="str">
        <f>IFERROR(INDEX(nINT_QC_Flags,MATCH("EX-C04|2|I05",nINT_Key,0)),"(row not found)")</f>
        <v>W_TZ_UNKNOWN</v>
      </c>
      <c r="K36" s="1" t="str">
        <f>IFERROR(INDEX(nINT_Result_Display,MATCH("EX-C04|2|I05",nINT_Key,0)),"(row not found)")</f>
        <v>1,660 minutes (local clock) (27.7 hours)</v>
      </c>
      <c r="L36" s="1" t="b">
        <f>ISNUMBER(SEARCH(H36,J36))</f>
        <v>1</v>
      </c>
    </row>
    <row r="37" spans="1:12" x14ac:dyDescent="0.2">
      <c r="A37" s="1">
        <v>31</v>
      </c>
      <c r="B37" s="1" t="s">
        <v>301</v>
      </c>
      <c r="C37" s="1" t="s">
        <v>1860</v>
      </c>
      <c r="D37" s="1" t="s">
        <v>1861</v>
      </c>
      <c r="E37" s="1" t="s">
        <v>1862</v>
      </c>
      <c r="F37" s="4" t="s">
        <v>1863</v>
      </c>
      <c r="G37" s="1" t="s">
        <v>1762</v>
      </c>
      <c r="H37" s="1">
        <v>3</v>
      </c>
      <c r="I37" s="1">
        <v>0</v>
      </c>
      <c r="J37" s="1">
        <f>IFERROR(INDEX(nINT_Interval_Value,MATCH("EX-C04|2|I06",nINT_Key,0)),"(row not found)")</f>
        <v>3</v>
      </c>
      <c r="K37" s="1" t="str">
        <f>IFERROR(INDEX(nINT_Result_Display,MATCH("EX-C04|2|I06",nINT_Key,0)),"(row not found)")</f>
        <v>3 calendar days</v>
      </c>
      <c r="L37" s="1" t="b">
        <f>IF(ISNUMBER(J37),ABS(ROUND(J37,I37)-H37)&lt;0.000000001,FALSE)</f>
        <v>1</v>
      </c>
    </row>
    <row r="38" spans="1:12" x14ac:dyDescent="0.2">
      <c r="A38" s="1">
        <v>32</v>
      </c>
      <c r="B38" s="1" t="s">
        <v>301</v>
      </c>
      <c r="C38" s="1" t="s">
        <v>1860</v>
      </c>
      <c r="D38" s="1" t="s">
        <v>1810</v>
      </c>
      <c r="E38" s="1" t="s">
        <v>1864</v>
      </c>
      <c r="F38" s="4" t="s">
        <v>252</v>
      </c>
      <c r="G38" s="1" t="s">
        <v>1812</v>
      </c>
      <c r="H38" s="4" t="s">
        <v>252</v>
      </c>
      <c r="J38" s="1" t="str">
        <f>IFERROR(INDEX(nINT_QC_Flags,MATCH("EX-C04|2|I06",nINT_Key,0)),"(row not found)")</f>
        <v>W_INTERVENTION_BEFORE_RECOVERY</v>
      </c>
      <c r="K38" s="1" t="str">
        <f>IFERROR(INDEX(nINT_Result_Display,MATCH("EX-C04|2|I06",nINT_Key,0)),"(row not found)")</f>
        <v>3 calendar days</v>
      </c>
      <c r="L38" s="1" t="b">
        <f>ISNUMBER(SEARCH(H38,J38))</f>
        <v>1</v>
      </c>
    </row>
    <row r="39" spans="1:12" x14ac:dyDescent="0.2">
      <c r="A39" s="1">
        <v>33</v>
      </c>
      <c r="B39" s="1" t="s">
        <v>301</v>
      </c>
      <c r="C39" s="1" t="s">
        <v>1850</v>
      </c>
      <c r="D39" s="1" t="s">
        <v>1865</v>
      </c>
      <c r="E39" s="1" t="s">
        <v>1866</v>
      </c>
      <c r="F39" s="4" t="s">
        <v>1867</v>
      </c>
      <c r="G39" s="1" t="s">
        <v>1762</v>
      </c>
      <c r="H39" s="1">
        <v>40</v>
      </c>
      <c r="I39" s="1">
        <v>0</v>
      </c>
      <c r="J39" s="1">
        <f>IFERROR(INDEX(nQ11_CrCl_mL_min,MATCH("EX-C04|2|Q11-C04-baseline",nQ11_Key,0)),"(row not found)")</f>
        <v>40.398611111111109</v>
      </c>
      <c r="K39" s="1" t="str">
        <f>IFERROR(INDEX(nQ11_Result_Display,MATCH("EX-C04|2|Q11-C04-baseline",nQ11_Key,0)),"(row not found)")</f>
        <v>40 mL/minute estimated creatinine clearance (female)</v>
      </c>
      <c r="L39" s="1" t="b">
        <f>IF(ISNUMBER(J39),ABS(ROUND(J39,I39)-H39)&lt;0.000000001,FALSE)</f>
        <v>1</v>
      </c>
    </row>
    <row r="40" spans="1:12" x14ac:dyDescent="0.2">
      <c r="A40" s="1">
        <v>34</v>
      </c>
      <c r="B40" s="1" t="s">
        <v>301</v>
      </c>
      <c r="C40" s="1" t="s">
        <v>1850</v>
      </c>
      <c r="D40" s="1" t="s">
        <v>1868</v>
      </c>
      <c r="E40" s="1" t="s">
        <v>1866</v>
      </c>
      <c r="F40" s="4" t="s">
        <v>1869</v>
      </c>
      <c r="G40" s="1" t="s">
        <v>1762</v>
      </c>
      <c r="H40" s="1">
        <v>40.399000000000001</v>
      </c>
      <c r="I40" s="1">
        <v>3</v>
      </c>
      <c r="J40" s="1">
        <f>IFERROR(INDEX(nQ11_CrCl_mL_min,MATCH("EX-C04|2|Q11-C04-baseline",nQ11_Key,0)),"(row not found)")</f>
        <v>40.398611111111109</v>
      </c>
      <c r="K40" s="1" t="str">
        <f>IFERROR(INDEX(nQ11_Result_Display,MATCH("EX-C04|2|Q11-C04-baseline",nQ11_Key,0)),"(row not found)")</f>
        <v>40 mL/minute estimated creatinine clearance (female)</v>
      </c>
      <c r="L40" s="1" t="b">
        <f>IF(ISNUMBER(J40),ABS(ROUND(J40,I40)-H40)&lt;0.000000001,FALSE)</f>
        <v>1</v>
      </c>
    </row>
    <row r="41" spans="1:12" x14ac:dyDescent="0.2">
      <c r="A41" s="1">
        <v>35</v>
      </c>
      <c r="B41" s="1" t="s">
        <v>301</v>
      </c>
      <c r="C41" s="1" t="s">
        <v>1850</v>
      </c>
      <c r="D41" s="1" t="s">
        <v>1870</v>
      </c>
      <c r="E41" s="1" t="s">
        <v>1871</v>
      </c>
      <c r="F41" s="4" t="s">
        <v>230</v>
      </c>
      <c r="G41" s="1" t="s">
        <v>1767</v>
      </c>
      <c r="H41" s="4" t="s">
        <v>230</v>
      </c>
      <c r="J41" s="1" t="str">
        <f>IFERROR(INDEX(nQ11_QC_Flags,MATCH("EX-C04|2|Q11-C04-1Jul",nQ11_Key,0)),"(row not found)")</f>
        <v>E_CREATININE_STABILITY_UNCONFIRMED</v>
      </c>
      <c r="K41" s="1" t="str">
        <f>IFERROR(INDEX(nQ11_Result_Display,MATCH("EX-C04|2|Q11-C04-1Jul",nQ11_Key,0)),"(row not found)")</f>
        <v>E_CREATININE_STABILITY_UNCONFIRMED: no result is shown</v>
      </c>
      <c r="L41" s="1" t="b">
        <f>EXACT(J41&amp;"",H41&amp;"")</f>
        <v>1</v>
      </c>
    </row>
    <row r="42" spans="1:12" x14ac:dyDescent="0.2">
      <c r="A42" s="1">
        <v>36</v>
      </c>
      <c r="B42" s="1" t="s">
        <v>301</v>
      </c>
      <c r="C42" s="1" t="s">
        <v>1850</v>
      </c>
      <c r="D42" s="1" t="s">
        <v>1872</v>
      </c>
      <c r="E42" s="1" t="s">
        <v>1873</v>
      </c>
      <c r="F42" s="4" t="s">
        <v>230</v>
      </c>
      <c r="G42" s="1" t="s">
        <v>1767</v>
      </c>
      <c r="H42" s="4" t="s">
        <v>230</v>
      </c>
      <c r="J42" s="1" t="str">
        <f>IFERROR(INDEX(nQ11_QC_Flags,MATCH("EX-C04|2|Q11-C04-5Jul",nQ11_Key,0)),"(row not found)")</f>
        <v>E_CREATININE_STABILITY_UNCONFIRMED</v>
      </c>
      <c r="K42" s="1" t="str">
        <f>IFERROR(INDEX(nQ11_Result_Display,MATCH("EX-C04|2|Q11-C04-5Jul",nQ11_Key,0)),"(row not found)")</f>
        <v>E_CREATININE_STABILITY_UNCONFIRMED: no result is shown</v>
      </c>
      <c r="L42" s="1" t="b">
        <f>EXACT(J42&amp;"",H42&amp;"")</f>
        <v>1</v>
      </c>
    </row>
    <row r="43" spans="1:12" x14ac:dyDescent="0.2">
      <c r="A43" s="1">
        <v>37</v>
      </c>
      <c r="B43" s="1" t="s">
        <v>301</v>
      </c>
      <c r="C43" s="1" t="s">
        <v>1874</v>
      </c>
      <c r="D43" s="1" t="s">
        <v>1875</v>
      </c>
      <c r="E43" s="1" t="s">
        <v>1876</v>
      </c>
      <c r="F43" s="4" t="s">
        <v>1877</v>
      </c>
      <c r="G43" s="1" t="s">
        <v>1762</v>
      </c>
      <c r="H43" s="1">
        <v>25</v>
      </c>
      <c r="I43" s="1">
        <v>1</v>
      </c>
      <c r="J43" s="1">
        <f>IFERROR(INDEX(nQ8_Percent_at_Lower,MATCH("EX-C04|2|Q8-C04-normal",nQ8_Key,0)),"(row not found)")</f>
        <v>25</v>
      </c>
      <c r="K43" s="1" t="str">
        <f>IFERROR(INDEX(nQ8_Result_Display,MATCH("EX-C04|2|Q8-C04-normal",nQ8_Key,0)),"(row not found)")</f>
        <v>From 25.0% (t_half 1.5 days) to 35.4% (t_half 2 days) remaining; scenario range, not a confidence interval</v>
      </c>
      <c r="L43" s="1" t="b">
        <f>IF(ISNUMBER(J43),ABS(ROUND(J43,I43)-H43)&lt;0.000000001,FALSE)</f>
        <v>1</v>
      </c>
    </row>
    <row r="44" spans="1:12" x14ac:dyDescent="0.2">
      <c r="A44" s="1">
        <v>38</v>
      </c>
      <c r="B44" s="1" t="s">
        <v>301</v>
      </c>
      <c r="C44" s="1" t="s">
        <v>1874</v>
      </c>
      <c r="D44" s="1" t="s">
        <v>1878</v>
      </c>
      <c r="E44" s="1" t="s">
        <v>1879</v>
      </c>
      <c r="F44" s="4" t="s">
        <v>1880</v>
      </c>
      <c r="G44" s="1" t="s">
        <v>1762</v>
      </c>
      <c r="H44" s="1">
        <v>35.4</v>
      </c>
      <c r="I44" s="1">
        <v>1</v>
      </c>
      <c r="J44" s="1">
        <f>IFERROR(INDEX(nQ8_Percent_at_Upper,MATCH("EX-C04|2|Q8-C04-normal",nQ8_Key,0)),"(row not found)")</f>
        <v>35.355339059327378</v>
      </c>
      <c r="K44" s="1" t="str">
        <f>IFERROR(INDEX(nQ8_Result_Display,MATCH("EX-C04|2|Q8-C04-normal",nQ8_Key,0)),"(row not found)")</f>
        <v>From 25.0% (t_half 1.5 days) to 35.4% (t_half 2 days) remaining; scenario range, not a confidence interval</v>
      </c>
      <c r="L44" s="1" t="b">
        <f>IF(ISNUMBER(J44),ABS(ROUND(J44,I44)-H44)&lt;0.000000001,FALSE)</f>
        <v>1</v>
      </c>
    </row>
    <row r="45" spans="1:12" x14ac:dyDescent="0.2">
      <c r="A45" s="1">
        <v>39</v>
      </c>
      <c r="B45" s="1" t="s">
        <v>301</v>
      </c>
      <c r="C45" s="1" t="s">
        <v>1874</v>
      </c>
      <c r="D45" s="1" t="s">
        <v>1881</v>
      </c>
      <c r="E45" s="1" t="s">
        <v>1882</v>
      </c>
      <c r="F45" s="4" t="s">
        <v>1883</v>
      </c>
      <c r="G45" s="1" t="s">
        <v>1762</v>
      </c>
      <c r="H45" s="1">
        <v>55.2</v>
      </c>
      <c r="I45" s="1">
        <v>1</v>
      </c>
      <c r="J45" s="1">
        <f>IFERROR(INDEX(nQ8_Percent_at_Lower,MATCH("EX-C04|2|Q8-C04-anuric",nQ8_Key,0)),"(row not found)")</f>
        <v>55.204475683690625</v>
      </c>
      <c r="K45" s="1" t="str">
        <f>IFERROR(INDEX(nQ8_Result_Display,MATCH("EX-C04|2|Q8-C04-anuric",nQ8_Key,0)),"(row not found)")</f>
        <v>From 55.2% (t_half 3.5 days) to 66.0% (t_half 5 days) remaining; scenario range, not a confidence interval</v>
      </c>
      <c r="L45" s="1" t="b">
        <f>IF(ISNUMBER(J45),ABS(ROUND(J45,I45)-H45)&lt;0.000000001,FALSE)</f>
        <v>1</v>
      </c>
    </row>
    <row r="46" spans="1:12" x14ac:dyDescent="0.2">
      <c r="A46" s="1">
        <v>40</v>
      </c>
      <c r="B46" s="1" t="s">
        <v>301</v>
      </c>
      <c r="C46" s="1" t="s">
        <v>1874</v>
      </c>
      <c r="D46" s="1" t="s">
        <v>1884</v>
      </c>
      <c r="E46" s="1" t="s">
        <v>1885</v>
      </c>
      <c r="F46" s="4" t="s">
        <v>1886</v>
      </c>
      <c r="G46" s="1" t="s">
        <v>1762</v>
      </c>
      <c r="H46" s="1">
        <v>66</v>
      </c>
      <c r="I46" s="1">
        <v>1</v>
      </c>
      <c r="J46" s="1">
        <f>IFERROR(INDEX(nQ8_Percent_at_Upper,MATCH("EX-C04|2|Q8-C04-anuric",nQ8_Key,0)),"(row not found)")</f>
        <v>65.975395538644719</v>
      </c>
      <c r="K46" s="1" t="str">
        <f>IFERROR(INDEX(nQ8_Result_Display,MATCH("EX-C04|2|Q8-C04-anuric",nQ8_Key,0)),"(row not found)")</f>
        <v>From 55.2% (t_half 3.5 days) to 66.0% (t_half 5 days) remaining; scenario range, not a confidence interval</v>
      </c>
      <c r="L46" s="1" t="b">
        <f>IF(ISNUMBER(J46),ABS(ROUND(J46,I46)-H46)&lt;0.000000001,FALSE)</f>
        <v>1</v>
      </c>
    </row>
    <row r="47" spans="1:12" x14ac:dyDescent="0.2">
      <c r="A47" s="1">
        <v>41</v>
      </c>
      <c r="B47" s="1" t="s">
        <v>301</v>
      </c>
      <c r="C47" s="1" t="s">
        <v>1874</v>
      </c>
      <c r="D47" s="1" t="s">
        <v>1887</v>
      </c>
      <c r="E47" s="1" t="s">
        <v>1888</v>
      </c>
      <c r="F47" s="4" t="s">
        <v>271</v>
      </c>
      <c r="G47" s="1" t="s">
        <v>1767</v>
      </c>
      <c r="H47" s="4" t="s">
        <v>271</v>
      </c>
      <c r="J47" s="1" t="str">
        <f>IFERROR(INDEX(nQ8_QC_Flags,MATCH("EX-C04|2|Q8-C04-normal",nQ8_Key,0)),"(row not found)")</f>
        <v>I_SCENARIO_NOT_CI</v>
      </c>
      <c r="K47" s="1" t="str">
        <f>IFERROR(INDEX(nQ8_Result_Display,MATCH("EX-C04|2|Q8-C04-normal",nQ8_Key,0)),"(row not found)")</f>
        <v>From 25.0% (t_half 1.5 days) to 35.4% (t_half 2 days) remaining; scenario range, not a confidence interval</v>
      </c>
      <c r="L47" s="1" t="b">
        <f>EXACT(J47&amp;"",H47&amp;"")</f>
        <v>1</v>
      </c>
    </row>
    <row r="48" spans="1:12" x14ac:dyDescent="0.2">
      <c r="A48" s="1">
        <v>42</v>
      </c>
      <c r="B48" s="1" t="s">
        <v>301</v>
      </c>
      <c r="C48" s="1" t="s">
        <v>1889</v>
      </c>
      <c r="D48" s="1" t="s">
        <v>1890</v>
      </c>
      <c r="E48" s="1" t="s">
        <v>1891</v>
      </c>
      <c r="F48" s="4" t="s">
        <v>1892</v>
      </c>
      <c r="G48" s="1" t="s">
        <v>1762</v>
      </c>
      <c r="H48" s="1">
        <v>1.33</v>
      </c>
      <c r="I48" s="1">
        <v>2</v>
      </c>
      <c r="J48" s="1">
        <f>IFERROR(INDEX(nQ4_Css_Ratio,MATCH("EX-C04|2|Q4-C04-half-fe0.5",nQ4_Key,0)),"(row not found)")</f>
        <v>1.3333333333333333</v>
      </c>
      <c r="K48" s="1" t="str">
        <f>IFERROR(INDEX(nQ4_Result_Display,MATCH("EX-C04|2|Q4-C04-half-fe0.5",nQ4_Key,0)),"(row not found)")</f>
        <v>Half-life ratio 1.33; average steady-state concentration ratio 1.33</v>
      </c>
      <c r="L48" s="1" t="b">
        <f>IF(ISNUMBER(J48),ABS(ROUND(J48,I48)-H48)&lt;0.000000001,FALSE)</f>
        <v>1</v>
      </c>
    </row>
    <row r="49" spans="1:12" x14ac:dyDescent="0.2">
      <c r="A49" s="1">
        <v>43</v>
      </c>
      <c r="B49" s="1" t="s">
        <v>301</v>
      </c>
      <c r="C49" s="1" t="s">
        <v>1889</v>
      </c>
      <c r="D49" s="1" t="s">
        <v>1893</v>
      </c>
      <c r="E49" s="1" t="s">
        <v>1894</v>
      </c>
      <c r="F49" s="4" t="s">
        <v>1895</v>
      </c>
      <c r="G49" s="1" t="s">
        <v>1762</v>
      </c>
      <c r="H49" s="1">
        <v>1.54</v>
      </c>
      <c r="I49" s="1">
        <v>2</v>
      </c>
      <c r="J49" s="1">
        <f>IFERROR(INDEX(nQ4_Css_Ratio,MATCH("EX-C04|2|Q4-C04-half-fe0.7",nQ4_Key,0)),"(row not found)")</f>
        <v>1.5384615384615383</v>
      </c>
      <c r="K49" s="1" t="str">
        <f>IFERROR(INDEX(nQ4_Result_Display,MATCH("EX-C04|2|Q4-C04-half-fe0.7",nQ4_Key,0)),"(row not found)")</f>
        <v>Half-life ratio 1.54; average steady-state concentration ratio 1.54</v>
      </c>
      <c r="L49" s="1" t="b">
        <f>IF(ISNUMBER(J49),ABS(ROUND(J49,I49)-H49)&lt;0.000000001,FALSE)</f>
        <v>1</v>
      </c>
    </row>
    <row r="50" spans="1:12" x14ac:dyDescent="0.2">
      <c r="A50" s="1">
        <v>44</v>
      </c>
      <c r="B50" s="1" t="s">
        <v>301</v>
      </c>
      <c r="C50" s="1" t="s">
        <v>1889</v>
      </c>
      <c r="D50" s="1" t="s">
        <v>1896</v>
      </c>
      <c r="E50" s="1" t="s">
        <v>1897</v>
      </c>
      <c r="F50" s="4" t="s">
        <v>1898</v>
      </c>
      <c r="G50" s="1" t="s">
        <v>1762</v>
      </c>
      <c r="H50" s="1">
        <v>1.6</v>
      </c>
      <c r="I50" s="1">
        <v>2</v>
      </c>
      <c r="J50" s="1">
        <f>IFERROR(INDEX(nQ4_Css_Ratio,MATCH("EX-C04|2|Q4-C04-quarter-fe0.5",nQ4_Key,0)),"(row not found)")</f>
        <v>1.6</v>
      </c>
      <c r="K50" s="1" t="str">
        <f>IFERROR(INDEX(nQ4_Result_Display,MATCH("EX-C04|2|Q4-C04-quarter-fe0.5",nQ4_Key,0)),"(row not found)")</f>
        <v>Half-life ratio 1.60; average steady-state concentration ratio 1.60</v>
      </c>
      <c r="L50" s="1" t="b">
        <f>IF(ISNUMBER(J50),ABS(ROUND(J50,I50)-H50)&lt;0.000000001,FALSE)</f>
        <v>1</v>
      </c>
    </row>
    <row r="51" spans="1:12" x14ac:dyDescent="0.2">
      <c r="A51" s="1">
        <v>45</v>
      </c>
      <c r="B51" s="1" t="s">
        <v>301</v>
      </c>
      <c r="C51" s="1" t="s">
        <v>1889</v>
      </c>
      <c r="D51" s="1" t="s">
        <v>1899</v>
      </c>
      <c r="E51" s="1" t="s">
        <v>1900</v>
      </c>
      <c r="F51" s="4" t="s">
        <v>1901</v>
      </c>
      <c r="G51" s="1" t="s">
        <v>1762</v>
      </c>
      <c r="H51" s="1">
        <v>2.11</v>
      </c>
      <c r="I51" s="1">
        <v>2</v>
      </c>
      <c r="J51" s="1">
        <f>IFERROR(INDEX(nQ4_Css_Ratio,MATCH("EX-C04|2|Q4-C04-quarter-fe0.7",nQ4_Key,0)),"(row not found)")</f>
        <v>2.1052631578947367</v>
      </c>
      <c r="K51" s="1" t="str">
        <f>IFERROR(INDEX(nQ4_Result_Display,MATCH("EX-C04|2|Q4-C04-quarter-fe0.7",nQ4_Key,0)),"(row not found)")</f>
        <v>Half-life ratio 2.11; average steady-state concentration ratio 2.11</v>
      </c>
      <c r="L51" s="1" t="b">
        <f>IF(ISNUMBER(J51),ABS(ROUND(J51,I51)-H51)&lt;0.000000001,FALSE)</f>
        <v>1</v>
      </c>
    </row>
    <row r="52" spans="1:12" x14ac:dyDescent="0.2">
      <c r="A52" s="1">
        <v>46</v>
      </c>
      <c r="B52" s="1" t="s">
        <v>305</v>
      </c>
      <c r="C52" s="1" t="s">
        <v>1902</v>
      </c>
      <c r="D52" s="1" t="s">
        <v>1903</v>
      </c>
      <c r="E52" s="1" t="s">
        <v>1904</v>
      </c>
      <c r="F52" s="4" t="s">
        <v>1905</v>
      </c>
      <c r="G52" s="1" t="s">
        <v>1762</v>
      </c>
      <c r="H52" s="1">
        <v>435</v>
      </c>
      <c r="I52" s="1">
        <v>0</v>
      </c>
      <c r="J52" s="1">
        <f>IFERROR(INDEX(nINT_Interval_Value,MATCH("EX-C28|2|I01",nINT_Key,0)),"(row not found)")</f>
        <v>435</v>
      </c>
      <c r="K52" s="1" t="str">
        <f>IFERROR(INDEX(nINT_Result_Display,MATCH("EX-C28|2|I01",nINT_Key,0)),"(row not found)")</f>
        <v>435 calendar days</v>
      </c>
      <c r="L52" s="1" t="b">
        <f>IF(ISNUMBER(J52),ABS(ROUND(J52,I52)-H52)&lt;0.000000001,FALSE)</f>
        <v>1</v>
      </c>
    </row>
    <row r="53" spans="1:12" x14ac:dyDescent="0.2">
      <c r="A53" s="1">
        <v>47</v>
      </c>
      <c r="B53" s="1" t="s">
        <v>305</v>
      </c>
      <c r="C53" s="1" t="s">
        <v>1906</v>
      </c>
      <c r="D53" s="1" t="s">
        <v>1907</v>
      </c>
      <c r="E53" s="1" t="s">
        <v>1908</v>
      </c>
      <c r="F53" s="4" t="s">
        <v>268</v>
      </c>
      <c r="G53" s="1" t="s">
        <v>1812</v>
      </c>
      <c r="H53" s="4" t="s">
        <v>268</v>
      </c>
      <c r="J53" s="1" t="str">
        <f>IFERROR(INDEX(nINT_QC_Flags,MATCH("EX-C28|2|I01",nINT_Key,0)),"(row not found)")</f>
        <v>I_APPROXIMATE_NOT_COMPARED</v>
      </c>
      <c r="K53" s="1" t="str">
        <f>IFERROR(INDEX(nINT_Result_Display,MATCH("EX-C28|2|I01",nINT_Key,0)),"(row not found)")</f>
        <v>435 calendar days</v>
      </c>
      <c r="L53" s="1" t="b">
        <f>ISNUMBER(SEARCH(H53,J53))</f>
        <v>1</v>
      </c>
    </row>
    <row r="54" spans="1:12" x14ac:dyDescent="0.2">
      <c r="A54" s="1">
        <v>48</v>
      </c>
      <c r="B54" s="1" t="s">
        <v>305</v>
      </c>
      <c r="C54" s="1" t="s">
        <v>1909</v>
      </c>
      <c r="D54" s="1" t="s">
        <v>1910</v>
      </c>
      <c r="E54" s="1" t="s">
        <v>1911</v>
      </c>
      <c r="F54" s="4" t="s">
        <v>1912</v>
      </c>
      <c r="G54" s="1" t="s">
        <v>1767</v>
      </c>
      <c r="H54" s="4" t="s">
        <v>659</v>
      </c>
      <c r="J54" s="1" t="str">
        <f>IFERROR(INDEX(nINT_Anchor_Record_ID_Used,MATCH("EX-C28|2|I02",nINT_Key,0)),"(row not found)")</f>
        <v>ADM-RTX-6</v>
      </c>
      <c r="K54" s="1" t="str">
        <f>IFERROR(INDEX(nINT_Result_Display,MATCH("EX-C28|2|I02",nINT_Key,0)),"(row not found)")</f>
        <v>343 to 435 calendar days</v>
      </c>
      <c r="L54" s="1" t="b">
        <f>EXACT(J54&amp;"",H54&amp;"")</f>
        <v>1</v>
      </c>
    </row>
    <row r="55" spans="1:12" x14ac:dyDescent="0.2">
      <c r="A55" s="1">
        <v>49</v>
      </c>
      <c r="B55" s="1" t="s">
        <v>305</v>
      </c>
      <c r="C55" s="1" t="s">
        <v>1902</v>
      </c>
      <c r="D55" s="1" t="s">
        <v>1913</v>
      </c>
      <c r="E55" s="1" t="s">
        <v>1914</v>
      </c>
      <c r="F55" s="4" t="s">
        <v>1915</v>
      </c>
      <c r="G55" s="1" t="s">
        <v>1762</v>
      </c>
      <c r="H55" s="1">
        <v>343</v>
      </c>
      <c r="I55" s="1">
        <v>0</v>
      </c>
      <c r="J55" s="1">
        <f>IFERROR(INDEX(nINT_Interval_Minimum,MATCH("EX-C28|2|I02",nINT_Key,0)),"(row not found)")</f>
        <v>343</v>
      </c>
      <c r="K55" s="1" t="str">
        <f>IFERROR(INDEX(nINT_Result_Display,MATCH("EX-C28|2|I02",nINT_Key,0)),"(row not found)")</f>
        <v>343 to 435 calendar days</v>
      </c>
      <c r="L55" s="1" t="b">
        <f>IF(ISNUMBER(J55),ABS(ROUND(J55,I55)-H55)&lt;0.000000001,FALSE)</f>
        <v>1</v>
      </c>
    </row>
    <row r="56" spans="1:12" x14ac:dyDescent="0.2">
      <c r="A56" s="1">
        <v>50</v>
      </c>
      <c r="B56" s="1" t="s">
        <v>305</v>
      </c>
      <c r="C56" s="1" t="s">
        <v>1902</v>
      </c>
      <c r="D56" s="1" t="s">
        <v>1916</v>
      </c>
      <c r="E56" s="1" t="s">
        <v>1917</v>
      </c>
      <c r="F56" s="4" t="s">
        <v>1918</v>
      </c>
      <c r="G56" s="1" t="s">
        <v>1762</v>
      </c>
      <c r="H56" s="1">
        <v>435</v>
      </c>
      <c r="I56" s="1">
        <v>0</v>
      </c>
      <c r="J56" s="1">
        <f>IFERROR(INDEX(nINT_Interval_Maximum,MATCH("EX-C28|2|I02",nINT_Key,0)),"(row not found)")</f>
        <v>435</v>
      </c>
      <c r="K56" s="1" t="str">
        <f>IFERROR(INDEX(nINT_Result_Display,MATCH("EX-C28|2|I02",nINT_Key,0)),"(row not found)")</f>
        <v>343 to 435 calendar days</v>
      </c>
      <c r="L56" s="1" t="b">
        <f>IF(ISNUMBER(J56),ABS(ROUND(J56,I56)-H56)&lt;0.000000001,FALSE)</f>
        <v>1</v>
      </c>
    </row>
    <row r="57" spans="1:12" x14ac:dyDescent="0.2">
      <c r="A57" s="1">
        <v>51</v>
      </c>
      <c r="B57" s="1" t="s">
        <v>305</v>
      </c>
      <c r="C57" s="1" t="s">
        <v>1902</v>
      </c>
      <c r="D57" s="1" t="s">
        <v>1919</v>
      </c>
      <c r="E57" s="1" t="s">
        <v>1920</v>
      </c>
      <c r="F57" s="4" t="s">
        <v>1766</v>
      </c>
      <c r="G57" s="1" t="s">
        <v>1767</v>
      </c>
      <c r="H57" s="4" t="s">
        <v>1766</v>
      </c>
      <c r="J57" s="1" t="str">
        <f>IFERROR(INDEX(nINT_Sequence_Status,MATCH("EX-C28|2|I02",nINT_Key,0)),"(row not found)")</f>
        <v>AFTER</v>
      </c>
      <c r="K57" s="1" t="str">
        <f>IFERROR(INDEX(nINT_Result_Display,MATCH("EX-C28|2|I02",nINT_Key,0)),"(row not found)")</f>
        <v>343 to 435 calendar days</v>
      </c>
      <c r="L57" s="1" t="b">
        <f>EXACT(J57&amp;"",H57&amp;"")</f>
        <v>1</v>
      </c>
    </row>
    <row r="58" spans="1:12" x14ac:dyDescent="0.2">
      <c r="A58" s="1">
        <v>52</v>
      </c>
      <c r="B58" s="1" t="s">
        <v>305</v>
      </c>
      <c r="C58" s="1" t="s">
        <v>1902</v>
      </c>
      <c r="D58" s="1" t="s">
        <v>1921</v>
      </c>
      <c r="E58" s="1" t="s">
        <v>1922</v>
      </c>
      <c r="F58" s="4" t="s">
        <v>1923</v>
      </c>
      <c r="G58" s="1" t="s">
        <v>1762</v>
      </c>
      <c r="H58" s="1">
        <v>540</v>
      </c>
      <c r="I58" s="1">
        <v>0</v>
      </c>
      <c r="J58" s="1">
        <f>IFERROR(INDEX(nINT_Interval_Value,MATCH("EX-C28|2|I03",nINT_Key,0)),"(row not found)")</f>
        <v>540</v>
      </c>
      <c r="K58" s="1" t="str">
        <f>IFERROR(INDEX(nINT_Result_Display,MATCH("EX-C28|2|I03",nINT_Key,0)),"(row not found)")</f>
        <v>540 calendar days</v>
      </c>
      <c r="L58" s="1" t="b">
        <f>IF(ISNUMBER(J58),ABS(ROUND(J58,I58)-H58)&lt;0.000000001,FALSE)</f>
        <v>1</v>
      </c>
    </row>
    <row r="59" spans="1:12" x14ac:dyDescent="0.2">
      <c r="A59" s="1">
        <v>53</v>
      </c>
      <c r="B59" s="1" t="s">
        <v>305</v>
      </c>
      <c r="C59" s="1" t="s">
        <v>1924</v>
      </c>
      <c r="D59" s="1" t="s">
        <v>1925</v>
      </c>
      <c r="E59" s="1" t="s">
        <v>1926</v>
      </c>
      <c r="F59" s="4" t="s">
        <v>1927</v>
      </c>
      <c r="G59" s="1" t="s">
        <v>1762</v>
      </c>
      <c r="H59" s="1">
        <v>448</v>
      </c>
      <c r="I59" s="1">
        <v>0</v>
      </c>
      <c r="J59" s="1">
        <f>IFERROR(INDEX(nINT_Interval_Minimum,MATCH("EX-C28|2|I04",nINT_Key,0)),"(row not found)")</f>
        <v>448</v>
      </c>
      <c r="K59" s="1" t="str">
        <f>IFERROR(INDEX(nINT_Result_Display,MATCH("EX-C28|2|I04",nINT_Key,0)),"(row not found)")</f>
        <v>448 to 540 calendar days</v>
      </c>
      <c r="L59" s="1" t="b">
        <f>IF(ISNUMBER(J59),ABS(ROUND(J59,I59)-H59)&lt;0.000000001,FALSE)</f>
        <v>1</v>
      </c>
    </row>
    <row r="60" spans="1:12" x14ac:dyDescent="0.2">
      <c r="A60" s="1">
        <v>54</v>
      </c>
      <c r="B60" s="1" t="s">
        <v>305</v>
      </c>
      <c r="C60" s="1" t="s">
        <v>1924</v>
      </c>
      <c r="D60" s="1" t="s">
        <v>1928</v>
      </c>
      <c r="E60" s="1" t="s">
        <v>1929</v>
      </c>
      <c r="F60" s="4" t="s">
        <v>1930</v>
      </c>
      <c r="G60" s="1" t="s">
        <v>1762</v>
      </c>
      <c r="H60" s="1">
        <v>540</v>
      </c>
      <c r="I60" s="1">
        <v>0</v>
      </c>
      <c r="J60" s="1">
        <f>IFERROR(INDEX(nINT_Interval_Maximum,MATCH("EX-C28|2|I04",nINT_Key,0)),"(row not found)")</f>
        <v>540</v>
      </c>
      <c r="K60" s="1" t="str">
        <f>IFERROR(INDEX(nINT_Result_Display,MATCH("EX-C28|2|I04",nINT_Key,0)),"(row not found)")</f>
        <v>448 to 540 calendar days</v>
      </c>
      <c r="L60" s="1" t="b">
        <f>IF(ISNUMBER(J60),ABS(ROUND(J60,I60)-H60)&lt;0.000000001,FALSE)</f>
        <v>1</v>
      </c>
    </row>
    <row r="61" spans="1:12" x14ac:dyDescent="0.2">
      <c r="A61" s="1">
        <v>55</v>
      </c>
      <c r="B61" s="1" t="s">
        <v>305</v>
      </c>
      <c r="C61" s="1" t="s">
        <v>1902</v>
      </c>
      <c r="D61" s="1" t="s">
        <v>1931</v>
      </c>
      <c r="E61" s="1" t="s">
        <v>1932</v>
      </c>
      <c r="F61" s="4" t="s">
        <v>1933</v>
      </c>
      <c r="G61" s="1" t="s">
        <v>1762</v>
      </c>
      <c r="H61" s="1">
        <v>251</v>
      </c>
      <c r="I61" s="1">
        <v>0</v>
      </c>
      <c r="J61" s="1">
        <f>IFERROR(INDEX(nINT_Interval_Value,MATCH("EX-C28|2|I05",nINT_Key,0)),"(row not found)")</f>
        <v>251</v>
      </c>
      <c r="K61" s="1" t="str">
        <f>IFERROR(INDEX(nINT_Result_Display,MATCH("EX-C28|2|I05",nINT_Key,0)),"(row not found)")</f>
        <v>251 calendar days</v>
      </c>
      <c r="L61" s="1" t="b">
        <f>IF(ISNUMBER(J61),ABS(ROUND(J61,I61)-H61)&lt;0.000000001,FALSE)</f>
        <v>1</v>
      </c>
    </row>
    <row r="62" spans="1:12" x14ac:dyDescent="0.2">
      <c r="A62" s="1">
        <v>56</v>
      </c>
      <c r="B62" s="1" t="s">
        <v>305</v>
      </c>
      <c r="C62" s="1" t="s">
        <v>1902</v>
      </c>
      <c r="D62" s="1" t="s">
        <v>1934</v>
      </c>
      <c r="E62" s="1" t="s">
        <v>1935</v>
      </c>
      <c r="F62" s="4" t="s">
        <v>1936</v>
      </c>
      <c r="G62" s="1" t="s">
        <v>1762</v>
      </c>
      <c r="H62" s="1">
        <v>159</v>
      </c>
      <c r="I62" s="1">
        <v>0</v>
      </c>
      <c r="J62" s="1">
        <f>IFERROR(INDEX(nINT_Interval_Minimum,MATCH("EX-C28|2|I06",nINT_Key,0)),"(row not found)")</f>
        <v>159</v>
      </c>
      <c r="K62" s="1" t="str">
        <f>IFERROR(INDEX(nINT_Result_Display,MATCH("EX-C28|2|I06",nINT_Key,0)),"(row not found)")</f>
        <v>159 to 251 calendar days</v>
      </c>
      <c r="L62" s="1" t="b">
        <f>IF(ISNUMBER(J62),ABS(ROUND(J62,I62)-H62)&lt;0.000000001,FALSE)</f>
        <v>1</v>
      </c>
    </row>
    <row r="63" spans="1:12" x14ac:dyDescent="0.2">
      <c r="A63" s="1">
        <v>57</v>
      </c>
      <c r="B63" s="1" t="s">
        <v>305</v>
      </c>
      <c r="C63" s="1" t="s">
        <v>1902</v>
      </c>
      <c r="D63" s="1" t="s">
        <v>1937</v>
      </c>
      <c r="E63" s="1" t="s">
        <v>1938</v>
      </c>
      <c r="F63" s="4" t="s">
        <v>1939</v>
      </c>
      <c r="G63" s="1" t="s">
        <v>1762</v>
      </c>
      <c r="H63" s="1">
        <v>251</v>
      </c>
      <c r="I63" s="1">
        <v>0</v>
      </c>
      <c r="J63" s="1">
        <f>IFERROR(INDEX(nINT_Interval_Maximum,MATCH("EX-C28|2|I06",nINT_Key,0)),"(row not found)")</f>
        <v>251</v>
      </c>
      <c r="K63" s="1" t="str">
        <f>IFERROR(INDEX(nINT_Result_Display,MATCH("EX-C28|2|I06",nINT_Key,0)),"(row not found)")</f>
        <v>159 to 251 calendar days</v>
      </c>
      <c r="L63" s="1" t="b">
        <f>IF(ISNUMBER(J63),ABS(ROUND(J63,I63)-H63)&lt;0.000000001,FALSE)</f>
        <v>1</v>
      </c>
    </row>
    <row r="64" spans="1:12" x14ac:dyDescent="0.2">
      <c r="A64" s="1">
        <v>58</v>
      </c>
      <c r="B64" s="1" t="s">
        <v>305</v>
      </c>
      <c r="C64" s="1" t="s">
        <v>1902</v>
      </c>
      <c r="D64" s="1" t="s">
        <v>1940</v>
      </c>
      <c r="E64" s="1" t="s">
        <v>1941</v>
      </c>
      <c r="F64" s="4" t="s">
        <v>1942</v>
      </c>
      <c r="G64" s="1" t="s">
        <v>1762</v>
      </c>
      <c r="H64" s="1">
        <v>71</v>
      </c>
      <c r="I64" s="1">
        <v>0</v>
      </c>
      <c r="J64" s="1">
        <f>IFERROR(INDEX(nINT_Interval_Value,MATCH("EX-C28|2|I07",nINT_Key,0)),"(row not found)")</f>
        <v>71</v>
      </c>
      <c r="K64" s="1" t="str">
        <f>IFERROR(INDEX(nINT_Result_Display,MATCH("EX-C28|2|I07",nINT_Key,0)),"(row not found)")</f>
        <v>71 calendar days</v>
      </c>
      <c r="L64" s="1" t="b">
        <f>IF(ISNUMBER(J64),ABS(ROUND(J64,I64)-H64)&lt;0.000000001,FALSE)</f>
        <v>1</v>
      </c>
    </row>
    <row r="65" spans="1:12" x14ac:dyDescent="0.2">
      <c r="A65" s="1">
        <v>59</v>
      </c>
      <c r="B65" s="1" t="s">
        <v>305</v>
      </c>
      <c r="C65" s="1" t="s">
        <v>1902</v>
      </c>
      <c r="D65" s="1" t="s">
        <v>1943</v>
      </c>
      <c r="E65" s="1" t="s">
        <v>1944</v>
      </c>
      <c r="F65" s="4" t="s">
        <v>1945</v>
      </c>
      <c r="G65" s="1" t="s">
        <v>1762</v>
      </c>
      <c r="H65" s="1">
        <v>-21</v>
      </c>
      <c r="I65" s="1">
        <v>0</v>
      </c>
      <c r="J65" s="1">
        <f>IFERROR(INDEX(nINT_Interval_Minimum,MATCH("EX-C28|2|I08",nINT_Key,0)),"(row not found)")</f>
        <v>-21</v>
      </c>
      <c r="K65" s="1" t="str">
        <f>IFERROR(INDEX(nINT_Result_Display,MATCH("EX-C28|2|I08",nINT_Key,0)),"(row not found)")</f>
        <v>−21 to +71 calendar days</v>
      </c>
      <c r="L65" s="1" t="b">
        <f>IF(ISNUMBER(J65),ABS(ROUND(J65,I65)-H65)&lt;0.000000001,FALSE)</f>
        <v>1</v>
      </c>
    </row>
    <row r="66" spans="1:12" x14ac:dyDescent="0.2">
      <c r="A66" s="1">
        <v>60</v>
      </c>
      <c r="B66" s="1" t="s">
        <v>305</v>
      </c>
      <c r="C66" s="1" t="s">
        <v>1902</v>
      </c>
      <c r="D66" s="1" t="s">
        <v>1946</v>
      </c>
      <c r="E66" s="1" t="s">
        <v>1947</v>
      </c>
      <c r="F66" s="4" t="s">
        <v>1948</v>
      </c>
      <c r="G66" s="1" t="s">
        <v>1762</v>
      </c>
      <c r="H66" s="1">
        <v>71</v>
      </c>
      <c r="I66" s="1">
        <v>0</v>
      </c>
      <c r="J66" s="1">
        <f>IFERROR(INDEX(nINT_Interval_Maximum,MATCH("EX-C28|2|I08",nINT_Key,0)),"(row not found)")</f>
        <v>71</v>
      </c>
      <c r="K66" s="1" t="str">
        <f>IFERROR(INDEX(nINT_Result_Display,MATCH("EX-C28|2|I08",nINT_Key,0)),"(row not found)")</f>
        <v>−21 to +71 calendar days</v>
      </c>
      <c r="L66" s="1" t="b">
        <f>IF(ISNUMBER(J66),ABS(ROUND(J66,I66)-H66)&lt;0.000000001,FALSE)</f>
        <v>1</v>
      </c>
    </row>
    <row r="67" spans="1:12" x14ac:dyDescent="0.2">
      <c r="A67" s="1">
        <v>61</v>
      </c>
      <c r="B67" s="1" t="s">
        <v>305</v>
      </c>
      <c r="C67" s="1" t="s">
        <v>1902</v>
      </c>
      <c r="D67" s="1" t="s">
        <v>1949</v>
      </c>
      <c r="E67" s="1" t="s">
        <v>1950</v>
      </c>
      <c r="F67" s="4" t="s">
        <v>1951</v>
      </c>
      <c r="G67" s="1" t="s">
        <v>1767</v>
      </c>
      <c r="H67" s="4" t="s">
        <v>1951</v>
      </c>
      <c r="J67" s="1" t="str">
        <f>IFERROR(INDEX(nINT_Sequence_Status,MATCH("EX-C28|2|I08",nINT_Key,0)),"(row not found)")</f>
        <v>SEQUENCE_UNCERTAIN</v>
      </c>
      <c r="K67" s="1" t="str">
        <f>IFERROR(INDEX(nINT_Result_Display,MATCH("EX-C28|2|I08",nINT_Key,0)),"(row not found)")</f>
        <v>−21 to +71 calendar days</v>
      </c>
      <c r="L67" s="1" t="b">
        <f>EXACT(J67&amp;"",H67&amp;"")</f>
        <v>1</v>
      </c>
    </row>
    <row r="68" spans="1:12" x14ac:dyDescent="0.2">
      <c r="A68" s="1">
        <v>62</v>
      </c>
      <c r="B68" s="1" t="s">
        <v>305</v>
      </c>
      <c r="C68" s="1" t="s">
        <v>1902</v>
      </c>
      <c r="D68" s="1" t="s">
        <v>1952</v>
      </c>
      <c r="E68" s="1" t="s">
        <v>1953</v>
      </c>
      <c r="F68" s="4" t="s">
        <v>243</v>
      </c>
      <c r="G68" s="1" t="s">
        <v>1812</v>
      </c>
      <c r="H68" s="4" t="s">
        <v>243</v>
      </c>
      <c r="J68" s="1" t="str">
        <f>IFERROR(INDEX(nINT_QC_Flags,MATCH("EX-C28|2|I08",nINT_Key,0)),"(row not found)")</f>
        <v>W_SEQUENCE_UNCERTAIN</v>
      </c>
      <c r="K68" s="1" t="str">
        <f>IFERROR(INDEX(nINT_Result_Display,MATCH("EX-C28|2|I08",nINT_Key,0)),"(row not found)")</f>
        <v>−21 to +71 calendar days</v>
      </c>
      <c r="L68" s="1" t="b">
        <f>ISNUMBER(SEARCH(H68,J68))</f>
        <v>1</v>
      </c>
    </row>
    <row r="69" spans="1:12" x14ac:dyDescent="0.2">
      <c r="A69" s="1">
        <v>63</v>
      </c>
      <c r="B69" s="1" t="s">
        <v>305</v>
      </c>
      <c r="C69" s="1" t="s">
        <v>1902</v>
      </c>
      <c r="D69" s="1" t="s">
        <v>1954</v>
      </c>
      <c r="E69" s="1" t="s">
        <v>1955</v>
      </c>
      <c r="F69" s="4" t="s">
        <v>1956</v>
      </c>
      <c r="G69" s="1" t="s">
        <v>1762</v>
      </c>
      <c r="H69" s="1">
        <v>449</v>
      </c>
      <c r="I69" s="1">
        <v>0</v>
      </c>
      <c r="J69" s="1">
        <f>IFERROR(INDEX(nINT_Interval_Value,MATCH("EX-C28|2|I09",nINT_Key,0)),"(row not found)")</f>
        <v>449</v>
      </c>
      <c r="K69" s="1" t="str">
        <f>IFERROR(INDEX(nINT_Result_Display,MATCH("EX-C28|2|I09",nINT_Key,0)),"(row not found)")</f>
        <v>449 calendar days</v>
      </c>
      <c r="L69" s="1" t="b">
        <f>IF(ISNUMBER(J69),ABS(ROUND(J69,I69)-H69)&lt;0.000000001,FALSE)</f>
        <v>1</v>
      </c>
    </row>
    <row r="70" spans="1:12" x14ac:dyDescent="0.2">
      <c r="A70" s="1">
        <v>64</v>
      </c>
      <c r="B70" s="1" t="s">
        <v>305</v>
      </c>
      <c r="C70" s="1" t="s">
        <v>1957</v>
      </c>
      <c r="D70" s="1" t="s">
        <v>1958</v>
      </c>
      <c r="E70" s="1" t="s">
        <v>1959</v>
      </c>
      <c r="F70" s="4" t="s">
        <v>1960</v>
      </c>
      <c r="G70" s="1" t="s">
        <v>1762</v>
      </c>
      <c r="H70" s="1">
        <v>92</v>
      </c>
      <c r="I70" s="1">
        <v>0</v>
      </c>
      <c r="J70" s="1">
        <f>IFERROR(INDEX(nINT_Interval_Value,MATCH("EX-C28|2|I10",nINT_Key,0)),"(row not found)")</f>
        <v>92</v>
      </c>
      <c r="K70" s="1" t="str">
        <f>IFERROR(INDEX(nINT_Result_Display,MATCH("EX-C28|2|I10",nINT_Key,0)),"(row not found)")</f>
        <v>92 calendar days</v>
      </c>
      <c r="L70" s="1" t="b">
        <f>IF(ISNUMBER(J70),ABS(ROUND(J70,I70)-H70)&lt;0.000000001,FALSE)</f>
        <v>1</v>
      </c>
    </row>
    <row r="71" spans="1:12" x14ac:dyDescent="0.2">
      <c r="A71" s="1">
        <v>65</v>
      </c>
      <c r="B71" s="1" t="s">
        <v>305</v>
      </c>
      <c r="C71" s="1" t="s">
        <v>1961</v>
      </c>
      <c r="D71" s="1" t="s">
        <v>1178</v>
      </c>
      <c r="E71" s="1" t="s">
        <v>1962</v>
      </c>
      <c r="F71" s="4" t="s">
        <v>1963</v>
      </c>
      <c r="G71" s="1" t="s">
        <v>1762</v>
      </c>
      <c r="H71" s="1">
        <v>184</v>
      </c>
      <c r="I71" s="1">
        <v>0</v>
      </c>
      <c r="J71" s="1">
        <f>IFERROR(INDEX(nINT_Interval_Value,MATCH("EX-C28|2|I11",nINT_Key,0)),"(row not found)")</f>
        <v>184</v>
      </c>
      <c r="K71" s="1" t="str">
        <f>IFERROR(INDEX(nINT_Result_Display,MATCH("EX-C28|2|I11",nINT_Key,0)),"(row not found)")</f>
        <v>184 calendar days</v>
      </c>
      <c r="L71" s="1" t="b">
        <f>IF(ISNUMBER(J71),ABS(ROUND(J71,I71)-H71)&lt;0.000000001,FALSE)</f>
        <v>1</v>
      </c>
    </row>
    <row r="72" spans="1:12" x14ac:dyDescent="0.2">
      <c r="A72" s="1">
        <v>66</v>
      </c>
      <c r="B72" s="1" t="s">
        <v>305</v>
      </c>
      <c r="C72" s="1" t="s">
        <v>1964</v>
      </c>
      <c r="D72" s="1" t="s">
        <v>1965</v>
      </c>
      <c r="E72" s="1" t="s">
        <v>1966</v>
      </c>
      <c r="F72" s="4" t="s">
        <v>1967</v>
      </c>
      <c r="G72" s="1" t="s">
        <v>1762</v>
      </c>
      <c r="H72" s="1">
        <v>1.12E-4</v>
      </c>
      <c r="I72" s="1">
        <v>6</v>
      </c>
      <c r="J72" s="1">
        <f>IFERROR(INDEX(nQ7_Percent_Remaining,MATCH("EX-C28|2|Q7-C28-435",nQ7_Key,0)),"(row not found)")</f>
        <v>1.1163901469344257E-4</v>
      </c>
      <c r="K72" s="1" t="str">
        <f>IFERROR(INDEX(nQ7_Result_Display,MATCH("EX-C28|2|Q7-C28-435",nQ7_Key,0)),"(row not found)")</f>
        <v>0.000112% of the post-infusion concentration remains after 435 days (W_BIOLOGIC_MODEL_CAUTION)</v>
      </c>
      <c r="L72" s="1" t="b">
        <f>IF(ISNUMBER(J72),ABS(ROUND(J72,I72)-H72)&lt;0.000000001,FALSE)</f>
        <v>1</v>
      </c>
    </row>
    <row r="73" spans="1:12" x14ac:dyDescent="0.2">
      <c r="A73" s="1">
        <v>67</v>
      </c>
      <c r="B73" s="1" t="s">
        <v>305</v>
      </c>
      <c r="C73" s="1" t="s">
        <v>1964</v>
      </c>
      <c r="D73" s="1" t="s">
        <v>1968</v>
      </c>
      <c r="E73" s="1" t="s">
        <v>1969</v>
      </c>
      <c r="F73" s="4" t="s">
        <v>1970</v>
      </c>
      <c r="G73" s="1" t="s">
        <v>1762</v>
      </c>
      <c r="H73" s="1">
        <v>2.0300000000000001E-3</v>
      </c>
      <c r="I73" s="1">
        <v>5</v>
      </c>
      <c r="J73" s="1">
        <f>IFERROR(INDEX(nQ7_Percent_Remaining,MATCH("EX-C28|2|Q7-C28-343",nQ7_Key,0)),"(row not found)")</f>
        <v>2.02613651731736E-3</v>
      </c>
      <c r="K73" s="1" t="str">
        <f>IFERROR(INDEX(nQ7_Result_Display,MATCH("EX-C28|2|Q7-C28-343",nQ7_Key,0)),"(row not found)")</f>
        <v>0.00203% of the post-infusion concentration remains after 343 days (W_BIOLOGIC_MODEL_CAUTION)</v>
      </c>
      <c r="L73" s="1" t="b">
        <f>IF(ISNUMBER(J73),ABS(ROUND(J73,I73)-H73)&lt;0.000000001,FALSE)</f>
        <v>1</v>
      </c>
    </row>
    <row r="74" spans="1:12" x14ac:dyDescent="0.2">
      <c r="A74" s="1">
        <v>68</v>
      </c>
      <c r="B74" s="1" t="s">
        <v>305</v>
      </c>
      <c r="C74" s="1" t="s">
        <v>1964</v>
      </c>
      <c r="D74" s="1" t="s">
        <v>1971</v>
      </c>
      <c r="E74" s="1" t="s">
        <v>1972</v>
      </c>
      <c r="F74" s="4" t="s">
        <v>255</v>
      </c>
      <c r="G74" s="1" t="s">
        <v>1767</v>
      </c>
      <c r="H74" s="4" t="s">
        <v>255</v>
      </c>
      <c r="J74" s="1" t="str">
        <f>IFERROR(INDEX(nQ7_QC_Flags,MATCH("EX-C28|2|Q7-C28-435",nQ7_Key,0)),"(row not found)")</f>
        <v>W_BIOLOGIC_MODEL_CAUTION</v>
      </c>
      <c r="K74" s="1" t="str">
        <f>IFERROR(INDEX(nQ7_Result_Display,MATCH("EX-C28|2|Q7-C28-435",nQ7_Key,0)),"(row not found)")</f>
        <v>0.000112% of the post-infusion concentration remains after 435 days (W_BIOLOGIC_MODEL_CAUTION)</v>
      </c>
      <c r="L74" s="1" t="b">
        <f>EXACT(J74&amp;"",H74&amp;"")</f>
        <v>1</v>
      </c>
    </row>
    <row r="75" spans="1:12" x14ac:dyDescent="0.2">
      <c r="A75" s="1">
        <v>69</v>
      </c>
      <c r="B75" s="1" t="s">
        <v>305</v>
      </c>
      <c r="C75" s="1" t="s">
        <v>1973</v>
      </c>
      <c r="D75" s="1" t="s">
        <v>1974</v>
      </c>
      <c r="E75" s="1" t="s">
        <v>1975</v>
      </c>
      <c r="F75" s="4" t="s">
        <v>1976</v>
      </c>
      <c r="G75" s="1" t="s">
        <v>1762</v>
      </c>
      <c r="H75" s="1">
        <v>0.30299999999999999</v>
      </c>
      <c r="I75" s="1">
        <v>3</v>
      </c>
      <c r="J75" s="1">
        <f>IFERROR(INDEX(nQ8_Percent_at_Upper,MATCH("EX-C28|2|Q8-C28-435",nQ8_Key,0)),"(row not found)")</f>
        <v>0.30322730461636493</v>
      </c>
      <c r="K75" s="1" t="str">
        <f>IFERROR(INDEX(nQ8_Result_Display,MATCH("EX-C28|2|Q8-C28-435",nQ8_Key,0)),"(row not found)")</f>
        <v>From 3.41 × 10⁻²⁰% (t_half 6.1 days) to 0.303% (t_half 52 days) remaining; scenario range, not a confidence interval</v>
      </c>
      <c r="L75" s="1" t="b">
        <f>IF(ISNUMBER(J75),ABS(ROUND(J75,I75)-H75)&lt;0.000000001,FALSE)</f>
        <v>1</v>
      </c>
    </row>
    <row r="76" spans="1:12" x14ac:dyDescent="0.2">
      <c r="A76" s="1">
        <v>70</v>
      </c>
      <c r="B76" s="1" t="s">
        <v>305</v>
      </c>
      <c r="C76" s="1" t="s">
        <v>1973</v>
      </c>
      <c r="D76" s="1" t="s">
        <v>1977</v>
      </c>
      <c r="E76" s="1" t="s">
        <v>1978</v>
      </c>
      <c r="F76" s="4" t="s">
        <v>1979</v>
      </c>
      <c r="G76" s="1" t="s">
        <v>1980</v>
      </c>
      <c r="H76" s="1">
        <v>1E-4</v>
      </c>
      <c r="J76" s="1">
        <f>IFERROR(INDEX(nQ8_Percent_at_Lower,MATCH("EX-C28|2|Q8-C28-435",nQ8_Key,0)),"(row not found)")</f>
        <v>3.4127687908932026E-20</v>
      </c>
      <c r="K76" s="1" t="str">
        <f>IFERROR(INDEX(nQ8_Result_Display,MATCH("EX-C28|2|Q8-C28-435",nQ8_Key,0)),"(row not found)")</f>
        <v>From 3.41 × 10⁻²⁰% (t_half 6.1 days) to 0.303% (t_half 52 days) remaining; scenario range, not a confidence interval</v>
      </c>
      <c r="L76" s="1" t="b">
        <f>IF(ISNUMBER(J76),J76&lt;H76,FALSE)</f>
        <v>1</v>
      </c>
    </row>
    <row r="77" spans="1:12" x14ac:dyDescent="0.2">
      <c r="A77" s="1">
        <v>71</v>
      </c>
      <c r="B77" s="1" t="s">
        <v>305</v>
      </c>
      <c r="C77" s="1" t="s">
        <v>1981</v>
      </c>
      <c r="D77" s="1" t="s">
        <v>1982</v>
      </c>
      <c r="E77" s="1" t="s">
        <v>1983</v>
      </c>
      <c r="F77" s="4" t="s">
        <v>1984</v>
      </c>
      <c r="G77" s="1" t="s">
        <v>1762</v>
      </c>
      <c r="H77" s="1">
        <v>1.03</v>
      </c>
      <c r="I77" s="1">
        <v>2</v>
      </c>
      <c r="J77" s="1">
        <f>IFERROR(INDEX(nQ8_Percent_at_Upper,MATCH("EX-C28|2|Q8-C28-343",nQ8_Key,0)),"(row not found)")</f>
        <v>1.0336174586237674</v>
      </c>
      <c r="K77" s="1" t="str">
        <f>IFERROR(INDEX(nQ8_Result_Display,MATCH("EX-C28|2|Q8-C28-343",nQ8_Key,0)),"(row not found)")</f>
        <v>From 1.18 × 10⁻¹⁵% (t_half 6.1 days) to 1.03% (t_half 52 days) remaining; scenario range, not a confidence interval</v>
      </c>
      <c r="L77" s="1" t="b">
        <f>IF(ISNUMBER(J77),ABS(ROUND(J77,I77)-H77)&lt;0.000000001,FALSE)</f>
        <v>1</v>
      </c>
    </row>
    <row r="78" spans="1:12" x14ac:dyDescent="0.2">
      <c r="A78" s="1">
        <v>72</v>
      </c>
      <c r="B78" s="1" t="s">
        <v>297</v>
      </c>
      <c r="C78" s="1" t="s">
        <v>1758</v>
      </c>
      <c r="D78" s="1" t="s">
        <v>1985</v>
      </c>
      <c r="E78" s="1" t="s">
        <v>1986</v>
      </c>
      <c r="F78" s="4" t="s">
        <v>1761</v>
      </c>
      <c r="G78" s="1" t="s">
        <v>1767</v>
      </c>
      <c r="H78" s="4" t="s">
        <v>1761</v>
      </c>
      <c r="J78" s="1" t="str">
        <f>IFERROR(INDEX(nINT_Displayed_Value,MATCH("EX-C01|2|I01",nINT_Key,0)),"(row not found)")</f>
        <v>15 minutes</v>
      </c>
      <c r="K78" s="1" t="str">
        <f>IFERROR(INDEX(nINT_Result_Display,MATCH("EX-C01|2|I01",nINT_Key,0)),"(row not found)")</f>
        <v>15 minutes</v>
      </c>
      <c r="L78" s="1" t="b">
        <f>EXACT(J78&amp;"",H78&amp;"")</f>
        <v>1</v>
      </c>
    </row>
    <row r="79" spans="1:12" x14ac:dyDescent="0.2">
      <c r="A79" s="1">
        <v>73</v>
      </c>
      <c r="B79" s="1" t="s">
        <v>297</v>
      </c>
      <c r="C79" s="1" t="s">
        <v>1785</v>
      </c>
      <c r="D79" s="1" t="s">
        <v>1987</v>
      </c>
      <c r="E79" s="1" t="s">
        <v>1988</v>
      </c>
      <c r="F79" s="4" t="s">
        <v>1799</v>
      </c>
      <c r="G79" s="1" t="s">
        <v>1767</v>
      </c>
      <c r="H79" s="4" t="s">
        <v>1989</v>
      </c>
      <c r="J79" s="1" t="str">
        <f>IFERROR(INDEX(nINT_Displayed_Value,MATCH("EX-C01|2|I08",nINT_Key,0)),"(row not found)")</f>
        <v>−1 minute</v>
      </c>
      <c r="K79" s="1" t="str">
        <f>IFERROR(INDEX(nINT_Result_Display,MATCH("EX-C01|2|I08",nINT_Key,0)),"(row not found)")</f>
        <v>−1 minute</v>
      </c>
      <c r="L79" s="1" t="b">
        <f>EXACT(J79&amp;"",H79&amp;"")</f>
        <v>1</v>
      </c>
    </row>
    <row r="80" spans="1:12" x14ac:dyDescent="0.2">
      <c r="A80" s="1">
        <v>74</v>
      </c>
      <c r="B80" s="1" t="s">
        <v>297</v>
      </c>
      <c r="C80" s="1" t="s">
        <v>1990</v>
      </c>
      <c r="D80" s="1" t="s">
        <v>1991</v>
      </c>
      <c r="E80" s="1" t="s">
        <v>1992</v>
      </c>
      <c r="F80" s="4" t="s">
        <v>868</v>
      </c>
      <c r="G80" s="1" t="s">
        <v>1767</v>
      </c>
      <c r="H80" s="4" t="s">
        <v>801</v>
      </c>
      <c r="J80" s="1" t="str">
        <f>IFERROR(INDEX(nINT_Interventions_Counted,MATCH("EX-C01|2|I10",nINT_Key,0)),"(row not found)")</f>
        <v>M-EMERG</v>
      </c>
      <c r="K80" s="1" t="str">
        <f>IFERROR(INDEX(nINT_Result_Display,MATCH("EX-C01|2|I10",nINT_Key,0)),"(row not found)")</f>
        <v>19 minutes</v>
      </c>
      <c r="L80" s="1" t="b">
        <f>EXACT(J80&amp;"",H80&amp;"")</f>
        <v>1</v>
      </c>
    </row>
    <row r="81" spans="1:12" x14ac:dyDescent="0.2">
      <c r="A81" s="1">
        <v>75</v>
      </c>
      <c r="B81" s="1" t="s">
        <v>301</v>
      </c>
      <c r="C81" s="1" t="s">
        <v>1850</v>
      </c>
      <c r="D81" s="1" t="s">
        <v>1993</v>
      </c>
      <c r="E81" s="1" t="s">
        <v>1994</v>
      </c>
      <c r="F81" s="4" t="s">
        <v>1995</v>
      </c>
      <c r="G81" s="1" t="s">
        <v>1767</v>
      </c>
      <c r="H81" s="4" t="s">
        <v>1996</v>
      </c>
      <c r="J81" s="1" t="str">
        <f>IFERROR(INDEX(nINT_Displayed_Value,MATCH("EX-C04|2|I05",nINT_Key,0)),"(row not found)")</f>
        <v>1,660 minutes (local clock)</v>
      </c>
      <c r="K81" s="1" t="str">
        <f>IFERROR(INDEX(nINT_Result_Display,MATCH("EX-C04|2|I05",nINT_Key,0)),"(row not found)")</f>
        <v>1,660 minutes (local clock) (27.7 hours)</v>
      </c>
      <c r="L81" s="1" t="b">
        <f>EXACT(J81&amp;"",H81&amp;"")</f>
        <v>1</v>
      </c>
    </row>
    <row r="82" spans="1:12" x14ac:dyDescent="0.2">
      <c r="A82" s="1">
        <v>76</v>
      </c>
      <c r="B82" s="1" t="s">
        <v>301</v>
      </c>
      <c r="C82" s="1" t="s">
        <v>1997</v>
      </c>
      <c r="D82" s="1" t="s">
        <v>1998</v>
      </c>
      <c r="E82" s="1" t="s">
        <v>1999</v>
      </c>
      <c r="F82" s="4" t="s">
        <v>2000</v>
      </c>
      <c r="G82" s="1" t="s">
        <v>1767</v>
      </c>
      <c r="H82" s="4" t="s">
        <v>835</v>
      </c>
      <c r="J82" s="1" t="str">
        <f>IFERROR(INDEX(nINT_Interventions_Counted,MATCH("EX-C04|2|I06",nINT_Key,0)),"(row not found)")</f>
        <v>M-FLUIDS</v>
      </c>
      <c r="K82" s="1" t="str">
        <f>IFERROR(INDEX(nINT_Result_Display,MATCH("EX-C04|2|I06",nINT_Key,0)),"(row not found)")</f>
        <v>3 calendar days</v>
      </c>
      <c r="L82" s="1" t="b">
        <f>EXACT(J82&amp;"",H82&amp;"")</f>
        <v>1</v>
      </c>
    </row>
    <row r="83" spans="1:12" x14ac:dyDescent="0.2">
      <c r="A83" s="1">
        <v>77</v>
      </c>
      <c r="B83" s="1" t="s">
        <v>301</v>
      </c>
      <c r="C83" s="1" t="s">
        <v>1860</v>
      </c>
      <c r="D83" s="1" t="s">
        <v>2001</v>
      </c>
      <c r="E83" s="1" t="s">
        <v>2002</v>
      </c>
      <c r="F83" s="4" t="s">
        <v>2003</v>
      </c>
      <c r="G83" s="1" t="s">
        <v>1767</v>
      </c>
      <c r="H83" s="4" t="s">
        <v>2004</v>
      </c>
      <c r="J83" s="1" t="str">
        <f>IFERROR(INDEX(nINT_Calculation_Mode_Used,MATCH("EX-C04|2|I06",nINT_Key,0)),"(row not found)")</f>
        <v>C7 (C2)</v>
      </c>
      <c r="K83" s="1" t="str">
        <f>IFERROR(INDEX(nINT_Result_Display,MATCH("EX-C04|2|I06",nINT_Key,0)),"(row not found)")</f>
        <v>3 calendar days</v>
      </c>
      <c r="L83" s="1" t="b">
        <f>EXACT(J83&amp;"",H83&amp;"")</f>
        <v>1</v>
      </c>
    </row>
    <row r="84" spans="1:12" x14ac:dyDescent="0.2">
      <c r="A84" s="1">
        <v>78</v>
      </c>
      <c r="B84" s="1" t="s">
        <v>301</v>
      </c>
      <c r="C84" s="1" t="s">
        <v>1874</v>
      </c>
      <c r="D84" s="1" t="s">
        <v>2005</v>
      </c>
      <c r="E84" s="1" t="s">
        <v>2006</v>
      </c>
      <c r="F84" s="4" t="s">
        <v>1877</v>
      </c>
      <c r="G84" s="1" t="s">
        <v>1812</v>
      </c>
      <c r="H84" s="4" t="s">
        <v>1877</v>
      </c>
      <c r="J84" s="1" t="str">
        <f>IFERROR(INDEX(nQ8_Displayed_Value,MATCH("EX-C04|2|Q8-C04-normal",nQ8_Key,0)),"(row not found)")</f>
        <v>Fraction remaining at the lower half-life: 25.0%; Fraction remaining at the upper half-life: 35.4%</v>
      </c>
      <c r="K84" s="1" t="str">
        <f>IFERROR(INDEX(nQ8_Result_Display,MATCH("EX-C04|2|Q8-C04-normal",nQ8_Key,0)),"(row not found)")</f>
        <v>From 25.0% (t_half 1.5 days) to 35.4% (t_half 2 days) remaining; scenario range, not a confidence interval</v>
      </c>
      <c r="L84" s="1" t="b">
        <f>ISNUMBER(SEARCH(H84,J84))</f>
        <v>1</v>
      </c>
    </row>
    <row r="85" spans="1:12" x14ac:dyDescent="0.2">
      <c r="A85" s="1">
        <v>79</v>
      </c>
      <c r="B85" s="1" t="s">
        <v>305</v>
      </c>
      <c r="C85" s="1" t="s">
        <v>2007</v>
      </c>
      <c r="D85" s="1" t="s">
        <v>2008</v>
      </c>
      <c r="E85" s="1" t="s">
        <v>2009</v>
      </c>
      <c r="F85" s="4" t="s">
        <v>2010</v>
      </c>
      <c r="G85" s="1" t="s">
        <v>1767</v>
      </c>
      <c r="H85" s="4" t="s">
        <v>2011</v>
      </c>
      <c r="J85" s="1" t="str">
        <f>IFERROR(INDEX(nINT_End_ISO,MATCH("EX-C28|2|I02",nINT_Key,0)),"(row not found)")</f>
        <v>2026-02-09/2026-05-12</v>
      </c>
      <c r="K85" s="1" t="str">
        <f>IFERROR(INDEX(nINT_Result_Display,MATCH("EX-C28|2|I02",nINT_Key,0)),"(row not found)")</f>
        <v>343 to 435 calendar days</v>
      </c>
      <c r="L85" s="1" t="b">
        <f>EXACT(J85&amp;"",H85&amp;"")</f>
        <v>1</v>
      </c>
    </row>
    <row r="86" spans="1:12" x14ac:dyDescent="0.2">
      <c r="A86" s="1">
        <v>80</v>
      </c>
      <c r="B86" s="1" t="s">
        <v>305</v>
      </c>
      <c r="C86" s="1" t="s">
        <v>2012</v>
      </c>
      <c r="D86" s="1" t="s">
        <v>2013</v>
      </c>
      <c r="E86" s="1" t="s">
        <v>2014</v>
      </c>
      <c r="F86" s="4" t="s">
        <v>2015</v>
      </c>
      <c r="G86" s="1" t="s">
        <v>1812</v>
      </c>
      <c r="H86" s="4" t="s">
        <v>2016</v>
      </c>
      <c r="J86" s="1" t="str">
        <f>IFERROR(INDEX(nINT_Assumptions,MATCH("EX-C28|2|I02",nINT_Key,0)),"(row not found)")</f>
        <v>Anchor selected under C5 (CALC-SPEC 1.1): latest administration with an exact date or time at or before onset (ADM-RTX-6), ordered in UTC when offsets are known; later administrations are never selected. | Onset is laboratory-defined (CALC-SPEC 1.1, C4): lower bound = date of the last normal test (M-HBV3), upper bound = date of the first abnormal test (M-HBV4). The reviewer decides which results are normal. | Bounds are treated as independent; no single date is imputed from them. | No constraint applied.</v>
      </c>
      <c r="K86" s="1" t="str">
        <f>IFERROR(INDEX(nINT_Result_Display,MATCH("EX-C28|2|I02",nINT_Key,0)),"(row not found)")</f>
        <v>343 to 435 calendar days</v>
      </c>
      <c r="L86" s="1" t="b">
        <f>ISNUMBER(SEARCH(H86,J86))</f>
        <v>1</v>
      </c>
    </row>
    <row r="87" spans="1:12" x14ac:dyDescent="0.2">
      <c r="A87" s="1">
        <v>81</v>
      </c>
      <c r="B87" s="1" t="s">
        <v>305</v>
      </c>
      <c r="C87" s="1" t="s">
        <v>1902</v>
      </c>
      <c r="D87" s="1" t="s">
        <v>2017</v>
      </c>
      <c r="E87" s="1" t="s">
        <v>2018</v>
      </c>
      <c r="F87" s="4" t="s">
        <v>2019</v>
      </c>
      <c r="G87" s="1" t="s">
        <v>1767</v>
      </c>
      <c r="H87" s="4" t="s">
        <v>2019</v>
      </c>
      <c r="J87" s="1" t="str">
        <f>IFERROR(INDEX(nINT_Displayed_Value,MATCH("EX-C28|2|I02",nINT_Key,0)),"(row not found)")</f>
        <v>343 to 435 calendar days</v>
      </c>
      <c r="K87" s="1" t="str">
        <f>IFERROR(INDEX(nINT_Result_Display,MATCH("EX-C28|2|I02",nINT_Key,0)),"(row not found)")</f>
        <v>343 to 435 calendar days</v>
      </c>
      <c r="L87" s="1" t="b">
        <f>EXACT(J87&amp;"",H87&amp;"")</f>
        <v>1</v>
      </c>
    </row>
    <row r="88" spans="1:12" x14ac:dyDescent="0.2">
      <c r="A88" s="1">
        <v>82</v>
      </c>
      <c r="B88" s="1" t="s">
        <v>305</v>
      </c>
      <c r="C88" s="1" t="s">
        <v>1902</v>
      </c>
      <c r="D88" s="1" t="s">
        <v>2020</v>
      </c>
      <c r="E88" s="1" t="s">
        <v>2021</v>
      </c>
      <c r="F88" s="4" t="s">
        <v>2022</v>
      </c>
      <c r="G88" s="1" t="s">
        <v>1767</v>
      </c>
      <c r="H88" s="4" t="s">
        <v>2023</v>
      </c>
      <c r="J88" s="1" t="str">
        <f>IFERROR(INDEX(nINT_Displayed_Value,MATCH("EX-C28|2|I08",nINT_Key,0)),"(row not found)")</f>
        <v>−21 to +71 calendar days</v>
      </c>
      <c r="K88" s="1" t="str">
        <f>IFERROR(INDEX(nINT_Result_Display,MATCH("EX-C28|2|I08",nINT_Key,0)),"(row not found)")</f>
        <v>−21 to +71 calendar days</v>
      </c>
      <c r="L88" s="1" t="b">
        <f>EXACT(J88&amp;"",H88&amp;"")</f>
        <v>1</v>
      </c>
    </row>
    <row r="89" spans="1:12" x14ac:dyDescent="0.2">
      <c r="A89" s="1">
        <v>83</v>
      </c>
      <c r="B89" s="1" t="s">
        <v>305</v>
      </c>
      <c r="C89" s="1" t="s">
        <v>2024</v>
      </c>
      <c r="D89" s="1" t="s">
        <v>2025</v>
      </c>
      <c r="E89" s="1" t="s">
        <v>2026</v>
      </c>
      <c r="F89" s="4" t="s">
        <v>2027</v>
      </c>
      <c r="G89" s="1" t="s">
        <v>1767</v>
      </c>
      <c r="H89" s="4" t="s">
        <v>2027</v>
      </c>
      <c r="J89" s="1" t="str">
        <f>IFERROR(INDEX(nQ8_QC_Flags,MATCH("EX-C28|2|Q8-C28-435",nQ8_Key,0)),"(row not found)")</f>
        <v>W_BIOLOGIC_MODEL_CAUTION; I_SCENARIO_NOT_CI</v>
      </c>
      <c r="K89" s="1" t="str">
        <f>IFERROR(INDEX(nQ8_Result_Display,MATCH("EX-C28|2|Q8-C28-435",nQ8_Key,0)),"(row not found)")</f>
        <v>From 3.41 × 10⁻²⁰% (t_half 6.1 days) to 0.303% (t_half 52 days) remaining; scenario range, not a confidence interval</v>
      </c>
      <c r="L89" s="1" t="b">
        <f>EXACT(J89&amp;"",H89&amp;"")</f>
        <v>1</v>
      </c>
    </row>
    <row r="90" spans="1:12" x14ac:dyDescent="0.2">
      <c r="A90" s="1">
        <v>84</v>
      </c>
      <c r="B90" s="1" t="s">
        <v>305</v>
      </c>
      <c r="C90" s="1" t="s">
        <v>2028</v>
      </c>
      <c r="D90" s="1" t="s">
        <v>2029</v>
      </c>
      <c r="E90" s="1" t="s">
        <v>2030</v>
      </c>
      <c r="F90" s="4" t="s">
        <v>2031</v>
      </c>
      <c r="G90" s="1" t="s">
        <v>1812</v>
      </c>
      <c r="H90" s="4" t="s">
        <v>2032</v>
      </c>
      <c r="J90" s="1" t="str">
        <f>IFERROR(INDEX(nQ8_Displayed_Value,MATCH("EX-C28|2|Q8-C28-435",nQ8_Key,0)),"(row not found)")</f>
        <v>Fraction remaining at the lower half-life: 3.41 × 10⁻²⁰%; Fraction remaining at the upper half-life: 0.303%</v>
      </c>
      <c r="K90" s="1" t="str">
        <f>IFERROR(INDEX(nQ8_Result_Display,MATCH("EX-C28|2|Q8-C28-435",nQ8_Key,0)),"(row not found)")</f>
        <v>From 3.41 × 10⁻²⁰% (t_half 6.1 days) to 0.303% (t_half 52 days) remaining; scenario range, not a confidence interval</v>
      </c>
      <c r="L90" s="1" t="b">
        <f>ISNUMBER(SEARCH(H90,J90))</f>
        <v>1</v>
      </c>
    </row>
    <row r="91" spans="1:12" x14ac:dyDescent="0.2">
      <c r="A91" s="1">
        <v>85</v>
      </c>
      <c r="B91" s="1" t="s">
        <v>305</v>
      </c>
      <c r="C91" s="1" t="s">
        <v>2033</v>
      </c>
      <c r="D91" s="1" t="s">
        <v>2034</v>
      </c>
      <c r="E91" s="1" t="s">
        <v>2035</v>
      </c>
      <c r="F91" s="4" t="s">
        <v>1967</v>
      </c>
      <c r="G91" s="1" t="s">
        <v>1762</v>
      </c>
      <c r="H91" s="1">
        <v>1.12E-4</v>
      </c>
      <c r="I91" s="1">
        <v>6</v>
      </c>
      <c r="J91" s="1">
        <f>IFERROR(INDEX(nQ8_Percent_at_Lower,MATCH("EX-C28|2|Q8-C28-435m",nQ8_Key,0)),"(row not found)")</f>
        <v>1.1163901469344257E-4</v>
      </c>
      <c r="K91" s="1" t="str">
        <f>IFERROR(INDEX(nQ8_Result_Display,MATCH("EX-C28|2|Q8-C28-435m",nQ8_Key,0)),"(row not found)")</f>
        <v>From 0.000112% (t_half 22 days) to 0.303% (t_half 52 days) remaining; scenario range, not a confidence interval</v>
      </c>
      <c r="L91" s="1" t="b">
        <f>IF(ISNUMBER(J91),ABS(ROUND(J91,I91)-H91)&lt;0.000000001,FALSE)</f>
        <v>1</v>
      </c>
    </row>
    <row r="92" spans="1:12" x14ac:dyDescent="0.2">
      <c r="A92" s="1">
        <v>86</v>
      </c>
      <c r="B92" s="1" t="s">
        <v>305</v>
      </c>
      <c r="C92" s="1" t="s">
        <v>2033</v>
      </c>
      <c r="D92" s="1" t="s">
        <v>2036</v>
      </c>
      <c r="E92" s="1" t="s">
        <v>2037</v>
      </c>
      <c r="F92" s="4" t="s">
        <v>1967</v>
      </c>
      <c r="G92" s="1" t="s">
        <v>1812</v>
      </c>
      <c r="H92" s="4" t="s">
        <v>1967</v>
      </c>
      <c r="J92" s="1" t="str">
        <f>IFERROR(INDEX(nQ8_Displayed_Value,MATCH("EX-C28|2|Q8-C28-435m",nQ8_Key,0)),"(row not found)")</f>
        <v>Fraction remaining at the lower half-life: 0.000112%; Fraction remaining at the upper half-life: 0.303%</v>
      </c>
      <c r="K92" s="1" t="str">
        <f>IFERROR(INDEX(nQ8_Result_Display,MATCH("EX-C28|2|Q8-C28-435m",nQ8_Key,0)),"(row not found)")</f>
        <v>From 0.000112% (t_half 22 days) to 0.303% (t_half 52 days) remaining; scenario range, not a confidence interval</v>
      </c>
      <c r="L92" s="1" t="b">
        <f>ISNUMBER(SEARCH(H92,J92))</f>
        <v>1</v>
      </c>
    </row>
    <row r="93" spans="1:12" x14ac:dyDescent="0.2">
      <c r="A93" s="1">
        <v>87</v>
      </c>
      <c r="B93" s="1" t="s">
        <v>305</v>
      </c>
      <c r="C93" s="1" t="s">
        <v>2033</v>
      </c>
      <c r="D93" s="1" t="s">
        <v>2038</v>
      </c>
      <c r="E93" s="1" t="s">
        <v>2039</v>
      </c>
      <c r="F93" s="4" t="s">
        <v>1976</v>
      </c>
      <c r="G93" s="1" t="s">
        <v>1762</v>
      </c>
      <c r="H93" s="1">
        <v>0.30299999999999999</v>
      </c>
      <c r="I93" s="1">
        <v>3</v>
      </c>
      <c r="J93" s="1">
        <f>IFERROR(INDEX(nQ8_Percent_at_Upper,MATCH("EX-C28|2|Q8-C28-435m",nQ8_Key,0)),"(row not found)")</f>
        <v>0.30322730461636493</v>
      </c>
      <c r="K93" s="1" t="str">
        <f>IFERROR(INDEX(nQ8_Result_Display,MATCH("EX-C28|2|Q8-C28-435m",nQ8_Key,0)),"(row not found)")</f>
        <v>From 0.000112% (t_half 22 days) to 0.303% (t_half 52 days) remaining; scenario range, not a confidence interval</v>
      </c>
      <c r="L93" s="1" t="b">
        <f>IF(ISNUMBER(J93),ABS(ROUND(J93,I93)-H93)&lt;0.000000001,FALSE)</f>
        <v>1</v>
      </c>
    </row>
    <row r="94" spans="1:12" x14ac:dyDescent="0.2">
      <c r="A94" s="1">
        <v>88</v>
      </c>
      <c r="B94" s="1" t="s">
        <v>305</v>
      </c>
      <c r="C94" s="1" t="s">
        <v>2033</v>
      </c>
      <c r="D94" s="1" t="s">
        <v>2040</v>
      </c>
      <c r="E94" s="1" t="s">
        <v>2041</v>
      </c>
      <c r="F94" s="4" t="s">
        <v>2027</v>
      </c>
      <c r="G94" s="1" t="s">
        <v>1767</v>
      </c>
      <c r="H94" s="4" t="s">
        <v>2027</v>
      </c>
      <c r="J94" s="1" t="str">
        <f>IFERROR(INDEX(nQ8_QC_Flags,MATCH("EX-C28|2|Q8-C28-435m",nQ8_Key,0)),"(row not found)")</f>
        <v>W_BIOLOGIC_MODEL_CAUTION; I_SCENARIO_NOT_CI</v>
      </c>
      <c r="K94" s="1" t="str">
        <f>IFERROR(INDEX(nQ8_Result_Display,MATCH("EX-C28|2|Q8-C28-435m",nQ8_Key,0)),"(row not found)")</f>
        <v>From 0.000112% (t_half 22 days) to 0.303% (t_half 52 days) remaining; scenario range, not a confidence interval</v>
      </c>
      <c r="L94" s="1" t="b">
        <f>EXACT(J94&amp;"",H94&amp;"")</f>
        <v>1</v>
      </c>
    </row>
    <row r="95" spans="1:12" x14ac:dyDescent="0.2">
      <c r="A95" s="1">
        <v>89</v>
      </c>
      <c r="B95" s="1" t="s">
        <v>305</v>
      </c>
      <c r="C95" s="1" t="s">
        <v>2042</v>
      </c>
      <c r="D95" s="1" t="s">
        <v>2043</v>
      </c>
      <c r="E95" s="1" t="s">
        <v>2044</v>
      </c>
      <c r="F95" s="4" t="s">
        <v>1970</v>
      </c>
      <c r="G95" s="1" t="s">
        <v>1762</v>
      </c>
      <c r="H95" s="1">
        <v>2.0300000000000001E-3</v>
      </c>
      <c r="I95" s="1">
        <v>5</v>
      </c>
      <c r="J95" s="1">
        <f>IFERROR(INDEX(nQ8_Percent_at_Lower,MATCH("EX-C28|2|Q8-C28-343m",nQ8_Key,0)),"(row not found)")</f>
        <v>2.02613651731736E-3</v>
      </c>
      <c r="K95" s="1" t="str">
        <f>IFERROR(INDEX(nQ8_Result_Display,MATCH("EX-C28|2|Q8-C28-343m",nQ8_Key,0)),"(row not found)")</f>
        <v>From 0.00203% (t_half 22 days) to 1.03% (t_half 52 days) remaining; scenario range, not a confidence interval</v>
      </c>
      <c r="L95" s="1" t="b">
        <f>IF(ISNUMBER(J95),ABS(ROUND(J95,I95)-H95)&lt;0.000000001,FALSE)</f>
        <v>1</v>
      </c>
    </row>
    <row r="96" spans="1:12" x14ac:dyDescent="0.2">
      <c r="A96" s="1">
        <v>90</v>
      </c>
      <c r="B96" s="1" t="s">
        <v>305</v>
      </c>
      <c r="C96" s="1" t="s">
        <v>2042</v>
      </c>
      <c r="D96" s="1" t="s">
        <v>2045</v>
      </c>
      <c r="E96" s="1" t="s">
        <v>2046</v>
      </c>
      <c r="F96" s="4" t="s">
        <v>1984</v>
      </c>
      <c r="G96" s="1" t="s">
        <v>1762</v>
      </c>
      <c r="H96" s="1">
        <v>1.03</v>
      </c>
      <c r="I96" s="1">
        <v>2</v>
      </c>
      <c r="J96" s="1">
        <f>IFERROR(INDEX(nQ8_Percent_at_Upper,MATCH("EX-C28|2|Q8-C28-343m",nQ8_Key,0)),"(row not found)")</f>
        <v>1.0336174586237674</v>
      </c>
      <c r="K96" s="1" t="str">
        <f>IFERROR(INDEX(nQ8_Result_Display,MATCH("EX-C28|2|Q8-C28-343m",nQ8_Key,0)),"(row not found)")</f>
        <v>From 0.00203% (t_half 22 days) to 1.03% (t_half 52 days) remaining; scenario range, not a confidence interval</v>
      </c>
      <c r="L96" s="1" t="b">
        <f>IF(ISNUMBER(J96),ABS(ROUND(J96,I96)-H96)&lt;0.000000001,FALSE)</f>
        <v>1</v>
      </c>
    </row>
    <row r="98" spans="1:10" x14ac:dyDescent="0.2">
      <c r="A98" s="7" t="s">
        <v>2048</v>
      </c>
    </row>
    <row r="99" spans="1:10" x14ac:dyDescent="0.2">
      <c r="D99" s="1" t="s">
        <v>2049</v>
      </c>
      <c r="F99" s="33">
        <v>46449</v>
      </c>
      <c r="J99" s="13">
        <f>IFERROR(EDATE(INDEX(nTP_Lo,MATCH("EX-C28|2|ADM-RTX-6",nTP_Key,0)),24),"(row not found)")</f>
        <v>46449</v>
      </c>
    </row>
    <row r="100" spans="1:10" x14ac:dyDescent="0.2">
      <c r="D100" s="1" t="s">
        <v>2050</v>
      </c>
      <c r="F100" s="1" t="s">
        <v>2051</v>
      </c>
      <c r="J100" s="1">
        <f>IFERROR(J99-INDEX(nTP_Lo,MATCH("EX-C28|2|ADM-RTX-6",nTP_Key,0)),"(row not found)")</f>
        <v>730</v>
      </c>
    </row>
  </sheetData>
  <sheetProtection sheet="1" objects="1" scenarios="1" formatColumns="0" formatRows="0" autoFilter="0"/>
  <mergeCells count="1">
    <mergeCell ref="A2:L2"/>
  </mergeCells>
  <conditionalFormatting sqref="L7:L96">
    <cfRule type="cellIs" dxfId="5" priority="1" stopIfTrue="1" operator="equal">
      <formula>TRUE</formula>
    </cfRule>
    <cfRule type="cellIs" dxfId="4" priority="2" stopIfTrue="1" operator="equal">
      <formula>FALSE</formula>
    </cfRule>
  </conditionalFormatting>
  <pageMargins left="0.7" right="0.7" top="0.75" bottom="0.75" header="0.3" footer="0.3"/>
  <pageSetup paperSize="1" scale="24" fitToHeight="0" orientation="landscape" horizontalDpi="0" verticalDpi="0"/>
  <headerFooter>
    <oddFooter>&amp;LTTO Companion Tools v1.1 (CALC-SPEC 1.1) - educational tool; not validated for regulated use; not a dosing tool; never assigns causality&amp;RPage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9DAAA-D94D-495D-883E-97038C452D69}">
  <sheetPr>
    <pageSetUpPr fitToPage="1"/>
  </sheetPr>
  <dimension ref="A1:H204"/>
  <sheetViews>
    <sheetView zoomScale="90" zoomScaleNormal="90" workbookViewId="0"/>
  </sheetViews>
  <sheetFormatPr defaultRowHeight="12.75" x14ac:dyDescent="0.2"/>
  <cols>
    <col min="1" max="1" width="6.7109375" style="1" customWidth="1"/>
    <col min="2" max="2" width="10.7109375" style="1" customWidth="1"/>
    <col min="3" max="3" width="34.7109375" style="1" customWidth="1"/>
    <col min="4" max="4" width="9.7109375" style="1" customWidth="1"/>
    <col min="5" max="5" width="42.7109375" style="1" customWidth="1"/>
    <col min="6" max="7" width="30.7109375" style="1" customWidth="1"/>
    <col min="8" max="8" width="9.7109375" style="1" customWidth="1"/>
    <col min="9" max="16384" width="9.140625" style="1"/>
  </cols>
  <sheetData>
    <row r="1" spans="1:8" ht="18.75" x14ac:dyDescent="0.3">
      <c r="A1" s="30" t="s">
        <v>2052</v>
      </c>
    </row>
    <row r="2" spans="1:8" ht="54" customHeight="1" x14ac:dyDescent="0.2">
      <c r="A2" s="31" t="s">
        <v>2053</v>
      </c>
      <c r="B2" s="31"/>
      <c r="C2" s="31"/>
      <c r="D2" s="31"/>
      <c r="E2" s="31"/>
      <c r="F2" s="31"/>
      <c r="G2" s="31"/>
      <c r="H2" s="31"/>
    </row>
    <row r="4" spans="1:8" ht="15.75" x14ac:dyDescent="0.25">
      <c r="A4" s="32" t="s">
        <v>2054</v>
      </c>
      <c r="C4" s="32" t="str">
        <f>IF(COUNTIFS($D$8:$D$45,"numeric",$H$8:$H$45,"PASS")=COUNTIF($D$8:$D$45,"numeric"),"PASS: all "&amp;COUNTIF($D$8:$D$45,"numeric")&amp;" numeric vectors reproduce within the JSON tolerance","FAIL: "&amp;COUNTIFS($D$8:$D$45,"numeric",$H$8:$H$45,"PASS")&amp;" of "&amp;COUNTIF($D$8:$D$45,"numeric")&amp;" numeric vectors pass")</f>
        <v>PASS: all 36 numeric vectors reproduce within the JSON tolerance</v>
      </c>
    </row>
    <row r="5" spans="1:8" x14ac:dyDescent="0.2">
      <c r="A5" s="1" t="s">
        <v>2055</v>
      </c>
      <c r="B5" s="34">
        <v>9.9999999999999995E-7</v>
      </c>
      <c r="C5" s="1" t="s">
        <v>2056</v>
      </c>
      <c r="D5" s="34">
        <v>1.0000000000000001E-9</v>
      </c>
      <c r="E5" s="1" t="s">
        <v>2057</v>
      </c>
    </row>
    <row r="7" spans="1:8" x14ac:dyDescent="0.2">
      <c r="A7" s="5" t="s">
        <v>2058</v>
      </c>
      <c r="B7" s="5" t="s">
        <v>2059</v>
      </c>
      <c r="C7" s="5" t="s">
        <v>2060</v>
      </c>
      <c r="D7" s="5" t="s">
        <v>199</v>
      </c>
      <c r="E7" s="5" t="s">
        <v>2061</v>
      </c>
      <c r="F7" s="5" t="s">
        <v>2062</v>
      </c>
      <c r="G7" s="5" t="s">
        <v>2063</v>
      </c>
      <c r="H7" s="5" t="s">
        <v>2064</v>
      </c>
    </row>
    <row r="8" spans="1:8" ht="51" x14ac:dyDescent="0.2">
      <c r="A8" s="35" t="s">
        <v>2065</v>
      </c>
      <c r="B8" s="35" t="s">
        <v>59</v>
      </c>
      <c r="C8" s="36" t="s">
        <v>2066</v>
      </c>
      <c r="D8" s="35" t="s">
        <v>2067</v>
      </c>
      <c r="E8" s="36" t="s">
        <v>2068</v>
      </c>
      <c r="F8" s="35">
        <f>COUNTIF($B$50:$B$198,A8)</f>
        <v>4</v>
      </c>
      <c r="G8" s="35">
        <f>COUNTIFS($B$50:$B$198,A8,$H$50:$H$198,TRUE)</f>
        <v>4</v>
      </c>
      <c r="H8" s="35" t="str">
        <f>IF(D8="behavioral","INSPECT",IF(AND(F8&gt;0,G8=F8),"PASS","FAIL"))</f>
        <v>PASS</v>
      </c>
    </row>
    <row r="9" spans="1:8" ht="76.5" x14ac:dyDescent="0.2">
      <c r="A9" s="35" t="s">
        <v>2069</v>
      </c>
      <c r="B9" s="35" t="s">
        <v>2070</v>
      </c>
      <c r="C9" s="36" t="s">
        <v>2066</v>
      </c>
      <c r="D9" s="35" t="s">
        <v>2067</v>
      </c>
      <c r="E9" s="36" t="s">
        <v>2071</v>
      </c>
      <c r="F9" s="35">
        <f>COUNTIF($B$50:$B$198,A9)</f>
        <v>5</v>
      </c>
      <c r="G9" s="35">
        <f>COUNTIFS($B$50:$B$198,A9,$H$50:$H$198,TRUE)</f>
        <v>5</v>
      </c>
      <c r="H9" s="35" t="str">
        <f>IF(D9="behavioral","INSPECT",IF(AND(F9&gt;0,G9=F9),"PASS","FAIL"))</f>
        <v>PASS</v>
      </c>
    </row>
    <row r="10" spans="1:8" ht="140.25" x14ac:dyDescent="0.2">
      <c r="A10" s="35" t="s">
        <v>2072</v>
      </c>
      <c r="B10" s="35" t="s">
        <v>60</v>
      </c>
      <c r="C10" s="36" t="s">
        <v>2066</v>
      </c>
      <c r="D10" s="35" t="s">
        <v>2067</v>
      </c>
      <c r="E10" s="36" t="s">
        <v>2073</v>
      </c>
      <c r="F10" s="35">
        <f>COUNTIF($B$50:$B$198,A10)</f>
        <v>4</v>
      </c>
      <c r="G10" s="35">
        <f>COUNTIFS($B$50:$B$198,A10,$H$50:$H$198,TRUE)</f>
        <v>4</v>
      </c>
      <c r="H10" s="35" t="str">
        <f>IF(D10="behavioral","INSPECT",IF(AND(F10&gt;0,G10=F10),"PASS","FAIL"))</f>
        <v>PASS</v>
      </c>
    </row>
    <row r="11" spans="1:8" ht="51" x14ac:dyDescent="0.2">
      <c r="A11" s="35" t="s">
        <v>2074</v>
      </c>
      <c r="B11" s="35" t="s">
        <v>60</v>
      </c>
      <c r="C11" s="36" t="s">
        <v>2066</v>
      </c>
      <c r="D11" s="35" t="s">
        <v>2067</v>
      </c>
      <c r="E11" s="36" t="s">
        <v>2075</v>
      </c>
      <c r="F11" s="35">
        <f>COUNTIF($B$50:$B$198,A11)</f>
        <v>4</v>
      </c>
      <c r="G11" s="35">
        <f>COUNTIFS($B$50:$B$198,A11,$H$50:$H$198,TRUE)</f>
        <v>4</v>
      </c>
      <c r="H11" s="35" t="str">
        <f>IF(D11="behavioral","INSPECT",IF(AND(F11&gt;0,G11=F11),"PASS","FAIL"))</f>
        <v>PASS</v>
      </c>
    </row>
    <row r="12" spans="1:8" ht="51" x14ac:dyDescent="0.2">
      <c r="A12" s="35" t="s">
        <v>2076</v>
      </c>
      <c r="B12" s="35" t="s">
        <v>61</v>
      </c>
      <c r="C12" s="36" t="s">
        <v>2066</v>
      </c>
      <c r="D12" s="35" t="s">
        <v>2067</v>
      </c>
      <c r="E12" s="36" t="s">
        <v>2077</v>
      </c>
      <c r="F12" s="35">
        <f>COUNTIF($B$50:$B$198,A12)</f>
        <v>5</v>
      </c>
      <c r="G12" s="35">
        <f>COUNTIFS($B$50:$B$198,A12,$H$50:$H$198,TRUE)</f>
        <v>5</v>
      </c>
      <c r="H12" s="35" t="str">
        <f>IF(D12="behavioral","INSPECT",IF(AND(F12&gt;0,G12=F12),"PASS","FAIL"))</f>
        <v>PASS</v>
      </c>
    </row>
    <row r="13" spans="1:8" ht="114.75" x14ac:dyDescent="0.2">
      <c r="A13" s="35" t="s">
        <v>2078</v>
      </c>
      <c r="B13" s="35" t="s">
        <v>61</v>
      </c>
      <c r="C13" s="36" t="s">
        <v>2066</v>
      </c>
      <c r="D13" s="35" t="s">
        <v>2067</v>
      </c>
      <c r="E13" s="36" t="s">
        <v>2079</v>
      </c>
      <c r="F13" s="35">
        <f>COUNTIF($B$50:$B$198,A13)</f>
        <v>5</v>
      </c>
      <c r="G13" s="35">
        <f>COUNTIFS($B$50:$B$198,A13,$H$50:$H$198,TRUE)</f>
        <v>5</v>
      </c>
      <c r="H13" s="35" t="str">
        <f>IF(D13="behavioral","INSPECT",IF(AND(F13&gt;0,G13=F13),"PASS","FAIL"))</f>
        <v>PASS</v>
      </c>
    </row>
    <row r="14" spans="1:8" ht="89.25" x14ac:dyDescent="0.2">
      <c r="A14" s="35" t="s">
        <v>2080</v>
      </c>
      <c r="B14" s="35" t="s">
        <v>2081</v>
      </c>
      <c r="C14" s="36" t="s">
        <v>2082</v>
      </c>
      <c r="D14" s="35" t="s">
        <v>2067</v>
      </c>
      <c r="E14" s="36" t="s">
        <v>2083</v>
      </c>
      <c r="F14" s="35">
        <f>COUNTIF($B$50:$B$198,A14)</f>
        <v>5</v>
      </c>
      <c r="G14" s="35">
        <f>COUNTIFS($B$50:$B$198,A14,$H$50:$H$198,TRUE)</f>
        <v>5</v>
      </c>
      <c r="H14" s="35" t="str">
        <f>IF(D14="behavioral","INSPECT",IF(AND(F14&gt;0,G14=F14),"PASS","FAIL"))</f>
        <v>PASS</v>
      </c>
    </row>
    <row r="15" spans="1:8" ht="89.25" x14ac:dyDescent="0.2">
      <c r="A15" s="35" t="s">
        <v>2084</v>
      </c>
      <c r="B15" s="35" t="s">
        <v>2081</v>
      </c>
      <c r="C15" s="36" t="s">
        <v>2085</v>
      </c>
      <c r="D15" s="35" t="s">
        <v>2067</v>
      </c>
      <c r="E15" s="36" t="s">
        <v>2086</v>
      </c>
      <c r="F15" s="35">
        <f>COUNTIF($B$50:$B$198,A15)</f>
        <v>5</v>
      </c>
      <c r="G15" s="35">
        <f>COUNTIFS($B$50:$B$198,A15,$H$50:$H$198,TRUE)</f>
        <v>5</v>
      </c>
      <c r="H15" s="35" t="str">
        <f>IF(D15="behavioral","INSPECT",IF(AND(F15&gt;0,G15=F15),"PASS","FAIL"))</f>
        <v>PASS</v>
      </c>
    </row>
    <row r="16" spans="1:8" ht="38.25" x14ac:dyDescent="0.2">
      <c r="A16" s="35" t="s">
        <v>2087</v>
      </c>
      <c r="B16" s="35" t="s">
        <v>59</v>
      </c>
      <c r="C16" s="36" t="s">
        <v>2066</v>
      </c>
      <c r="D16" s="35" t="s">
        <v>2067</v>
      </c>
      <c r="E16" s="36" t="s">
        <v>2088</v>
      </c>
      <c r="F16" s="35">
        <f>COUNTIF($B$50:$B$198,A16)</f>
        <v>4</v>
      </c>
      <c r="G16" s="35">
        <f>COUNTIFS($B$50:$B$198,A16,$H$50:$H$198,TRUE)</f>
        <v>4</v>
      </c>
      <c r="H16" s="35" t="str">
        <f>IF(D16="behavioral","INSPECT",IF(AND(F16&gt;0,G16=F16),"PASS","FAIL"))</f>
        <v>PASS</v>
      </c>
    </row>
    <row r="17" spans="1:8" ht="76.5" x14ac:dyDescent="0.2">
      <c r="A17" s="35" t="s">
        <v>2089</v>
      </c>
      <c r="B17" s="35" t="s">
        <v>59</v>
      </c>
      <c r="C17" s="36" t="s">
        <v>2066</v>
      </c>
      <c r="D17" s="35" t="s">
        <v>2067</v>
      </c>
      <c r="E17" s="36" t="s">
        <v>2090</v>
      </c>
      <c r="F17" s="35">
        <f>COUNTIF($B$50:$B$198,A17)</f>
        <v>4</v>
      </c>
      <c r="G17" s="35">
        <f>COUNTIFS($B$50:$B$198,A17,$H$50:$H$198,TRUE)</f>
        <v>4</v>
      </c>
      <c r="H17" s="35" t="str">
        <f>IF(D17="behavioral","INSPECT",IF(AND(F17&gt;0,G17=F17),"PASS","FAIL"))</f>
        <v>PASS</v>
      </c>
    </row>
    <row r="18" spans="1:8" ht="114.75" x14ac:dyDescent="0.2">
      <c r="A18" s="35" t="s">
        <v>2091</v>
      </c>
      <c r="B18" s="35" t="s">
        <v>2092</v>
      </c>
      <c r="C18" s="36" t="s">
        <v>2066</v>
      </c>
      <c r="D18" s="35" t="s">
        <v>2067</v>
      </c>
      <c r="E18" s="36" t="s">
        <v>2093</v>
      </c>
      <c r="F18" s="35">
        <f>COUNTIF($B$50:$B$198,A18)</f>
        <v>4</v>
      </c>
      <c r="G18" s="35">
        <f>COUNTIFS($B$50:$B$198,A18,$H$50:$H$198,TRUE)</f>
        <v>4</v>
      </c>
      <c r="H18" s="35" t="str">
        <f>IF(D18="behavioral","INSPECT",IF(AND(F18&gt;0,G18=F18),"PASS","FAIL"))</f>
        <v>PASS</v>
      </c>
    </row>
    <row r="19" spans="1:8" ht="76.5" x14ac:dyDescent="0.2">
      <c r="A19" s="35" t="s">
        <v>2094</v>
      </c>
      <c r="B19" s="35" t="s">
        <v>2095</v>
      </c>
      <c r="C19" s="36" t="s">
        <v>2096</v>
      </c>
      <c r="D19" s="35" t="s">
        <v>2097</v>
      </c>
      <c r="E19" s="36" t="s">
        <v>2098</v>
      </c>
      <c r="F19" s="35">
        <f>COUNTIF($B$50:$B$198,A19)</f>
        <v>2</v>
      </c>
      <c r="G19" s="35">
        <f>COUNTIFS($B$50:$B$198,A19,$H$50:$H$198,TRUE)</f>
        <v>2</v>
      </c>
      <c r="H19" s="35" t="str">
        <f>IF(D19="behavioral","INSPECT",IF(AND(F19&gt;0,G19=F19),"PASS","FAIL"))</f>
        <v>INSPECT</v>
      </c>
    </row>
    <row r="20" spans="1:8" ht="114.75" x14ac:dyDescent="0.2">
      <c r="A20" s="35" t="s">
        <v>2099</v>
      </c>
      <c r="B20" s="35" t="s">
        <v>2100</v>
      </c>
      <c r="C20" s="36" t="s">
        <v>2101</v>
      </c>
      <c r="D20" s="35" t="s">
        <v>2067</v>
      </c>
      <c r="E20" s="36" t="s">
        <v>2102</v>
      </c>
      <c r="F20" s="35">
        <f>COUNTIF($B$50:$B$198,A20)</f>
        <v>4</v>
      </c>
      <c r="G20" s="35">
        <f>COUNTIFS($B$50:$B$198,A20,$H$50:$H$198,TRUE)</f>
        <v>4</v>
      </c>
      <c r="H20" s="35" t="str">
        <f>IF(D20="behavioral","INSPECT",IF(AND(F20&gt;0,G20=F20),"PASS","FAIL"))</f>
        <v>PASS</v>
      </c>
    </row>
    <row r="21" spans="1:8" ht="140.25" x14ac:dyDescent="0.2">
      <c r="A21" s="35" t="s">
        <v>2103</v>
      </c>
      <c r="B21" s="35" t="s">
        <v>2104</v>
      </c>
      <c r="C21" s="36" t="s">
        <v>2105</v>
      </c>
      <c r="D21" s="35" t="s">
        <v>2097</v>
      </c>
      <c r="E21" s="36" t="s">
        <v>2106</v>
      </c>
      <c r="F21" s="35">
        <f>COUNTIF($B$50:$B$198,A21)</f>
        <v>0</v>
      </c>
      <c r="G21" s="35">
        <f>COUNTIFS($B$50:$B$198,A21,$H$50:$H$198,TRUE)</f>
        <v>0</v>
      </c>
      <c r="H21" s="35" t="str">
        <f>IF(D21="behavioral","INSPECT",IF(AND(F21&gt;0,G21=F21),"PASS","FAIL"))</f>
        <v>INSPECT</v>
      </c>
    </row>
    <row r="22" spans="1:8" ht="63.75" x14ac:dyDescent="0.2">
      <c r="A22" s="35" t="s">
        <v>2107</v>
      </c>
      <c r="B22" s="35" t="s">
        <v>2092</v>
      </c>
      <c r="C22" s="36" t="s">
        <v>2066</v>
      </c>
      <c r="D22" s="35" t="s">
        <v>2067</v>
      </c>
      <c r="E22" s="36" t="s">
        <v>2108</v>
      </c>
      <c r="F22" s="35">
        <f>COUNTIF($B$50:$B$198,A22)</f>
        <v>2</v>
      </c>
      <c r="G22" s="35">
        <f>COUNTIFS($B$50:$B$198,A22,$H$50:$H$198,TRUE)</f>
        <v>2</v>
      </c>
      <c r="H22" s="35" t="str">
        <f>IF(D22="behavioral","INSPECT",IF(AND(F22&gt;0,G22=F22),"PASS","FAIL"))</f>
        <v>PASS</v>
      </c>
    </row>
    <row r="23" spans="1:8" ht="51" x14ac:dyDescent="0.2">
      <c r="A23" s="35" t="s">
        <v>2109</v>
      </c>
      <c r="B23" s="35" t="s">
        <v>2110</v>
      </c>
      <c r="C23" s="36" t="s">
        <v>2111</v>
      </c>
      <c r="D23" s="35" t="s">
        <v>2067</v>
      </c>
      <c r="E23" s="36" t="s">
        <v>2112</v>
      </c>
      <c r="F23" s="35">
        <f>COUNTIF($B$50:$B$198,A23)</f>
        <v>3</v>
      </c>
      <c r="G23" s="35">
        <f>COUNTIFS($B$50:$B$198,A23,$H$50:$H$198,TRUE)</f>
        <v>3</v>
      </c>
      <c r="H23" s="35" t="str">
        <f>IF(D23="behavioral","INSPECT",IF(AND(F23&gt;0,G23=F23),"PASS","FAIL"))</f>
        <v>PASS</v>
      </c>
    </row>
    <row r="24" spans="1:8" ht="51" x14ac:dyDescent="0.2">
      <c r="A24" s="35" t="s">
        <v>2113</v>
      </c>
      <c r="B24" s="35" t="s">
        <v>2114</v>
      </c>
      <c r="C24" s="36" t="s">
        <v>2115</v>
      </c>
      <c r="D24" s="35" t="s">
        <v>2067</v>
      </c>
      <c r="E24" s="36" t="s">
        <v>2116</v>
      </c>
      <c r="F24" s="35">
        <f>COUNTIF($B$50:$B$198,A24)</f>
        <v>3</v>
      </c>
      <c r="G24" s="35">
        <f>COUNTIFS($B$50:$B$198,A24,$H$50:$H$198,TRUE)</f>
        <v>3</v>
      </c>
      <c r="H24" s="35" t="str">
        <f>IF(D24="behavioral","INSPECT",IF(AND(F24&gt;0,G24=F24),"PASS","FAIL"))</f>
        <v>PASS</v>
      </c>
    </row>
    <row r="25" spans="1:8" ht="25.5" x14ac:dyDescent="0.2">
      <c r="A25" s="35" t="s">
        <v>2117</v>
      </c>
      <c r="B25" s="35" t="s">
        <v>2118</v>
      </c>
      <c r="C25" s="36" t="s">
        <v>2119</v>
      </c>
      <c r="D25" s="35" t="s">
        <v>2067</v>
      </c>
      <c r="E25" s="36">
        <v>3.4142139999999999</v>
      </c>
      <c r="F25" s="35">
        <f>COUNTIF($B$50:$B$198,A25)</f>
        <v>2</v>
      </c>
      <c r="G25" s="35">
        <f>COUNTIFS($B$50:$B$198,A25,$H$50:$H$198,TRUE)</f>
        <v>2</v>
      </c>
      <c r="H25" s="35" t="str">
        <f>IF(D25="behavioral","INSPECT",IF(AND(F25&gt;0,G25=F25),"PASS","FAIL"))</f>
        <v>PASS</v>
      </c>
    </row>
    <row r="26" spans="1:8" ht="63.75" x14ac:dyDescent="0.2">
      <c r="A26" s="35" t="s">
        <v>2120</v>
      </c>
      <c r="B26" s="35" t="s">
        <v>2121</v>
      </c>
      <c r="C26" s="36" t="s">
        <v>2122</v>
      </c>
      <c r="D26" s="35" t="s">
        <v>2067</v>
      </c>
      <c r="E26" s="36" t="s">
        <v>2123</v>
      </c>
      <c r="F26" s="35">
        <f>COUNTIF($B$50:$B$198,A26)</f>
        <v>3</v>
      </c>
      <c r="G26" s="35">
        <f>COUNTIFS($B$50:$B$198,A26,$H$50:$H$198,TRUE)</f>
        <v>3</v>
      </c>
      <c r="H26" s="35" t="str">
        <f>IF(D26="behavioral","INSPECT",IF(AND(F26&gt;0,G26=F26),"PASS","FAIL"))</f>
        <v>PASS</v>
      </c>
    </row>
    <row r="27" spans="1:8" ht="63.75" x14ac:dyDescent="0.2">
      <c r="A27" s="35" t="s">
        <v>2124</v>
      </c>
      <c r="B27" s="35" t="s">
        <v>2125</v>
      </c>
      <c r="C27" s="36" t="s">
        <v>2126</v>
      </c>
      <c r="D27" s="35" t="s">
        <v>2067</v>
      </c>
      <c r="E27" s="36" t="s">
        <v>2127</v>
      </c>
      <c r="F27" s="35">
        <f>COUNTIF($B$50:$B$198,A27)</f>
        <v>3</v>
      </c>
      <c r="G27" s="35">
        <f>COUNTIFS($B$50:$B$198,A27,$H$50:$H$198,TRUE)</f>
        <v>3</v>
      </c>
      <c r="H27" s="35" t="str">
        <f>IF(D27="behavioral","INSPECT",IF(AND(F27&gt;0,G27=F27),"PASS","FAIL"))</f>
        <v>PASS</v>
      </c>
    </row>
    <row r="28" spans="1:8" ht="63.75" x14ac:dyDescent="0.2">
      <c r="A28" s="35" t="s">
        <v>2128</v>
      </c>
      <c r="B28" s="35" t="s">
        <v>2129</v>
      </c>
      <c r="C28" s="36" t="s">
        <v>2130</v>
      </c>
      <c r="D28" s="35" t="s">
        <v>2067</v>
      </c>
      <c r="E28" s="36" t="s">
        <v>2131</v>
      </c>
      <c r="F28" s="35">
        <f>COUNTIF($B$50:$B$198,A28)</f>
        <v>2</v>
      </c>
      <c r="G28" s="35">
        <f>COUNTIFS($B$50:$B$198,A28,$H$50:$H$198,TRUE)</f>
        <v>2</v>
      </c>
      <c r="H28" s="35" t="str">
        <f>IF(D28="behavioral","INSPECT",IF(AND(F28&gt;0,G28=F28),"PASS","FAIL"))</f>
        <v>PASS</v>
      </c>
    </row>
    <row r="29" spans="1:8" ht="63.75" x14ac:dyDescent="0.2">
      <c r="A29" s="35" t="s">
        <v>2132</v>
      </c>
      <c r="B29" s="35" t="s">
        <v>2133</v>
      </c>
      <c r="C29" s="36" t="s">
        <v>2134</v>
      </c>
      <c r="D29" s="35" t="s">
        <v>2067</v>
      </c>
      <c r="E29" s="36" t="s">
        <v>2135</v>
      </c>
      <c r="F29" s="35">
        <f>COUNTIF($B$50:$B$198,A29)</f>
        <v>2</v>
      </c>
      <c r="G29" s="35">
        <f>COUNTIFS($B$50:$B$198,A29,$H$50:$H$198,TRUE)</f>
        <v>2</v>
      </c>
      <c r="H29" s="35" t="str">
        <f>IF(D29="behavioral","INSPECT",IF(AND(F29&gt;0,G29=F29),"PASS","FAIL"))</f>
        <v>PASS</v>
      </c>
    </row>
    <row r="30" spans="1:8" ht="51" x14ac:dyDescent="0.2">
      <c r="A30" s="35" t="s">
        <v>2136</v>
      </c>
      <c r="B30" s="35" t="s">
        <v>2137</v>
      </c>
      <c r="C30" s="36" t="s">
        <v>2138</v>
      </c>
      <c r="D30" s="35" t="s">
        <v>2067</v>
      </c>
      <c r="E30" s="36" t="s">
        <v>2139</v>
      </c>
      <c r="F30" s="35">
        <f>COUNTIF($B$50:$B$198,A30)</f>
        <v>3</v>
      </c>
      <c r="G30" s="35">
        <f>COUNTIFS($B$50:$B$198,A30,$H$50:$H$198,TRUE)</f>
        <v>3</v>
      </c>
      <c r="H30" s="35" t="str">
        <f>IF(D30="behavioral","INSPECT",IF(AND(F30&gt;0,G30=F30),"PASS","FAIL"))</f>
        <v>PASS</v>
      </c>
    </row>
    <row r="31" spans="1:8" ht="114.75" x14ac:dyDescent="0.2">
      <c r="A31" s="35" t="s">
        <v>2140</v>
      </c>
      <c r="B31" s="35" t="s">
        <v>2141</v>
      </c>
      <c r="C31" s="36" t="s">
        <v>2111</v>
      </c>
      <c r="D31" s="35" t="s">
        <v>2067</v>
      </c>
      <c r="E31" s="36" t="s">
        <v>2142</v>
      </c>
      <c r="F31" s="35">
        <f>COUNTIF($B$50:$B$198,A31)</f>
        <v>4</v>
      </c>
      <c r="G31" s="35">
        <f>COUNTIFS($B$50:$B$198,A31,$H$50:$H$198,TRUE)</f>
        <v>4</v>
      </c>
      <c r="H31" s="35" t="str">
        <f>IF(D31="behavioral","INSPECT",IF(AND(F31&gt;0,G31=F31),"PASS","FAIL"))</f>
        <v>PASS</v>
      </c>
    </row>
    <row r="32" spans="1:8" ht="63.75" x14ac:dyDescent="0.2">
      <c r="A32" s="35" t="s">
        <v>2143</v>
      </c>
      <c r="B32" s="35" t="s">
        <v>2144</v>
      </c>
      <c r="C32" s="36" t="s">
        <v>2145</v>
      </c>
      <c r="D32" s="35" t="s">
        <v>2067</v>
      </c>
      <c r="E32" s="36" t="s">
        <v>2146</v>
      </c>
      <c r="F32" s="35">
        <f>COUNTIF($B$50:$B$198,A32)</f>
        <v>3</v>
      </c>
      <c r="G32" s="35">
        <f>COUNTIFS($B$50:$B$198,A32,$H$50:$H$198,TRUE)</f>
        <v>3</v>
      </c>
      <c r="H32" s="35" t="str">
        <f>IF(D32="behavioral","INSPECT",IF(AND(F32&gt;0,G32=F32),"PASS","FAIL"))</f>
        <v>PASS</v>
      </c>
    </row>
    <row r="33" spans="1:8" ht="127.5" x14ac:dyDescent="0.2">
      <c r="A33" s="35" t="s">
        <v>2147</v>
      </c>
      <c r="B33" s="35" t="s">
        <v>2148</v>
      </c>
      <c r="C33" s="36" t="s">
        <v>2149</v>
      </c>
      <c r="D33" s="35" t="s">
        <v>2067</v>
      </c>
      <c r="E33" s="36" t="s">
        <v>2150</v>
      </c>
      <c r="F33" s="35">
        <f>COUNTIF($B$50:$B$198,A33)</f>
        <v>4</v>
      </c>
      <c r="G33" s="35">
        <f>COUNTIFS($B$50:$B$198,A33,$H$50:$H$198,TRUE)</f>
        <v>4</v>
      </c>
      <c r="H33" s="35" t="str">
        <f>IF(D33="behavioral","INSPECT",IF(AND(F33&gt;0,G33=F33),"PASS","FAIL"))</f>
        <v>PASS</v>
      </c>
    </row>
    <row r="34" spans="1:8" ht="165.75" x14ac:dyDescent="0.2">
      <c r="A34" s="35" t="s">
        <v>2151</v>
      </c>
      <c r="B34" s="35" t="s">
        <v>2152</v>
      </c>
      <c r="C34" s="36" t="s">
        <v>2153</v>
      </c>
      <c r="D34" s="35" t="s">
        <v>2067</v>
      </c>
      <c r="E34" s="36" t="s">
        <v>2154</v>
      </c>
      <c r="F34" s="35">
        <f>COUNTIF($B$50:$B$198,A34)</f>
        <v>11</v>
      </c>
      <c r="G34" s="35">
        <f>COUNTIFS($B$50:$B$198,A34,$H$50:$H$198,TRUE)</f>
        <v>11</v>
      </c>
      <c r="H34" s="35" t="str">
        <f>IF(D34="behavioral","INSPECT",IF(AND(F34&gt;0,G34=F34),"PASS","FAIL"))</f>
        <v>PASS</v>
      </c>
    </row>
    <row r="35" spans="1:8" ht="114.75" x14ac:dyDescent="0.2">
      <c r="A35" s="35" t="s">
        <v>2155</v>
      </c>
      <c r="B35" s="35" t="s">
        <v>2156</v>
      </c>
      <c r="C35" s="36" t="s">
        <v>2157</v>
      </c>
      <c r="D35" s="35" t="s">
        <v>2067</v>
      </c>
      <c r="E35" s="36" t="s">
        <v>2158</v>
      </c>
      <c r="F35" s="35">
        <f>COUNTIF($B$50:$B$198,A35)</f>
        <v>6</v>
      </c>
      <c r="G35" s="35">
        <f>COUNTIFS($B$50:$B$198,A35,$H$50:$H$198,TRUE)</f>
        <v>6</v>
      </c>
      <c r="H35" s="35" t="str">
        <f>IF(D35="behavioral","INSPECT",IF(AND(F35&gt;0,G35=F35),"PASS","FAIL"))</f>
        <v>PASS</v>
      </c>
    </row>
    <row r="36" spans="1:8" ht="178.5" x14ac:dyDescent="0.2">
      <c r="A36" s="35" t="s">
        <v>2159</v>
      </c>
      <c r="B36" s="35" t="s">
        <v>2156</v>
      </c>
      <c r="C36" s="36" t="s">
        <v>2157</v>
      </c>
      <c r="D36" s="35" t="s">
        <v>2067</v>
      </c>
      <c r="E36" s="36" t="s">
        <v>2160</v>
      </c>
      <c r="F36" s="35">
        <f>COUNTIF($B$50:$B$198,A36)</f>
        <v>5</v>
      </c>
      <c r="G36" s="35">
        <f>COUNTIFS($B$50:$B$198,A36,$H$50:$H$198,TRUE)</f>
        <v>5</v>
      </c>
      <c r="H36" s="35" t="str">
        <f>IF(D36="behavioral","INSPECT",IF(AND(F36&gt;0,G36=F36),"PASS","FAIL"))</f>
        <v>PASS</v>
      </c>
    </row>
    <row r="37" spans="1:8" ht="165.75" x14ac:dyDescent="0.2">
      <c r="A37" s="35" t="s">
        <v>2161</v>
      </c>
      <c r="B37" s="35" t="s">
        <v>2156</v>
      </c>
      <c r="C37" s="36" t="s">
        <v>2157</v>
      </c>
      <c r="D37" s="35" t="s">
        <v>2067</v>
      </c>
      <c r="E37" s="36" t="s">
        <v>2162</v>
      </c>
      <c r="F37" s="35">
        <f>COUNTIF($B$50:$B$198,A37)</f>
        <v>5</v>
      </c>
      <c r="G37" s="35">
        <f>COUNTIFS($B$50:$B$198,A37,$H$50:$H$198,TRUE)</f>
        <v>5</v>
      </c>
      <c r="H37" s="35" t="str">
        <f>IF(D37="behavioral","INSPECT",IF(AND(F37&gt;0,G37=F37),"PASS","FAIL"))</f>
        <v>PASS</v>
      </c>
    </row>
    <row r="38" spans="1:8" ht="127.5" x14ac:dyDescent="0.2">
      <c r="A38" s="35" t="s">
        <v>2163</v>
      </c>
      <c r="B38" s="35" t="s">
        <v>2164</v>
      </c>
      <c r="C38" s="36" t="s">
        <v>2165</v>
      </c>
      <c r="D38" s="35" t="s">
        <v>2067</v>
      </c>
      <c r="E38" s="36" t="s">
        <v>2166</v>
      </c>
      <c r="F38" s="35">
        <f>COUNTIF($B$50:$B$198,A38)</f>
        <v>6</v>
      </c>
      <c r="G38" s="35">
        <f>COUNTIFS($B$50:$B$198,A38,$H$50:$H$198,TRUE)</f>
        <v>6</v>
      </c>
      <c r="H38" s="35" t="str">
        <f>IF(D38="behavioral","INSPECT",IF(AND(F38&gt;0,G38=F38),"PASS","FAIL"))</f>
        <v>PASS</v>
      </c>
    </row>
    <row r="39" spans="1:8" ht="127.5" x14ac:dyDescent="0.2">
      <c r="A39" s="35" t="s">
        <v>2167</v>
      </c>
      <c r="B39" s="35" t="s">
        <v>2129</v>
      </c>
      <c r="C39" s="36" t="s">
        <v>2130</v>
      </c>
      <c r="D39" s="35" t="s">
        <v>2067</v>
      </c>
      <c r="E39" s="36" t="s">
        <v>2168</v>
      </c>
      <c r="F39" s="35">
        <f>COUNTIF($B$50:$B$198,A39)</f>
        <v>3</v>
      </c>
      <c r="G39" s="35">
        <f>COUNTIFS($B$50:$B$198,A39,$H$50:$H$198,TRUE)</f>
        <v>3</v>
      </c>
      <c r="H39" s="35" t="str">
        <f>IF(D39="behavioral","INSPECT",IF(AND(F39&gt;0,G39=F39),"PASS","FAIL"))</f>
        <v>PASS</v>
      </c>
    </row>
    <row r="40" spans="1:8" ht="127.5" x14ac:dyDescent="0.2">
      <c r="A40" s="35" t="s">
        <v>2169</v>
      </c>
      <c r="B40" s="35" t="s">
        <v>2081</v>
      </c>
      <c r="C40" s="36" t="s">
        <v>2170</v>
      </c>
      <c r="D40" s="35" t="s">
        <v>2067</v>
      </c>
      <c r="E40" s="36" t="s">
        <v>2171</v>
      </c>
      <c r="F40" s="35">
        <f>COUNTIF($B$50:$B$198,A40)</f>
        <v>5</v>
      </c>
      <c r="G40" s="35">
        <f>COUNTIFS($B$50:$B$198,A40,$H$50:$H$198,TRUE)</f>
        <v>5</v>
      </c>
      <c r="H40" s="35" t="str">
        <f>IF(D40="behavioral","INSPECT",IF(AND(F40&gt;0,G40=F40),"PASS","FAIL"))</f>
        <v>PASS</v>
      </c>
    </row>
    <row r="41" spans="1:8" ht="127.5" x14ac:dyDescent="0.2">
      <c r="A41" s="35" t="s">
        <v>2172</v>
      </c>
      <c r="B41" s="35" t="s">
        <v>2081</v>
      </c>
      <c r="C41" s="36" t="s">
        <v>2170</v>
      </c>
      <c r="D41" s="35" t="s">
        <v>2067</v>
      </c>
      <c r="E41" s="36" t="s">
        <v>2173</v>
      </c>
      <c r="F41" s="35">
        <f>COUNTIF($B$50:$B$198,A41)</f>
        <v>3</v>
      </c>
      <c r="G41" s="35">
        <f>COUNTIFS($B$50:$B$198,A41,$H$50:$H$198,TRUE)</f>
        <v>3</v>
      </c>
      <c r="H41" s="35" t="str">
        <f>IF(D41="behavioral","INSPECT",IF(AND(F41&gt;0,G41=F41),"PASS","FAIL"))</f>
        <v>PASS</v>
      </c>
    </row>
    <row r="42" spans="1:8" ht="165.75" x14ac:dyDescent="0.2">
      <c r="A42" s="35" t="s">
        <v>2174</v>
      </c>
      <c r="B42" s="35" t="s">
        <v>2175</v>
      </c>
      <c r="C42" s="36" t="s">
        <v>2176</v>
      </c>
      <c r="D42" s="35" t="s">
        <v>2067</v>
      </c>
      <c r="E42" s="36" t="s">
        <v>2177</v>
      </c>
      <c r="F42" s="35">
        <f>COUNTIF($B$50:$B$198,A42)</f>
        <v>2</v>
      </c>
      <c r="G42" s="35">
        <f>COUNTIFS($B$50:$B$198,A42,$H$50:$H$198,TRUE)</f>
        <v>2</v>
      </c>
      <c r="H42" s="35" t="str">
        <f>IF(D42="behavioral","INSPECT",IF(AND(F42&gt;0,G42=F42),"PASS","FAIL"))</f>
        <v>PASS</v>
      </c>
    </row>
    <row r="43" spans="1:8" ht="216.75" x14ac:dyDescent="0.2">
      <c r="A43" s="35" t="s">
        <v>2178</v>
      </c>
      <c r="B43" s="35" t="s">
        <v>2179</v>
      </c>
      <c r="C43" s="36" t="s">
        <v>2111</v>
      </c>
      <c r="D43" s="35" t="s">
        <v>2067</v>
      </c>
      <c r="E43" s="36" t="s">
        <v>2180</v>
      </c>
      <c r="F43" s="35">
        <f>COUNTIF($B$50:$B$198,A43)</f>
        <v>6</v>
      </c>
      <c r="G43" s="35">
        <f>COUNTIFS($B$50:$B$198,A43,$H$50:$H$198,TRUE)</f>
        <v>6</v>
      </c>
      <c r="H43" s="35" t="str">
        <f>IF(D43="behavioral","INSPECT",IF(AND(F43&gt;0,G43=F43),"PASS","FAIL"))</f>
        <v>PASS</v>
      </c>
    </row>
    <row r="44" spans="1:8" ht="102" x14ac:dyDescent="0.2">
      <c r="A44" s="35" t="s">
        <v>2181</v>
      </c>
      <c r="B44" s="35" t="s">
        <v>2137</v>
      </c>
      <c r="C44" s="36" t="s">
        <v>2138</v>
      </c>
      <c r="D44" s="35" t="s">
        <v>2067</v>
      </c>
      <c r="E44" s="36" t="s">
        <v>2182</v>
      </c>
      <c r="F44" s="35">
        <f>COUNTIF($B$50:$B$198,A44)</f>
        <v>3</v>
      </c>
      <c r="G44" s="35">
        <f>COUNTIFS($B$50:$B$198,A44,$H$50:$H$198,TRUE)</f>
        <v>3</v>
      </c>
      <c r="H44" s="35" t="str">
        <f>IF(D44="behavioral","INSPECT",IF(AND(F44&gt;0,G44=F44),"PASS","FAIL"))</f>
        <v>PASS</v>
      </c>
    </row>
    <row r="45" spans="1:8" ht="127.5" x14ac:dyDescent="0.2">
      <c r="A45" s="35" t="s">
        <v>2183</v>
      </c>
      <c r="B45" s="35" t="s">
        <v>2148</v>
      </c>
      <c r="C45" s="36" t="s">
        <v>2149</v>
      </c>
      <c r="D45" s="35" t="s">
        <v>2067</v>
      </c>
      <c r="E45" s="36" t="s">
        <v>2184</v>
      </c>
      <c r="F45" s="35">
        <f>COUNTIF($B$50:$B$198,A45)</f>
        <v>5</v>
      </c>
      <c r="G45" s="35">
        <f>COUNTIFS($B$50:$B$198,A45,$H$50:$H$198,TRUE)</f>
        <v>5</v>
      </c>
      <c r="H45" s="35" t="str">
        <f>IF(D45="behavioral","INSPECT",IF(AND(F45&gt;0,G45=F45),"PASS","FAIL"))</f>
        <v>PASS</v>
      </c>
    </row>
    <row r="47" spans="1:8" x14ac:dyDescent="0.2">
      <c r="A47" s="2" t="s">
        <v>2185</v>
      </c>
    </row>
    <row r="49" spans="1:8" x14ac:dyDescent="0.2">
      <c r="A49" s="5" t="s">
        <v>1747</v>
      </c>
      <c r="B49" s="5" t="s">
        <v>2186</v>
      </c>
      <c r="C49" s="5" t="s">
        <v>2187</v>
      </c>
      <c r="D49" s="5" t="s">
        <v>953</v>
      </c>
      <c r="E49" s="5" t="s">
        <v>2188</v>
      </c>
      <c r="F49" s="5" t="s">
        <v>2189</v>
      </c>
      <c r="G49" s="5" t="s">
        <v>1755</v>
      </c>
      <c r="H49" s="5" t="s">
        <v>2190</v>
      </c>
    </row>
    <row r="50" spans="1:8" x14ac:dyDescent="0.2">
      <c r="A50" s="1">
        <v>1</v>
      </c>
      <c r="B50" s="1" t="s">
        <v>2065</v>
      </c>
      <c r="C50" s="1" t="s">
        <v>2191</v>
      </c>
      <c r="D50" s="1" t="s">
        <v>1762</v>
      </c>
      <c r="E50" s="1" t="s">
        <v>2192</v>
      </c>
      <c r="F50" s="37">
        <v>15</v>
      </c>
      <c r="G50" s="37">
        <f>IFERROR(INDEX(nINT_Interval_Value,MATCH("VEC-V01|1|I1",nINT_Key,0)),"(row not found)")</f>
        <v>15</v>
      </c>
      <c r="H50" s="1" t="b">
        <f>IF(ISNUMBER(G50),IF(F50=0,ABS(G50)&lt;=nTOL_ABS,ABS(G50-F50)/ABS(F50)&lt;=nTOL_REL),FALSE)</f>
        <v>1</v>
      </c>
    </row>
    <row r="51" spans="1:8" x14ac:dyDescent="0.2">
      <c r="A51" s="1">
        <v>2</v>
      </c>
      <c r="B51" s="1" t="s">
        <v>2065</v>
      </c>
      <c r="C51" s="1" t="s">
        <v>776</v>
      </c>
      <c r="D51" s="1" t="s">
        <v>1767</v>
      </c>
      <c r="E51" s="1" t="s">
        <v>2193</v>
      </c>
      <c r="F51" s="4" t="s">
        <v>66</v>
      </c>
      <c r="G51" s="37" t="str">
        <f>IFERROR(INDEX(nINT_Unit,MATCH("VEC-V01|1|I1",nINT_Key,0)),"(row not found)")</f>
        <v>minutes</v>
      </c>
      <c r="H51" s="1" t="b">
        <f>EXACT(G51&amp;"",F51&amp;"")</f>
        <v>1</v>
      </c>
    </row>
    <row r="52" spans="1:8" x14ac:dyDescent="0.2">
      <c r="A52" s="1">
        <v>3</v>
      </c>
      <c r="B52" s="1" t="s">
        <v>2065</v>
      </c>
      <c r="C52" s="1" t="s">
        <v>2194</v>
      </c>
      <c r="D52" s="1" t="s">
        <v>1767</v>
      </c>
      <c r="E52" s="1" t="s">
        <v>2195</v>
      </c>
      <c r="F52" s="4" t="s">
        <v>1766</v>
      </c>
      <c r="G52" s="37" t="str">
        <f>IFERROR(INDEX(nINT_Sequence_Status,MATCH("VEC-V01|1|I1",nINT_Key,0)),"(row not found)")</f>
        <v>AFTER</v>
      </c>
      <c r="H52" s="1" t="b">
        <f>EXACT(G52&amp;"",F52&amp;"")</f>
        <v>1</v>
      </c>
    </row>
    <row r="53" spans="1:8" x14ac:dyDescent="0.2">
      <c r="A53" s="1">
        <v>4</v>
      </c>
      <c r="B53" s="1" t="s">
        <v>2065</v>
      </c>
      <c r="C53" s="1" t="s">
        <v>2196</v>
      </c>
      <c r="D53" s="1" t="s">
        <v>2197</v>
      </c>
      <c r="E53" s="1" t="s">
        <v>2198</v>
      </c>
      <c r="F53" s="4" t="s">
        <v>2199</v>
      </c>
      <c r="G53" s="37" t="str">
        <f>IFERROR(INDEX(nINT_QC_Flags,MATCH("VEC-V01|1|I1",nINT_Key,0)),"(row not found)")</f>
        <v/>
      </c>
      <c r="H53" s="1" t="b">
        <f>IF(F53="(none)",G53&amp;""="",EXACT(G53&amp;"",F53&amp;""))</f>
        <v>1</v>
      </c>
    </row>
    <row r="54" spans="1:8" x14ac:dyDescent="0.2">
      <c r="A54" s="1">
        <v>5</v>
      </c>
      <c r="B54" s="1" t="s">
        <v>2069</v>
      </c>
      <c r="C54" s="1" t="s">
        <v>2191</v>
      </c>
      <c r="D54" s="1" t="s">
        <v>1762</v>
      </c>
      <c r="E54" s="1" t="s">
        <v>2200</v>
      </c>
      <c r="F54" s="37">
        <v>5</v>
      </c>
      <c r="G54" s="37">
        <f>IFERROR(INDEX(nINT_Interval_Value,MATCH("VEC-V02|1|I1",nINT_Key,0)),"(row not found)")</f>
        <v>5</v>
      </c>
      <c r="H54" s="1" t="b">
        <f>IF(ISNUMBER(G54),IF(F54=0,ABS(G54)&lt;=nTOL_ABS,ABS(G54-F54)/ABS(F54)&lt;=nTOL_REL),FALSE)</f>
        <v>1</v>
      </c>
    </row>
    <row r="55" spans="1:8" x14ac:dyDescent="0.2">
      <c r="A55" s="1">
        <v>6</v>
      </c>
      <c r="B55" s="1" t="s">
        <v>2069</v>
      </c>
      <c r="C55" s="1" t="s">
        <v>776</v>
      </c>
      <c r="D55" s="1" t="s">
        <v>1767</v>
      </c>
      <c r="E55" s="1" t="s">
        <v>2201</v>
      </c>
      <c r="F55" s="4" t="s">
        <v>69</v>
      </c>
      <c r="G55" s="37" t="str">
        <f>IFERROR(INDEX(nINT_Unit,MATCH("VEC-V02|1|I1",nINT_Key,0)),"(row not found)")</f>
        <v>calendar days</v>
      </c>
      <c r="H55" s="1" t="b">
        <f>EXACT(G55&amp;"",F55&amp;"")</f>
        <v>1</v>
      </c>
    </row>
    <row r="56" spans="1:8" x14ac:dyDescent="0.2">
      <c r="A56" s="1">
        <v>7</v>
      </c>
      <c r="B56" s="1" t="s">
        <v>2069</v>
      </c>
      <c r="C56" s="1" t="s">
        <v>2202</v>
      </c>
      <c r="D56" s="1" t="s">
        <v>1762</v>
      </c>
      <c r="E56" s="1" t="s">
        <v>2203</v>
      </c>
      <c r="F56" s="37">
        <v>6</v>
      </c>
      <c r="G56" s="37">
        <f>IFERROR(INDEX(nINT_Treatment_Day,MATCH("VEC-V02|1|I1",nINT_Key,0)),"(row not found)")</f>
        <v>6</v>
      </c>
      <c r="H56" s="1" t="b">
        <f>IF(ISNUMBER(G56),IF(F56=0,ABS(G56)&lt;=nTOL_ABS,ABS(G56-F56)/ABS(F56)&lt;=nTOL_REL),FALSE)</f>
        <v>1</v>
      </c>
    </row>
    <row r="57" spans="1:8" x14ac:dyDescent="0.2">
      <c r="A57" s="1">
        <v>8</v>
      </c>
      <c r="B57" s="1" t="s">
        <v>2069</v>
      </c>
      <c r="C57" s="1" t="s">
        <v>2194</v>
      </c>
      <c r="D57" s="1" t="s">
        <v>1767</v>
      </c>
      <c r="E57" s="1" t="s">
        <v>2204</v>
      </c>
      <c r="F57" s="4" t="s">
        <v>1766</v>
      </c>
      <c r="G57" s="37" t="str">
        <f>IFERROR(INDEX(nINT_Sequence_Status,MATCH("VEC-V02|1|I1",nINT_Key,0)),"(row not found)")</f>
        <v>AFTER</v>
      </c>
      <c r="H57" s="1" t="b">
        <f>EXACT(G57&amp;"",F57&amp;"")</f>
        <v>1</v>
      </c>
    </row>
    <row r="58" spans="1:8" x14ac:dyDescent="0.2">
      <c r="A58" s="1">
        <v>9</v>
      </c>
      <c r="B58" s="1" t="s">
        <v>2069</v>
      </c>
      <c r="C58" s="1" t="s">
        <v>2196</v>
      </c>
      <c r="D58" s="1" t="s">
        <v>2197</v>
      </c>
      <c r="E58" s="1" t="s">
        <v>2205</v>
      </c>
      <c r="F58" s="4" t="s">
        <v>2199</v>
      </c>
      <c r="G58" s="37" t="str">
        <f>IFERROR(INDEX(nINT_QC_Flags,MATCH("VEC-V02|1|I1",nINT_Key,0)),"(row not found)")</f>
        <v/>
      </c>
      <c r="H58" s="1" t="b">
        <f>IF(F58="(none)",G58&amp;""="",EXACT(G58&amp;"",F58&amp;""))</f>
        <v>1</v>
      </c>
    </row>
    <row r="59" spans="1:8" x14ac:dyDescent="0.2">
      <c r="A59" s="1">
        <v>10</v>
      </c>
      <c r="B59" s="1" t="s">
        <v>2072</v>
      </c>
      <c r="C59" s="1" t="s">
        <v>2191</v>
      </c>
      <c r="D59" s="1" t="s">
        <v>1762</v>
      </c>
      <c r="E59" s="1" t="s">
        <v>2206</v>
      </c>
      <c r="F59" s="37">
        <v>0</v>
      </c>
      <c r="G59" s="37">
        <f>IFERROR(INDEX(nINT_Interval_Value,MATCH("VEC-V03|1|I1",nINT_Key,0)),"(row not found)")</f>
        <v>0</v>
      </c>
      <c r="H59" s="1" t="b">
        <f>IF(ISNUMBER(G59),IF(F59=0,ABS(G59)&lt;=nTOL_ABS,ABS(G59-F59)/ABS(F59)&lt;=nTOL_REL),FALSE)</f>
        <v>1</v>
      </c>
    </row>
    <row r="60" spans="1:8" x14ac:dyDescent="0.2">
      <c r="A60" s="1">
        <v>11</v>
      </c>
      <c r="B60" s="1" t="s">
        <v>2072</v>
      </c>
      <c r="C60" s="1" t="s">
        <v>776</v>
      </c>
      <c r="D60" s="1" t="s">
        <v>1767</v>
      </c>
      <c r="E60" s="1" t="s">
        <v>2207</v>
      </c>
      <c r="F60" s="4" t="s">
        <v>69</v>
      </c>
      <c r="G60" s="37" t="str">
        <f>IFERROR(INDEX(nINT_Unit,MATCH("VEC-V03|1|I1",nINT_Key,0)),"(row not found)")</f>
        <v>calendar days</v>
      </c>
      <c r="H60" s="1" t="b">
        <f>EXACT(G60&amp;"",F60&amp;"")</f>
        <v>1</v>
      </c>
    </row>
    <row r="61" spans="1:8" x14ac:dyDescent="0.2">
      <c r="A61" s="1">
        <v>12</v>
      </c>
      <c r="B61" s="1" t="s">
        <v>2072</v>
      </c>
      <c r="C61" s="1" t="s">
        <v>2194</v>
      </c>
      <c r="D61" s="1" t="s">
        <v>1767</v>
      </c>
      <c r="E61" s="1" t="s">
        <v>2208</v>
      </c>
      <c r="F61" s="4" t="s">
        <v>2209</v>
      </c>
      <c r="G61" s="37" t="str">
        <f>IFERROR(INDEX(nINT_Sequence_Status,MATCH("VEC-V03|1|I1",nINT_Key,0)),"(row not found)")</f>
        <v>SAME_DATE_ORDER_UNKNOWN</v>
      </c>
      <c r="H61" s="1" t="b">
        <f>EXACT(G61&amp;"",F61&amp;"")</f>
        <v>1</v>
      </c>
    </row>
    <row r="62" spans="1:8" x14ac:dyDescent="0.2">
      <c r="A62" s="1">
        <v>13</v>
      </c>
      <c r="B62" s="1" t="s">
        <v>2072</v>
      </c>
      <c r="C62" s="1" t="s">
        <v>2196</v>
      </c>
      <c r="D62" s="1" t="s">
        <v>2197</v>
      </c>
      <c r="E62" s="1" t="s">
        <v>2210</v>
      </c>
      <c r="F62" s="4" t="s">
        <v>240</v>
      </c>
      <c r="G62" s="37" t="str">
        <f>IFERROR(INDEX(nINT_QC_Flags,MATCH("VEC-V03|1|I1",nINT_Key,0)),"(row not found)")</f>
        <v>W_SAME_DATE_ORDER_UNKNOWN</v>
      </c>
      <c r="H62" s="1" t="b">
        <f>IF(F62="(none)",G62&amp;""="",EXACT(G62&amp;"",F62&amp;""))</f>
        <v>1</v>
      </c>
    </row>
    <row r="63" spans="1:8" x14ac:dyDescent="0.2">
      <c r="A63" s="1">
        <v>14</v>
      </c>
      <c r="B63" s="1" t="s">
        <v>2074</v>
      </c>
      <c r="C63" s="1" t="s">
        <v>2191</v>
      </c>
      <c r="D63" s="1" t="s">
        <v>1762</v>
      </c>
      <c r="E63" s="1" t="s">
        <v>2211</v>
      </c>
      <c r="F63" s="37">
        <v>2</v>
      </c>
      <c r="G63" s="37">
        <f>IFERROR(INDEX(nINT_Interval_Value,MATCH("VEC-V04|1|I1",nINT_Key,0)),"(row not found)")</f>
        <v>2</v>
      </c>
      <c r="H63" s="1" t="b">
        <f>IF(ISNUMBER(G63),IF(F63=0,ABS(G63)&lt;=nTOL_ABS,ABS(G63-F63)/ABS(F63)&lt;=nTOL_REL),FALSE)</f>
        <v>1</v>
      </c>
    </row>
    <row r="64" spans="1:8" x14ac:dyDescent="0.2">
      <c r="A64" s="1">
        <v>15</v>
      </c>
      <c r="B64" s="1" t="s">
        <v>2074</v>
      </c>
      <c r="C64" s="1" t="s">
        <v>776</v>
      </c>
      <c r="D64" s="1" t="s">
        <v>1767</v>
      </c>
      <c r="E64" s="1" t="s">
        <v>2212</v>
      </c>
      <c r="F64" s="4" t="s">
        <v>69</v>
      </c>
      <c r="G64" s="37" t="str">
        <f>IFERROR(INDEX(nINT_Unit,MATCH("VEC-V04|1|I1",nINT_Key,0)),"(row not found)")</f>
        <v>calendar days</v>
      </c>
      <c r="H64" s="1" t="b">
        <f>EXACT(G64&amp;"",F64&amp;"")</f>
        <v>1</v>
      </c>
    </row>
    <row r="65" spans="1:8" x14ac:dyDescent="0.2">
      <c r="A65" s="1">
        <v>16</v>
      </c>
      <c r="B65" s="1" t="s">
        <v>2074</v>
      </c>
      <c r="C65" s="1" t="s">
        <v>2194</v>
      </c>
      <c r="D65" s="1" t="s">
        <v>1767</v>
      </c>
      <c r="E65" s="1" t="s">
        <v>2213</v>
      </c>
      <c r="F65" s="4" t="s">
        <v>1766</v>
      </c>
      <c r="G65" s="37" t="str">
        <f>IFERROR(INDEX(nINT_Sequence_Status,MATCH("VEC-V04|1|I1",nINT_Key,0)),"(row not found)")</f>
        <v>AFTER</v>
      </c>
      <c r="H65" s="1" t="b">
        <f>EXACT(G65&amp;"",F65&amp;"")</f>
        <v>1</v>
      </c>
    </row>
    <row r="66" spans="1:8" x14ac:dyDescent="0.2">
      <c r="A66" s="1">
        <v>17</v>
      </c>
      <c r="B66" s="1" t="s">
        <v>2074</v>
      </c>
      <c r="C66" s="1" t="s">
        <v>2196</v>
      </c>
      <c r="D66" s="1" t="s">
        <v>2197</v>
      </c>
      <c r="E66" s="1" t="s">
        <v>2214</v>
      </c>
      <c r="F66" s="4" t="s">
        <v>2199</v>
      </c>
      <c r="G66" s="37" t="str">
        <f>IFERROR(INDEX(nINT_QC_Flags,MATCH("VEC-V04|1|I1",nINT_Key,0)),"(row not found)")</f>
        <v/>
      </c>
      <c r="H66" s="1" t="b">
        <f>IF(F66="(none)",G66&amp;""="",EXACT(G66&amp;"",F66&amp;""))</f>
        <v>1</v>
      </c>
    </row>
    <row r="67" spans="1:8" x14ac:dyDescent="0.2">
      <c r="A67" s="1">
        <v>18</v>
      </c>
      <c r="B67" s="1" t="s">
        <v>2076</v>
      </c>
      <c r="C67" s="1" t="s">
        <v>2215</v>
      </c>
      <c r="D67" s="1" t="s">
        <v>1762</v>
      </c>
      <c r="E67" s="1" t="s">
        <v>2216</v>
      </c>
      <c r="F67" s="37">
        <v>5</v>
      </c>
      <c r="G67" s="37">
        <f>IFERROR(INDEX(nINT_Interval_Minimum,MATCH("VEC-V05|1|I1",nINT_Key,0)),"(row not found)")</f>
        <v>5</v>
      </c>
      <c r="H67" s="1" t="b">
        <f>IF(ISNUMBER(G67),IF(F67=0,ABS(G67)&lt;=nTOL_ABS,ABS(G67-F67)/ABS(F67)&lt;=nTOL_REL),FALSE)</f>
        <v>1</v>
      </c>
    </row>
    <row r="68" spans="1:8" x14ac:dyDescent="0.2">
      <c r="A68" s="1">
        <v>19</v>
      </c>
      <c r="B68" s="1" t="s">
        <v>2076</v>
      </c>
      <c r="C68" s="1" t="s">
        <v>2217</v>
      </c>
      <c r="D68" s="1" t="s">
        <v>1762</v>
      </c>
      <c r="E68" s="1" t="s">
        <v>2218</v>
      </c>
      <c r="F68" s="37">
        <v>14</v>
      </c>
      <c r="G68" s="37">
        <f>IFERROR(INDEX(nINT_Interval_Maximum,MATCH("VEC-V05|1|I1",nINT_Key,0)),"(row not found)")</f>
        <v>14</v>
      </c>
      <c r="H68" s="1" t="b">
        <f>IF(ISNUMBER(G68),IF(F68=0,ABS(G68)&lt;=nTOL_ABS,ABS(G68-F68)/ABS(F68)&lt;=nTOL_REL),FALSE)</f>
        <v>1</v>
      </c>
    </row>
    <row r="69" spans="1:8" x14ac:dyDescent="0.2">
      <c r="A69" s="1">
        <v>20</v>
      </c>
      <c r="B69" s="1" t="s">
        <v>2076</v>
      </c>
      <c r="C69" s="1" t="s">
        <v>776</v>
      </c>
      <c r="D69" s="1" t="s">
        <v>1767</v>
      </c>
      <c r="E69" s="1" t="s">
        <v>2219</v>
      </c>
      <c r="F69" s="4" t="s">
        <v>69</v>
      </c>
      <c r="G69" s="37" t="str">
        <f>IFERROR(INDEX(nINT_Unit,MATCH("VEC-V05|1|I1",nINT_Key,0)),"(row not found)")</f>
        <v>calendar days</v>
      </c>
      <c r="H69" s="1" t="b">
        <f>EXACT(G69&amp;"",F69&amp;"")</f>
        <v>1</v>
      </c>
    </row>
    <row r="70" spans="1:8" x14ac:dyDescent="0.2">
      <c r="A70" s="1">
        <v>21</v>
      </c>
      <c r="B70" s="1" t="s">
        <v>2076</v>
      </c>
      <c r="C70" s="1" t="s">
        <v>2194</v>
      </c>
      <c r="D70" s="1" t="s">
        <v>1767</v>
      </c>
      <c r="E70" s="1" t="s">
        <v>2220</v>
      </c>
      <c r="F70" s="4" t="s">
        <v>1766</v>
      </c>
      <c r="G70" s="37" t="str">
        <f>IFERROR(INDEX(nINT_Sequence_Status,MATCH("VEC-V05|1|I1",nINT_Key,0)),"(row not found)")</f>
        <v>AFTER</v>
      </c>
      <c r="H70" s="1" t="b">
        <f>EXACT(G70&amp;"",F70&amp;"")</f>
        <v>1</v>
      </c>
    </row>
    <row r="71" spans="1:8" x14ac:dyDescent="0.2">
      <c r="A71" s="1">
        <v>22</v>
      </c>
      <c r="B71" s="1" t="s">
        <v>2076</v>
      </c>
      <c r="C71" s="1" t="s">
        <v>2196</v>
      </c>
      <c r="D71" s="1" t="s">
        <v>2197</v>
      </c>
      <c r="E71" s="1" t="s">
        <v>2221</v>
      </c>
      <c r="F71" s="4" t="s">
        <v>2199</v>
      </c>
      <c r="G71" s="37" t="str">
        <f>IFERROR(INDEX(nINT_QC_Flags,MATCH("VEC-V05|1|I1",nINT_Key,0)),"(row not found)")</f>
        <v/>
      </c>
      <c r="H71" s="1" t="b">
        <f>IF(F71="(none)",G71&amp;""="",EXACT(G71&amp;"",F71&amp;""))</f>
        <v>1</v>
      </c>
    </row>
    <row r="72" spans="1:8" x14ac:dyDescent="0.2">
      <c r="A72" s="1">
        <v>23</v>
      </c>
      <c r="B72" s="1" t="s">
        <v>2078</v>
      </c>
      <c r="C72" s="1" t="s">
        <v>2215</v>
      </c>
      <c r="D72" s="1" t="s">
        <v>1762</v>
      </c>
      <c r="E72" s="1" t="s">
        <v>2222</v>
      </c>
      <c r="F72" s="37">
        <v>-5</v>
      </c>
      <c r="G72" s="37">
        <f>IFERROR(INDEX(nINT_Interval_Minimum,MATCH("VEC-V06|1|I1",nINT_Key,0)),"(row not found)")</f>
        <v>-5</v>
      </c>
      <c r="H72" s="1" t="b">
        <f>IF(ISNUMBER(G72),IF(F72=0,ABS(G72)&lt;=nTOL_ABS,ABS(G72-F72)/ABS(F72)&lt;=nTOL_REL),FALSE)</f>
        <v>1</v>
      </c>
    </row>
    <row r="73" spans="1:8" x14ac:dyDescent="0.2">
      <c r="A73" s="1">
        <v>24</v>
      </c>
      <c r="B73" s="1" t="s">
        <v>2078</v>
      </c>
      <c r="C73" s="1" t="s">
        <v>2217</v>
      </c>
      <c r="D73" s="1" t="s">
        <v>1762</v>
      </c>
      <c r="E73" s="1" t="s">
        <v>2223</v>
      </c>
      <c r="F73" s="37">
        <v>4</v>
      </c>
      <c r="G73" s="37">
        <f>IFERROR(INDEX(nINT_Interval_Maximum,MATCH("VEC-V06|1|I1",nINT_Key,0)),"(row not found)")</f>
        <v>4</v>
      </c>
      <c r="H73" s="1" t="b">
        <f>IF(ISNUMBER(G73),IF(F73=0,ABS(G73)&lt;=nTOL_ABS,ABS(G73-F73)/ABS(F73)&lt;=nTOL_REL),FALSE)</f>
        <v>1</v>
      </c>
    </row>
    <row r="74" spans="1:8" x14ac:dyDescent="0.2">
      <c r="A74" s="1">
        <v>25</v>
      </c>
      <c r="B74" s="1" t="s">
        <v>2078</v>
      </c>
      <c r="C74" s="1" t="s">
        <v>776</v>
      </c>
      <c r="D74" s="1" t="s">
        <v>1767</v>
      </c>
      <c r="E74" s="1" t="s">
        <v>2224</v>
      </c>
      <c r="F74" s="4" t="s">
        <v>69</v>
      </c>
      <c r="G74" s="37" t="str">
        <f>IFERROR(INDEX(nINT_Unit,MATCH("VEC-V06|1|I1",nINT_Key,0)),"(row not found)")</f>
        <v>calendar days</v>
      </c>
      <c r="H74" s="1" t="b">
        <f>EXACT(G74&amp;"",F74&amp;"")</f>
        <v>1</v>
      </c>
    </row>
    <row r="75" spans="1:8" x14ac:dyDescent="0.2">
      <c r="A75" s="1">
        <v>26</v>
      </c>
      <c r="B75" s="1" t="s">
        <v>2078</v>
      </c>
      <c r="C75" s="1" t="s">
        <v>2194</v>
      </c>
      <c r="D75" s="1" t="s">
        <v>1767</v>
      </c>
      <c r="E75" s="1" t="s">
        <v>2225</v>
      </c>
      <c r="F75" s="4" t="s">
        <v>1951</v>
      </c>
      <c r="G75" s="37" t="str">
        <f>IFERROR(INDEX(nINT_Sequence_Status,MATCH("VEC-V06|1|I1",nINT_Key,0)),"(row not found)")</f>
        <v>SEQUENCE_UNCERTAIN</v>
      </c>
      <c r="H75" s="1" t="b">
        <f>EXACT(G75&amp;"",F75&amp;"")</f>
        <v>1</v>
      </c>
    </row>
    <row r="76" spans="1:8" x14ac:dyDescent="0.2">
      <c r="A76" s="1">
        <v>27</v>
      </c>
      <c r="B76" s="1" t="s">
        <v>2078</v>
      </c>
      <c r="C76" s="1" t="s">
        <v>2196</v>
      </c>
      <c r="D76" s="1" t="s">
        <v>2197</v>
      </c>
      <c r="E76" s="1" t="s">
        <v>2226</v>
      </c>
      <c r="F76" s="4" t="s">
        <v>243</v>
      </c>
      <c r="G76" s="37" t="str">
        <f>IFERROR(INDEX(nINT_QC_Flags,MATCH("VEC-V06|1|I1",nINT_Key,0)),"(row not found)")</f>
        <v>W_SEQUENCE_UNCERTAIN</v>
      </c>
      <c r="H76" s="1" t="b">
        <f>IF(F76="(none)",G76&amp;""="",EXACT(G76&amp;"",F76&amp;""))</f>
        <v>1</v>
      </c>
    </row>
    <row r="77" spans="1:8" x14ac:dyDescent="0.2">
      <c r="A77" s="1">
        <v>28</v>
      </c>
      <c r="B77" s="1" t="s">
        <v>2080</v>
      </c>
      <c r="C77" s="1" t="s">
        <v>2227</v>
      </c>
      <c r="D77" s="1" t="s">
        <v>1767</v>
      </c>
      <c r="E77" s="1" t="s">
        <v>2228</v>
      </c>
      <c r="F77" s="4" t="s">
        <v>572</v>
      </c>
      <c r="G77" s="37" t="str">
        <f>IFERROR(INDEX(nINT_Anchor_ISO,MATCH("VEC-V07|1|I1",nINT_Key,0)),"(row not found)")</f>
        <v>2026-03-02T08:00-05:00</v>
      </c>
      <c r="H77" s="1" t="b">
        <f>EXACT(G77&amp;"",F77&amp;"")</f>
        <v>1</v>
      </c>
    </row>
    <row r="78" spans="1:8" x14ac:dyDescent="0.2">
      <c r="A78" s="1">
        <v>29</v>
      </c>
      <c r="B78" s="1" t="s">
        <v>2080</v>
      </c>
      <c r="C78" s="1" t="s">
        <v>2191</v>
      </c>
      <c r="D78" s="1" t="s">
        <v>1762</v>
      </c>
      <c r="E78" s="1" t="s">
        <v>2229</v>
      </c>
      <c r="F78" s="37">
        <v>720</v>
      </c>
      <c r="G78" s="37">
        <f>IFERROR(INDEX(nINT_Interval_Value,MATCH("VEC-V07|1|I1",nINT_Key,0)),"(row not found)")</f>
        <v>720</v>
      </c>
      <c r="H78" s="1" t="b">
        <f>IF(ISNUMBER(G78),IF(F78=0,ABS(G78)&lt;=nTOL_ABS,ABS(G78-F78)/ABS(F78)&lt;=nTOL_REL),FALSE)</f>
        <v>1</v>
      </c>
    </row>
    <row r="79" spans="1:8" x14ac:dyDescent="0.2">
      <c r="A79" s="1">
        <v>30</v>
      </c>
      <c r="B79" s="1" t="s">
        <v>2080</v>
      </c>
      <c r="C79" s="1" t="s">
        <v>776</v>
      </c>
      <c r="D79" s="1" t="s">
        <v>1767</v>
      </c>
      <c r="E79" s="1" t="s">
        <v>2230</v>
      </c>
      <c r="F79" s="4" t="s">
        <v>66</v>
      </c>
      <c r="G79" s="37" t="str">
        <f>IFERROR(INDEX(nINT_Unit,MATCH("VEC-V07|1|I1",nINT_Key,0)),"(row not found)")</f>
        <v>minutes</v>
      </c>
      <c r="H79" s="1" t="b">
        <f>EXACT(G79&amp;"",F79&amp;"")</f>
        <v>1</v>
      </c>
    </row>
    <row r="80" spans="1:8" x14ac:dyDescent="0.2">
      <c r="A80" s="1">
        <v>31</v>
      </c>
      <c r="B80" s="1" t="s">
        <v>2080</v>
      </c>
      <c r="C80" s="1" t="s">
        <v>2194</v>
      </c>
      <c r="D80" s="1" t="s">
        <v>1767</v>
      </c>
      <c r="E80" s="1" t="s">
        <v>2231</v>
      </c>
      <c r="F80" s="4" t="s">
        <v>1766</v>
      </c>
      <c r="G80" s="37" t="str">
        <f>IFERROR(INDEX(nINT_Sequence_Status,MATCH("VEC-V07|1|I1",nINT_Key,0)),"(row not found)")</f>
        <v>AFTER</v>
      </c>
      <c r="H80" s="1" t="b">
        <f>EXACT(G80&amp;"",F80&amp;"")</f>
        <v>1</v>
      </c>
    </row>
    <row r="81" spans="1:8" x14ac:dyDescent="0.2">
      <c r="A81" s="1">
        <v>32</v>
      </c>
      <c r="B81" s="1" t="s">
        <v>2080</v>
      </c>
      <c r="C81" s="1" t="s">
        <v>2196</v>
      </c>
      <c r="D81" s="1" t="s">
        <v>2197</v>
      </c>
      <c r="E81" s="1" t="s">
        <v>2232</v>
      </c>
      <c r="F81" s="4" t="s">
        <v>2199</v>
      </c>
      <c r="G81" s="37" t="str">
        <f>IFERROR(INDEX(nINT_QC_Flags,MATCH("VEC-V07|1|I1",nINT_Key,0)),"(row not found)")</f>
        <v/>
      </c>
      <c r="H81" s="1" t="b">
        <f>IF(F81="(none)",G81&amp;""="",EXACT(G81&amp;"",F81&amp;""))</f>
        <v>1</v>
      </c>
    </row>
    <row r="82" spans="1:8" x14ac:dyDescent="0.2">
      <c r="A82" s="1">
        <v>33</v>
      </c>
      <c r="B82" s="1" t="s">
        <v>2084</v>
      </c>
      <c r="C82" s="1" t="s">
        <v>2233</v>
      </c>
      <c r="D82" s="1" t="s">
        <v>1762</v>
      </c>
      <c r="E82" s="1" t="s">
        <v>2234</v>
      </c>
      <c r="F82" s="37">
        <v>44</v>
      </c>
      <c r="G82" s="37">
        <f>IFERROR(INDEX(nINT_Interval_Value,MATCH("VEC-V08|1|I1",nINT_Key,0)),"(row not found)")</f>
        <v>44</v>
      </c>
      <c r="H82" s="1" t="b">
        <f>IF(ISNUMBER(G82),IF(F82=0,ABS(G82)&lt;=nTOL_ABS,ABS(G82-F82)/ABS(F82)&lt;=nTOL_REL),FALSE)</f>
        <v>1</v>
      </c>
    </row>
    <row r="83" spans="1:8" x14ac:dyDescent="0.2">
      <c r="A83" s="1">
        <v>34</v>
      </c>
      <c r="B83" s="1" t="s">
        <v>2084</v>
      </c>
      <c r="C83" s="1" t="s">
        <v>2235</v>
      </c>
      <c r="D83" s="1" t="s">
        <v>1762</v>
      </c>
      <c r="E83" s="1" t="s">
        <v>2236</v>
      </c>
      <c r="F83" s="37">
        <v>4</v>
      </c>
      <c r="G83" s="37">
        <f>IFERROR(INDEX(nINT_Interval_Value,MATCH("VEC-V08|1|I2",nINT_Key,0)),"(row not found)")</f>
        <v>4</v>
      </c>
      <c r="H83" s="1" t="b">
        <f>IF(ISNUMBER(G83),IF(F83=0,ABS(G83)&lt;=nTOL_ABS,ABS(G83-F83)/ABS(F83)&lt;=nTOL_REL),FALSE)</f>
        <v>1</v>
      </c>
    </row>
    <row r="84" spans="1:8" x14ac:dyDescent="0.2">
      <c r="A84" s="1">
        <v>35</v>
      </c>
      <c r="B84" s="1" t="s">
        <v>2084</v>
      </c>
      <c r="C84" s="1" t="s">
        <v>2237</v>
      </c>
      <c r="D84" s="1" t="s">
        <v>1767</v>
      </c>
      <c r="E84" s="1" t="s">
        <v>2238</v>
      </c>
      <c r="F84" s="4" t="s">
        <v>69</v>
      </c>
      <c r="G84" s="37" t="str">
        <f>IFERROR(INDEX(nINT_Unit,MATCH("VEC-V08|1|I1",nINT_Key,0)),"(row not found)")</f>
        <v>calendar days</v>
      </c>
      <c r="H84" s="1" t="b">
        <f>EXACT(G84&amp;"",F84&amp;"")</f>
        <v>1</v>
      </c>
    </row>
    <row r="85" spans="1:8" x14ac:dyDescent="0.2">
      <c r="A85" s="1">
        <v>36</v>
      </c>
      <c r="B85" s="1" t="s">
        <v>2084</v>
      </c>
      <c r="C85" s="1" t="s">
        <v>2239</v>
      </c>
      <c r="D85" s="1" t="s">
        <v>2197</v>
      </c>
      <c r="E85" s="1" t="s">
        <v>2240</v>
      </c>
      <c r="F85" s="4" t="s">
        <v>2199</v>
      </c>
      <c r="G85" s="37" t="str">
        <f>IFERROR(INDEX(nINT_QC_Flags,MATCH("VEC-V08|1|I1",nINT_Key,0)),"(row not found)")</f>
        <v/>
      </c>
      <c r="H85" s="1" t="b">
        <f>IF(F85="(none)",G85&amp;""="",EXACT(G85&amp;"",F85&amp;""))</f>
        <v>1</v>
      </c>
    </row>
    <row r="86" spans="1:8" x14ac:dyDescent="0.2">
      <c r="A86" s="1">
        <v>37</v>
      </c>
      <c r="B86" s="1" t="s">
        <v>2084</v>
      </c>
      <c r="C86" s="1" t="s">
        <v>2241</v>
      </c>
      <c r="D86" s="1" t="s">
        <v>2197</v>
      </c>
      <c r="E86" s="1" t="s">
        <v>2242</v>
      </c>
      <c r="F86" s="4" t="s">
        <v>2199</v>
      </c>
      <c r="G86" s="37" t="str">
        <f>IFERROR(INDEX(nINT_QC_Flags,MATCH("VEC-V08|1|I2",nINT_Key,0)),"(row not found)")</f>
        <v/>
      </c>
      <c r="H86" s="1" t="b">
        <f>IF(F86="(none)",G86&amp;""="",EXACT(G86&amp;"",F86&amp;""))</f>
        <v>1</v>
      </c>
    </row>
    <row r="87" spans="1:8" x14ac:dyDescent="0.2">
      <c r="A87" s="1">
        <v>38</v>
      </c>
      <c r="B87" s="1" t="s">
        <v>2087</v>
      </c>
      <c r="C87" s="1" t="s">
        <v>2191</v>
      </c>
      <c r="D87" s="1" t="s">
        <v>1762</v>
      </c>
      <c r="E87" s="1" t="s">
        <v>2243</v>
      </c>
      <c r="F87" s="37">
        <v>60</v>
      </c>
      <c r="G87" s="37">
        <f>IFERROR(INDEX(nINT_Interval_Value,MATCH("VEC-V09|1|I1",nINT_Key,0)),"(row not found)")</f>
        <v>60</v>
      </c>
      <c r="H87" s="1" t="b">
        <f>IF(ISNUMBER(G87),IF(F87=0,ABS(G87)&lt;=nTOL_ABS,ABS(G87-F87)/ABS(F87)&lt;=nTOL_REL),FALSE)</f>
        <v>1</v>
      </c>
    </row>
    <row r="88" spans="1:8" x14ac:dyDescent="0.2">
      <c r="A88" s="1">
        <v>39</v>
      </c>
      <c r="B88" s="1" t="s">
        <v>2087</v>
      </c>
      <c r="C88" s="1" t="s">
        <v>776</v>
      </c>
      <c r="D88" s="1" t="s">
        <v>1767</v>
      </c>
      <c r="E88" s="1" t="s">
        <v>2244</v>
      </c>
      <c r="F88" s="4" t="s">
        <v>66</v>
      </c>
      <c r="G88" s="37" t="str">
        <f>IFERROR(INDEX(nINT_Unit,MATCH("VEC-V09|1|I1",nINT_Key,0)),"(row not found)")</f>
        <v>minutes</v>
      </c>
      <c r="H88" s="1" t="b">
        <f>EXACT(G88&amp;"",F88&amp;"")</f>
        <v>1</v>
      </c>
    </row>
    <row r="89" spans="1:8" x14ac:dyDescent="0.2">
      <c r="A89" s="1">
        <v>40</v>
      </c>
      <c r="B89" s="1" t="s">
        <v>2087</v>
      </c>
      <c r="C89" s="1" t="s">
        <v>2194</v>
      </c>
      <c r="D89" s="1" t="s">
        <v>1767</v>
      </c>
      <c r="E89" s="1" t="s">
        <v>2245</v>
      </c>
      <c r="F89" s="4" t="s">
        <v>1766</v>
      </c>
      <c r="G89" s="37" t="str">
        <f>IFERROR(INDEX(nINT_Sequence_Status,MATCH("VEC-V09|1|I1",nINT_Key,0)),"(row not found)")</f>
        <v>AFTER</v>
      </c>
      <c r="H89" s="1" t="b">
        <f>EXACT(G89&amp;"",F89&amp;"")</f>
        <v>1</v>
      </c>
    </row>
    <row r="90" spans="1:8" x14ac:dyDescent="0.2">
      <c r="A90" s="1">
        <v>41</v>
      </c>
      <c r="B90" s="1" t="s">
        <v>2087</v>
      </c>
      <c r="C90" s="1" t="s">
        <v>2196</v>
      </c>
      <c r="D90" s="1" t="s">
        <v>2197</v>
      </c>
      <c r="E90" s="1" t="s">
        <v>2246</v>
      </c>
      <c r="F90" s="4" t="s">
        <v>2199</v>
      </c>
      <c r="G90" s="37" t="str">
        <f>IFERROR(INDEX(nINT_QC_Flags,MATCH("VEC-V09|1|I1",nINT_Key,0)),"(row not found)")</f>
        <v/>
      </c>
      <c r="H90" s="1" t="b">
        <f>IF(F90="(none)",G90&amp;""="",EXACT(G90&amp;"",F90&amp;""))</f>
        <v>1</v>
      </c>
    </row>
    <row r="91" spans="1:8" x14ac:dyDescent="0.2">
      <c r="A91" s="1">
        <v>42</v>
      </c>
      <c r="B91" s="1" t="s">
        <v>2089</v>
      </c>
      <c r="C91" s="1" t="s">
        <v>2191</v>
      </c>
      <c r="D91" s="1" t="s">
        <v>1762</v>
      </c>
      <c r="E91" s="1" t="s">
        <v>2247</v>
      </c>
      <c r="F91" s="37">
        <v>120</v>
      </c>
      <c r="G91" s="37">
        <f>IFERROR(INDEX(nINT_Interval_Value,MATCH("VEC-V10|1|I1",nINT_Key,0)),"(row not found)")</f>
        <v>120</v>
      </c>
      <c r="H91" s="1" t="b">
        <f>IF(ISNUMBER(G91),IF(F91=0,ABS(G91)&lt;=nTOL_ABS,ABS(G91-F91)/ABS(F91)&lt;=nTOL_REL),FALSE)</f>
        <v>1</v>
      </c>
    </row>
    <row r="92" spans="1:8" x14ac:dyDescent="0.2">
      <c r="A92" s="1">
        <v>43</v>
      </c>
      <c r="B92" s="1" t="s">
        <v>2089</v>
      </c>
      <c r="C92" s="1" t="s">
        <v>776</v>
      </c>
      <c r="D92" s="1" t="s">
        <v>1767</v>
      </c>
      <c r="E92" s="1" t="s">
        <v>2248</v>
      </c>
      <c r="F92" s="4" t="s">
        <v>1857</v>
      </c>
      <c r="G92" s="37" t="str">
        <f>IFERROR(INDEX(nINT_Unit,MATCH("VEC-V10|1|I1",nINT_Key,0)),"(row not found)")</f>
        <v>minutes (local clock)</v>
      </c>
      <c r="H92" s="1" t="b">
        <f>EXACT(G92&amp;"",F92&amp;"")</f>
        <v>1</v>
      </c>
    </row>
    <row r="93" spans="1:8" x14ac:dyDescent="0.2">
      <c r="A93" s="1">
        <v>44</v>
      </c>
      <c r="B93" s="1" t="s">
        <v>2089</v>
      </c>
      <c r="C93" s="1" t="s">
        <v>2194</v>
      </c>
      <c r="D93" s="1" t="s">
        <v>1767</v>
      </c>
      <c r="E93" s="1" t="s">
        <v>2249</v>
      </c>
      <c r="F93" s="4" t="s">
        <v>1766</v>
      </c>
      <c r="G93" s="37" t="str">
        <f>IFERROR(INDEX(nINT_Sequence_Status,MATCH("VEC-V10|1|I1",nINT_Key,0)),"(row not found)")</f>
        <v>AFTER</v>
      </c>
      <c r="H93" s="1" t="b">
        <f>EXACT(G93&amp;"",F93&amp;"")</f>
        <v>1</v>
      </c>
    </row>
    <row r="94" spans="1:8" x14ac:dyDescent="0.2">
      <c r="A94" s="1">
        <v>45</v>
      </c>
      <c r="B94" s="1" t="s">
        <v>2089</v>
      </c>
      <c r="C94" s="1" t="s">
        <v>2196</v>
      </c>
      <c r="D94" s="1" t="s">
        <v>2197</v>
      </c>
      <c r="E94" s="1" t="s">
        <v>2250</v>
      </c>
      <c r="F94" s="4" t="s">
        <v>236</v>
      </c>
      <c r="G94" s="37" t="str">
        <f>IFERROR(INDEX(nINT_QC_Flags,MATCH("VEC-V10|1|I1",nINT_Key,0)),"(row not found)")</f>
        <v>W_TZ_UNKNOWN</v>
      </c>
      <c r="H94" s="1" t="b">
        <f>IF(F94="(none)",G94&amp;""="",EXACT(G94&amp;"",F94&amp;""))</f>
        <v>1</v>
      </c>
    </row>
    <row r="95" spans="1:8" x14ac:dyDescent="0.2">
      <c r="A95" s="1">
        <v>46</v>
      </c>
      <c r="B95" s="1" t="s">
        <v>2091</v>
      </c>
      <c r="C95" s="1" t="s">
        <v>2191</v>
      </c>
      <c r="D95" s="1" t="s">
        <v>1762</v>
      </c>
      <c r="E95" s="1" t="s">
        <v>2251</v>
      </c>
      <c r="F95" s="37">
        <v>360</v>
      </c>
      <c r="G95" s="37">
        <f>IFERROR(INDEX(nINT_Interval_Value,MATCH("VEC-V11|1|I1",nINT_Key,0)),"(row not found)")</f>
        <v>360</v>
      </c>
      <c r="H95" s="1" t="b">
        <f>IF(ISNUMBER(G95),IF(F95=0,ABS(G95)&lt;=nTOL_ABS,ABS(G95-F95)/ABS(F95)&lt;=nTOL_REL),FALSE)</f>
        <v>1</v>
      </c>
    </row>
    <row r="96" spans="1:8" x14ac:dyDescent="0.2">
      <c r="A96" s="1">
        <v>47</v>
      </c>
      <c r="B96" s="1" t="s">
        <v>2091</v>
      </c>
      <c r="C96" s="1" t="s">
        <v>776</v>
      </c>
      <c r="D96" s="1" t="s">
        <v>1767</v>
      </c>
      <c r="E96" s="1" t="s">
        <v>2252</v>
      </c>
      <c r="F96" s="4" t="s">
        <v>66</v>
      </c>
      <c r="G96" s="37" t="str">
        <f>IFERROR(INDEX(nINT_Unit,MATCH("VEC-V11|1|I1",nINT_Key,0)),"(row not found)")</f>
        <v>minutes</v>
      </c>
      <c r="H96" s="1" t="b">
        <f>EXACT(G96&amp;"",F96&amp;"")</f>
        <v>1</v>
      </c>
    </row>
    <row r="97" spans="1:8" x14ac:dyDescent="0.2">
      <c r="A97" s="1">
        <v>48</v>
      </c>
      <c r="B97" s="1" t="s">
        <v>2091</v>
      </c>
      <c r="C97" s="1" t="s">
        <v>2253</v>
      </c>
      <c r="D97" s="1" t="s">
        <v>1812</v>
      </c>
      <c r="E97" s="1" t="s">
        <v>2254</v>
      </c>
      <c r="F97" s="4" t="s">
        <v>1185</v>
      </c>
      <c r="G97" s="37" t="str">
        <f>IFERROR(INDEX(nINT_Reported_Timing_Result,MATCH("VEC-V11|1|I1",nINT_Key,0)),"(row not found)")</f>
        <v>Conflicts with the computed interval; both kept. Reported: "two hours after the dose" [120 to 120 minutes]</v>
      </c>
      <c r="H97" s="1" t="b">
        <f>ISNUMBER(SEARCH(F97,G97))</f>
        <v>1</v>
      </c>
    </row>
    <row r="98" spans="1:8" x14ac:dyDescent="0.2">
      <c r="A98" s="1">
        <v>49</v>
      </c>
      <c r="B98" s="1" t="s">
        <v>2091</v>
      </c>
      <c r="C98" s="1" t="s">
        <v>2196</v>
      </c>
      <c r="D98" s="1" t="s">
        <v>2197</v>
      </c>
      <c r="E98" s="1" t="s">
        <v>2255</v>
      </c>
      <c r="F98" s="4" t="s">
        <v>249</v>
      </c>
      <c r="G98" s="37" t="str">
        <f>IFERROR(INDEX(nINT_QC_Flags,MATCH("VEC-V11|1|I1",nINT_Key,0)),"(row not found)")</f>
        <v>W_REPORTED_TIMING_CONFLICT</v>
      </c>
      <c r="H98" s="1" t="b">
        <f>IF(F98="(none)",G98&amp;""="",EXACT(G98&amp;"",F98&amp;""))</f>
        <v>1</v>
      </c>
    </row>
    <row r="99" spans="1:8" x14ac:dyDescent="0.2">
      <c r="A99" s="1">
        <v>50</v>
      </c>
      <c r="B99" s="1" t="s">
        <v>2094</v>
      </c>
      <c r="C99" s="1" t="s">
        <v>2256</v>
      </c>
      <c r="D99" s="1" t="s">
        <v>1762</v>
      </c>
      <c r="E99" s="1" t="s">
        <v>2257</v>
      </c>
      <c r="F99" s="37">
        <v>9</v>
      </c>
      <c r="G99" s="37">
        <f>IFERROR(INDEX(nINT_Interval_Value,MATCH("VEC-V12|1|I1",nINT_Key,0)),"(row not found)")</f>
        <v>9</v>
      </c>
      <c r="H99" s="1" t="b">
        <f>IF(ISNUMBER(G99),IF(F99=0,ABS(G99)&lt;=nTOL_ABS,ABS(G99-F99)/ABS(F99)&lt;=nTOL_REL),FALSE)</f>
        <v>1</v>
      </c>
    </row>
    <row r="100" spans="1:8" x14ac:dyDescent="0.2">
      <c r="A100" s="1">
        <v>51</v>
      </c>
      <c r="B100" s="1" t="s">
        <v>2094</v>
      </c>
      <c r="C100" s="1" t="s">
        <v>2258</v>
      </c>
      <c r="D100" s="1" t="s">
        <v>1762</v>
      </c>
      <c r="E100" s="1" t="s">
        <v>2259</v>
      </c>
      <c r="F100" s="37">
        <v>7</v>
      </c>
      <c r="G100" s="37">
        <f>IFERROR(INDEX(nINT_Interval_Value,MATCH("VEC-V12|2|I1",nINT_Key,0)),"(row not found)")</f>
        <v>7</v>
      </c>
      <c r="H100" s="1" t="b">
        <f>IF(ISNUMBER(G100),IF(F100=0,ABS(G100)&lt;=nTOL_ABS,ABS(G100-F100)/ABS(F100)&lt;=nTOL_REL),FALSE)</f>
        <v>1</v>
      </c>
    </row>
    <row r="101" spans="1:8" x14ac:dyDescent="0.2">
      <c r="A101" s="1">
        <v>52</v>
      </c>
      <c r="B101" s="1" t="s">
        <v>2099</v>
      </c>
      <c r="C101" s="1" t="s">
        <v>2260</v>
      </c>
      <c r="D101" s="1" t="s">
        <v>2197</v>
      </c>
      <c r="E101" s="1" t="s">
        <v>2261</v>
      </c>
      <c r="F101" s="4" t="s">
        <v>202</v>
      </c>
      <c r="G101" s="37" t="str">
        <f>IFERROR(INDEX(nINT_QC_Flags,MATCH("VEC-V13|1|I-DATE",nINT_Key,0)),"(row not found)")</f>
        <v>E_INVALID_DATE</v>
      </c>
      <c r="H101" s="1" t="b">
        <f>IF(F101="(none)",G101&amp;""="",EXACT(G101&amp;"",F101&amp;""))</f>
        <v>1</v>
      </c>
    </row>
    <row r="102" spans="1:8" x14ac:dyDescent="0.2">
      <c r="A102" s="1">
        <v>53</v>
      </c>
      <c r="B102" s="1" t="s">
        <v>2099</v>
      </c>
      <c r="C102" s="1" t="s">
        <v>2262</v>
      </c>
      <c r="D102" s="1" t="s">
        <v>2197</v>
      </c>
      <c r="E102" s="1" t="s">
        <v>2263</v>
      </c>
      <c r="F102" s="4" t="s">
        <v>206</v>
      </c>
      <c r="G102" s="37" t="str">
        <f>IFERROR(INDEX(nINT_QC_Flags,MATCH("VEC-V13|1|I-BOUNDS",nINT_Key,0)),"(row not found)")</f>
        <v>E_REVERSED_BOUNDS</v>
      </c>
      <c r="H102" s="1" t="b">
        <f>IF(F102="(none)",G102&amp;""="",EXACT(G102&amp;"",F102&amp;""))</f>
        <v>1</v>
      </c>
    </row>
    <row r="103" spans="1:8" x14ac:dyDescent="0.2">
      <c r="A103" s="1">
        <v>54</v>
      </c>
      <c r="B103" s="1" t="s">
        <v>2099</v>
      </c>
      <c r="C103" s="1" t="s">
        <v>2264</v>
      </c>
      <c r="D103" s="1" t="s">
        <v>2197</v>
      </c>
      <c r="E103" s="1" t="s">
        <v>2265</v>
      </c>
      <c r="F103" s="4" t="s">
        <v>209</v>
      </c>
      <c r="G103" s="37" t="str">
        <f>IFERROR(INDEX(nINT_QC_Flags,MATCH("VEC-V13|1|I-IDS",nINT_Key,0)),"(row not found)")</f>
        <v>E_DUPLICATE_ID</v>
      </c>
      <c r="H103" s="1" t="b">
        <f>IF(F103="(none)",G103&amp;""="",EXACT(G103&amp;"",F103&amp;""))</f>
        <v>1</v>
      </c>
    </row>
    <row r="104" spans="1:8" x14ac:dyDescent="0.2">
      <c r="A104" s="1">
        <v>55</v>
      </c>
      <c r="B104" s="1" t="s">
        <v>2099</v>
      </c>
      <c r="C104" s="1" t="s">
        <v>2266</v>
      </c>
      <c r="D104" s="1" t="s">
        <v>2197</v>
      </c>
      <c r="E104" s="1" t="s">
        <v>2267</v>
      </c>
      <c r="F104" s="4" t="s">
        <v>212</v>
      </c>
      <c r="G104" s="37" t="str">
        <f>IFERROR(INDEX(nINT_QC_Flags,MATCH("VEC-V13|1|I-LINK",nINT_Key,0)),"(row not found)")</f>
        <v>E_MISSING_LINK</v>
      </c>
      <c r="H104" s="1" t="b">
        <f>IF(F104="(none)",G104&amp;""="",EXACT(G104&amp;"",F104&amp;""))</f>
        <v>1</v>
      </c>
    </row>
    <row r="105" spans="1:8" x14ac:dyDescent="0.2">
      <c r="A105" s="1">
        <v>56</v>
      </c>
      <c r="B105" s="1" t="s">
        <v>2107</v>
      </c>
      <c r="C105" s="1" t="s">
        <v>2268</v>
      </c>
      <c r="D105" s="1" t="s">
        <v>2269</v>
      </c>
      <c r="E105" s="1" t="s">
        <v>2270</v>
      </c>
      <c r="F105" s="4" t="s">
        <v>2271</v>
      </c>
      <c r="G105" s="37" t="str">
        <f>IFERROR(INDEX(nINT_Interval_Value,MATCH("VEC-V15|1|I1",nINT_Key,0)),"(row not found)")</f>
        <v/>
      </c>
      <c r="H105" s="1" t="b">
        <f>G105&amp;""=""</f>
        <v>1</v>
      </c>
    </row>
    <row r="106" spans="1:8" x14ac:dyDescent="0.2">
      <c r="A106" s="1">
        <v>57</v>
      </c>
      <c r="B106" s="1" t="s">
        <v>2107</v>
      </c>
      <c r="C106" s="1" t="s">
        <v>2272</v>
      </c>
      <c r="D106" s="1" t="s">
        <v>1767</v>
      </c>
      <c r="E106" s="1" t="s">
        <v>2273</v>
      </c>
      <c r="F106" s="4" t="s">
        <v>268</v>
      </c>
      <c r="G106" s="37" t="str">
        <f>IFERROR(INDEX(nINT_C6_Code,MATCH("VEC-V15|1|I1",nINT_Key,0)),"(row not found)")</f>
        <v>I_APPROXIMATE_NOT_COMPARED</v>
      </c>
      <c r="H106" s="1" t="b">
        <f>EXACT(G106&amp;"",F106&amp;"")</f>
        <v>1</v>
      </c>
    </row>
    <row r="107" spans="1:8" x14ac:dyDescent="0.2">
      <c r="A107" s="1">
        <v>58</v>
      </c>
      <c r="B107" s="1" t="s">
        <v>2109</v>
      </c>
      <c r="C107" s="1" t="s">
        <v>2274</v>
      </c>
      <c r="D107" s="1" t="s">
        <v>1762</v>
      </c>
      <c r="E107" s="1" t="s">
        <v>2275</v>
      </c>
      <c r="F107" s="37">
        <v>0.125</v>
      </c>
      <c r="G107" s="37">
        <f>IFERROR(INDEX(nQ1_Fraction_Remaining,MATCH("VEC-V16|1|Q1-V16",nQ1_Key,0)),"(row not found)")</f>
        <v>0.125</v>
      </c>
      <c r="H107" s="1" t="b">
        <f>IF(ISNUMBER(G107),IF(F107=0,ABS(G107)&lt;=nTOL_ABS,ABS(G107-F107)/ABS(F107)&lt;=nTOL_REL),FALSE)</f>
        <v>1</v>
      </c>
    </row>
    <row r="108" spans="1:8" x14ac:dyDescent="0.2">
      <c r="A108" s="1">
        <v>59</v>
      </c>
      <c r="B108" s="1" t="s">
        <v>2109</v>
      </c>
      <c r="C108" s="1" t="s">
        <v>2276</v>
      </c>
      <c r="D108" s="1" t="s">
        <v>1762</v>
      </c>
      <c r="E108" s="1" t="s">
        <v>2277</v>
      </c>
      <c r="F108" s="37">
        <v>2.8881133E-2</v>
      </c>
      <c r="G108" s="37">
        <f>IFERROR(INDEX(nQ1_k_per_hour,MATCH("VEC-V16|1|Q1-V16",nQ1_Key,0)),"(row not found)")</f>
        <v>2.8881132523331052E-2</v>
      </c>
      <c r="H108" s="1" t="b">
        <f>IF(ISNUMBER(G108),IF(F108=0,ABS(G108)&lt;=nTOL_ABS,ABS(G108-F108)/ABS(F108)&lt;=nTOL_REL),FALSE)</f>
        <v>1</v>
      </c>
    </row>
    <row r="109" spans="1:8" x14ac:dyDescent="0.2">
      <c r="A109" s="1">
        <v>60</v>
      </c>
      <c r="B109" s="1" t="s">
        <v>2109</v>
      </c>
      <c r="C109" s="1" t="s">
        <v>2196</v>
      </c>
      <c r="D109" s="1" t="s">
        <v>2197</v>
      </c>
      <c r="E109" s="1" t="s">
        <v>2278</v>
      </c>
      <c r="F109" s="4" t="s">
        <v>2199</v>
      </c>
      <c r="G109" s="37" t="str">
        <f>IFERROR(INDEX(nQ1_QC_Flags,MATCH("VEC-V16|1|Q1-V16",nQ1_Key,0)),"(row not found)")</f>
        <v/>
      </c>
      <c r="H109" s="1" t="b">
        <f>IF(F109="(none)",G109&amp;""="",EXACT(G109&amp;"",F109&amp;""))</f>
        <v>1</v>
      </c>
    </row>
    <row r="110" spans="1:8" x14ac:dyDescent="0.2">
      <c r="A110" s="1">
        <v>61</v>
      </c>
      <c r="B110" s="1" t="s">
        <v>2113</v>
      </c>
      <c r="C110" s="1" t="s">
        <v>2279</v>
      </c>
      <c r="D110" s="1" t="s">
        <v>1762</v>
      </c>
      <c r="E110" s="1" t="s">
        <v>2280</v>
      </c>
      <c r="F110" s="37">
        <v>79.726274000000004</v>
      </c>
      <c r="G110" s="37">
        <f>IFERROR(INDEX(nQ2_Time_to_f,MATCH("VEC-V17|1|Q2-V17",nQ2_Key,0)),"(row not found)")</f>
        <v>79.72627427729671</v>
      </c>
      <c r="H110" s="1" t="b">
        <f>IF(ISNUMBER(G110),IF(F110=0,ABS(G110)&lt;=nTOL_ABS,ABS(G110-F110)/ABS(F110)&lt;=nTOL_REL),FALSE)</f>
        <v>1</v>
      </c>
    </row>
    <row r="111" spans="1:8" x14ac:dyDescent="0.2">
      <c r="A111" s="1">
        <v>62</v>
      </c>
      <c r="B111" s="1" t="s">
        <v>2113</v>
      </c>
      <c r="C111" s="1" t="s">
        <v>2281</v>
      </c>
      <c r="D111" s="1" t="s">
        <v>1762</v>
      </c>
      <c r="E111" s="1" t="s">
        <v>2282</v>
      </c>
      <c r="F111" s="37">
        <v>3.3219280000000002</v>
      </c>
      <c r="G111" s="37">
        <f>IFERROR(INDEX(nQ2_Half_Lives,MATCH("VEC-V17|1|Q2-V17",nQ2_Key,0)),"(row not found)")</f>
        <v>3.3219280948873626</v>
      </c>
      <c r="H111" s="1" t="b">
        <f>IF(ISNUMBER(G111),IF(F111=0,ABS(G111)&lt;=nTOL_ABS,ABS(G111-F111)/ABS(F111)&lt;=nTOL_REL),FALSE)</f>
        <v>1</v>
      </c>
    </row>
    <row r="112" spans="1:8" x14ac:dyDescent="0.2">
      <c r="A112" s="1">
        <v>63</v>
      </c>
      <c r="B112" s="1" t="s">
        <v>2113</v>
      </c>
      <c r="C112" s="1" t="s">
        <v>2196</v>
      </c>
      <c r="D112" s="1" t="s">
        <v>2197</v>
      </c>
      <c r="E112" s="1" t="s">
        <v>2283</v>
      </c>
      <c r="F112" s="4" t="s">
        <v>2199</v>
      </c>
      <c r="G112" s="37" t="str">
        <f>IFERROR(INDEX(nQ2_QC_Flags,MATCH("VEC-V17|1|Q2-V17",nQ2_Key,0)),"(row not found)")</f>
        <v/>
      </c>
      <c r="H112" s="1" t="b">
        <f>IF(F112="(none)",G112&amp;""="",EXACT(G112&amp;"",F112&amp;""))</f>
        <v>1</v>
      </c>
    </row>
    <row r="113" spans="1:8" x14ac:dyDescent="0.2">
      <c r="A113" s="1">
        <v>64</v>
      </c>
      <c r="B113" s="1" t="s">
        <v>2117</v>
      </c>
      <c r="C113" s="1" t="s">
        <v>2284</v>
      </c>
      <c r="D113" s="1" t="s">
        <v>1762</v>
      </c>
      <c r="E113" s="1" t="s">
        <v>2285</v>
      </c>
      <c r="F113" s="37">
        <v>3.4142139999999999</v>
      </c>
      <c r="G113" s="37">
        <f>IFERROR(INDEX(nQ3_Accumulation_Factor,MATCH("VEC-V18|1|Q3-V18",nQ3_Key,0)),"(row not found)")</f>
        <v>3.4142135623730945</v>
      </c>
      <c r="H113" s="1" t="b">
        <f>IF(ISNUMBER(G113),IF(F113=0,ABS(G113)&lt;=nTOL_ABS,ABS(G113-F113)/ABS(F113)&lt;=nTOL_REL),FALSE)</f>
        <v>1</v>
      </c>
    </row>
    <row r="114" spans="1:8" x14ac:dyDescent="0.2">
      <c r="A114" s="1">
        <v>65</v>
      </c>
      <c r="B114" s="1" t="s">
        <v>2117</v>
      </c>
      <c r="C114" s="1" t="s">
        <v>2196</v>
      </c>
      <c r="D114" s="1" t="s">
        <v>2197</v>
      </c>
      <c r="E114" s="1" t="s">
        <v>2286</v>
      </c>
      <c r="F114" s="4" t="s">
        <v>2199</v>
      </c>
      <c r="G114" s="37" t="str">
        <f>IFERROR(INDEX(nQ3_QC_Flags,MATCH("VEC-V18|1|Q3-V18",nQ3_Key,0)),"(row not found)")</f>
        <v/>
      </c>
      <c r="H114" s="1" t="b">
        <f>IF(F114="(none)",G114&amp;""="",EXACT(G114&amp;"",F114&amp;""))</f>
        <v>1</v>
      </c>
    </row>
    <row r="115" spans="1:8" x14ac:dyDescent="0.2">
      <c r="A115" s="1">
        <v>66</v>
      </c>
      <c r="B115" s="1" t="s">
        <v>2120</v>
      </c>
      <c r="C115" s="1" t="s">
        <v>2287</v>
      </c>
      <c r="D115" s="1" t="s">
        <v>1762</v>
      </c>
      <c r="E115" s="1" t="s">
        <v>2288</v>
      </c>
      <c r="F115" s="37">
        <v>2</v>
      </c>
      <c r="G115" s="37">
        <f>IFERROR(INDEX(nQ4_HalfLife_Ratio,MATCH("VEC-V19|1|Q4-V19",nQ4_Key,0)),"(row not found)")</f>
        <v>2</v>
      </c>
      <c r="H115" s="1" t="b">
        <f>IF(ISNUMBER(G115),IF(F115=0,ABS(G115)&lt;=nTOL_ABS,ABS(G115-F115)/ABS(F115)&lt;=nTOL_REL),FALSE)</f>
        <v>1</v>
      </c>
    </row>
    <row r="116" spans="1:8" x14ac:dyDescent="0.2">
      <c r="A116" s="1">
        <v>67</v>
      </c>
      <c r="B116" s="1" t="s">
        <v>2120</v>
      </c>
      <c r="C116" s="1" t="s">
        <v>2289</v>
      </c>
      <c r="D116" s="1" t="s">
        <v>1762</v>
      </c>
      <c r="E116" s="1" t="s">
        <v>2290</v>
      </c>
      <c r="F116" s="37">
        <v>2</v>
      </c>
      <c r="G116" s="37">
        <f>IFERROR(INDEX(nQ4_Css_Ratio,MATCH("VEC-V19|1|Q4-V19",nQ4_Key,0)),"(row not found)")</f>
        <v>2</v>
      </c>
      <c r="H116" s="1" t="b">
        <f>IF(ISNUMBER(G116),IF(F116=0,ABS(G116)&lt;=nTOL_ABS,ABS(G116-F116)/ABS(F116)&lt;=nTOL_REL),FALSE)</f>
        <v>1</v>
      </c>
    </row>
    <row r="117" spans="1:8" x14ac:dyDescent="0.2">
      <c r="A117" s="1">
        <v>68</v>
      </c>
      <c r="B117" s="1" t="s">
        <v>2120</v>
      </c>
      <c r="C117" s="1" t="s">
        <v>2196</v>
      </c>
      <c r="D117" s="1" t="s">
        <v>2197</v>
      </c>
      <c r="E117" s="1" t="s">
        <v>2291</v>
      </c>
      <c r="F117" s="4" t="s">
        <v>2199</v>
      </c>
      <c r="G117" s="37" t="str">
        <f>IFERROR(INDEX(nQ4_QC_Flags,MATCH("VEC-V19|1|Q4-V19",nQ4_Key,0)),"(row not found)")</f>
        <v/>
      </c>
      <c r="H117" s="1" t="b">
        <f>IF(F117="(none)",G117&amp;""="",EXACT(G117&amp;"",F117&amp;""))</f>
        <v>1</v>
      </c>
    </row>
    <row r="118" spans="1:8" x14ac:dyDescent="0.2">
      <c r="A118" s="1">
        <v>69</v>
      </c>
      <c r="B118" s="1" t="s">
        <v>2124</v>
      </c>
      <c r="C118" s="1" t="s">
        <v>2292</v>
      </c>
      <c r="D118" s="1" t="s">
        <v>1762</v>
      </c>
      <c r="E118" s="1" t="s">
        <v>2293</v>
      </c>
      <c r="F118" s="37">
        <v>0.390625</v>
      </c>
      <c r="G118" s="37">
        <f>IFERROR(INDEX(nQ5_Parent_Percent,MATCH("VEC-V20|1|Q5-V20",nQ5_Key,0)),"(row not found)")</f>
        <v>0.390625</v>
      </c>
      <c r="H118" s="1" t="b">
        <f>IF(ISNUMBER(G118),IF(F118=0,ABS(G118)&lt;=nTOL_ABS,ABS(G118-F118)/ABS(F118)&lt;=nTOL_REL),FALSE)</f>
        <v>1</v>
      </c>
    </row>
    <row r="119" spans="1:8" x14ac:dyDescent="0.2">
      <c r="A119" s="1">
        <v>70</v>
      </c>
      <c r="B119" s="1" t="s">
        <v>2124</v>
      </c>
      <c r="C119" s="1" t="s">
        <v>2294</v>
      </c>
      <c r="D119" s="1" t="s">
        <v>1762</v>
      </c>
      <c r="E119" s="1" t="s">
        <v>2295</v>
      </c>
      <c r="F119" s="37">
        <v>62.996051999999999</v>
      </c>
      <c r="G119" s="37">
        <f>IFERROR(INDEX(nQ5_Metabolite_Percent,MATCH("VEC-V20|1|Q5-V20",nQ5_Key,0)),"(row not found)")</f>
        <v>62.996052494743658</v>
      </c>
      <c r="H119" s="1" t="b">
        <f>IF(ISNUMBER(G119),IF(F119=0,ABS(G119)&lt;=nTOL_ABS,ABS(G119-F119)/ABS(F119)&lt;=nTOL_REL),FALSE)</f>
        <v>1</v>
      </c>
    </row>
    <row r="120" spans="1:8" x14ac:dyDescent="0.2">
      <c r="A120" s="1">
        <v>71</v>
      </c>
      <c r="B120" s="1" t="s">
        <v>2124</v>
      </c>
      <c r="C120" s="1" t="s">
        <v>2196</v>
      </c>
      <c r="D120" s="1" t="s">
        <v>2197</v>
      </c>
      <c r="E120" s="1" t="s">
        <v>2296</v>
      </c>
      <c r="F120" s="4" t="s">
        <v>2199</v>
      </c>
      <c r="G120" s="37" t="str">
        <f>IFERROR(INDEX(nQ5_QC_Flags,MATCH("VEC-V20|1|Q5-V20",nQ5_Key,0)),"(row not found)")</f>
        <v/>
      </c>
      <c r="H120" s="1" t="b">
        <f>IF(F120="(none)",G120&amp;""="",EXACT(G120&amp;"",F120&amp;""))</f>
        <v>1</v>
      </c>
    </row>
    <row r="121" spans="1:8" x14ac:dyDescent="0.2">
      <c r="A121" s="1">
        <v>72</v>
      </c>
      <c r="B121" s="1" t="s">
        <v>2128</v>
      </c>
      <c r="C121" s="1" t="s">
        <v>2297</v>
      </c>
      <c r="D121" s="1" t="s">
        <v>1762</v>
      </c>
      <c r="E121" s="1" t="s">
        <v>2298</v>
      </c>
      <c r="F121" s="37">
        <v>0.75</v>
      </c>
      <c r="G121" s="37">
        <f>IFERROR(INDEX(nQ6_Fraction_Q6,MATCH("VEC-V21|1|Q6-V21",nQ6_Key,0)),"(row not found)")</f>
        <v>0.75</v>
      </c>
      <c r="H121" s="1" t="b">
        <f>IF(ISNUMBER(G121),IF(F121=0,ABS(G121)&lt;=nTOL_ABS,ABS(G121-F121)/ABS(F121)&lt;=nTOL_REL),FALSE)</f>
        <v>1</v>
      </c>
    </row>
    <row r="122" spans="1:8" x14ac:dyDescent="0.2">
      <c r="A122" s="1">
        <v>73</v>
      </c>
      <c r="B122" s="1" t="s">
        <v>2128</v>
      </c>
      <c r="C122" s="1" t="s">
        <v>2196</v>
      </c>
      <c r="D122" s="1" t="s">
        <v>2197</v>
      </c>
      <c r="E122" s="1" t="s">
        <v>2299</v>
      </c>
      <c r="F122" s="4" t="s">
        <v>274</v>
      </c>
      <c r="G122" s="37" t="str">
        <f>IFERROR(INDEX(nQ6_QC_Flags,MATCH("VEC-V21|1|Q6-V21",nQ6_Key,0)),"(row not found)")</f>
        <v>I_TEACHING_DEMONSTRATION</v>
      </c>
      <c r="H122" s="1" t="b">
        <f>IF(F122="(none)",G122&amp;""="",EXACT(G122&amp;"",F122&amp;""))</f>
        <v>1</v>
      </c>
    </row>
    <row r="123" spans="1:8" x14ac:dyDescent="0.2">
      <c r="A123" s="1">
        <v>74</v>
      </c>
      <c r="B123" s="1" t="s">
        <v>2132</v>
      </c>
      <c r="C123" s="1" t="s">
        <v>2274</v>
      </c>
      <c r="D123" s="1" t="s">
        <v>1762</v>
      </c>
      <c r="E123" s="1" t="s">
        <v>2300</v>
      </c>
      <c r="F123" s="37">
        <v>0.25</v>
      </c>
      <c r="G123" s="37">
        <f>IFERROR(INDEX(nQ7_Fraction_Remaining,MATCH("VEC-V22|1|Q7-V22",nQ7_Key,0)),"(row not found)")</f>
        <v>0.25</v>
      </c>
      <c r="H123" s="1" t="b">
        <f>IF(ISNUMBER(G123),IF(F123=0,ABS(G123)&lt;=nTOL_ABS,ABS(G123-F123)/ABS(F123)&lt;=nTOL_REL),FALSE)</f>
        <v>1</v>
      </c>
    </row>
    <row r="124" spans="1:8" x14ac:dyDescent="0.2">
      <c r="A124" s="1">
        <v>75</v>
      </c>
      <c r="B124" s="1" t="s">
        <v>2132</v>
      </c>
      <c r="C124" s="1" t="s">
        <v>2196</v>
      </c>
      <c r="D124" s="1" t="s">
        <v>2197</v>
      </c>
      <c r="E124" s="1" t="s">
        <v>2301</v>
      </c>
      <c r="F124" s="4" t="s">
        <v>255</v>
      </c>
      <c r="G124" s="37" t="str">
        <f>IFERROR(INDEX(nQ7_QC_Flags,MATCH("VEC-V22|1|Q7-V22",nQ7_Key,0)),"(row not found)")</f>
        <v>W_BIOLOGIC_MODEL_CAUTION</v>
      </c>
      <c r="H124" s="1" t="b">
        <f>IF(F124="(none)",G124&amp;""="",EXACT(G124&amp;"",F124&amp;""))</f>
        <v>1</v>
      </c>
    </row>
    <row r="125" spans="1:8" x14ac:dyDescent="0.2">
      <c r="A125" s="1">
        <v>76</v>
      </c>
      <c r="B125" s="1" t="s">
        <v>2136</v>
      </c>
      <c r="C125" s="1" t="s">
        <v>2302</v>
      </c>
      <c r="D125" s="1" t="s">
        <v>1762</v>
      </c>
      <c r="E125" s="1" t="s">
        <v>2303</v>
      </c>
      <c r="F125" s="37">
        <v>6.25E-2</v>
      </c>
      <c r="G125" s="37">
        <f>IFERROR(INDEX(nQ8_Fraction_at_Lower,MATCH("VEC-V23|1|Q8-V23",nQ8_Key,0)),"(row not found)")</f>
        <v>6.25E-2</v>
      </c>
      <c r="H125" s="1" t="b">
        <f>IF(ISNUMBER(G125),IF(F125=0,ABS(G125)&lt;=nTOL_ABS,ABS(G125-F125)/ABS(F125)&lt;=nTOL_REL),FALSE)</f>
        <v>1</v>
      </c>
    </row>
    <row r="126" spans="1:8" x14ac:dyDescent="0.2">
      <c r="A126" s="1">
        <v>77</v>
      </c>
      <c r="B126" s="1" t="s">
        <v>2136</v>
      </c>
      <c r="C126" s="1" t="s">
        <v>2304</v>
      </c>
      <c r="D126" s="1" t="s">
        <v>1762</v>
      </c>
      <c r="E126" s="1" t="s">
        <v>2305</v>
      </c>
      <c r="F126" s="37">
        <v>0.25</v>
      </c>
      <c r="G126" s="37">
        <f>IFERROR(INDEX(nQ8_Fraction_at_Upper,MATCH("VEC-V23|1|Q8-V23",nQ8_Key,0)),"(row not found)")</f>
        <v>0.25</v>
      </c>
      <c r="H126" s="1" t="b">
        <f>IF(ISNUMBER(G126),IF(F126=0,ABS(G126)&lt;=nTOL_ABS,ABS(G126-F126)/ABS(F126)&lt;=nTOL_REL),FALSE)</f>
        <v>1</v>
      </c>
    </row>
    <row r="127" spans="1:8" x14ac:dyDescent="0.2">
      <c r="A127" s="1">
        <v>78</v>
      </c>
      <c r="B127" s="1" t="s">
        <v>2136</v>
      </c>
      <c r="C127" s="1" t="s">
        <v>2196</v>
      </c>
      <c r="D127" s="1" t="s">
        <v>2197</v>
      </c>
      <c r="E127" s="1" t="s">
        <v>2306</v>
      </c>
      <c r="F127" s="4" t="s">
        <v>271</v>
      </c>
      <c r="G127" s="37" t="str">
        <f>IFERROR(INDEX(nQ8_QC_Flags,MATCH("VEC-V23|1|Q8-V23",nQ8_Key,0)),"(row not found)")</f>
        <v>I_SCENARIO_NOT_CI</v>
      </c>
      <c r="H127" s="1" t="b">
        <f>IF(F127="(none)",G127&amp;""="",EXACT(G127&amp;"",F127&amp;""))</f>
        <v>1</v>
      </c>
    </row>
    <row r="128" spans="1:8" x14ac:dyDescent="0.2">
      <c r="A128" s="1">
        <v>79</v>
      </c>
      <c r="B128" s="1" t="s">
        <v>2140</v>
      </c>
      <c r="C128" s="1" t="s">
        <v>2307</v>
      </c>
      <c r="D128" s="1" t="s">
        <v>2197</v>
      </c>
      <c r="E128" s="1" t="s">
        <v>2308</v>
      </c>
      <c r="F128" s="4" t="s">
        <v>221</v>
      </c>
      <c r="G128" s="37" t="str">
        <f>IFERROR(INDEX(nQ1_QC_Flags,MATCH("VEC-V24|1|Q1-V24a",nQ1_Key,0)),"(row not found)")</f>
        <v>E_NONPOSITIVE_PARAMETER</v>
      </c>
      <c r="H128" s="1" t="b">
        <f>IF(F128="(none)",G128&amp;""="",EXACT(G128&amp;"",F128&amp;""))</f>
        <v>1</v>
      </c>
    </row>
    <row r="129" spans="1:8" x14ac:dyDescent="0.2">
      <c r="A129" s="1">
        <v>80</v>
      </c>
      <c r="B129" s="1" t="s">
        <v>2140</v>
      </c>
      <c r="C129" s="1" t="s">
        <v>2309</v>
      </c>
      <c r="D129" s="1" t="s">
        <v>2197</v>
      </c>
      <c r="E129" s="1" t="s">
        <v>2310</v>
      </c>
      <c r="F129" s="4" t="s">
        <v>218</v>
      </c>
      <c r="G129" s="37" t="str">
        <f>IFERROR(INDEX(nQ1_QC_Flags,MATCH("VEC-V24|1|Q1-V24b",nQ1_Key,0)),"(row not found)")</f>
        <v>E_INVALID_UNIT</v>
      </c>
      <c r="H129" s="1" t="b">
        <f>IF(F129="(none)",G129&amp;""="",EXACT(G129&amp;"",F129&amp;""))</f>
        <v>1</v>
      </c>
    </row>
    <row r="130" spans="1:8" x14ac:dyDescent="0.2">
      <c r="A130" s="1">
        <v>81</v>
      </c>
      <c r="B130" s="1" t="s">
        <v>2140</v>
      </c>
      <c r="C130" s="1" t="s">
        <v>2311</v>
      </c>
      <c r="D130" s="1" t="s">
        <v>2197</v>
      </c>
      <c r="E130" s="1" t="s">
        <v>2312</v>
      </c>
      <c r="F130" s="4" t="s">
        <v>227</v>
      </c>
      <c r="G130" s="37" t="str">
        <f>IFERROR(INDEX(nQ1_QC_Flags,MATCH("VEC-V24|1|Q1-V24c",nQ1_Key,0)),"(row not found)")</f>
        <v>E_APPLICABILITY_UNCONFIRMED</v>
      </c>
      <c r="H130" s="1" t="b">
        <f>IF(F130="(none)",G130&amp;""="",EXACT(G130&amp;"",F130&amp;""))</f>
        <v>1</v>
      </c>
    </row>
    <row r="131" spans="1:8" x14ac:dyDescent="0.2">
      <c r="A131" s="1">
        <v>82</v>
      </c>
      <c r="B131" s="1" t="s">
        <v>2140</v>
      </c>
      <c r="C131" s="1" t="s">
        <v>2313</v>
      </c>
      <c r="D131" s="1" t="s">
        <v>1812</v>
      </c>
      <c r="E131" s="1" t="s">
        <v>2314</v>
      </c>
      <c r="F131" s="4" t="s">
        <v>83</v>
      </c>
      <c r="G131" s="37" t="str">
        <f>IFERROR(INDEX(nQ1_Parameter_Set,MATCH("VEC-V16|1|Q1-V16",nQ1_Key,0)),"(row not found)")</f>
        <v>t_half = 24 hours [hypothetical example; V34 V16]; t = 72 hours [hypothetical example; V34 V16]</v>
      </c>
      <c r="H131" s="1" t="b">
        <f>ISNUMBER(SEARCH(F131,G131))</f>
        <v>1</v>
      </c>
    </row>
    <row r="132" spans="1:8" x14ac:dyDescent="0.2">
      <c r="A132" s="1">
        <v>83</v>
      </c>
      <c r="B132" s="1" t="s">
        <v>2143</v>
      </c>
      <c r="C132" s="1" t="s">
        <v>2315</v>
      </c>
      <c r="D132" s="1" t="s">
        <v>1762</v>
      </c>
      <c r="E132" s="1" t="s">
        <v>2316</v>
      </c>
      <c r="F132" s="37">
        <v>58.333333000000003</v>
      </c>
      <c r="G132" s="37">
        <f>IFERROR(INDEX(nQ9_Amount_mg,MATCH("VEC-V25|1|Q9-V25",nQ9_Key,0)),"(row not found)")</f>
        <v>58.333333333333336</v>
      </c>
      <c r="H132" s="1" t="b">
        <f>IF(ISNUMBER(G132),IF(F132=0,ABS(G132)&lt;=nTOL_ABS,ABS(G132-F132)/ABS(F132)&lt;=nTOL_REL),FALSE)</f>
        <v>1</v>
      </c>
    </row>
    <row r="133" spans="1:8" x14ac:dyDescent="0.2">
      <c r="A133" s="1">
        <v>84</v>
      </c>
      <c r="B133" s="1" t="s">
        <v>2143</v>
      </c>
      <c r="C133" s="1" t="s">
        <v>2317</v>
      </c>
      <c r="D133" s="1" t="s">
        <v>1762</v>
      </c>
      <c r="E133" s="1" t="s">
        <v>2318</v>
      </c>
      <c r="F133" s="37">
        <v>11.666667</v>
      </c>
      <c r="G133" s="37">
        <f>IFERROR(INDEX(nQ9_Percent_of_Planned,MATCH("VEC-V25|1|Q9-V25",nQ9_Key,0)),"(row not found)")</f>
        <v>11.666666666666668</v>
      </c>
      <c r="H133" s="1" t="b">
        <f>IF(ISNUMBER(G133),IF(F133=0,ABS(G133)&lt;=nTOL_ABS,ABS(G133-F133)/ABS(F133)&lt;=nTOL_REL),FALSE)</f>
        <v>1</v>
      </c>
    </row>
    <row r="134" spans="1:8" x14ac:dyDescent="0.2">
      <c r="A134" s="1">
        <v>85</v>
      </c>
      <c r="B134" s="1" t="s">
        <v>2143</v>
      </c>
      <c r="C134" s="1" t="s">
        <v>2196</v>
      </c>
      <c r="D134" s="1" t="s">
        <v>2197</v>
      </c>
      <c r="E134" s="1" t="s">
        <v>2319</v>
      </c>
      <c r="F134" s="4" t="s">
        <v>2199</v>
      </c>
      <c r="G134" s="37" t="str">
        <f>IFERROR(INDEX(nQ9_QC_Flags,MATCH("VEC-V25|1|Q9-V25",nQ9_Key,0)),"(row not found)")</f>
        <v/>
      </c>
      <c r="H134" s="1" t="b">
        <f>IF(F134="(none)",G134&amp;""="",EXACT(G134&amp;"",F134&amp;""))</f>
        <v>1</v>
      </c>
    </row>
    <row r="135" spans="1:8" x14ac:dyDescent="0.2">
      <c r="A135" s="1">
        <v>86</v>
      </c>
      <c r="B135" s="1" t="s">
        <v>2147</v>
      </c>
      <c r="C135" s="1" t="s">
        <v>2320</v>
      </c>
      <c r="D135" s="1" t="s">
        <v>1762</v>
      </c>
      <c r="E135" s="1" t="s">
        <v>2321</v>
      </c>
      <c r="F135" s="37">
        <v>164.052288</v>
      </c>
      <c r="G135" s="37">
        <f>IFERROR(INDEX(nQ10_Method_A_mg_m2,MATCH("VEC-V26|1|Q10-V26-first",nQ10_Key,0)),"(row not found)")</f>
        <v>164.05228758169935</v>
      </c>
      <c r="H135" s="1" t="b">
        <f>IF(ISNUMBER(G135),IF(F135=0,ABS(G135)&lt;=nTOL_ABS,ABS(G135-F135)/ABS(F135)&lt;=nTOL_REL),FALSE)</f>
        <v>1</v>
      </c>
    </row>
    <row r="136" spans="1:8" x14ac:dyDescent="0.2">
      <c r="A136" s="1">
        <v>87</v>
      </c>
      <c r="B136" s="1" t="s">
        <v>2147</v>
      </c>
      <c r="C136" s="1" t="s">
        <v>2322</v>
      </c>
      <c r="D136" s="1" t="s">
        <v>1762</v>
      </c>
      <c r="E136" s="1" t="s">
        <v>2323</v>
      </c>
      <c r="F136" s="37">
        <v>161.11111099999999</v>
      </c>
      <c r="G136" s="37">
        <f>IFERROR(INDEX(nQ10_Method_B_mg_m2,MATCH("VEC-V26|1|Q10-V26-first",nQ10_Key,0)),"(row not found)")</f>
        <v>161.11111111111111</v>
      </c>
      <c r="H136" s="1" t="b">
        <f>IF(ISNUMBER(G136),IF(F136=0,ABS(G136)&lt;=nTOL_ABS,ABS(G136-F136)/ABS(F136)&lt;=nTOL_REL),FALSE)</f>
        <v>1</v>
      </c>
    </row>
    <row r="137" spans="1:8" x14ac:dyDescent="0.2">
      <c r="A137" s="1">
        <v>88</v>
      </c>
      <c r="B137" s="1" t="s">
        <v>2147</v>
      </c>
      <c r="C137" s="1" t="s">
        <v>2324</v>
      </c>
      <c r="D137" s="1" t="s">
        <v>1762</v>
      </c>
      <c r="E137" s="1" t="s">
        <v>2325</v>
      </c>
      <c r="F137" s="37">
        <v>170.588235</v>
      </c>
      <c r="G137" s="37">
        <f>IFERROR(INDEX(nQ10_Method_B_mg_m2,MATCH("VEC-V26|1|Q10-V26-last",nQ10_Key,0)),"(row not found)")</f>
        <v>170.58823529411765</v>
      </c>
      <c r="H137" s="1" t="b">
        <f>IF(ISNUMBER(G137),IF(F137=0,ABS(G137)&lt;=nTOL_ABS,ABS(G137-F137)/ABS(F137)&lt;=nTOL_REL),FALSE)</f>
        <v>1</v>
      </c>
    </row>
    <row r="138" spans="1:8" x14ac:dyDescent="0.2">
      <c r="A138" s="1">
        <v>89</v>
      </c>
      <c r="B138" s="1" t="s">
        <v>2147</v>
      </c>
      <c r="C138" s="1" t="s">
        <v>2196</v>
      </c>
      <c r="D138" s="1" t="s">
        <v>2197</v>
      </c>
      <c r="E138" s="1" t="s">
        <v>2326</v>
      </c>
      <c r="F138" s="4" t="s">
        <v>2199</v>
      </c>
      <c r="G138" s="37" t="str">
        <f>IFERROR(INDEX(nQ10_QC_Flags,MATCH("VEC-V26|1|Q10-V26-first",nQ10_Key,0)),"(row not found)")</f>
        <v/>
      </c>
      <c r="H138" s="1" t="b">
        <f>IF(F138="(none)",G138&amp;""="",EXACT(G138&amp;"",F138&amp;""))</f>
        <v>1</v>
      </c>
    </row>
    <row r="139" spans="1:8" x14ac:dyDescent="0.2">
      <c r="A139" s="1">
        <v>90</v>
      </c>
      <c r="B139" s="1" t="s">
        <v>2151</v>
      </c>
      <c r="C139" s="1" t="s">
        <v>2327</v>
      </c>
      <c r="D139" s="1" t="s">
        <v>1762</v>
      </c>
      <c r="E139" s="1" t="s">
        <v>2328</v>
      </c>
      <c r="F139" s="37">
        <v>68.055555999999996</v>
      </c>
      <c r="G139" s="37">
        <f>IFERROR(INDEX(nQ11_CrCl_mL_min,MATCH("VEC-V27|1|Q11-V27a",nQ11_Key,0)),"(row not found)")</f>
        <v>68.055555555555557</v>
      </c>
      <c r="H139" s="1" t="b">
        <f>IF(ISNUMBER(G139),IF(F139=0,ABS(G139)&lt;=nTOL_ABS,ABS(G139-F139)/ABS(F139)&lt;=nTOL_REL),FALSE)</f>
        <v>1</v>
      </c>
    </row>
    <row r="140" spans="1:8" x14ac:dyDescent="0.2">
      <c r="A140" s="1">
        <v>91</v>
      </c>
      <c r="B140" s="1" t="s">
        <v>2151</v>
      </c>
      <c r="C140" s="1" t="s">
        <v>2329</v>
      </c>
      <c r="D140" s="1" t="s">
        <v>1762</v>
      </c>
      <c r="E140" s="1" t="s">
        <v>2330</v>
      </c>
      <c r="F140" s="37">
        <v>34.027777999999998</v>
      </c>
      <c r="G140" s="37">
        <f>IFERROR(INDEX(nQ11_CrCl_mL_min,MATCH("VEC-V27|1|Q11-V27b",nQ11_Key,0)),"(row not found)")</f>
        <v>34.027777777777779</v>
      </c>
      <c r="H140" s="1" t="b">
        <f>IF(ISNUMBER(G140),IF(F140=0,ABS(G140)&lt;=nTOL_ABS,ABS(G140-F140)/ABS(F140)&lt;=nTOL_REL),FALSE)</f>
        <v>1</v>
      </c>
    </row>
    <row r="141" spans="1:8" x14ac:dyDescent="0.2">
      <c r="A141" s="1">
        <v>92</v>
      </c>
      <c r="B141" s="1" t="s">
        <v>2151</v>
      </c>
      <c r="C141" s="1" t="s">
        <v>2331</v>
      </c>
      <c r="D141" s="1" t="s">
        <v>1762</v>
      </c>
      <c r="E141" s="1" t="s">
        <v>2332</v>
      </c>
      <c r="F141" s="37">
        <v>57.847222000000002</v>
      </c>
      <c r="G141" s="37">
        <f>IFERROR(INDEX(nQ11_CrCl_mL_min,MATCH("VEC-V27|1|Q11-V27c",nQ11_Key,0)),"(row not found)")</f>
        <v>57.847222222222221</v>
      </c>
      <c r="H141" s="1" t="b">
        <f>IF(ISNUMBER(G141),IF(F141=0,ABS(G141)&lt;=nTOL_ABS,ABS(G141-F141)/ABS(F141)&lt;=nTOL_REL),FALSE)</f>
        <v>1</v>
      </c>
    </row>
    <row r="142" spans="1:8" x14ac:dyDescent="0.2">
      <c r="A142" s="1">
        <v>93</v>
      </c>
      <c r="B142" s="1" t="s">
        <v>2151</v>
      </c>
      <c r="C142" s="1" t="s">
        <v>2333</v>
      </c>
      <c r="D142" s="1" t="s">
        <v>1762</v>
      </c>
      <c r="E142" s="1" t="s">
        <v>2334</v>
      </c>
      <c r="F142" s="37">
        <v>57.847222000000002</v>
      </c>
      <c r="G142" s="37">
        <f>IFERROR(INDEX(nQ11_CrCl_Female_If_Sex_Not_Recorded,MATCH("VEC-V27|1|Q11-V27d",nQ11_Key,0)),"(row not found)")</f>
        <v>57.847222222222221</v>
      </c>
      <c r="H142" s="1" t="b">
        <f>IF(ISNUMBER(G142),IF(F142=0,ABS(G142)&lt;=nTOL_ABS,ABS(G142-F142)/ABS(F142)&lt;=nTOL_REL),FALSE)</f>
        <v>1</v>
      </c>
    </row>
    <row r="143" spans="1:8" x14ac:dyDescent="0.2">
      <c r="A143" s="1">
        <v>94</v>
      </c>
      <c r="B143" s="1" t="s">
        <v>2151</v>
      </c>
      <c r="C143" s="1" t="s">
        <v>2335</v>
      </c>
      <c r="D143" s="1" t="s">
        <v>1762</v>
      </c>
      <c r="E143" s="1" t="s">
        <v>2336</v>
      </c>
      <c r="F143" s="37">
        <v>68.055555999999996</v>
      </c>
      <c r="G143" s="37">
        <f>IFERROR(INDEX(nQ11_CrCl_Male_If_Sex_Not_Recorded,MATCH("VEC-V27|1|Q11-V27d",nQ11_Key,0)),"(row not found)")</f>
        <v>68.055555555555557</v>
      </c>
      <c r="H143" s="1" t="b">
        <f>IF(ISNUMBER(G143),IF(F143=0,ABS(G143)&lt;=nTOL_ABS,ABS(G143-F143)/ABS(F143)&lt;=nTOL_REL),FALSE)</f>
        <v>1</v>
      </c>
    </row>
    <row r="144" spans="1:8" x14ac:dyDescent="0.2">
      <c r="A144" s="1">
        <v>95</v>
      </c>
      <c r="B144" s="1" t="s">
        <v>2151</v>
      </c>
      <c r="C144" s="1" t="s">
        <v>2337</v>
      </c>
      <c r="D144" s="1" t="s">
        <v>2269</v>
      </c>
      <c r="E144" s="1" t="s">
        <v>2338</v>
      </c>
      <c r="F144" s="4" t="s">
        <v>2271</v>
      </c>
      <c r="G144" s="37" t="str">
        <f>IFERROR(INDEX(nQ11_CrCl_mL_min,MATCH("VEC-V27|1|Q11-V27e",nQ11_Key,0)),"(row not found)")</f>
        <v/>
      </c>
      <c r="H144" s="1" t="b">
        <f>G144&amp;""=""</f>
        <v>1</v>
      </c>
    </row>
    <row r="145" spans="1:8" x14ac:dyDescent="0.2">
      <c r="A145" s="1">
        <v>96</v>
      </c>
      <c r="B145" s="1" t="s">
        <v>2151</v>
      </c>
      <c r="C145" s="1" t="s">
        <v>2339</v>
      </c>
      <c r="D145" s="1" t="s">
        <v>2197</v>
      </c>
      <c r="E145" s="1" t="s">
        <v>2340</v>
      </c>
      <c r="F145" s="4" t="s">
        <v>2199</v>
      </c>
      <c r="G145" s="37" t="str">
        <f>IFERROR(INDEX(nQ11_QC_Flags,MATCH("VEC-V27|1|Q11-V27a",nQ11_Key,0)),"(row not found)")</f>
        <v/>
      </c>
      <c r="H145" s="1" t="b">
        <f>IF(F145="(none)",G145&amp;""="",EXACT(G145&amp;"",F145&amp;""))</f>
        <v>1</v>
      </c>
    </row>
    <row r="146" spans="1:8" x14ac:dyDescent="0.2">
      <c r="A146" s="1">
        <v>97</v>
      </c>
      <c r="B146" s="1" t="s">
        <v>2151</v>
      </c>
      <c r="C146" s="1" t="s">
        <v>2341</v>
      </c>
      <c r="D146" s="1" t="s">
        <v>2197</v>
      </c>
      <c r="E146" s="1" t="s">
        <v>2342</v>
      </c>
      <c r="F146" s="4" t="s">
        <v>2199</v>
      </c>
      <c r="G146" s="37" t="str">
        <f>IFERROR(INDEX(nQ11_QC_Flags,MATCH("VEC-V27|1|Q11-V27b",nQ11_Key,0)),"(row not found)")</f>
        <v/>
      </c>
      <c r="H146" s="1" t="b">
        <f>IF(F146="(none)",G146&amp;""="",EXACT(G146&amp;"",F146&amp;""))</f>
        <v>1</v>
      </c>
    </row>
    <row r="147" spans="1:8" x14ac:dyDescent="0.2">
      <c r="A147" s="1">
        <v>98</v>
      </c>
      <c r="B147" s="1" t="s">
        <v>2151</v>
      </c>
      <c r="C147" s="1" t="s">
        <v>2343</v>
      </c>
      <c r="D147" s="1" t="s">
        <v>2197</v>
      </c>
      <c r="E147" s="1" t="s">
        <v>2344</v>
      </c>
      <c r="F147" s="4" t="s">
        <v>2199</v>
      </c>
      <c r="G147" s="37" t="str">
        <f>IFERROR(INDEX(nQ11_QC_Flags,MATCH("VEC-V27|1|Q11-V27c",nQ11_Key,0)),"(row not found)")</f>
        <v/>
      </c>
      <c r="H147" s="1" t="b">
        <f>IF(F147="(none)",G147&amp;""="",EXACT(G147&amp;"",F147&amp;""))</f>
        <v>1</v>
      </c>
    </row>
    <row r="148" spans="1:8" x14ac:dyDescent="0.2">
      <c r="A148" s="1">
        <v>99</v>
      </c>
      <c r="B148" s="1" t="s">
        <v>2151</v>
      </c>
      <c r="C148" s="1" t="s">
        <v>2345</v>
      </c>
      <c r="D148" s="1" t="s">
        <v>2197</v>
      </c>
      <c r="E148" s="1" t="s">
        <v>2346</v>
      </c>
      <c r="F148" s="4" t="s">
        <v>258</v>
      </c>
      <c r="G148" s="37" t="str">
        <f>IFERROR(INDEX(nQ11_QC_Flags,MATCH("VEC-V27|1|Q11-V27d",nQ11_Key,0)),"(row not found)")</f>
        <v>W_SEX_NOT_RECORDED</v>
      </c>
      <c r="H148" s="1" t="b">
        <f>IF(F148="(none)",G148&amp;""="",EXACT(G148&amp;"",F148&amp;""))</f>
        <v>1</v>
      </c>
    </row>
    <row r="149" spans="1:8" x14ac:dyDescent="0.2">
      <c r="A149" s="1">
        <v>100</v>
      </c>
      <c r="B149" s="1" t="s">
        <v>2151</v>
      </c>
      <c r="C149" s="1" t="s">
        <v>2347</v>
      </c>
      <c r="D149" s="1" t="s">
        <v>2197</v>
      </c>
      <c r="E149" s="1" t="s">
        <v>2348</v>
      </c>
      <c r="F149" s="4" t="s">
        <v>230</v>
      </c>
      <c r="G149" s="37" t="str">
        <f>IFERROR(INDEX(nQ11_QC_Flags,MATCH("VEC-V27|1|Q11-V27e",nQ11_Key,0)),"(row not found)")</f>
        <v>E_CREATININE_STABILITY_UNCONFIRMED</v>
      </c>
      <c r="H149" s="1" t="b">
        <f>IF(F149="(none)",G149&amp;""="",EXACT(G149&amp;"",F149&amp;""))</f>
        <v>1</v>
      </c>
    </row>
    <row r="150" spans="1:8" x14ac:dyDescent="0.2">
      <c r="A150" s="1">
        <v>101</v>
      </c>
      <c r="B150" s="1" t="s">
        <v>2155</v>
      </c>
      <c r="C150" s="1" t="s">
        <v>2191</v>
      </c>
      <c r="D150" s="1" t="s">
        <v>1762</v>
      </c>
      <c r="E150" s="1" t="s">
        <v>2349</v>
      </c>
      <c r="F150" s="37">
        <v>19</v>
      </c>
      <c r="G150" s="37">
        <f>IFERROR(INDEX(nINT_Interval_Value,MATCH("VEC-V28|1|I1",nINT_Key,0)),"(row not found)")</f>
        <v>19</v>
      </c>
      <c r="H150" s="1" t="b">
        <f>IF(ISNUMBER(G150),IF(F150=0,ABS(G150)&lt;=nTOL_ABS,ABS(G150-F150)/ABS(F150)&lt;=nTOL_REL),FALSE)</f>
        <v>1</v>
      </c>
    </row>
    <row r="151" spans="1:8" x14ac:dyDescent="0.2">
      <c r="A151" s="1">
        <v>102</v>
      </c>
      <c r="B151" s="1" t="s">
        <v>2155</v>
      </c>
      <c r="C151" s="1" t="s">
        <v>776</v>
      </c>
      <c r="D151" s="1" t="s">
        <v>1767</v>
      </c>
      <c r="E151" s="1" t="s">
        <v>2350</v>
      </c>
      <c r="F151" s="4" t="s">
        <v>66</v>
      </c>
      <c r="G151" s="37" t="str">
        <f>IFERROR(INDEX(nINT_Unit,MATCH("VEC-V28|1|I1",nINT_Key,0)),"(row not found)")</f>
        <v>minutes</v>
      </c>
      <c r="H151" s="1" t="b">
        <f>EXACT(G151&amp;"",F151&amp;"")</f>
        <v>1</v>
      </c>
    </row>
    <row r="152" spans="1:8" x14ac:dyDescent="0.2">
      <c r="A152" s="1">
        <v>103</v>
      </c>
      <c r="B152" s="1" t="s">
        <v>2155</v>
      </c>
      <c r="C152" s="1" t="s">
        <v>2194</v>
      </c>
      <c r="D152" s="1" t="s">
        <v>1767</v>
      </c>
      <c r="E152" s="1" t="s">
        <v>2351</v>
      </c>
      <c r="F152" s="4" t="s">
        <v>1766</v>
      </c>
      <c r="G152" s="37" t="str">
        <f>IFERROR(INDEX(nINT_Sequence_Status,MATCH("VEC-V28|1|I1",nINT_Key,0)),"(row not found)")</f>
        <v>AFTER</v>
      </c>
      <c r="H152" s="1" t="b">
        <f>EXACT(G152&amp;"",F152&amp;"")</f>
        <v>1</v>
      </c>
    </row>
    <row r="153" spans="1:8" x14ac:dyDescent="0.2">
      <c r="A153" s="1">
        <v>104</v>
      </c>
      <c r="B153" s="1" t="s">
        <v>2155</v>
      </c>
      <c r="C153" s="1" t="s">
        <v>2352</v>
      </c>
      <c r="D153" s="1" t="s">
        <v>1767</v>
      </c>
      <c r="E153" s="1" t="s">
        <v>2353</v>
      </c>
      <c r="F153" s="4" t="s">
        <v>867</v>
      </c>
      <c r="G153" s="37" t="str">
        <f>IFERROR(INDEX(nINT_Interventions_Counted,MATCH("VEC-V28|1|I1",nINT_Key,0)),"(row not found)")</f>
        <v>MS-RX</v>
      </c>
      <c r="H153" s="1" t="b">
        <f>EXACT(G153&amp;"",F153&amp;"")</f>
        <v>1</v>
      </c>
    </row>
    <row r="154" spans="1:8" x14ac:dyDescent="0.2">
      <c r="A154" s="1">
        <v>105</v>
      </c>
      <c r="B154" s="1" t="s">
        <v>2155</v>
      </c>
      <c r="C154" s="1" t="s">
        <v>2196</v>
      </c>
      <c r="D154" s="1" t="s">
        <v>2197</v>
      </c>
      <c r="E154" s="1" t="s">
        <v>2354</v>
      </c>
      <c r="F154" s="4" t="s">
        <v>252</v>
      </c>
      <c r="G154" s="37" t="str">
        <f>IFERROR(INDEX(nINT_QC_Flags,MATCH("VEC-V28|1|I1",nINT_Key,0)),"(row not found)")</f>
        <v>W_INTERVENTION_BEFORE_RECOVERY</v>
      </c>
      <c r="H154" s="1" t="b">
        <f>IF(F154="(none)",G154&amp;""="",EXACT(G154&amp;"",F154&amp;""))</f>
        <v>1</v>
      </c>
    </row>
    <row r="155" spans="1:8" x14ac:dyDescent="0.2">
      <c r="A155" s="1">
        <v>106</v>
      </c>
      <c r="B155" s="1" t="s">
        <v>2155</v>
      </c>
      <c r="C155" s="1" t="s">
        <v>2355</v>
      </c>
      <c r="D155" s="1" t="s">
        <v>1767</v>
      </c>
      <c r="E155" s="1" t="s">
        <v>2356</v>
      </c>
      <c r="F155" s="4" t="s">
        <v>1816</v>
      </c>
      <c r="G155" s="37" t="str">
        <f>IFERROR(INDEX(nINT_Calculation_Mode_Used,MATCH("VEC-V28|1|I1",nINT_Key,0)),"(row not found)")</f>
        <v>C7 (C1)</v>
      </c>
      <c r="H155" s="1" t="b">
        <f>EXACT(G155&amp;"",F155&amp;"")</f>
        <v>1</v>
      </c>
    </row>
    <row r="156" spans="1:8" x14ac:dyDescent="0.2">
      <c r="A156" s="1">
        <v>107</v>
      </c>
      <c r="B156" s="1" t="s">
        <v>2159</v>
      </c>
      <c r="C156" s="1" t="s">
        <v>2191</v>
      </c>
      <c r="D156" s="1" t="s">
        <v>1762</v>
      </c>
      <c r="E156" s="1" t="s">
        <v>2357</v>
      </c>
      <c r="F156" s="37">
        <v>3</v>
      </c>
      <c r="G156" s="37">
        <f>IFERROR(INDEX(nINT_Interval_Value,MATCH("VEC-V29|1|I1",nINT_Key,0)),"(row not found)")</f>
        <v>3</v>
      </c>
      <c r="H156" s="1" t="b">
        <f>IF(ISNUMBER(G156),IF(F156=0,ABS(G156)&lt;=nTOL_ABS,ABS(G156-F156)/ABS(F156)&lt;=nTOL_REL),FALSE)</f>
        <v>1</v>
      </c>
    </row>
    <row r="157" spans="1:8" x14ac:dyDescent="0.2">
      <c r="A157" s="1">
        <v>108</v>
      </c>
      <c r="B157" s="1" t="s">
        <v>2159</v>
      </c>
      <c r="C157" s="1" t="s">
        <v>776</v>
      </c>
      <c r="D157" s="1" t="s">
        <v>1767</v>
      </c>
      <c r="E157" s="1" t="s">
        <v>2358</v>
      </c>
      <c r="F157" s="4" t="s">
        <v>69</v>
      </c>
      <c r="G157" s="37" t="str">
        <f>IFERROR(INDEX(nINT_Unit,MATCH("VEC-V29|1|I1",nINT_Key,0)),"(row not found)")</f>
        <v>calendar days</v>
      </c>
      <c r="H157" s="1" t="b">
        <f>EXACT(G157&amp;"",F157&amp;"")</f>
        <v>1</v>
      </c>
    </row>
    <row r="158" spans="1:8" x14ac:dyDescent="0.2">
      <c r="A158" s="1">
        <v>109</v>
      </c>
      <c r="B158" s="1" t="s">
        <v>2159</v>
      </c>
      <c r="C158" s="1" t="s">
        <v>2194</v>
      </c>
      <c r="D158" s="1" t="s">
        <v>1767</v>
      </c>
      <c r="E158" s="1" t="s">
        <v>2359</v>
      </c>
      <c r="F158" s="4" t="s">
        <v>1766</v>
      </c>
      <c r="G158" s="37" t="str">
        <f>IFERROR(INDEX(nINT_Sequence_Status,MATCH("VEC-V29|1|I1",nINT_Key,0)),"(row not found)")</f>
        <v>AFTER</v>
      </c>
      <c r="H158" s="1" t="b">
        <f>EXACT(G158&amp;"",F158&amp;"")</f>
        <v>1</v>
      </c>
    </row>
    <row r="159" spans="1:8" x14ac:dyDescent="0.2">
      <c r="A159" s="1">
        <v>110</v>
      </c>
      <c r="B159" s="1" t="s">
        <v>2159</v>
      </c>
      <c r="C159" s="1" t="s">
        <v>2352</v>
      </c>
      <c r="D159" s="1" t="s">
        <v>1767</v>
      </c>
      <c r="E159" s="1" t="s">
        <v>2360</v>
      </c>
      <c r="F159" s="4" t="s">
        <v>871</v>
      </c>
      <c r="G159" s="37" t="str">
        <f>IFERROR(INDEX(nINT_Interventions_Counted,MATCH("VEC-V29|1|I1",nINT_Key,0)),"(row not found)")</f>
        <v>MS-FLU</v>
      </c>
      <c r="H159" s="1" t="b">
        <f>EXACT(G159&amp;"",F159&amp;"")</f>
        <v>1</v>
      </c>
    </row>
    <row r="160" spans="1:8" x14ac:dyDescent="0.2">
      <c r="A160" s="1">
        <v>111</v>
      </c>
      <c r="B160" s="1" t="s">
        <v>2159</v>
      </c>
      <c r="C160" s="1" t="s">
        <v>2196</v>
      </c>
      <c r="D160" s="1" t="s">
        <v>2197</v>
      </c>
      <c r="E160" s="1" t="s">
        <v>2361</v>
      </c>
      <c r="F160" s="4" t="s">
        <v>252</v>
      </c>
      <c r="G160" s="37" t="str">
        <f>IFERROR(INDEX(nINT_QC_Flags,MATCH("VEC-V29|1|I1",nINT_Key,0)),"(row not found)")</f>
        <v>W_INTERVENTION_BEFORE_RECOVERY</v>
      </c>
      <c r="H160" s="1" t="b">
        <f>IF(F160="(none)",G160&amp;""="",EXACT(G160&amp;"",F160&amp;""))</f>
        <v>1</v>
      </c>
    </row>
    <row r="161" spans="1:8" x14ac:dyDescent="0.2">
      <c r="A161" s="1">
        <v>112</v>
      </c>
      <c r="B161" s="1" t="s">
        <v>2161</v>
      </c>
      <c r="C161" s="1" t="s">
        <v>2191</v>
      </c>
      <c r="D161" s="1" t="s">
        <v>1762</v>
      </c>
      <c r="E161" s="1" t="s">
        <v>2362</v>
      </c>
      <c r="F161" s="37">
        <v>3</v>
      </c>
      <c r="G161" s="37">
        <f>IFERROR(INDEX(nINT_Interval_Value,MATCH("VEC-V30|1|I1",nINT_Key,0)),"(row not found)")</f>
        <v>3</v>
      </c>
      <c r="H161" s="1" t="b">
        <f>IF(ISNUMBER(G161),IF(F161=0,ABS(G161)&lt;=nTOL_ABS,ABS(G161-F161)/ABS(F161)&lt;=nTOL_REL),FALSE)</f>
        <v>1</v>
      </c>
    </row>
    <row r="162" spans="1:8" x14ac:dyDescent="0.2">
      <c r="A162" s="1">
        <v>113</v>
      </c>
      <c r="B162" s="1" t="s">
        <v>2161</v>
      </c>
      <c r="C162" s="1" t="s">
        <v>776</v>
      </c>
      <c r="D162" s="1" t="s">
        <v>1767</v>
      </c>
      <c r="E162" s="1" t="s">
        <v>2363</v>
      </c>
      <c r="F162" s="4" t="s">
        <v>69</v>
      </c>
      <c r="G162" s="37" t="str">
        <f>IFERROR(INDEX(nINT_Unit,MATCH("VEC-V30|1|I1",nINT_Key,0)),"(row not found)")</f>
        <v>calendar days</v>
      </c>
      <c r="H162" s="1" t="b">
        <f>EXACT(G162&amp;"",F162&amp;"")</f>
        <v>1</v>
      </c>
    </row>
    <row r="163" spans="1:8" x14ac:dyDescent="0.2">
      <c r="A163" s="1">
        <v>114</v>
      </c>
      <c r="B163" s="1" t="s">
        <v>2161</v>
      </c>
      <c r="C163" s="1" t="s">
        <v>2194</v>
      </c>
      <c r="D163" s="1" t="s">
        <v>1767</v>
      </c>
      <c r="E163" s="1" t="s">
        <v>2364</v>
      </c>
      <c r="F163" s="4" t="s">
        <v>1766</v>
      </c>
      <c r="G163" s="37" t="str">
        <f>IFERROR(INDEX(nINT_Sequence_Status,MATCH("VEC-V30|1|I1",nINT_Key,0)),"(row not found)")</f>
        <v>AFTER</v>
      </c>
      <c r="H163" s="1" t="b">
        <f>EXACT(G163&amp;"",F163&amp;"")</f>
        <v>1</v>
      </c>
    </row>
    <row r="164" spans="1:8" x14ac:dyDescent="0.2">
      <c r="A164" s="1">
        <v>115</v>
      </c>
      <c r="B164" s="1" t="s">
        <v>2161</v>
      </c>
      <c r="C164" s="1" t="s">
        <v>2365</v>
      </c>
      <c r="D164" s="1" t="s">
        <v>2269</v>
      </c>
      <c r="E164" s="1" t="s">
        <v>2366</v>
      </c>
      <c r="F164" s="4" t="s">
        <v>2271</v>
      </c>
      <c r="G164" s="37" t="str">
        <f>IFERROR(INDEX(nINT_Interventions_Counted,MATCH("VEC-V30|1|I1",nINT_Key,0)),"(row not found)")</f>
        <v/>
      </c>
      <c r="H164" s="1" t="b">
        <f>G164&amp;""=""</f>
        <v>1</v>
      </c>
    </row>
    <row r="165" spans="1:8" x14ac:dyDescent="0.2">
      <c r="A165" s="1">
        <v>116</v>
      </c>
      <c r="B165" s="1" t="s">
        <v>2161</v>
      </c>
      <c r="C165" s="1" t="s">
        <v>2196</v>
      </c>
      <c r="D165" s="1" t="s">
        <v>2197</v>
      </c>
      <c r="E165" s="1" t="s">
        <v>2367</v>
      </c>
      <c r="F165" s="4" t="s">
        <v>2199</v>
      </c>
      <c r="G165" s="37" t="str">
        <f>IFERROR(INDEX(nINT_QC_Flags,MATCH("VEC-V30|1|I1",nINT_Key,0)),"(row not found)")</f>
        <v/>
      </c>
      <c r="H165" s="1" t="b">
        <f>IF(F165="(none)",G165&amp;""="",EXACT(G165&amp;"",F165&amp;""))</f>
        <v>1</v>
      </c>
    </row>
    <row r="166" spans="1:8" x14ac:dyDescent="0.2">
      <c r="A166" s="1">
        <v>117</v>
      </c>
      <c r="B166" s="1" t="s">
        <v>2163</v>
      </c>
      <c r="C166" s="1" t="s">
        <v>2368</v>
      </c>
      <c r="D166" s="1" t="s">
        <v>1767</v>
      </c>
      <c r="E166" s="1" t="s">
        <v>2369</v>
      </c>
      <c r="F166" s="4" t="s">
        <v>2370</v>
      </c>
      <c r="G166" s="37" t="str">
        <f>IFERROR(INDEX(nINT_End_ISO,MATCH("VEC-V31|1|I1",nINT_Key,0)),"(row not found)")</f>
        <v>2026-03-15/2026-03-29</v>
      </c>
      <c r="H166" s="1" t="b">
        <f>EXACT(G166&amp;"",F166&amp;"")</f>
        <v>1</v>
      </c>
    </row>
    <row r="167" spans="1:8" x14ac:dyDescent="0.2">
      <c r="A167" s="1">
        <v>118</v>
      </c>
      <c r="B167" s="1" t="s">
        <v>2163</v>
      </c>
      <c r="C167" s="1" t="s">
        <v>2215</v>
      </c>
      <c r="D167" s="1" t="s">
        <v>1762</v>
      </c>
      <c r="E167" s="1" t="s">
        <v>2371</v>
      </c>
      <c r="F167" s="37">
        <v>14</v>
      </c>
      <c r="G167" s="37">
        <f>IFERROR(INDEX(nINT_Interval_Minimum,MATCH("VEC-V31|1|I1",nINT_Key,0)),"(row not found)")</f>
        <v>14</v>
      </c>
      <c r="H167" s="1" t="b">
        <f>IF(ISNUMBER(G167),IF(F167=0,ABS(G167)&lt;=nTOL_ABS,ABS(G167-F167)/ABS(F167)&lt;=nTOL_REL),FALSE)</f>
        <v>1</v>
      </c>
    </row>
    <row r="168" spans="1:8" x14ac:dyDescent="0.2">
      <c r="A168" s="1">
        <v>119</v>
      </c>
      <c r="B168" s="1" t="s">
        <v>2163</v>
      </c>
      <c r="C168" s="1" t="s">
        <v>2217</v>
      </c>
      <c r="D168" s="1" t="s">
        <v>1762</v>
      </c>
      <c r="E168" s="1" t="s">
        <v>2372</v>
      </c>
      <c r="F168" s="37">
        <v>28</v>
      </c>
      <c r="G168" s="37">
        <f>IFERROR(INDEX(nINT_Interval_Maximum,MATCH("VEC-V31|1|I1",nINT_Key,0)),"(row not found)")</f>
        <v>28</v>
      </c>
      <c r="H168" s="1" t="b">
        <f>IF(ISNUMBER(G168),IF(F168=0,ABS(G168)&lt;=nTOL_ABS,ABS(G168-F168)/ABS(F168)&lt;=nTOL_REL),FALSE)</f>
        <v>1</v>
      </c>
    </row>
    <row r="169" spans="1:8" x14ac:dyDescent="0.2">
      <c r="A169" s="1">
        <v>120</v>
      </c>
      <c r="B169" s="1" t="s">
        <v>2163</v>
      </c>
      <c r="C169" s="1" t="s">
        <v>776</v>
      </c>
      <c r="D169" s="1" t="s">
        <v>1767</v>
      </c>
      <c r="E169" s="1" t="s">
        <v>2373</v>
      </c>
      <c r="F169" s="4" t="s">
        <v>69</v>
      </c>
      <c r="G169" s="37" t="str">
        <f>IFERROR(INDEX(nINT_Unit,MATCH("VEC-V31|1|I1",nINT_Key,0)),"(row not found)")</f>
        <v>calendar days</v>
      </c>
      <c r="H169" s="1" t="b">
        <f>EXACT(G169&amp;"",F169&amp;"")</f>
        <v>1</v>
      </c>
    </row>
    <row r="170" spans="1:8" x14ac:dyDescent="0.2">
      <c r="A170" s="1">
        <v>121</v>
      </c>
      <c r="B170" s="1" t="s">
        <v>2163</v>
      </c>
      <c r="C170" s="1" t="s">
        <v>2194</v>
      </c>
      <c r="D170" s="1" t="s">
        <v>1767</v>
      </c>
      <c r="E170" s="1" t="s">
        <v>2374</v>
      </c>
      <c r="F170" s="4" t="s">
        <v>1766</v>
      </c>
      <c r="G170" s="37" t="str">
        <f>IFERROR(INDEX(nINT_Sequence_Status,MATCH("VEC-V31|1|I1",nINT_Key,0)),"(row not found)")</f>
        <v>AFTER</v>
      </c>
      <c r="H170" s="1" t="b">
        <f>EXACT(G170&amp;"",F170&amp;"")</f>
        <v>1</v>
      </c>
    </row>
    <row r="171" spans="1:8" x14ac:dyDescent="0.2">
      <c r="A171" s="1">
        <v>122</v>
      </c>
      <c r="B171" s="1" t="s">
        <v>2163</v>
      </c>
      <c r="C171" s="1" t="s">
        <v>2196</v>
      </c>
      <c r="D171" s="1" t="s">
        <v>2197</v>
      </c>
      <c r="E171" s="1" t="s">
        <v>2375</v>
      </c>
      <c r="F171" s="4" t="s">
        <v>2199</v>
      </c>
      <c r="G171" s="37" t="str">
        <f>IFERROR(INDEX(nINT_QC_Flags,MATCH("VEC-V31|1|I1",nINT_Key,0)),"(row not found)")</f>
        <v/>
      </c>
      <c r="H171" s="1" t="b">
        <f>IF(F171="(none)",G171&amp;""="",EXACT(G171&amp;"",F171&amp;""))</f>
        <v>1</v>
      </c>
    </row>
    <row r="172" spans="1:8" x14ac:dyDescent="0.2">
      <c r="A172" s="1">
        <v>123</v>
      </c>
      <c r="B172" s="1" t="s">
        <v>2167</v>
      </c>
      <c r="C172" s="1" t="s">
        <v>2376</v>
      </c>
      <c r="D172" s="1" t="s">
        <v>1762</v>
      </c>
      <c r="E172" s="1" t="s">
        <v>2377</v>
      </c>
      <c r="F172" s="37">
        <v>0.875</v>
      </c>
      <c r="G172" s="37">
        <f>IFERROR(INDEX(nQ6_Fraction_Q6,MATCH("VEC-V32|1|Q6-V32",nQ6_Key,0)),"(row not found)")</f>
        <v>0.875</v>
      </c>
      <c r="H172" s="1" t="b">
        <f>IF(ISNUMBER(G172),IF(F172=0,ABS(G172)&lt;=nTOL_ABS,ABS(G172-F172)/ABS(F172)&lt;=nTOL_REL),FALSE)</f>
        <v>1</v>
      </c>
    </row>
    <row r="173" spans="1:8" x14ac:dyDescent="0.2">
      <c r="A173" s="1">
        <v>124</v>
      </c>
      <c r="B173" s="1" t="s">
        <v>2167</v>
      </c>
      <c r="C173" s="1" t="s">
        <v>2378</v>
      </c>
      <c r="D173" s="1" t="s">
        <v>1767</v>
      </c>
      <c r="E173" s="1" t="s">
        <v>2379</v>
      </c>
      <c r="F173" s="4" t="s">
        <v>2380</v>
      </c>
      <c r="G173" s="37" t="str">
        <f>IFERROR(INDEX(nQ6_Output_Label,MATCH("VEC-V32|1|Q6-V32",nQ6_Key,0)),"(row not found)")</f>
        <v>Fraction of the change to the new level completed</v>
      </c>
      <c r="H173" s="1" t="b">
        <f>EXACT(G173&amp;"",F173&amp;"")</f>
        <v>1</v>
      </c>
    </row>
    <row r="174" spans="1:8" x14ac:dyDescent="0.2">
      <c r="A174" s="1">
        <v>125</v>
      </c>
      <c r="B174" s="1" t="s">
        <v>2167</v>
      </c>
      <c r="C174" s="1" t="s">
        <v>2196</v>
      </c>
      <c r="D174" s="1" t="s">
        <v>2197</v>
      </c>
      <c r="E174" s="1" t="s">
        <v>2381</v>
      </c>
      <c r="F174" s="4" t="s">
        <v>274</v>
      </c>
      <c r="G174" s="37" t="str">
        <f>IFERROR(INDEX(nQ6_QC_Flags,MATCH("VEC-V32|1|Q6-V32",nQ6_Key,0)),"(row not found)")</f>
        <v>I_TEACHING_DEMONSTRATION</v>
      </c>
      <c r="H174" s="1" t="b">
        <f>IF(F174="(none)",G174&amp;""="",EXACT(G174&amp;"",F174&amp;""))</f>
        <v>1</v>
      </c>
    </row>
    <row r="175" spans="1:8" x14ac:dyDescent="0.2">
      <c r="A175" s="1">
        <v>126</v>
      </c>
      <c r="B175" s="1" t="s">
        <v>2169</v>
      </c>
      <c r="C175" s="1" t="s">
        <v>2227</v>
      </c>
      <c r="D175" s="1" t="s">
        <v>1767</v>
      </c>
      <c r="E175" s="1" t="s">
        <v>2382</v>
      </c>
      <c r="F175" s="4" t="s">
        <v>572</v>
      </c>
      <c r="G175" s="37" t="str">
        <f>IFERROR(INDEX(nINT_Anchor_ISO,MATCH("VEC-V33|1|I1",nINT_Key,0)),"(row not found)")</f>
        <v>2026-03-02T08:00-05:00</v>
      </c>
      <c r="H175" s="1" t="b">
        <f>EXACT(G175&amp;"",F175&amp;"")</f>
        <v>1</v>
      </c>
    </row>
    <row r="176" spans="1:8" x14ac:dyDescent="0.2">
      <c r="A176" s="1">
        <v>127</v>
      </c>
      <c r="B176" s="1" t="s">
        <v>2169</v>
      </c>
      <c r="C176" s="1" t="s">
        <v>2191</v>
      </c>
      <c r="D176" s="1" t="s">
        <v>1762</v>
      </c>
      <c r="E176" s="1" t="s">
        <v>2383</v>
      </c>
      <c r="F176" s="37">
        <v>720</v>
      </c>
      <c r="G176" s="37">
        <f>IFERROR(INDEX(nINT_Interval_Value,MATCH("VEC-V33|1|I1",nINT_Key,0)),"(row not found)")</f>
        <v>720</v>
      </c>
      <c r="H176" s="1" t="b">
        <f>IF(ISNUMBER(G176),IF(F176=0,ABS(G176)&lt;=nTOL_ABS,ABS(G176-F176)/ABS(F176)&lt;=nTOL_REL),FALSE)</f>
        <v>1</v>
      </c>
    </row>
    <row r="177" spans="1:8" x14ac:dyDescent="0.2">
      <c r="A177" s="1">
        <v>128</v>
      </c>
      <c r="B177" s="1" t="s">
        <v>2169</v>
      </c>
      <c r="C177" s="1" t="s">
        <v>776</v>
      </c>
      <c r="D177" s="1" t="s">
        <v>1767</v>
      </c>
      <c r="E177" s="1" t="s">
        <v>2384</v>
      </c>
      <c r="F177" s="4" t="s">
        <v>66</v>
      </c>
      <c r="G177" s="37" t="str">
        <f>IFERROR(INDEX(nINT_Unit,MATCH("VEC-V33|1|I1",nINT_Key,0)),"(row not found)")</f>
        <v>minutes</v>
      </c>
      <c r="H177" s="1" t="b">
        <f>EXACT(G177&amp;"",F177&amp;"")</f>
        <v>1</v>
      </c>
    </row>
    <row r="178" spans="1:8" x14ac:dyDescent="0.2">
      <c r="A178" s="1">
        <v>129</v>
      </c>
      <c r="B178" s="1" t="s">
        <v>2169</v>
      </c>
      <c r="C178" s="1" t="s">
        <v>2194</v>
      </c>
      <c r="D178" s="1" t="s">
        <v>1767</v>
      </c>
      <c r="E178" s="1" t="s">
        <v>2385</v>
      </c>
      <c r="F178" s="4" t="s">
        <v>1766</v>
      </c>
      <c r="G178" s="37" t="str">
        <f>IFERROR(INDEX(nINT_Sequence_Status,MATCH("VEC-V33|1|I1",nINT_Key,0)),"(row not found)")</f>
        <v>AFTER</v>
      </c>
      <c r="H178" s="1" t="b">
        <f>EXACT(G178&amp;"",F178&amp;"")</f>
        <v>1</v>
      </c>
    </row>
    <row r="179" spans="1:8" x14ac:dyDescent="0.2">
      <c r="A179" s="1">
        <v>130</v>
      </c>
      <c r="B179" s="1" t="s">
        <v>2169</v>
      </c>
      <c r="C179" s="1" t="s">
        <v>2196</v>
      </c>
      <c r="D179" s="1" t="s">
        <v>2197</v>
      </c>
      <c r="E179" s="1" t="s">
        <v>2386</v>
      </c>
      <c r="F179" s="4" t="s">
        <v>2199</v>
      </c>
      <c r="G179" s="37" t="str">
        <f>IFERROR(INDEX(nINT_QC_Flags,MATCH("VEC-V33|1|I1",nINT_Key,0)),"(row not found)")</f>
        <v/>
      </c>
      <c r="H179" s="1" t="b">
        <f>IF(F179="(none)",G179&amp;""="",EXACT(G179&amp;"",F179&amp;""))</f>
        <v>1</v>
      </c>
    </row>
    <row r="180" spans="1:8" x14ac:dyDescent="0.2">
      <c r="A180" s="1">
        <v>131</v>
      </c>
      <c r="B180" s="1" t="s">
        <v>2172</v>
      </c>
      <c r="C180" s="1" t="s">
        <v>2387</v>
      </c>
      <c r="D180" s="1" t="s">
        <v>2269</v>
      </c>
      <c r="E180" s="1" t="s">
        <v>2388</v>
      </c>
      <c r="F180" s="4" t="s">
        <v>2271</v>
      </c>
      <c r="G180" s="37" t="str">
        <f>IFERROR(INDEX(nINT_Anchor_Record_ID_Used,MATCH("VEC-V34|1|I1",nINT_Key,0)),"(row not found)")</f>
        <v/>
      </c>
      <c r="H180" s="1" t="b">
        <f>G180&amp;""=""</f>
        <v>1</v>
      </c>
    </row>
    <row r="181" spans="1:8" x14ac:dyDescent="0.2">
      <c r="A181" s="1">
        <v>132</v>
      </c>
      <c r="B181" s="1" t="s">
        <v>2172</v>
      </c>
      <c r="C181" s="1" t="s">
        <v>2268</v>
      </c>
      <c r="D181" s="1" t="s">
        <v>2269</v>
      </c>
      <c r="E181" s="1" t="s">
        <v>2389</v>
      </c>
      <c r="F181" s="4" t="s">
        <v>2271</v>
      </c>
      <c r="G181" s="37" t="str">
        <f>IFERROR(INDEX(nINT_Interval_Value,MATCH("VEC-V34|1|I1",nINT_Key,0)),"(row not found)")</f>
        <v/>
      </c>
      <c r="H181" s="1" t="b">
        <f>G181&amp;""=""</f>
        <v>1</v>
      </c>
    </row>
    <row r="182" spans="1:8" x14ac:dyDescent="0.2">
      <c r="A182" s="1">
        <v>133</v>
      </c>
      <c r="B182" s="1" t="s">
        <v>2172</v>
      </c>
      <c r="C182" s="1" t="s">
        <v>2196</v>
      </c>
      <c r="D182" s="1" t="s">
        <v>2197</v>
      </c>
      <c r="E182" s="1" t="s">
        <v>2390</v>
      </c>
      <c r="F182" s="4" t="s">
        <v>215</v>
      </c>
      <c r="G182" s="37" t="str">
        <f>IFERROR(INDEX(nINT_QC_Flags,MATCH("VEC-V34|1|I1",nINT_Key,0)),"(row not found)")</f>
        <v>E_MISSING_INPUT</v>
      </c>
      <c r="H182" s="1" t="b">
        <f>IF(F182="(none)",G182&amp;""="",EXACT(G182&amp;"",F182&amp;""))</f>
        <v>1</v>
      </c>
    </row>
    <row r="183" spans="1:8" x14ac:dyDescent="0.2">
      <c r="A183" s="1">
        <v>134</v>
      </c>
      <c r="B183" s="1" t="s">
        <v>2174</v>
      </c>
      <c r="C183" s="1" t="s">
        <v>2391</v>
      </c>
      <c r="D183" s="1" t="s">
        <v>2197</v>
      </c>
      <c r="E183" s="1" t="s">
        <v>2392</v>
      </c>
      <c r="F183" s="4" t="s">
        <v>2393</v>
      </c>
      <c r="G183" s="37" t="str">
        <f>IFERROR(INDEX(nQ1_QC_Flags,MATCH("VEC-V35|1|Q1-V35a",nQ1_Key,0)),"(row not found)")</f>
        <v>E_INVALID_UNIT; E_NONPOSITIVE_PARAMETER; E_APPLICABILITY_UNCONFIRMED</v>
      </c>
      <c r="H183" s="1" t="b">
        <f>IF(F183="(none)",G183&amp;""="",EXACT(G183&amp;"",F183&amp;""))</f>
        <v>1</v>
      </c>
    </row>
    <row r="184" spans="1:8" x14ac:dyDescent="0.2">
      <c r="A184" s="1">
        <v>135</v>
      </c>
      <c r="B184" s="1" t="s">
        <v>2174</v>
      </c>
      <c r="C184" s="1" t="s">
        <v>2394</v>
      </c>
      <c r="D184" s="1" t="s">
        <v>2197</v>
      </c>
      <c r="E184" s="1" t="s">
        <v>2395</v>
      </c>
      <c r="F184" s="4" t="s">
        <v>2396</v>
      </c>
      <c r="G184" s="37" t="str">
        <f>IFERROR(INDEX(nINT_QC_Flags,MATCH("VEC-V35|1|I1",nINT_Key,0)),"(row not found)")</f>
        <v>E_INVALID_DATE; E_MISSING_LINK</v>
      </c>
      <c r="H184" s="1" t="b">
        <f>IF(F184="(none)",G184&amp;""="",EXACT(G184&amp;"",F184&amp;""))</f>
        <v>1</v>
      </c>
    </row>
    <row r="185" spans="1:8" x14ac:dyDescent="0.2">
      <c r="A185" s="1">
        <v>136</v>
      </c>
      <c r="B185" s="1" t="s">
        <v>2178</v>
      </c>
      <c r="C185" s="1" t="s">
        <v>2397</v>
      </c>
      <c r="D185" s="1" t="s">
        <v>2269</v>
      </c>
      <c r="E185" s="1" t="s">
        <v>2398</v>
      </c>
      <c r="F185" s="4" t="s">
        <v>2271</v>
      </c>
      <c r="G185" s="37" t="str">
        <f>IFERROR(INDEX(nQ1_Fraction_Remaining,MATCH("VEC-V36|1|Q1-V36a",nQ1_Key,0)),"(row not found)")</f>
        <v/>
      </c>
      <c r="H185" s="1" t="b">
        <f>G185&amp;""=""</f>
        <v>1</v>
      </c>
    </row>
    <row r="186" spans="1:8" x14ac:dyDescent="0.2">
      <c r="A186" s="1">
        <v>137</v>
      </c>
      <c r="B186" s="1" t="s">
        <v>2178</v>
      </c>
      <c r="C186" s="1" t="s">
        <v>2399</v>
      </c>
      <c r="D186" s="1" t="s">
        <v>2197</v>
      </c>
      <c r="E186" s="1" t="s">
        <v>2400</v>
      </c>
      <c r="F186" s="4" t="s">
        <v>2401</v>
      </c>
      <c r="G186" s="37" t="str">
        <f>IFERROR(INDEX(nQ1_QC_Flags,MATCH("VEC-V36|1|Q1-V36a",nQ1_Key,0)),"(row not found)")</f>
        <v>E_MISSING_INPUT; E_APPLICABILITY_UNCONFIRMED</v>
      </c>
      <c r="H186" s="1" t="b">
        <f>IF(F186="(none)",G186&amp;""="",EXACT(G186&amp;"",F186&amp;""))</f>
        <v>1</v>
      </c>
    </row>
    <row r="187" spans="1:8" x14ac:dyDescent="0.2">
      <c r="A187" s="1">
        <v>138</v>
      </c>
      <c r="B187" s="1" t="s">
        <v>2178</v>
      </c>
      <c r="C187" s="1" t="s">
        <v>2402</v>
      </c>
      <c r="D187" s="1" t="s">
        <v>1762</v>
      </c>
      <c r="E187" s="1" t="s">
        <v>2403</v>
      </c>
      <c r="F187" s="37">
        <v>0.125</v>
      </c>
      <c r="G187" s="37">
        <f>IFERROR(INDEX(nQ1_Fraction_Remaining,MATCH("VEC-V36|1|Q1-V36b",nQ1_Key,0)),"(row not found)")</f>
        <v>0.125</v>
      </c>
      <c r="H187" s="1" t="b">
        <f>IF(ISNUMBER(G187),IF(F187=0,ABS(G187)&lt;=nTOL_ABS,ABS(G187-F187)/ABS(F187)&lt;=nTOL_REL),FALSE)</f>
        <v>1</v>
      </c>
    </row>
    <row r="188" spans="1:8" x14ac:dyDescent="0.2">
      <c r="A188" s="1">
        <v>139</v>
      </c>
      <c r="B188" s="1" t="s">
        <v>2178</v>
      </c>
      <c r="C188" s="1" t="s">
        <v>2404</v>
      </c>
      <c r="D188" s="1" t="s">
        <v>2197</v>
      </c>
      <c r="E188" s="1" t="s">
        <v>2405</v>
      </c>
      <c r="F188" s="4" t="s">
        <v>2199</v>
      </c>
      <c r="G188" s="37" t="str">
        <f>IFERROR(INDEX(nQ1_QC_Flags,MATCH("VEC-V36|1|Q1-V36b",nQ1_Key,0)),"(row not found)")</f>
        <v/>
      </c>
      <c r="H188" s="1" t="b">
        <f>IF(F188="(none)",G188&amp;""="",EXACT(G188&amp;"",F188&amp;""))</f>
        <v>1</v>
      </c>
    </row>
    <row r="189" spans="1:8" x14ac:dyDescent="0.2">
      <c r="A189" s="1">
        <v>140</v>
      </c>
      <c r="B189" s="1" t="s">
        <v>2178</v>
      </c>
      <c r="C189" s="1" t="s">
        <v>2406</v>
      </c>
      <c r="D189" s="1" t="s">
        <v>2269</v>
      </c>
      <c r="E189" s="1" t="s">
        <v>2407</v>
      </c>
      <c r="F189" s="4" t="s">
        <v>2271</v>
      </c>
      <c r="G189" s="37" t="str">
        <f>IFERROR(INDEX(nQ1_Fraction_Remaining,MATCH("VEC-V36|1|Q1-V36c",nQ1_Key,0)),"(row not found)")</f>
        <v/>
      </c>
      <c r="H189" s="1" t="b">
        <f>G189&amp;""=""</f>
        <v>1</v>
      </c>
    </row>
    <row r="190" spans="1:8" x14ac:dyDescent="0.2">
      <c r="A190" s="1">
        <v>141</v>
      </c>
      <c r="B190" s="1" t="s">
        <v>2178</v>
      </c>
      <c r="C190" s="1" t="s">
        <v>2408</v>
      </c>
      <c r="D190" s="1" t="s">
        <v>2197</v>
      </c>
      <c r="E190" s="1" t="s">
        <v>2409</v>
      </c>
      <c r="F190" s="4" t="s">
        <v>227</v>
      </c>
      <c r="G190" s="37" t="str">
        <f>IFERROR(INDEX(nQ1_QC_Flags,MATCH("VEC-V36|1|Q1-V36c",nQ1_Key,0)),"(row not found)")</f>
        <v>E_APPLICABILITY_UNCONFIRMED</v>
      </c>
      <c r="H190" s="1" t="b">
        <f>IF(F190="(none)",G190&amp;""="",EXACT(G190&amp;"",F190&amp;""))</f>
        <v>1</v>
      </c>
    </row>
    <row r="191" spans="1:8" x14ac:dyDescent="0.2">
      <c r="A191" s="1">
        <v>142</v>
      </c>
      <c r="B191" s="1" t="s">
        <v>2181</v>
      </c>
      <c r="C191" s="1" t="s">
        <v>2302</v>
      </c>
      <c r="D191" s="1" t="s">
        <v>1762</v>
      </c>
      <c r="E191" s="1" t="s">
        <v>2410</v>
      </c>
      <c r="F191" s="37">
        <v>6.25E-2</v>
      </c>
      <c r="G191" s="37">
        <f>IFERROR(INDEX(nQ8_Fraction_at_Lower,MATCH("VEC-V37|1|Q8-V37",nQ8_Key,0)),"(row not found)")</f>
        <v>6.25E-2</v>
      </c>
      <c r="H191" s="1" t="b">
        <f>IF(ISNUMBER(G191),IF(F191=0,ABS(G191)&lt;=nTOL_ABS,ABS(G191-F191)/ABS(F191)&lt;=nTOL_REL),FALSE)</f>
        <v>1</v>
      </c>
    </row>
    <row r="192" spans="1:8" x14ac:dyDescent="0.2">
      <c r="A192" s="1">
        <v>143</v>
      </c>
      <c r="B192" s="1" t="s">
        <v>2181</v>
      </c>
      <c r="C192" s="1" t="s">
        <v>2304</v>
      </c>
      <c r="D192" s="1" t="s">
        <v>1762</v>
      </c>
      <c r="E192" s="1" t="s">
        <v>2411</v>
      </c>
      <c r="F192" s="37">
        <v>0.25</v>
      </c>
      <c r="G192" s="37">
        <f>IFERROR(INDEX(nQ8_Fraction_at_Upper,MATCH("VEC-V37|1|Q8-V37",nQ8_Key,0)),"(row not found)")</f>
        <v>0.25</v>
      </c>
      <c r="H192" s="1" t="b">
        <f>IF(ISNUMBER(G192),IF(F192=0,ABS(G192)&lt;=nTOL_ABS,ABS(G192-F192)/ABS(F192)&lt;=nTOL_REL),FALSE)</f>
        <v>1</v>
      </c>
    </row>
    <row r="193" spans="1:8" x14ac:dyDescent="0.2">
      <c r="A193" s="1">
        <v>144</v>
      </c>
      <c r="B193" s="1" t="s">
        <v>2181</v>
      </c>
      <c r="C193" s="1" t="s">
        <v>2196</v>
      </c>
      <c r="D193" s="1" t="s">
        <v>2197</v>
      </c>
      <c r="E193" s="1" t="s">
        <v>2412</v>
      </c>
      <c r="F193" s="4" t="s">
        <v>2027</v>
      </c>
      <c r="G193" s="37" t="str">
        <f>IFERROR(INDEX(nQ8_QC_Flags,MATCH("VEC-V37|1|Q8-V37",nQ8_Key,0)),"(row not found)")</f>
        <v>W_BIOLOGIC_MODEL_CAUTION; I_SCENARIO_NOT_CI</v>
      </c>
      <c r="H193" s="1" t="b">
        <f>IF(F193="(none)",G193&amp;""="",EXACT(G193&amp;"",F193&amp;""))</f>
        <v>1</v>
      </c>
    </row>
    <row r="194" spans="1:8" x14ac:dyDescent="0.2">
      <c r="A194" s="1">
        <v>145</v>
      </c>
      <c r="B194" s="1" t="s">
        <v>2183</v>
      </c>
      <c r="C194" s="1" t="s">
        <v>2320</v>
      </c>
      <c r="D194" s="1" t="s">
        <v>1762</v>
      </c>
      <c r="E194" s="1" t="s">
        <v>2413</v>
      </c>
      <c r="F194" s="37">
        <v>164.052288</v>
      </c>
      <c r="G194" s="37">
        <f>IFERROR(INDEX(nQ10_Method_A_mg_m2,MATCH("VEC-V38|1|Q10-V38-first",nQ10_Key,0)),"(row not found)")</f>
        <v>164.05228758169937</v>
      </c>
      <c r="H194" s="1" t="b">
        <f>IF(ISNUMBER(G194),IF(F194=0,ABS(G194)&lt;=nTOL_ABS,ABS(G194-F194)/ABS(F194)&lt;=nTOL_REL),FALSE)</f>
        <v>1</v>
      </c>
    </row>
    <row r="195" spans="1:8" x14ac:dyDescent="0.2">
      <c r="A195" s="1">
        <v>146</v>
      </c>
      <c r="B195" s="1" t="s">
        <v>2183</v>
      </c>
      <c r="C195" s="1" t="s">
        <v>2414</v>
      </c>
      <c r="D195" s="1" t="s">
        <v>1762</v>
      </c>
      <c r="E195" s="1" t="s">
        <v>2415</v>
      </c>
      <c r="F195" s="37">
        <v>161.11111099999999</v>
      </c>
      <c r="G195" s="37">
        <f>IFERROR(INDEX(nQ10_Method_B_mg_m2,MATCH("VEC-V38|1|Q10-V38-first",nQ10_Key,0)),"(row not found)")</f>
        <v>161.11111111111111</v>
      </c>
      <c r="H195" s="1" t="b">
        <f>IF(ISNUMBER(G195),IF(F195=0,ABS(G195)&lt;=nTOL_ABS,ABS(G195-F195)/ABS(F195)&lt;=nTOL_REL),FALSE)</f>
        <v>1</v>
      </c>
    </row>
    <row r="196" spans="1:8" x14ac:dyDescent="0.2">
      <c r="A196" s="1">
        <v>147</v>
      </c>
      <c r="B196" s="1" t="s">
        <v>2183</v>
      </c>
      <c r="C196" s="1" t="s">
        <v>2416</v>
      </c>
      <c r="D196" s="1" t="s">
        <v>1762</v>
      </c>
      <c r="E196" s="1" t="s">
        <v>2417</v>
      </c>
      <c r="F196" s="37">
        <v>170.588235</v>
      </c>
      <c r="G196" s="37">
        <f>IFERROR(INDEX(nQ10_Method_B_mg_m2,MATCH("VEC-V38|1|Q10-V38-last",nQ10_Key,0)),"(row not found)")</f>
        <v>170.58823529411765</v>
      </c>
      <c r="H196" s="1" t="b">
        <f>IF(ISNUMBER(G196),IF(F196=0,ABS(G196)&lt;=nTOL_ABS,ABS(G196-F196)/ABS(F196)&lt;=nTOL_REL),FALSE)</f>
        <v>1</v>
      </c>
    </row>
    <row r="197" spans="1:8" x14ac:dyDescent="0.2">
      <c r="A197" s="1">
        <v>148</v>
      </c>
      <c r="B197" s="1" t="s">
        <v>2183</v>
      </c>
      <c r="C197" s="1" t="s">
        <v>2418</v>
      </c>
      <c r="D197" s="1" t="s">
        <v>2197</v>
      </c>
      <c r="E197" s="1" t="s">
        <v>2419</v>
      </c>
      <c r="F197" s="4" t="s">
        <v>2199</v>
      </c>
      <c r="G197" s="37" t="str">
        <f>IFERROR(INDEX(nQ10_QC_Flags,MATCH("VEC-V38|1|Q10-V38-first",nQ10_Key,0)),"(row not found)")</f>
        <v/>
      </c>
      <c r="H197" s="1" t="b">
        <f>IF(F197="(none)",G197&amp;""="",EXACT(G197&amp;"",F197&amp;""))</f>
        <v>1</v>
      </c>
    </row>
    <row r="198" spans="1:8" x14ac:dyDescent="0.2">
      <c r="A198" s="1">
        <v>149</v>
      </c>
      <c r="B198" s="1" t="s">
        <v>2183</v>
      </c>
      <c r="C198" s="1" t="s">
        <v>2420</v>
      </c>
      <c r="D198" s="1" t="s">
        <v>2197</v>
      </c>
      <c r="E198" s="1" t="s">
        <v>2421</v>
      </c>
      <c r="F198" s="4" t="s">
        <v>2199</v>
      </c>
      <c r="G198" s="37" t="str">
        <f>IFERROR(INDEX(nQ10_QC_Flags,MATCH("VEC-V38|1|Q10-V38-last",nQ10_Key,0)),"(row not found)")</f>
        <v/>
      </c>
      <c r="H198" s="1" t="b">
        <f>IF(F198="(none)",G198&amp;""="",EXACT(G198&amp;"",F198&amp;""))</f>
        <v>1</v>
      </c>
    </row>
    <row r="200" spans="1:8" x14ac:dyDescent="0.2">
      <c r="A200" s="2" t="s">
        <v>2422</v>
      </c>
    </row>
    <row r="201" spans="1:8" x14ac:dyDescent="0.2">
      <c r="A201" s="1" t="s">
        <v>2423</v>
      </c>
    </row>
    <row r="202" spans="1:8" x14ac:dyDescent="0.2">
      <c r="A202" s="1" t="s">
        <v>2424</v>
      </c>
    </row>
    <row r="203" spans="1:8" x14ac:dyDescent="0.2">
      <c r="A203" s="1" t="s">
        <v>2425</v>
      </c>
    </row>
    <row r="204" spans="1:8" x14ac:dyDescent="0.2">
      <c r="A204" s="1" t="s">
        <v>2426</v>
      </c>
    </row>
  </sheetData>
  <sheetProtection sheet="1" objects="1" scenarios="1" formatColumns="0" formatRows="0" autoFilter="0"/>
  <mergeCells count="1">
    <mergeCell ref="A2:H2"/>
  </mergeCells>
  <conditionalFormatting sqref="H8:H45">
    <cfRule type="cellIs" dxfId="3" priority="1" stopIfTrue="1" operator="equal">
      <formula>"PASS"</formula>
    </cfRule>
    <cfRule type="cellIs" dxfId="2" priority="2" stopIfTrue="1" operator="equal">
      <formula>"FAIL"</formula>
    </cfRule>
  </conditionalFormatting>
  <conditionalFormatting sqref="H50:H198">
    <cfRule type="cellIs" dxfId="1" priority="3" stopIfTrue="1" operator="equal">
      <formula>TRUE</formula>
    </cfRule>
    <cfRule type="cellIs" dxfId="0" priority="4" stopIfTrue="1" operator="equal">
      <formula>FALSE</formula>
    </cfRule>
  </conditionalFormatting>
  <pageMargins left="0.7" right="0.7" top="0.75" bottom="0.75" header="0.3" footer="0.3"/>
  <pageSetup paperSize="1" scale="33" fitToHeight="0" orientation="landscape" horizontalDpi="0" verticalDpi="0"/>
  <headerFooter>
    <oddFooter>&amp;LTTO Companion Tools v1.1 (CALC-SPEC 1.1) - educational tool; not validated for regulated use; not a dosing tool; never assigns causality&amp;RPage &amp;P of &amp;N</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31B41-A28C-42C1-BAFC-8D3BA34C84EE}">
  <dimension ref="A1:AH459"/>
  <sheetViews>
    <sheetView zoomScale="90" zoomScaleNormal="90" workbookViewId="0">
      <pane xSplit="2" ySplit="4" topLeftCell="C5" activePane="bottomRight" state="frozenSplit"/>
      <selection pane="topRight" activeCell="C1" sqref="C1"/>
      <selection pane="bottomLeft" activeCell="A5" sqref="A5"/>
      <selection pane="bottomRight"/>
    </sheetView>
  </sheetViews>
  <sheetFormatPr defaultRowHeight="12.75" x14ac:dyDescent="0.2"/>
  <cols>
    <col min="1" max="1" width="26.7109375" style="1" customWidth="1"/>
    <col min="2" max="2" width="16.7109375" style="1" customWidth="1"/>
    <col min="3" max="3" width="22.7109375" style="1" customWidth="1"/>
    <col min="4" max="5" width="9.7109375" style="1" customWidth="1"/>
    <col min="6" max="6" width="12.7109375" style="1" customWidth="1"/>
    <col min="7" max="16" width="9.7109375" style="1" customWidth="1"/>
    <col min="17" max="17" width="24.7109375" style="1" customWidth="1"/>
    <col min="18" max="18" width="36.7109375" style="1" customWidth="1"/>
    <col min="19" max="19" width="34.7109375" style="1" customWidth="1"/>
    <col min="20" max="21" width="26.7109375" style="1" customWidth="1"/>
    <col min="22" max="34" width="9.7109375" style="1" customWidth="1"/>
    <col min="35" max="16384" width="9.140625" style="1"/>
  </cols>
  <sheetData>
    <row r="1" spans="1:34" ht="17.25" x14ac:dyDescent="0.3">
      <c r="A1" s="3" t="s">
        <v>928</v>
      </c>
    </row>
    <row r="2" spans="1:34" x14ac:dyDescent="0.2">
      <c r="A2" s="1" t="s">
        <v>929</v>
      </c>
    </row>
    <row r="4" spans="1:34" x14ac:dyDescent="0.2">
      <c r="A4" s="5" t="s">
        <v>930</v>
      </c>
      <c r="B4" s="5" t="s">
        <v>931</v>
      </c>
      <c r="C4" s="5" t="s">
        <v>932</v>
      </c>
      <c r="D4" s="5" t="s">
        <v>280</v>
      </c>
      <c r="E4" s="5" t="s">
        <v>281</v>
      </c>
      <c r="F4" s="5" t="s">
        <v>933</v>
      </c>
      <c r="G4" s="5" t="s">
        <v>934</v>
      </c>
      <c r="H4" s="5" t="s">
        <v>2</v>
      </c>
      <c r="I4" s="5" t="s">
        <v>10</v>
      </c>
      <c r="J4" s="5" t="s">
        <v>935</v>
      </c>
      <c r="K4" s="5" t="s">
        <v>936</v>
      </c>
      <c r="L4" s="5" t="s">
        <v>937</v>
      </c>
      <c r="M4" s="5" t="s">
        <v>938</v>
      </c>
      <c r="N4" s="5" t="s">
        <v>939</v>
      </c>
      <c r="O4" s="5" t="s">
        <v>940</v>
      </c>
      <c r="P4" s="5" t="s">
        <v>941</v>
      </c>
      <c r="Q4" s="5" t="s">
        <v>942</v>
      </c>
      <c r="R4" s="5" t="s">
        <v>943</v>
      </c>
      <c r="S4" s="5" t="s">
        <v>944</v>
      </c>
      <c r="T4" s="5" t="s">
        <v>945</v>
      </c>
      <c r="U4" s="5" t="s">
        <v>946</v>
      </c>
      <c r="V4" s="5" t="s">
        <v>947</v>
      </c>
      <c r="W4" s="5" t="s">
        <v>948</v>
      </c>
      <c r="X4" s="5" t="s">
        <v>949</v>
      </c>
      <c r="Y4" s="5" t="s">
        <v>950</v>
      </c>
      <c r="Z4" s="5" t="s">
        <v>951</v>
      </c>
      <c r="AA4" s="5" t="s">
        <v>952</v>
      </c>
      <c r="AB4" s="5" t="s">
        <v>953</v>
      </c>
      <c r="AC4" s="5" t="s">
        <v>113</v>
      </c>
      <c r="AD4" s="5" t="s">
        <v>954</v>
      </c>
      <c r="AE4" s="5" t="s">
        <v>955</v>
      </c>
      <c r="AF4" s="5" t="s">
        <v>956</v>
      </c>
      <c r="AG4" s="5" t="s">
        <v>957</v>
      </c>
      <c r="AH4" s="5" t="s">
        <v>958</v>
      </c>
    </row>
    <row r="5" spans="1:34" x14ac:dyDescent="0.2">
      <c r="A5" s="20" t="str">
        <f t="shared" ref="A5:A68" si="0">IF(B5="","",F5&amp;"|"&amp;B5)</f>
        <v/>
      </c>
      <c r="B5" s="20" t="str">
        <f>IF(AND(Exposures!$D5&lt;&gt;"",COUNTA(Exposures!$N5:$U5)&gt;0),Exposures!$D5&amp;"/START","")</f>
        <v/>
      </c>
      <c r="C5" s="20" t="str">
        <f t="shared" ref="C5:C36" si="1">IF(B5="","","EXPOSURE_START")</f>
        <v/>
      </c>
      <c r="D5" s="20" t="str">
        <f>IF(B5="","",Exposures!$A5&amp;"")</f>
        <v/>
      </c>
      <c r="E5" s="20" t="str">
        <f>IF(B5="","",Exposures!$B5&amp;"")</f>
        <v/>
      </c>
      <c r="F5" s="20" t="str">
        <f t="shared" ref="F5:F68" si="2">IF(B5="","",D5&amp;"|"&amp;E5)</f>
        <v/>
      </c>
      <c r="G5" s="20" t="str">
        <f>IF(B5="","",Exposures!$D5&amp;"")</f>
        <v/>
      </c>
      <c r="H5" s="20" t="str">
        <f>IF(B5="","",Exposures!$N5&amp;"")</f>
        <v/>
      </c>
      <c r="I5" s="20" t="str">
        <f>IF(B5="","",Exposures!$Q5&amp;"")</f>
        <v/>
      </c>
      <c r="J5" s="20" t="str">
        <f>IF(B5="","",Exposures!$W5&amp;"")</f>
        <v/>
      </c>
      <c r="K5" s="20">
        <f>IF(B5="",0,Exposures!$X5)</f>
        <v>0</v>
      </c>
      <c r="L5" s="20">
        <f>IF(B5="",0,Exposures!$Y5)</f>
        <v>0</v>
      </c>
      <c r="M5" s="20" t="str">
        <f>IF(B5="","",Exposures!$AB5)</f>
        <v/>
      </c>
      <c r="N5" s="20" t="str">
        <f>IF(B5="","",Exposures!$AC5)</f>
        <v/>
      </c>
      <c r="O5" s="27" t="str">
        <f>IF(B5="","",Exposures!$Z5)</f>
        <v/>
      </c>
      <c r="P5" s="27" t="str">
        <f>IF(B5="","",Exposures!$AA5)</f>
        <v/>
      </c>
      <c r="Q5" s="20" t="str">
        <f t="shared" ref="Q5:Q68" si="3">IF(OR(A5="",J5&lt;&gt;""),"",IF(H5="TIMESTAMP",YEAR(INT(M5/1440))&amp;"-"&amp;RIGHT("0"&amp;MONTH(INT(M5/1440)),2)&amp;"-"&amp;RIGHT("0"&amp;DAY(INT(M5/1440)),2)&amp;"T"&amp;RIGHT("0"&amp;INT(MOD(M5,1440)/60),2)&amp;":"&amp;RIGHT("0"&amp;MOD(M5,60),2)&amp;IF(L5=1,I5,""),IF(H5="DATE",YEAR(O5)&amp;"-"&amp;RIGHT("0"&amp;MONTH(O5),2)&amp;"-"&amp;RIGHT("0"&amp;DAY(O5),2),IF(H5="MONTH",YEAR(O5)&amp;"-"&amp;RIGHT("0"&amp;MONTH(O5),2),IF(H5="YEAR",YEAR(O5)&amp;"",YEAR(O5)&amp;"-"&amp;RIGHT("0"&amp;MONTH(O5),2)&amp;"-"&amp;RIGHT("0"&amp;DAY(O5),2)&amp;"/"&amp;YEAR(P5)&amp;"-"&amp;RIGHT("0"&amp;MONTH(P5),2)&amp;"-"&amp;RIGHT("0"&amp;DAY(P5),2))))))</f>
        <v/>
      </c>
      <c r="R5" s="20" t="str">
        <f>IF(A5="","",IF(J5&lt;&gt;"",J5,IF(H5="TIMESTAMP",DAY(INT(M5/1440))&amp;" "&amp;INDEX(nLIST_Months,MONTH(INT(M5/1440)))&amp;" "&amp;YEAR(INT(M5/1440))&amp;" "&amp;RIGHT("0"&amp;INT(MOD(M5,1440)/60),2)&amp;":"&amp;RIGHT("0"&amp;MOD(M5,60),2)&amp;IF(L5=1," (UTC"&amp;I5&amp;")"," (offset unknown)"),IF(H5="DATE",DAY(O5)&amp;" "&amp;INDEX(nLIST_Months,MONTH(O5))&amp;" "&amp;YEAR(O5),IF(H5="MONTH",INDEX(nLIST_Months,MONTH(O5))&amp;" "&amp;YEAR(O5)&amp;" ("&amp;DAY(O5)&amp;" "&amp;INDEX(nLIST_Months,MONTH(O5))&amp;" "&amp;YEAR(O5)&amp;" to "&amp;DAY(P5)&amp;" "&amp;INDEX(nLIST_Months,MONTH(P5))&amp;" "&amp;YEAR(P5)&amp;")",IF(H5="YEAR",YEAR(O5)&amp;" (1 January to 31 December)",DAY(O5)&amp;" "&amp;INDEX(nLIST_Months,MONTH(O5))&amp;" "&amp;YEAR(O5)&amp;" to "&amp;DAY(P5)&amp;" "&amp;INDEX(nLIST_Months,MONTH(P5))&amp;" "&amp;YEAR(P5)&amp;IF(H5="LAB"," (laboratory-defined)","")))))))</f>
        <v/>
      </c>
      <c r="S5" s="20" t="str">
        <f>IF(B5="","",Exposures!$M5&amp;"")</f>
        <v/>
      </c>
      <c r="T5" s="20" t="str">
        <f>IF(B5="","",Exposures!$V5&amp;"")</f>
        <v/>
      </c>
      <c r="U5" s="20" t="str">
        <f>IF(B5="","","Exposures row "&amp;ROW(Exposures!$A5)&amp;", Start")</f>
        <v/>
      </c>
      <c r="V5" s="20">
        <f>IF(A5="",0,COUNTIF(nTP_Key,A5))</f>
        <v>0</v>
      </c>
      <c r="W5" s="20">
        <f t="shared" ref="W5:W68" si="4">IF(M5="",0,M5)</f>
        <v>0</v>
      </c>
      <c r="X5" s="20">
        <f t="shared" ref="X5:X68" si="5">IF(N5="",0,N5)</f>
        <v>0</v>
      </c>
      <c r="Y5" s="20">
        <f t="shared" ref="Y5:Y68" si="6">IF(O5="",0,O5)</f>
        <v>0</v>
      </c>
      <c r="Z5" s="20">
        <f t="shared" ref="Z5:Z68" si="7">IF(P5="",0,P5)</f>
        <v>0</v>
      </c>
      <c r="AA5" s="20">
        <f t="shared" ref="AA5:AA68" si="8">ROW()-4</f>
        <v>1</v>
      </c>
      <c r="AB5" s="20" t="str">
        <f>""</f>
        <v/>
      </c>
      <c r="AC5" s="20" t="str">
        <f>IF(B5="","",Exposures!$F5&amp;"")</f>
        <v/>
      </c>
      <c r="AD5" s="20" t="str">
        <f>IF(B5="","",Exposures!$E5&amp;": Start")</f>
        <v/>
      </c>
      <c r="AE5" s="20">
        <f t="shared" ref="AE5:AE68" si="9">IF(AND(A5&lt;&gt;"",OR(C5="EXPOSURE_START",C5="EXPOSURE_RESTART",AND(C5="ADMINISTRATION",AB5&lt;&gt;"INFUSION_SEGMENT"))),1,0)</f>
        <v>0</v>
      </c>
      <c r="AF5" s="20" t="str">
        <f t="shared" ref="AF5:AF68" si="10">IF(AE5=1,F5&amp;"|"&amp;G5,"")</f>
        <v/>
      </c>
      <c r="AG5" s="20">
        <f t="shared" ref="AG5:AG68" si="11">IF(AND(A5&lt;&gt;"",J5="",OR(H5="TIMESTAMP",H5="DATE")),1,0)</f>
        <v>0</v>
      </c>
      <c r="AH5" s="20" t="str">
        <f>""</f>
        <v/>
      </c>
    </row>
    <row r="6" spans="1:34" x14ac:dyDescent="0.2">
      <c r="A6" s="20" t="str">
        <f t="shared" si="0"/>
        <v/>
      </c>
      <c r="B6" s="20" t="str">
        <f>IF(AND(Exposures!$D6&lt;&gt;"",COUNTA(Exposures!$N6:$U6)&gt;0),Exposures!$D6&amp;"/START","")</f>
        <v/>
      </c>
      <c r="C6" s="20" t="str">
        <f t="shared" si="1"/>
        <v/>
      </c>
      <c r="D6" s="20" t="str">
        <f>IF(B6="","",Exposures!$A6&amp;"")</f>
        <v/>
      </c>
      <c r="E6" s="20" t="str">
        <f>IF(B6="","",Exposures!$B6&amp;"")</f>
        <v/>
      </c>
      <c r="F6" s="20" t="str">
        <f t="shared" si="2"/>
        <v/>
      </c>
      <c r="G6" s="20" t="str">
        <f>IF(B6="","",Exposures!$D6&amp;"")</f>
        <v/>
      </c>
      <c r="H6" s="20" t="str">
        <f>IF(B6="","",Exposures!$N6&amp;"")</f>
        <v/>
      </c>
      <c r="I6" s="20" t="str">
        <f>IF(B6="","",Exposures!$Q6&amp;"")</f>
        <v/>
      </c>
      <c r="J6" s="20" t="str">
        <f>IF(B6="","",Exposures!$W6&amp;"")</f>
        <v/>
      </c>
      <c r="K6" s="20">
        <f>IF(B6="",0,Exposures!$X6)</f>
        <v>0</v>
      </c>
      <c r="L6" s="20">
        <f>IF(B6="",0,Exposures!$Y6)</f>
        <v>0</v>
      </c>
      <c r="M6" s="20" t="str">
        <f>IF(B6="","",Exposures!$AB6)</f>
        <v/>
      </c>
      <c r="N6" s="20" t="str">
        <f>IF(B6="","",Exposures!$AC6)</f>
        <v/>
      </c>
      <c r="O6" s="27" t="str">
        <f>IF(B6="","",Exposures!$Z6)</f>
        <v/>
      </c>
      <c r="P6" s="27" t="str">
        <f>IF(B6="","",Exposures!$AA6)</f>
        <v/>
      </c>
      <c r="Q6" s="20" t="str">
        <f t="shared" si="3"/>
        <v/>
      </c>
      <c r="R6" s="20" t="str">
        <f>IF(A6="","",IF(J6&lt;&gt;"",J6,IF(H6="TIMESTAMP",DAY(INT(M6/1440))&amp;" "&amp;INDEX(nLIST_Months,MONTH(INT(M6/1440)))&amp;" "&amp;YEAR(INT(M6/1440))&amp;" "&amp;RIGHT("0"&amp;INT(MOD(M6,1440)/60),2)&amp;":"&amp;RIGHT("0"&amp;MOD(M6,60),2)&amp;IF(L6=1," (UTC"&amp;I6&amp;")"," (offset unknown)"),IF(H6="DATE",DAY(O6)&amp;" "&amp;INDEX(nLIST_Months,MONTH(O6))&amp;" "&amp;YEAR(O6),IF(H6="MONTH",INDEX(nLIST_Months,MONTH(O6))&amp;" "&amp;YEAR(O6)&amp;" ("&amp;DAY(O6)&amp;" "&amp;INDEX(nLIST_Months,MONTH(O6))&amp;" "&amp;YEAR(O6)&amp;" to "&amp;DAY(P6)&amp;" "&amp;INDEX(nLIST_Months,MONTH(P6))&amp;" "&amp;YEAR(P6)&amp;")",IF(H6="YEAR",YEAR(O6)&amp;" (1 January to 31 December)",DAY(O6)&amp;" "&amp;INDEX(nLIST_Months,MONTH(O6))&amp;" "&amp;YEAR(O6)&amp;" to "&amp;DAY(P6)&amp;" "&amp;INDEX(nLIST_Months,MONTH(P6))&amp;" "&amp;YEAR(P6)&amp;IF(H6="LAB"," (laboratory-defined)","")))))))</f>
        <v/>
      </c>
      <c r="S6" s="20" t="str">
        <f>IF(B6="","",Exposures!$M6&amp;"")</f>
        <v/>
      </c>
      <c r="T6" s="20" t="str">
        <f>IF(B6="","",Exposures!$V6&amp;"")</f>
        <v/>
      </c>
      <c r="U6" s="20" t="str">
        <f>IF(B6="","","Exposures row "&amp;ROW(Exposures!$A6)&amp;", Start")</f>
        <v/>
      </c>
      <c r="V6" s="20">
        <f>IF(A6="",0,COUNTIF(nTP_Key,A6))</f>
        <v>0</v>
      </c>
      <c r="W6" s="20">
        <f t="shared" si="4"/>
        <v>0</v>
      </c>
      <c r="X6" s="20">
        <f t="shared" si="5"/>
        <v>0</v>
      </c>
      <c r="Y6" s="20">
        <f t="shared" si="6"/>
        <v>0</v>
      </c>
      <c r="Z6" s="20">
        <f t="shared" si="7"/>
        <v>0</v>
      </c>
      <c r="AA6" s="20">
        <f t="shared" si="8"/>
        <v>2</v>
      </c>
      <c r="AB6" s="20" t="str">
        <f>""</f>
        <v/>
      </c>
      <c r="AC6" s="20" t="str">
        <f>IF(B6="","",Exposures!$F6&amp;"")</f>
        <v/>
      </c>
      <c r="AD6" s="20" t="str">
        <f>IF(B6="","",Exposures!$E6&amp;": Start")</f>
        <v/>
      </c>
      <c r="AE6" s="20">
        <f t="shared" si="9"/>
        <v>0</v>
      </c>
      <c r="AF6" s="20" t="str">
        <f t="shared" si="10"/>
        <v/>
      </c>
      <c r="AG6" s="20">
        <f t="shared" si="11"/>
        <v>0</v>
      </c>
      <c r="AH6" s="20" t="str">
        <f>""</f>
        <v/>
      </c>
    </row>
    <row r="7" spans="1:34" x14ac:dyDescent="0.2">
      <c r="A7" s="20" t="str">
        <f t="shared" si="0"/>
        <v/>
      </c>
      <c r="B7" s="20" t="str">
        <f>IF(AND(Exposures!$D7&lt;&gt;"",COUNTA(Exposures!$N7:$U7)&gt;0),Exposures!$D7&amp;"/START","")</f>
        <v/>
      </c>
      <c r="C7" s="20" t="str">
        <f t="shared" si="1"/>
        <v/>
      </c>
      <c r="D7" s="20" t="str">
        <f>IF(B7="","",Exposures!$A7&amp;"")</f>
        <v/>
      </c>
      <c r="E7" s="20" t="str">
        <f>IF(B7="","",Exposures!$B7&amp;"")</f>
        <v/>
      </c>
      <c r="F7" s="20" t="str">
        <f t="shared" si="2"/>
        <v/>
      </c>
      <c r="G7" s="20" t="str">
        <f>IF(B7="","",Exposures!$D7&amp;"")</f>
        <v/>
      </c>
      <c r="H7" s="20" t="str">
        <f>IF(B7="","",Exposures!$N7&amp;"")</f>
        <v/>
      </c>
      <c r="I7" s="20" t="str">
        <f>IF(B7="","",Exposures!$Q7&amp;"")</f>
        <v/>
      </c>
      <c r="J7" s="20" t="str">
        <f>IF(B7="","",Exposures!$W7&amp;"")</f>
        <v/>
      </c>
      <c r="K7" s="20">
        <f>IF(B7="",0,Exposures!$X7)</f>
        <v>0</v>
      </c>
      <c r="L7" s="20">
        <f>IF(B7="",0,Exposures!$Y7)</f>
        <v>0</v>
      </c>
      <c r="M7" s="20" t="str">
        <f>IF(B7="","",Exposures!$AB7)</f>
        <v/>
      </c>
      <c r="N7" s="20" t="str">
        <f>IF(B7="","",Exposures!$AC7)</f>
        <v/>
      </c>
      <c r="O7" s="27" t="str">
        <f>IF(B7="","",Exposures!$Z7)</f>
        <v/>
      </c>
      <c r="P7" s="27" t="str">
        <f>IF(B7="","",Exposures!$AA7)</f>
        <v/>
      </c>
      <c r="Q7" s="20" t="str">
        <f t="shared" si="3"/>
        <v/>
      </c>
      <c r="R7" s="20" t="str">
        <f>IF(A7="","",IF(J7&lt;&gt;"",J7,IF(H7="TIMESTAMP",DAY(INT(M7/1440))&amp;" "&amp;INDEX(nLIST_Months,MONTH(INT(M7/1440)))&amp;" "&amp;YEAR(INT(M7/1440))&amp;" "&amp;RIGHT("0"&amp;INT(MOD(M7,1440)/60),2)&amp;":"&amp;RIGHT("0"&amp;MOD(M7,60),2)&amp;IF(L7=1," (UTC"&amp;I7&amp;")"," (offset unknown)"),IF(H7="DATE",DAY(O7)&amp;" "&amp;INDEX(nLIST_Months,MONTH(O7))&amp;" "&amp;YEAR(O7),IF(H7="MONTH",INDEX(nLIST_Months,MONTH(O7))&amp;" "&amp;YEAR(O7)&amp;" ("&amp;DAY(O7)&amp;" "&amp;INDEX(nLIST_Months,MONTH(O7))&amp;" "&amp;YEAR(O7)&amp;" to "&amp;DAY(P7)&amp;" "&amp;INDEX(nLIST_Months,MONTH(P7))&amp;" "&amp;YEAR(P7)&amp;")",IF(H7="YEAR",YEAR(O7)&amp;" (1 January to 31 December)",DAY(O7)&amp;" "&amp;INDEX(nLIST_Months,MONTH(O7))&amp;" "&amp;YEAR(O7)&amp;" to "&amp;DAY(P7)&amp;" "&amp;INDEX(nLIST_Months,MONTH(P7))&amp;" "&amp;YEAR(P7)&amp;IF(H7="LAB"," (laboratory-defined)","")))))))</f>
        <v/>
      </c>
      <c r="S7" s="20" t="str">
        <f>IF(B7="","",Exposures!$M7&amp;"")</f>
        <v/>
      </c>
      <c r="T7" s="20" t="str">
        <f>IF(B7="","",Exposures!$V7&amp;"")</f>
        <v/>
      </c>
      <c r="U7" s="20" t="str">
        <f>IF(B7="","","Exposures row "&amp;ROW(Exposures!$A7)&amp;", Start")</f>
        <v/>
      </c>
      <c r="V7" s="20">
        <f>IF(A7="",0,COUNTIF(nTP_Key,A7))</f>
        <v>0</v>
      </c>
      <c r="W7" s="20">
        <f t="shared" si="4"/>
        <v>0</v>
      </c>
      <c r="X7" s="20">
        <f t="shared" si="5"/>
        <v>0</v>
      </c>
      <c r="Y7" s="20">
        <f t="shared" si="6"/>
        <v>0</v>
      </c>
      <c r="Z7" s="20">
        <f t="shared" si="7"/>
        <v>0</v>
      </c>
      <c r="AA7" s="20">
        <f t="shared" si="8"/>
        <v>3</v>
      </c>
      <c r="AB7" s="20" t="str">
        <f>""</f>
        <v/>
      </c>
      <c r="AC7" s="20" t="str">
        <f>IF(B7="","",Exposures!$F7&amp;"")</f>
        <v/>
      </c>
      <c r="AD7" s="20" t="str">
        <f>IF(B7="","",Exposures!$E7&amp;": Start")</f>
        <v/>
      </c>
      <c r="AE7" s="20">
        <f t="shared" si="9"/>
        <v>0</v>
      </c>
      <c r="AF7" s="20" t="str">
        <f t="shared" si="10"/>
        <v/>
      </c>
      <c r="AG7" s="20">
        <f t="shared" si="11"/>
        <v>0</v>
      </c>
      <c r="AH7" s="20" t="str">
        <f>""</f>
        <v/>
      </c>
    </row>
    <row r="8" spans="1:34" x14ac:dyDescent="0.2">
      <c r="A8" s="20" t="str">
        <f t="shared" si="0"/>
        <v/>
      </c>
      <c r="B8" s="20" t="str">
        <f>IF(AND(Exposures!$D8&lt;&gt;"",COUNTA(Exposures!$N8:$U8)&gt;0),Exposures!$D8&amp;"/START","")</f>
        <v/>
      </c>
      <c r="C8" s="20" t="str">
        <f t="shared" si="1"/>
        <v/>
      </c>
      <c r="D8" s="20" t="str">
        <f>IF(B8="","",Exposures!$A8&amp;"")</f>
        <v/>
      </c>
      <c r="E8" s="20" t="str">
        <f>IF(B8="","",Exposures!$B8&amp;"")</f>
        <v/>
      </c>
      <c r="F8" s="20" t="str">
        <f t="shared" si="2"/>
        <v/>
      </c>
      <c r="G8" s="20" t="str">
        <f>IF(B8="","",Exposures!$D8&amp;"")</f>
        <v/>
      </c>
      <c r="H8" s="20" t="str">
        <f>IF(B8="","",Exposures!$N8&amp;"")</f>
        <v/>
      </c>
      <c r="I8" s="20" t="str">
        <f>IF(B8="","",Exposures!$Q8&amp;"")</f>
        <v/>
      </c>
      <c r="J8" s="20" t="str">
        <f>IF(B8="","",Exposures!$W8&amp;"")</f>
        <v/>
      </c>
      <c r="K8" s="20">
        <f>IF(B8="",0,Exposures!$X8)</f>
        <v>0</v>
      </c>
      <c r="L8" s="20">
        <f>IF(B8="",0,Exposures!$Y8)</f>
        <v>0</v>
      </c>
      <c r="M8" s="20" t="str">
        <f>IF(B8="","",Exposures!$AB8)</f>
        <v/>
      </c>
      <c r="N8" s="20" t="str">
        <f>IF(B8="","",Exposures!$AC8)</f>
        <v/>
      </c>
      <c r="O8" s="27" t="str">
        <f>IF(B8="","",Exposures!$Z8)</f>
        <v/>
      </c>
      <c r="P8" s="27" t="str">
        <f>IF(B8="","",Exposures!$AA8)</f>
        <v/>
      </c>
      <c r="Q8" s="20" t="str">
        <f t="shared" si="3"/>
        <v/>
      </c>
      <c r="R8" s="20" t="str">
        <f>IF(A8="","",IF(J8&lt;&gt;"",J8,IF(H8="TIMESTAMP",DAY(INT(M8/1440))&amp;" "&amp;INDEX(nLIST_Months,MONTH(INT(M8/1440)))&amp;" "&amp;YEAR(INT(M8/1440))&amp;" "&amp;RIGHT("0"&amp;INT(MOD(M8,1440)/60),2)&amp;":"&amp;RIGHT("0"&amp;MOD(M8,60),2)&amp;IF(L8=1," (UTC"&amp;I8&amp;")"," (offset unknown)"),IF(H8="DATE",DAY(O8)&amp;" "&amp;INDEX(nLIST_Months,MONTH(O8))&amp;" "&amp;YEAR(O8),IF(H8="MONTH",INDEX(nLIST_Months,MONTH(O8))&amp;" "&amp;YEAR(O8)&amp;" ("&amp;DAY(O8)&amp;" "&amp;INDEX(nLIST_Months,MONTH(O8))&amp;" "&amp;YEAR(O8)&amp;" to "&amp;DAY(P8)&amp;" "&amp;INDEX(nLIST_Months,MONTH(P8))&amp;" "&amp;YEAR(P8)&amp;")",IF(H8="YEAR",YEAR(O8)&amp;" (1 January to 31 December)",DAY(O8)&amp;" "&amp;INDEX(nLIST_Months,MONTH(O8))&amp;" "&amp;YEAR(O8)&amp;" to "&amp;DAY(P8)&amp;" "&amp;INDEX(nLIST_Months,MONTH(P8))&amp;" "&amp;YEAR(P8)&amp;IF(H8="LAB"," (laboratory-defined)","")))))))</f>
        <v/>
      </c>
      <c r="S8" s="20" t="str">
        <f>IF(B8="","",Exposures!$M8&amp;"")</f>
        <v/>
      </c>
      <c r="T8" s="20" t="str">
        <f>IF(B8="","",Exposures!$V8&amp;"")</f>
        <v/>
      </c>
      <c r="U8" s="20" t="str">
        <f>IF(B8="","","Exposures row "&amp;ROW(Exposures!$A8)&amp;", Start")</f>
        <v/>
      </c>
      <c r="V8" s="20">
        <f>IF(A8="",0,COUNTIF(nTP_Key,A8))</f>
        <v>0</v>
      </c>
      <c r="W8" s="20">
        <f t="shared" si="4"/>
        <v>0</v>
      </c>
      <c r="X8" s="20">
        <f t="shared" si="5"/>
        <v>0</v>
      </c>
      <c r="Y8" s="20">
        <f t="shared" si="6"/>
        <v>0</v>
      </c>
      <c r="Z8" s="20">
        <f t="shared" si="7"/>
        <v>0</v>
      </c>
      <c r="AA8" s="20">
        <f t="shared" si="8"/>
        <v>4</v>
      </c>
      <c r="AB8" s="20" t="str">
        <f>""</f>
        <v/>
      </c>
      <c r="AC8" s="20" t="str">
        <f>IF(B8="","",Exposures!$F8&amp;"")</f>
        <v/>
      </c>
      <c r="AD8" s="20" t="str">
        <f>IF(B8="","",Exposures!$E8&amp;": Start")</f>
        <v/>
      </c>
      <c r="AE8" s="20">
        <f t="shared" si="9"/>
        <v>0</v>
      </c>
      <c r="AF8" s="20" t="str">
        <f t="shared" si="10"/>
        <v/>
      </c>
      <c r="AG8" s="20">
        <f t="shared" si="11"/>
        <v>0</v>
      </c>
      <c r="AH8" s="20" t="str">
        <f>""</f>
        <v/>
      </c>
    </row>
    <row r="9" spans="1:34" x14ac:dyDescent="0.2">
      <c r="A9" s="20" t="str">
        <f t="shared" si="0"/>
        <v/>
      </c>
      <c r="B9" s="20" t="str">
        <f>IF(AND(Exposures!$D9&lt;&gt;"",COUNTA(Exposures!$N9:$U9)&gt;0),Exposures!$D9&amp;"/START","")</f>
        <v/>
      </c>
      <c r="C9" s="20" t="str">
        <f t="shared" si="1"/>
        <v/>
      </c>
      <c r="D9" s="20" t="str">
        <f>IF(B9="","",Exposures!$A9&amp;"")</f>
        <v/>
      </c>
      <c r="E9" s="20" t="str">
        <f>IF(B9="","",Exposures!$B9&amp;"")</f>
        <v/>
      </c>
      <c r="F9" s="20" t="str">
        <f t="shared" si="2"/>
        <v/>
      </c>
      <c r="G9" s="20" t="str">
        <f>IF(B9="","",Exposures!$D9&amp;"")</f>
        <v/>
      </c>
      <c r="H9" s="20" t="str">
        <f>IF(B9="","",Exposures!$N9&amp;"")</f>
        <v/>
      </c>
      <c r="I9" s="20" t="str">
        <f>IF(B9="","",Exposures!$Q9&amp;"")</f>
        <v/>
      </c>
      <c r="J9" s="20" t="str">
        <f>IF(B9="","",Exposures!$W9&amp;"")</f>
        <v/>
      </c>
      <c r="K9" s="20">
        <f>IF(B9="",0,Exposures!$X9)</f>
        <v>0</v>
      </c>
      <c r="L9" s="20">
        <f>IF(B9="",0,Exposures!$Y9)</f>
        <v>0</v>
      </c>
      <c r="M9" s="20" t="str">
        <f>IF(B9="","",Exposures!$AB9)</f>
        <v/>
      </c>
      <c r="N9" s="20" t="str">
        <f>IF(B9="","",Exposures!$AC9)</f>
        <v/>
      </c>
      <c r="O9" s="27" t="str">
        <f>IF(B9="","",Exposures!$Z9)</f>
        <v/>
      </c>
      <c r="P9" s="27" t="str">
        <f>IF(B9="","",Exposures!$AA9)</f>
        <v/>
      </c>
      <c r="Q9" s="20" t="str">
        <f t="shared" si="3"/>
        <v/>
      </c>
      <c r="R9" s="20" t="str">
        <f>IF(A9="","",IF(J9&lt;&gt;"",J9,IF(H9="TIMESTAMP",DAY(INT(M9/1440))&amp;" "&amp;INDEX(nLIST_Months,MONTH(INT(M9/1440)))&amp;" "&amp;YEAR(INT(M9/1440))&amp;" "&amp;RIGHT("0"&amp;INT(MOD(M9,1440)/60),2)&amp;":"&amp;RIGHT("0"&amp;MOD(M9,60),2)&amp;IF(L9=1," (UTC"&amp;I9&amp;")"," (offset unknown)"),IF(H9="DATE",DAY(O9)&amp;" "&amp;INDEX(nLIST_Months,MONTH(O9))&amp;" "&amp;YEAR(O9),IF(H9="MONTH",INDEX(nLIST_Months,MONTH(O9))&amp;" "&amp;YEAR(O9)&amp;" ("&amp;DAY(O9)&amp;" "&amp;INDEX(nLIST_Months,MONTH(O9))&amp;" "&amp;YEAR(O9)&amp;" to "&amp;DAY(P9)&amp;" "&amp;INDEX(nLIST_Months,MONTH(P9))&amp;" "&amp;YEAR(P9)&amp;")",IF(H9="YEAR",YEAR(O9)&amp;" (1 January to 31 December)",DAY(O9)&amp;" "&amp;INDEX(nLIST_Months,MONTH(O9))&amp;" "&amp;YEAR(O9)&amp;" to "&amp;DAY(P9)&amp;" "&amp;INDEX(nLIST_Months,MONTH(P9))&amp;" "&amp;YEAR(P9)&amp;IF(H9="LAB"," (laboratory-defined)","")))))))</f>
        <v/>
      </c>
      <c r="S9" s="20" t="str">
        <f>IF(B9="","",Exposures!$M9&amp;"")</f>
        <v/>
      </c>
      <c r="T9" s="20" t="str">
        <f>IF(B9="","",Exposures!$V9&amp;"")</f>
        <v/>
      </c>
      <c r="U9" s="20" t="str">
        <f>IF(B9="","","Exposures row "&amp;ROW(Exposures!$A9)&amp;", Start")</f>
        <v/>
      </c>
      <c r="V9" s="20">
        <f>IF(A9="",0,COUNTIF(nTP_Key,A9))</f>
        <v>0</v>
      </c>
      <c r="W9" s="20">
        <f t="shared" si="4"/>
        <v>0</v>
      </c>
      <c r="X9" s="20">
        <f t="shared" si="5"/>
        <v>0</v>
      </c>
      <c r="Y9" s="20">
        <f t="shared" si="6"/>
        <v>0</v>
      </c>
      <c r="Z9" s="20">
        <f t="shared" si="7"/>
        <v>0</v>
      </c>
      <c r="AA9" s="20">
        <f t="shared" si="8"/>
        <v>5</v>
      </c>
      <c r="AB9" s="20" t="str">
        <f>""</f>
        <v/>
      </c>
      <c r="AC9" s="20" t="str">
        <f>IF(B9="","",Exposures!$F9&amp;"")</f>
        <v/>
      </c>
      <c r="AD9" s="20" t="str">
        <f>IF(B9="","",Exposures!$E9&amp;": Start")</f>
        <v/>
      </c>
      <c r="AE9" s="20">
        <f t="shared" si="9"/>
        <v>0</v>
      </c>
      <c r="AF9" s="20" t="str">
        <f t="shared" si="10"/>
        <v/>
      </c>
      <c r="AG9" s="20">
        <f t="shared" si="11"/>
        <v>0</v>
      </c>
      <c r="AH9" s="20" t="str">
        <f>""</f>
        <v/>
      </c>
    </row>
    <row r="10" spans="1:34" x14ac:dyDescent="0.2">
      <c r="A10" s="20" t="str">
        <f t="shared" si="0"/>
        <v/>
      </c>
      <c r="B10" s="20" t="str">
        <f>IF(AND(Exposures!$D10&lt;&gt;"",COUNTA(Exposures!$N10:$U10)&gt;0),Exposures!$D10&amp;"/START","")</f>
        <v/>
      </c>
      <c r="C10" s="20" t="str">
        <f t="shared" si="1"/>
        <v/>
      </c>
      <c r="D10" s="20" t="str">
        <f>IF(B10="","",Exposures!$A10&amp;"")</f>
        <v/>
      </c>
      <c r="E10" s="20" t="str">
        <f>IF(B10="","",Exposures!$B10&amp;"")</f>
        <v/>
      </c>
      <c r="F10" s="20" t="str">
        <f t="shared" si="2"/>
        <v/>
      </c>
      <c r="G10" s="20" t="str">
        <f>IF(B10="","",Exposures!$D10&amp;"")</f>
        <v/>
      </c>
      <c r="H10" s="20" t="str">
        <f>IF(B10="","",Exposures!$N10&amp;"")</f>
        <v/>
      </c>
      <c r="I10" s="20" t="str">
        <f>IF(B10="","",Exposures!$Q10&amp;"")</f>
        <v/>
      </c>
      <c r="J10" s="20" t="str">
        <f>IF(B10="","",Exposures!$W10&amp;"")</f>
        <v/>
      </c>
      <c r="K10" s="20">
        <f>IF(B10="",0,Exposures!$X10)</f>
        <v>0</v>
      </c>
      <c r="L10" s="20">
        <f>IF(B10="",0,Exposures!$Y10)</f>
        <v>0</v>
      </c>
      <c r="M10" s="20" t="str">
        <f>IF(B10="","",Exposures!$AB10)</f>
        <v/>
      </c>
      <c r="N10" s="20" t="str">
        <f>IF(B10="","",Exposures!$AC10)</f>
        <v/>
      </c>
      <c r="O10" s="27" t="str">
        <f>IF(B10="","",Exposures!$Z10)</f>
        <v/>
      </c>
      <c r="P10" s="27" t="str">
        <f>IF(B10="","",Exposures!$AA10)</f>
        <v/>
      </c>
      <c r="Q10" s="20" t="str">
        <f t="shared" si="3"/>
        <v/>
      </c>
      <c r="R10" s="20" t="str">
        <f>IF(A10="","",IF(J10&lt;&gt;"",J10,IF(H10="TIMESTAMP",DAY(INT(M10/1440))&amp;" "&amp;INDEX(nLIST_Months,MONTH(INT(M10/1440)))&amp;" "&amp;YEAR(INT(M10/1440))&amp;" "&amp;RIGHT("0"&amp;INT(MOD(M10,1440)/60),2)&amp;":"&amp;RIGHT("0"&amp;MOD(M10,60),2)&amp;IF(L10=1," (UTC"&amp;I10&amp;")"," (offset unknown)"),IF(H10="DATE",DAY(O10)&amp;" "&amp;INDEX(nLIST_Months,MONTH(O10))&amp;" "&amp;YEAR(O10),IF(H10="MONTH",INDEX(nLIST_Months,MONTH(O10))&amp;" "&amp;YEAR(O10)&amp;" ("&amp;DAY(O10)&amp;" "&amp;INDEX(nLIST_Months,MONTH(O10))&amp;" "&amp;YEAR(O10)&amp;" to "&amp;DAY(P10)&amp;" "&amp;INDEX(nLIST_Months,MONTH(P10))&amp;" "&amp;YEAR(P10)&amp;")",IF(H10="YEAR",YEAR(O10)&amp;" (1 January to 31 December)",DAY(O10)&amp;" "&amp;INDEX(nLIST_Months,MONTH(O10))&amp;" "&amp;YEAR(O10)&amp;" to "&amp;DAY(P10)&amp;" "&amp;INDEX(nLIST_Months,MONTH(P10))&amp;" "&amp;YEAR(P10)&amp;IF(H10="LAB"," (laboratory-defined)","")))))))</f>
        <v/>
      </c>
      <c r="S10" s="20" t="str">
        <f>IF(B10="","",Exposures!$M10&amp;"")</f>
        <v/>
      </c>
      <c r="T10" s="20" t="str">
        <f>IF(B10="","",Exposures!$V10&amp;"")</f>
        <v/>
      </c>
      <c r="U10" s="20" t="str">
        <f>IF(B10="","","Exposures row "&amp;ROW(Exposures!$A10)&amp;", Start")</f>
        <v/>
      </c>
      <c r="V10" s="20">
        <f>IF(A10="",0,COUNTIF(nTP_Key,A10))</f>
        <v>0</v>
      </c>
      <c r="W10" s="20">
        <f t="shared" si="4"/>
        <v>0</v>
      </c>
      <c r="X10" s="20">
        <f t="shared" si="5"/>
        <v>0</v>
      </c>
      <c r="Y10" s="20">
        <f t="shared" si="6"/>
        <v>0</v>
      </c>
      <c r="Z10" s="20">
        <f t="shared" si="7"/>
        <v>0</v>
      </c>
      <c r="AA10" s="20">
        <f t="shared" si="8"/>
        <v>6</v>
      </c>
      <c r="AB10" s="20" t="str">
        <f>""</f>
        <v/>
      </c>
      <c r="AC10" s="20" t="str">
        <f>IF(B10="","",Exposures!$F10&amp;"")</f>
        <v/>
      </c>
      <c r="AD10" s="20" t="str">
        <f>IF(B10="","",Exposures!$E10&amp;": Start")</f>
        <v/>
      </c>
      <c r="AE10" s="20">
        <f t="shared" si="9"/>
        <v>0</v>
      </c>
      <c r="AF10" s="20" t="str">
        <f t="shared" si="10"/>
        <v/>
      </c>
      <c r="AG10" s="20">
        <f t="shared" si="11"/>
        <v>0</v>
      </c>
      <c r="AH10" s="20" t="str">
        <f>""</f>
        <v/>
      </c>
    </row>
    <row r="11" spans="1:34" x14ac:dyDescent="0.2">
      <c r="A11" s="20" t="str">
        <f t="shared" si="0"/>
        <v/>
      </c>
      <c r="B11" s="20" t="str">
        <f>IF(AND(Exposures!$D11&lt;&gt;"",COUNTA(Exposures!$N11:$U11)&gt;0),Exposures!$D11&amp;"/START","")</f>
        <v/>
      </c>
      <c r="C11" s="20" t="str">
        <f t="shared" si="1"/>
        <v/>
      </c>
      <c r="D11" s="20" t="str">
        <f>IF(B11="","",Exposures!$A11&amp;"")</f>
        <v/>
      </c>
      <c r="E11" s="20" t="str">
        <f>IF(B11="","",Exposures!$B11&amp;"")</f>
        <v/>
      </c>
      <c r="F11" s="20" t="str">
        <f t="shared" si="2"/>
        <v/>
      </c>
      <c r="G11" s="20" t="str">
        <f>IF(B11="","",Exposures!$D11&amp;"")</f>
        <v/>
      </c>
      <c r="H11" s="20" t="str">
        <f>IF(B11="","",Exposures!$N11&amp;"")</f>
        <v/>
      </c>
      <c r="I11" s="20" t="str">
        <f>IF(B11="","",Exposures!$Q11&amp;"")</f>
        <v/>
      </c>
      <c r="J11" s="20" t="str">
        <f>IF(B11="","",Exposures!$W11&amp;"")</f>
        <v/>
      </c>
      <c r="K11" s="20">
        <f>IF(B11="",0,Exposures!$X11)</f>
        <v>0</v>
      </c>
      <c r="L11" s="20">
        <f>IF(B11="",0,Exposures!$Y11)</f>
        <v>0</v>
      </c>
      <c r="M11" s="20" t="str">
        <f>IF(B11="","",Exposures!$AB11)</f>
        <v/>
      </c>
      <c r="N11" s="20" t="str">
        <f>IF(B11="","",Exposures!$AC11)</f>
        <v/>
      </c>
      <c r="O11" s="27" t="str">
        <f>IF(B11="","",Exposures!$Z11)</f>
        <v/>
      </c>
      <c r="P11" s="27" t="str">
        <f>IF(B11="","",Exposures!$AA11)</f>
        <v/>
      </c>
      <c r="Q11" s="20" t="str">
        <f t="shared" si="3"/>
        <v/>
      </c>
      <c r="R11" s="20" t="str">
        <f>IF(A11="","",IF(J11&lt;&gt;"",J11,IF(H11="TIMESTAMP",DAY(INT(M11/1440))&amp;" "&amp;INDEX(nLIST_Months,MONTH(INT(M11/1440)))&amp;" "&amp;YEAR(INT(M11/1440))&amp;" "&amp;RIGHT("0"&amp;INT(MOD(M11,1440)/60),2)&amp;":"&amp;RIGHT("0"&amp;MOD(M11,60),2)&amp;IF(L11=1," (UTC"&amp;I11&amp;")"," (offset unknown)"),IF(H11="DATE",DAY(O11)&amp;" "&amp;INDEX(nLIST_Months,MONTH(O11))&amp;" "&amp;YEAR(O11),IF(H11="MONTH",INDEX(nLIST_Months,MONTH(O11))&amp;" "&amp;YEAR(O11)&amp;" ("&amp;DAY(O11)&amp;" "&amp;INDEX(nLIST_Months,MONTH(O11))&amp;" "&amp;YEAR(O11)&amp;" to "&amp;DAY(P11)&amp;" "&amp;INDEX(nLIST_Months,MONTH(P11))&amp;" "&amp;YEAR(P11)&amp;")",IF(H11="YEAR",YEAR(O11)&amp;" (1 January to 31 December)",DAY(O11)&amp;" "&amp;INDEX(nLIST_Months,MONTH(O11))&amp;" "&amp;YEAR(O11)&amp;" to "&amp;DAY(P11)&amp;" "&amp;INDEX(nLIST_Months,MONTH(P11))&amp;" "&amp;YEAR(P11)&amp;IF(H11="LAB"," (laboratory-defined)","")))))))</f>
        <v/>
      </c>
      <c r="S11" s="20" t="str">
        <f>IF(B11="","",Exposures!$M11&amp;"")</f>
        <v/>
      </c>
      <c r="T11" s="20" t="str">
        <f>IF(B11="","",Exposures!$V11&amp;"")</f>
        <v/>
      </c>
      <c r="U11" s="20" t="str">
        <f>IF(B11="","","Exposures row "&amp;ROW(Exposures!$A11)&amp;", Start")</f>
        <v/>
      </c>
      <c r="V11" s="20">
        <f>IF(A11="",0,COUNTIF(nTP_Key,A11))</f>
        <v>0</v>
      </c>
      <c r="W11" s="20">
        <f t="shared" si="4"/>
        <v>0</v>
      </c>
      <c r="X11" s="20">
        <f t="shared" si="5"/>
        <v>0</v>
      </c>
      <c r="Y11" s="20">
        <f t="shared" si="6"/>
        <v>0</v>
      </c>
      <c r="Z11" s="20">
        <f t="shared" si="7"/>
        <v>0</v>
      </c>
      <c r="AA11" s="20">
        <f t="shared" si="8"/>
        <v>7</v>
      </c>
      <c r="AB11" s="20" t="str">
        <f>""</f>
        <v/>
      </c>
      <c r="AC11" s="20" t="str">
        <f>IF(B11="","",Exposures!$F11&amp;"")</f>
        <v/>
      </c>
      <c r="AD11" s="20" t="str">
        <f>IF(B11="","",Exposures!$E11&amp;": Start")</f>
        <v/>
      </c>
      <c r="AE11" s="20">
        <f t="shared" si="9"/>
        <v>0</v>
      </c>
      <c r="AF11" s="20" t="str">
        <f t="shared" si="10"/>
        <v/>
      </c>
      <c r="AG11" s="20">
        <f t="shared" si="11"/>
        <v>0</v>
      </c>
      <c r="AH11" s="20" t="str">
        <f>""</f>
        <v/>
      </c>
    </row>
    <row r="12" spans="1:34" x14ac:dyDescent="0.2">
      <c r="A12" s="20" t="str">
        <f t="shared" si="0"/>
        <v/>
      </c>
      <c r="B12" s="20" t="str">
        <f>IF(AND(Exposures!$D12&lt;&gt;"",COUNTA(Exposures!$N12:$U12)&gt;0),Exposures!$D12&amp;"/START","")</f>
        <v/>
      </c>
      <c r="C12" s="20" t="str">
        <f t="shared" si="1"/>
        <v/>
      </c>
      <c r="D12" s="20" t="str">
        <f>IF(B12="","",Exposures!$A12&amp;"")</f>
        <v/>
      </c>
      <c r="E12" s="20" t="str">
        <f>IF(B12="","",Exposures!$B12&amp;"")</f>
        <v/>
      </c>
      <c r="F12" s="20" t="str">
        <f t="shared" si="2"/>
        <v/>
      </c>
      <c r="G12" s="20" t="str">
        <f>IF(B12="","",Exposures!$D12&amp;"")</f>
        <v/>
      </c>
      <c r="H12" s="20" t="str">
        <f>IF(B12="","",Exposures!$N12&amp;"")</f>
        <v/>
      </c>
      <c r="I12" s="20" t="str">
        <f>IF(B12="","",Exposures!$Q12&amp;"")</f>
        <v/>
      </c>
      <c r="J12" s="20" t="str">
        <f>IF(B12="","",Exposures!$W12&amp;"")</f>
        <v/>
      </c>
      <c r="K12" s="20">
        <f>IF(B12="",0,Exposures!$X12)</f>
        <v>0</v>
      </c>
      <c r="L12" s="20">
        <f>IF(B12="",0,Exposures!$Y12)</f>
        <v>0</v>
      </c>
      <c r="M12" s="20" t="str">
        <f>IF(B12="","",Exposures!$AB12)</f>
        <v/>
      </c>
      <c r="N12" s="20" t="str">
        <f>IF(B12="","",Exposures!$AC12)</f>
        <v/>
      </c>
      <c r="O12" s="27" t="str">
        <f>IF(B12="","",Exposures!$Z12)</f>
        <v/>
      </c>
      <c r="P12" s="27" t="str">
        <f>IF(B12="","",Exposures!$AA12)</f>
        <v/>
      </c>
      <c r="Q12" s="20" t="str">
        <f t="shared" si="3"/>
        <v/>
      </c>
      <c r="R12" s="20" t="str">
        <f>IF(A12="","",IF(J12&lt;&gt;"",J12,IF(H12="TIMESTAMP",DAY(INT(M12/1440))&amp;" "&amp;INDEX(nLIST_Months,MONTH(INT(M12/1440)))&amp;" "&amp;YEAR(INT(M12/1440))&amp;" "&amp;RIGHT("0"&amp;INT(MOD(M12,1440)/60),2)&amp;":"&amp;RIGHT("0"&amp;MOD(M12,60),2)&amp;IF(L12=1," (UTC"&amp;I12&amp;")"," (offset unknown)"),IF(H12="DATE",DAY(O12)&amp;" "&amp;INDEX(nLIST_Months,MONTH(O12))&amp;" "&amp;YEAR(O12),IF(H12="MONTH",INDEX(nLIST_Months,MONTH(O12))&amp;" "&amp;YEAR(O12)&amp;" ("&amp;DAY(O12)&amp;" "&amp;INDEX(nLIST_Months,MONTH(O12))&amp;" "&amp;YEAR(O12)&amp;" to "&amp;DAY(P12)&amp;" "&amp;INDEX(nLIST_Months,MONTH(P12))&amp;" "&amp;YEAR(P12)&amp;")",IF(H12="YEAR",YEAR(O12)&amp;" (1 January to 31 December)",DAY(O12)&amp;" "&amp;INDEX(nLIST_Months,MONTH(O12))&amp;" "&amp;YEAR(O12)&amp;" to "&amp;DAY(P12)&amp;" "&amp;INDEX(nLIST_Months,MONTH(P12))&amp;" "&amp;YEAR(P12)&amp;IF(H12="LAB"," (laboratory-defined)","")))))))</f>
        <v/>
      </c>
      <c r="S12" s="20" t="str">
        <f>IF(B12="","",Exposures!$M12&amp;"")</f>
        <v/>
      </c>
      <c r="T12" s="20" t="str">
        <f>IF(B12="","",Exposures!$V12&amp;"")</f>
        <v/>
      </c>
      <c r="U12" s="20" t="str">
        <f>IF(B12="","","Exposures row "&amp;ROW(Exposures!$A12)&amp;", Start")</f>
        <v/>
      </c>
      <c r="V12" s="20">
        <f>IF(A12="",0,COUNTIF(nTP_Key,A12))</f>
        <v>0</v>
      </c>
      <c r="W12" s="20">
        <f t="shared" si="4"/>
        <v>0</v>
      </c>
      <c r="X12" s="20">
        <f t="shared" si="5"/>
        <v>0</v>
      </c>
      <c r="Y12" s="20">
        <f t="shared" si="6"/>
        <v>0</v>
      </c>
      <c r="Z12" s="20">
        <f t="shared" si="7"/>
        <v>0</v>
      </c>
      <c r="AA12" s="20">
        <f t="shared" si="8"/>
        <v>8</v>
      </c>
      <c r="AB12" s="20" t="str">
        <f>""</f>
        <v/>
      </c>
      <c r="AC12" s="20" t="str">
        <f>IF(B12="","",Exposures!$F12&amp;"")</f>
        <v/>
      </c>
      <c r="AD12" s="20" t="str">
        <f>IF(B12="","",Exposures!$E12&amp;": Start")</f>
        <v/>
      </c>
      <c r="AE12" s="20">
        <f t="shared" si="9"/>
        <v>0</v>
      </c>
      <c r="AF12" s="20" t="str">
        <f t="shared" si="10"/>
        <v/>
      </c>
      <c r="AG12" s="20">
        <f t="shared" si="11"/>
        <v>0</v>
      </c>
      <c r="AH12" s="20" t="str">
        <f>""</f>
        <v/>
      </c>
    </row>
    <row r="13" spans="1:34" x14ac:dyDescent="0.2">
      <c r="A13" s="20" t="str">
        <f t="shared" si="0"/>
        <v/>
      </c>
      <c r="B13" s="20" t="str">
        <f>IF(AND(Exposures!$D13&lt;&gt;"",COUNTA(Exposures!$N13:$U13)&gt;0),Exposures!$D13&amp;"/START","")</f>
        <v/>
      </c>
      <c r="C13" s="20" t="str">
        <f t="shared" si="1"/>
        <v/>
      </c>
      <c r="D13" s="20" t="str">
        <f>IF(B13="","",Exposures!$A13&amp;"")</f>
        <v/>
      </c>
      <c r="E13" s="20" t="str">
        <f>IF(B13="","",Exposures!$B13&amp;"")</f>
        <v/>
      </c>
      <c r="F13" s="20" t="str">
        <f t="shared" si="2"/>
        <v/>
      </c>
      <c r="G13" s="20" t="str">
        <f>IF(B13="","",Exposures!$D13&amp;"")</f>
        <v/>
      </c>
      <c r="H13" s="20" t="str">
        <f>IF(B13="","",Exposures!$N13&amp;"")</f>
        <v/>
      </c>
      <c r="I13" s="20" t="str">
        <f>IF(B13="","",Exposures!$Q13&amp;"")</f>
        <v/>
      </c>
      <c r="J13" s="20" t="str">
        <f>IF(B13="","",Exposures!$W13&amp;"")</f>
        <v/>
      </c>
      <c r="K13" s="20">
        <f>IF(B13="",0,Exposures!$X13)</f>
        <v>0</v>
      </c>
      <c r="L13" s="20">
        <f>IF(B13="",0,Exposures!$Y13)</f>
        <v>0</v>
      </c>
      <c r="M13" s="20" t="str">
        <f>IF(B13="","",Exposures!$AB13)</f>
        <v/>
      </c>
      <c r="N13" s="20" t="str">
        <f>IF(B13="","",Exposures!$AC13)</f>
        <v/>
      </c>
      <c r="O13" s="27" t="str">
        <f>IF(B13="","",Exposures!$Z13)</f>
        <v/>
      </c>
      <c r="P13" s="27" t="str">
        <f>IF(B13="","",Exposures!$AA13)</f>
        <v/>
      </c>
      <c r="Q13" s="20" t="str">
        <f t="shared" si="3"/>
        <v/>
      </c>
      <c r="R13" s="20" t="str">
        <f>IF(A13="","",IF(J13&lt;&gt;"",J13,IF(H13="TIMESTAMP",DAY(INT(M13/1440))&amp;" "&amp;INDEX(nLIST_Months,MONTH(INT(M13/1440)))&amp;" "&amp;YEAR(INT(M13/1440))&amp;" "&amp;RIGHT("0"&amp;INT(MOD(M13,1440)/60),2)&amp;":"&amp;RIGHT("0"&amp;MOD(M13,60),2)&amp;IF(L13=1," (UTC"&amp;I13&amp;")"," (offset unknown)"),IF(H13="DATE",DAY(O13)&amp;" "&amp;INDEX(nLIST_Months,MONTH(O13))&amp;" "&amp;YEAR(O13),IF(H13="MONTH",INDEX(nLIST_Months,MONTH(O13))&amp;" "&amp;YEAR(O13)&amp;" ("&amp;DAY(O13)&amp;" "&amp;INDEX(nLIST_Months,MONTH(O13))&amp;" "&amp;YEAR(O13)&amp;" to "&amp;DAY(P13)&amp;" "&amp;INDEX(nLIST_Months,MONTH(P13))&amp;" "&amp;YEAR(P13)&amp;")",IF(H13="YEAR",YEAR(O13)&amp;" (1 January to 31 December)",DAY(O13)&amp;" "&amp;INDEX(nLIST_Months,MONTH(O13))&amp;" "&amp;YEAR(O13)&amp;" to "&amp;DAY(P13)&amp;" "&amp;INDEX(nLIST_Months,MONTH(P13))&amp;" "&amp;YEAR(P13)&amp;IF(H13="LAB"," (laboratory-defined)","")))))))</f>
        <v/>
      </c>
      <c r="S13" s="20" t="str">
        <f>IF(B13="","",Exposures!$M13&amp;"")</f>
        <v/>
      </c>
      <c r="T13" s="20" t="str">
        <f>IF(B13="","",Exposures!$V13&amp;"")</f>
        <v/>
      </c>
      <c r="U13" s="20" t="str">
        <f>IF(B13="","","Exposures row "&amp;ROW(Exposures!$A13)&amp;", Start")</f>
        <v/>
      </c>
      <c r="V13" s="20">
        <f>IF(A13="",0,COUNTIF(nTP_Key,A13))</f>
        <v>0</v>
      </c>
      <c r="W13" s="20">
        <f t="shared" si="4"/>
        <v>0</v>
      </c>
      <c r="X13" s="20">
        <f t="shared" si="5"/>
        <v>0</v>
      </c>
      <c r="Y13" s="20">
        <f t="shared" si="6"/>
        <v>0</v>
      </c>
      <c r="Z13" s="20">
        <f t="shared" si="7"/>
        <v>0</v>
      </c>
      <c r="AA13" s="20">
        <f t="shared" si="8"/>
        <v>9</v>
      </c>
      <c r="AB13" s="20" t="str">
        <f>""</f>
        <v/>
      </c>
      <c r="AC13" s="20" t="str">
        <f>IF(B13="","",Exposures!$F13&amp;"")</f>
        <v/>
      </c>
      <c r="AD13" s="20" t="str">
        <f>IF(B13="","",Exposures!$E13&amp;": Start")</f>
        <v/>
      </c>
      <c r="AE13" s="20">
        <f t="shared" si="9"/>
        <v>0</v>
      </c>
      <c r="AF13" s="20" t="str">
        <f t="shared" si="10"/>
        <v/>
      </c>
      <c r="AG13" s="20">
        <f t="shared" si="11"/>
        <v>0</v>
      </c>
      <c r="AH13" s="20" t="str">
        <f>""</f>
        <v/>
      </c>
    </row>
    <row r="14" spans="1:34" x14ac:dyDescent="0.2">
      <c r="A14" s="20" t="str">
        <f t="shared" si="0"/>
        <v/>
      </c>
      <c r="B14" s="20" t="str">
        <f>IF(AND(Exposures!$D14&lt;&gt;"",COUNTA(Exposures!$N14:$U14)&gt;0),Exposures!$D14&amp;"/START","")</f>
        <v/>
      </c>
      <c r="C14" s="20" t="str">
        <f t="shared" si="1"/>
        <v/>
      </c>
      <c r="D14" s="20" t="str">
        <f>IF(B14="","",Exposures!$A14&amp;"")</f>
        <v/>
      </c>
      <c r="E14" s="20" t="str">
        <f>IF(B14="","",Exposures!$B14&amp;"")</f>
        <v/>
      </c>
      <c r="F14" s="20" t="str">
        <f t="shared" si="2"/>
        <v/>
      </c>
      <c r="G14" s="20" t="str">
        <f>IF(B14="","",Exposures!$D14&amp;"")</f>
        <v/>
      </c>
      <c r="H14" s="20" t="str">
        <f>IF(B14="","",Exposures!$N14&amp;"")</f>
        <v/>
      </c>
      <c r="I14" s="20" t="str">
        <f>IF(B14="","",Exposures!$Q14&amp;"")</f>
        <v/>
      </c>
      <c r="J14" s="20" t="str">
        <f>IF(B14="","",Exposures!$W14&amp;"")</f>
        <v/>
      </c>
      <c r="K14" s="20">
        <f>IF(B14="",0,Exposures!$X14)</f>
        <v>0</v>
      </c>
      <c r="L14" s="20">
        <f>IF(B14="",0,Exposures!$Y14)</f>
        <v>0</v>
      </c>
      <c r="M14" s="20" t="str">
        <f>IF(B14="","",Exposures!$AB14)</f>
        <v/>
      </c>
      <c r="N14" s="20" t="str">
        <f>IF(B14="","",Exposures!$AC14)</f>
        <v/>
      </c>
      <c r="O14" s="27" t="str">
        <f>IF(B14="","",Exposures!$Z14)</f>
        <v/>
      </c>
      <c r="P14" s="27" t="str">
        <f>IF(B14="","",Exposures!$AA14)</f>
        <v/>
      </c>
      <c r="Q14" s="20" t="str">
        <f t="shared" si="3"/>
        <v/>
      </c>
      <c r="R14" s="20" t="str">
        <f>IF(A14="","",IF(J14&lt;&gt;"",J14,IF(H14="TIMESTAMP",DAY(INT(M14/1440))&amp;" "&amp;INDEX(nLIST_Months,MONTH(INT(M14/1440)))&amp;" "&amp;YEAR(INT(M14/1440))&amp;" "&amp;RIGHT("0"&amp;INT(MOD(M14,1440)/60),2)&amp;":"&amp;RIGHT("0"&amp;MOD(M14,60),2)&amp;IF(L14=1," (UTC"&amp;I14&amp;")"," (offset unknown)"),IF(H14="DATE",DAY(O14)&amp;" "&amp;INDEX(nLIST_Months,MONTH(O14))&amp;" "&amp;YEAR(O14),IF(H14="MONTH",INDEX(nLIST_Months,MONTH(O14))&amp;" "&amp;YEAR(O14)&amp;" ("&amp;DAY(O14)&amp;" "&amp;INDEX(nLIST_Months,MONTH(O14))&amp;" "&amp;YEAR(O14)&amp;" to "&amp;DAY(P14)&amp;" "&amp;INDEX(nLIST_Months,MONTH(P14))&amp;" "&amp;YEAR(P14)&amp;")",IF(H14="YEAR",YEAR(O14)&amp;" (1 January to 31 December)",DAY(O14)&amp;" "&amp;INDEX(nLIST_Months,MONTH(O14))&amp;" "&amp;YEAR(O14)&amp;" to "&amp;DAY(P14)&amp;" "&amp;INDEX(nLIST_Months,MONTH(P14))&amp;" "&amp;YEAR(P14)&amp;IF(H14="LAB"," (laboratory-defined)","")))))))</f>
        <v/>
      </c>
      <c r="S14" s="20" t="str">
        <f>IF(B14="","",Exposures!$M14&amp;"")</f>
        <v/>
      </c>
      <c r="T14" s="20" t="str">
        <f>IF(B14="","",Exposures!$V14&amp;"")</f>
        <v/>
      </c>
      <c r="U14" s="20" t="str">
        <f>IF(B14="","","Exposures row "&amp;ROW(Exposures!$A14)&amp;", Start")</f>
        <v/>
      </c>
      <c r="V14" s="20">
        <f>IF(A14="",0,COUNTIF(nTP_Key,A14))</f>
        <v>0</v>
      </c>
      <c r="W14" s="20">
        <f t="shared" si="4"/>
        <v>0</v>
      </c>
      <c r="X14" s="20">
        <f t="shared" si="5"/>
        <v>0</v>
      </c>
      <c r="Y14" s="20">
        <f t="shared" si="6"/>
        <v>0</v>
      </c>
      <c r="Z14" s="20">
        <f t="shared" si="7"/>
        <v>0</v>
      </c>
      <c r="AA14" s="20">
        <f t="shared" si="8"/>
        <v>10</v>
      </c>
      <c r="AB14" s="20" t="str">
        <f>""</f>
        <v/>
      </c>
      <c r="AC14" s="20" t="str">
        <f>IF(B14="","",Exposures!$F14&amp;"")</f>
        <v/>
      </c>
      <c r="AD14" s="20" t="str">
        <f>IF(B14="","",Exposures!$E14&amp;": Start")</f>
        <v/>
      </c>
      <c r="AE14" s="20">
        <f t="shared" si="9"/>
        <v>0</v>
      </c>
      <c r="AF14" s="20" t="str">
        <f t="shared" si="10"/>
        <v/>
      </c>
      <c r="AG14" s="20">
        <f t="shared" si="11"/>
        <v>0</v>
      </c>
      <c r="AH14" s="20" t="str">
        <f>""</f>
        <v/>
      </c>
    </row>
    <row r="15" spans="1:34" x14ac:dyDescent="0.2">
      <c r="A15" s="20" t="str">
        <f t="shared" si="0"/>
        <v/>
      </c>
      <c r="B15" s="20" t="str">
        <f>IF(AND(Exposures!$D15&lt;&gt;"",COUNTA(Exposures!$N15:$U15)&gt;0),Exposures!$D15&amp;"/START","")</f>
        <v/>
      </c>
      <c r="C15" s="20" t="str">
        <f t="shared" si="1"/>
        <v/>
      </c>
      <c r="D15" s="20" t="str">
        <f>IF(B15="","",Exposures!$A15&amp;"")</f>
        <v/>
      </c>
      <c r="E15" s="20" t="str">
        <f>IF(B15="","",Exposures!$B15&amp;"")</f>
        <v/>
      </c>
      <c r="F15" s="20" t="str">
        <f t="shared" si="2"/>
        <v/>
      </c>
      <c r="G15" s="20" t="str">
        <f>IF(B15="","",Exposures!$D15&amp;"")</f>
        <v/>
      </c>
      <c r="H15" s="20" t="str">
        <f>IF(B15="","",Exposures!$N15&amp;"")</f>
        <v/>
      </c>
      <c r="I15" s="20" t="str">
        <f>IF(B15="","",Exposures!$Q15&amp;"")</f>
        <v/>
      </c>
      <c r="J15" s="20" t="str">
        <f>IF(B15="","",Exposures!$W15&amp;"")</f>
        <v/>
      </c>
      <c r="K15" s="20">
        <f>IF(B15="",0,Exposures!$X15)</f>
        <v>0</v>
      </c>
      <c r="L15" s="20">
        <f>IF(B15="",0,Exposures!$Y15)</f>
        <v>0</v>
      </c>
      <c r="M15" s="20" t="str">
        <f>IF(B15="","",Exposures!$AB15)</f>
        <v/>
      </c>
      <c r="N15" s="20" t="str">
        <f>IF(B15="","",Exposures!$AC15)</f>
        <v/>
      </c>
      <c r="O15" s="27" t="str">
        <f>IF(B15="","",Exposures!$Z15)</f>
        <v/>
      </c>
      <c r="P15" s="27" t="str">
        <f>IF(B15="","",Exposures!$AA15)</f>
        <v/>
      </c>
      <c r="Q15" s="20" t="str">
        <f t="shared" si="3"/>
        <v/>
      </c>
      <c r="R15" s="20" t="str">
        <f>IF(A15="","",IF(J15&lt;&gt;"",J15,IF(H15="TIMESTAMP",DAY(INT(M15/1440))&amp;" "&amp;INDEX(nLIST_Months,MONTH(INT(M15/1440)))&amp;" "&amp;YEAR(INT(M15/1440))&amp;" "&amp;RIGHT("0"&amp;INT(MOD(M15,1440)/60),2)&amp;":"&amp;RIGHT("0"&amp;MOD(M15,60),2)&amp;IF(L15=1," (UTC"&amp;I15&amp;")"," (offset unknown)"),IF(H15="DATE",DAY(O15)&amp;" "&amp;INDEX(nLIST_Months,MONTH(O15))&amp;" "&amp;YEAR(O15),IF(H15="MONTH",INDEX(nLIST_Months,MONTH(O15))&amp;" "&amp;YEAR(O15)&amp;" ("&amp;DAY(O15)&amp;" "&amp;INDEX(nLIST_Months,MONTH(O15))&amp;" "&amp;YEAR(O15)&amp;" to "&amp;DAY(P15)&amp;" "&amp;INDEX(nLIST_Months,MONTH(P15))&amp;" "&amp;YEAR(P15)&amp;")",IF(H15="YEAR",YEAR(O15)&amp;" (1 January to 31 December)",DAY(O15)&amp;" "&amp;INDEX(nLIST_Months,MONTH(O15))&amp;" "&amp;YEAR(O15)&amp;" to "&amp;DAY(P15)&amp;" "&amp;INDEX(nLIST_Months,MONTH(P15))&amp;" "&amp;YEAR(P15)&amp;IF(H15="LAB"," (laboratory-defined)","")))))))</f>
        <v/>
      </c>
      <c r="S15" s="20" t="str">
        <f>IF(B15="","",Exposures!$M15&amp;"")</f>
        <v/>
      </c>
      <c r="T15" s="20" t="str">
        <f>IF(B15="","",Exposures!$V15&amp;"")</f>
        <v/>
      </c>
      <c r="U15" s="20" t="str">
        <f>IF(B15="","","Exposures row "&amp;ROW(Exposures!$A15)&amp;", Start")</f>
        <v/>
      </c>
      <c r="V15" s="20">
        <f>IF(A15="",0,COUNTIF(nTP_Key,A15))</f>
        <v>0</v>
      </c>
      <c r="W15" s="20">
        <f t="shared" si="4"/>
        <v>0</v>
      </c>
      <c r="X15" s="20">
        <f t="shared" si="5"/>
        <v>0</v>
      </c>
      <c r="Y15" s="20">
        <f t="shared" si="6"/>
        <v>0</v>
      </c>
      <c r="Z15" s="20">
        <f t="shared" si="7"/>
        <v>0</v>
      </c>
      <c r="AA15" s="20">
        <f t="shared" si="8"/>
        <v>11</v>
      </c>
      <c r="AB15" s="20" t="str">
        <f>""</f>
        <v/>
      </c>
      <c r="AC15" s="20" t="str">
        <f>IF(B15="","",Exposures!$F15&amp;"")</f>
        <v/>
      </c>
      <c r="AD15" s="20" t="str">
        <f>IF(B15="","",Exposures!$E15&amp;": Start")</f>
        <v/>
      </c>
      <c r="AE15" s="20">
        <f t="shared" si="9"/>
        <v>0</v>
      </c>
      <c r="AF15" s="20" t="str">
        <f t="shared" si="10"/>
        <v/>
      </c>
      <c r="AG15" s="20">
        <f t="shared" si="11"/>
        <v>0</v>
      </c>
      <c r="AH15" s="20" t="str">
        <f>""</f>
        <v/>
      </c>
    </row>
    <row r="16" spans="1:34" x14ac:dyDescent="0.2">
      <c r="A16" s="20" t="str">
        <f t="shared" si="0"/>
        <v/>
      </c>
      <c r="B16" s="20" t="str">
        <f>IF(AND(Exposures!$D16&lt;&gt;"",COUNTA(Exposures!$N16:$U16)&gt;0),Exposures!$D16&amp;"/START","")</f>
        <v/>
      </c>
      <c r="C16" s="20" t="str">
        <f t="shared" si="1"/>
        <v/>
      </c>
      <c r="D16" s="20" t="str">
        <f>IF(B16="","",Exposures!$A16&amp;"")</f>
        <v/>
      </c>
      <c r="E16" s="20" t="str">
        <f>IF(B16="","",Exposures!$B16&amp;"")</f>
        <v/>
      </c>
      <c r="F16" s="20" t="str">
        <f t="shared" si="2"/>
        <v/>
      </c>
      <c r="G16" s="20" t="str">
        <f>IF(B16="","",Exposures!$D16&amp;"")</f>
        <v/>
      </c>
      <c r="H16" s="20" t="str">
        <f>IF(B16="","",Exposures!$N16&amp;"")</f>
        <v/>
      </c>
      <c r="I16" s="20" t="str">
        <f>IF(B16="","",Exposures!$Q16&amp;"")</f>
        <v/>
      </c>
      <c r="J16" s="20" t="str">
        <f>IF(B16="","",Exposures!$W16&amp;"")</f>
        <v/>
      </c>
      <c r="K16" s="20">
        <f>IF(B16="",0,Exposures!$X16)</f>
        <v>0</v>
      </c>
      <c r="L16" s="20">
        <f>IF(B16="",0,Exposures!$Y16)</f>
        <v>0</v>
      </c>
      <c r="M16" s="20" t="str">
        <f>IF(B16="","",Exposures!$AB16)</f>
        <v/>
      </c>
      <c r="N16" s="20" t="str">
        <f>IF(B16="","",Exposures!$AC16)</f>
        <v/>
      </c>
      <c r="O16" s="27" t="str">
        <f>IF(B16="","",Exposures!$Z16)</f>
        <v/>
      </c>
      <c r="P16" s="27" t="str">
        <f>IF(B16="","",Exposures!$AA16)</f>
        <v/>
      </c>
      <c r="Q16" s="20" t="str">
        <f t="shared" si="3"/>
        <v/>
      </c>
      <c r="R16" s="20" t="str">
        <f>IF(A16="","",IF(J16&lt;&gt;"",J16,IF(H16="TIMESTAMP",DAY(INT(M16/1440))&amp;" "&amp;INDEX(nLIST_Months,MONTH(INT(M16/1440)))&amp;" "&amp;YEAR(INT(M16/1440))&amp;" "&amp;RIGHT("0"&amp;INT(MOD(M16,1440)/60),2)&amp;":"&amp;RIGHT("0"&amp;MOD(M16,60),2)&amp;IF(L16=1," (UTC"&amp;I16&amp;")"," (offset unknown)"),IF(H16="DATE",DAY(O16)&amp;" "&amp;INDEX(nLIST_Months,MONTH(O16))&amp;" "&amp;YEAR(O16),IF(H16="MONTH",INDEX(nLIST_Months,MONTH(O16))&amp;" "&amp;YEAR(O16)&amp;" ("&amp;DAY(O16)&amp;" "&amp;INDEX(nLIST_Months,MONTH(O16))&amp;" "&amp;YEAR(O16)&amp;" to "&amp;DAY(P16)&amp;" "&amp;INDEX(nLIST_Months,MONTH(P16))&amp;" "&amp;YEAR(P16)&amp;")",IF(H16="YEAR",YEAR(O16)&amp;" (1 January to 31 December)",DAY(O16)&amp;" "&amp;INDEX(nLIST_Months,MONTH(O16))&amp;" "&amp;YEAR(O16)&amp;" to "&amp;DAY(P16)&amp;" "&amp;INDEX(nLIST_Months,MONTH(P16))&amp;" "&amp;YEAR(P16)&amp;IF(H16="LAB"," (laboratory-defined)","")))))))</f>
        <v/>
      </c>
      <c r="S16" s="20" t="str">
        <f>IF(B16="","",Exposures!$M16&amp;"")</f>
        <v/>
      </c>
      <c r="T16" s="20" t="str">
        <f>IF(B16="","",Exposures!$V16&amp;"")</f>
        <v/>
      </c>
      <c r="U16" s="20" t="str">
        <f>IF(B16="","","Exposures row "&amp;ROW(Exposures!$A16)&amp;", Start")</f>
        <v/>
      </c>
      <c r="V16" s="20">
        <f>IF(A16="",0,COUNTIF(nTP_Key,A16))</f>
        <v>0</v>
      </c>
      <c r="W16" s="20">
        <f t="shared" si="4"/>
        <v>0</v>
      </c>
      <c r="X16" s="20">
        <f t="shared" si="5"/>
        <v>0</v>
      </c>
      <c r="Y16" s="20">
        <f t="shared" si="6"/>
        <v>0</v>
      </c>
      <c r="Z16" s="20">
        <f t="shared" si="7"/>
        <v>0</v>
      </c>
      <c r="AA16" s="20">
        <f t="shared" si="8"/>
        <v>12</v>
      </c>
      <c r="AB16" s="20" t="str">
        <f>""</f>
        <v/>
      </c>
      <c r="AC16" s="20" t="str">
        <f>IF(B16="","",Exposures!$F16&amp;"")</f>
        <v/>
      </c>
      <c r="AD16" s="20" t="str">
        <f>IF(B16="","",Exposures!$E16&amp;": Start")</f>
        <v/>
      </c>
      <c r="AE16" s="20">
        <f t="shared" si="9"/>
        <v>0</v>
      </c>
      <c r="AF16" s="20" t="str">
        <f t="shared" si="10"/>
        <v/>
      </c>
      <c r="AG16" s="20">
        <f t="shared" si="11"/>
        <v>0</v>
      </c>
      <c r="AH16" s="20" t="str">
        <f>""</f>
        <v/>
      </c>
    </row>
    <row r="17" spans="1:34" x14ac:dyDescent="0.2">
      <c r="A17" s="20" t="str">
        <f t="shared" si="0"/>
        <v/>
      </c>
      <c r="B17" s="20" t="str">
        <f>IF(AND(Exposures!$D17&lt;&gt;"",COUNTA(Exposures!$N17:$U17)&gt;0),Exposures!$D17&amp;"/START","")</f>
        <v/>
      </c>
      <c r="C17" s="20" t="str">
        <f t="shared" si="1"/>
        <v/>
      </c>
      <c r="D17" s="20" t="str">
        <f>IF(B17="","",Exposures!$A17&amp;"")</f>
        <v/>
      </c>
      <c r="E17" s="20" t="str">
        <f>IF(B17="","",Exposures!$B17&amp;"")</f>
        <v/>
      </c>
      <c r="F17" s="20" t="str">
        <f t="shared" si="2"/>
        <v/>
      </c>
      <c r="G17" s="20" t="str">
        <f>IF(B17="","",Exposures!$D17&amp;"")</f>
        <v/>
      </c>
      <c r="H17" s="20" t="str">
        <f>IF(B17="","",Exposures!$N17&amp;"")</f>
        <v/>
      </c>
      <c r="I17" s="20" t="str">
        <f>IF(B17="","",Exposures!$Q17&amp;"")</f>
        <v/>
      </c>
      <c r="J17" s="20" t="str">
        <f>IF(B17="","",Exposures!$W17&amp;"")</f>
        <v/>
      </c>
      <c r="K17" s="20">
        <f>IF(B17="",0,Exposures!$X17)</f>
        <v>0</v>
      </c>
      <c r="L17" s="20">
        <f>IF(B17="",0,Exposures!$Y17)</f>
        <v>0</v>
      </c>
      <c r="M17" s="20" t="str">
        <f>IF(B17="","",Exposures!$AB17)</f>
        <v/>
      </c>
      <c r="N17" s="20" t="str">
        <f>IF(B17="","",Exposures!$AC17)</f>
        <v/>
      </c>
      <c r="O17" s="27" t="str">
        <f>IF(B17="","",Exposures!$Z17)</f>
        <v/>
      </c>
      <c r="P17" s="27" t="str">
        <f>IF(B17="","",Exposures!$AA17)</f>
        <v/>
      </c>
      <c r="Q17" s="20" t="str">
        <f t="shared" si="3"/>
        <v/>
      </c>
      <c r="R17" s="20" t="str">
        <f>IF(A17="","",IF(J17&lt;&gt;"",J17,IF(H17="TIMESTAMP",DAY(INT(M17/1440))&amp;" "&amp;INDEX(nLIST_Months,MONTH(INT(M17/1440)))&amp;" "&amp;YEAR(INT(M17/1440))&amp;" "&amp;RIGHT("0"&amp;INT(MOD(M17,1440)/60),2)&amp;":"&amp;RIGHT("0"&amp;MOD(M17,60),2)&amp;IF(L17=1," (UTC"&amp;I17&amp;")"," (offset unknown)"),IF(H17="DATE",DAY(O17)&amp;" "&amp;INDEX(nLIST_Months,MONTH(O17))&amp;" "&amp;YEAR(O17),IF(H17="MONTH",INDEX(nLIST_Months,MONTH(O17))&amp;" "&amp;YEAR(O17)&amp;" ("&amp;DAY(O17)&amp;" "&amp;INDEX(nLIST_Months,MONTH(O17))&amp;" "&amp;YEAR(O17)&amp;" to "&amp;DAY(P17)&amp;" "&amp;INDEX(nLIST_Months,MONTH(P17))&amp;" "&amp;YEAR(P17)&amp;")",IF(H17="YEAR",YEAR(O17)&amp;" (1 January to 31 December)",DAY(O17)&amp;" "&amp;INDEX(nLIST_Months,MONTH(O17))&amp;" "&amp;YEAR(O17)&amp;" to "&amp;DAY(P17)&amp;" "&amp;INDEX(nLIST_Months,MONTH(P17))&amp;" "&amp;YEAR(P17)&amp;IF(H17="LAB"," (laboratory-defined)","")))))))</f>
        <v/>
      </c>
      <c r="S17" s="20" t="str">
        <f>IF(B17="","",Exposures!$M17&amp;"")</f>
        <v/>
      </c>
      <c r="T17" s="20" t="str">
        <f>IF(B17="","",Exposures!$V17&amp;"")</f>
        <v/>
      </c>
      <c r="U17" s="20" t="str">
        <f>IF(B17="","","Exposures row "&amp;ROW(Exposures!$A17)&amp;", Start")</f>
        <v/>
      </c>
      <c r="V17" s="20">
        <f>IF(A17="",0,COUNTIF(nTP_Key,A17))</f>
        <v>0</v>
      </c>
      <c r="W17" s="20">
        <f t="shared" si="4"/>
        <v>0</v>
      </c>
      <c r="X17" s="20">
        <f t="shared" si="5"/>
        <v>0</v>
      </c>
      <c r="Y17" s="20">
        <f t="shared" si="6"/>
        <v>0</v>
      </c>
      <c r="Z17" s="20">
        <f t="shared" si="7"/>
        <v>0</v>
      </c>
      <c r="AA17" s="20">
        <f t="shared" si="8"/>
        <v>13</v>
      </c>
      <c r="AB17" s="20" t="str">
        <f>""</f>
        <v/>
      </c>
      <c r="AC17" s="20" t="str">
        <f>IF(B17="","",Exposures!$F17&amp;"")</f>
        <v/>
      </c>
      <c r="AD17" s="20" t="str">
        <f>IF(B17="","",Exposures!$E17&amp;": Start")</f>
        <v/>
      </c>
      <c r="AE17" s="20">
        <f t="shared" si="9"/>
        <v>0</v>
      </c>
      <c r="AF17" s="20" t="str">
        <f t="shared" si="10"/>
        <v/>
      </c>
      <c r="AG17" s="20">
        <f t="shared" si="11"/>
        <v>0</v>
      </c>
      <c r="AH17" s="20" t="str">
        <f>""</f>
        <v/>
      </c>
    </row>
    <row r="18" spans="1:34" x14ac:dyDescent="0.2">
      <c r="A18" s="20" t="str">
        <f t="shared" si="0"/>
        <v/>
      </c>
      <c r="B18" s="20" t="str">
        <f>IF(AND(Exposures!$D18&lt;&gt;"",COUNTA(Exposures!$N18:$U18)&gt;0),Exposures!$D18&amp;"/START","")</f>
        <v/>
      </c>
      <c r="C18" s="20" t="str">
        <f t="shared" si="1"/>
        <v/>
      </c>
      <c r="D18" s="20" t="str">
        <f>IF(B18="","",Exposures!$A18&amp;"")</f>
        <v/>
      </c>
      <c r="E18" s="20" t="str">
        <f>IF(B18="","",Exposures!$B18&amp;"")</f>
        <v/>
      </c>
      <c r="F18" s="20" t="str">
        <f t="shared" si="2"/>
        <v/>
      </c>
      <c r="G18" s="20" t="str">
        <f>IF(B18="","",Exposures!$D18&amp;"")</f>
        <v/>
      </c>
      <c r="H18" s="20" t="str">
        <f>IF(B18="","",Exposures!$N18&amp;"")</f>
        <v/>
      </c>
      <c r="I18" s="20" t="str">
        <f>IF(B18="","",Exposures!$Q18&amp;"")</f>
        <v/>
      </c>
      <c r="J18" s="20" t="str">
        <f>IF(B18="","",Exposures!$W18&amp;"")</f>
        <v/>
      </c>
      <c r="K18" s="20">
        <f>IF(B18="",0,Exposures!$X18)</f>
        <v>0</v>
      </c>
      <c r="L18" s="20">
        <f>IF(B18="",0,Exposures!$Y18)</f>
        <v>0</v>
      </c>
      <c r="M18" s="20" t="str">
        <f>IF(B18="","",Exposures!$AB18)</f>
        <v/>
      </c>
      <c r="N18" s="20" t="str">
        <f>IF(B18="","",Exposures!$AC18)</f>
        <v/>
      </c>
      <c r="O18" s="27" t="str">
        <f>IF(B18="","",Exposures!$Z18)</f>
        <v/>
      </c>
      <c r="P18" s="27" t="str">
        <f>IF(B18="","",Exposures!$AA18)</f>
        <v/>
      </c>
      <c r="Q18" s="20" t="str">
        <f t="shared" si="3"/>
        <v/>
      </c>
      <c r="R18" s="20" t="str">
        <f>IF(A18="","",IF(J18&lt;&gt;"",J18,IF(H18="TIMESTAMP",DAY(INT(M18/1440))&amp;" "&amp;INDEX(nLIST_Months,MONTH(INT(M18/1440)))&amp;" "&amp;YEAR(INT(M18/1440))&amp;" "&amp;RIGHT("0"&amp;INT(MOD(M18,1440)/60),2)&amp;":"&amp;RIGHT("0"&amp;MOD(M18,60),2)&amp;IF(L18=1," (UTC"&amp;I18&amp;")"," (offset unknown)"),IF(H18="DATE",DAY(O18)&amp;" "&amp;INDEX(nLIST_Months,MONTH(O18))&amp;" "&amp;YEAR(O18),IF(H18="MONTH",INDEX(nLIST_Months,MONTH(O18))&amp;" "&amp;YEAR(O18)&amp;" ("&amp;DAY(O18)&amp;" "&amp;INDEX(nLIST_Months,MONTH(O18))&amp;" "&amp;YEAR(O18)&amp;" to "&amp;DAY(P18)&amp;" "&amp;INDEX(nLIST_Months,MONTH(P18))&amp;" "&amp;YEAR(P18)&amp;")",IF(H18="YEAR",YEAR(O18)&amp;" (1 January to 31 December)",DAY(O18)&amp;" "&amp;INDEX(nLIST_Months,MONTH(O18))&amp;" "&amp;YEAR(O18)&amp;" to "&amp;DAY(P18)&amp;" "&amp;INDEX(nLIST_Months,MONTH(P18))&amp;" "&amp;YEAR(P18)&amp;IF(H18="LAB"," (laboratory-defined)","")))))))</f>
        <v/>
      </c>
      <c r="S18" s="20" t="str">
        <f>IF(B18="","",Exposures!$M18&amp;"")</f>
        <v/>
      </c>
      <c r="T18" s="20" t="str">
        <f>IF(B18="","",Exposures!$V18&amp;"")</f>
        <v/>
      </c>
      <c r="U18" s="20" t="str">
        <f>IF(B18="","","Exposures row "&amp;ROW(Exposures!$A18)&amp;", Start")</f>
        <v/>
      </c>
      <c r="V18" s="20">
        <f>IF(A18="",0,COUNTIF(nTP_Key,A18))</f>
        <v>0</v>
      </c>
      <c r="W18" s="20">
        <f t="shared" si="4"/>
        <v>0</v>
      </c>
      <c r="X18" s="20">
        <f t="shared" si="5"/>
        <v>0</v>
      </c>
      <c r="Y18" s="20">
        <f t="shared" si="6"/>
        <v>0</v>
      </c>
      <c r="Z18" s="20">
        <f t="shared" si="7"/>
        <v>0</v>
      </c>
      <c r="AA18" s="20">
        <f t="shared" si="8"/>
        <v>14</v>
      </c>
      <c r="AB18" s="20" t="str">
        <f>""</f>
        <v/>
      </c>
      <c r="AC18" s="20" t="str">
        <f>IF(B18="","",Exposures!$F18&amp;"")</f>
        <v/>
      </c>
      <c r="AD18" s="20" t="str">
        <f>IF(B18="","",Exposures!$E18&amp;": Start")</f>
        <v/>
      </c>
      <c r="AE18" s="20">
        <f t="shared" si="9"/>
        <v>0</v>
      </c>
      <c r="AF18" s="20" t="str">
        <f t="shared" si="10"/>
        <v/>
      </c>
      <c r="AG18" s="20">
        <f t="shared" si="11"/>
        <v>0</v>
      </c>
      <c r="AH18" s="20" t="str">
        <f>""</f>
        <v/>
      </c>
    </row>
    <row r="19" spans="1:34" x14ac:dyDescent="0.2">
      <c r="A19" s="20" t="str">
        <f t="shared" si="0"/>
        <v/>
      </c>
      <c r="B19" s="20" t="str">
        <f>IF(AND(Exposures!$D19&lt;&gt;"",COUNTA(Exposures!$N19:$U19)&gt;0),Exposures!$D19&amp;"/START","")</f>
        <v/>
      </c>
      <c r="C19" s="20" t="str">
        <f t="shared" si="1"/>
        <v/>
      </c>
      <c r="D19" s="20" t="str">
        <f>IF(B19="","",Exposures!$A19&amp;"")</f>
        <v/>
      </c>
      <c r="E19" s="20" t="str">
        <f>IF(B19="","",Exposures!$B19&amp;"")</f>
        <v/>
      </c>
      <c r="F19" s="20" t="str">
        <f t="shared" si="2"/>
        <v/>
      </c>
      <c r="G19" s="20" t="str">
        <f>IF(B19="","",Exposures!$D19&amp;"")</f>
        <v/>
      </c>
      <c r="H19" s="20" t="str">
        <f>IF(B19="","",Exposures!$N19&amp;"")</f>
        <v/>
      </c>
      <c r="I19" s="20" t="str">
        <f>IF(B19="","",Exposures!$Q19&amp;"")</f>
        <v/>
      </c>
      <c r="J19" s="20" t="str">
        <f>IF(B19="","",Exposures!$W19&amp;"")</f>
        <v/>
      </c>
      <c r="K19" s="20">
        <f>IF(B19="",0,Exposures!$X19)</f>
        <v>0</v>
      </c>
      <c r="L19" s="20">
        <f>IF(B19="",0,Exposures!$Y19)</f>
        <v>0</v>
      </c>
      <c r="M19" s="20" t="str">
        <f>IF(B19="","",Exposures!$AB19)</f>
        <v/>
      </c>
      <c r="N19" s="20" t="str">
        <f>IF(B19="","",Exposures!$AC19)</f>
        <v/>
      </c>
      <c r="O19" s="27" t="str">
        <f>IF(B19="","",Exposures!$Z19)</f>
        <v/>
      </c>
      <c r="P19" s="27" t="str">
        <f>IF(B19="","",Exposures!$AA19)</f>
        <v/>
      </c>
      <c r="Q19" s="20" t="str">
        <f t="shared" si="3"/>
        <v/>
      </c>
      <c r="R19" s="20" t="str">
        <f>IF(A19="","",IF(J19&lt;&gt;"",J19,IF(H19="TIMESTAMP",DAY(INT(M19/1440))&amp;" "&amp;INDEX(nLIST_Months,MONTH(INT(M19/1440)))&amp;" "&amp;YEAR(INT(M19/1440))&amp;" "&amp;RIGHT("0"&amp;INT(MOD(M19,1440)/60),2)&amp;":"&amp;RIGHT("0"&amp;MOD(M19,60),2)&amp;IF(L19=1," (UTC"&amp;I19&amp;")"," (offset unknown)"),IF(H19="DATE",DAY(O19)&amp;" "&amp;INDEX(nLIST_Months,MONTH(O19))&amp;" "&amp;YEAR(O19),IF(H19="MONTH",INDEX(nLIST_Months,MONTH(O19))&amp;" "&amp;YEAR(O19)&amp;" ("&amp;DAY(O19)&amp;" "&amp;INDEX(nLIST_Months,MONTH(O19))&amp;" "&amp;YEAR(O19)&amp;" to "&amp;DAY(P19)&amp;" "&amp;INDEX(nLIST_Months,MONTH(P19))&amp;" "&amp;YEAR(P19)&amp;")",IF(H19="YEAR",YEAR(O19)&amp;" (1 January to 31 December)",DAY(O19)&amp;" "&amp;INDEX(nLIST_Months,MONTH(O19))&amp;" "&amp;YEAR(O19)&amp;" to "&amp;DAY(P19)&amp;" "&amp;INDEX(nLIST_Months,MONTH(P19))&amp;" "&amp;YEAR(P19)&amp;IF(H19="LAB"," (laboratory-defined)","")))))))</f>
        <v/>
      </c>
      <c r="S19" s="20" t="str">
        <f>IF(B19="","",Exposures!$M19&amp;"")</f>
        <v/>
      </c>
      <c r="T19" s="20" t="str">
        <f>IF(B19="","",Exposures!$V19&amp;"")</f>
        <v/>
      </c>
      <c r="U19" s="20" t="str">
        <f>IF(B19="","","Exposures row "&amp;ROW(Exposures!$A19)&amp;", Start")</f>
        <v/>
      </c>
      <c r="V19" s="20">
        <f>IF(A19="",0,COUNTIF(nTP_Key,A19))</f>
        <v>0</v>
      </c>
      <c r="W19" s="20">
        <f t="shared" si="4"/>
        <v>0</v>
      </c>
      <c r="X19" s="20">
        <f t="shared" si="5"/>
        <v>0</v>
      </c>
      <c r="Y19" s="20">
        <f t="shared" si="6"/>
        <v>0</v>
      </c>
      <c r="Z19" s="20">
        <f t="shared" si="7"/>
        <v>0</v>
      </c>
      <c r="AA19" s="20">
        <f t="shared" si="8"/>
        <v>15</v>
      </c>
      <c r="AB19" s="20" t="str">
        <f>""</f>
        <v/>
      </c>
      <c r="AC19" s="20" t="str">
        <f>IF(B19="","",Exposures!$F19&amp;"")</f>
        <v/>
      </c>
      <c r="AD19" s="20" t="str">
        <f>IF(B19="","",Exposures!$E19&amp;": Start")</f>
        <v/>
      </c>
      <c r="AE19" s="20">
        <f t="shared" si="9"/>
        <v>0</v>
      </c>
      <c r="AF19" s="20" t="str">
        <f t="shared" si="10"/>
        <v/>
      </c>
      <c r="AG19" s="20">
        <f t="shared" si="11"/>
        <v>0</v>
      </c>
      <c r="AH19" s="20" t="str">
        <f>""</f>
        <v/>
      </c>
    </row>
    <row r="20" spans="1:34" x14ac:dyDescent="0.2">
      <c r="A20" s="20" t="str">
        <f t="shared" si="0"/>
        <v/>
      </c>
      <c r="B20" s="20" t="str">
        <f>IF(AND(Exposures!$D20&lt;&gt;"",COUNTA(Exposures!$N20:$U20)&gt;0),Exposures!$D20&amp;"/START","")</f>
        <v/>
      </c>
      <c r="C20" s="20" t="str">
        <f t="shared" si="1"/>
        <v/>
      </c>
      <c r="D20" s="20" t="str">
        <f>IF(B20="","",Exposures!$A20&amp;"")</f>
        <v/>
      </c>
      <c r="E20" s="20" t="str">
        <f>IF(B20="","",Exposures!$B20&amp;"")</f>
        <v/>
      </c>
      <c r="F20" s="20" t="str">
        <f t="shared" si="2"/>
        <v/>
      </c>
      <c r="G20" s="20" t="str">
        <f>IF(B20="","",Exposures!$D20&amp;"")</f>
        <v/>
      </c>
      <c r="H20" s="20" t="str">
        <f>IF(B20="","",Exposures!$N20&amp;"")</f>
        <v/>
      </c>
      <c r="I20" s="20" t="str">
        <f>IF(B20="","",Exposures!$Q20&amp;"")</f>
        <v/>
      </c>
      <c r="J20" s="20" t="str">
        <f>IF(B20="","",Exposures!$W20&amp;"")</f>
        <v/>
      </c>
      <c r="K20" s="20">
        <f>IF(B20="",0,Exposures!$X20)</f>
        <v>0</v>
      </c>
      <c r="L20" s="20">
        <f>IF(B20="",0,Exposures!$Y20)</f>
        <v>0</v>
      </c>
      <c r="M20" s="20" t="str">
        <f>IF(B20="","",Exposures!$AB20)</f>
        <v/>
      </c>
      <c r="N20" s="20" t="str">
        <f>IF(B20="","",Exposures!$AC20)</f>
        <v/>
      </c>
      <c r="O20" s="27" t="str">
        <f>IF(B20="","",Exposures!$Z20)</f>
        <v/>
      </c>
      <c r="P20" s="27" t="str">
        <f>IF(B20="","",Exposures!$AA20)</f>
        <v/>
      </c>
      <c r="Q20" s="20" t="str">
        <f t="shared" si="3"/>
        <v/>
      </c>
      <c r="R20" s="20" t="str">
        <f>IF(A20="","",IF(J20&lt;&gt;"",J20,IF(H20="TIMESTAMP",DAY(INT(M20/1440))&amp;" "&amp;INDEX(nLIST_Months,MONTH(INT(M20/1440)))&amp;" "&amp;YEAR(INT(M20/1440))&amp;" "&amp;RIGHT("0"&amp;INT(MOD(M20,1440)/60),2)&amp;":"&amp;RIGHT("0"&amp;MOD(M20,60),2)&amp;IF(L20=1," (UTC"&amp;I20&amp;")"," (offset unknown)"),IF(H20="DATE",DAY(O20)&amp;" "&amp;INDEX(nLIST_Months,MONTH(O20))&amp;" "&amp;YEAR(O20),IF(H20="MONTH",INDEX(nLIST_Months,MONTH(O20))&amp;" "&amp;YEAR(O20)&amp;" ("&amp;DAY(O20)&amp;" "&amp;INDEX(nLIST_Months,MONTH(O20))&amp;" "&amp;YEAR(O20)&amp;" to "&amp;DAY(P20)&amp;" "&amp;INDEX(nLIST_Months,MONTH(P20))&amp;" "&amp;YEAR(P20)&amp;")",IF(H20="YEAR",YEAR(O20)&amp;" (1 January to 31 December)",DAY(O20)&amp;" "&amp;INDEX(nLIST_Months,MONTH(O20))&amp;" "&amp;YEAR(O20)&amp;" to "&amp;DAY(P20)&amp;" "&amp;INDEX(nLIST_Months,MONTH(P20))&amp;" "&amp;YEAR(P20)&amp;IF(H20="LAB"," (laboratory-defined)","")))))))</f>
        <v/>
      </c>
      <c r="S20" s="20" t="str">
        <f>IF(B20="","",Exposures!$M20&amp;"")</f>
        <v/>
      </c>
      <c r="T20" s="20" t="str">
        <f>IF(B20="","",Exposures!$V20&amp;"")</f>
        <v/>
      </c>
      <c r="U20" s="20" t="str">
        <f>IF(B20="","","Exposures row "&amp;ROW(Exposures!$A20)&amp;", Start")</f>
        <v/>
      </c>
      <c r="V20" s="20">
        <f>IF(A20="",0,COUNTIF(nTP_Key,A20))</f>
        <v>0</v>
      </c>
      <c r="W20" s="20">
        <f t="shared" si="4"/>
        <v>0</v>
      </c>
      <c r="X20" s="20">
        <f t="shared" si="5"/>
        <v>0</v>
      </c>
      <c r="Y20" s="20">
        <f t="shared" si="6"/>
        <v>0</v>
      </c>
      <c r="Z20" s="20">
        <f t="shared" si="7"/>
        <v>0</v>
      </c>
      <c r="AA20" s="20">
        <f t="shared" si="8"/>
        <v>16</v>
      </c>
      <c r="AB20" s="20" t="str">
        <f>""</f>
        <v/>
      </c>
      <c r="AC20" s="20" t="str">
        <f>IF(B20="","",Exposures!$F20&amp;"")</f>
        <v/>
      </c>
      <c r="AD20" s="20" t="str">
        <f>IF(B20="","",Exposures!$E20&amp;": Start")</f>
        <v/>
      </c>
      <c r="AE20" s="20">
        <f t="shared" si="9"/>
        <v>0</v>
      </c>
      <c r="AF20" s="20" t="str">
        <f t="shared" si="10"/>
        <v/>
      </c>
      <c r="AG20" s="20">
        <f t="shared" si="11"/>
        <v>0</v>
      </c>
      <c r="AH20" s="20" t="str">
        <f>""</f>
        <v/>
      </c>
    </row>
    <row r="21" spans="1:34" x14ac:dyDescent="0.2">
      <c r="A21" s="20" t="str">
        <f t="shared" si="0"/>
        <v/>
      </c>
      <c r="B21" s="20" t="str">
        <f>IF(AND(Exposures!$D21&lt;&gt;"",COUNTA(Exposures!$N21:$U21)&gt;0),Exposures!$D21&amp;"/START","")</f>
        <v/>
      </c>
      <c r="C21" s="20" t="str">
        <f t="shared" si="1"/>
        <v/>
      </c>
      <c r="D21" s="20" t="str">
        <f>IF(B21="","",Exposures!$A21&amp;"")</f>
        <v/>
      </c>
      <c r="E21" s="20" t="str">
        <f>IF(B21="","",Exposures!$B21&amp;"")</f>
        <v/>
      </c>
      <c r="F21" s="20" t="str">
        <f t="shared" si="2"/>
        <v/>
      </c>
      <c r="G21" s="20" t="str">
        <f>IF(B21="","",Exposures!$D21&amp;"")</f>
        <v/>
      </c>
      <c r="H21" s="20" t="str">
        <f>IF(B21="","",Exposures!$N21&amp;"")</f>
        <v/>
      </c>
      <c r="I21" s="20" t="str">
        <f>IF(B21="","",Exposures!$Q21&amp;"")</f>
        <v/>
      </c>
      <c r="J21" s="20" t="str">
        <f>IF(B21="","",Exposures!$W21&amp;"")</f>
        <v/>
      </c>
      <c r="K21" s="20">
        <f>IF(B21="",0,Exposures!$X21)</f>
        <v>0</v>
      </c>
      <c r="L21" s="20">
        <f>IF(B21="",0,Exposures!$Y21)</f>
        <v>0</v>
      </c>
      <c r="M21" s="20" t="str">
        <f>IF(B21="","",Exposures!$AB21)</f>
        <v/>
      </c>
      <c r="N21" s="20" t="str">
        <f>IF(B21="","",Exposures!$AC21)</f>
        <v/>
      </c>
      <c r="O21" s="27" t="str">
        <f>IF(B21="","",Exposures!$Z21)</f>
        <v/>
      </c>
      <c r="P21" s="27" t="str">
        <f>IF(B21="","",Exposures!$AA21)</f>
        <v/>
      </c>
      <c r="Q21" s="20" t="str">
        <f t="shared" si="3"/>
        <v/>
      </c>
      <c r="R21" s="20" t="str">
        <f>IF(A21="","",IF(J21&lt;&gt;"",J21,IF(H21="TIMESTAMP",DAY(INT(M21/1440))&amp;" "&amp;INDEX(nLIST_Months,MONTH(INT(M21/1440)))&amp;" "&amp;YEAR(INT(M21/1440))&amp;" "&amp;RIGHT("0"&amp;INT(MOD(M21,1440)/60),2)&amp;":"&amp;RIGHT("0"&amp;MOD(M21,60),2)&amp;IF(L21=1," (UTC"&amp;I21&amp;")"," (offset unknown)"),IF(H21="DATE",DAY(O21)&amp;" "&amp;INDEX(nLIST_Months,MONTH(O21))&amp;" "&amp;YEAR(O21),IF(H21="MONTH",INDEX(nLIST_Months,MONTH(O21))&amp;" "&amp;YEAR(O21)&amp;" ("&amp;DAY(O21)&amp;" "&amp;INDEX(nLIST_Months,MONTH(O21))&amp;" "&amp;YEAR(O21)&amp;" to "&amp;DAY(P21)&amp;" "&amp;INDEX(nLIST_Months,MONTH(P21))&amp;" "&amp;YEAR(P21)&amp;")",IF(H21="YEAR",YEAR(O21)&amp;" (1 January to 31 December)",DAY(O21)&amp;" "&amp;INDEX(nLIST_Months,MONTH(O21))&amp;" "&amp;YEAR(O21)&amp;" to "&amp;DAY(P21)&amp;" "&amp;INDEX(nLIST_Months,MONTH(P21))&amp;" "&amp;YEAR(P21)&amp;IF(H21="LAB"," (laboratory-defined)","")))))))</f>
        <v/>
      </c>
      <c r="S21" s="20" t="str">
        <f>IF(B21="","",Exposures!$M21&amp;"")</f>
        <v/>
      </c>
      <c r="T21" s="20" t="str">
        <f>IF(B21="","",Exposures!$V21&amp;"")</f>
        <v/>
      </c>
      <c r="U21" s="20" t="str">
        <f>IF(B21="","","Exposures row "&amp;ROW(Exposures!$A21)&amp;", Start")</f>
        <v/>
      </c>
      <c r="V21" s="20">
        <f>IF(A21="",0,COUNTIF(nTP_Key,A21))</f>
        <v>0</v>
      </c>
      <c r="W21" s="20">
        <f t="shared" si="4"/>
        <v>0</v>
      </c>
      <c r="X21" s="20">
        <f t="shared" si="5"/>
        <v>0</v>
      </c>
      <c r="Y21" s="20">
        <f t="shared" si="6"/>
        <v>0</v>
      </c>
      <c r="Z21" s="20">
        <f t="shared" si="7"/>
        <v>0</v>
      </c>
      <c r="AA21" s="20">
        <f t="shared" si="8"/>
        <v>17</v>
      </c>
      <c r="AB21" s="20" t="str">
        <f>""</f>
        <v/>
      </c>
      <c r="AC21" s="20" t="str">
        <f>IF(B21="","",Exposures!$F21&amp;"")</f>
        <v/>
      </c>
      <c r="AD21" s="20" t="str">
        <f>IF(B21="","",Exposures!$E21&amp;": Start")</f>
        <v/>
      </c>
      <c r="AE21" s="20">
        <f t="shared" si="9"/>
        <v>0</v>
      </c>
      <c r="AF21" s="20" t="str">
        <f t="shared" si="10"/>
        <v/>
      </c>
      <c r="AG21" s="20">
        <f t="shared" si="11"/>
        <v>0</v>
      </c>
      <c r="AH21" s="20" t="str">
        <f>""</f>
        <v/>
      </c>
    </row>
    <row r="22" spans="1:34" x14ac:dyDescent="0.2">
      <c r="A22" s="20" t="str">
        <f t="shared" si="0"/>
        <v/>
      </c>
      <c r="B22" s="20" t="str">
        <f>IF(AND(Exposures!$D22&lt;&gt;"",COUNTA(Exposures!$N22:$U22)&gt;0),Exposures!$D22&amp;"/START","")</f>
        <v/>
      </c>
      <c r="C22" s="20" t="str">
        <f t="shared" si="1"/>
        <v/>
      </c>
      <c r="D22" s="20" t="str">
        <f>IF(B22="","",Exposures!$A22&amp;"")</f>
        <v/>
      </c>
      <c r="E22" s="20" t="str">
        <f>IF(B22="","",Exposures!$B22&amp;"")</f>
        <v/>
      </c>
      <c r="F22" s="20" t="str">
        <f t="shared" si="2"/>
        <v/>
      </c>
      <c r="G22" s="20" t="str">
        <f>IF(B22="","",Exposures!$D22&amp;"")</f>
        <v/>
      </c>
      <c r="H22" s="20" t="str">
        <f>IF(B22="","",Exposures!$N22&amp;"")</f>
        <v/>
      </c>
      <c r="I22" s="20" t="str">
        <f>IF(B22="","",Exposures!$Q22&amp;"")</f>
        <v/>
      </c>
      <c r="J22" s="20" t="str">
        <f>IF(B22="","",Exposures!$W22&amp;"")</f>
        <v/>
      </c>
      <c r="K22" s="20">
        <f>IF(B22="",0,Exposures!$X22)</f>
        <v>0</v>
      </c>
      <c r="L22" s="20">
        <f>IF(B22="",0,Exposures!$Y22)</f>
        <v>0</v>
      </c>
      <c r="M22" s="20" t="str">
        <f>IF(B22="","",Exposures!$AB22)</f>
        <v/>
      </c>
      <c r="N22" s="20" t="str">
        <f>IF(B22="","",Exposures!$AC22)</f>
        <v/>
      </c>
      <c r="O22" s="27" t="str">
        <f>IF(B22="","",Exposures!$Z22)</f>
        <v/>
      </c>
      <c r="P22" s="27" t="str">
        <f>IF(B22="","",Exposures!$AA22)</f>
        <v/>
      </c>
      <c r="Q22" s="20" t="str">
        <f t="shared" si="3"/>
        <v/>
      </c>
      <c r="R22" s="20" t="str">
        <f>IF(A22="","",IF(J22&lt;&gt;"",J22,IF(H22="TIMESTAMP",DAY(INT(M22/1440))&amp;" "&amp;INDEX(nLIST_Months,MONTH(INT(M22/1440)))&amp;" "&amp;YEAR(INT(M22/1440))&amp;" "&amp;RIGHT("0"&amp;INT(MOD(M22,1440)/60),2)&amp;":"&amp;RIGHT("0"&amp;MOD(M22,60),2)&amp;IF(L22=1," (UTC"&amp;I22&amp;")"," (offset unknown)"),IF(H22="DATE",DAY(O22)&amp;" "&amp;INDEX(nLIST_Months,MONTH(O22))&amp;" "&amp;YEAR(O22),IF(H22="MONTH",INDEX(nLIST_Months,MONTH(O22))&amp;" "&amp;YEAR(O22)&amp;" ("&amp;DAY(O22)&amp;" "&amp;INDEX(nLIST_Months,MONTH(O22))&amp;" "&amp;YEAR(O22)&amp;" to "&amp;DAY(P22)&amp;" "&amp;INDEX(nLIST_Months,MONTH(P22))&amp;" "&amp;YEAR(P22)&amp;")",IF(H22="YEAR",YEAR(O22)&amp;" (1 January to 31 December)",DAY(O22)&amp;" "&amp;INDEX(nLIST_Months,MONTH(O22))&amp;" "&amp;YEAR(O22)&amp;" to "&amp;DAY(P22)&amp;" "&amp;INDEX(nLIST_Months,MONTH(P22))&amp;" "&amp;YEAR(P22)&amp;IF(H22="LAB"," (laboratory-defined)","")))))))</f>
        <v/>
      </c>
      <c r="S22" s="20" t="str">
        <f>IF(B22="","",Exposures!$M22&amp;"")</f>
        <v/>
      </c>
      <c r="T22" s="20" t="str">
        <f>IF(B22="","",Exposures!$V22&amp;"")</f>
        <v/>
      </c>
      <c r="U22" s="20" t="str">
        <f>IF(B22="","","Exposures row "&amp;ROW(Exposures!$A22)&amp;", Start")</f>
        <v/>
      </c>
      <c r="V22" s="20">
        <f>IF(A22="",0,COUNTIF(nTP_Key,A22))</f>
        <v>0</v>
      </c>
      <c r="W22" s="20">
        <f t="shared" si="4"/>
        <v>0</v>
      </c>
      <c r="X22" s="20">
        <f t="shared" si="5"/>
        <v>0</v>
      </c>
      <c r="Y22" s="20">
        <f t="shared" si="6"/>
        <v>0</v>
      </c>
      <c r="Z22" s="20">
        <f t="shared" si="7"/>
        <v>0</v>
      </c>
      <c r="AA22" s="20">
        <f t="shared" si="8"/>
        <v>18</v>
      </c>
      <c r="AB22" s="20" t="str">
        <f>""</f>
        <v/>
      </c>
      <c r="AC22" s="20" t="str">
        <f>IF(B22="","",Exposures!$F22&amp;"")</f>
        <v/>
      </c>
      <c r="AD22" s="20" t="str">
        <f>IF(B22="","",Exposures!$E22&amp;": Start")</f>
        <v/>
      </c>
      <c r="AE22" s="20">
        <f t="shared" si="9"/>
        <v>0</v>
      </c>
      <c r="AF22" s="20" t="str">
        <f t="shared" si="10"/>
        <v/>
      </c>
      <c r="AG22" s="20">
        <f t="shared" si="11"/>
        <v>0</v>
      </c>
      <c r="AH22" s="20" t="str">
        <f>""</f>
        <v/>
      </c>
    </row>
    <row r="23" spans="1:34" x14ac:dyDescent="0.2">
      <c r="A23" s="20" t="str">
        <f t="shared" si="0"/>
        <v/>
      </c>
      <c r="B23" s="20" t="str">
        <f>IF(AND(Exposures!$D23&lt;&gt;"",COUNTA(Exposures!$N23:$U23)&gt;0),Exposures!$D23&amp;"/START","")</f>
        <v/>
      </c>
      <c r="C23" s="20" t="str">
        <f t="shared" si="1"/>
        <v/>
      </c>
      <c r="D23" s="20" t="str">
        <f>IF(B23="","",Exposures!$A23&amp;"")</f>
        <v/>
      </c>
      <c r="E23" s="20" t="str">
        <f>IF(B23="","",Exposures!$B23&amp;"")</f>
        <v/>
      </c>
      <c r="F23" s="20" t="str">
        <f t="shared" si="2"/>
        <v/>
      </c>
      <c r="G23" s="20" t="str">
        <f>IF(B23="","",Exposures!$D23&amp;"")</f>
        <v/>
      </c>
      <c r="H23" s="20" t="str">
        <f>IF(B23="","",Exposures!$N23&amp;"")</f>
        <v/>
      </c>
      <c r="I23" s="20" t="str">
        <f>IF(B23="","",Exposures!$Q23&amp;"")</f>
        <v/>
      </c>
      <c r="J23" s="20" t="str">
        <f>IF(B23="","",Exposures!$W23&amp;"")</f>
        <v/>
      </c>
      <c r="K23" s="20">
        <f>IF(B23="",0,Exposures!$X23)</f>
        <v>0</v>
      </c>
      <c r="L23" s="20">
        <f>IF(B23="",0,Exposures!$Y23)</f>
        <v>0</v>
      </c>
      <c r="M23" s="20" t="str">
        <f>IF(B23="","",Exposures!$AB23)</f>
        <v/>
      </c>
      <c r="N23" s="20" t="str">
        <f>IF(B23="","",Exposures!$AC23)</f>
        <v/>
      </c>
      <c r="O23" s="27" t="str">
        <f>IF(B23="","",Exposures!$Z23)</f>
        <v/>
      </c>
      <c r="P23" s="27" t="str">
        <f>IF(B23="","",Exposures!$AA23)</f>
        <v/>
      </c>
      <c r="Q23" s="20" t="str">
        <f t="shared" si="3"/>
        <v/>
      </c>
      <c r="R23" s="20" t="str">
        <f>IF(A23="","",IF(J23&lt;&gt;"",J23,IF(H23="TIMESTAMP",DAY(INT(M23/1440))&amp;" "&amp;INDEX(nLIST_Months,MONTH(INT(M23/1440)))&amp;" "&amp;YEAR(INT(M23/1440))&amp;" "&amp;RIGHT("0"&amp;INT(MOD(M23,1440)/60),2)&amp;":"&amp;RIGHT("0"&amp;MOD(M23,60),2)&amp;IF(L23=1," (UTC"&amp;I23&amp;")"," (offset unknown)"),IF(H23="DATE",DAY(O23)&amp;" "&amp;INDEX(nLIST_Months,MONTH(O23))&amp;" "&amp;YEAR(O23),IF(H23="MONTH",INDEX(nLIST_Months,MONTH(O23))&amp;" "&amp;YEAR(O23)&amp;" ("&amp;DAY(O23)&amp;" "&amp;INDEX(nLIST_Months,MONTH(O23))&amp;" "&amp;YEAR(O23)&amp;" to "&amp;DAY(P23)&amp;" "&amp;INDEX(nLIST_Months,MONTH(P23))&amp;" "&amp;YEAR(P23)&amp;")",IF(H23="YEAR",YEAR(O23)&amp;" (1 January to 31 December)",DAY(O23)&amp;" "&amp;INDEX(nLIST_Months,MONTH(O23))&amp;" "&amp;YEAR(O23)&amp;" to "&amp;DAY(P23)&amp;" "&amp;INDEX(nLIST_Months,MONTH(P23))&amp;" "&amp;YEAR(P23)&amp;IF(H23="LAB"," (laboratory-defined)","")))))))</f>
        <v/>
      </c>
      <c r="S23" s="20" t="str">
        <f>IF(B23="","",Exposures!$M23&amp;"")</f>
        <v/>
      </c>
      <c r="T23" s="20" t="str">
        <f>IF(B23="","",Exposures!$V23&amp;"")</f>
        <v/>
      </c>
      <c r="U23" s="20" t="str">
        <f>IF(B23="","","Exposures row "&amp;ROW(Exposures!$A23)&amp;", Start")</f>
        <v/>
      </c>
      <c r="V23" s="20">
        <f>IF(A23="",0,COUNTIF(nTP_Key,A23))</f>
        <v>0</v>
      </c>
      <c r="W23" s="20">
        <f t="shared" si="4"/>
        <v>0</v>
      </c>
      <c r="X23" s="20">
        <f t="shared" si="5"/>
        <v>0</v>
      </c>
      <c r="Y23" s="20">
        <f t="shared" si="6"/>
        <v>0</v>
      </c>
      <c r="Z23" s="20">
        <f t="shared" si="7"/>
        <v>0</v>
      </c>
      <c r="AA23" s="20">
        <f t="shared" si="8"/>
        <v>19</v>
      </c>
      <c r="AB23" s="20" t="str">
        <f>""</f>
        <v/>
      </c>
      <c r="AC23" s="20" t="str">
        <f>IF(B23="","",Exposures!$F23&amp;"")</f>
        <v/>
      </c>
      <c r="AD23" s="20" t="str">
        <f>IF(B23="","",Exposures!$E23&amp;": Start")</f>
        <v/>
      </c>
      <c r="AE23" s="20">
        <f t="shared" si="9"/>
        <v>0</v>
      </c>
      <c r="AF23" s="20" t="str">
        <f t="shared" si="10"/>
        <v/>
      </c>
      <c r="AG23" s="20">
        <f t="shared" si="11"/>
        <v>0</v>
      </c>
      <c r="AH23" s="20" t="str">
        <f>""</f>
        <v/>
      </c>
    </row>
    <row r="24" spans="1:34" x14ac:dyDescent="0.2">
      <c r="A24" s="20" t="str">
        <f t="shared" si="0"/>
        <v/>
      </c>
      <c r="B24" s="20" t="str">
        <f>IF(AND(Exposures!$D24&lt;&gt;"",COUNTA(Exposures!$N24:$U24)&gt;0),Exposures!$D24&amp;"/START","")</f>
        <v/>
      </c>
      <c r="C24" s="20" t="str">
        <f t="shared" si="1"/>
        <v/>
      </c>
      <c r="D24" s="20" t="str">
        <f>IF(B24="","",Exposures!$A24&amp;"")</f>
        <v/>
      </c>
      <c r="E24" s="20" t="str">
        <f>IF(B24="","",Exposures!$B24&amp;"")</f>
        <v/>
      </c>
      <c r="F24" s="20" t="str">
        <f t="shared" si="2"/>
        <v/>
      </c>
      <c r="G24" s="20" t="str">
        <f>IF(B24="","",Exposures!$D24&amp;"")</f>
        <v/>
      </c>
      <c r="H24" s="20" t="str">
        <f>IF(B24="","",Exposures!$N24&amp;"")</f>
        <v/>
      </c>
      <c r="I24" s="20" t="str">
        <f>IF(B24="","",Exposures!$Q24&amp;"")</f>
        <v/>
      </c>
      <c r="J24" s="20" t="str">
        <f>IF(B24="","",Exposures!$W24&amp;"")</f>
        <v/>
      </c>
      <c r="K24" s="20">
        <f>IF(B24="",0,Exposures!$X24)</f>
        <v>0</v>
      </c>
      <c r="L24" s="20">
        <f>IF(B24="",0,Exposures!$Y24)</f>
        <v>0</v>
      </c>
      <c r="M24" s="20" t="str">
        <f>IF(B24="","",Exposures!$AB24)</f>
        <v/>
      </c>
      <c r="N24" s="20" t="str">
        <f>IF(B24="","",Exposures!$AC24)</f>
        <v/>
      </c>
      <c r="O24" s="27" t="str">
        <f>IF(B24="","",Exposures!$Z24)</f>
        <v/>
      </c>
      <c r="P24" s="27" t="str">
        <f>IF(B24="","",Exposures!$AA24)</f>
        <v/>
      </c>
      <c r="Q24" s="20" t="str">
        <f t="shared" si="3"/>
        <v/>
      </c>
      <c r="R24" s="20" t="str">
        <f>IF(A24="","",IF(J24&lt;&gt;"",J24,IF(H24="TIMESTAMP",DAY(INT(M24/1440))&amp;" "&amp;INDEX(nLIST_Months,MONTH(INT(M24/1440)))&amp;" "&amp;YEAR(INT(M24/1440))&amp;" "&amp;RIGHT("0"&amp;INT(MOD(M24,1440)/60),2)&amp;":"&amp;RIGHT("0"&amp;MOD(M24,60),2)&amp;IF(L24=1," (UTC"&amp;I24&amp;")"," (offset unknown)"),IF(H24="DATE",DAY(O24)&amp;" "&amp;INDEX(nLIST_Months,MONTH(O24))&amp;" "&amp;YEAR(O24),IF(H24="MONTH",INDEX(nLIST_Months,MONTH(O24))&amp;" "&amp;YEAR(O24)&amp;" ("&amp;DAY(O24)&amp;" "&amp;INDEX(nLIST_Months,MONTH(O24))&amp;" "&amp;YEAR(O24)&amp;" to "&amp;DAY(P24)&amp;" "&amp;INDEX(nLIST_Months,MONTH(P24))&amp;" "&amp;YEAR(P24)&amp;")",IF(H24="YEAR",YEAR(O24)&amp;" (1 January to 31 December)",DAY(O24)&amp;" "&amp;INDEX(nLIST_Months,MONTH(O24))&amp;" "&amp;YEAR(O24)&amp;" to "&amp;DAY(P24)&amp;" "&amp;INDEX(nLIST_Months,MONTH(P24))&amp;" "&amp;YEAR(P24)&amp;IF(H24="LAB"," (laboratory-defined)","")))))))</f>
        <v/>
      </c>
      <c r="S24" s="20" t="str">
        <f>IF(B24="","",Exposures!$M24&amp;"")</f>
        <v/>
      </c>
      <c r="T24" s="20" t="str">
        <f>IF(B24="","",Exposures!$V24&amp;"")</f>
        <v/>
      </c>
      <c r="U24" s="20" t="str">
        <f>IF(B24="","","Exposures row "&amp;ROW(Exposures!$A24)&amp;", Start")</f>
        <v/>
      </c>
      <c r="V24" s="20">
        <f>IF(A24="",0,COUNTIF(nTP_Key,A24))</f>
        <v>0</v>
      </c>
      <c r="W24" s="20">
        <f t="shared" si="4"/>
        <v>0</v>
      </c>
      <c r="X24" s="20">
        <f t="shared" si="5"/>
        <v>0</v>
      </c>
      <c r="Y24" s="20">
        <f t="shared" si="6"/>
        <v>0</v>
      </c>
      <c r="Z24" s="20">
        <f t="shared" si="7"/>
        <v>0</v>
      </c>
      <c r="AA24" s="20">
        <f t="shared" si="8"/>
        <v>20</v>
      </c>
      <c r="AB24" s="20" t="str">
        <f>""</f>
        <v/>
      </c>
      <c r="AC24" s="20" t="str">
        <f>IF(B24="","",Exposures!$F24&amp;"")</f>
        <v/>
      </c>
      <c r="AD24" s="20" t="str">
        <f>IF(B24="","",Exposures!$E24&amp;": Start")</f>
        <v/>
      </c>
      <c r="AE24" s="20">
        <f t="shared" si="9"/>
        <v>0</v>
      </c>
      <c r="AF24" s="20" t="str">
        <f t="shared" si="10"/>
        <v/>
      </c>
      <c r="AG24" s="20">
        <f t="shared" si="11"/>
        <v>0</v>
      </c>
      <c r="AH24" s="20" t="str">
        <f>""</f>
        <v/>
      </c>
    </row>
    <row r="25" spans="1:34" x14ac:dyDescent="0.2">
      <c r="A25" s="20" t="str">
        <f t="shared" si="0"/>
        <v/>
      </c>
      <c r="B25" s="20" t="str">
        <f>IF(AND(Exposures!$D25&lt;&gt;"",COUNTA(Exposures!$N25:$U25)&gt;0),Exposures!$D25&amp;"/START","")</f>
        <v/>
      </c>
      <c r="C25" s="20" t="str">
        <f t="shared" si="1"/>
        <v/>
      </c>
      <c r="D25" s="20" t="str">
        <f>IF(B25="","",Exposures!$A25&amp;"")</f>
        <v/>
      </c>
      <c r="E25" s="20" t="str">
        <f>IF(B25="","",Exposures!$B25&amp;"")</f>
        <v/>
      </c>
      <c r="F25" s="20" t="str">
        <f t="shared" si="2"/>
        <v/>
      </c>
      <c r="G25" s="20" t="str">
        <f>IF(B25="","",Exposures!$D25&amp;"")</f>
        <v/>
      </c>
      <c r="H25" s="20" t="str">
        <f>IF(B25="","",Exposures!$N25&amp;"")</f>
        <v/>
      </c>
      <c r="I25" s="20" t="str">
        <f>IF(B25="","",Exposures!$Q25&amp;"")</f>
        <v/>
      </c>
      <c r="J25" s="20" t="str">
        <f>IF(B25="","",Exposures!$W25&amp;"")</f>
        <v/>
      </c>
      <c r="K25" s="20">
        <f>IF(B25="",0,Exposures!$X25)</f>
        <v>0</v>
      </c>
      <c r="L25" s="20">
        <f>IF(B25="",0,Exposures!$Y25)</f>
        <v>0</v>
      </c>
      <c r="M25" s="20" t="str">
        <f>IF(B25="","",Exposures!$AB25)</f>
        <v/>
      </c>
      <c r="N25" s="20" t="str">
        <f>IF(B25="","",Exposures!$AC25)</f>
        <v/>
      </c>
      <c r="O25" s="27" t="str">
        <f>IF(B25="","",Exposures!$Z25)</f>
        <v/>
      </c>
      <c r="P25" s="27" t="str">
        <f>IF(B25="","",Exposures!$AA25)</f>
        <v/>
      </c>
      <c r="Q25" s="20" t="str">
        <f t="shared" si="3"/>
        <v/>
      </c>
      <c r="R25" s="20" t="str">
        <f>IF(A25="","",IF(J25&lt;&gt;"",J25,IF(H25="TIMESTAMP",DAY(INT(M25/1440))&amp;" "&amp;INDEX(nLIST_Months,MONTH(INT(M25/1440)))&amp;" "&amp;YEAR(INT(M25/1440))&amp;" "&amp;RIGHT("0"&amp;INT(MOD(M25,1440)/60),2)&amp;":"&amp;RIGHT("0"&amp;MOD(M25,60),2)&amp;IF(L25=1," (UTC"&amp;I25&amp;")"," (offset unknown)"),IF(H25="DATE",DAY(O25)&amp;" "&amp;INDEX(nLIST_Months,MONTH(O25))&amp;" "&amp;YEAR(O25),IF(H25="MONTH",INDEX(nLIST_Months,MONTH(O25))&amp;" "&amp;YEAR(O25)&amp;" ("&amp;DAY(O25)&amp;" "&amp;INDEX(nLIST_Months,MONTH(O25))&amp;" "&amp;YEAR(O25)&amp;" to "&amp;DAY(P25)&amp;" "&amp;INDEX(nLIST_Months,MONTH(P25))&amp;" "&amp;YEAR(P25)&amp;")",IF(H25="YEAR",YEAR(O25)&amp;" (1 January to 31 December)",DAY(O25)&amp;" "&amp;INDEX(nLIST_Months,MONTH(O25))&amp;" "&amp;YEAR(O25)&amp;" to "&amp;DAY(P25)&amp;" "&amp;INDEX(nLIST_Months,MONTH(P25))&amp;" "&amp;YEAR(P25)&amp;IF(H25="LAB"," (laboratory-defined)","")))))))</f>
        <v/>
      </c>
      <c r="S25" s="20" t="str">
        <f>IF(B25="","",Exposures!$M25&amp;"")</f>
        <v/>
      </c>
      <c r="T25" s="20" t="str">
        <f>IF(B25="","",Exposures!$V25&amp;"")</f>
        <v/>
      </c>
      <c r="U25" s="20" t="str">
        <f>IF(B25="","","Exposures row "&amp;ROW(Exposures!$A25)&amp;", Start")</f>
        <v/>
      </c>
      <c r="V25" s="20">
        <f>IF(A25="",0,COUNTIF(nTP_Key,A25))</f>
        <v>0</v>
      </c>
      <c r="W25" s="20">
        <f t="shared" si="4"/>
        <v>0</v>
      </c>
      <c r="X25" s="20">
        <f t="shared" si="5"/>
        <v>0</v>
      </c>
      <c r="Y25" s="20">
        <f t="shared" si="6"/>
        <v>0</v>
      </c>
      <c r="Z25" s="20">
        <f t="shared" si="7"/>
        <v>0</v>
      </c>
      <c r="AA25" s="20">
        <f t="shared" si="8"/>
        <v>21</v>
      </c>
      <c r="AB25" s="20" t="str">
        <f>""</f>
        <v/>
      </c>
      <c r="AC25" s="20" t="str">
        <f>IF(B25="","",Exposures!$F25&amp;"")</f>
        <v/>
      </c>
      <c r="AD25" s="20" t="str">
        <f>IF(B25="","",Exposures!$E25&amp;": Start")</f>
        <v/>
      </c>
      <c r="AE25" s="20">
        <f t="shared" si="9"/>
        <v>0</v>
      </c>
      <c r="AF25" s="20" t="str">
        <f t="shared" si="10"/>
        <v/>
      </c>
      <c r="AG25" s="20">
        <f t="shared" si="11"/>
        <v>0</v>
      </c>
      <c r="AH25" s="20" t="str">
        <f>""</f>
        <v/>
      </c>
    </row>
    <row r="26" spans="1:34" x14ac:dyDescent="0.2">
      <c r="A26" s="20" t="str">
        <f t="shared" si="0"/>
        <v/>
      </c>
      <c r="B26" s="20" t="str">
        <f>IF(AND(Exposures!$D26&lt;&gt;"",COUNTA(Exposures!$N26:$U26)&gt;0),Exposures!$D26&amp;"/START","")</f>
        <v/>
      </c>
      <c r="C26" s="20" t="str">
        <f t="shared" si="1"/>
        <v/>
      </c>
      <c r="D26" s="20" t="str">
        <f>IF(B26="","",Exposures!$A26&amp;"")</f>
        <v/>
      </c>
      <c r="E26" s="20" t="str">
        <f>IF(B26="","",Exposures!$B26&amp;"")</f>
        <v/>
      </c>
      <c r="F26" s="20" t="str">
        <f t="shared" si="2"/>
        <v/>
      </c>
      <c r="G26" s="20" t="str">
        <f>IF(B26="","",Exposures!$D26&amp;"")</f>
        <v/>
      </c>
      <c r="H26" s="20" t="str">
        <f>IF(B26="","",Exposures!$N26&amp;"")</f>
        <v/>
      </c>
      <c r="I26" s="20" t="str">
        <f>IF(B26="","",Exposures!$Q26&amp;"")</f>
        <v/>
      </c>
      <c r="J26" s="20" t="str">
        <f>IF(B26="","",Exposures!$W26&amp;"")</f>
        <v/>
      </c>
      <c r="K26" s="20">
        <f>IF(B26="",0,Exposures!$X26)</f>
        <v>0</v>
      </c>
      <c r="L26" s="20">
        <f>IF(B26="",0,Exposures!$Y26)</f>
        <v>0</v>
      </c>
      <c r="M26" s="20" t="str">
        <f>IF(B26="","",Exposures!$AB26)</f>
        <v/>
      </c>
      <c r="N26" s="20" t="str">
        <f>IF(B26="","",Exposures!$AC26)</f>
        <v/>
      </c>
      <c r="O26" s="27" t="str">
        <f>IF(B26="","",Exposures!$Z26)</f>
        <v/>
      </c>
      <c r="P26" s="27" t="str">
        <f>IF(B26="","",Exposures!$AA26)</f>
        <v/>
      </c>
      <c r="Q26" s="20" t="str">
        <f t="shared" si="3"/>
        <v/>
      </c>
      <c r="R26" s="20" t="str">
        <f>IF(A26="","",IF(J26&lt;&gt;"",J26,IF(H26="TIMESTAMP",DAY(INT(M26/1440))&amp;" "&amp;INDEX(nLIST_Months,MONTH(INT(M26/1440)))&amp;" "&amp;YEAR(INT(M26/1440))&amp;" "&amp;RIGHT("0"&amp;INT(MOD(M26,1440)/60),2)&amp;":"&amp;RIGHT("0"&amp;MOD(M26,60),2)&amp;IF(L26=1," (UTC"&amp;I26&amp;")"," (offset unknown)"),IF(H26="DATE",DAY(O26)&amp;" "&amp;INDEX(nLIST_Months,MONTH(O26))&amp;" "&amp;YEAR(O26),IF(H26="MONTH",INDEX(nLIST_Months,MONTH(O26))&amp;" "&amp;YEAR(O26)&amp;" ("&amp;DAY(O26)&amp;" "&amp;INDEX(nLIST_Months,MONTH(O26))&amp;" "&amp;YEAR(O26)&amp;" to "&amp;DAY(P26)&amp;" "&amp;INDEX(nLIST_Months,MONTH(P26))&amp;" "&amp;YEAR(P26)&amp;")",IF(H26="YEAR",YEAR(O26)&amp;" (1 January to 31 December)",DAY(O26)&amp;" "&amp;INDEX(nLIST_Months,MONTH(O26))&amp;" "&amp;YEAR(O26)&amp;" to "&amp;DAY(P26)&amp;" "&amp;INDEX(nLIST_Months,MONTH(P26))&amp;" "&amp;YEAR(P26)&amp;IF(H26="LAB"," (laboratory-defined)","")))))))</f>
        <v/>
      </c>
      <c r="S26" s="20" t="str">
        <f>IF(B26="","",Exposures!$M26&amp;"")</f>
        <v/>
      </c>
      <c r="T26" s="20" t="str">
        <f>IF(B26="","",Exposures!$V26&amp;"")</f>
        <v/>
      </c>
      <c r="U26" s="20" t="str">
        <f>IF(B26="","","Exposures row "&amp;ROW(Exposures!$A26)&amp;", Start")</f>
        <v/>
      </c>
      <c r="V26" s="20">
        <f>IF(A26="",0,COUNTIF(nTP_Key,A26))</f>
        <v>0</v>
      </c>
      <c r="W26" s="20">
        <f t="shared" si="4"/>
        <v>0</v>
      </c>
      <c r="X26" s="20">
        <f t="shared" si="5"/>
        <v>0</v>
      </c>
      <c r="Y26" s="20">
        <f t="shared" si="6"/>
        <v>0</v>
      </c>
      <c r="Z26" s="20">
        <f t="shared" si="7"/>
        <v>0</v>
      </c>
      <c r="AA26" s="20">
        <f t="shared" si="8"/>
        <v>22</v>
      </c>
      <c r="AB26" s="20" t="str">
        <f>""</f>
        <v/>
      </c>
      <c r="AC26" s="20" t="str">
        <f>IF(B26="","",Exposures!$F26&amp;"")</f>
        <v/>
      </c>
      <c r="AD26" s="20" t="str">
        <f>IF(B26="","",Exposures!$E26&amp;": Start")</f>
        <v/>
      </c>
      <c r="AE26" s="20">
        <f t="shared" si="9"/>
        <v>0</v>
      </c>
      <c r="AF26" s="20" t="str">
        <f t="shared" si="10"/>
        <v/>
      </c>
      <c r="AG26" s="20">
        <f t="shared" si="11"/>
        <v>0</v>
      </c>
      <c r="AH26" s="20" t="str">
        <f>""</f>
        <v/>
      </c>
    </row>
    <row r="27" spans="1:34" x14ac:dyDescent="0.2">
      <c r="A27" s="20" t="str">
        <f t="shared" si="0"/>
        <v/>
      </c>
      <c r="B27" s="20" t="str">
        <f>IF(AND(Exposures!$D27&lt;&gt;"",COUNTA(Exposures!$N27:$U27)&gt;0),Exposures!$D27&amp;"/START","")</f>
        <v/>
      </c>
      <c r="C27" s="20" t="str">
        <f t="shared" si="1"/>
        <v/>
      </c>
      <c r="D27" s="20" t="str">
        <f>IF(B27="","",Exposures!$A27&amp;"")</f>
        <v/>
      </c>
      <c r="E27" s="20" t="str">
        <f>IF(B27="","",Exposures!$B27&amp;"")</f>
        <v/>
      </c>
      <c r="F27" s="20" t="str">
        <f t="shared" si="2"/>
        <v/>
      </c>
      <c r="G27" s="20" t="str">
        <f>IF(B27="","",Exposures!$D27&amp;"")</f>
        <v/>
      </c>
      <c r="H27" s="20" t="str">
        <f>IF(B27="","",Exposures!$N27&amp;"")</f>
        <v/>
      </c>
      <c r="I27" s="20" t="str">
        <f>IF(B27="","",Exposures!$Q27&amp;"")</f>
        <v/>
      </c>
      <c r="J27" s="20" t="str">
        <f>IF(B27="","",Exposures!$W27&amp;"")</f>
        <v/>
      </c>
      <c r="K27" s="20">
        <f>IF(B27="",0,Exposures!$X27)</f>
        <v>0</v>
      </c>
      <c r="L27" s="20">
        <f>IF(B27="",0,Exposures!$Y27)</f>
        <v>0</v>
      </c>
      <c r="M27" s="20" t="str">
        <f>IF(B27="","",Exposures!$AB27)</f>
        <v/>
      </c>
      <c r="N27" s="20" t="str">
        <f>IF(B27="","",Exposures!$AC27)</f>
        <v/>
      </c>
      <c r="O27" s="27" t="str">
        <f>IF(B27="","",Exposures!$Z27)</f>
        <v/>
      </c>
      <c r="P27" s="27" t="str">
        <f>IF(B27="","",Exposures!$AA27)</f>
        <v/>
      </c>
      <c r="Q27" s="20" t="str">
        <f t="shared" si="3"/>
        <v/>
      </c>
      <c r="R27" s="20" t="str">
        <f>IF(A27="","",IF(J27&lt;&gt;"",J27,IF(H27="TIMESTAMP",DAY(INT(M27/1440))&amp;" "&amp;INDEX(nLIST_Months,MONTH(INT(M27/1440)))&amp;" "&amp;YEAR(INT(M27/1440))&amp;" "&amp;RIGHT("0"&amp;INT(MOD(M27,1440)/60),2)&amp;":"&amp;RIGHT("0"&amp;MOD(M27,60),2)&amp;IF(L27=1," (UTC"&amp;I27&amp;")"," (offset unknown)"),IF(H27="DATE",DAY(O27)&amp;" "&amp;INDEX(nLIST_Months,MONTH(O27))&amp;" "&amp;YEAR(O27),IF(H27="MONTH",INDEX(nLIST_Months,MONTH(O27))&amp;" "&amp;YEAR(O27)&amp;" ("&amp;DAY(O27)&amp;" "&amp;INDEX(nLIST_Months,MONTH(O27))&amp;" "&amp;YEAR(O27)&amp;" to "&amp;DAY(P27)&amp;" "&amp;INDEX(nLIST_Months,MONTH(P27))&amp;" "&amp;YEAR(P27)&amp;")",IF(H27="YEAR",YEAR(O27)&amp;" (1 January to 31 December)",DAY(O27)&amp;" "&amp;INDEX(nLIST_Months,MONTH(O27))&amp;" "&amp;YEAR(O27)&amp;" to "&amp;DAY(P27)&amp;" "&amp;INDEX(nLIST_Months,MONTH(P27))&amp;" "&amp;YEAR(P27)&amp;IF(H27="LAB"," (laboratory-defined)","")))))))</f>
        <v/>
      </c>
      <c r="S27" s="20" t="str">
        <f>IF(B27="","",Exposures!$M27&amp;"")</f>
        <v/>
      </c>
      <c r="T27" s="20" t="str">
        <f>IF(B27="","",Exposures!$V27&amp;"")</f>
        <v/>
      </c>
      <c r="U27" s="20" t="str">
        <f>IF(B27="","","Exposures row "&amp;ROW(Exposures!$A27)&amp;", Start")</f>
        <v/>
      </c>
      <c r="V27" s="20">
        <f>IF(A27="",0,COUNTIF(nTP_Key,A27))</f>
        <v>0</v>
      </c>
      <c r="W27" s="20">
        <f t="shared" si="4"/>
        <v>0</v>
      </c>
      <c r="X27" s="20">
        <f t="shared" si="5"/>
        <v>0</v>
      </c>
      <c r="Y27" s="20">
        <f t="shared" si="6"/>
        <v>0</v>
      </c>
      <c r="Z27" s="20">
        <f t="shared" si="7"/>
        <v>0</v>
      </c>
      <c r="AA27" s="20">
        <f t="shared" si="8"/>
        <v>23</v>
      </c>
      <c r="AB27" s="20" t="str">
        <f>""</f>
        <v/>
      </c>
      <c r="AC27" s="20" t="str">
        <f>IF(B27="","",Exposures!$F27&amp;"")</f>
        <v/>
      </c>
      <c r="AD27" s="20" t="str">
        <f>IF(B27="","",Exposures!$E27&amp;": Start")</f>
        <v/>
      </c>
      <c r="AE27" s="20">
        <f t="shared" si="9"/>
        <v>0</v>
      </c>
      <c r="AF27" s="20" t="str">
        <f t="shared" si="10"/>
        <v/>
      </c>
      <c r="AG27" s="20">
        <f t="shared" si="11"/>
        <v>0</v>
      </c>
      <c r="AH27" s="20" t="str">
        <f>""</f>
        <v/>
      </c>
    </row>
    <row r="28" spans="1:34" x14ac:dyDescent="0.2">
      <c r="A28" s="20" t="str">
        <f t="shared" si="0"/>
        <v/>
      </c>
      <c r="B28" s="20" t="str">
        <f>IF(AND(Exposures!$D28&lt;&gt;"",COUNTA(Exposures!$N28:$U28)&gt;0),Exposures!$D28&amp;"/START","")</f>
        <v/>
      </c>
      <c r="C28" s="20" t="str">
        <f t="shared" si="1"/>
        <v/>
      </c>
      <c r="D28" s="20" t="str">
        <f>IF(B28="","",Exposures!$A28&amp;"")</f>
        <v/>
      </c>
      <c r="E28" s="20" t="str">
        <f>IF(B28="","",Exposures!$B28&amp;"")</f>
        <v/>
      </c>
      <c r="F28" s="20" t="str">
        <f t="shared" si="2"/>
        <v/>
      </c>
      <c r="G28" s="20" t="str">
        <f>IF(B28="","",Exposures!$D28&amp;"")</f>
        <v/>
      </c>
      <c r="H28" s="20" t="str">
        <f>IF(B28="","",Exposures!$N28&amp;"")</f>
        <v/>
      </c>
      <c r="I28" s="20" t="str">
        <f>IF(B28="","",Exposures!$Q28&amp;"")</f>
        <v/>
      </c>
      <c r="J28" s="20" t="str">
        <f>IF(B28="","",Exposures!$W28&amp;"")</f>
        <v/>
      </c>
      <c r="K28" s="20">
        <f>IF(B28="",0,Exposures!$X28)</f>
        <v>0</v>
      </c>
      <c r="L28" s="20">
        <f>IF(B28="",0,Exposures!$Y28)</f>
        <v>0</v>
      </c>
      <c r="M28" s="20" t="str">
        <f>IF(B28="","",Exposures!$AB28)</f>
        <v/>
      </c>
      <c r="N28" s="20" t="str">
        <f>IF(B28="","",Exposures!$AC28)</f>
        <v/>
      </c>
      <c r="O28" s="27" t="str">
        <f>IF(B28="","",Exposures!$Z28)</f>
        <v/>
      </c>
      <c r="P28" s="27" t="str">
        <f>IF(B28="","",Exposures!$AA28)</f>
        <v/>
      </c>
      <c r="Q28" s="20" t="str">
        <f t="shared" si="3"/>
        <v/>
      </c>
      <c r="R28" s="20" t="str">
        <f>IF(A28="","",IF(J28&lt;&gt;"",J28,IF(H28="TIMESTAMP",DAY(INT(M28/1440))&amp;" "&amp;INDEX(nLIST_Months,MONTH(INT(M28/1440)))&amp;" "&amp;YEAR(INT(M28/1440))&amp;" "&amp;RIGHT("0"&amp;INT(MOD(M28,1440)/60),2)&amp;":"&amp;RIGHT("0"&amp;MOD(M28,60),2)&amp;IF(L28=1," (UTC"&amp;I28&amp;")"," (offset unknown)"),IF(H28="DATE",DAY(O28)&amp;" "&amp;INDEX(nLIST_Months,MONTH(O28))&amp;" "&amp;YEAR(O28),IF(H28="MONTH",INDEX(nLIST_Months,MONTH(O28))&amp;" "&amp;YEAR(O28)&amp;" ("&amp;DAY(O28)&amp;" "&amp;INDEX(nLIST_Months,MONTH(O28))&amp;" "&amp;YEAR(O28)&amp;" to "&amp;DAY(P28)&amp;" "&amp;INDEX(nLIST_Months,MONTH(P28))&amp;" "&amp;YEAR(P28)&amp;")",IF(H28="YEAR",YEAR(O28)&amp;" (1 January to 31 December)",DAY(O28)&amp;" "&amp;INDEX(nLIST_Months,MONTH(O28))&amp;" "&amp;YEAR(O28)&amp;" to "&amp;DAY(P28)&amp;" "&amp;INDEX(nLIST_Months,MONTH(P28))&amp;" "&amp;YEAR(P28)&amp;IF(H28="LAB"," (laboratory-defined)","")))))))</f>
        <v/>
      </c>
      <c r="S28" s="20" t="str">
        <f>IF(B28="","",Exposures!$M28&amp;"")</f>
        <v/>
      </c>
      <c r="T28" s="20" t="str">
        <f>IF(B28="","",Exposures!$V28&amp;"")</f>
        <v/>
      </c>
      <c r="U28" s="20" t="str">
        <f>IF(B28="","","Exposures row "&amp;ROW(Exposures!$A28)&amp;", Start")</f>
        <v/>
      </c>
      <c r="V28" s="20">
        <f>IF(A28="",0,COUNTIF(nTP_Key,A28))</f>
        <v>0</v>
      </c>
      <c r="W28" s="20">
        <f t="shared" si="4"/>
        <v>0</v>
      </c>
      <c r="X28" s="20">
        <f t="shared" si="5"/>
        <v>0</v>
      </c>
      <c r="Y28" s="20">
        <f t="shared" si="6"/>
        <v>0</v>
      </c>
      <c r="Z28" s="20">
        <f t="shared" si="7"/>
        <v>0</v>
      </c>
      <c r="AA28" s="20">
        <f t="shared" si="8"/>
        <v>24</v>
      </c>
      <c r="AB28" s="20" t="str">
        <f>""</f>
        <v/>
      </c>
      <c r="AC28" s="20" t="str">
        <f>IF(B28="","",Exposures!$F28&amp;"")</f>
        <v/>
      </c>
      <c r="AD28" s="20" t="str">
        <f>IF(B28="","",Exposures!$E28&amp;": Start")</f>
        <v/>
      </c>
      <c r="AE28" s="20">
        <f t="shared" si="9"/>
        <v>0</v>
      </c>
      <c r="AF28" s="20" t="str">
        <f t="shared" si="10"/>
        <v/>
      </c>
      <c r="AG28" s="20">
        <f t="shared" si="11"/>
        <v>0</v>
      </c>
      <c r="AH28" s="20" t="str">
        <f>""</f>
        <v/>
      </c>
    </row>
    <row r="29" spans="1:34" x14ac:dyDescent="0.2">
      <c r="A29" s="20" t="str">
        <f t="shared" si="0"/>
        <v/>
      </c>
      <c r="B29" s="20" t="str">
        <f>IF(AND(Exposures!$D29&lt;&gt;"",COUNTA(Exposures!$N29:$U29)&gt;0),Exposures!$D29&amp;"/START","")</f>
        <v/>
      </c>
      <c r="C29" s="20" t="str">
        <f t="shared" si="1"/>
        <v/>
      </c>
      <c r="D29" s="20" t="str">
        <f>IF(B29="","",Exposures!$A29&amp;"")</f>
        <v/>
      </c>
      <c r="E29" s="20" t="str">
        <f>IF(B29="","",Exposures!$B29&amp;"")</f>
        <v/>
      </c>
      <c r="F29" s="20" t="str">
        <f t="shared" si="2"/>
        <v/>
      </c>
      <c r="G29" s="20" t="str">
        <f>IF(B29="","",Exposures!$D29&amp;"")</f>
        <v/>
      </c>
      <c r="H29" s="20" t="str">
        <f>IF(B29="","",Exposures!$N29&amp;"")</f>
        <v/>
      </c>
      <c r="I29" s="20" t="str">
        <f>IF(B29="","",Exposures!$Q29&amp;"")</f>
        <v/>
      </c>
      <c r="J29" s="20" t="str">
        <f>IF(B29="","",Exposures!$W29&amp;"")</f>
        <v/>
      </c>
      <c r="K29" s="20">
        <f>IF(B29="",0,Exposures!$X29)</f>
        <v>0</v>
      </c>
      <c r="L29" s="20">
        <f>IF(B29="",0,Exposures!$Y29)</f>
        <v>0</v>
      </c>
      <c r="M29" s="20" t="str">
        <f>IF(B29="","",Exposures!$AB29)</f>
        <v/>
      </c>
      <c r="N29" s="20" t="str">
        <f>IF(B29="","",Exposures!$AC29)</f>
        <v/>
      </c>
      <c r="O29" s="27" t="str">
        <f>IF(B29="","",Exposures!$Z29)</f>
        <v/>
      </c>
      <c r="P29" s="27" t="str">
        <f>IF(B29="","",Exposures!$AA29)</f>
        <v/>
      </c>
      <c r="Q29" s="20" t="str">
        <f t="shared" si="3"/>
        <v/>
      </c>
      <c r="R29" s="20" t="str">
        <f>IF(A29="","",IF(J29&lt;&gt;"",J29,IF(H29="TIMESTAMP",DAY(INT(M29/1440))&amp;" "&amp;INDEX(nLIST_Months,MONTH(INT(M29/1440)))&amp;" "&amp;YEAR(INT(M29/1440))&amp;" "&amp;RIGHT("0"&amp;INT(MOD(M29,1440)/60),2)&amp;":"&amp;RIGHT("0"&amp;MOD(M29,60),2)&amp;IF(L29=1," (UTC"&amp;I29&amp;")"," (offset unknown)"),IF(H29="DATE",DAY(O29)&amp;" "&amp;INDEX(nLIST_Months,MONTH(O29))&amp;" "&amp;YEAR(O29),IF(H29="MONTH",INDEX(nLIST_Months,MONTH(O29))&amp;" "&amp;YEAR(O29)&amp;" ("&amp;DAY(O29)&amp;" "&amp;INDEX(nLIST_Months,MONTH(O29))&amp;" "&amp;YEAR(O29)&amp;" to "&amp;DAY(P29)&amp;" "&amp;INDEX(nLIST_Months,MONTH(P29))&amp;" "&amp;YEAR(P29)&amp;")",IF(H29="YEAR",YEAR(O29)&amp;" (1 January to 31 December)",DAY(O29)&amp;" "&amp;INDEX(nLIST_Months,MONTH(O29))&amp;" "&amp;YEAR(O29)&amp;" to "&amp;DAY(P29)&amp;" "&amp;INDEX(nLIST_Months,MONTH(P29))&amp;" "&amp;YEAR(P29)&amp;IF(H29="LAB"," (laboratory-defined)","")))))))</f>
        <v/>
      </c>
      <c r="S29" s="20" t="str">
        <f>IF(B29="","",Exposures!$M29&amp;"")</f>
        <v/>
      </c>
      <c r="T29" s="20" t="str">
        <f>IF(B29="","",Exposures!$V29&amp;"")</f>
        <v/>
      </c>
      <c r="U29" s="20" t="str">
        <f>IF(B29="","","Exposures row "&amp;ROW(Exposures!$A29)&amp;", Start")</f>
        <v/>
      </c>
      <c r="V29" s="20">
        <f>IF(A29="",0,COUNTIF(nTP_Key,A29))</f>
        <v>0</v>
      </c>
      <c r="W29" s="20">
        <f t="shared" si="4"/>
        <v>0</v>
      </c>
      <c r="X29" s="20">
        <f t="shared" si="5"/>
        <v>0</v>
      </c>
      <c r="Y29" s="20">
        <f t="shared" si="6"/>
        <v>0</v>
      </c>
      <c r="Z29" s="20">
        <f t="shared" si="7"/>
        <v>0</v>
      </c>
      <c r="AA29" s="20">
        <f t="shared" si="8"/>
        <v>25</v>
      </c>
      <c r="AB29" s="20" t="str">
        <f>""</f>
        <v/>
      </c>
      <c r="AC29" s="20" t="str">
        <f>IF(B29="","",Exposures!$F29&amp;"")</f>
        <v/>
      </c>
      <c r="AD29" s="20" t="str">
        <f>IF(B29="","",Exposures!$E29&amp;": Start")</f>
        <v/>
      </c>
      <c r="AE29" s="20">
        <f t="shared" si="9"/>
        <v>0</v>
      </c>
      <c r="AF29" s="20" t="str">
        <f t="shared" si="10"/>
        <v/>
      </c>
      <c r="AG29" s="20">
        <f t="shared" si="11"/>
        <v>0</v>
      </c>
      <c r="AH29" s="20" t="str">
        <f>""</f>
        <v/>
      </c>
    </row>
    <row r="30" spans="1:34" x14ac:dyDescent="0.2">
      <c r="A30" s="20" t="str">
        <f t="shared" si="0"/>
        <v/>
      </c>
      <c r="B30" s="20" t="str">
        <f>IF(AND(Exposures!$D30&lt;&gt;"",COUNTA(Exposures!$N30:$U30)&gt;0),Exposures!$D30&amp;"/START","")</f>
        <v/>
      </c>
      <c r="C30" s="20" t="str">
        <f t="shared" si="1"/>
        <v/>
      </c>
      <c r="D30" s="20" t="str">
        <f>IF(B30="","",Exposures!$A30&amp;"")</f>
        <v/>
      </c>
      <c r="E30" s="20" t="str">
        <f>IF(B30="","",Exposures!$B30&amp;"")</f>
        <v/>
      </c>
      <c r="F30" s="20" t="str">
        <f t="shared" si="2"/>
        <v/>
      </c>
      <c r="G30" s="20" t="str">
        <f>IF(B30="","",Exposures!$D30&amp;"")</f>
        <v/>
      </c>
      <c r="H30" s="20" t="str">
        <f>IF(B30="","",Exposures!$N30&amp;"")</f>
        <v/>
      </c>
      <c r="I30" s="20" t="str">
        <f>IF(B30="","",Exposures!$Q30&amp;"")</f>
        <v/>
      </c>
      <c r="J30" s="20" t="str">
        <f>IF(B30="","",Exposures!$W30&amp;"")</f>
        <v/>
      </c>
      <c r="K30" s="20">
        <f>IF(B30="",0,Exposures!$X30)</f>
        <v>0</v>
      </c>
      <c r="L30" s="20">
        <f>IF(B30="",0,Exposures!$Y30)</f>
        <v>0</v>
      </c>
      <c r="M30" s="20" t="str">
        <f>IF(B30="","",Exposures!$AB30)</f>
        <v/>
      </c>
      <c r="N30" s="20" t="str">
        <f>IF(B30="","",Exposures!$AC30)</f>
        <v/>
      </c>
      <c r="O30" s="27" t="str">
        <f>IF(B30="","",Exposures!$Z30)</f>
        <v/>
      </c>
      <c r="P30" s="27" t="str">
        <f>IF(B30="","",Exposures!$AA30)</f>
        <v/>
      </c>
      <c r="Q30" s="20" t="str">
        <f t="shared" si="3"/>
        <v/>
      </c>
      <c r="R30" s="20" t="str">
        <f>IF(A30="","",IF(J30&lt;&gt;"",J30,IF(H30="TIMESTAMP",DAY(INT(M30/1440))&amp;" "&amp;INDEX(nLIST_Months,MONTH(INT(M30/1440)))&amp;" "&amp;YEAR(INT(M30/1440))&amp;" "&amp;RIGHT("0"&amp;INT(MOD(M30,1440)/60),2)&amp;":"&amp;RIGHT("0"&amp;MOD(M30,60),2)&amp;IF(L30=1," (UTC"&amp;I30&amp;")"," (offset unknown)"),IF(H30="DATE",DAY(O30)&amp;" "&amp;INDEX(nLIST_Months,MONTH(O30))&amp;" "&amp;YEAR(O30),IF(H30="MONTH",INDEX(nLIST_Months,MONTH(O30))&amp;" "&amp;YEAR(O30)&amp;" ("&amp;DAY(O30)&amp;" "&amp;INDEX(nLIST_Months,MONTH(O30))&amp;" "&amp;YEAR(O30)&amp;" to "&amp;DAY(P30)&amp;" "&amp;INDEX(nLIST_Months,MONTH(P30))&amp;" "&amp;YEAR(P30)&amp;")",IF(H30="YEAR",YEAR(O30)&amp;" (1 January to 31 December)",DAY(O30)&amp;" "&amp;INDEX(nLIST_Months,MONTH(O30))&amp;" "&amp;YEAR(O30)&amp;" to "&amp;DAY(P30)&amp;" "&amp;INDEX(nLIST_Months,MONTH(P30))&amp;" "&amp;YEAR(P30)&amp;IF(H30="LAB"," (laboratory-defined)","")))))))</f>
        <v/>
      </c>
      <c r="S30" s="20" t="str">
        <f>IF(B30="","",Exposures!$M30&amp;"")</f>
        <v/>
      </c>
      <c r="T30" s="20" t="str">
        <f>IF(B30="","",Exposures!$V30&amp;"")</f>
        <v/>
      </c>
      <c r="U30" s="20" t="str">
        <f>IF(B30="","","Exposures row "&amp;ROW(Exposures!$A30)&amp;", Start")</f>
        <v/>
      </c>
      <c r="V30" s="20">
        <f>IF(A30="",0,COUNTIF(nTP_Key,A30))</f>
        <v>0</v>
      </c>
      <c r="W30" s="20">
        <f t="shared" si="4"/>
        <v>0</v>
      </c>
      <c r="X30" s="20">
        <f t="shared" si="5"/>
        <v>0</v>
      </c>
      <c r="Y30" s="20">
        <f t="shared" si="6"/>
        <v>0</v>
      </c>
      <c r="Z30" s="20">
        <f t="shared" si="7"/>
        <v>0</v>
      </c>
      <c r="AA30" s="20">
        <f t="shared" si="8"/>
        <v>26</v>
      </c>
      <c r="AB30" s="20" t="str">
        <f>""</f>
        <v/>
      </c>
      <c r="AC30" s="20" t="str">
        <f>IF(B30="","",Exposures!$F30&amp;"")</f>
        <v/>
      </c>
      <c r="AD30" s="20" t="str">
        <f>IF(B30="","",Exposures!$E30&amp;": Start")</f>
        <v/>
      </c>
      <c r="AE30" s="20">
        <f t="shared" si="9"/>
        <v>0</v>
      </c>
      <c r="AF30" s="20" t="str">
        <f t="shared" si="10"/>
        <v/>
      </c>
      <c r="AG30" s="20">
        <f t="shared" si="11"/>
        <v>0</v>
      </c>
      <c r="AH30" s="20" t="str">
        <f>""</f>
        <v/>
      </c>
    </row>
    <row r="31" spans="1:34" x14ac:dyDescent="0.2">
      <c r="A31" s="20" t="str">
        <f t="shared" si="0"/>
        <v/>
      </c>
      <c r="B31" s="20" t="str">
        <f>IF(AND(Exposures!$D31&lt;&gt;"",COUNTA(Exposures!$N31:$U31)&gt;0),Exposures!$D31&amp;"/START","")</f>
        <v/>
      </c>
      <c r="C31" s="20" t="str">
        <f t="shared" si="1"/>
        <v/>
      </c>
      <c r="D31" s="20" t="str">
        <f>IF(B31="","",Exposures!$A31&amp;"")</f>
        <v/>
      </c>
      <c r="E31" s="20" t="str">
        <f>IF(B31="","",Exposures!$B31&amp;"")</f>
        <v/>
      </c>
      <c r="F31" s="20" t="str">
        <f t="shared" si="2"/>
        <v/>
      </c>
      <c r="G31" s="20" t="str">
        <f>IF(B31="","",Exposures!$D31&amp;"")</f>
        <v/>
      </c>
      <c r="H31" s="20" t="str">
        <f>IF(B31="","",Exposures!$N31&amp;"")</f>
        <v/>
      </c>
      <c r="I31" s="20" t="str">
        <f>IF(B31="","",Exposures!$Q31&amp;"")</f>
        <v/>
      </c>
      <c r="J31" s="20" t="str">
        <f>IF(B31="","",Exposures!$W31&amp;"")</f>
        <v/>
      </c>
      <c r="K31" s="20">
        <f>IF(B31="",0,Exposures!$X31)</f>
        <v>0</v>
      </c>
      <c r="L31" s="20">
        <f>IF(B31="",0,Exposures!$Y31)</f>
        <v>0</v>
      </c>
      <c r="M31" s="20" t="str">
        <f>IF(B31="","",Exposures!$AB31)</f>
        <v/>
      </c>
      <c r="N31" s="20" t="str">
        <f>IF(B31="","",Exposures!$AC31)</f>
        <v/>
      </c>
      <c r="O31" s="27" t="str">
        <f>IF(B31="","",Exposures!$Z31)</f>
        <v/>
      </c>
      <c r="P31" s="27" t="str">
        <f>IF(B31="","",Exposures!$AA31)</f>
        <v/>
      </c>
      <c r="Q31" s="20" t="str">
        <f t="shared" si="3"/>
        <v/>
      </c>
      <c r="R31" s="20" t="str">
        <f>IF(A31="","",IF(J31&lt;&gt;"",J31,IF(H31="TIMESTAMP",DAY(INT(M31/1440))&amp;" "&amp;INDEX(nLIST_Months,MONTH(INT(M31/1440)))&amp;" "&amp;YEAR(INT(M31/1440))&amp;" "&amp;RIGHT("0"&amp;INT(MOD(M31,1440)/60),2)&amp;":"&amp;RIGHT("0"&amp;MOD(M31,60),2)&amp;IF(L31=1," (UTC"&amp;I31&amp;")"," (offset unknown)"),IF(H31="DATE",DAY(O31)&amp;" "&amp;INDEX(nLIST_Months,MONTH(O31))&amp;" "&amp;YEAR(O31),IF(H31="MONTH",INDEX(nLIST_Months,MONTH(O31))&amp;" "&amp;YEAR(O31)&amp;" ("&amp;DAY(O31)&amp;" "&amp;INDEX(nLIST_Months,MONTH(O31))&amp;" "&amp;YEAR(O31)&amp;" to "&amp;DAY(P31)&amp;" "&amp;INDEX(nLIST_Months,MONTH(P31))&amp;" "&amp;YEAR(P31)&amp;")",IF(H31="YEAR",YEAR(O31)&amp;" (1 January to 31 December)",DAY(O31)&amp;" "&amp;INDEX(nLIST_Months,MONTH(O31))&amp;" "&amp;YEAR(O31)&amp;" to "&amp;DAY(P31)&amp;" "&amp;INDEX(nLIST_Months,MONTH(P31))&amp;" "&amp;YEAR(P31)&amp;IF(H31="LAB"," (laboratory-defined)","")))))))</f>
        <v/>
      </c>
      <c r="S31" s="20" t="str">
        <f>IF(B31="","",Exposures!$M31&amp;"")</f>
        <v/>
      </c>
      <c r="T31" s="20" t="str">
        <f>IF(B31="","",Exposures!$V31&amp;"")</f>
        <v/>
      </c>
      <c r="U31" s="20" t="str">
        <f>IF(B31="","","Exposures row "&amp;ROW(Exposures!$A31)&amp;", Start")</f>
        <v/>
      </c>
      <c r="V31" s="20">
        <f>IF(A31="",0,COUNTIF(nTP_Key,A31))</f>
        <v>0</v>
      </c>
      <c r="W31" s="20">
        <f t="shared" si="4"/>
        <v>0</v>
      </c>
      <c r="X31" s="20">
        <f t="shared" si="5"/>
        <v>0</v>
      </c>
      <c r="Y31" s="20">
        <f t="shared" si="6"/>
        <v>0</v>
      </c>
      <c r="Z31" s="20">
        <f t="shared" si="7"/>
        <v>0</v>
      </c>
      <c r="AA31" s="20">
        <f t="shared" si="8"/>
        <v>27</v>
      </c>
      <c r="AB31" s="20" t="str">
        <f>""</f>
        <v/>
      </c>
      <c r="AC31" s="20" t="str">
        <f>IF(B31="","",Exposures!$F31&amp;"")</f>
        <v/>
      </c>
      <c r="AD31" s="20" t="str">
        <f>IF(B31="","",Exposures!$E31&amp;": Start")</f>
        <v/>
      </c>
      <c r="AE31" s="20">
        <f t="shared" si="9"/>
        <v>0</v>
      </c>
      <c r="AF31" s="20" t="str">
        <f t="shared" si="10"/>
        <v/>
      </c>
      <c r="AG31" s="20">
        <f t="shared" si="11"/>
        <v>0</v>
      </c>
      <c r="AH31" s="20" t="str">
        <f>""</f>
        <v/>
      </c>
    </row>
    <row r="32" spans="1:34" x14ac:dyDescent="0.2">
      <c r="A32" s="20" t="str">
        <f t="shared" si="0"/>
        <v/>
      </c>
      <c r="B32" s="20" t="str">
        <f>IF(AND(Exposures!$D32&lt;&gt;"",COUNTA(Exposures!$N32:$U32)&gt;0),Exposures!$D32&amp;"/START","")</f>
        <v/>
      </c>
      <c r="C32" s="20" t="str">
        <f t="shared" si="1"/>
        <v/>
      </c>
      <c r="D32" s="20" t="str">
        <f>IF(B32="","",Exposures!$A32&amp;"")</f>
        <v/>
      </c>
      <c r="E32" s="20" t="str">
        <f>IF(B32="","",Exposures!$B32&amp;"")</f>
        <v/>
      </c>
      <c r="F32" s="20" t="str">
        <f t="shared" si="2"/>
        <v/>
      </c>
      <c r="G32" s="20" t="str">
        <f>IF(B32="","",Exposures!$D32&amp;"")</f>
        <v/>
      </c>
      <c r="H32" s="20" t="str">
        <f>IF(B32="","",Exposures!$N32&amp;"")</f>
        <v/>
      </c>
      <c r="I32" s="20" t="str">
        <f>IF(B32="","",Exposures!$Q32&amp;"")</f>
        <v/>
      </c>
      <c r="J32" s="20" t="str">
        <f>IF(B32="","",Exposures!$W32&amp;"")</f>
        <v/>
      </c>
      <c r="K32" s="20">
        <f>IF(B32="",0,Exposures!$X32)</f>
        <v>0</v>
      </c>
      <c r="L32" s="20">
        <f>IF(B32="",0,Exposures!$Y32)</f>
        <v>0</v>
      </c>
      <c r="M32" s="20" t="str">
        <f>IF(B32="","",Exposures!$AB32)</f>
        <v/>
      </c>
      <c r="N32" s="20" t="str">
        <f>IF(B32="","",Exposures!$AC32)</f>
        <v/>
      </c>
      <c r="O32" s="27" t="str">
        <f>IF(B32="","",Exposures!$Z32)</f>
        <v/>
      </c>
      <c r="P32" s="27" t="str">
        <f>IF(B32="","",Exposures!$AA32)</f>
        <v/>
      </c>
      <c r="Q32" s="20" t="str">
        <f t="shared" si="3"/>
        <v/>
      </c>
      <c r="R32" s="20" t="str">
        <f>IF(A32="","",IF(J32&lt;&gt;"",J32,IF(H32="TIMESTAMP",DAY(INT(M32/1440))&amp;" "&amp;INDEX(nLIST_Months,MONTH(INT(M32/1440)))&amp;" "&amp;YEAR(INT(M32/1440))&amp;" "&amp;RIGHT("0"&amp;INT(MOD(M32,1440)/60),2)&amp;":"&amp;RIGHT("0"&amp;MOD(M32,60),2)&amp;IF(L32=1," (UTC"&amp;I32&amp;")"," (offset unknown)"),IF(H32="DATE",DAY(O32)&amp;" "&amp;INDEX(nLIST_Months,MONTH(O32))&amp;" "&amp;YEAR(O32),IF(H32="MONTH",INDEX(nLIST_Months,MONTH(O32))&amp;" "&amp;YEAR(O32)&amp;" ("&amp;DAY(O32)&amp;" "&amp;INDEX(nLIST_Months,MONTH(O32))&amp;" "&amp;YEAR(O32)&amp;" to "&amp;DAY(P32)&amp;" "&amp;INDEX(nLIST_Months,MONTH(P32))&amp;" "&amp;YEAR(P32)&amp;")",IF(H32="YEAR",YEAR(O32)&amp;" (1 January to 31 December)",DAY(O32)&amp;" "&amp;INDEX(nLIST_Months,MONTH(O32))&amp;" "&amp;YEAR(O32)&amp;" to "&amp;DAY(P32)&amp;" "&amp;INDEX(nLIST_Months,MONTH(P32))&amp;" "&amp;YEAR(P32)&amp;IF(H32="LAB"," (laboratory-defined)","")))))))</f>
        <v/>
      </c>
      <c r="S32" s="20" t="str">
        <f>IF(B32="","",Exposures!$M32&amp;"")</f>
        <v/>
      </c>
      <c r="T32" s="20" t="str">
        <f>IF(B32="","",Exposures!$V32&amp;"")</f>
        <v/>
      </c>
      <c r="U32" s="20" t="str">
        <f>IF(B32="","","Exposures row "&amp;ROW(Exposures!$A32)&amp;", Start")</f>
        <v/>
      </c>
      <c r="V32" s="20">
        <f>IF(A32="",0,COUNTIF(nTP_Key,A32))</f>
        <v>0</v>
      </c>
      <c r="W32" s="20">
        <f t="shared" si="4"/>
        <v>0</v>
      </c>
      <c r="X32" s="20">
        <f t="shared" si="5"/>
        <v>0</v>
      </c>
      <c r="Y32" s="20">
        <f t="shared" si="6"/>
        <v>0</v>
      </c>
      <c r="Z32" s="20">
        <f t="shared" si="7"/>
        <v>0</v>
      </c>
      <c r="AA32" s="20">
        <f t="shared" si="8"/>
        <v>28</v>
      </c>
      <c r="AB32" s="20" t="str">
        <f>""</f>
        <v/>
      </c>
      <c r="AC32" s="20" t="str">
        <f>IF(B32="","",Exposures!$F32&amp;"")</f>
        <v/>
      </c>
      <c r="AD32" s="20" t="str">
        <f>IF(B32="","",Exposures!$E32&amp;": Start")</f>
        <v/>
      </c>
      <c r="AE32" s="20">
        <f t="shared" si="9"/>
        <v>0</v>
      </c>
      <c r="AF32" s="20" t="str">
        <f t="shared" si="10"/>
        <v/>
      </c>
      <c r="AG32" s="20">
        <f t="shared" si="11"/>
        <v>0</v>
      </c>
      <c r="AH32" s="20" t="str">
        <f>""</f>
        <v/>
      </c>
    </row>
    <row r="33" spans="1:34" x14ac:dyDescent="0.2">
      <c r="A33" s="20" t="str">
        <f t="shared" si="0"/>
        <v/>
      </c>
      <c r="B33" s="20" t="str">
        <f>IF(AND(Exposures!$D33&lt;&gt;"",COUNTA(Exposures!$N33:$U33)&gt;0),Exposures!$D33&amp;"/START","")</f>
        <v/>
      </c>
      <c r="C33" s="20" t="str">
        <f t="shared" si="1"/>
        <v/>
      </c>
      <c r="D33" s="20" t="str">
        <f>IF(B33="","",Exposures!$A33&amp;"")</f>
        <v/>
      </c>
      <c r="E33" s="20" t="str">
        <f>IF(B33="","",Exposures!$B33&amp;"")</f>
        <v/>
      </c>
      <c r="F33" s="20" t="str">
        <f t="shared" si="2"/>
        <v/>
      </c>
      <c r="G33" s="20" t="str">
        <f>IF(B33="","",Exposures!$D33&amp;"")</f>
        <v/>
      </c>
      <c r="H33" s="20" t="str">
        <f>IF(B33="","",Exposures!$N33&amp;"")</f>
        <v/>
      </c>
      <c r="I33" s="20" t="str">
        <f>IF(B33="","",Exposures!$Q33&amp;"")</f>
        <v/>
      </c>
      <c r="J33" s="20" t="str">
        <f>IF(B33="","",Exposures!$W33&amp;"")</f>
        <v/>
      </c>
      <c r="K33" s="20">
        <f>IF(B33="",0,Exposures!$X33)</f>
        <v>0</v>
      </c>
      <c r="L33" s="20">
        <f>IF(B33="",0,Exposures!$Y33)</f>
        <v>0</v>
      </c>
      <c r="M33" s="20" t="str">
        <f>IF(B33="","",Exposures!$AB33)</f>
        <v/>
      </c>
      <c r="N33" s="20" t="str">
        <f>IF(B33="","",Exposures!$AC33)</f>
        <v/>
      </c>
      <c r="O33" s="27" t="str">
        <f>IF(B33="","",Exposures!$Z33)</f>
        <v/>
      </c>
      <c r="P33" s="27" t="str">
        <f>IF(B33="","",Exposures!$AA33)</f>
        <v/>
      </c>
      <c r="Q33" s="20" t="str">
        <f t="shared" si="3"/>
        <v/>
      </c>
      <c r="R33" s="20" t="str">
        <f>IF(A33="","",IF(J33&lt;&gt;"",J33,IF(H33="TIMESTAMP",DAY(INT(M33/1440))&amp;" "&amp;INDEX(nLIST_Months,MONTH(INT(M33/1440)))&amp;" "&amp;YEAR(INT(M33/1440))&amp;" "&amp;RIGHT("0"&amp;INT(MOD(M33,1440)/60),2)&amp;":"&amp;RIGHT("0"&amp;MOD(M33,60),2)&amp;IF(L33=1," (UTC"&amp;I33&amp;")"," (offset unknown)"),IF(H33="DATE",DAY(O33)&amp;" "&amp;INDEX(nLIST_Months,MONTH(O33))&amp;" "&amp;YEAR(O33),IF(H33="MONTH",INDEX(nLIST_Months,MONTH(O33))&amp;" "&amp;YEAR(O33)&amp;" ("&amp;DAY(O33)&amp;" "&amp;INDEX(nLIST_Months,MONTH(O33))&amp;" "&amp;YEAR(O33)&amp;" to "&amp;DAY(P33)&amp;" "&amp;INDEX(nLIST_Months,MONTH(P33))&amp;" "&amp;YEAR(P33)&amp;")",IF(H33="YEAR",YEAR(O33)&amp;" (1 January to 31 December)",DAY(O33)&amp;" "&amp;INDEX(nLIST_Months,MONTH(O33))&amp;" "&amp;YEAR(O33)&amp;" to "&amp;DAY(P33)&amp;" "&amp;INDEX(nLIST_Months,MONTH(P33))&amp;" "&amp;YEAR(P33)&amp;IF(H33="LAB"," (laboratory-defined)","")))))))</f>
        <v/>
      </c>
      <c r="S33" s="20" t="str">
        <f>IF(B33="","",Exposures!$M33&amp;"")</f>
        <v/>
      </c>
      <c r="T33" s="20" t="str">
        <f>IF(B33="","",Exposures!$V33&amp;"")</f>
        <v/>
      </c>
      <c r="U33" s="20" t="str">
        <f>IF(B33="","","Exposures row "&amp;ROW(Exposures!$A33)&amp;", Start")</f>
        <v/>
      </c>
      <c r="V33" s="20">
        <f>IF(A33="",0,COUNTIF(nTP_Key,A33))</f>
        <v>0</v>
      </c>
      <c r="W33" s="20">
        <f t="shared" si="4"/>
        <v>0</v>
      </c>
      <c r="X33" s="20">
        <f t="shared" si="5"/>
        <v>0</v>
      </c>
      <c r="Y33" s="20">
        <f t="shared" si="6"/>
        <v>0</v>
      </c>
      <c r="Z33" s="20">
        <f t="shared" si="7"/>
        <v>0</v>
      </c>
      <c r="AA33" s="20">
        <f t="shared" si="8"/>
        <v>29</v>
      </c>
      <c r="AB33" s="20" t="str">
        <f>""</f>
        <v/>
      </c>
      <c r="AC33" s="20" t="str">
        <f>IF(B33="","",Exposures!$F33&amp;"")</f>
        <v/>
      </c>
      <c r="AD33" s="20" t="str">
        <f>IF(B33="","",Exposures!$E33&amp;": Start")</f>
        <v/>
      </c>
      <c r="AE33" s="20">
        <f t="shared" si="9"/>
        <v>0</v>
      </c>
      <c r="AF33" s="20" t="str">
        <f t="shared" si="10"/>
        <v/>
      </c>
      <c r="AG33" s="20">
        <f t="shared" si="11"/>
        <v>0</v>
      </c>
      <c r="AH33" s="20" t="str">
        <f>""</f>
        <v/>
      </c>
    </row>
    <row r="34" spans="1:34" x14ac:dyDescent="0.2">
      <c r="A34" s="20" t="str">
        <f t="shared" si="0"/>
        <v/>
      </c>
      <c r="B34" s="20" t="str">
        <f>IF(AND(Exposures!$D34&lt;&gt;"",COUNTA(Exposures!$N34:$U34)&gt;0),Exposures!$D34&amp;"/START","")</f>
        <v/>
      </c>
      <c r="C34" s="20" t="str">
        <f t="shared" si="1"/>
        <v/>
      </c>
      <c r="D34" s="20" t="str">
        <f>IF(B34="","",Exposures!$A34&amp;"")</f>
        <v/>
      </c>
      <c r="E34" s="20" t="str">
        <f>IF(B34="","",Exposures!$B34&amp;"")</f>
        <v/>
      </c>
      <c r="F34" s="20" t="str">
        <f t="shared" si="2"/>
        <v/>
      </c>
      <c r="G34" s="20" t="str">
        <f>IF(B34="","",Exposures!$D34&amp;"")</f>
        <v/>
      </c>
      <c r="H34" s="20" t="str">
        <f>IF(B34="","",Exposures!$N34&amp;"")</f>
        <v/>
      </c>
      <c r="I34" s="20" t="str">
        <f>IF(B34="","",Exposures!$Q34&amp;"")</f>
        <v/>
      </c>
      <c r="J34" s="20" t="str">
        <f>IF(B34="","",Exposures!$W34&amp;"")</f>
        <v/>
      </c>
      <c r="K34" s="20">
        <f>IF(B34="",0,Exposures!$X34)</f>
        <v>0</v>
      </c>
      <c r="L34" s="20">
        <f>IF(B34="",0,Exposures!$Y34)</f>
        <v>0</v>
      </c>
      <c r="M34" s="20" t="str">
        <f>IF(B34="","",Exposures!$AB34)</f>
        <v/>
      </c>
      <c r="N34" s="20" t="str">
        <f>IF(B34="","",Exposures!$AC34)</f>
        <v/>
      </c>
      <c r="O34" s="27" t="str">
        <f>IF(B34="","",Exposures!$Z34)</f>
        <v/>
      </c>
      <c r="P34" s="27" t="str">
        <f>IF(B34="","",Exposures!$AA34)</f>
        <v/>
      </c>
      <c r="Q34" s="20" t="str">
        <f t="shared" si="3"/>
        <v/>
      </c>
      <c r="R34" s="20" t="str">
        <f>IF(A34="","",IF(J34&lt;&gt;"",J34,IF(H34="TIMESTAMP",DAY(INT(M34/1440))&amp;" "&amp;INDEX(nLIST_Months,MONTH(INT(M34/1440)))&amp;" "&amp;YEAR(INT(M34/1440))&amp;" "&amp;RIGHT("0"&amp;INT(MOD(M34,1440)/60),2)&amp;":"&amp;RIGHT("0"&amp;MOD(M34,60),2)&amp;IF(L34=1," (UTC"&amp;I34&amp;")"," (offset unknown)"),IF(H34="DATE",DAY(O34)&amp;" "&amp;INDEX(nLIST_Months,MONTH(O34))&amp;" "&amp;YEAR(O34),IF(H34="MONTH",INDEX(nLIST_Months,MONTH(O34))&amp;" "&amp;YEAR(O34)&amp;" ("&amp;DAY(O34)&amp;" "&amp;INDEX(nLIST_Months,MONTH(O34))&amp;" "&amp;YEAR(O34)&amp;" to "&amp;DAY(P34)&amp;" "&amp;INDEX(nLIST_Months,MONTH(P34))&amp;" "&amp;YEAR(P34)&amp;")",IF(H34="YEAR",YEAR(O34)&amp;" (1 January to 31 December)",DAY(O34)&amp;" "&amp;INDEX(nLIST_Months,MONTH(O34))&amp;" "&amp;YEAR(O34)&amp;" to "&amp;DAY(P34)&amp;" "&amp;INDEX(nLIST_Months,MONTH(P34))&amp;" "&amp;YEAR(P34)&amp;IF(H34="LAB"," (laboratory-defined)","")))))))</f>
        <v/>
      </c>
      <c r="S34" s="20" t="str">
        <f>IF(B34="","",Exposures!$M34&amp;"")</f>
        <v/>
      </c>
      <c r="T34" s="20" t="str">
        <f>IF(B34="","",Exposures!$V34&amp;"")</f>
        <v/>
      </c>
      <c r="U34" s="20" t="str">
        <f>IF(B34="","","Exposures row "&amp;ROW(Exposures!$A34)&amp;", Start")</f>
        <v/>
      </c>
      <c r="V34" s="20">
        <f>IF(A34="",0,COUNTIF(nTP_Key,A34))</f>
        <v>0</v>
      </c>
      <c r="W34" s="20">
        <f t="shared" si="4"/>
        <v>0</v>
      </c>
      <c r="X34" s="20">
        <f t="shared" si="5"/>
        <v>0</v>
      </c>
      <c r="Y34" s="20">
        <f t="shared" si="6"/>
        <v>0</v>
      </c>
      <c r="Z34" s="20">
        <f t="shared" si="7"/>
        <v>0</v>
      </c>
      <c r="AA34" s="20">
        <f t="shared" si="8"/>
        <v>30</v>
      </c>
      <c r="AB34" s="20" t="str">
        <f>""</f>
        <v/>
      </c>
      <c r="AC34" s="20" t="str">
        <f>IF(B34="","",Exposures!$F34&amp;"")</f>
        <v/>
      </c>
      <c r="AD34" s="20" t="str">
        <f>IF(B34="","",Exposures!$E34&amp;": Start")</f>
        <v/>
      </c>
      <c r="AE34" s="20">
        <f t="shared" si="9"/>
        <v>0</v>
      </c>
      <c r="AF34" s="20" t="str">
        <f t="shared" si="10"/>
        <v/>
      </c>
      <c r="AG34" s="20">
        <f t="shared" si="11"/>
        <v>0</v>
      </c>
      <c r="AH34" s="20" t="str">
        <f>""</f>
        <v/>
      </c>
    </row>
    <row r="35" spans="1:34" x14ac:dyDescent="0.2">
      <c r="A35" s="20" t="str">
        <f t="shared" si="0"/>
        <v/>
      </c>
      <c r="B35" s="20" t="str">
        <f>IF(AND(Exposures!$D35&lt;&gt;"",COUNTA(Exposures!$N35:$U35)&gt;0),Exposures!$D35&amp;"/START","")</f>
        <v/>
      </c>
      <c r="C35" s="20" t="str">
        <f t="shared" si="1"/>
        <v/>
      </c>
      <c r="D35" s="20" t="str">
        <f>IF(B35="","",Exposures!$A35&amp;"")</f>
        <v/>
      </c>
      <c r="E35" s="20" t="str">
        <f>IF(B35="","",Exposures!$B35&amp;"")</f>
        <v/>
      </c>
      <c r="F35" s="20" t="str">
        <f t="shared" si="2"/>
        <v/>
      </c>
      <c r="G35" s="20" t="str">
        <f>IF(B35="","",Exposures!$D35&amp;"")</f>
        <v/>
      </c>
      <c r="H35" s="20" t="str">
        <f>IF(B35="","",Exposures!$N35&amp;"")</f>
        <v/>
      </c>
      <c r="I35" s="20" t="str">
        <f>IF(B35="","",Exposures!$Q35&amp;"")</f>
        <v/>
      </c>
      <c r="J35" s="20" t="str">
        <f>IF(B35="","",Exposures!$W35&amp;"")</f>
        <v/>
      </c>
      <c r="K35" s="20">
        <f>IF(B35="",0,Exposures!$X35)</f>
        <v>0</v>
      </c>
      <c r="L35" s="20">
        <f>IF(B35="",0,Exposures!$Y35)</f>
        <v>0</v>
      </c>
      <c r="M35" s="20" t="str">
        <f>IF(B35="","",Exposures!$AB35)</f>
        <v/>
      </c>
      <c r="N35" s="20" t="str">
        <f>IF(B35="","",Exposures!$AC35)</f>
        <v/>
      </c>
      <c r="O35" s="27" t="str">
        <f>IF(B35="","",Exposures!$Z35)</f>
        <v/>
      </c>
      <c r="P35" s="27" t="str">
        <f>IF(B35="","",Exposures!$AA35)</f>
        <v/>
      </c>
      <c r="Q35" s="20" t="str">
        <f t="shared" si="3"/>
        <v/>
      </c>
      <c r="R35" s="20" t="str">
        <f>IF(A35="","",IF(J35&lt;&gt;"",J35,IF(H35="TIMESTAMP",DAY(INT(M35/1440))&amp;" "&amp;INDEX(nLIST_Months,MONTH(INT(M35/1440)))&amp;" "&amp;YEAR(INT(M35/1440))&amp;" "&amp;RIGHT("0"&amp;INT(MOD(M35,1440)/60),2)&amp;":"&amp;RIGHT("0"&amp;MOD(M35,60),2)&amp;IF(L35=1," (UTC"&amp;I35&amp;")"," (offset unknown)"),IF(H35="DATE",DAY(O35)&amp;" "&amp;INDEX(nLIST_Months,MONTH(O35))&amp;" "&amp;YEAR(O35),IF(H35="MONTH",INDEX(nLIST_Months,MONTH(O35))&amp;" "&amp;YEAR(O35)&amp;" ("&amp;DAY(O35)&amp;" "&amp;INDEX(nLIST_Months,MONTH(O35))&amp;" "&amp;YEAR(O35)&amp;" to "&amp;DAY(P35)&amp;" "&amp;INDEX(nLIST_Months,MONTH(P35))&amp;" "&amp;YEAR(P35)&amp;")",IF(H35="YEAR",YEAR(O35)&amp;" (1 January to 31 December)",DAY(O35)&amp;" "&amp;INDEX(nLIST_Months,MONTH(O35))&amp;" "&amp;YEAR(O35)&amp;" to "&amp;DAY(P35)&amp;" "&amp;INDEX(nLIST_Months,MONTH(P35))&amp;" "&amp;YEAR(P35)&amp;IF(H35="LAB"," (laboratory-defined)","")))))))</f>
        <v/>
      </c>
      <c r="S35" s="20" t="str">
        <f>IF(B35="","",Exposures!$M35&amp;"")</f>
        <v/>
      </c>
      <c r="T35" s="20" t="str">
        <f>IF(B35="","",Exposures!$V35&amp;"")</f>
        <v/>
      </c>
      <c r="U35" s="20" t="str">
        <f>IF(B35="","","Exposures row "&amp;ROW(Exposures!$A35)&amp;", Start")</f>
        <v/>
      </c>
      <c r="V35" s="20">
        <f>IF(A35="",0,COUNTIF(nTP_Key,A35))</f>
        <v>0</v>
      </c>
      <c r="W35" s="20">
        <f t="shared" si="4"/>
        <v>0</v>
      </c>
      <c r="X35" s="20">
        <f t="shared" si="5"/>
        <v>0</v>
      </c>
      <c r="Y35" s="20">
        <f t="shared" si="6"/>
        <v>0</v>
      </c>
      <c r="Z35" s="20">
        <f t="shared" si="7"/>
        <v>0</v>
      </c>
      <c r="AA35" s="20">
        <f t="shared" si="8"/>
        <v>31</v>
      </c>
      <c r="AB35" s="20" t="str">
        <f>""</f>
        <v/>
      </c>
      <c r="AC35" s="20" t="str">
        <f>IF(B35="","",Exposures!$F35&amp;"")</f>
        <v/>
      </c>
      <c r="AD35" s="20" t="str">
        <f>IF(B35="","",Exposures!$E35&amp;": Start")</f>
        <v/>
      </c>
      <c r="AE35" s="20">
        <f t="shared" si="9"/>
        <v>0</v>
      </c>
      <c r="AF35" s="20" t="str">
        <f t="shared" si="10"/>
        <v/>
      </c>
      <c r="AG35" s="20">
        <f t="shared" si="11"/>
        <v>0</v>
      </c>
      <c r="AH35" s="20" t="str">
        <f>""</f>
        <v/>
      </c>
    </row>
    <row r="36" spans="1:34" x14ac:dyDescent="0.2">
      <c r="A36" s="20" t="str">
        <f t="shared" si="0"/>
        <v>EX-C01|2|EX-A/START</v>
      </c>
      <c r="B36" s="20" t="str">
        <f>IF(AND(Exposures!$D36&lt;&gt;"",COUNTA(Exposures!$N36:$U36)&gt;0),Exposures!$D36&amp;"/START","")</f>
        <v>EX-A/START</v>
      </c>
      <c r="C36" s="20" t="str">
        <f t="shared" si="1"/>
        <v>EXPOSURE_START</v>
      </c>
      <c r="D36" s="20" t="str">
        <f>IF(B36="","",Exposures!$A36&amp;"")</f>
        <v>EX-C01</v>
      </c>
      <c r="E36" s="20" t="str">
        <f>IF(B36="","",Exposures!$B36&amp;"")</f>
        <v>2</v>
      </c>
      <c r="F36" s="20" t="str">
        <f t="shared" si="2"/>
        <v>EX-C01|2</v>
      </c>
      <c r="G36" s="20" t="str">
        <f>IF(B36="","",Exposures!$D36&amp;"")</f>
        <v>EX-A</v>
      </c>
      <c r="H36" s="20" t="str">
        <f>IF(B36="","",Exposures!$N36&amp;"")</f>
        <v>TIMESTAMP</v>
      </c>
      <c r="I36" s="20" t="str">
        <f>IF(B36="","",Exposures!$Q36&amp;"")</f>
        <v>-05:00</v>
      </c>
      <c r="J36" s="20" t="str">
        <f>IF(B36="","",Exposures!$W36&amp;"")</f>
        <v/>
      </c>
      <c r="K36" s="20">
        <f>IF(B36="",0,Exposures!$X36)</f>
        <v>1</v>
      </c>
      <c r="L36" s="20">
        <f>IF(B36="",0,Exposures!$Y36)</f>
        <v>1</v>
      </c>
      <c r="M36" s="20">
        <f>IF(B36="","",Exposures!$AB36)</f>
        <v>66286620</v>
      </c>
      <c r="N36" s="20">
        <f>IF(B36="","",Exposures!$AC36)</f>
        <v>66286920</v>
      </c>
      <c r="O36" s="27">
        <f>IF(B36="","",Exposures!$Z36)</f>
        <v>46032</v>
      </c>
      <c r="P36" s="27">
        <f>IF(B36="","",Exposures!$AA36)</f>
        <v>46032</v>
      </c>
      <c r="Q36" s="20" t="str">
        <f t="shared" si="3"/>
        <v>2026-01-10T09:00-05:00</v>
      </c>
      <c r="R36" s="20" t="str">
        <f>IF(A36="","",IF(J36&lt;&gt;"",J36,IF(H36="TIMESTAMP",DAY(INT(M36/1440))&amp;" "&amp;INDEX(nLIST_Months,MONTH(INT(M36/1440)))&amp;" "&amp;YEAR(INT(M36/1440))&amp;" "&amp;RIGHT("0"&amp;INT(MOD(M36,1440)/60),2)&amp;":"&amp;RIGHT("0"&amp;MOD(M36,60),2)&amp;IF(L36=1," (UTC"&amp;I36&amp;")"," (offset unknown)"),IF(H36="DATE",DAY(O36)&amp;" "&amp;INDEX(nLIST_Months,MONTH(O36))&amp;" "&amp;YEAR(O36),IF(H36="MONTH",INDEX(nLIST_Months,MONTH(O36))&amp;" "&amp;YEAR(O36)&amp;" ("&amp;DAY(O36)&amp;" "&amp;INDEX(nLIST_Months,MONTH(O36))&amp;" "&amp;YEAR(O36)&amp;" to "&amp;DAY(P36)&amp;" "&amp;INDEX(nLIST_Months,MONTH(P36))&amp;" "&amp;YEAR(P36)&amp;")",IF(H36="YEAR",YEAR(O36)&amp;" (1 January to 31 December)",DAY(O36)&amp;" "&amp;INDEX(nLIST_Months,MONTH(O36))&amp;" "&amp;YEAR(O36)&amp;" to "&amp;DAY(P36)&amp;" "&amp;INDEX(nLIST_Months,MONTH(P36))&amp;" "&amp;YEAR(P36)&amp;IF(H36="LAB"," (laboratory-defined)","")))))))</f>
        <v>10 January 2026 09:00 (UTC-05:00)</v>
      </c>
      <c r="S36" s="20" t="str">
        <f>IF(B36="","",Exposures!$M36&amp;"")</f>
        <v>09:00 Drug A infusion commenced</v>
      </c>
      <c r="T36" s="20" t="str">
        <f>IF(B36="","",Exposures!$V36&amp;"")</f>
        <v>Nursing chart; medication administration record</v>
      </c>
      <c r="U36" s="20" t="str">
        <f>IF(B36="","","Exposures row "&amp;ROW(Exposures!$A36)&amp;", Start")</f>
        <v>Exposures row 36, Start</v>
      </c>
      <c r="V36" s="20">
        <f>IF(A36="",0,COUNTIF(nTP_Key,A36))</f>
        <v>1</v>
      </c>
      <c r="W36" s="20">
        <f t="shared" si="4"/>
        <v>66286620</v>
      </c>
      <c r="X36" s="20">
        <f t="shared" si="5"/>
        <v>66286920</v>
      </c>
      <c r="Y36" s="20">
        <f t="shared" si="6"/>
        <v>46032</v>
      </c>
      <c r="Z36" s="20">
        <f t="shared" si="7"/>
        <v>46032</v>
      </c>
      <c r="AA36" s="20">
        <f t="shared" si="8"/>
        <v>32</v>
      </c>
      <c r="AB36" s="20" t="str">
        <f>""</f>
        <v/>
      </c>
      <c r="AC36" s="20" t="str">
        <f>IF(B36="","",Exposures!$F36&amp;"")</f>
        <v>suspect</v>
      </c>
      <c r="AD36" s="20" t="str">
        <f>IF(B36="","",Exposures!$E36&amp;": Start")</f>
        <v>Drug A (placeholder): Start</v>
      </c>
      <c r="AE36" s="20">
        <f t="shared" si="9"/>
        <v>1</v>
      </c>
      <c r="AF36" s="20" t="str">
        <f t="shared" si="10"/>
        <v>EX-C01|2|EX-A</v>
      </c>
      <c r="AG36" s="20">
        <f t="shared" si="11"/>
        <v>1</v>
      </c>
      <c r="AH36" s="20" t="str">
        <f>""</f>
        <v/>
      </c>
    </row>
    <row r="37" spans="1:34" x14ac:dyDescent="0.2">
      <c r="A37" s="20" t="str">
        <f t="shared" si="0"/>
        <v>EX-C01|2|EX-B/START</v>
      </c>
      <c r="B37" s="20" t="str">
        <f>IF(AND(Exposures!$D37&lt;&gt;"",COUNTA(Exposures!$N37:$U37)&gt;0),Exposures!$D37&amp;"/START","")</f>
        <v>EX-B/START</v>
      </c>
      <c r="C37" s="20" t="str">
        <f t="shared" ref="C37:C68" si="12">IF(B37="","","EXPOSURE_START")</f>
        <v>EXPOSURE_START</v>
      </c>
      <c r="D37" s="20" t="str">
        <f>IF(B37="","",Exposures!$A37&amp;"")</f>
        <v>EX-C01</v>
      </c>
      <c r="E37" s="20" t="str">
        <f>IF(B37="","",Exposures!$B37&amp;"")</f>
        <v>2</v>
      </c>
      <c r="F37" s="20" t="str">
        <f t="shared" si="2"/>
        <v>EX-C01|2</v>
      </c>
      <c r="G37" s="20" t="str">
        <f>IF(B37="","",Exposures!$D37&amp;"")</f>
        <v>EX-B</v>
      </c>
      <c r="H37" s="20" t="str">
        <f>IF(B37="","",Exposures!$N37&amp;"")</f>
        <v>TIMESTAMP</v>
      </c>
      <c r="I37" s="20" t="str">
        <f>IF(B37="","",Exposures!$Q37&amp;"")</f>
        <v>-05:00</v>
      </c>
      <c r="J37" s="20" t="str">
        <f>IF(B37="","",Exposures!$W37&amp;"")</f>
        <v/>
      </c>
      <c r="K37" s="20">
        <f>IF(B37="",0,Exposures!$X37)</f>
        <v>1</v>
      </c>
      <c r="L37" s="20">
        <f>IF(B37="",0,Exposures!$Y37)</f>
        <v>1</v>
      </c>
      <c r="M37" s="20">
        <f>IF(B37="","",Exposures!$AB37)</f>
        <v>66286580</v>
      </c>
      <c r="N37" s="20">
        <f>IF(B37="","",Exposures!$AC37)</f>
        <v>66286880</v>
      </c>
      <c r="O37" s="27">
        <f>IF(B37="","",Exposures!$Z37)</f>
        <v>46032</v>
      </c>
      <c r="P37" s="27">
        <f>IF(B37="","",Exposures!$AA37)</f>
        <v>46032</v>
      </c>
      <c r="Q37" s="20" t="str">
        <f t="shared" si="3"/>
        <v>2026-01-10T08:20-05:00</v>
      </c>
      <c r="R37" s="20" t="str">
        <f>IF(A37="","",IF(J37&lt;&gt;"",J37,IF(H37="TIMESTAMP",DAY(INT(M37/1440))&amp;" "&amp;INDEX(nLIST_Months,MONTH(INT(M37/1440)))&amp;" "&amp;YEAR(INT(M37/1440))&amp;" "&amp;RIGHT("0"&amp;INT(MOD(M37,1440)/60),2)&amp;":"&amp;RIGHT("0"&amp;MOD(M37,60),2)&amp;IF(L37=1," (UTC"&amp;I37&amp;")"," (offset unknown)"),IF(H37="DATE",DAY(O37)&amp;" "&amp;INDEX(nLIST_Months,MONTH(O37))&amp;" "&amp;YEAR(O37),IF(H37="MONTH",INDEX(nLIST_Months,MONTH(O37))&amp;" "&amp;YEAR(O37)&amp;" ("&amp;DAY(O37)&amp;" "&amp;INDEX(nLIST_Months,MONTH(O37))&amp;" "&amp;YEAR(O37)&amp;" to "&amp;DAY(P37)&amp;" "&amp;INDEX(nLIST_Months,MONTH(P37))&amp;" "&amp;YEAR(P37)&amp;")",IF(H37="YEAR",YEAR(O37)&amp;" (1 January to 31 December)",DAY(O37)&amp;" "&amp;INDEX(nLIST_Months,MONTH(O37))&amp;" "&amp;YEAR(O37)&amp;" to "&amp;DAY(P37)&amp;" "&amp;INDEX(nLIST_Months,MONTH(P37))&amp;" "&amp;YEAR(P37)&amp;IF(H37="LAB"," (laboratory-defined)","")))))))</f>
        <v>10 January 2026 08:20 (UTC-05:00)</v>
      </c>
      <c r="S37" s="20" t="str">
        <f>IF(B37="","",Exposures!$M37&amp;"")</f>
        <v>Drug B IV given earlier this morning via same cannula</v>
      </c>
      <c r="T37" s="20" t="str">
        <f>IF(B37="","",Exposures!$V37&amp;"")</f>
        <v>Follow-up, version 2</v>
      </c>
      <c r="U37" s="20" t="str">
        <f>IF(B37="","","Exposures row "&amp;ROW(Exposures!$A37)&amp;", Start")</f>
        <v>Exposures row 37, Start</v>
      </c>
      <c r="V37" s="20">
        <f>IF(A37="",0,COUNTIF(nTP_Key,A37))</f>
        <v>1</v>
      </c>
      <c r="W37" s="20">
        <f t="shared" si="4"/>
        <v>66286580</v>
      </c>
      <c r="X37" s="20">
        <f t="shared" si="5"/>
        <v>66286880</v>
      </c>
      <c r="Y37" s="20">
        <f t="shared" si="6"/>
        <v>46032</v>
      </c>
      <c r="Z37" s="20">
        <f t="shared" si="7"/>
        <v>46032</v>
      </c>
      <c r="AA37" s="20">
        <f t="shared" si="8"/>
        <v>33</v>
      </c>
      <c r="AB37" s="20" t="str">
        <f>""</f>
        <v/>
      </c>
      <c r="AC37" s="20" t="str">
        <f>IF(B37="","",Exposures!$F37&amp;"")</f>
        <v>concomitant</v>
      </c>
      <c r="AD37" s="20" t="str">
        <f>IF(B37="","",Exposures!$E37&amp;": Start")</f>
        <v>Drug B (placeholder): Start</v>
      </c>
      <c r="AE37" s="20">
        <f t="shared" si="9"/>
        <v>1</v>
      </c>
      <c r="AF37" s="20" t="str">
        <f t="shared" si="10"/>
        <v>EX-C01|2|EX-B</v>
      </c>
      <c r="AG37" s="20">
        <f t="shared" si="11"/>
        <v>1</v>
      </c>
      <c r="AH37" s="20" t="str">
        <f>""</f>
        <v/>
      </c>
    </row>
    <row r="38" spans="1:34" x14ac:dyDescent="0.2">
      <c r="A38" s="20" t="str">
        <f t="shared" si="0"/>
        <v>EX-C01|2|EX-AS/START</v>
      </c>
      <c r="B38" s="20" t="str">
        <f>IF(AND(Exposures!$D38&lt;&gt;"",COUNTA(Exposures!$N38:$U38)&gt;0),Exposures!$D38&amp;"/START","")</f>
        <v>EX-AS/START</v>
      </c>
      <c r="C38" s="20" t="str">
        <f t="shared" si="12"/>
        <v>EXPOSURE_START</v>
      </c>
      <c r="D38" s="20" t="str">
        <f>IF(B38="","",Exposures!$A38&amp;"")</f>
        <v>EX-C01</v>
      </c>
      <c r="E38" s="20" t="str">
        <f>IF(B38="","",Exposures!$B38&amp;"")</f>
        <v>2</v>
      </c>
      <c r="F38" s="20" t="str">
        <f t="shared" si="2"/>
        <v>EX-C01|2</v>
      </c>
      <c r="G38" s="20" t="str">
        <f>IF(B38="","",Exposures!$D38&amp;"")</f>
        <v>EX-AS</v>
      </c>
      <c r="H38" s="20" t="str">
        <f>IF(B38="","",Exposures!$N38&amp;"")</f>
        <v>TIMESTAMP</v>
      </c>
      <c r="I38" s="20" t="str">
        <f>IF(B38="","",Exposures!$Q38&amp;"")</f>
        <v>-05:00</v>
      </c>
      <c r="J38" s="20" t="str">
        <f>IF(B38="","",Exposures!$W38&amp;"")</f>
        <v/>
      </c>
      <c r="K38" s="20">
        <f>IF(B38="",0,Exposures!$X38)</f>
        <v>1</v>
      </c>
      <c r="L38" s="20">
        <f>IF(B38="",0,Exposures!$Y38)</f>
        <v>1</v>
      </c>
      <c r="M38" s="20">
        <f>IF(B38="","",Exposures!$AB38)</f>
        <v>66286575</v>
      </c>
      <c r="N38" s="20">
        <f>IF(B38="","",Exposures!$AC38)</f>
        <v>66286875</v>
      </c>
      <c r="O38" s="27">
        <f>IF(B38="","",Exposures!$Z38)</f>
        <v>46032</v>
      </c>
      <c r="P38" s="27">
        <f>IF(B38="","",Exposures!$AA38)</f>
        <v>46032</v>
      </c>
      <c r="Q38" s="20" t="str">
        <f t="shared" si="3"/>
        <v>2026-01-10T08:15-05:00</v>
      </c>
      <c r="R38" s="20" t="str">
        <f>IF(A38="","",IF(J38&lt;&gt;"",J38,IF(H38="TIMESTAMP",DAY(INT(M38/1440))&amp;" "&amp;INDEX(nLIST_Months,MONTH(INT(M38/1440)))&amp;" "&amp;YEAR(INT(M38/1440))&amp;" "&amp;RIGHT("0"&amp;INT(MOD(M38,1440)/60),2)&amp;":"&amp;RIGHT("0"&amp;MOD(M38,60),2)&amp;IF(L38=1," (UTC"&amp;I38&amp;")"," (offset unknown)"),IF(H38="DATE",DAY(O38)&amp;" "&amp;INDEX(nLIST_Months,MONTH(O38))&amp;" "&amp;YEAR(O38),IF(H38="MONTH",INDEX(nLIST_Months,MONTH(O38))&amp;" "&amp;YEAR(O38)&amp;" ("&amp;DAY(O38)&amp;" "&amp;INDEX(nLIST_Months,MONTH(O38))&amp;" "&amp;YEAR(O38)&amp;" to "&amp;DAY(P38)&amp;" "&amp;INDEX(nLIST_Months,MONTH(P38))&amp;" "&amp;YEAR(P38)&amp;")",IF(H38="YEAR",YEAR(O38)&amp;" (1 January to 31 December)",DAY(O38)&amp;" "&amp;INDEX(nLIST_Months,MONTH(O38))&amp;" "&amp;YEAR(O38)&amp;" to "&amp;DAY(P38)&amp;" "&amp;INDEX(nLIST_Months,MONTH(P38))&amp;" "&amp;YEAR(P38)&amp;IF(H38="LAB"," (laboratory-defined)","")))))))</f>
        <v>10 January 2026 08:15 (UTC-05:00)</v>
      </c>
      <c r="S38" s="20" t="str">
        <f>IF(B38="","",Exposures!$M38&amp;"")</f>
        <v>Antiseptic applied at cannulation</v>
      </c>
      <c r="T38" s="20" t="str">
        <f>IF(B38="","",Exposures!$V38&amp;"")</f>
        <v>Follow-up, version 2</v>
      </c>
      <c r="U38" s="20" t="str">
        <f>IF(B38="","","Exposures row "&amp;ROW(Exposures!$A38)&amp;", Start")</f>
        <v>Exposures row 38, Start</v>
      </c>
      <c r="V38" s="20">
        <f>IF(A38="",0,COUNTIF(nTP_Key,A38))</f>
        <v>1</v>
      </c>
      <c r="W38" s="20">
        <f t="shared" si="4"/>
        <v>66286575</v>
      </c>
      <c r="X38" s="20">
        <f t="shared" si="5"/>
        <v>66286875</v>
      </c>
      <c r="Y38" s="20">
        <f t="shared" si="6"/>
        <v>46032</v>
      </c>
      <c r="Z38" s="20">
        <f t="shared" si="7"/>
        <v>46032</v>
      </c>
      <c r="AA38" s="20">
        <f t="shared" si="8"/>
        <v>34</v>
      </c>
      <c r="AB38" s="20" t="str">
        <f>""</f>
        <v/>
      </c>
      <c r="AC38" s="20" t="str">
        <f>IF(B38="","",Exposures!$F38&amp;"")</f>
        <v>concomitant</v>
      </c>
      <c r="AD38" s="20" t="str">
        <f>IF(B38="","",Exposures!$E38&amp;": Start")</f>
        <v>Skin antiseptic (concomitant material): Start</v>
      </c>
      <c r="AE38" s="20">
        <f t="shared" si="9"/>
        <v>1</v>
      </c>
      <c r="AF38" s="20" t="str">
        <f t="shared" si="10"/>
        <v>EX-C01|2|EX-AS</v>
      </c>
      <c r="AG38" s="20">
        <f t="shared" si="11"/>
        <v>1</v>
      </c>
      <c r="AH38" s="20" t="str">
        <f>""</f>
        <v/>
      </c>
    </row>
    <row r="39" spans="1:34" x14ac:dyDescent="0.2">
      <c r="A39" s="20" t="str">
        <f t="shared" si="0"/>
        <v>EX-C04|2|EX-DIG/START</v>
      </c>
      <c r="B39" s="20" t="str">
        <f>IF(AND(Exposures!$D39&lt;&gt;"",COUNTA(Exposures!$N39:$U39)&gt;0),Exposures!$D39&amp;"/START","")</f>
        <v>EX-DIG/START</v>
      </c>
      <c r="C39" s="20" t="str">
        <f t="shared" si="12"/>
        <v>EXPOSURE_START</v>
      </c>
      <c r="D39" s="20" t="str">
        <f>IF(B39="","",Exposures!$A39&amp;"")</f>
        <v>EX-C04</v>
      </c>
      <c r="E39" s="20" t="str">
        <f>IF(B39="","",Exposures!$B39&amp;"")</f>
        <v>2</v>
      </c>
      <c r="F39" s="20" t="str">
        <f t="shared" si="2"/>
        <v>EX-C04|2</v>
      </c>
      <c r="G39" s="20" t="str">
        <f>IF(B39="","",Exposures!$D39&amp;"")</f>
        <v>EX-DIG</v>
      </c>
      <c r="H39" s="20" t="str">
        <f>IF(B39="","",Exposures!$N39&amp;"")</f>
        <v>DATE</v>
      </c>
      <c r="I39" s="20" t="str">
        <f>IF(B39="","",Exposures!$Q39&amp;"")</f>
        <v/>
      </c>
      <c r="J39" s="20" t="str">
        <f>IF(B39="","",Exposures!$W39&amp;"")</f>
        <v/>
      </c>
      <c r="K39" s="20">
        <f>IF(B39="",0,Exposures!$X39)</f>
        <v>0</v>
      </c>
      <c r="L39" s="20">
        <f>IF(B39="",0,Exposures!$Y39)</f>
        <v>0</v>
      </c>
      <c r="M39" s="20" t="str">
        <f>IF(B39="","",Exposures!$AB39)</f>
        <v/>
      </c>
      <c r="N39" s="20" t="str">
        <f>IF(B39="","",Exposures!$AC39)</f>
        <v/>
      </c>
      <c r="O39" s="27">
        <f>IF(B39="","",Exposures!$Z39)</f>
        <v>46023</v>
      </c>
      <c r="P39" s="27">
        <f>IF(B39="","",Exposures!$AA39)</f>
        <v>46023</v>
      </c>
      <c r="Q39" s="20" t="str">
        <f t="shared" si="3"/>
        <v>2026-01-01</v>
      </c>
      <c r="R39" s="20" t="str">
        <f>IF(A39="","",IF(J39&lt;&gt;"",J39,IF(H39="TIMESTAMP",DAY(INT(M39/1440))&amp;" "&amp;INDEX(nLIST_Months,MONTH(INT(M39/1440)))&amp;" "&amp;YEAR(INT(M39/1440))&amp;" "&amp;RIGHT("0"&amp;INT(MOD(M39,1440)/60),2)&amp;":"&amp;RIGHT("0"&amp;MOD(M39,60),2)&amp;IF(L39=1," (UTC"&amp;I39&amp;")"," (offset unknown)"),IF(H39="DATE",DAY(O39)&amp;" "&amp;INDEX(nLIST_Months,MONTH(O39))&amp;" "&amp;YEAR(O39),IF(H39="MONTH",INDEX(nLIST_Months,MONTH(O39))&amp;" "&amp;YEAR(O39)&amp;" ("&amp;DAY(O39)&amp;" "&amp;INDEX(nLIST_Months,MONTH(O39))&amp;" "&amp;YEAR(O39)&amp;" to "&amp;DAY(P39)&amp;" "&amp;INDEX(nLIST_Months,MONTH(P39))&amp;" "&amp;YEAR(P39)&amp;")",IF(H39="YEAR",YEAR(O39)&amp;" (1 January to 31 December)",DAY(O39)&amp;" "&amp;INDEX(nLIST_Months,MONTH(O39))&amp;" "&amp;YEAR(O39)&amp;" to "&amp;DAY(P39)&amp;" "&amp;INDEX(nLIST_Months,MONTH(P39))&amp;" "&amp;YEAR(P39)&amp;IF(H39="LAB"," (laboratory-defined)","")))))))</f>
        <v>1 January 2026</v>
      </c>
      <c r="S39" s="20" t="str">
        <f>IF(B39="","",Exposures!$M39&amp;"")</f>
        <v>digoxin 125 micrograms each morning since 1 January 2026</v>
      </c>
      <c r="T39" s="20" t="str">
        <f>IF(B39="","",Exposures!$V39&amp;"")</f>
        <v>GP letter (version 2)</v>
      </c>
      <c r="U39" s="20" t="str">
        <f>IF(B39="","","Exposures row "&amp;ROW(Exposures!$A39)&amp;", Start")</f>
        <v>Exposures row 39, Start</v>
      </c>
      <c r="V39" s="20">
        <f>IF(A39="",0,COUNTIF(nTP_Key,A39))</f>
        <v>1</v>
      </c>
      <c r="W39" s="20">
        <f t="shared" si="4"/>
        <v>0</v>
      </c>
      <c r="X39" s="20">
        <f t="shared" si="5"/>
        <v>0</v>
      </c>
      <c r="Y39" s="20">
        <f t="shared" si="6"/>
        <v>46023</v>
      </c>
      <c r="Z39" s="20">
        <f t="shared" si="7"/>
        <v>46023</v>
      </c>
      <c r="AA39" s="20">
        <f t="shared" si="8"/>
        <v>35</v>
      </c>
      <c r="AB39" s="20" t="str">
        <f>""</f>
        <v/>
      </c>
      <c r="AC39" s="20" t="str">
        <f>IF(B39="","",Exposures!$F39&amp;"")</f>
        <v>suspect</v>
      </c>
      <c r="AD39" s="20" t="str">
        <f>IF(B39="","",Exposures!$E39&amp;": Start")</f>
        <v>Digoxin tablets: Start</v>
      </c>
      <c r="AE39" s="20">
        <f t="shared" si="9"/>
        <v>1</v>
      </c>
      <c r="AF39" s="20" t="str">
        <f t="shared" si="10"/>
        <v>EX-C04|2|EX-DIG</v>
      </c>
      <c r="AG39" s="20">
        <f t="shared" si="11"/>
        <v>1</v>
      </c>
      <c r="AH39" s="20" t="str">
        <f>""</f>
        <v/>
      </c>
    </row>
    <row r="40" spans="1:34" x14ac:dyDescent="0.2">
      <c r="A40" s="20" t="str">
        <f t="shared" si="0"/>
        <v>EX-C04|2|EX-IBU/START</v>
      </c>
      <c r="B40" s="20" t="str">
        <f>IF(AND(Exposures!$D40&lt;&gt;"",COUNTA(Exposures!$N40:$U40)&gt;0),Exposures!$D40&amp;"/START","")</f>
        <v>EX-IBU/START</v>
      </c>
      <c r="C40" s="20" t="str">
        <f t="shared" si="12"/>
        <v>EXPOSURE_START</v>
      </c>
      <c r="D40" s="20" t="str">
        <f>IF(B40="","",Exposures!$A40&amp;"")</f>
        <v>EX-C04</v>
      </c>
      <c r="E40" s="20" t="str">
        <f>IF(B40="","",Exposures!$B40&amp;"")</f>
        <v>2</v>
      </c>
      <c r="F40" s="20" t="str">
        <f t="shared" si="2"/>
        <v>EX-C04|2</v>
      </c>
      <c r="G40" s="20" t="str">
        <f>IF(B40="","",Exposures!$D40&amp;"")</f>
        <v>EX-IBU</v>
      </c>
      <c r="H40" s="20" t="str">
        <f>IF(B40="","",Exposures!$N40&amp;"")</f>
        <v>DATE</v>
      </c>
      <c r="I40" s="20" t="str">
        <f>IF(B40="","",Exposures!$Q40&amp;"")</f>
        <v/>
      </c>
      <c r="J40" s="20" t="str">
        <f>IF(B40="","",Exposures!$W40&amp;"")</f>
        <v/>
      </c>
      <c r="K40" s="20">
        <f>IF(B40="",0,Exposures!$X40)</f>
        <v>0</v>
      </c>
      <c r="L40" s="20">
        <f>IF(B40="",0,Exposures!$Y40)</f>
        <v>0</v>
      </c>
      <c r="M40" s="20" t="str">
        <f>IF(B40="","",Exposures!$AB40)</f>
        <v/>
      </c>
      <c r="N40" s="20" t="str">
        <f>IF(B40="","",Exposures!$AC40)</f>
        <v/>
      </c>
      <c r="O40" s="27">
        <f>IF(B40="","",Exposures!$Z40)</f>
        <v>46199</v>
      </c>
      <c r="P40" s="27">
        <f>IF(B40="","",Exposures!$AA40)</f>
        <v>46199</v>
      </c>
      <c r="Q40" s="20" t="str">
        <f t="shared" si="3"/>
        <v>2026-06-26</v>
      </c>
      <c r="R40" s="20" t="str">
        <f>IF(A40="","",IF(J40&lt;&gt;"",J40,IF(H40="TIMESTAMP",DAY(INT(M40/1440))&amp;" "&amp;INDEX(nLIST_Months,MONTH(INT(M40/1440)))&amp;" "&amp;YEAR(INT(M40/1440))&amp;" "&amp;RIGHT("0"&amp;INT(MOD(M40,1440)/60),2)&amp;":"&amp;RIGHT("0"&amp;MOD(M40,60),2)&amp;IF(L40=1," (UTC"&amp;I40&amp;")"," (offset unknown)"),IF(H40="DATE",DAY(O40)&amp;" "&amp;INDEX(nLIST_Months,MONTH(O40))&amp;" "&amp;YEAR(O40),IF(H40="MONTH",INDEX(nLIST_Months,MONTH(O40))&amp;" "&amp;YEAR(O40)&amp;" ("&amp;DAY(O40)&amp;" "&amp;INDEX(nLIST_Months,MONTH(O40))&amp;" "&amp;YEAR(O40)&amp;" to "&amp;DAY(P40)&amp;" "&amp;INDEX(nLIST_Months,MONTH(P40))&amp;" "&amp;YEAR(P40)&amp;")",IF(H40="YEAR",YEAR(O40)&amp;" (1 January to 31 December)",DAY(O40)&amp;" "&amp;INDEX(nLIST_Months,MONTH(O40))&amp;" "&amp;YEAR(O40)&amp;" to "&amp;DAY(P40)&amp;" "&amp;INDEX(nLIST_Months,MONTH(P40))&amp;" "&amp;YEAR(P40)&amp;IF(H40="LAB"," (laboratory-defined)","")))))))</f>
        <v>26 June 2026</v>
      </c>
      <c r="S40" s="20" t="str">
        <f>IF(B40="","",Exposures!$M40&amp;"")</f>
        <v>Bought ibuprofen ... on 26 June</v>
      </c>
      <c r="T40" s="20" t="str">
        <f>IF(B40="","",Exposures!$V40&amp;"")</f>
        <v>GP letter (version 2)</v>
      </c>
      <c r="U40" s="20" t="str">
        <f>IF(B40="","","Exposures row "&amp;ROW(Exposures!$A40)&amp;", Start")</f>
        <v>Exposures row 40, Start</v>
      </c>
      <c r="V40" s="20">
        <f>IF(A40="",0,COUNTIF(nTP_Key,A40))</f>
        <v>1</v>
      </c>
      <c r="W40" s="20">
        <f t="shared" si="4"/>
        <v>0</v>
      </c>
      <c r="X40" s="20">
        <f t="shared" si="5"/>
        <v>0</v>
      </c>
      <c r="Y40" s="20">
        <f t="shared" si="6"/>
        <v>46199</v>
      </c>
      <c r="Z40" s="20">
        <f t="shared" si="7"/>
        <v>46199</v>
      </c>
      <c r="AA40" s="20">
        <f t="shared" si="8"/>
        <v>36</v>
      </c>
      <c r="AB40" s="20" t="str">
        <f>""</f>
        <v/>
      </c>
      <c r="AC40" s="20" t="str">
        <f>IF(B40="","",Exposures!$F40&amp;"")</f>
        <v>interacting</v>
      </c>
      <c r="AD40" s="20" t="str">
        <f>IF(B40="","",Exposures!$E40&amp;": Start")</f>
        <v>Ibuprofen: Start</v>
      </c>
      <c r="AE40" s="20">
        <f t="shared" si="9"/>
        <v>1</v>
      </c>
      <c r="AF40" s="20" t="str">
        <f t="shared" si="10"/>
        <v>EX-C04|2|EX-IBU</v>
      </c>
      <c r="AG40" s="20">
        <f t="shared" si="11"/>
        <v>1</v>
      </c>
      <c r="AH40" s="20" t="str">
        <f>""</f>
        <v/>
      </c>
    </row>
    <row r="41" spans="1:34" x14ac:dyDescent="0.2">
      <c r="A41" s="20" t="str">
        <f t="shared" si="0"/>
        <v/>
      </c>
      <c r="B41" s="20" t="str">
        <f>IF(AND(Exposures!$D41&lt;&gt;"",COUNTA(Exposures!$N41:$U41)&gt;0),Exposures!$D41&amp;"/START","")</f>
        <v/>
      </c>
      <c r="C41" s="20" t="str">
        <f t="shared" si="12"/>
        <v/>
      </c>
      <c r="D41" s="20" t="str">
        <f>IF(B41="","",Exposures!$A41&amp;"")</f>
        <v/>
      </c>
      <c r="E41" s="20" t="str">
        <f>IF(B41="","",Exposures!$B41&amp;"")</f>
        <v/>
      </c>
      <c r="F41" s="20" t="str">
        <f t="shared" si="2"/>
        <v/>
      </c>
      <c r="G41" s="20" t="str">
        <f>IF(B41="","",Exposures!$D41&amp;"")</f>
        <v/>
      </c>
      <c r="H41" s="20" t="str">
        <f>IF(B41="","",Exposures!$N41&amp;"")</f>
        <v/>
      </c>
      <c r="I41" s="20" t="str">
        <f>IF(B41="","",Exposures!$Q41&amp;"")</f>
        <v/>
      </c>
      <c r="J41" s="20" t="str">
        <f>IF(B41="","",Exposures!$W41&amp;"")</f>
        <v/>
      </c>
      <c r="K41" s="20">
        <f>IF(B41="",0,Exposures!$X41)</f>
        <v>0</v>
      </c>
      <c r="L41" s="20">
        <f>IF(B41="",0,Exposures!$Y41)</f>
        <v>0</v>
      </c>
      <c r="M41" s="20" t="str">
        <f>IF(B41="","",Exposures!$AB41)</f>
        <v/>
      </c>
      <c r="N41" s="20" t="str">
        <f>IF(B41="","",Exposures!$AC41)</f>
        <v/>
      </c>
      <c r="O41" s="27" t="str">
        <f>IF(B41="","",Exposures!$Z41)</f>
        <v/>
      </c>
      <c r="P41" s="27" t="str">
        <f>IF(B41="","",Exposures!$AA41)</f>
        <v/>
      </c>
      <c r="Q41" s="20" t="str">
        <f t="shared" si="3"/>
        <v/>
      </c>
      <c r="R41" s="20" t="str">
        <f>IF(A41="","",IF(J41&lt;&gt;"",J41,IF(H41="TIMESTAMP",DAY(INT(M41/1440))&amp;" "&amp;INDEX(nLIST_Months,MONTH(INT(M41/1440)))&amp;" "&amp;YEAR(INT(M41/1440))&amp;" "&amp;RIGHT("0"&amp;INT(MOD(M41,1440)/60),2)&amp;":"&amp;RIGHT("0"&amp;MOD(M41,60),2)&amp;IF(L41=1," (UTC"&amp;I41&amp;")"," (offset unknown)"),IF(H41="DATE",DAY(O41)&amp;" "&amp;INDEX(nLIST_Months,MONTH(O41))&amp;" "&amp;YEAR(O41),IF(H41="MONTH",INDEX(nLIST_Months,MONTH(O41))&amp;" "&amp;YEAR(O41)&amp;" ("&amp;DAY(O41)&amp;" "&amp;INDEX(nLIST_Months,MONTH(O41))&amp;" "&amp;YEAR(O41)&amp;" to "&amp;DAY(P41)&amp;" "&amp;INDEX(nLIST_Months,MONTH(P41))&amp;" "&amp;YEAR(P41)&amp;")",IF(H41="YEAR",YEAR(O41)&amp;" (1 January to 31 December)",DAY(O41)&amp;" "&amp;INDEX(nLIST_Months,MONTH(O41))&amp;" "&amp;YEAR(O41)&amp;" to "&amp;DAY(P41)&amp;" "&amp;INDEX(nLIST_Months,MONTH(P41))&amp;" "&amp;YEAR(P41)&amp;IF(H41="LAB"," (laboratory-defined)","")))))))</f>
        <v/>
      </c>
      <c r="S41" s="20" t="str">
        <f>IF(B41="","",Exposures!$M41&amp;"")</f>
        <v/>
      </c>
      <c r="T41" s="20" t="str">
        <f>IF(B41="","",Exposures!$V41&amp;"")</f>
        <v/>
      </c>
      <c r="U41" s="20" t="str">
        <f>IF(B41="","","Exposures row "&amp;ROW(Exposures!$A41)&amp;", Start")</f>
        <v/>
      </c>
      <c r="V41" s="20">
        <f>IF(A41="",0,COUNTIF(nTP_Key,A41))</f>
        <v>0</v>
      </c>
      <c r="W41" s="20">
        <f t="shared" si="4"/>
        <v>0</v>
      </c>
      <c r="X41" s="20">
        <f t="shared" si="5"/>
        <v>0</v>
      </c>
      <c r="Y41" s="20">
        <f t="shared" si="6"/>
        <v>0</v>
      </c>
      <c r="Z41" s="20">
        <f t="shared" si="7"/>
        <v>0</v>
      </c>
      <c r="AA41" s="20">
        <f t="shared" si="8"/>
        <v>37</v>
      </c>
      <c r="AB41" s="20" t="str">
        <f>""</f>
        <v/>
      </c>
      <c r="AC41" s="20" t="str">
        <f>IF(B41="","",Exposures!$F41&amp;"")</f>
        <v/>
      </c>
      <c r="AD41" s="20" t="str">
        <f>IF(B41="","",Exposures!$E41&amp;": Start")</f>
        <v/>
      </c>
      <c r="AE41" s="20">
        <f t="shared" si="9"/>
        <v>0</v>
      </c>
      <c r="AF41" s="20" t="str">
        <f t="shared" si="10"/>
        <v/>
      </c>
      <c r="AG41" s="20">
        <f t="shared" si="11"/>
        <v>0</v>
      </c>
      <c r="AH41" s="20" t="str">
        <f>""</f>
        <v/>
      </c>
    </row>
    <row r="42" spans="1:34" x14ac:dyDescent="0.2">
      <c r="A42" s="20" t="str">
        <f t="shared" si="0"/>
        <v>EX-C28|2|EX-RTX/START</v>
      </c>
      <c r="B42" s="20" t="str">
        <f>IF(AND(Exposures!$D42&lt;&gt;"",COUNTA(Exposures!$N42:$U42)&gt;0),Exposures!$D42&amp;"/START","")</f>
        <v>EX-RTX/START</v>
      </c>
      <c r="C42" s="20" t="str">
        <f t="shared" si="12"/>
        <v>EXPOSURE_START</v>
      </c>
      <c r="D42" s="20" t="str">
        <f>IF(B42="","",Exposures!$A42&amp;"")</f>
        <v>EX-C28</v>
      </c>
      <c r="E42" s="20" t="str">
        <f>IF(B42="","",Exposures!$B42&amp;"")</f>
        <v>2</v>
      </c>
      <c r="F42" s="20" t="str">
        <f t="shared" si="2"/>
        <v>EX-C28|2</v>
      </c>
      <c r="G42" s="20" t="str">
        <f>IF(B42="","",Exposures!$D42&amp;"")</f>
        <v>EX-RTX</v>
      </c>
      <c r="H42" s="20" t="str">
        <f>IF(B42="","",Exposures!$N42&amp;"")</f>
        <v>DATE</v>
      </c>
      <c r="I42" s="20" t="str">
        <f>IF(B42="","",Exposures!$Q42&amp;"")</f>
        <v/>
      </c>
      <c r="J42" s="20" t="str">
        <f>IF(B42="","",Exposures!$W42&amp;"")</f>
        <v/>
      </c>
      <c r="K42" s="20">
        <f>IF(B42="",0,Exposures!$X42)</f>
        <v>0</v>
      </c>
      <c r="L42" s="20">
        <f>IF(B42="",0,Exposures!$Y42)</f>
        <v>0</v>
      </c>
      <c r="M42" s="20" t="str">
        <f>IF(B42="","",Exposures!$AB42)</f>
        <v/>
      </c>
      <c r="N42" s="20" t="str">
        <f>IF(B42="","",Exposures!$AC42)</f>
        <v/>
      </c>
      <c r="O42" s="27">
        <f>IF(B42="","",Exposures!$Z42)</f>
        <v>45614</v>
      </c>
      <c r="P42" s="27">
        <f>IF(B42="","",Exposures!$AA42)</f>
        <v>45614</v>
      </c>
      <c r="Q42" s="20" t="str">
        <f t="shared" si="3"/>
        <v>2024-11-18</v>
      </c>
      <c r="R42" s="20" t="str">
        <f>IF(A42="","",IF(J42&lt;&gt;"",J42,IF(H42="TIMESTAMP",DAY(INT(M42/1440))&amp;" "&amp;INDEX(nLIST_Months,MONTH(INT(M42/1440)))&amp;" "&amp;YEAR(INT(M42/1440))&amp;" "&amp;RIGHT("0"&amp;INT(MOD(M42,1440)/60),2)&amp;":"&amp;RIGHT("0"&amp;MOD(M42,60),2)&amp;IF(L42=1," (UTC"&amp;I42&amp;")"," (offset unknown)"),IF(H42="DATE",DAY(O42)&amp;" "&amp;INDEX(nLIST_Months,MONTH(O42))&amp;" "&amp;YEAR(O42),IF(H42="MONTH",INDEX(nLIST_Months,MONTH(O42))&amp;" "&amp;YEAR(O42)&amp;" ("&amp;DAY(O42)&amp;" "&amp;INDEX(nLIST_Months,MONTH(O42))&amp;" "&amp;YEAR(O42)&amp;" to "&amp;DAY(P42)&amp;" "&amp;INDEX(nLIST_Months,MONTH(P42))&amp;" "&amp;YEAR(P42)&amp;")",IF(H42="YEAR",YEAR(O42)&amp;" (1 January to 31 December)",DAY(O42)&amp;" "&amp;INDEX(nLIST_Months,MONTH(O42))&amp;" "&amp;YEAR(O42)&amp;" to "&amp;DAY(P42)&amp;" "&amp;INDEX(nLIST_Months,MONTH(P42))&amp;" "&amp;YEAR(P42)&amp;IF(H42="LAB"," (laboratory-defined)","")))))))</f>
        <v>18 November 2024</v>
      </c>
      <c r="S42" s="20" t="str">
        <f>IF(B42="","",Exposures!$M42&amp;"")</f>
        <v>R-Regimen X x 6, 18/11/2024 to 03/03/2025</v>
      </c>
      <c r="T42" s="20" t="str">
        <f>IF(B42="","",Exposures!$V42&amp;"")</f>
        <v>Hematology summary</v>
      </c>
      <c r="U42" s="20" t="str">
        <f>IF(B42="","","Exposures row "&amp;ROW(Exposures!$A42)&amp;", Start")</f>
        <v>Exposures row 42, Start</v>
      </c>
      <c r="V42" s="20">
        <f>IF(A42="",0,COUNTIF(nTP_Key,A42))</f>
        <v>1</v>
      </c>
      <c r="W42" s="20">
        <f t="shared" si="4"/>
        <v>0</v>
      </c>
      <c r="X42" s="20">
        <f t="shared" si="5"/>
        <v>0</v>
      </c>
      <c r="Y42" s="20">
        <f t="shared" si="6"/>
        <v>45614</v>
      </c>
      <c r="Z42" s="20">
        <f t="shared" si="7"/>
        <v>45614</v>
      </c>
      <c r="AA42" s="20">
        <f t="shared" si="8"/>
        <v>38</v>
      </c>
      <c r="AB42" s="20" t="str">
        <f>""</f>
        <v/>
      </c>
      <c r="AC42" s="20" t="str">
        <f>IF(B42="","",Exposures!$F42&amp;"")</f>
        <v>suspect</v>
      </c>
      <c r="AD42" s="20" t="str">
        <f>IF(B42="","",Exposures!$E42&amp;": Start")</f>
        <v>Rituximab (NHL): Start</v>
      </c>
      <c r="AE42" s="20">
        <f t="shared" si="9"/>
        <v>1</v>
      </c>
      <c r="AF42" s="20" t="str">
        <f t="shared" si="10"/>
        <v>EX-C28|2|EX-RTX</v>
      </c>
      <c r="AG42" s="20">
        <f t="shared" si="11"/>
        <v>1</v>
      </c>
      <c r="AH42" s="20" t="str">
        <f>""</f>
        <v/>
      </c>
    </row>
    <row r="43" spans="1:34" x14ac:dyDescent="0.2">
      <c r="A43" s="20" t="str">
        <f t="shared" si="0"/>
        <v>EX-C28|2|EX-RX/START</v>
      </c>
      <c r="B43" s="20" t="str">
        <f>IF(AND(Exposures!$D43&lt;&gt;"",COUNTA(Exposures!$N43:$U43)&gt;0),Exposures!$D43&amp;"/START","")</f>
        <v>EX-RX/START</v>
      </c>
      <c r="C43" s="20" t="str">
        <f t="shared" si="12"/>
        <v>EXPOSURE_START</v>
      </c>
      <c r="D43" s="20" t="str">
        <f>IF(B43="","",Exposures!$A43&amp;"")</f>
        <v>EX-C28</v>
      </c>
      <c r="E43" s="20" t="str">
        <f>IF(B43="","",Exposures!$B43&amp;"")</f>
        <v>2</v>
      </c>
      <c r="F43" s="20" t="str">
        <f t="shared" si="2"/>
        <v>EX-C28|2</v>
      </c>
      <c r="G43" s="20" t="str">
        <f>IF(B43="","",Exposures!$D43&amp;"")</f>
        <v>EX-RX</v>
      </c>
      <c r="H43" s="20" t="str">
        <f>IF(B43="","",Exposures!$N43&amp;"")</f>
        <v>DATE</v>
      </c>
      <c r="I43" s="20" t="str">
        <f>IF(B43="","",Exposures!$Q43&amp;"")</f>
        <v/>
      </c>
      <c r="J43" s="20" t="str">
        <f>IF(B43="","",Exposures!$W43&amp;"")</f>
        <v/>
      </c>
      <c r="K43" s="20">
        <f>IF(B43="",0,Exposures!$X43)</f>
        <v>0</v>
      </c>
      <c r="L43" s="20">
        <f>IF(B43="",0,Exposures!$Y43)</f>
        <v>0</v>
      </c>
      <c r="M43" s="20" t="str">
        <f>IF(B43="","",Exposures!$AB43)</f>
        <v/>
      </c>
      <c r="N43" s="20" t="str">
        <f>IF(B43="","",Exposures!$AC43)</f>
        <v/>
      </c>
      <c r="O43" s="27">
        <f>IF(B43="","",Exposures!$Z43)</f>
        <v>45614</v>
      </c>
      <c r="P43" s="27">
        <f>IF(B43="","",Exposures!$AA43)</f>
        <v>45614</v>
      </c>
      <c r="Q43" s="20" t="str">
        <f t="shared" si="3"/>
        <v>2024-11-18</v>
      </c>
      <c r="R43" s="20" t="str">
        <f>IF(A43="","",IF(J43&lt;&gt;"",J43,IF(H43="TIMESTAMP",DAY(INT(M43/1440))&amp;" "&amp;INDEX(nLIST_Months,MONTH(INT(M43/1440)))&amp;" "&amp;YEAR(INT(M43/1440))&amp;" "&amp;RIGHT("0"&amp;INT(MOD(M43,1440)/60),2)&amp;":"&amp;RIGHT("0"&amp;MOD(M43,60),2)&amp;IF(L43=1," (UTC"&amp;I43&amp;")"," (offset unknown)"),IF(H43="DATE",DAY(O43)&amp;" "&amp;INDEX(nLIST_Months,MONTH(O43))&amp;" "&amp;YEAR(O43),IF(H43="MONTH",INDEX(nLIST_Months,MONTH(O43))&amp;" "&amp;YEAR(O43)&amp;" ("&amp;DAY(O43)&amp;" "&amp;INDEX(nLIST_Months,MONTH(O43))&amp;" "&amp;YEAR(O43)&amp;" to "&amp;DAY(P43)&amp;" "&amp;INDEX(nLIST_Months,MONTH(P43))&amp;" "&amp;YEAR(P43)&amp;")",IF(H43="YEAR",YEAR(O43)&amp;" (1 January to 31 December)",DAY(O43)&amp;" "&amp;INDEX(nLIST_Months,MONTH(O43))&amp;" "&amp;YEAR(O43)&amp;" to "&amp;DAY(P43)&amp;" "&amp;INDEX(nLIST_Months,MONTH(P43))&amp;" "&amp;YEAR(P43)&amp;IF(H43="LAB"," (laboratory-defined)","")))))))</f>
        <v>18 November 2024</v>
      </c>
      <c r="S43" s="20" t="str">
        <f>IF(B43="","",Exposures!$M43&amp;"")</f>
        <v>same cycles as rituximab</v>
      </c>
      <c r="T43" s="20" t="str">
        <f>IF(B43="","",Exposures!$V43&amp;"")</f>
        <v>Hematology summary</v>
      </c>
      <c r="U43" s="20" t="str">
        <f>IF(B43="","","Exposures row "&amp;ROW(Exposures!$A43)&amp;", Start")</f>
        <v>Exposures row 43, Start</v>
      </c>
      <c r="V43" s="20">
        <f>IF(A43="",0,COUNTIF(nTP_Key,A43))</f>
        <v>1</v>
      </c>
      <c r="W43" s="20">
        <f t="shared" si="4"/>
        <v>0</v>
      </c>
      <c r="X43" s="20">
        <f t="shared" si="5"/>
        <v>0</v>
      </c>
      <c r="Y43" s="20">
        <f t="shared" si="6"/>
        <v>45614</v>
      </c>
      <c r="Z43" s="20">
        <f t="shared" si="7"/>
        <v>45614</v>
      </c>
      <c r="AA43" s="20">
        <f t="shared" si="8"/>
        <v>39</v>
      </c>
      <c r="AB43" s="20" t="str">
        <f>""</f>
        <v/>
      </c>
      <c r="AC43" s="20" t="str">
        <f>IF(B43="","",Exposures!$F43&amp;"")</f>
        <v>concomitant</v>
      </c>
      <c r="AD43" s="20" t="str">
        <f>IF(B43="","",Exposures!$E43&amp;": Start")</f>
        <v>Regimen X (placeholder; includes a glucocorticoid): Start</v>
      </c>
      <c r="AE43" s="20">
        <f t="shared" si="9"/>
        <v>1</v>
      </c>
      <c r="AF43" s="20" t="str">
        <f t="shared" si="10"/>
        <v>EX-C28|2|EX-RX</v>
      </c>
      <c r="AG43" s="20">
        <f t="shared" si="11"/>
        <v>1</v>
      </c>
      <c r="AH43" s="20" t="str">
        <f>""</f>
        <v/>
      </c>
    </row>
    <row r="44" spans="1:34" x14ac:dyDescent="0.2">
      <c r="A44" s="20" t="str">
        <f t="shared" si="0"/>
        <v>EX-C28|2|EX-AVA/START</v>
      </c>
      <c r="B44" s="20" t="str">
        <f>IF(AND(Exposures!$D44&lt;&gt;"",COUNTA(Exposures!$N44:$U44)&gt;0),Exposures!$D44&amp;"/START","")</f>
        <v>EX-AVA/START</v>
      </c>
      <c r="C44" s="20" t="str">
        <f t="shared" si="12"/>
        <v>EXPOSURE_START</v>
      </c>
      <c r="D44" s="20" t="str">
        <f>IF(B44="","",Exposures!$A44&amp;"")</f>
        <v>EX-C28</v>
      </c>
      <c r="E44" s="20" t="str">
        <f>IF(B44="","",Exposures!$B44&amp;"")</f>
        <v>2</v>
      </c>
      <c r="F44" s="20" t="str">
        <f t="shared" si="2"/>
        <v>EX-C28|2</v>
      </c>
      <c r="G44" s="20" t="str">
        <f>IF(B44="","",Exposures!$D44&amp;"")</f>
        <v>EX-AVA</v>
      </c>
      <c r="H44" s="20" t="str">
        <f>IF(B44="","",Exposures!$N44&amp;"")</f>
        <v>DATE</v>
      </c>
      <c r="I44" s="20" t="str">
        <f>IF(B44="","",Exposures!$Q44&amp;"")</f>
        <v/>
      </c>
      <c r="J44" s="20" t="str">
        <f>IF(B44="","",Exposures!$W44&amp;"")</f>
        <v/>
      </c>
      <c r="K44" s="20">
        <f>IF(B44="",0,Exposures!$X44)</f>
        <v>0</v>
      </c>
      <c r="L44" s="20">
        <f>IF(B44="",0,Exposures!$Y44)</f>
        <v>0</v>
      </c>
      <c r="M44" s="20" t="str">
        <f>IF(B44="","",Exposures!$AB44)</f>
        <v/>
      </c>
      <c r="N44" s="20" t="str">
        <f>IF(B44="","",Exposures!$AC44)</f>
        <v/>
      </c>
      <c r="O44" s="27">
        <f>IF(B44="","",Exposures!$Z44)</f>
        <v>45607</v>
      </c>
      <c r="P44" s="27">
        <f>IF(B44="","",Exposures!$AA44)</f>
        <v>45607</v>
      </c>
      <c r="Q44" s="20" t="str">
        <f t="shared" si="3"/>
        <v>2024-11-11</v>
      </c>
      <c r="R44" s="20" t="str">
        <f>IF(A44="","",IF(J44&lt;&gt;"",J44,IF(H44="TIMESTAMP",DAY(INT(M44/1440))&amp;" "&amp;INDEX(nLIST_Months,MONTH(INT(M44/1440)))&amp;" "&amp;YEAR(INT(M44/1440))&amp;" "&amp;RIGHT("0"&amp;INT(MOD(M44,1440)/60),2)&amp;":"&amp;RIGHT("0"&amp;MOD(M44,60),2)&amp;IF(L44=1," (UTC"&amp;I44&amp;")"," (offset unknown)"),IF(H44="DATE",DAY(O44)&amp;" "&amp;INDEX(nLIST_Months,MONTH(O44))&amp;" "&amp;YEAR(O44),IF(H44="MONTH",INDEX(nLIST_Months,MONTH(O44))&amp;" "&amp;YEAR(O44)&amp;" ("&amp;DAY(O44)&amp;" "&amp;INDEX(nLIST_Months,MONTH(O44))&amp;" "&amp;YEAR(O44)&amp;" to "&amp;DAY(P44)&amp;" "&amp;INDEX(nLIST_Months,MONTH(P44))&amp;" "&amp;YEAR(P44)&amp;")",IF(H44="YEAR",YEAR(O44)&amp;" (1 January to 31 December)",DAY(O44)&amp;" "&amp;INDEX(nLIST_Months,MONTH(O44))&amp;" "&amp;YEAR(O44)&amp;" to "&amp;DAY(P44)&amp;" "&amp;INDEX(nLIST_Months,MONTH(P44))&amp;" "&amp;YEAR(P44)&amp;IF(H44="LAB"," (laboratory-defined)","")))))))</f>
        <v>11 November 2024</v>
      </c>
      <c r="S44" s="20" t="str">
        <f>IF(B44="","",Exposures!$M44&amp;"")</f>
        <v>Antiviral A prophylaxis 11/11/2024 to 03/09/2025</v>
      </c>
      <c r="T44" s="20" t="str">
        <f>IF(B44="","",Exposures!$V44&amp;"")</f>
        <v>Hematology summary</v>
      </c>
      <c r="U44" s="20" t="str">
        <f>IF(B44="","","Exposures row "&amp;ROW(Exposures!$A44)&amp;", Start")</f>
        <v>Exposures row 44, Start</v>
      </c>
      <c r="V44" s="20">
        <f>IF(A44="",0,COUNTIF(nTP_Key,A44))</f>
        <v>1</v>
      </c>
      <c r="W44" s="20">
        <f t="shared" si="4"/>
        <v>0</v>
      </c>
      <c r="X44" s="20">
        <f t="shared" si="5"/>
        <v>0</v>
      </c>
      <c r="Y44" s="20">
        <f t="shared" si="6"/>
        <v>45607</v>
      </c>
      <c r="Z44" s="20">
        <f t="shared" si="7"/>
        <v>45607</v>
      </c>
      <c r="AA44" s="20">
        <f t="shared" si="8"/>
        <v>40</v>
      </c>
      <c r="AB44" s="20" t="str">
        <f>""</f>
        <v/>
      </c>
      <c r="AC44" s="20" t="str">
        <f>IF(B44="","",Exposures!$F44&amp;"")</f>
        <v>prophylaxis</v>
      </c>
      <c r="AD44" s="20" t="str">
        <f>IF(B44="","",Exposures!$E44&amp;": Start")</f>
        <v>Antiviral A (placeholder), prophylaxis: Start</v>
      </c>
      <c r="AE44" s="20">
        <f t="shared" si="9"/>
        <v>1</v>
      </c>
      <c r="AF44" s="20" t="str">
        <f t="shared" si="10"/>
        <v>EX-C28|2|EX-AVA</v>
      </c>
      <c r="AG44" s="20">
        <f t="shared" si="11"/>
        <v>1</v>
      </c>
      <c r="AH44" s="20" t="str">
        <f>""</f>
        <v/>
      </c>
    </row>
    <row r="45" spans="1:34" x14ac:dyDescent="0.2">
      <c r="A45" s="20" t="str">
        <f t="shared" si="0"/>
        <v>EX-C28|2|EX-PRED/START</v>
      </c>
      <c r="B45" s="20" t="str">
        <f>IF(AND(Exposures!$D45&lt;&gt;"",COUNTA(Exposures!$N45:$U45)&gt;0),Exposures!$D45&amp;"/START","")</f>
        <v>EX-PRED/START</v>
      </c>
      <c r="C45" s="20" t="str">
        <f t="shared" si="12"/>
        <v>EXPOSURE_START</v>
      </c>
      <c r="D45" s="20" t="str">
        <f>IF(B45="","",Exposures!$A45&amp;"")</f>
        <v>EX-C28</v>
      </c>
      <c r="E45" s="20" t="str">
        <f>IF(B45="","",Exposures!$B45&amp;"")</f>
        <v>2</v>
      </c>
      <c r="F45" s="20" t="str">
        <f t="shared" si="2"/>
        <v>EX-C28|2</v>
      </c>
      <c r="G45" s="20" t="str">
        <f>IF(B45="","",Exposures!$D45&amp;"")</f>
        <v>EX-PRED</v>
      </c>
      <c r="H45" s="20" t="str">
        <f>IF(B45="","",Exposures!$N45&amp;"")</f>
        <v>DATE</v>
      </c>
      <c r="I45" s="20" t="str">
        <f>IF(B45="","",Exposures!$Q45&amp;"")</f>
        <v/>
      </c>
      <c r="J45" s="20" t="str">
        <f>IF(B45="","",Exposures!$W45&amp;"")</f>
        <v/>
      </c>
      <c r="K45" s="20">
        <f>IF(B45="",0,Exposures!$X45)</f>
        <v>0</v>
      </c>
      <c r="L45" s="20">
        <f>IF(B45="",0,Exposures!$Y45)</f>
        <v>0</v>
      </c>
      <c r="M45" s="20" t="str">
        <f>IF(B45="","",Exposures!$AB45)</f>
        <v/>
      </c>
      <c r="N45" s="20" t="str">
        <f>IF(B45="","",Exposures!$AC45)</f>
        <v/>
      </c>
      <c r="O45" s="27">
        <f>IF(B45="","",Exposures!$Z45)</f>
        <v>46083</v>
      </c>
      <c r="P45" s="27">
        <f>IF(B45="","",Exposures!$AA45)</f>
        <v>46083</v>
      </c>
      <c r="Q45" s="20" t="str">
        <f t="shared" si="3"/>
        <v>2026-03-02</v>
      </c>
      <c r="R45" s="20" t="str">
        <f>IF(A45="","",IF(J45&lt;&gt;"",J45,IF(H45="TIMESTAMP",DAY(INT(M45/1440))&amp;" "&amp;INDEX(nLIST_Months,MONTH(INT(M45/1440)))&amp;" "&amp;YEAR(INT(M45/1440))&amp;" "&amp;RIGHT("0"&amp;INT(MOD(M45,1440)/60),2)&amp;":"&amp;RIGHT("0"&amp;MOD(M45,60),2)&amp;IF(L45=1," (UTC"&amp;I45&amp;")"," (offset unknown)"),IF(H45="DATE",DAY(O45)&amp;" "&amp;INDEX(nLIST_Months,MONTH(O45))&amp;" "&amp;YEAR(O45),IF(H45="MONTH",INDEX(nLIST_Months,MONTH(O45))&amp;" "&amp;YEAR(O45)&amp;" ("&amp;DAY(O45)&amp;" "&amp;INDEX(nLIST_Months,MONTH(O45))&amp;" "&amp;YEAR(O45)&amp;" to "&amp;DAY(P45)&amp;" "&amp;INDEX(nLIST_Months,MONTH(P45))&amp;" "&amp;YEAR(P45)&amp;")",IF(H45="YEAR",YEAR(O45)&amp;" (1 January to 31 December)",DAY(O45)&amp;" "&amp;INDEX(nLIST_Months,MONTH(O45))&amp;" "&amp;YEAR(O45)&amp;" to "&amp;DAY(P45)&amp;" "&amp;INDEX(nLIST_Months,MONTH(P45))&amp;" "&amp;YEAR(P45)&amp;IF(H45="LAB"," (laboratory-defined)","")))))))</f>
        <v>2 March 2026</v>
      </c>
      <c r="S45" s="20" t="str">
        <f>IF(B45="","",Exposures!$M45&amp;"")</f>
        <v>10-day oral prednisolone course 02-11/03/2026</v>
      </c>
      <c r="T45" s="20" t="str">
        <f>IF(B45="","",Exposures!$V45&amp;"")</f>
        <v>Hepatology letter</v>
      </c>
      <c r="U45" s="20" t="str">
        <f>IF(B45="","","Exposures row "&amp;ROW(Exposures!$A45)&amp;", Start")</f>
        <v>Exposures row 45, Start</v>
      </c>
      <c r="V45" s="20">
        <f>IF(A45="",0,COUNTIF(nTP_Key,A45))</f>
        <v>1</v>
      </c>
      <c r="W45" s="20">
        <f t="shared" si="4"/>
        <v>0</v>
      </c>
      <c r="X45" s="20">
        <f t="shared" si="5"/>
        <v>0</v>
      </c>
      <c r="Y45" s="20">
        <f t="shared" si="6"/>
        <v>46083</v>
      </c>
      <c r="Z45" s="20">
        <f t="shared" si="7"/>
        <v>46083</v>
      </c>
      <c r="AA45" s="20">
        <f t="shared" si="8"/>
        <v>41</v>
      </c>
      <c r="AB45" s="20" t="str">
        <f>""</f>
        <v/>
      </c>
      <c r="AC45" s="20" t="str">
        <f>IF(B45="","",Exposures!$F45&amp;"")</f>
        <v>concomitant</v>
      </c>
      <c r="AD45" s="20" t="str">
        <f>IF(B45="","",Exposures!$E45&amp;": Start")</f>
        <v>Prednisolone, 10-day oral course: Start</v>
      </c>
      <c r="AE45" s="20">
        <f t="shared" si="9"/>
        <v>1</v>
      </c>
      <c r="AF45" s="20" t="str">
        <f t="shared" si="10"/>
        <v>EX-C28|2|EX-PRED</v>
      </c>
      <c r="AG45" s="20">
        <f t="shared" si="11"/>
        <v>1</v>
      </c>
      <c r="AH45" s="20" t="str">
        <f>""</f>
        <v/>
      </c>
    </row>
    <row r="46" spans="1:34" x14ac:dyDescent="0.2">
      <c r="A46" s="20" t="str">
        <f t="shared" si="0"/>
        <v>EX-C28|2|EX-AVA2/START</v>
      </c>
      <c r="B46" s="20" t="str">
        <f>IF(AND(Exposures!$D46&lt;&gt;"",COUNTA(Exposures!$N46:$U46)&gt;0),Exposures!$D46&amp;"/START","")</f>
        <v>EX-AVA2/START</v>
      </c>
      <c r="C46" s="20" t="str">
        <f t="shared" si="12"/>
        <v>EXPOSURE_START</v>
      </c>
      <c r="D46" s="20" t="str">
        <f>IF(B46="","",Exposures!$A46&amp;"")</f>
        <v>EX-C28</v>
      </c>
      <c r="E46" s="20" t="str">
        <f>IF(B46="","",Exposures!$B46&amp;"")</f>
        <v>2</v>
      </c>
      <c r="F46" s="20" t="str">
        <f t="shared" si="2"/>
        <v>EX-C28|2</v>
      </c>
      <c r="G46" s="20" t="str">
        <f>IF(B46="","",Exposures!$D46&amp;"")</f>
        <v>EX-AVA2</v>
      </c>
      <c r="H46" s="20" t="str">
        <f>IF(B46="","",Exposures!$N46&amp;"")</f>
        <v>DATE</v>
      </c>
      <c r="I46" s="20" t="str">
        <f>IF(B46="","",Exposures!$Q46&amp;"")</f>
        <v/>
      </c>
      <c r="J46" s="20" t="str">
        <f>IF(B46="","",Exposures!$W46&amp;"")</f>
        <v/>
      </c>
      <c r="K46" s="20">
        <f>IF(B46="",0,Exposures!$X46)</f>
        <v>0</v>
      </c>
      <c r="L46" s="20">
        <f>IF(B46="",0,Exposures!$Y46)</f>
        <v>0</v>
      </c>
      <c r="M46" s="20" t="str">
        <f>IF(B46="","",Exposures!$AB46)</f>
        <v/>
      </c>
      <c r="N46" s="20" t="str">
        <f>IF(B46="","",Exposures!$AC46)</f>
        <v/>
      </c>
      <c r="O46" s="27">
        <f>IF(B46="","",Exposures!$Z46)</f>
        <v>46169</v>
      </c>
      <c r="P46" s="27">
        <f>IF(B46="","",Exposures!$AA46)</f>
        <v>46169</v>
      </c>
      <c r="Q46" s="20" t="str">
        <f t="shared" si="3"/>
        <v>2026-05-27</v>
      </c>
      <c r="R46" s="20" t="str">
        <f>IF(A46="","",IF(J46&lt;&gt;"",J46,IF(H46="TIMESTAMP",DAY(INT(M46/1440))&amp;" "&amp;INDEX(nLIST_Months,MONTH(INT(M46/1440)))&amp;" "&amp;YEAR(INT(M46/1440))&amp;" "&amp;RIGHT("0"&amp;INT(MOD(M46,1440)/60),2)&amp;":"&amp;RIGHT("0"&amp;MOD(M46,60),2)&amp;IF(L46=1," (UTC"&amp;I46&amp;")"," (offset unknown)"),IF(H46="DATE",DAY(O46)&amp;" "&amp;INDEX(nLIST_Months,MONTH(O46))&amp;" "&amp;YEAR(O46),IF(H46="MONTH",INDEX(nLIST_Months,MONTH(O46))&amp;" "&amp;YEAR(O46)&amp;" ("&amp;DAY(O46)&amp;" "&amp;INDEX(nLIST_Months,MONTH(O46))&amp;" "&amp;YEAR(O46)&amp;" to "&amp;DAY(P46)&amp;" "&amp;INDEX(nLIST_Months,MONTH(P46))&amp;" "&amp;YEAR(P46)&amp;")",IF(H46="YEAR",YEAR(O46)&amp;" (1 January to 31 December)",DAY(O46)&amp;" "&amp;INDEX(nLIST_Months,MONTH(O46))&amp;" "&amp;YEAR(O46)&amp;" to "&amp;DAY(P46)&amp;" "&amp;INDEX(nLIST_Months,MONTH(P46))&amp;" "&amp;YEAR(P46)&amp;IF(H46="LAB"," (laboratory-defined)","")))))))</f>
        <v>27 May 2026</v>
      </c>
      <c r="S46" s="20" t="str">
        <f>IF(B46="","",Exposures!$M46&amp;"")</f>
        <v>Antiviral A restarted 27/05/2026</v>
      </c>
      <c r="T46" s="20" t="str">
        <f>IF(B46="","",Exposures!$V46&amp;"")</f>
        <v>Hepatology letter</v>
      </c>
      <c r="U46" s="20" t="str">
        <f>IF(B46="","","Exposures row "&amp;ROW(Exposures!$A46)&amp;", Start")</f>
        <v>Exposures row 46, Start</v>
      </c>
      <c r="V46" s="20">
        <f>IF(A46="",0,COUNTIF(nTP_Key,A46))</f>
        <v>1</v>
      </c>
      <c r="W46" s="20">
        <f t="shared" si="4"/>
        <v>0</v>
      </c>
      <c r="X46" s="20">
        <f t="shared" si="5"/>
        <v>0</v>
      </c>
      <c r="Y46" s="20">
        <f t="shared" si="6"/>
        <v>46169</v>
      </c>
      <c r="Z46" s="20">
        <f t="shared" si="7"/>
        <v>46169</v>
      </c>
      <c r="AA46" s="20">
        <f t="shared" si="8"/>
        <v>42</v>
      </c>
      <c r="AB46" s="20" t="str">
        <f>""</f>
        <v/>
      </c>
      <c r="AC46" s="20" t="str">
        <f>IF(B46="","",Exposures!$F46&amp;"")</f>
        <v>treatment of the event</v>
      </c>
      <c r="AD46" s="20" t="str">
        <f>IF(B46="","",Exposures!$E46&amp;": Start")</f>
        <v>Antiviral A, treatment of the event: Start</v>
      </c>
      <c r="AE46" s="20">
        <f t="shared" si="9"/>
        <v>1</v>
      </c>
      <c r="AF46" s="20" t="str">
        <f t="shared" si="10"/>
        <v>EX-C28|2|EX-AVA2</v>
      </c>
      <c r="AG46" s="20">
        <f t="shared" si="11"/>
        <v>1</v>
      </c>
      <c r="AH46" s="20" t="str">
        <f>""</f>
        <v/>
      </c>
    </row>
    <row r="47" spans="1:34" x14ac:dyDescent="0.2">
      <c r="A47" s="20" t="str">
        <f t="shared" si="0"/>
        <v/>
      </c>
      <c r="B47" s="20" t="str">
        <f>IF(AND(Exposures!$D47&lt;&gt;"",COUNTA(Exposures!$N47:$U47)&gt;0),Exposures!$D47&amp;"/START","")</f>
        <v/>
      </c>
      <c r="C47" s="20" t="str">
        <f t="shared" si="12"/>
        <v/>
      </c>
      <c r="D47" s="20" t="str">
        <f>IF(B47="","",Exposures!$A47&amp;"")</f>
        <v/>
      </c>
      <c r="E47" s="20" t="str">
        <f>IF(B47="","",Exposures!$B47&amp;"")</f>
        <v/>
      </c>
      <c r="F47" s="20" t="str">
        <f t="shared" si="2"/>
        <v/>
      </c>
      <c r="G47" s="20" t="str">
        <f>IF(B47="","",Exposures!$D47&amp;"")</f>
        <v/>
      </c>
      <c r="H47" s="20" t="str">
        <f>IF(B47="","",Exposures!$N47&amp;"")</f>
        <v/>
      </c>
      <c r="I47" s="20" t="str">
        <f>IF(B47="","",Exposures!$Q47&amp;"")</f>
        <v/>
      </c>
      <c r="J47" s="20" t="str">
        <f>IF(B47="","",Exposures!$W47&amp;"")</f>
        <v/>
      </c>
      <c r="K47" s="20">
        <f>IF(B47="",0,Exposures!$X47)</f>
        <v>0</v>
      </c>
      <c r="L47" s="20">
        <f>IF(B47="",0,Exposures!$Y47)</f>
        <v>0</v>
      </c>
      <c r="M47" s="20" t="str">
        <f>IF(B47="","",Exposures!$AB47)</f>
        <v/>
      </c>
      <c r="N47" s="20" t="str">
        <f>IF(B47="","",Exposures!$AC47)</f>
        <v/>
      </c>
      <c r="O47" s="27" t="str">
        <f>IF(B47="","",Exposures!$Z47)</f>
        <v/>
      </c>
      <c r="P47" s="27" t="str">
        <f>IF(B47="","",Exposures!$AA47)</f>
        <v/>
      </c>
      <c r="Q47" s="20" t="str">
        <f t="shared" si="3"/>
        <v/>
      </c>
      <c r="R47" s="20" t="str">
        <f>IF(A47="","",IF(J47&lt;&gt;"",J47,IF(H47="TIMESTAMP",DAY(INT(M47/1440))&amp;" "&amp;INDEX(nLIST_Months,MONTH(INT(M47/1440)))&amp;" "&amp;YEAR(INT(M47/1440))&amp;" "&amp;RIGHT("0"&amp;INT(MOD(M47,1440)/60),2)&amp;":"&amp;RIGHT("0"&amp;MOD(M47,60),2)&amp;IF(L47=1," (UTC"&amp;I47&amp;")"," (offset unknown)"),IF(H47="DATE",DAY(O47)&amp;" "&amp;INDEX(nLIST_Months,MONTH(O47))&amp;" "&amp;YEAR(O47),IF(H47="MONTH",INDEX(nLIST_Months,MONTH(O47))&amp;" "&amp;YEAR(O47)&amp;" ("&amp;DAY(O47)&amp;" "&amp;INDEX(nLIST_Months,MONTH(O47))&amp;" "&amp;YEAR(O47)&amp;" to "&amp;DAY(P47)&amp;" "&amp;INDEX(nLIST_Months,MONTH(P47))&amp;" "&amp;YEAR(P47)&amp;")",IF(H47="YEAR",YEAR(O47)&amp;" (1 January to 31 December)",DAY(O47)&amp;" "&amp;INDEX(nLIST_Months,MONTH(O47))&amp;" "&amp;YEAR(O47)&amp;" to "&amp;DAY(P47)&amp;" "&amp;INDEX(nLIST_Months,MONTH(P47))&amp;" "&amp;YEAR(P47)&amp;IF(H47="LAB"," (laboratory-defined)","")))))))</f>
        <v/>
      </c>
      <c r="S47" s="20" t="str">
        <f>IF(B47="","",Exposures!$M47&amp;"")</f>
        <v/>
      </c>
      <c r="T47" s="20" t="str">
        <f>IF(B47="","",Exposures!$V47&amp;"")</f>
        <v/>
      </c>
      <c r="U47" s="20" t="str">
        <f>IF(B47="","","Exposures row "&amp;ROW(Exposures!$A47)&amp;", Start")</f>
        <v/>
      </c>
      <c r="V47" s="20">
        <f>IF(A47="",0,COUNTIF(nTP_Key,A47))</f>
        <v>0</v>
      </c>
      <c r="W47" s="20">
        <f t="shared" si="4"/>
        <v>0</v>
      </c>
      <c r="X47" s="20">
        <f t="shared" si="5"/>
        <v>0</v>
      </c>
      <c r="Y47" s="20">
        <f t="shared" si="6"/>
        <v>0</v>
      </c>
      <c r="Z47" s="20">
        <f t="shared" si="7"/>
        <v>0</v>
      </c>
      <c r="AA47" s="20">
        <f t="shared" si="8"/>
        <v>43</v>
      </c>
      <c r="AB47" s="20" t="str">
        <f>""</f>
        <v/>
      </c>
      <c r="AC47" s="20" t="str">
        <f>IF(B47="","",Exposures!$F47&amp;"")</f>
        <v/>
      </c>
      <c r="AD47" s="20" t="str">
        <f>IF(B47="","",Exposures!$E47&amp;": Start")</f>
        <v/>
      </c>
      <c r="AE47" s="20">
        <f t="shared" si="9"/>
        <v>0</v>
      </c>
      <c r="AF47" s="20" t="str">
        <f t="shared" si="10"/>
        <v/>
      </c>
      <c r="AG47" s="20">
        <f t="shared" si="11"/>
        <v>0</v>
      </c>
      <c r="AH47" s="20" t="str">
        <f>""</f>
        <v/>
      </c>
    </row>
    <row r="48" spans="1:34" x14ac:dyDescent="0.2">
      <c r="A48" s="20" t="str">
        <f t="shared" si="0"/>
        <v>VEC-V01|1|EX1/START</v>
      </c>
      <c r="B48" s="20" t="str">
        <f>IF(AND(Exposures!$D48&lt;&gt;"",COUNTA(Exposures!$N48:$U48)&gt;0),Exposures!$D48&amp;"/START","")</f>
        <v>EX1/START</v>
      </c>
      <c r="C48" s="20" t="str">
        <f t="shared" si="12"/>
        <v>EXPOSURE_START</v>
      </c>
      <c r="D48" s="20" t="str">
        <f>IF(B48="","",Exposures!$A48&amp;"")</f>
        <v>VEC-V01</v>
      </c>
      <c r="E48" s="20" t="str">
        <f>IF(B48="","",Exposures!$B48&amp;"")</f>
        <v>1</v>
      </c>
      <c r="F48" s="20" t="str">
        <f t="shared" si="2"/>
        <v>VEC-V01|1</v>
      </c>
      <c r="G48" s="20" t="str">
        <f>IF(B48="","",Exposures!$D48&amp;"")</f>
        <v>EX1</v>
      </c>
      <c r="H48" s="20" t="str">
        <f>IF(B48="","",Exposures!$N48&amp;"")</f>
        <v>TIMESTAMP</v>
      </c>
      <c r="I48" s="20" t="str">
        <f>IF(B48="","",Exposures!$Q48&amp;"")</f>
        <v>-05:00</v>
      </c>
      <c r="J48" s="20" t="str">
        <f>IF(B48="","",Exposures!$W48&amp;"")</f>
        <v/>
      </c>
      <c r="K48" s="20">
        <f>IF(B48="",0,Exposures!$X48)</f>
        <v>1</v>
      </c>
      <c r="L48" s="20">
        <f>IF(B48="",0,Exposures!$Y48)</f>
        <v>1</v>
      </c>
      <c r="M48" s="20">
        <f>IF(B48="","",Exposures!$AB48)</f>
        <v>66286620</v>
      </c>
      <c r="N48" s="20">
        <f>IF(B48="","",Exposures!$AC48)</f>
        <v>66286920</v>
      </c>
      <c r="O48" s="27">
        <f>IF(B48="","",Exposures!$Z48)</f>
        <v>46032</v>
      </c>
      <c r="P48" s="27">
        <f>IF(B48="","",Exposures!$AA48)</f>
        <v>46032</v>
      </c>
      <c r="Q48" s="20" t="str">
        <f t="shared" si="3"/>
        <v>2026-01-10T09:00-05:00</v>
      </c>
      <c r="R48" s="20" t="str">
        <f>IF(A48="","",IF(J48&lt;&gt;"",J48,IF(H48="TIMESTAMP",DAY(INT(M48/1440))&amp;" "&amp;INDEX(nLIST_Months,MONTH(INT(M48/1440)))&amp;" "&amp;YEAR(INT(M48/1440))&amp;" "&amp;RIGHT("0"&amp;INT(MOD(M48,1440)/60),2)&amp;":"&amp;RIGHT("0"&amp;MOD(M48,60),2)&amp;IF(L48=1," (UTC"&amp;I48&amp;")"," (offset unknown)"),IF(H48="DATE",DAY(O48)&amp;" "&amp;INDEX(nLIST_Months,MONTH(O48))&amp;" "&amp;YEAR(O48),IF(H48="MONTH",INDEX(nLIST_Months,MONTH(O48))&amp;" "&amp;YEAR(O48)&amp;" ("&amp;DAY(O48)&amp;" "&amp;INDEX(nLIST_Months,MONTH(O48))&amp;" "&amp;YEAR(O48)&amp;" to "&amp;DAY(P48)&amp;" "&amp;INDEX(nLIST_Months,MONTH(P48))&amp;" "&amp;YEAR(P48)&amp;")",IF(H48="YEAR",YEAR(O48)&amp;" (1 January to 31 December)",DAY(O48)&amp;" "&amp;INDEX(nLIST_Months,MONTH(O48))&amp;" "&amp;YEAR(O48)&amp;" to "&amp;DAY(P48)&amp;" "&amp;INDEX(nLIST_Months,MONTH(P48))&amp;" "&amp;YEAR(P48)&amp;IF(H48="LAB"," (laboratory-defined)","")))))))</f>
        <v>10 January 2026 09:00 (UTC-05:00)</v>
      </c>
      <c r="S48" s="20" t="str">
        <f>IF(B48="","",Exposures!$M48&amp;"")</f>
        <v>2026-01-10T09:00-05:00</v>
      </c>
      <c r="T48" s="20" t="str">
        <f>IF(B48="","",Exposures!$V48&amp;"")</f>
        <v>tto_calc_test_vectors_v1.1.json V01</v>
      </c>
      <c r="U48" s="20" t="str">
        <f>IF(B48="","","Exposures row "&amp;ROW(Exposures!$A48)&amp;", Start")</f>
        <v>Exposures row 48, Start</v>
      </c>
      <c r="V48" s="20">
        <f>IF(A48="",0,COUNTIF(nTP_Key,A48))</f>
        <v>1</v>
      </c>
      <c r="W48" s="20">
        <f t="shared" si="4"/>
        <v>66286620</v>
      </c>
      <c r="X48" s="20">
        <f t="shared" si="5"/>
        <v>66286920</v>
      </c>
      <c r="Y48" s="20">
        <f t="shared" si="6"/>
        <v>46032</v>
      </c>
      <c r="Z48" s="20">
        <f t="shared" si="7"/>
        <v>46032</v>
      </c>
      <c r="AA48" s="20">
        <f t="shared" si="8"/>
        <v>44</v>
      </c>
      <c r="AB48" s="20" t="str">
        <f>""</f>
        <v/>
      </c>
      <c r="AC48" s="20" t="str">
        <f>IF(B48="","",Exposures!$F48&amp;"")</f>
        <v/>
      </c>
      <c r="AD48" s="20" t="str">
        <f>IF(B48="","",Exposures!$E48&amp;": Start")</f>
        <v>Vector drug: Start</v>
      </c>
      <c r="AE48" s="20">
        <f t="shared" si="9"/>
        <v>1</v>
      </c>
      <c r="AF48" s="20" t="str">
        <f t="shared" si="10"/>
        <v>VEC-V01|1|EX1</v>
      </c>
      <c r="AG48" s="20">
        <f t="shared" si="11"/>
        <v>1</v>
      </c>
      <c r="AH48" s="20" t="str">
        <f>""</f>
        <v/>
      </c>
    </row>
    <row r="49" spans="1:34" x14ac:dyDescent="0.2">
      <c r="A49" s="20" t="str">
        <f t="shared" si="0"/>
        <v>VEC-V02|1|EX1/START</v>
      </c>
      <c r="B49" s="20" t="str">
        <f>IF(AND(Exposures!$D49&lt;&gt;"",COUNTA(Exposures!$N49:$U49)&gt;0),Exposures!$D49&amp;"/START","")</f>
        <v>EX1/START</v>
      </c>
      <c r="C49" s="20" t="str">
        <f t="shared" si="12"/>
        <v>EXPOSURE_START</v>
      </c>
      <c r="D49" s="20" t="str">
        <f>IF(B49="","",Exposures!$A49&amp;"")</f>
        <v>VEC-V02</v>
      </c>
      <c r="E49" s="20" t="str">
        <f>IF(B49="","",Exposures!$B49&amp;"")</f>
        <v>1</v>
      </c>
      <c r="F49" s="20" t="str">
        <f t="shared" si="2"/>
        <v>VEC-V02|1</v>
      </c>
      <c r="G49" s="20" t="str">
        <f>IF(B49="","",Exposures!$D49&amp;"")</f>
        <v>EX1</v>
      </c>
      <c r="H49" s="20" t="str">
        <f>IF(B49="","",Exposures!$N49&amp;"")</f>
        <v>DATE</v>
      </c>
      <c r="I49" s="20" t="str">
        <f>IF(B49="","",Exposures!$Q49&amp;"")</f>
        <v/>
      </c>
      <c r="J49" s="20" t="str">
        <f>IF(B49="","",Exposures!$W49&amp;"")</f>
        <v/>
      </c>
      <c r="K49" s="20">
        <f>IF(B49="",0,Exposures!$X49)</f>
        <v>0</v>
      </c>
      <c r="L49" s="20">
        <f>IF(B49="",0,Exposures!$Y49)</f>
        <v>0</v>
      </c>
      <c r="M49" s="20" t="str">
        <f>IF(B49="","",Exposures!$AB49)</f>
        <v/>
      </c>
      <c r="N49" s="20" t="str">
        <f>IF(B49="","",Exposures!$AC49)</f>
        <v/>
      </c>
      <c r="O49" s="27">
        <f>IF(B49="","",Exposures!$Z49)</f>
        <v>46023</v>
      </c>
      <c r="P49" s="27">
        <f>IF(B49="","",Exposures!$AA49)</f>
        <v>46023</v>
      </c>
      <c r="Q49" s="20" t="str">
        <f t="shared" si="3"/>
        <v>2026-01-01</v>
      </c>
      <c r="R49" s="20" t="str">
        <f>IF(A49="","",IF(J49&lt;&gt;"",J49,IF(H49="TIMESTAMP",DAY(INT(M49/1440))&amp;" "&amp;INDEX(nLIST_Months,MONTH(INT(M49/1440)))&amp;" "&amp;YEAR(INT(M49/1440))&amp;" "&amp;RIGHT("0"&amp;INT(MOD(M49,1440)/60),2)&amp;":"&amp;RIGHT("0"&amp;MOD(M49,60),2)&amp;IF(L49=1," (UTC"&amp;I49&amp;")"," (offset unknown)"),IF(H49="DATE",DAY(O49)&amp;" "&amp;INDEX(nLIST_Months,MONTH(O49))&amp;" "&amp;YEAR(O49),IF(H49="MONTH",INDEX(nLIST_Months,MONTH(O49))&amp;" "&amp;YEAR(O49)&amp;" ("&amp;DAY(O49)&amp;" "&amp;INDEX(nLIST_Months,MONTH(O49))&amp;" "&amp;YEAR(O49)&amp;" to "&amp;DAY(P49)&amp;" "&amp;INDEX(nLIST_Months,MONTH(P49))&amp;" "&amp;YEAR(P49)&amp;")",IF(H49="YEAR",YEAR(O49)&amp;" (1 January to 31 December)",DAY(O49)&amp;" "&amp;INDEX(nLIST_Months,MONTH(O49))&amp;" "&amp;YEAR(O49)&amp;" to "&amp;DAY(P49)&amp;" "&amp;INDEX(nLIST_Months,MONTH(P49))&amp;" "&amp;YEAR(P49)&amp;IF(H49="LAB"," (laboratory-defined)","")))))))</f>
        <v>1 January 2026</v>
      </c>
      <c r="S49" s="20" t="str">
        <f>IF(B49="","",Exposures!$M49&amp;"")</f>
        <v>2026-01-01</v>
      </c>
      <c r="T49" s="20" t="str">
        <f>IF(B49="","",Exposures!$V49&amp;"")</f>
        <v>tto_calc_test_vectors_v1.1.json V02</v>
      </c>
      <c r="U49" s="20" t="str">
        <f>IF(B49="","","Exposures row "&amp;ROW(Exposures!$A49)&amp;", Start")</f>
        <v>Exposures row 49, Start</v>
      </c>
      <c r="V49" s="20">
        <f>IF(A49="",0,COUNTIF(nTP_Key,A49))</f>
        <v>1</v>
      </c>
      <c r="W49" s="20">
        <f t="shared" si="4"/>
        <v>0</v>
      </c>
      <c r="X49" s="20">
        <f t="shared" si="5"/>
        <v>0</v>
      </c>
      <c r="Y49" s="20">
        <f t="shared" si="6"/>
        <v>46023</v>
      </c>
      <c r="Z49" s="20">
        <f t="shared" si="7"/>
        <v>46023</v>
      </c>
      <c r="AA49" s="20">
        <f t="shared" si="8"/>
        <v>45</v>
      </c>
      <c r="AB49" s="20" t="str">
        <f>""</f>
        <v/>
      </c>
      <c r="AC49" s="20" t="str">
        <f>IF(B49="","",Exposures!$F49&amp;"")</f>
        <v/>
      </c>
      <c r="AD49" s="20" t="str">
        <f>IF(B49="","",Exposures!$E49&amp;": Start")</f>
        <v>Vector drug: Start</v>
      </c>
      <c r="AE49" s="20">
        <f t="shared" si="9"/>
        <v>1</v>
      </c>
      <c r="AF49" s="20" t="str">
        <f t="shared" si="10"/>
        <v>VEC-V02|1|EX1</v>
      </c>
      <c r="AG49" s="20">
        <f t="shared" si="11"/>
        <v>1</v>
      </c>
      <c r="AH49" s="20" t="str">
        <f>""</f>
        <v/>
      </c>
    </row>
    <row r="50" spans="1:34" x14ac:dyDescent="0.2">
      <c r="A50" s="20" t="str">
        <f t="shared" si="0"/>
        <v>VEC-V03|1|EX1/START</v>
      </c>
      <c r="B50" s="20" t="str">
        <f>IF(AND(Exposures!$D50&lt;&gt;"",COUNTA(Exposures!$N50:$U50)&gt;0),Exposures!$D50&amp;"/START","")</f>
        <v>EX1/START</v>
      </c>
      <c r="C50" s="20" t="str">
        <f t="shared" si="12"/>
        <v>EXPOSURE_START</v>
      </c>
      <c r="D50" s="20" t="str">
        <f>IF(B50="","",Exposures!$A50&amp;"")</f>
        <v>VEC-V03</v>
      </c>
      <c r="E50" s="20" t="str">
        <f>IF(B50="","",Exposures!$B50&amp;"")</f>
        <v>1</v>
      </c>
      <c r="F50" s="20" t="str">
        <f t="shared" si="2"/>
        <v>VEC-V03|1</v>
      </c>
      <c r="G50" s="20" t="str">
        <f>IF(B50="","",Exposures!$D50&amp;"")</f>
        <v>EX1</v>
      </c>
      <c r="H50" s="20" t="str">
        <f>IF(B50="","",Exposures!$N50&amp;"")</f>
        <v>DATE</v>
      </c>
      <c r="I50" s="20" t="str">
        <f>IF(B50="","",Exposures!$Q50&amp;"")</f>
        <v/>
      </c>
      <c r="J50" s="20" t="str">
        <f>IF(B50="","",Exposures!$W50&amp;"")</f>
        <v/>
      </c>
      <c r="K50" s="20">
        <f>IF(B50="",0,Exposures!$X50)</f>
        <v>0</v>
      </c>
      <c r="L50" s="20">
        <f>IF(B50="",0,Exposures!$Y50)</f>
        <v>0</v>
      </c>
      <c r="M50" s="20" t="str">
        <f>IF(B50="","",Exposures!$AB50)</f>
        <v/>
      </c>
      <c r="N50" s="20" t="str">
        <f>IF(B50="","",Exposures!$AC50)</f>
        <v/>
      </c>
      <c r="O50" s="27">
        <f>IF(B50="","",Exposures!$Z50)</f>
        <v>46027</v>
      </c>
      <c r="P50" s="27">
        <f>IF(B50="","",Exposures!$AA50)</f>
        <v>46027</v>
      </c>
      <c r="Q50" s="20" t="str">
        <f t="shared" si="3"/>
        <v>2026-01-05</v>
      </c>
      <c r="R50" s="20" t="str">
        <f>IF(A50="","",IF(J50&lt;&gt;"",J50,IF(H50="TIMESTAMP",DAY(INT(M50/1440))&amp;" "&amp;INDEX(nLIST_Months,MONTH(INT(M50/1440)))&amp;" "&amp;YEAR(INT(M50/1440))&amp;" "&amp;RIGHT("0"&amp;INT(MOD(M50,1440)/60),2)&amp;":"&amp;RIGHT("0"&amp;MOD(M50,60),2)&amp;IF(L50=1," (UTC"&amp;I50&amp;")"," (offset unknown)"),IF(H50="DATE",DAY(O50)&amp;" "&amp;INDEX(nLIST_Months,MONTH(O50))&amp;" "&amp;YEAR(O50),IF(H50="MONTH",INDEX(nLIST_Months,MONTH(O50))&amp;" "&amp;YEAR(O50)&amp;" ("&amp;DAY(O50)&amp;" "&amp;INDEX(nLIST_Months,MONTH(O50))&amp;" "&amp;YEAR(O50)&amp;" to "&amp;DAY(P50)&amp;" "&amp;INDEX(nLIST_Months,MONTH(P50))&amp;" "&amp;YEAR(P50)&amp;")",IF(H50="YEAR",YEAR(O50)&amp;" (1 January to 31 December)",DAY(O50)&amp;" "&amp;INDEX(nLIST_Months,MONTH(O50))&amp;" "&amp;YEAR(O50)&amp;" to "&amp;DAY(P50)&amp;" "&amp;INDEX(nLIST_Months,MONTH(P50))&amp;" "&amp;YEAR(P50)&amp;IF(H50="LAB"," (laboratory-defined)","")))))))</f>
        <v>5 January 2026</v>
      </c>
      <c r="S50" s="20" t="str">
        <f>IF(B50="","",Exposures!$M50&amp;"")</f>
        <v>2026-01-05</v>
      </c>
      <c r="T50" s="20" t="str">
        <f>IF(B50="","",Exposures!$V50&amp;"")</f>
        <v>tto_calc_test_vectors_v1.1.json V03</v>
      </c>
      <c r="U50" s="20" t="str">
        <f>IF(B50="","","Exposures row "&amp;ROW(Exposures!$A50)&amp;", Start")</f>
        <v>Exposures row 50, Start</v>
      </c>
      <c r="V50" s="20">
        <f>IF(A50="",0,COUNTIF(nTP_Key,A50))</f>
        <v>1</v>
      </c>
      <c r="W50" s="20">
        <f t="shared" si="4"/>
        <v>0</v>
      </c>
      <c r="X50" s="20">
        <f t="shared" si="5"/>
        <v>0</v>
      </c>
      <c r="Y50" s="20">
        <f t="shared" si="6"/>
        <v>46027</v>
      </c>
      <c r="Z50" s="20">
        <f t="shared" si="7"/>
        <v>46027</v>
      </c>
      <c r="AA50" s="20">
        <f t="shared" si="8"/>
        <v>46</v>
      </c>
      <c r="AB50" s="20" t="str">
        <f>""</f>
        <v/>
      </c>
      <c r="AC50" s="20" t="str">
        <f>IF(B50="","",Exposures!$F50&amp;"")</f>
        <v/>
      </c>
      <c r="AD50" s="20" t="str">
        <f>IF(B50="","",Exposures!$E50&amp;": Start")</f>
        <v>Vector drug: Start</v>
      </c>
      <c r="AE50" s="20">
        <f t="shared" si="9"/>
        <v>1</v>
      </c>
      <c r="AF50" s="20" t="str">
        <f t="shared" si="10"/>
        <v>VEC-V03|1|EX1</v>
      </c>
      <c r="AG50" s="20">
        <f t="shared" si="11"/>
        <v>1</v>
      </c>
      <c r="AH50" s="20" t="str">
        <f>""</f>
        <v/>
      </c>
    </row>
    <row r="51" spans="1:34" x14ac:dyDescent="0.2">
      <c r="A51" s="20" t="str">
        <f t="shared" si="0"/>
        <v>VEC-V04|1|EX1/START</v>
      </c>
      <c r="B51" s="20" t="str">
        <f>IF(AND(Exposures!$D51&lt;&gt;"",COUNTA(Exposures!$N51:$U51)&gt;0),Exposures!$D51&amp;"/START","")</f>
        <v>EX1/START</v>
      </c>
      <c r="C51" s="20" t="str">
        <f t="shared" si="12"/>
        <v>EXPOSURE_START</v>
      </c>
      <c r="D51" s="20" t="str">
        <f>IF(B51="","",Exposures!$A51&amp;"")</f>
        <v>VEC-V04</v>
      </c>
      <c r="E51" s="20" t="str">
        <f>IF(B51="","",Exposures!$B51&amp;"")</f>
        <v>1</v>
      </c>
      <c r="F51" s="20" t="str">
        <f t="shared" si="2"/>
        <v>VEC-V04|1</v>
      </c>
      <c r="G51" s="20" t="str">
        <f>IF(B51="","",Exposures!$D51&amp;"")</f>
        <v>EX1</v>
      </c>
      <c r="H51" s="20" t="str">
        <f>IF(B51="","",Exposures!$N51&amp;"")</f>
        <v>DATE</v>
      </c>
      <c r="I51" s="20" t="str">
        <f>IF(B51="","",Exposures!$Q51&amp;"")</f>
        <v/>
      </c>
      <c r="J51" s="20" t="str">
        <f>IF(B51="","",Exposures!$W51&amp;"")</f>
        <v/>
      </c>
      <c r="K51" s="20">
        <f>IF(B51="",0,Exposures!$X51)</f>
        <v>0</v>
      </c>
      <c r="L51" s="20">
        <f>IF(B51="",0,Exposures!$Y51)</f>
        <v>0</v>
      </c>
      <c r="M51" s="20" t="str">
        <f>IF(B51="","",Exposures!$AB51)</f>
        <v/>
      </c>
      <c r="N51" s="20" t="str">
        <f>IF(B51="","",Exposures!$AC51)</f>
        <v/>
      </c>
      <c r="O51" s="27">
        <f>IF(B51="","",Exposures!$Z51)</f>
        <v>45350</v>
      </c>
      <c r="P51" s="27">
        <f>IF(B51="","",Exposures!$AA51)</f>
        <v>45350</v>
      </c>
      <c r="Q51" s="20" t="str">
        <f t="shared" si="3"/>
        <v>2024-02-28</v>
      </c>
      <c r="R51" s="20" t="str">
        <f>IF(A51="","",IF(J51&lt;&gt;"",J51,IF(H51="TIMESTAMP",DAY(INT(M51/1440))&amp;" "&amp;INDEX(nLIST_Months,MONTH(INT(M51/1440)))&amp;" "&amp;YEAR(INT(M51/1440))&amp;" "&amp;RIGHT("0"&amp;INT(MOD(M51,1440)/60),2)&amp;":"&amp;RIGHT("0"&amp;MOD(M51,60),2)&amp;IF(L51=1," (UTC"&amp;I51&amp;")"," (offset unknown)"),IF(H51="DATE",DAY(O51)&amp;" "&amp;INDEX(nLIST_Months,MONTH(O51))&amp;" "&amp;YEAR(O51),IF(H51="MONTH",INDEX(nLIST_Months,MONTH(O51))&amp;" "&amp;YEAR(O51)&amp;" ("&amp;DAY(O51)&amp;" "&amp;INDEX(nLIST_Months,MONTH(O51))&amp;" "&amp;YEAR(O51)&amp;" to "&amp;DAY(P51)&amp;" "&amp;INDEX(nLIST_Months,MONTH(P51))&amp;" "&amp;YEAR(P51)&amp;")",IF(H51="YEAR",YEAR(O51)&amp;" (1 January to 31 December)",DAY(O51)&amp;" "&amp;INDEX(nLIST_Months,MONTH(O51))&amp;" "&amp;YEAR(O51)&amp;" to "&amp;DAY(P51)&amp;" "&amp;INDEX(nLIST_Months,MONTH(P51))&amp;" "&amp;YEAR(P51)&amp;IF(H51="LAB"," (laboratory-defined)","")))))))</f>
        <v>28 February 2024</v>
      </c>
      <c r="S51" s="20" t="str">
        <f>IF(B51="","",Exposures!$M51&amp;"")</f>
        <v>2024-02-28</v>
      </c>
      <c r="T51" s="20" t="str">
        <f>IF(B51="","",Exposures!$V51&amp;"")</f>
        <v>tto_calc_test_vectors_v1.1.json V04</v>
      </c>
      <c r="U51" s="20" t="str">
        <f>IF(B51="","","Exposures row "&amp;ROW(Exposures!$A51)&amp;", Start")</f>
        <v>Exposures row 51, Start</v>
      </c>
      <c r="V51" s="20">
        <f>IF(A51="",0,COUNTIF(nTP_Key,A51))</f>
        <v>1</v>
      </c>
      <c r="W51" s="20">
        <f t="shared" si="4"/>
        <v>0</v>
      </c>
      <c r="X51" s="20">
        <f t="shared" si="5"/>
        <v>0</v>
      </c>
      <c r="Y51" s="20">
        <f t="shared" si="6"/>
        <v>45350</v>
      </c>
      <c r="Z51" s="20">
        <f t="shared" si="7"/>
        <v>45350</v>
      </c>
      <c r="AA51" s="20">
        <f t="shared" si="8"/>
        <v>47</v>
      </c>
      <c r="AB51" s="20" t="str">
        <f>""</f>
        <v/>
      </c>
      <c r="AC51" s="20" t="str">
        <f>IF(B51="","",Exposures!$F51&amp;"")</f>
        <v/>
      </c>
      <c r="AD51" s="20" t="str">
        <f>IF(B51="","",Exposures!$E51&amp;": Start")</f>
        <v>Vector drug: Start</v>
      </c>
      <c r="AE51" s="20">
        <f t="shared" si="9"/>
        <v>1</v>
      </c>
      <c r="AF51" s="20" t="str">
        <f t="shared" si="10"/>
        <v>VEC-V04|1|EX1</v>
      </c>
      <c r="AG51" s="20">
        <f t="shared" si="11"/>
        <v>1</v>
      </c>
      <c r="AH51" s="20" t="str">
        <f>""</f>
        <v/>
      </c>
    </row>
    <row r="52" spans="1:34" x14ac:dyDescent="0.2">
      <c r="A52" s="20" t="str">
        <f t="shared" si="0"/>
        <v>VEC-V05|1|EX1/START</v>
      </c>
      <c r="B52" s="20" t="str">
        <f>IF(AND(Exposures!$D52&lt;&gt;"",COUNTA(Exposures!$N52:$U52)&gt;0),Exposures!$D52&amp;"/START","")</f>
        <v>EX1/START</v>
      </c>
      <c r="C52" s="20" t="str">
        <f t="shared" si="12"/>
        <v>EXPOSURE_START</v>
      </c>
      <c r="D52" s="20" t="str">
        <f>IF(B52="","",Exposures!$A52&amp;"")</f>
        <v>VEC-V05</v>
      </c>
      <c r="E52" s="20" t="str">
        <f>IF(B52="","",Exposures!$B52&amp;"")</f>
        <v>1</v>
      </c>
      <c r="F52" s="20" t="str">
        <f t="shared" si="2"/>
        <v>VEC-V05|1</v>
      </c>
      <c r="G52" s="20" t="str">
        <f>IF(B52="","",Exposures!$D52&amp;"")</f>
        <v>EX1</v>
      </c>
      <c r="H52" s="20" t="str">
        <f>IF(B52="","",Exposures!$N52&amp;"")</f>
        <v>RANGE</v>
      </c>
      <c r="I52" s="20" t="str">
        <f>IF(B52="","",Exposures!$Q52&amp;"")</f>
        <v/>
      </c>
      <c r="J52" s="20" t="str">
        <f>IF(B52="","",Exposures!$W52&amp;"")</f>
        <v/>
      </c>
      <c r="K52" s="20">
        <f>IF(B52="",0,Exposures!$X52)</f>
        <v>0</v>
      </c>
      <c r="L52" s="20">
        <f>IF(B52="",0,Exposures!$Y52)</f>
        <v>0</v>
      </c>
      <c r="M52" s="20" t="str">
        <f>IF(B52="","",Exposures!$AB52)</f>
        <v/>
      </c>
      <c r="N52" s="20" t="str">
        <f>IF(B52="","",Exposures!$AC52)</f>
        <v/>
      </c>
      <c r="O52" s="27">
        <f>IF(B52="","",Exposures!$Z52)</f>
        <v>46023</v>
      </c>
      <c r="P52" s="27">
        <f>IF(B52="","",Exposures!$AA52)</f>
        <v>46032</v>
      </c>
      <c r="Q52" s="20" t="str">
        <f t="shared" si="3"/>
        <v>2026-01-01/2026-01-10</v>
      </c>
      <c r="R52" s="20" t="str">
        <f>IF(A52="","",IF(J52&lt;&gt;"",J52,IF(H52="TIMESTAMP",DAY(INT(M52/1440))&amp;" "&amp;INDEX(nLIST_Months,MONTH(INT(M52/1440)))&amp;" "&amp;YEAR(INT(M52/1440))&amp;" "&amp;RIGHT("0"&amp;INT(MOD(M52,1440)/60),2)&amp;":"&amp;RIGHT("0"&amp;MOD(M52,60),2)&amp;IF(L52=1," (UTC"&amp;I52&amp;")"," (offset unknown)"),IF(H52="DATE",DAY(O52)&amp;" "&amp;INDEX(nLIST_Months,MONTH(O52))&amp;" "&amp;YEAR(O52),IF(H52="MONTH",INDEX(nLIST_Months,MONTH(O52))&amp;" "&amp;YEAR(O52)&amp;" ("&amp;DAY(O52)&amp;" "&amp;INDEX(nLIST_Months,MONTH(O52))&amp;" "&amp;YEAR(O52)&amp;" to "&amp;DAY(P52)&amp;" "&amp;INDEX(nLIST_Months,MONTH(P52))&amp;" "&amp;YEAR(P52)&amp;")",IF(H52="YEAR",YEAR(O52)&amp;" (1 January to 31 December)",DAY(O52)&amp;" "&amp;INDEX(nLIST_Months,MONTH(O52))&amp;" "&amp;YEAR(O52)&amp;" to "&amp;DAY(P52)&amp;" "&amp;INDEX(nLIST_Months,MONTH(P52))&amp;" "&amp;YEAR(P52)&amp;IF(H52="LAB"," (laboratory-defined)","")))))))</f>
        <v>1 January 2026 to 10 January 2026</v>
      </c>
      <c r="S52" s="20" t="str">
        <f>IF(B52="","",Exposures!$M52&amp;"")</f>
        <v>start 1-10 January 2026</v>
      </c>
      <c r="T52" s="20" t="str">
        <f>IF(B52="","",Exposures!$V52&amp;"")</f>
        <v>tto_calc_test_vectors_v1.1.json V05</v>
      </c>
      <c r="U52" s="20" t="str">
        <f>IF(B52="","","Exposures row "&amp;ROW(Exposures!$A52)&amp;", Start")</f>
        <v>Exposures row 52, Start</v>
      </c>
      <c r="V52" s="20">
        <f>IF(A52="",0,COUNTIF(nTP_Key,A52))</f>
        <v>1</v>
      </c>
      <c r="W52" s="20">
        <f t="shared" si="4"/>
        <v>0</v>
      </c>
      <c r="X52" s="20">
        <f t="shared" si="5"/>
        <v>0</v>
      </c>
      <c r="Y52" s="20">
        <f t="shared" si="6"/>
        <v>46023</v>
      </c>
      <c r="Z52" s="20">
        <f t="shared" si="7"/>
        <v>46032</v>
      </c>
      <c r="AA52" s="20">
        <f t="shared" si="8"/>
        <v>48</v>
      </c>
      <c r="AB52" s="20" t="str">
        <f>""</f>
        <v/>
      </c>
      <c r="AC52" s="20" t="str">
        <f>IF(B52="","",Exposures!$F52&amp;"")</f>
        <v/>
      </c>
      <c r="AD52" s="20" t="str">
        <f>IF(B52="","",Exposures!$E52&amp;": Start")</f>
        <v>Vector drug: Start</v>
      </c>
      <c r="AE52" s="20">
        <f t="shared" si="9"/>
        <v>1</v>
      </c>
      <c r="AF52" s="20" t="str">
        <f t="shared" si="10"/>
        <v>VEC-V05|1|EX1</v>
      </c>
      <c r="AG52" s="20">
        <f t="shared" si="11"/>
        <v>0</v>
      </c>
      <c r="AH52" s="20" t="str">
        <f>""</f>
        <v/>
      </c>
    </row>
    <row r="53" spans="1:34" x14ac:dyDescent="0.2">
      <c r="A53" s="20" t="str">
        <f t="shared" si="0"/>
        <v>VEC-V06|1|EX1/START</v>
      </c>
      <c r="B53" s="20" t="str">
        <f>IF(AND(Exposures!$D53&lt;&gt;"",COUNTA(Exposures!$N53:$U53)&gt;0),Exposures!$D53&amp;"/START","")</f>
        <v>EX1/START</v>
      </c>
      <c r="C53" s="20" t="str">
        <f t="shared" si="12"/>
        <v>EXPOSURE_START</v>
      </c>
      <c r="D53" s="20" t="str">
        <f>IF(B53="","",Exposures!$A53&amp;"")</f>
        <v>VEC-V06</v>
      </c>
      <c r="E53" s="20" t="str">
        <f>IF(B53="","",Exposures!$B53&amp;"")</f>
        <v>1</v>
      </c>
      <c r="F53" s="20" t="str">
        <f t="shared" si="2"/>
        <v>VEC-V06|1</v>
      </c>
      <c r="G53" s="20" t="str">
        <f>IF(B53="","",Exposures!$D53&amp;"")</f>
        <v>EX1</v>
      </c>
      <c r="H53" s="20" t="str">
        <f>IF(B53="","",Exposures!$N53&amp;"")</f>
        <v>RANGE</v>
      </c>
      <c r="I53" s="20" t="str">
        <f>IF(B53="","",Exposures!$Q53&amp;"")</f>
        <v/>
      </c>
      <c r="J53" s="20" t="str">
        <f>IF(B53="","",Exposures!$W53&amp;"")</f>
        <v/>
      </c>
      <c r="K53" s="20">
        <f>IF(B53="",0,Exposures!$X53)</f>
        <v>0</v>
      </c>
      <c r="L53" s="20">
        <f>IF(B53="",0,Exposures!$Y53)</f>
        <v>0</v>
      </c>
      <c r="M53" s="20" t="str">
        <f>IF(B53="","",Exposures!$AB53)</f>
        <v/>
      </c>
      <c r="N53" s="20" t="str">
        <f>IF(B53="","",Exposures!$AC53)</f>
        <v/>
      </c>
      <c r="O53" s="27">
        <f>IF(B53="","",Exposures!$Z53)</f>
        <v>46023</v>
      </c>
      <c r="P53" s="27">
        <f>IF(B53="","",Exposures!$AA53)</f>
        <v>46032</v>
      </c>
      <c r="Q53" s="20" t="str">
        <f t="shared" si="3"/>
        <v>2026-01-01/2026-01-10</v>
      </c>
      <c r="R53" s="20" t="str">
        <f>IF(A53="","",IF(J53&lt;&gt;"",J53,IF(H53="TIMESTAMP",DAY(INT(M53/1440))&amp;" "&amp;INDEX(nLIST_Months,MONTH(INT(M53/1440)))&amp;" "&amp;YEAR(INT(M53/1440))&amp;" "&amp;RIGHT("0"&amp;INT(MOD(M53,1440)/60),2)&amp;":"&amp;RIGHT("0"&amp;MOD(M53,60),2)&amp;IF(L53=1," (UTC"&amp;I53&amp;")"," (offset unknown)"),IF(H53="DATE",DAY(O53)&amp;" "&amp;INDEX(nLIST_Months,MONTH(O53))&amp;" "&amp;YEAR(O53),IF(H53="MONTH",INDEX(nLIST_Months,MONTH(O53))&amp;" "&amp;YEAR(O53)&amp;" ("&amp;DAY(O53)&amp;" "&amp;INDEX(nLIST_Months,MONTH(O53))&amp;" "&amp;YEAR(O53)&amp;" to "&amp;DAY(P53)&amp;" "&amp;INDEX(nLIST_Months,MONTH(P53))&amp;" "&amp;YEAR(P53)&amp;")",IF(H53="YEAR",YEAR(O53)&amp;" (1 January to 31 December)",DAY(O53)&amp;" "&amp;INDEX(nLIST_Months,MONTH(O53))&amp;" "&amp;YEAR(O53)&amp;" to "&amp;DAY(P53)&amp;" "&amp;INDEX(nLIST_Months,MONTH(P53))&amp;" "&amp;YEAR(P53)&amp;IF(H53="LAB"," (laboratory-defined)","")))))))</f>
        <v>1 January 2026 to 10 January 2026</v>
      </c>
      <c r="S53" s="20" t="str">
        <f>IF(B53="","",Exposures!$M53&amp;"")</f>
        <v>start 1-10 January 2026</v>
      </c>
      <c r="T53" s="20" t="str">
        <f>IF(B53="","",Exposures!$V53&amp;"")</f>
        <v>tto_calc_test_vectors_v1.1.json V06</v>
      </c>
      <c r="U53" s="20" t="str">
        <f>IF(B53="","","Exposures row "&amp;ROW(Exposures!$A53)&amp;", Start")</f>
        <v>Exposures row 53, Start</v>
      </c>
      <c r="V53" s="20">
        <f>IF(A53="",0,COUNTIF(nTP_Key,A53))</f>
        <v>1</v>
      </c>
      <c r="W53" s="20">
        <f t="shared" si="4"/>
        <v>0</v>
      </c>
      <c r="X53" s="20">
        <f t="shared" si="5"/>
        <v>0</v>
      </c>
      <c r="Y53" s="20">
        <f t="shared" si="6"/>
        <v>46023</v>
      </c>
      <c r="Z53" s="20">
        <f t="shared" si="7"/>
        <v>46032</v>
      </c>
      <c r="AA53" s="20">
        <f t="shared" si="8"/>
        <v>49</v>
      </c>
      <c r="AB53" s="20" t="str">
        <f>""</f>
        <v/>
      </c>
      <c r="AC53" s="20" t="str">
        <f>IF(B53="","",Exposures!$F53&amp;"")</f>
        <v/>
      </c>
      <c r="AD53" s="20" t="str">
        <f>IF(B53="","",Exposures!$E53&amp;": Start")</f>
        <v>Vector drug: Start</v>
      </c>
      <c r="AE53" s="20">
        <f t="shared" si="9"/>
        <v>1</v>
      </c>
      <c r="AF53" s="20" t="str">
        <f t="shared" si="10"/>
        <v>VEC-V06|1|EX1</v>
      </c>
      <c r="AG53" s="20">
        <f t="shared" si="11"/>
        <v>0</v>
      </c>
      <c r="AH53" s="20" t="str">
        <f>""</f>
        <v/>
      </c>
    </row>
    <row r="54" spans="1:34" x14ac:dyDescent="0.2">
      <c r="A54" s="20" t="str">
        <f t="shared" si="0"/>
        <v>VEC-V07|1|EX1/START</v>
      </c>
      <c r="B54" s="20" t="str">
        <f>IF(AND(Exposures!$D54&lt;&gt;"",COUNTA(Exposures!$N54:$U54)&gt;0),Exposures!$D54&amp;"/START","")</f>
        <v>EX1/START</v>
      </c>
      <c r="C54" s="20" t="str">
        <f t="shared" si="12"/>
        <v>EXPOSURE_START</v>
      </c>
      <c r="D54" s="20" t="str">
        <f>IF(B54="","",Exposures!$A54&amp;"")</f>
        <v>VEC-V07</v>
      </c>
      <c r="E54" s="20" t="str">
        <f>IF(B54="","",Exposures!$B54&amp;"")</f>
        <v>1</v>
      </c>
      <c r="F54" s="20" t="str">
        <f t="shared" si="2"/>
        <v>VEC-V07|1</v>
      </c>
      <c r="G54" s="20" t="str">
        <f>IF(B54="","",Exposures!$D54&amp;"")</f>
        <v>EX1</v>
      </c>
      <c r="H54" s="20" t="str">
        <f>IF(B54="","",Exposures!$N54&amp;"")</f>
        <v>TIMESTAMP</v>
      </c>
      <c r="I54" s="20" t="str">
        <f>IF(B54="","",Exposures!$Q54&amp;"")</f>
        <v>-05:00</v>
      </c>
      <c r="J54" s="20" t="str">
        <f>IF(B54="","",Exposures!$W54&amp;"")</f>
        <v/>
      </c>
      <c r="K54" s="20">
        <f>IF(B54="",0,Exposures!$X54)</f>
        <v>1</v>
      </c>
      <c r="L54" s="20">
        <f>IF(B54="",0,Exposures!$Y54)</f>
        <v>1</v>
      </c>
      <c r="M54" s="20">
        <f>IF(B54="","",Exposures!$AB54)</f>
        <v>66358560</v>
      </c>
      <c r="N54" s="20">
        <f>IF(B54="","",Exposures!$AC54)</f>
        <v>66358860</v>
      </c>
      <c r="O54" s="27">
        <f>IF(B54="","",Exposures!$Z54)</f>
        <v>46082</v>
      </c>
      <c r="P54" s="27">
        <f>IF(B54="","",Exposures!$AA54)</f>
        <v>46082</v>
      </c>
      <c r="Q54" s="20" t="str">
        <f t="shared" si="3"/>
        <v>2026-03-01T08:00-05:00</v>
      </c>
      <c r="R54" s="20" t="str">
        <f>IF(A54="","",IF(J54&lt;&gt;"",J54,IF(H54="TIMESTAMP",DAY(INT(M54/1440))&amp;" "&amp;INDEX(nLIST_Months,MONTH(INT(M54/1440)))&amp;" "&amp;YEAR(INT(M54/1440))&amp;" "&amp;RIGHT("0"&amp;INT(MOD(M54,1440)/60),2)&amp;":"&amp;RIGHT("0"&amp;MOD(M54,60),2)&amp;IF(L54=1," (UTC"&amp;I54&amp;")"," (offset unknown)"),IF(H54="DATE",DAY(O54)&amp;" "&amp;INDEX(nLIST_Months,MONTH(O54))&amp;" "&amp;YEAR(O54),IF(H54="MONTH",INDEX(nLIST_Months,MONTH(O54))&amp;" "&amp;YEAR(O54)&amp;" ("&amp;DAY(O54)&amp;" "&amp;INDEX(nLIST_Months,MONTH(O54))&amp;" "&amp;YEAR(O54)&amp;" to "&amp;DAY(P54)&amp;" "&amp;INDEX(nLIST_Months,MONTH(P54))&amp;" "&amp;YEAR(P54)&amp;")",IF(H54="YEAR",YEAR(O54)&amp;" (1 January to 31 December)",DAY(O54)&amp;" "&amp;INDEX(nLIST_Months,MONTH(O54))&amp;" "&amp;YEAR(O54)&amp;" to "&amp;DAY(P54)&amp;" "&amp;INDEX(nLIST_Months,MONTH(P54))&amp;" "&amp;YEAR(P54)&amp;IF(H54="LAB"," (laboratory-defined)","")))))))</f>
        <v>1 March 2026 08:00 (UTC-05:00)</v>
      </c>
      <c r="S54" s="20" t="str">
        <f>IF(B54="","",Exposures!$M54&amp;"")</f>
        <v>first dose</v>
      </c>
      <c r="T54" s="20" t="str">
        <f>IF(B54="","",Exposures!$V54&amp;"")</f>
        <v>tto_calc_test_vectors_v1.1.json V07</v>
      </c>
      <c r="U54" s="20" t="str">
        <f>IF(B54="","","Exposures row "&amp;ROW(Exposures!$A54)&amp;", Start")</f>
        <v>Exposures row 54, Start</v>
      </c>
      <c r="V54" s="20">
        <f>IF(A54="",0,COUNTIF(nTP_Key,A54))</f>
        <v>1</v>
      </c>
      <c r="W54" s="20">
        <f t="shared" si="4"/>
        <v>66358560</v>
      </c>
      <c r="X54" s="20">
        <f t="shared" si="5"/>
        <v>66358860</v>
      </c>
      <c r="Y54" s="20">
        <f t="shared" si="6"/>
        <v>46082</v>
      </c>
      <c r="Z54" s="20">
        <f t="shared" si="7"/>
        <v>46082</v>
      </c>
      <c r="AA54" s="20">
        <f t="shared" si="8"/>
        <v>50</v>
      </c>
      <c r="AB54" s="20" t="str">
        <f>""</f>
        <v/>
      </c>
      <c r="AC54" s="20" t="str">
        <f>IF(B54="","",Exposures!$F54&amp;"")</f>
        <v/>
      </c>
      <c r="AD54" s="20" t="str">
        <f>IF(B54="","",Exposures!$E54&amp;": Start")</f>
        <v>Vector drug: Start</v>
      </c>
      <c r="AE54" s="20">
        <f t="shared" si="9"/>
        <v>1</v>
      </c>
      <c r="AF54" s="20" t="str">
        <f t="shared" si="10"/>
        <v>VEC-V07|1|EX1</v>
      </c>
      <c r="AG54" s="20">
        <f t="shared" si="11"/>
        <v>1</v>
      </c>
      <c r="AH54" s="20" t="str">
        <f>""</f>
        <v/>
      </c>
    </row>
    <row r="55" spans="1:34" x14ac:dyDescent="0.2">
      <c r="A55" s="20" t="str">
        <f t="shared" si="0"/>
        <v>VEC-V08|1|EX1/START</v>
      </c>
      <c r="B55" s="20" t="str">
        <f>IF(AND(Exposures!$D55&lt;&gt;"",COUNTA(Exposures!$N55:$U55)&gt;0),Exposures!$D55&amp;"/START","")</f>
        <v>EX1/START</v>
      </c>
      <c r="C55" s="20" t="str">
        <f t="shared" si="12"/>
        <v>EXPOSURE_START</v>
      </c>
      <c r="D55" s="20" t="str">
        <f>IF(B55="","",Exposures!$A55&amp;"")</f>
        <v>VEC-V08</v>
      </c>
      <c r="E55" s="20" t="str">
        <f>IF(B55="","",Exposures!$B55&amp;"")</f>
        <v>1</v>
      </c>
      <c r="F55" s="20" t="str">
        <f t="shared" si="2"/>
        <v>VEC-V08|1</v>
      </c>
      <c r="G55" s="20" t="str">
        <f>IF(B55="","",Exposures!$D55&amp;"")</f>
        <v>EX1</v>
      </c>
      <c r="H55" s="20" t="str">
        <f>IF(B55="","",Exposures!$N55&amp;"")</f>
        <v>DATE</v>
      </c>
      <c r="I55" s="20" t="str">
        <f>IF(B55="","",Exposures!$Q55&amp;"")</f>
        <v/>
      </c>
      <c r="J55" s="20" t="str">
        <f>IF(B55="","",Exposures!$W55&amp;"")</f>
        <v/>
      </c>
      <c r="K55" s="20">
        <f>IF(B55="",0,Exposures!$X55)</f>
        <v>0</v>
      </c>
      <c r="L55" s="20">
        <f>IF(B55="",0,Exposures!$Y55)</f>
        <v>0</v>
      </c>
      <c r="M55" s="20" t="str">
        <f>IF(B55="","",Exposures!$AB55)</f>
        <v/>
      </c>
      <c r="N55" s="20" t="str">
        <f>IF(B55="","",Exposures!$AC55)</f>
        <v/>
      </c>
      <c r="O55" s="27">
        <f>IF(B55="","",Exposures!$Z55)</f>
        <v>46023</v>
      </c>
      <c r="P55" s="27">
        <f>IF(B55="","",Exposures!$AA55)</f>
        <v>46023</v>
      </c>
      <c r="Q55" s="20" t="str">
        <f t="shared" si="3"/>
        <v>2026-01-01</v>
      </c>
      <c r="R55" s="20" t="str">
        <f>IF(A55="","",IF(J55&lt;&gt;"",J55,IF(H55="TIMESTAMP",DAY(INT(M55/1440))&amp;" "&amp;INDEX(nLIST_Months,MONTH(INT(M55/1440)))&amp;" "&amp;YEAR(INT(M55/1440))&amp;" "&amp;RIGHT("0"&amp;INT(MOD(M55,1440)/60),2)&amp;":"&amp;RIGHT("0"&amp;MOD(M55,60),2)&amp;IF(L55=1," (UTC"&amp;I55&amp;")"," (offset unknown)"),IF(H55="DATE",DAY(O55)&amp;" "&amp;INDEX(nLIST_Months,MONTH(O55))&amp;" "&amp;YEAR(O55),IF(H55="MONTH",INDEX(nLIST_Months,MONTH(O55))&amp;" "&amp;YEAR(O55)&amp;" ("&amp;DAY(O55)&amp;" "&amp;INDEX(nLIST_Months,MONTH(O55))&amp;" "&amp;YEAR(O55)&amp;" to "&amp;DAY(P55)&amp;" "&amp;INDEX(nLIST_Months,MONTH(P55))&amp;" "&amp;YEAR(P55)&amp;")",IF(H55="YEAR",YEAR(O55)&amp;" (1 January to 31 December)",DAY(O55)&amp;" "&amp;INDEX(nLIST_Months,MONTH(O55))&amp;" "&amp;YEAR(O55)&amp;" to "&amp;DAY(P55)&amp;" "&amp;INDEX(nLIST_Months,MONTH(P55))&amp;" "&amp;YEAR(P55)&amp;IF(H55="LAB"," (laboratory-defined)","")))))))</f>
        <v>1 January 2026</v>
      </c>
      <c r="S55" s="20" t="str">
        <f>IF(B55="","",Exposures!$M55&amp;"")</f>
        <v>first administration</v>
      </c>
      <c r="T55" s="20" t="str">
        <f>IF(B55="","",Exposures!$V55&amp;"")</f>
        <v>tto_calc_test_vectors_v1.1.json V08</v>
      </c>
      <c r="U55" s="20" t="str">
        <f>IF(B55="","","Exposures row "&amp;ROW(Exposures!$A55)&amp;", Start")</f>
        <v>Exposures row 55, Start</v>
      </c>
      <c r="V55" s="20">
        <f>IF(A55="",0,COUNTIF(nTP_Key,A55))</f>
        <v>1</v>
      </c>
      <c r="W55" s="20">
        <f t="shared" si="4"/>
        <v>0</v>
      </c>
      <c r="X55" s="20">
        <f t="shared" si="5"/>
        <v>0</v>
      </c>
      <c r="Y55" s="20">
        <f t="shared" si="6"/>
        <v>46023</v>
      </c>
      <c r="Z55" s="20">
        <f t="shared" si="7"/>
        <v>46023</v>
      </c>
      <c r="AA55" s="20">
        <f t="shared" si="8"/>
        <v>51</v>
      </c>
      <c r="AB55" s="20" t="str">
        <f>""</f>
        <v/>
      </c>
      <c r="AC55" s="20" t="str">
        <f>IF(B55="","",Exposures!$F55&amp;"")</f>
        <v/>
      </c>
      <c r="AD55" s="20" t="str">
        <f>IF(B55="","",Exposures!$E55&amp;": Start")</f>
        <v>Vector drug: Start</v>
      </c>
      <c r="AE55" s="20">
        <f t="shared" si="9"/>
        <v>1</v>
      </c>
      <c r="AF55" s="20" t="str">
        <f t="shared" si="10"/>
        <v>VEC-V08|1|EX1</v>
      </c>
      <c r="AG55" s="20">
        <f t="shared" si="11"/>
        <v>1</v>
      </c>
      <c r="AH55" s="20" t="str">
        <f>""</f>
        <v/>
      </c>
    </row>
    <row r="56" spans="1:34" x14ac:dyDescent="0.2">
      <c r="A56" s="20" t="str">
        <f t="shared" si="0"/>
        <v>VEC-V09|1|EX1/START</v>
      </c>
      <c r="B56" s="20" t="str">
        <f>IF(AND(Exposures!$D56&lt;&gt;"",COUNTA(Exposures!$N56:$U56)&gt;0),Exposures!$D56&amp;"/START","")</f>
        <v>EX1/START</v>
      </c>
      <c r="C56" s="20" t="str">
        <f t="shared" si="12"/>
        <v>EXPOSURE_START</v>
      </c>
      <c r="D56" s="20" t="str">
        <f>IF(B56="","",Exposures!$A56&amp;"")</f>
        <v>VEC-V09</v>
      </c>
      <c r="E56" s="20" t="str">
        <f>IF(B56="","",Exposures!$B56&amp;"")</f>
        <v>1</v>
      </c>
      <c r="F56" s="20" t="str">
        <f t="shared" si="2"/>
        <v>VEC-V09|1</v>
      </c>
      <c r="G56" s="20" t="str">
        <f>IF(B56="","",Exposures!$D56&amp;"")</f>
        <v>EX1</v>
      </c>
      <c r="H56" s="20" t="str">
        <f>IF(B56="","",Exposures!$N56&amp;"")</f>
        <v>TIMESTAMP</v>
      </c>
      <c r="I56" s="20" t="str">
        <f>IF(B56="","",Exposures!$Q56&amp;"")</f>
        <v>-04:00</v>
      </c>
      <c r="J56" s="20" t="str">
        <f>IF(B56="","",Exposures!$W56&amp;"")</f>
        <v/>
      </c>
      <c r="K56" s="20">
        <f>IF(B56="",0,Exposures!$X56)</f>
        <v>1</v>
      </c>
      <c r="L56" s="20">
        <f>IF(B56="",0,Exposures!$Y56)</f>
        <v>1</v>
      </c>
      <c r="M56" s="20">
        <f>IF(B56="","",Exposures!$AB56)</f>
        <v>66710970</v>
      </c>
      <c r="N56" s="20">
        <f>IF(B56="","",Exposures!$AC56)</f>
        <v>66711210</v>
      </c>
      <c r="O56" s="27">
        <f>IF(B56="","",Exposures!$Z56)</f>
        <v>46327</v>
      </c>
      <c r="P56" s="27">
        <f>IF(B56="","",Exposures!$AA56)</f>
        <v>46327</v>
      </c>
      <c r="Q56" s="20" t="str">
        <f t="shared" si="3"/>
        <v>2026-11-01T01:30-04:00</v>
      </c>
      <c r="R56" s="20" t="str">
        <f>IF(A56="","",IF(J56&lt;&gt;"",J56,IF(H56="TIMESTAMP",DAY(INT(M56/1440))&amp;" "&amp;INDEX(nLIST_Months,MONTH(INT(M56/1440)))&amp;" "&amp;YEAR(INT(M56/1440))&amp;" "&amp;RIGHT("0"&amp;INT(MOD(M56,1440)/60),2)&amp;":"&amp;RIGHT("0"&amp;MOD(M56,60),2)&amp;IF(L56=1," (UTC"&amp;I56&amp;")"," (offset unknown)"),IF(H56="DATE",DAY(O56)&amp;" "&amp;INDEX(nLIST_Months,MONTH(O56))&amp;" "&amp;YEAR(O56),IF(H56="MONTH",INDEX(nLIST_Months,MONTH(O56))&amp;" "&amp;YEAR(O56)&amp;" ("&amp;DAY(O56)&amp;" "&amp;INDEX(nLIST_Months,MONTH(O56))&amp;" "&amp;YEAR(O56)&amp;" to "&amp;DAY(P56)&amp;" "&amp;INDEX(nLIST_Months,MONTH(P56))&amp;" "&amp;YEAR(P56)&amp;")",IF(H56="YEAR",YEAR(O56)&amp;" (1 January to 31 December)",DAY(O56)&amp;" "&amp;INDEX(nLIST_Months,MONTH(O56))&amp;" "&amp;YEAR(O56)&amp;" to "&amp;DAY(P56)&amp;" "&amp;INDEX(nLIST_Months,MONTH(P56))&amp;" "&amp;YEAR(P56)&amp;IF(H56="LAB"," (laboratory-defined)","")))))))</f>
        <v>1 November 2026 01:30 (UTC-04:00)</v>
      </c>
      <c r="S56" s="20" t="str">
        <f>IF(B56="","",Exposures!$M56&amp;"")</f>
        <v>2026-11-01T01:30-04:00</v>
      </c>
      <c r="T56" s="20" t="str">
        <f>IF(B56="","",Exposures!$V56&amp;"")</f>
        <v>tto_calc_test_vectors_v1.1.json V09</v>
      </c>
      <c r="U56" s="20" t="str">
        <f>IF(B56="","","Exposures row "&amp;ROW(Exposures!$A56)&amp;", Start")</f>
        <v>Exposures row 56, Start</v>
      </c>
      <c r="V56" s="20">
        <f>IF(A56="",0,COUNTIF(nTP_Key,A56))</f>
        <v>1</v>
      </c>
      <c r="W56" s="20">
        <f t="shared" si="4"/>
        <v>66710970</v>
      </c>
      <c r="X56" s="20">
        <f t="shared" si="5"/>
        <v>66711210</v>
      </c>
      <c r="Y56" s="20">
        <f t="shared" si="6"/>
        <v>46327</v>
      </c>
      <c r="Z56" s="20">
        <f t="shared" si="7"/>
        <v>46327</v>
      </c>
      <c r="AA56" s="20">
        <f t="shared" si="8"/>
        <v>52</v>
      </c>
      <c r="AB56" s="20" t="str">
        <f>""</f>
        <v/>
      </c>
      <c r="AC56" s="20" t="str">
        <f>IF(B56="","",Exposures!$F56&amp;"")</f>
        <v/>
      </c>
      <c r="AD56" s="20" t="str">
        <f>IF(B56="","",Exposures!$E56&amp;": Start")</f>
        <v>Vector drug: Start</v>
      </c>
      <c r="AE56" s="20">
        <f t="shared" si="9"/>
        <v>1</v>
      </c>
      <c r="AF56" s="20" t="str">
        <f t="shared" si="10"/>
        <v>VEC-V09|1|EX1</v>
      </c>
      <c r="AG56" s="20">
        <f t="shared" si="11"/>
        <v>1</v>
      </c>
      <c r="AH56" s="20" t="str">
        <f>""</f>
        <v/>
      </c>
    </row>
    <row r="57" spans="1:34" x14ac:dyDescent="0.2">
      <c r="A57" s="20" t="str">
        <f t="shared" si="0"/>
        <v>VEC-V10|1|EX1/START</v>
      </c>
      <c r="B57" s="20" t="str">
        <f>IF(AND(Exposures!$D57&lt;&gt;"",COUNTA(Exposures!$N57:$U57)&gt;0),Exposures!$D57&amp;"/START","")</f>
        <v>EX1/START</v>
      </c>
      <c r="C57" s="20" t="str">
        <f t="shared" si="12"/>
        <v>EXPOSURE_START</v>
      </c>
      <c r="D57" s="20" t="str">
        <f>IF(B57="","",Exposures!$A57&amp;"")</f>
        <v>VEC-V10</v>
      </c>
      <c r="E57" s="20" t="str">
        <f>IF(B57="","",Exposures!$B57&amp;"")</f>
        <v>1</v>
      </c>
      <c r="F57" s="20" t="str">
        <f t="shared" si="2"/>
        <v>VEC-V10|1</v>
      </c>
      <c r="G57" s="20" t="str">
        <f>IF(B57="","",Exposures!$D57&amp;"")</f>
        <v>EX1</v>
      </c>
      <c r="H57" s="20" t="str">
        <f>IF(B57="","",Exposures!$N57&amp;"")</f>
        <v>TIMESTAMP</v>
      </c>
      <c r="I57" s="20" t="str">
        <f>IF(B57="","",Exposures!$Q57&amp;"")</f>
        <v>unknown</v>
      </c>
      <c r="J57" s="20" t="str">
        <f>IF(B57="","",Exposures!$W57&amp;"")</f>
        <v/>
      </c>
      <c r="K57" s="20">
        <f>IF(B57="",0,Exposures!$X57)</f>
        <v>1</v>
      </c>
      <c r="L57" s="20">
        <f>IF(B57="",0,Exposures!$Y57)</f>
        <v>0</v>
      </c>
      <c r="M57" s="20">
        <f>IF(B57="","",Exposures!$AB57)</f>
        <v>66368250</v>
      </c>
      <c r="N57" s="20" t="str">
        <f>IF(B57="","",Exposures!$AC57)</f>
        <v/>
      </c>
      <c r="O57" s="27">
        <f>IF(B57="","",Exposures!$Z57)</f>
        <v>46089</v>
      </c>
      <c r="P57" s="27">
        <f>IF(B57="","",Exposures!$AA57)</f>
        <v>46089</v>
      </c>
      <c r="Q57" s="20" t="str">
        <f t="shared" si="3"/>
        <v>2026-03-08T01:30</v>
      </c>
      <c r="R57" s="20" t="str">
        <f>IF(A57="","",IF(J57&lt;&gt;"",J57,IF(H57="TIMESTAMP",DAY(INT(M57/1440))&amp;" "&amp;INDEX(nLIST_Months,MONTH(INT(M57/1440)))&amp;" "&amp;YEAR(INT(M57/1440))&amp;" "&amp;RIGHT("0"&amp;INT(MOD(M57,1440)/60),2)&amp;":"&amp;RIGHT("0"&amp;MOD(M57,60),2)&amp;IF(L57=1," (UTC"&amp;I57&amp;")"," (offset unknown)"),IF(H57="DATE",DAY(O57)&amp;" "&amp;INDEX(nLIST_Months,MONTH(O57))&amp;" "&amp;YEAR(O57),IF(H57="MONTH",INDEX(nLIST_Months,MONTH(O57))&amp;" "&amp;YEAR(O57)&amp;" ("&amp;DAY(O57)&amp;" "&amp;INDEX(nLIST_Months,MONTH(O57))&amp;" "&amp;YEAR(O57)&amp;" to "&amp;DAY(P57)&amp;" "&amp;INDEX(nLIST_Months,MONTH(P57))&amp;" "&amp;YEAR(P57)&amp;")",IF(H57="YEAR",YEAR(O57)&amp;" (1 January to 31 December)",DAY(O57)&amp;" "&amp;INDEX(nLIST_Months,MONTH(O57))&amp;" "&amp;YEAR(O57)&amp;" to "&amp;DAY(P57)&amp;" "&amp;INDEX(nLIST_Months,MONTH(P57))&amp;" "&amp;YEAR(P57)&amp;IF(H57="LAB"," (laboratory-defined)","")))))))</f>
        <v>8 March 2026 01:30 (offset unknown)</v>
      </c>
      <c r="S57" s="20" t="str">
        <f>IF(B57="","",Exposures!$M57&amp;"")</f>
        <v>2026-03-08T01:30 (offset unknown)</v>
      </c>
      <c r="T57" s="20" t="str">
        <f>IF(B57="","",Exposures!$V57&amp;"")</f>
        <v>tto_calc_test_vectors_v1.1.json V10</v>
      </c>
      <c r="U57" s="20" t="str">
        <f>IF(B57="","","Exposures row "&amp;ROW(Exposures!$A57)&amp;", Start")</f>
        <v>Exposures row 57, Start</v>
      </c>
      <c r="V57" s="20">
        <f>IF(A57="",0,COUNTIF(nTP_Key,A57))</f>
        <v>1</v>
      </c>
      <c r="W57" s="20">
        <f t="shared" si="4"/>
        <v>66368250</v>
      </c>
      <c r="X57" s="20">
        <f t="shared" si="5"/>
        <v>0</v>
      </c>
      <c r="Y57" s="20">
        <f t="shared" si="6"/>
        <v>46089</v>
      </c>
      <c r="Z57" s="20">
        <f t="shared" si="7"/>
        <v>46089</v>
      </c>
      <c r="AA57" s="20">
        <f t="shared" si="8"/>
        <v>53</v>
      </c>
      <c r="AB57" s="20" t="str">
        <f>""</f>
        <v/>
      </c>
      <c r="AC57" s="20" t="str">
        <f>IF(B57="","",Exposures!$F57&amp;"")</f>
        <v/>
      </c>
      <c r="AD57" s="20" t="str">
        <f>IF(B57="","",Exposures!$E57&amp;": Start")</f>
        <v>Vector drug: Start</v>
      </c>
      <c r="AE57" s="20">
        <f t="shared" si="9"/>
        <v>1</v>
      </c>
      <c r="AF57" s="20" t="str">
        <f t="shared" si="10"/>
        <v>VEC-V10|1|EX1</v>
      </c>
      <c r="AG57" s="20">
        <f t="shared" si="11"/>
        <v>1</v>
      </c>
      <c r="AH57" s="20" t="str">
        <f>""</f>
        <v/>
      </c>
    </row>
    <row r="58" spans="1:34" x14ac:dyDescent="0.2">
      <c r="A58" s="20" t="str">
        <f t="shared" si="0"/>
        <v>VEC-V11|1|EX1/START</v>
      </c>
      <c r="B58" s="20" t="str">
        <f>IF(AND(Exposures!$D58&lt;&gt;"",COUNTA(Exposures!$N58:$U58)&gt;0),Exposures!$D58&amp;"/START","")</f>
        <v>EX1/START</v>
      </c>
      <c r="C58" s="20" t="str">
        <f t="shared" si="12"/>
        <v>EXPOSURE_START</v>
      </c>
      <c r="D58" s="20" t="str">
        <f>IF(B58="","",Exposures!$A58&amp;"")</f>
        <v>VEC-V11</v>
      </c>
      <c r="E58" s="20" t="str">
        <f>IF(B58="","",Exposures!$B58&amp;"")</f>
        <v>1</v>
      </c>
      <c r="F58" s="20" t="str">
        <f t="shared" si="2"/>
        <v>VEC-V11|1</v>
      </c>
      <c r="G58" s="20" t="str">
        <f>IF(B58="","",Exposures!$D58&amp;"")</f>
        <v>EX1</v>
      </c>
      <c r="H58" s="20" t="str">
        <f>IF(B58="","",Exposures!$N58&amp;"")</f>
        <v>TIMESTAMP</v>
      </c>
      <c r="I58" s="20" t="str">
        <f>IF(B58="","",Exposures!$Q58&amp;"")</f>
        <v>-05:00</v>
      </c>
      <c r="J58" s="20" t="str">
        <f>IF(B58="","",Exposures!$W58&amp;"")</f>
        <v/>
      </c>
      <c r="K58" s="20">
        <f>IF(B58="",0,Exposures!$X58)</f>
        <v>1</v>
      </c>
      <c r="L58" s="20">
        <f>IF(B58="",0,Exposures!$Y58)</f>
        <v>1</v>
      </c>
      <c r="M58" s="20">
        <f>IF(B58="","",Exposures!$AB58)</f>
        <v>66403200</v>
      </c>
      <c r="N58" s="20">
        <f>IF(B58="","",Exposures!$AC58)</f>
        <v>66403500</v>
      </c>
      <c r="O58" s="27">
        <f>IF(B58="","",Exposures!$Z58)</f>
        <v>46113</v>
      </c>
      <c r="P58" s="27">
        <f>IF(B58="","",Exposures!$AA58)</f>
        <v>46113</v>
      </c>
      <c r="Q58" s="20" t="str">
        <f t="shared" si="3"/>
        <v>2026-04-01T08:00-05:00</v>
      </c>
      <c r="R58" s="20" t="str">
        <f>IF(A58="","",IF(J58&lt;&gt;"",J58,IF(H58="TIMESTAMP",DAY(INT(M58/1440))&amp;" "&amp;INDEX(nLIST_Months,MONTH(INT(M58/1440)))&amp;" "&amp;YEAR(INT(M58/1440))&amp;" "&amp;RIGHT("0"&amp;INT(MOD(M58,1440)/60),2)&amp;":"&amp;RIGHT("0"&amp;MOD(M58,60),2)&amp;IF(L58=1," (UTC"&amp;I58&amp;")"," (offset unknown)"),IF(H58="DATE",DAY(O58)&amp;" "&amp;INDEX(nLIST_Months,MONTH(O58))&amp;" "&amp;YEAR(O58),IF(H58="MONTH",INDEX(nLIST_Months,MONTH(O58))&amp;" "&amp;YEAR(O58)&amp;" ("&amp;DAY(O58)&amp;" "&amp;INDEX(nLIST_Months,MONTH(O58))&amp;" "&amp;YEAR(O58)&amp;" to "&amp;DAY(P58)&amp;" "&amp;INDEX(nLIST_Months,MONTH(P58))&amp;" "&amp;YEAR(P58)&amp;")",IF(H58="YEAR",YEAR(O58)&amp;" (1 January to 31 December)",DAY(O58)&amp;" "&amp;INDEX(nLIST_Months,MONTH(O58))&amp;" "&amp;YEAR(O58)&amp;" to "&amp;DAY(P58)&amp;" "&amp;INDEX(nLIST_Months,MONTH(P58))&amp;" "&amp;YEAR(P58)&amp;IF(H58="LAB"," (laboratory-defined)","")))))))</f>
        <v>1 April 2026 08:00 (UTC-05:00)</v>
      </c>
      <c r="S58" s="20" t="str">
        <f>IF(B58="","",Exposures!$M58&amp;"")</f>
        <v>dose 08:00</v>
      </c>
      <c r="T58" s="20" t="str">
        <f>IF(B58="","",Exposures!$V58&amp;"")</f>
        <v>tto_calc_test_vectors_v1.1.json V11</v>
      </c>
      <c r="U58" s="20" t="str">
        <f>IF(B58="","","Exposures row "&amp;ROW(Exposures!$A58)&amp;", Start")</f>
        <v>Exposures row 58, Start</v>
      </c>
      <c r="V58" s="20">
        <f>IF(A58="",0,COUNTIF(nTP_Key,A58))</f>
        <v>1</v>
      </c>
      <c r="W58" s="20">
        <f t="shared" si="4"/>
        <v>66403200</v>
      </c>
      <c r="X58" s="20">
        <f t="shared" si="5"/>
        <v>66403500</v>
      </c>
      <c r="Y58" s="20">
        <f t="shared" si="6"/>
        <v>46113</v>
      </c>
      <c r="Z58" s="20">
        <f t="shared" si="7"/>
        <v>46113</v>
      </c>
      <c r="AA58" s="20">
        <f t="shared" si="8"/>
        <v>54</v>
      </c>
      <c r="AB58" s="20" t="str">
        <f>""</f>
        <v/>
      </c>
      <c r="AC58" s="20" t="str">
        <f>IF(B58="","",Exposures!$F58&amp;"")</f>
        <v/>
      </c>
      <c r="AD58" s="20" t="str">
        <f>IF(B58="","",Exposures!$E58&amp;": Start")</f>
        <v>Vector drug: Start</v>
      </c>
      <c r="AE58" s="20">
        <f t="shared" si="9"/>
        <v>1</v>
      </c>
      <c r="AF58" s="20" t="str">
        <f t="shared" si="10"/>
        <v>VEC-V11|1|EX1</v>
      </c>
      <c r="AG58" s="20">
        <f t="shared" si="11"/>
        <v>1</v>
      </c>
      <c r="AH58" s="20" t="str">
        <f>""</f>
        <v/>
      </c>
    </row>
    <row r="59" spans="1:34" x14ac:dyDescent="0.2">
      <c r="A59" s="20" t="str">
        <f t="shared" si="0"/>
        <v>VEC-V12|1|EX1/START</v>
      </c>
      <c r="B59" s="20" t="str">
        <f>IF(AND(Exposures!$D59&lt;&gt;"",COUNTA(Exposures!$N59:$U59)&gt;0),Exposures!$D59&amp;"/START","")</f>
        <v>EX1/START</v>
      </c>
      <c r="C59" s="20" t="str">
        <f t="shared" si="12"/>
        <v>EXPOSURE_START</v>
      </c>
      <c r="D59" s="20" t="str">
        <f>IF(B59="","",Exposures!$A59&amp;"")</f>
        <v>VEC-V12</v>
      </c>
      <c r="E59" s="20" t="str">
        <f>IF(B59="","",Exposures!$B59&amp;"")</f>
        <v>1</v>
      </c>
      <c r="F59" s="20" t="str">
        <f t="shared" si="2"/>
        <v>VEC-V12|1</v>
      </c>
      <c r="G59" s="20" t="str">
        <f>IF(B59="","",Exposures!$D59&amp;"")</f>
        <v>EX1</v>
      </c>
      <c r="H59" s="20" t="str">
        <f>IF(B59="","",Exposures!$N59&amp;"")</f>
        <v>DATE</v>
      </c>
      <c r="I59" s="20" t="str">
        <f>IF(B59="","",Exposures!$Q59&amp;"")</f>
        <v/>
      </c>
      <c r="J59" s="20" t="str">
        <f>IF(B59="","",Exposures!$W59&amp;"")</f>
        <v/>
      </c>
      <c r="K59" s="20">
        <f>IF(B59="",0,Exposures!$X59)</f>
        <v>0</v>
      </c>
      <c r="L59" s="20">
        <f>IF(B59="",0,Exposures!$Y59)</f>
        <v>0</v>
      </c>
      <c r="M59" s="20" t="str">
        <f>IF(B59="","",Exposures!$AB59)</f>
        <v/>
      </c>
      <c r="N59" s="20" t="str">
        <f>IF(B59="","",Exposures!$AC59)</f>
        <v/>
      </c>
      <c r="O59" s="27">
        <f>IF(B59="","",Exposures!$Z59)</f>
        <v>46143</v>
      </c>
      <c r="P59" s="27">
        <f>IF(B59="","",Exposures!$AA59)</f>
        <v>46143</v>
      </c>
      <c r="Q59" s="20" t="str">
        <f t="shared" si="3"/>
        <v>2026-05-01</v>
      </c>
      <c r="R59" s="20" t="str">
        <f>IF(A59="","",IF(J59&lt;&gt;"",J59,IF(H59="TIMESTAMP",DAY(INT(M59/1440))&amp;" "&amp;INDEX(nLIST_Months,MONTH(INT(M59/1440)))&amp;" "&amp;YEAR(INT(M59/1440))&amp;" "&amp;RIGHT("0"&amp;INT(MOD(M59,1440)/60),2)&amp;":"&amp;RIGHT("0"&amp;MOD(M59,60),2)&amp;IF(L59=1," (UTC"&amp;I59&amp;")"," (offset unknown)"),IF(H59="DATE",DAY(O59)&amp;" "&amp;INDEX(nLIST_Months,MONTH(O59))&amp;" "&amp;YEAR(O59),IF(H59="MONTH",INDEX(nLIST_Months,MONTH(O59))&amp;" "&amp;YEAR(O59)&amp;" ("&amp;DAY(O59)&amp;" "&amp;INDEX(nLIST_Months,MONTH(O59))&amp;" "&amp;YEAR(O59)&amp;" to "&amp;DAY(P59)&amp;" "&amp;INDEX(nLIST_Months,MONTH(P59))&amp;" "&amp;YEAR(P59)&amp;")",IF(H59="YEAR",YEAR(O59)&amp;" (1 January to 31 December)",DAY(O59)&amp;" "&amp;INDEX(nLIST_Months,MONTH(O59))&amp;" "&amp;YEAR(O59)&amp;" to "&amp;DAY(P59)&amp;" "&amp;INDEX(nLIST_Months,MONTH(P59))&amp;" "&amp;YEAR(P59)&amp;IF(H59="LAB"," (laboratory-defined)","")))))))</f>
        <v>1 May 2026</v>
      </c>
      <c r="S59" s="20" t="str">
        <f>IF(B59="","",Exposures!$M59&amp;"")</f>
        <v>2026-05-01</v>
      </c>
      <c r="T59" s="20" t="str">
        <f>IF(B59="","",Exposures!$V59&amp;"")</f>
        <v>tto_calc_test_vectors_v1.1.json V12</v>
      </c>
      <c r="U59" s="20" t="str">
        <f>IF(B59="","","Exposures row "&amp;ROW(Exposures!$A59)&amp;", Start")</f>
        <v>Exposures row 59, Start</v>
      </c>
      <c r="V59" s="20">
        <f>IF(A59="",0,COUNTIF(nTP_Key,A59))</f>
        <v>1</v>
      </c>
      <c r="W59" s="20">
        <f t="shared" si="4"/>
        <v>0</v>
      </c>
      <c r="X59" s="20">
        <f t="shared" si="5"/>
        <v>0</v>
      </c>
      <c r="Y59" s="20">
        <f t="shared" si="6"/>
        <v>46143</v>
      </c>
      <c r="Z59" s="20">
        <f t="shared" si="7"/>
        <v>46143</v>
      </c>
      <c r="AA59" s="20">
        <f t="shared" si="8"/>
        <v>55</v>
      </c>
      <c r="AB59" s="20" t="str">
        <f>""</f>
        <v/>
      </c>
      <c r="AC59" s="20" t="str">
        <f>IF(B59="","",Exposures!$F59&amp;"")</f>
        <v/>
      </c>
      <c r="AD59" s="20" t="str">
        <f>IF(B59="","",Exposures!$E59&amp;": Start")</f>
        <v>Vector drug: Start</v>
      </c>
      <c r="AE59" s="20">
        <f t="shared" si="9"/>
        <v>1</v>
      </c>
      <c r="AF59" s="20" t="str">
        <f t="shared" si="10"/>
        <v>VEC-V12|1|EX1</v>
      </c>
      <c r="AG59" s="20">
        <f t="shared" si="11"/>
        <v>1</v>
      </c>
      <c r="AH59" s="20" t="str">
        <f>""</f>
        <v/>
      </c>
    </row>
    <row r="60" spans="1:34" x14ac:dyDescent="0.2">
      <c r="A60" s="20" t="str">
        <f t="shared" si="0"/>
        <v>VEC-V12|2|EX1/START</v>
      </c>
      <c r="B60" s="20" t="str">
        <f>IF(AND(Exposures!$D60&lt;&gt;"",COUNTA(Exposures!$N60:$U60)&gt;0),Exposures!$D60&amp;"/START","")</f>
        <v>EX1/START</v>
      </c>
      <c r="C60" s="20" t="str">
        <f t="shared" si="12"/>
        <v>EXPOSURE_START</v>
      </c>
      <c r="D60" s="20" t="str">
        <f>IF(B60="","",Exposures!$A60&amp;"")</f>
        <v>VEC-V12</v>
      </c>
      <c r="E60" s="20" t="str">
        <f>IF(B60="","",Exposures!$B60&amp;"")</f>
        <v>2</v>
      </c>
      <c r="F60" s="20" t="str">
        <f t="shared" si="2"/>
        <v>VEC-V12|2</v>
      </c>
      <c r="G60" s="20" t="str">
        <f>IF(B60="","",Exposures!$D60&amp;"")</f>
        <v>EX1</v>
      </c>
      <c r="H60" s="20" t="str">
        <f>IF(B60="","",Exposures!$N60&amp;"")</f>
        <v>DATE</v>
      </c>
      <c r="I60" s="20" t="str">
        <f>IF(B60="","",Exposures!$Q60&amp;"")</f>
        <v/>
      </c>
      <c r="J60" s="20" t="str">
        <f>IF(B60="","",Exposures!$W60&amp;"")</f>
        <v/>
      </c>
      <c r="K60" s="20">
        <f>IF(B60="",0,Exposures!$X60)</f>
        <v>0</v>
      </c>
      <c r="L60" s="20">
        <f>IF(B60="",0,Exposures!$Y60)</f>
        <v>0</v>
      </c>
      <c r="M60" s="20" t="str">
        <f>IF(B60="","",Exposures!$AB60)</f>
        <v/>
      </c>
      <c r="N60" s="20" t="str">
        <f>IF(B60="","",Exposures!$AC60)</f>
        <v/>
      </c>
      <c r="O60" s="27">
        <f>IF(B60="","",Exposures!$Z60)</f>
        <v>46143</v>
      </c>
      <c r="P60" s="27">
        <f>IF(B60="","",Exposures!$AA60)</f>
        <v>46143</v>
      </c>
      <c r="Q60" s="20" t="str">
        <f t="shared" si="3"/>
        <v>2026-05-01</v>
      </c>
      <c r="R60" s="20" t="str">
        <f>IF(A60="","",IF(J60&lt;&gt;"",J60,IF(H60="TIMESTAMP",DAY(INT(M60/1440))&amp;" "&amp;INDEX(nLIST_Months,MONTH(INT(M60/1440)))&amp;" "&amp;YEAR(INT(M60/1440))&amp;" "&amp;RIGHT("0"&amp;INT(MOD(M60,1440)/60),2)&amp;":"&amp;RIGHT("0"&amp;MOD(M60,60),2)&amp;IF(L60=1," (UTC"&amp;I60&amp;")"," (offset unknown)"),IF(H60="DATE",DAY(O60)&amp;" "&amp;INDEX(nLIST_Months,MONTH(O60))&amp;" "&amp;YEAR(O60),IF(H60="MONTH",INDEX(nLIST_Months,MONTH(O60))&amp;" "&amp;YEAR(O60)&amp;" ("&amp;DAY(O60)&amp;" "&amp;INDEX(nLIST_Months,MONTH(O60))&amp;" "&amp;YEAR(O60)&amp;" to "&amp;DAY(P60)&amp;" "&amp;INDEX(nLIST_Months,MONTH(P60))&amp;" "&amp;YEAR(P60)&amp;")",IF(H60="YEAR",YEAR(O60)&amp;" (1 January to 31 December)",DAY(O60)&amp;" "&amp;INDEX(nLIST_Months,MONTH(O60))&amp;" "&amp;YEAR(O60)&amp;" to "&amp;DAY(P60)&amp;" "&amp;INDEX(nLIST_Months,MONTH(P60))&amp;" "&amp;YEAR(P60)&amp;IF(H60="LAB"," (laboratory-defined)","")))))))</f>
        <v>1 May 2026</v>
      </c>
      <c r="S60" s="20" t="str">
        <f>IF(B60="","",Exposures!$M60&amp;"")</f>
        <v>2026-05-01</v>
      </c>
      <c r="T60" s="20" t="str">
        <f>IF(B60="","",Exposures!$V60&amp;"")</f>
        <v>tto_calc_test_vectors_v1.1.json V12</v>
      </c>
      <c r="U60" s="20" t="str">
        <f>IF(B60="","","Exposures row "&amp;ROW(Exposures!$A60)&amp;", Start")</f>
        <v>Exposures row 60, Start</v>
      </c>
      <c r="V60" s="20">
        <f>IF(A60="",0,COUNTIF(nTP_Key,A60))</f>
        <v>1</v>
      </c>
      <c r="W60" s="20">
        <f t="shared" si="4"/>
        <v>0</v>
      </c>
      <c r="X60" s="20">
        <f t="shared" si="5"/>
        <v>0</v>
      </c>
      <c r="Y60" s="20">
        <f t="shared" si="6"/>
        <v>46143</v>
      </c>
      <c r="Z60" s="20">
        <f t="shared" si="7"/>
        <v>46143</v>
      </c>
      <c r="AA60" s="20">
        <f t="shared" si="8"/>
        <v>56</v>
      </c>
      <c r="AB60" s="20" t="str">
        <f>""</f>
        <v/>
      </c>
      <c r="AC60" s="20" t="str">
        <f>IF(B60="","",Exposures!$F60&amp;"")</f>
        <v/>
      </c>
      <c r="AD60" s="20" t="str">
        <f>IF(B60="","",Exposures!$E60&amp;": Start")</f>
        <v>Vector drug: Start</v>
      </c>
      <c r="AE60" s="20">
        <f t="shared" si="9"/>
        <v>1</v>
      </c>
      <c r="AF60" s="20" t="str">
        <f t="shared" si="10"/>
        <v>VEC-V12|2|EX1</v>
      </c>
      <c r="AG60" s="20">
        <f t="shared" si="11"/>
        <v>1</v>
      </c>
      <c r="AH60" s="20" t="str">
        <f>""</f>
        <v/>
      </c>
    </row>
    <row r="61" spans="1:34" x14ac:dyDescent="0.2">
      <c r="A61" s="20" t="str">
        <f t="shared" si="0"/>
        <v>VEC-V13|1|EX1/START</v>
      </c>
      <c r="B61" s="20" t="str">
        <f>IF(AND(Exposures!$D61&lt;&gt;"",COUNTA(Exposures!$N61:$U61)&gt;0),Exposures!$D61&amp;"/START","")</f>
        <v>EX1/START</v>
      </c>
      <c r="C61" s="20" t="str">
        <f t="shared" si="12"/>
        <v>EXPOSURE_START</v>
      </c>
      <c r="D61" s="20" t="str">
        <f>IF(B61="","",Exposures!$A61&amp;"")</f>
        <v>VEC-V13</v>
      </c>
      <c r="E61" s="20" t="str">
        <f>IF(B61="","",Exposures!$B61&amp;"")</f>
        <v>1</v>
      </c>
      <c r="F61" s="20" t="str">
        <f t="shared" si="2"/>
        <v>VEC-V13|1</v>
      </c>
      <c r="G61" s="20" t="str">
        <f>IF(B61="","",Exposures!$D61&amp;"")</f>
        <v>EX1</v>
      </c>
      <c r="H61" s="20" t="str">
        <f>IF(B61="","",Exposures!$N61&amp;"")</f>
        <v>DATE</v>
      </c>
      <c r="I61" s="20" t="str">
        <f>IF(B61="","",Exposures!$Q61&amp;"")</f>
        <v/>
      </c>
      <c r="J61" s="20" t="str">
        <f>IF(B61="","",Exposures!$W61&amp;"")</f>
        <v/>
      </c>
      <c r="K61" s="20">
        <f>IF(B61="",0,Exposures!$X61)</f>
        <v>0</v>
      </c>
      <c r="L61" s="20">
        <f>IF(B61="",0,Exposures!$Y61)</f>
        <v>0</v>
      </c>
      <c r="M61" s="20" t="str">
        <f>IF(B61="","",Exposures!$AB61)</f>
        <v/>
      </c>
      <c r="N61" s="20" t="str">
        <f>IF(B61="","",Exposures!$AC61)</f>
        <v/>
      </c>
      <c r="O61" s="27">
        <f>IF(B61="","",Exposures!$Z61)</f>
        <v>46023</v>
      </c>
      <c r="P61" s="27">
        <f>IF(B61="","",Exposures!$AA61)</f>
        <v>46023</v>
      </c>
      <c r="Q61" s="20" t="str">
        <f t="shared" si="3"/>
        <v>2026-01-01</v>
      </c>
      <c r="R61" s="20" t="str">
        <f>IF(A61="","",IF(J61&lt;&gt;"",J61,IF(H61="TIMESTAMP",DAY(INT(M61/1440))&amp;" "&amp;INDEX(nLIST_Months,MONTH(INT(M61/1440)))&amp;" "&amp;YEAR(INT(M61/1440))&amp;" "&amp;RIGHT("0"&amp;INT(MOD(M61,1440)/60),2)&amp;":"&amp;RIGHT("0"&amp;MOD(M61,60),2)&amp;IF(L61=1," (UTC"&amp;I61&amp;")"," (offset unknown)"),IF(H61="DATE",DAY(O61)&amp;" "&amp;INDEX(nLIST_Months,MONTH(O61))&amp;" "&amp;YEAR(O61),IF(H61="MONTH",INDEX(nLIST_Months,MONTH(O61))&amp;" "&amp;YEAR(O61)&amp;" ("&amp;DAY(O61)&amp;" "&amp;INDEX(nLIST_Months,MONTH(O61))&amp;" "&amp;YEAR(O61)&amp;" to "&amp;DAY(P61)&amp;" "&amp;INDEX(nLIST_Months,MONTH(P61))&amp;" "&amp;YEAR(P61)&amp;")",IF(H61="YEAR",YEAR(O61)&amp;" (1 January to 31 December)",DAY(O61)&amp;" "&amp;INDEX(nLIST_Months,MONTH(O61))&amp;" "&amp;YEAR(O61)&amp;" to "&amp;DAY(P61)&amp;" "&amp;INDEX(nLIST_Months,MONTH(P61))&amp;" "&amp;YEAR(P61)&amp;IF(H61="LAB"," (laboratory-defined)","")))))))</f>
        <v>1 January 2026</v>
      </c>
      <c r="S61" s="20" t="str">
        <f>IF(B61="","",Exposures!$M61&amp;"")</f>
        <v>first of two episodes both called EX1</v>
      </c>
      <c r="T61" s="20" t="str">
        <f>IF(B61="","",Exposures!$V61&amp;"")</f>
        <v>tto_calc_test_vectors_v1.1.json V13</v>
      </c>
      <c r="U61" s="20" t="str">
        <f>IF(B61="","","Exposures row "&amp;ROW(Exposures!$A61)&amp;", Start")</f>
        <v>Exposures row 61, Start</v>
      </c>
      <c r="V61" s="20">
        <f>IF(A61="",0,COUNTIF(nTP_Key,A61))</f>
        <v>2</v>
      </c>
      <c r="W61" s="20">
        <f t="shared" si="4"/>
        <v>0</v>
      </c>
      <c r="X61" s="20">
        <f t="shared" si="5"/>
        <v>0</v>
      </c>
      <c r="Y61" s="20">
        <f t="shared" si="6"/>
        <v>46023</v>
      </c>
      <c r="Z61" s="20">
        <f t="shared" si="7"/>
        <v>46023</v>
      </c>
      <c r="AA61" s="20">
        <f t="shared" si="8"/>
        <v>57</v>
      </c>
      <c r="AB61" s="20" t="str">
        <f>""</f>
        <v/>
      </c>
      <c r="AC61" s="20" t="str">
        <f>IF(B61="","",Exposures!$F61&amp;"")</f>
        <v/>
      </c>
      <c r="AD61" s="20" t="str">
        <f>IF(B61="","",Exposures!$E61&amp;": Start")</f>
        <v>Vector drug: Start</v>
      </c>
      <c r="AE61" s="20">
        <f t="shared" si="9"/>
        <v>1</v>
      </c>
      <c r="AF61" s="20" t="str">
        <f t="shared" si="10"/>
        <v>VEC-V13|1|EX1</v>
      </c>
      <c r="AG61" s="20">
        <f t="shared" si="11"/>
        <v>1</v>
      </c>
      <c r="AH61" s="20" t="str">
        <f>""</f>
        <v/>
      </c>
    </row>
    <row r="62" spans="1:34" x14ac:dyDescent="0.2">
      <c r="A62" s="20" t="str">
        <f t="shared" si="0"/>
        <v>VEC-V13|1|EX1/START</v>
      </c>
      <c r="B62" s="20" t="str">
        <f>IF(AND(Exposures!$D62&lt;&gt;"",COUNTA(Exposures!$N62:$U62)&gt;0),Exposures!$D62&amp;"/START","")</f>
        <v>EX1/START</v>
      </c>
      <c r="C62" s="20" t="str">
        <f t="shared" si="12"/>
        <v>EXPOSURE_START</v>
      </c>
      <c r="D62" s="20" t="str">
        <f>IF(B62="","",Exposures!$A62&amp;"")</f>
        <v>VEC-V13</v>
      </c>
      <c r="E62" s="20" t="str">
        <f>IF(B62="","",Exposures!$B62&amp;"")</f>
        <v>1</v>
      </c>
      <c r="F62" s="20" t="str">
        <f t="shared" si="2"/>
        <v>VEC-V13|1</v>
      </c>
      <c r="G62" s="20" t="str">
        <f>IF(B62="","",Exposures!$D62&amp;"")</f>
        <v>EX1</v>
      </c>
      <c r="H62" s="20" t="str">
        <f>IF(B62="","",Exposures!$N62&amp;"")</f>
        <v>DATE</v>
      </c>
      <c r="I62" s="20" t="str">
        <f>IF(B62="","",Exposures!$Q62&amp;"")</f>
        <v/>
      </c>
      <c r="J62" s="20" t="str">
        <f>IF(B62="","",Exposures!$W62&amp;"")</f>
        <v/>
      </c>
      <c r="K62" s="20">
        <f>IF(B62="",0,Exposures!$X62)</f>
        <v>0</v>
      </c>
      <c r="L62" s="20">
        <f>IF(B62="",0,Exposures!$Y62)</f>
        <v>0</v>
      </c>
      <c r="M62" s="20" t="str">
        <f>IF(B62="","",Exposures!$AB62)</f>
        <v/>
      </c>
      <c r="N62" s="20" t="str">
        <f>IF(B62="","",Exposures!$AC62)</f>
        <v/>
      </c>
      <c r="O62" s="27">
        <f>IF(B62="","",Exposures!$Z62)</f>
        <v>46024</v>
      </c>
      <c r="P62" s="27">
        <f>IF(B62="","",Exposures!$AA62)</f>
        <v>46024</v>
      </c>
      <c r="Q62" s="20" t="str">
        <f t="shared" si="3"/>
        <v>2026-01-02</v>
      </c>
      <c r="R62" s="20" t="str">
        <f>IF(A62="","",IF(J62&lt;&gt;"",J62,IF(H62="TIMESTAMP",DAY(INT(M62/1440))&amp;" "&amp;INDEX(nLIST_Months,MONTH(INT(M62/1440)))&amp;" "&amp;YEAR(INT(M62/1440))&amp;" "&amp;RIGHT("0"&amp;INT(MOD(M62,1440)/60),2)&amp;":"&amp;RIGHT("0"&amp;MOD(M62,60),2)&amp;IF(L62=1," (UTC"&amp;I62&amp;")"," (offset unknown)"),IF(H62="DATE",DAY(O62)&amp;" "&amp;INDEX(nLIST_Months,MONTH(O62))&amp;" "&amp;YEAR(O62),IF(H62="MONTH",INDEX(nLIST_Months,MONTH(O62))&amp;" "&amp;YEAR(O62)&amp;" ("&amp;DAY(O62)&amp;" "&amp;INDEX(nLIST_Months,MONTH(O62))&amp;" "&amp;YEAR(O62)&amp;" to "&amp;DAY(P62)&amp;" "&amp;INDEX(nLIST_Months,MONTH(P62))&amp;" "&amp;YEAR(P62)&amp;")",IF(H62="YEAR",YEAR(O62)&amp;" (1 January to 31 December)",DAY(O62)&amp;" "&amp;INDEX(nLIST_Months,MONTH(O62))&amp;" "&amp;YEAR(O62)&amp;" to "&amp;DAY(P62)&amp;" "&amp;INDEX(nLIST_Months,MONTH(P62))&amp;" "&amp;YEAR(P62)&amp;IF(H62="LAB"," (laboratory-defined)","")))))))</f>
        <v>2 January 2026</v>
      </c>
      <c r="S62" s="20" t="str">
        <f>IF(B62="","",Exposures!$M62&amp;"")</f>
        <v>second episode reusing the ID EX1</v>
      </c>
      <c r="T62" s="20" t="str">
        <f>IF(B62="","",Exposures!$V62&amp;"")</f>
        <v>tto_calc_test_vectors_v1.1.json V13</v>
      </c>
      <c r="U62" s="20" t="str">
        <f>IF(B62="","","Exposures row "&amp;ROW(Exposures!$A62)&amp;", Start")</f>
        <v>Exposures row 62, Start</v>
      </c>
      <c r="V62" s="20">
        <f>IF(A62="",0,COUNTIF(nTP_Key,A62))</f>
        <v>2</v>
      </c>
      <c r="W62" s="20">
        <f t="shared" si="4"/>
        <v>0</v>
      </c>
      <c r="X62" s="20">
        <f t="shared" si="5"/>
        <v>0</v>
      </c>
      <c r="Y62" s="20">
        <f t="shared" si="6"/>
        <v>46024</v>
      </c>
      <c r="Z62" s="20">
        <f t="shared" si="7"/>
        <v>46024</v>
      </c>
      <c r="AA62" s="20">
        <f t="shared" si="8"/>
        <v>58</v>
      </c>
      <c r="AB62" s="20" t="str">
        <f>""</f>
        <v/>
      </c>
      <c r="AC62" s="20" t="str">
        <f>IF(B62="","",Exposures!$F62&amp;"")</f>
        <v/>
      </c>
      <c r="AD62" s="20" t="str">
        <f>IF(B62="","",Exposures!$E62&amp;": Start")</f>
        <v>Vector drug: Start</v>
      </c>
      <c r="AE62" s="20">
        <f t="shared" si="9"/>
        <v>1</v>
      </c>
      <c r="AF62" s="20" t="str">
        <f t="shared" si="10"/>
        <v>VEC-V13|1|EX1</v>
      </c>
      <c r="AG62" s="20">
        <f t="shared" si="11"/>
        <v>1</v>
      </c>
      <c r="AH62" s="20" t="str">
        <f>""</f>
        <v/>
      </c>
    </row>
    <row r="63" spans="1:34" x14ac:dyDescent="0.2">
      <c r="A63" s="20" t="str">
        <f t="shared" si="0"/>
        <v>VEC-V13|1|EX2/START</v>
      </c>
      <c r="B63" s="20" t="str">
        <f>IF(AND(Exposures!$D63&lt;&gt;"",COUNTA(Exposures!$N63:$U63)&gt;0),Exposures!$D63&amp;"/START","")</f>
        <v>EX2/START</v>
      </c>
      <c r="C63" s="20" t="str">
        <f t="shared" si="12"/>
        <v>EXPOSURE_START</v>
      </c>
      <c r="D63" s="20" t="str">
        <f>IF(B63="","",Exposures!$A63&amp;"")</f>
        <v>VEC-V13</v>
      </c>
      <c r="E63" s="20" t="str">
        <f>IF(B63="","",Exposures!$B63&amp;"")</f>
        <v>1</v>
      </c>
      <c r="F63" s="20" t="str">
        <f t="shared" si="2"/>
        <v>VEC-V13|1</v>
      </c>
      <c r="G63" s="20" t="str">
        <f>IF(B63="","",Exposures!$D63&amp;"")</f>
        <v>EX2</v>
      </c>
      <c r="H63" s="20" t="str">
        <f>IF(B63="","",Exposures!$N63&amp;"")</f>
        <v>RANGE</v>
      </c>
      <c r="I63" s="20" t="str">
        <f>IF(B63="","",Exposures!$Q63&amp;"")</f>
        <v/>
      </c>
      <c r="J63" s="20" t="str">
        <f>IF(B63="","",Exposures!$W63&amp;"")</f>
        <v>E_REVERSED_BOUNDS</v>
      </c>
      <c r="K63" s="20">
        <f>IF(B63="",0,Exposures!$X63)</f>
        <v>0</v>
      </c>
      <c r="L63" s="20">
        <f>IF(B63="",0,Exposures!$Y63)</f>
        <v>0</v>
      </c>
      <c r="M63" s="20" t="str">
        <f>IF(B63="","",Exposures!$AB63)</f>
        <v/>
      </c>
      <c r="N63" s="20" t="str">
        <f>IF(B63="","",Exposures!$AC63)</f>
        <v/>
      </c>
      <c r="O63" s="27" t="str">
        <f>IF(B63="","",Exposures!$Z63)</f>
        <v/>
      </c>
      <c r="P63" s="27" t="str">
        <f>IF(B63="","",Exposures!$AA63)</f>
        <v/>
      </c>
      <c r="Q63" s="20" t="str">
        <f t="shared" si="3"/>
        <v/>
      </c>
      <c r="R63" s="20" t="str">
        <f>IF(A63="","",IF(J63&lt;&gt;"",J63,IF(H63="TIMESTAMP",DAY(INT(M63/1440))&amp;" "&amp;INDEX(nLIST_Months,MONTH(INT(M63/1440)))&amp;" "&amp;YEAR(INT(M63/1440))&amp;" "&amp;RIGHT("0"&amp;INT(MOD(M63,1440)/60),2)&amp;":"&amp;RIGHT("0"&amp;MOD(M63,60),2)&amp;IF(L63=1," (UTC"&amp;I63&amp;")"," (offset unknown)"),IF(H63="DATE",DAY(O63)&amp;" "&amp;INDEX(nLIST_Months,MONTH(O63))&amp;" "&amp;YEAR(O63),IF(H63="MONTH",INDEX(nLIST_Months,MONTH(O63))&amp;" "&amp;YEAR(O63)&amp;" ("&amp;DAY(O63)&amp;" "&amp;INDEX(nLIST_Months,MONTH(O63))&amp;" "&amp;YEAR(O63)&amp;" to "&amp;DAY(P63)&amp;" "&amp;INDEX(nLIST_Months,MONTH(P63))&amp;" "&amp;YEAR(P63)&amp;")",IF(H63="YEAR",YEAR(O63)&amp;" (1 January to 31 December)",DAY(O63)&amp;" "&amp;INDEX(nLIST_Months,MONTH(O63))&amp;" "&amp;YEAR(O63)&amp;" to "&amp;DAY(P63)&amp;" "&amp;INDEX(nLIST_Months,MONTH(P63))&amp;" "&amp;YEAR(P63)&amp;IF(H63="LAB"," (laboratory-defined)","")))))))</f>
        <v>E_REVERSED_BOUNDS</v>
      </c>
      <c r="S63" s="20" t="str">
        <f>IF(B63="","",Exposures!$M63&amp;"")</f>
        <v>bounds entered in reverse order</v>
      </c>
      <c r="T63" s="20" t="str">
        <f>IF(B63="","",Exposures!$V63&amp;"")</f>
        <v>tto_calc_test_vectors_v1.1.json V13</v>
      </c>
      <c r="U63" s="20" t="str">
        <f>IF(B63="","","Exposures row "&amp;ROW(Exposures!$A63)&amp;", Start")</f>
        <v>Exposures row 63, Start</v>
      </c>
      <c r="V63" s="20">
        <f>IF(A63="",0,COUNTIF(nTP_Key,A63))</f>
        <v>1</v>
      </c>
      <c r="W63" s="20">
        <f t="shared" si="4"/>
        <v>0</v>
      </c>
      <c r="X63" s="20">
        <f t="shared" si="5"/>
        <v>0</v>
      </c>
      <c r="Y63" s="20">
        <f t="shared" si="6"/>
        <v>0</v>
      </c>
      <c r="Z63" s="20">
        <f t="shared" si="7"/>
        <v>0</v>
      </c>
      <c r="AA63" s="20">
        <f t="shared" si="8"/>
        <v>59</v>
      </c>
      <c r="AB63" s="20" t="str">
        <f>""</f>
        <v/>
      </c>
      <c r="AC63" s="20" t="str">
        <f>IF(B63="","",Exposures!$F63&amp;"")</f>
        <v/>
      </c>
      <c r="AD63" s="20" t="str">
        <f>IF(B63="","",Exposures!$E63&amp;": Start")</f>
        <v>Vector drug: Start</v>
      </c>
      <c r="AE63" s="20">
        <f t="shared" si="9"/>
        <v>1</v>
      </c>
      <c r="AF63" s="20" t="str">
        <f t="shared" si="10"/>
        <v>VEC-V13|1|EX2</v>
      </c>
      <c r="AG63" s="20">
        <f t="shared" si="11"/>
        <v>0</v>
      </c>
      <c r="AH63" s="20" t="str">
        <f>""</f>
        <v/>
      </c>
    </row>
    <row r="64" spans="1:34" x14ac:dyDescent="0.2">
      <c r="A64" s="20" t="str">
        <f t="shared" si="0"/>
        <v>VEC-V13|1|EX3/START</v>
      </c>
      <c r="B64" s="20" t="str">
        <f>IF(AND(Exposures!$D64&lt;&gt;"",COUNTA(Exposures!$N64:$U64)&gt;0),Exposures!$D64&amp;"/START","")</f>
        <v>EX3/START</v>
      </c>
      <c r="C64" s="20" t="str">
        <f t="shared" si="12"/>
        <v>EXPOSURE_START</v>
      </c>
      <c r="D64" s="20" t="str">
        <f>IF(B64="","",Exposures!$A64&amp;"")</f>
        <v>VEC-V13</v>
      </c>
      <c r="E64" s="20" t="str">
        <f>IF(B64="","",Exposures!$B64&amp;"")</f>
        <v>1</v>
      </c>
      <c r="F64" s="20" t="str">
        <f t="shared" si="2"/>
        <v>VEC-V13|1</v>
      </c>
      <c r="G64" s="20" t="str">
        <f>IF(B64="","",Exposures!$D64&amp;"")</f>
        <v>EX3</v>
      </c>
      <c r="H64" s="20" t="str">
        <f>IF(B64="","",Exposures!$N64&amp;"")</f>
        <v>DATE</v>
      </c>
      <c r="I64" s="20" t="str">
        <f>IF(B64="","",Exposures!$Q64&amp;"")</f>
        <v/>
      </c>
      <c r="J64" s="20" t="str">
        <f>IF(B64="","",Exposures!$W64&amp;"")</f>
        <v/>
      </c>
      <c r="K64" s="20">
        <f>IF(B64="",0,Exposures!$X64)</f>
        <v>0</v>
      </c>
      <c r="L64" s="20">
        <f>IF(B64="",0,Exposures!$Y64)</f>
        <v>0</v>
      </c>
      <c r="M64" s="20" t="str">
        <f>IF(B64="","",Exposures!$AB64)</f>
        <v/>
      </c>
      <c r="N64" s="20" t="str">
        <f>IF(B64="","",Exposures!$AC64)</f>
        <v/>
      </c>
      <c r="O64" s="27">
        <f>IF(B64="","",Exposures!$Z64)</f>
        <v>46037</v>
      </c>
      <c r="P64" s="27">
        <f>IF(B64="","",Exposures!$AA64)</f>
        <v>46037</v>
      </c>
      <c r="Q64" s="20" t="str">
        <f t="shared" si="3"/>
        <v>2026-01-15</v>
      </c>
      <c r="R64" s="20" t="str">
        <f>IF(A64="","",IF(J64&lt;&gt;"",J64,IF(H64="TIMESTAMP",DAY(INT(M64/1440))&amp;" "&amp;INDEX(nLIST_Months,MONTH(INT(M64/1440)))&amp;" "&amp;YEAR(INT(M64/1440))&amp;" "&amp;RIGHT("0"&amp;INT(MOD(M64,1440)/60),2)&amp;":"&amp;RIGHT("0"&amp;MOD(M64,60),2)&amp;IF(L64=1," (UTC"&amp;I64&amp;")"," (offset unknown)"),IF(H64="DATE",DAY(O64)&amp;" "&amp;INDEX(nLIST_Months,MONTH(O64))&amp;" "&amp;YEAR(O64),IF(H64="MONTH",INDEX(nLIST_Months,MONTH(O64))&amp;" "&amp;YEAR(O64)&amp;" ("&amp;DAY(O64)&amp;" "&amp;INDEX(nLIST_Months,MONTH(O64))&amp;" "&amp;YEAR(O64)&amp;" to "&amp;DAY(P64)&amp;" "&amp;INDEX(nLIST_Months,MONTH(P64))&amp;" "&amp;YEAR(P64)&amp;")",IF(H64="YEAR",YEAR(O64)&amp;" (1 January to 31 December)",DAY(O64)&amp;" "&amp;INDEX(nLIST_Months,MONTH(O64))&amp;" "&amp;YEAR(O64)&amp;" to "&amp;DAY(P64)&amp;" "&amp;INDEX(nLIST_Months,MONTH(P64))&amp;" "&amp;YEAR(P64)&amp;IF(H64="LAB"," (laboratory-defined)","")))))))</f>
        <v>15 January 2026</v>
      </c>
      <c r="S64" s="20" t="str">
        <f>IF(B64="","",Exposures!$M64&amp;"")</f>
        <v>2026-01-15</v>
      </c>
      <c r="T64" s="20" t="str">
        <f>IF(B64="","",Exposures!$V64&amp;"")</f>
        <v>tto_calc_test_vectors_v1.1.json V13</v>
      </c>
      <c r="U64" s="20" t="str">
        <f>IF(B64="","","Exposures row "&amp;ROW(Exposures!$A64)&amp;", Start")</f>
        <v>Exposures row 64, Start</v>
      </c>
      <c r="V64" s="20">
        <f>IF(A64="",0,COUNTIF(nTP_Key,A64))</f>
        <v>1</v>
      </c>
      <c r="W64" s="20">
        <f t="shared" si="4"/>
        <v>0</v>
      </c>
      <c r="X64" s="20">
        <f t="shared" si="5"/>
        <v>0</v>
      </c>
      <c r="Y64" s="20">
        <f t="shared" si="6"/>
        <v>46037</v>
      </c>
      <c r="Z64" s="20">
        <f t="shared" si="7"/>
        <v>46037</v>
      </c>
      <c r="AA64" s="20">
        <f t="shared" si="8"/>
        <v>60</v>
      </c>
      <c r="AB64" s="20" t="str">
        <f>""</f>
        <v/>
      </c>
      <c r="AC64" s="20" t="str">
        <f>IF(B64="","",Exposures!$F64&amp;"")</f>
        <v/>
      </c>
      <c r="AD64" s="20" t="str">
        <f>IF(B64="","",Exposures!$E64&amp;": Start")</f>
        <v>Vector drug: Start</v>
      </c>
      <c r="AE64" s="20">
        <f t="shared" si="9"/>
        <v>1</v>
      </c>
      <c r="AF64" s="20" t="str">
        <f t="shared" si="10"/>
        <v>VEC-V13|1|EX3</v>
      </c>
      <c r="AG64" s="20">
        <f t="shared" si="11"/>
        <v>1</v>
      </c>
      <c r="AH64" s="20" t="str">
        <f>""</f>
        <v/>
      </c>
    </row>
    <row r="65" spans="1:34" x14ac:dyDescent="0.2">
      <c r="A65" s="20" t="str">
        <f t="shared" si="0"/>
        <v/>
      </c>
      <c r="B65" s="20" t="str">
        <f>IF(AND(Exposures!$D65&lt;&gt;"",COUNTA(Exposures!$N65:$U65)&gt;0),Exposures!$D65&amp;"/START","")</f>
        <v/>
      </c>
      <c r="C65" s="20" t="str">
        <f t="shared" si="12"/>
        <v/>
      </c>
      <c r="D65" s="20" t="str">
        <f>IF(B65="","",Exposures!$A65&amp;"")</f>
        <v/>
      </c>
      <c r="E65" s="20" t="str">
        <f>IF(B65="","",Exposures!$B65&amp;"")</f>
        <v/>
      </c>
      <c r="F65" s="20" t="str">
        <f t="shared" si="2"/>
        <v/>
      </c>
      <c r="G65" s="20" t="str">
        <f>IF(B65="","",Exposures!$D65&amp;"")</f>
        <v/>
      </c>
      <c r="H65" s="20" t="str">
        <f>IF(B65="","",Exposures!$N65&amp;"")</f>
        <v/>
      </c>
      <c r="I65" s="20" t="str">
        <f>IF(B65="","",Exposures!$Q65&amp;"")</f>
        <v/>
      </c>
      <c r="J65" s="20" t="str">
        <f>IF(B65="","",Exposures!$W65&amp;"")</f>
        <v/>
      </c>
      <c r="K65" s="20">
        <f>IF(B65="",0,Exposures!$X65)</f>
        <v>0</v>
      </c>
      <c r="L65" s="20">
        <f>IF(B65="",0,Exposures!$Y65)</f>
        <v>0</v>
      </c>
      <c r="M65" s="20" t="str">
        <f>IF(B65="","",Exposures!$AB65)</f>
        <v/>
      </c>
      <c r="N65" s="20" t="str">
        <f>IF(B65="","",Exposures!$AC65)</f>
        <v/>
      </c>
      <c r="O65" s="27" t="str">
        <f>IF(B65="","",Exposures!$Z65)</f>
        <v/>
      </c>
      <c r="P65" s="27" t="str">
        <f>IF(B65="","",Exposures!$AA65)</f>
        <v/>
      </c>
      <c r="Q65" s="20" t="str">
        <f t="shared" si="3"/>
        <v/>
      </c>
      <c r="R65" s="20" t="str">
        <f>IF(A65="","",IF(J65&lt;&gt;"",J65,IF(H65="TIMESTAMP",DAY(INT(M65/1440))&amp;" "&amp;INDEX(nLIST_Months,MONTH(INT(M65/1440)))&amp;" "&amp;YEAR(INT(M65/1440))&amp;" "&amp;RIGHT("0"&amp;INT(MOD(M65,1440)/60),2)&amp;":"&amp;RIGHT("0"&amp;MOD(M65,60),2)&amp;IF(L65=1," (UTC"&amp;I65&amp;")"," (offset unknown)"),IF(H65="DATE",DAY(O65)&amp;" "&amp;INDEX(nLIST_Months,MONTH(O65))&amp;" "&amp;YEAR(O65),IF(H65="MONTH",INDEX(nLIST_Months,MONTH(O65))&amp;" "&amp;YEAR(O65)&amp;" ("&amp;DAY(O65)&amp;" "&amp;INDEX(nLIST_Months,MONTH(O65))&amp;" "&amp;YEAR(O65)&amp;" to "&amp;DAY(P65)&amp;" "&amp;INDEX(nLIST_Months,MONTH(P65))&amp;" "&amp;YEAR(P65)&amp;")",IF(H65="YEAR",YEAR(O65)&amp;" (1 January to 31 December)",DAY(O65)&amp;" "&amp;INDEX(nLIST_Months,MONTH(O65))&amp;" "&amp;YEAR(O65)&amp;" to "&amp;DAY(P65)&amp;" "&amp;INDEX(nLIST_Months,MONTH(P65))&amp;" "&amp;YEAR(P65)&amp;IF(H65="LAB"," (laboratory-defined)","")))))))</f>
        <v/>
      </c>
      <c r="S65" s="20" t="str">
        <f>IF(B65="","",Exposures!$M65&amp;"")</f>
        <v/>
      </c>
      <c r="T65" s="20" t="str">
        <f>IF(B65="","",Exposures!$V65&amp;"")</f>
        <v/>
      </c>
      <c r="U65" s="20" t="str">
        <f>IF(B65="","","Exposures row "&amp;ROW(Exposures!$A65)&amp;", Start")</f>
        <v/>
      </c>
      <c r="V65" s="20">
        <f>IF(A65="",0,COUNTIF(nTP_Key,A65))</f>
        <v>0</v>
      </c>
      <c r="W65" s="20">
        <f t="shared" si="4"/>
        <v>0</v>
      </c>
      <c r="X65" s="20">
        <f t="shared" si="5"/>
        <v>0</v>
      </c>
      <c r="Y65" s="20">
        <f t="shared" si="6"/>
        <v>0</v>
      </c>
      <c r="Z65" s="20">
        <f t="shared" si="7"/>
        <v>0</v>
      </c>
      <c r="AA65" s="20">
        <f t="shared" si="8"/>
        <v>61</v>
      </c>
      <c r="AB65" s="20" t="str">
        <f>""</f>
        <v/>
      </c>
      <c r="AC65" s="20" t="str">
        <f>IF(B65="","",Exposures!$F65&amp;"")</f>
        <v/>
      </c>
      <c r="AD65" s="20" t="str">
        <f>IF(B65="","",Exposures!$E65&amp;": Start")</f>
        <v/>
      </c>
      <c r="AE65" s="20">
        <f t="shared" si="9"/>
        <v>0</v>
      </c>
      <c r="AF65" s="20" t="str">
        <f t="shared" si="10"/>
        <v/>
      </c>
      <c r="AG65" s="20">
        <f t="shared" si="11"/>
        <v>0</v>
      </c>
      <c r="AH65" s="20" t="str">
        <f>""</f>
        <v/>
      </c>
    </row>
    <row r="66" spans="1:34" x14ac:dyDescent="0.2">
      <c r="A66" s="20" t="str">
        <f t="shared" si="0"/>
        <v>VEC-V25|1|EX1/START</v>
      </c>
      <c r="B66" s="20" t="str">
        <f>IF(AND(Exposures!$D66&lt;&gt;"",COUNTA(Exposures!$N66:$U66)&gt;0),Exposures!$D66&amp;"/START","")</f>
        <v>EX1/START</v>
      </c>
      <c r="C66" s="20" t="str">
        <f t="shared" si="12"/>
        <v>EXPOSURE_START</v>
      </c>
      <c r="D66" s="20" t="str">
        <f>IF(B66="","",Exposures!$A66&amp;"")</f>
        <v>VEC-V25</v>
      </c>
      <c r="E66" s="20" t="str">
        <f>IF(B66="","",Exposures!$B66&amp;"")</f>
        <v>1</v>
      </c>
      <c r="F66" s="20" t="str">
        <f t="shared" si="2"/>
        <v>VEC-V25|1</v>
      </c>
      <c r="G66" s="20" t="str">
        <f>IF(B66="","",Exposures!$D66&amp;"")</f>
        <v>EX1</v>
      </c>
      <c r="H66" s="20" t="str">
        <f>IF(B66="","",Exposures!$N66&amp;"")</f>
        <v>TIMESTAMP</v>
      </c>
      <c r="I66" s="20" t="str">
        <f>IF(B66="","",Exposures!$Q66&amp;"")</f>
        <v>-05:00</v>
      </c>
      <c r="J66" s="20" t="str">
        <f>IF(B66="","",Exposures!$W66&amp;"")</f>
        <v/>
      </c>
      <c r="K66" s="20">
        <f>IF(B66="",0,Exposures!$X66)</f>
        <v>1</v>
      </c>
      <c r="L66" s="20">
        <f>IF(B66="",0,Exposures!$Y66)</f>
        <v>1</v>
      </c>
      <c r="M66" s="20">
        <f>IF(B66="","",Exposures!$AB66)</f>
        <v>66286620</v>
      </c>
      <c r="N66" s="20">
        <f>IF(B66="","",Exposures!$AC66)</f>
        <v>66286920</v>
      </c>
      <c r="O66" s="27">
        <f>IF(B66="","",Exposures!$Z66)</f>
        <v>46032</v>
      </c>
      <c r="P66" s="27">
        <f>IF(B66="","",Exposures!$AA66)</f>
        <v>46032</v>
      </c>
      <c r="Q66" s="20" t="str">
        <f t="shared" si="3"/>
        <v>2026-01-10T09:00-05:00</v>
      </c>
      <c r="R66" s="20" t="str">
        <f>IF(A66="","",IF(J66&lt;&gt;"",J66,IF(H66="TIMESTAMP",DAY(INT(M66/1440))&amp;" "&amp;INDEX(nLIST_Months,MONTH(INT(M66/1440)))&amp;" "&amp;YEAR(INT(M66/1440))&amp;" "&amp;RIGHT("0"&amp;INT(MOD(M66,1440)/60),2)&amp;":"&amp;RIGHT("0"&amp;MOD(M66,60),2)&amp;IF(L66=1," (UTC"&amp;I66&amp;")"," (offset unknown)"),IF(H66="DATE",DAY(O66)&amp;" "&amp;INDEX(nLIST_Months,MONTH(O66))&amp;" "&amp;YEAR(O66),IF(H66="MONTH",INDEX(nLIST_Months,MONTH(O66))&amp;" "&amp;YEAR(O66)&amp;" ("&amp;DAY(O66)&amp;" "&amp;INDEX(nLIST_Months,MONTH(O66))&amp;" "&amp;YEAR(O66)&amp;" to "&amp;DAY(P66)&amp;" "&amp;INDEX(nLIST_Months,MONTH(P66))&amp;" "&amp;YEAR(P66)&amp;")",IF(H66="YEAR",YEAR(O66)&amp;" (1 January to 31 December)",DAY(O66)&amp;" "&amp;INDEX(nLIST_Months,MONTH(O66))&amp;" "&amp;YEAR(O66)&amp;" to "&amp;DAY(P66)&amp;" "&amp;INDEX(nLIST_Months,MONTH(P66))&amp;" "&amp;YEAR(P66)&amp;IF(H66="LAB"," (laboratory-defined)","")))))))</f>
        <v>10 January 2026 09:00 (UTC-05:00)</v>
      </c>
      <c r="S66" s="20" t="str">
        <f>IF(B66="","",Exposures!$M66&amp;"")</f>
        <v>infusion start</v>
      </c>
      <c r="T66" s="20" t="str">
        <f>IF(B66="","",Exposures!$V66&amp;"")</f>
        <v>tto_calc_test_vectors_v1.1.json V25</v>
      </c>
      <c r="U66" s="20" t="str">
        <f>IF(B66="","","Exposures row "&amp;ROW(Exposures!$A66)&amp;", Start")</f>
        <v>Exposures row 66, Start</v>
      </c>
      <c r="V66" s="20">
        <f>IF(A66="",0,COUNTIF(nTP_Key,A66))</f>
        <v>1</v>
      </c>
      <c r="W66" s="20">
        <f t="shared" si="4"/>
        <v>66286620</v>
      </c>
      <c r="X66" s="20">
        <f t="shared" si="5"/>
        <v>66286920</v>
      </c>
      <c r="Y66" s="20">
        <f t="shared" si="6"/>
        <v>46032</v>
      </c>
      <c r="Z66" s="20">
        <f t="shared" si="7"/>
        <v>46032</v>
      </c>
      <c r="AA66" s="20">
        <f t="shared" si="8"/>
        <v>62</v>
      </c>
      <c r="AB66" s="20" t="str">
        <f>""</f>
        <v/>
      </c>
      <c r="AC66" s="20" t="str">
        <f>IF(B66="","",Exposures!$F66&amp;"")</f>
        <v/>
      </c>
      <c r="AD66" s="20" t="str">
        <f>IF(B66="","",Exposures!$E66&amp;": Start")</f>
        <v>Vector drug: Start</v>
      </c>
      <c r="AE66" s="20">
        <f t="shared" si="9"/>
        <v>1</v>
      </c>
      <c r="AF66" s="20" t="str">
        <f t="shared" si="10"/>
        <v>VEC-V25|1|EX1</v>
      </c>
      <c r="AG66" s="20">
        <f t="shared" si="11"/>
        <v>1</v>
      </c>
      <c r="AH66" s="20" t="str">
        <f>""</f>
        <v/>
      </c>
    </row>
    <row r="67" spans="1:34" x14ac:dyDescent="0.2">
      <c r="A67" s="20" t="str">
        <f t="shared" si="0"/>
        <v/>
      </c>
      <c r="B67" s="20" t="str">
        <f>IF(AND(Exposures!$D67&lt;&gt;"",COUNTA(Exposures!$N67:$U67)&gt;0),Exposures!$D67&amp;"/START","")</f>
        <v/>
      </c>
      <c r="C67" s="20" t="str">
        <f t="shared" si="12"/>
        <v/>
      </c>
      <c r="D67" s="20" t="str">
        <f>IF(B67="","",Exposures!$A67&amp;"")</f>
        <v/>
      </c>
      <c r="E67" s="20" t="str">
        <f>IF(B67="","",Exposures!$B67&amp;"")</f>
        <v/>
      </c>
      <c r="F67" s="20" t="str">
        <f t="shared" si="2"/>
        <v/>
      </c>
      <c r="G67" s="20" t="str">
        <f>IF(B67="","",Exposures!$D67&amp;"")</f>
        <v/>
      </c>
      <c r="H67" s="20" t="str">
        <f>IF(B67="","",Exposures!$N67&amp;"")</f>
        <v/>
      </c>
      <c r="I67" s="20" t="str">
        <f>IF(B67="","",Exposures!$Q67&amp;"")</f>
        <v/>
      </c>
      <c r="J67" s="20" t="str">
        <f>IF(B67="","",Exposures!$W67&amp;"")</f>
        <v/>
      </c>
      <c r="K67" s="20">
        <f>IF(B67="",0,Exposures!$X67)</f>
        <v>0</v>
      </c>
      <c r="L67" s="20">
        <f>IF(B67="",0,Exposures!$Y67)</f>
        <v>0</v>
      </c>
      <c r="M67" s="20" t="str">
        <f>IF(B67="","",Exposures!$AB67)</f>
        <v/>
      </c>
      <c r="N67" s="20" t="str">
        <f>IF(B67="","",Exposures!$AC67)</f>
        <v/>
      </c>
      <c r="O67" s="27" t="str">
        <f>IF(B67="","",Exposures!$Z67)</f>
        <v/>
      </c>
      <c r="P67" s="27" t="str">
        <f>IF(B67="","",Exposures!$AA67)</f>
        <v/>
      </c>
      <c r="Q67" s="20" t="str">
        <f t="shared" si="3"/>
        <v/>
      </c>
      <c r="R67" s="20" t="str">
        <f>IF(A67="","",IF(J67&lt;&gt;"",J67,IF(H67="TIMESTAMP",DAY(INT(M67/1440))&amp;" "&amp;INDEX(nLIST_Months,MONTH(INT(M67/1440)))&amp;" "&amp;YEAR(INT(M67/1440))&amp;" "&amp;RIGHT("0"&amp;INT(MOD(M67,1440)/60),2)&amp;":"&amp;RIGHT("0"&amp;MOD(M67,60),2)&amp;IF(L67=1," (UTC"&amp;I67&amp;")"," (offset unknown)"),IF(H67="DATE",DAY(O67)&amp;" "&amp;INDEX(nLIST_Months,MONTH(O67))&amp;" "&amp;YEAR(O67),IF(H67="MONTH",INDEX(nLIST_Months,MONTH(O67))&amp;" "&amp;YEAR(O67)&amp;" ("&amp;DAY(O67)&amp;" "&amp;INDEX(nLIST_Months,MONTH(O67))&amp;" "&amp;YEAR(O67)&amp;" to "&amp;DAY(P67)&amp;" "&amp;INDEX(nLIST_Months,MONTH(P67))&amp;" "&amp;YEAR(P67)&amp;")",IF(H67="YEAR",YEAR(O67)&amp;" (1 January to 31 December)",DAY(O67)&amp;" "&amp;INDEX(nLIST_Months,MONTH(O67))&amp;" "&amp;YEAR(O67)&amp;" to "&amp;DAY(P67)&amp;" "&amp;INDEX(nLIST_Months,MONTH(P67))&amp;" "&amp;YEAR(P67)&amp;IF(H67="LAB"," (laboratory-defined)","")))))))</f>
        <v/>
      </c>
      <c r="S67" s="20" t="str">
        <f>IF(B67="","",Exposures!$M67&amp;"")</f>
        <v/>
      </c>
      <c r="T67" s="20" t="str">
        <f>IF(B67="","",Exposures!$V67&amp;"")</f>
        <v/>
      </c>
      <c r="U67" s="20" t="str">
        <f>IF(B67="","","Exposures row "&amp;ROW(Exposures!$A67)&amp;", Start")</f>
        <v/>
      </c>
      <c r="V67" s="20">
        <f>IF(A67="",0,COUNTIF(nTP_Key,A67))</f>
        <v>0</v>
      </c>
      <c r="W67" s="20">
        <f t="shared" si="4"/>
        <v>0</v>
      </c>
      <c r="X67" s="20">
        <f t="shared" si="5"/>
        <v>0</v>
      </c>
      <c r="Y67" s="20">
        <f t="shared" si="6"/>
        <v>0</v>
      </c>
      <c r="Z67" s="20">
        <f t="shared" si="7"/>
        <v>0</v>
      </c>
      <c r="AA67" s="20">
        <f t="shared" si="8"/>
        <v>63</v>
      </c>
      <c r="AB67" s="20" t="str">
        <f>""</f>
        <v/>
      </c>
      <c r="AC67" s="20" t="str">
        <f>IF(B67="","",Exposures!$F67&amp;"")</f>
        <v/>
      </c>
      <c r="AD67" s="20" t="str">
        <f>IF(B67="","",Exposures!$E67&amp;": Start")</f>
        <v/>
      </c>
      <c r="AE67" s="20">
        <f t="shared" si="9"/>
        <v>0</v>
      </c>
      <c r="AF67" s="20" t="str">
        <f t="shared" si="10"/>
        <v/>
      </c>
      <c r="AG67" s="20">
        <f t="shared" si="11"/>
        <v>0</v>
      </c>
      <c r="AH67" s="20" t="str">
        <f>""</f>
        <v/>
      </c>
    </row>
    <row r="68" spans="1:34" x14ac:dyDescent="0.2">
      <c r="A68" s="20" t="str">
        <f t="shared" si="0"/>
        <v/>
      </c>
      <c r="B68" s="20" t="str">
        <f>IF(AND(Exposures!$D68&lt;&gt;"",COUNTA(Exposures!$N68:$U68)&gt;0),Exposures!$D68&amp;"/START","")</f>
        <v/>
      </c>
      <c r="C68" s="20" t="str">
        <f t="shared" si="12"/>
        <v/>
      </c>
      <c r="D68" s="20" t="str">
        <f>IF(B68="","",Exposures!$A68&amp;"")</f>
        <v/>
      </c>
      <c r="E68" s="20" t="str">
        <f>IF(B68="","",Exposures!$B68&amp;"")</f>
        <v/>
      </c>
      <c r="F68" s="20" t="str">
        <f t="shared" si="2"/>
        <v/>
      </c>
      <c r="G68" s="20" t="str">
        <f>IF(B68="","",Exposures!$D68&amp;"")</f>
        <v/>
      </c>
      <c r="H68" s="20" t="str">
        <f>IF(B68="","",Exposures!$N68&amp;"")</f>
        <v/>
      </c>
      <c r="I68" s="20" t="str">
        <f>IF(B68="","",Exposures!$Q68&amp;"")</f>
        <v/>
      </c>
      <c r="J68" s="20" t="str">
        <f>IF(B68="","",Exposures!$W68&amp;"")</f>
        <v/>
      </c>
      <c r="K68" s="20">
        <f>IF(B68="",0,Exposures!$X68)</f>
        <v>0</v>
      </c>
      <c r="L68" s="20">
        <f>IF(B68="",0,Exposures!$Y68)</f>
        <v>0</v>
      </c>
      <c r="M68" s="20" t="str">
        <f>IF(B68="","",Exposures!$AB68)</f>
        <v/>
      </c>
      <c r="N68" s="20" t="str">
        <f>IF(B68="","",Exposures!$AC68)</f>
        <v/>
      </c>
      <c r="O68" s="27" t="str">
        <f>IF(B68="","",Exposures!$Z68)</f>
        <v/>
      </c>
      <c r="P68" s="27" t="str">
        <f>IF(B68="","",Exposures!$AA68)</f>
        <v/>
      </c>
      <c r="Q68" s="20" t="str">
        <f t="shared" si="3"/>
        <v/>
      </c>
      <c r="R68" s="20" t="str">
        <f>IF(A68="","",IF(J68&lt;&gt;"",J68,IF(H68="TIMESTAMP",DAY(INT(M68/1440))&amp;" "&amp;INDEX(nLIST_Months,MONTH(INT(M68/1440)))&amp;" "&amp;YEAR(INT(M68/1440))&amp;" "&amp;RIGHT("0"&amp;INT(MOD(M68,1440)/60),2)&amp;":"&amp;RIGHT("0"&amp;MOD(M68,60),2)&amp;IF(L68=1," (UTC"&amp;I68&amp;")"," (offset unknown)"),IF(H68="DATE",DAY(O68)&amp;" "&amp;INDEX(nLIST_Months,MONTH(O68))&amp;" "&amp;YEAR(O68),IF(H68="MONTH",INDEX(nLIST_Months,MONTH(O68))&amp;" "&amp;YEAR(O68)&amp;" ("&amp;DAY(O68)&amp;" "&amp;INDEX(nLIST_Months,MONTH(O68))&amp;" "&amp;YEAR(O68)&amp;" to "&amp;DAY(P68)&amp;" "&amp;INDEX(nLIST_Months,MONTH(P68))&amp;" "&amp;YEAR(P68)&amp;")",IF(H68="YEAR",YEAR(O68)&amp;" (1 January to 31 December)",DAY(O68)&amp;" "&amp;INDEX(nLIST_Months,MONTH(O68))&amp;" "&amp;YEAR(O68)&amp;" to "&amp;DAY(P68)&amp;" "&amp;INDEX(nLIST_Months,MONTH(P68))&amp;" "&amp;YEAR(P68)&amp;IF(H68="LAB"," (laboratory-defined)","")))))))</f>
        <v/>
      </c>
      <c r="S68" s="20" t="str">
        <f>IF(B68="","",Exposures!$M68&amp;"")</f>
        <v/>
      </c>
      <c r="T68" s="20" t="str">
        <f>IF(B68="","",Exposures!$V68&amp;"")</f>
        <v/>
      </c>
      <c r="U68" s="20" t="str">
        <f>IF(B68="","","Exposures row "&amp;ROW(Exposures!$A68)&amp;", Start")</f>
        <v/>
      </c>
      <c r="V68" s="20">
        <f>IF(A68="",0,COUNTIF(nTP_Key,A68))</f>
        <v>0</v>
      </c>
      <c r="W68" s="20">
        <f t="shared" si="4"/>
        <v>0</v>
      </c>
      <c r="X68" s="20">
        <f t="shared" si="5"/>
        <v>0</v>
      </c>
      <c r="Y68" s="20">
        <f t="shared" si="6"/>
        <v>0</v>
      </c>
      <c r="Z68" s="20">
        <f t="shared" si="7"/>
        <v>0</v>
      </c>
      <c r="AA68" s="20">
        <f t="shared" si="8"/>
        <v>64</v>
      </c>
      <c r="AB68" s="20" t="str">
        <f>""</f>
        <v/>
      </c>
      <c r="AC68" s="20" t="str">
        <f>IF(B68="","",Exposures!$F68&amp;"")</f>
        <v/>
      </c>
      <c r="AD68" s="20" t="str">
        <f>IF(B68="","",Exposures!$E68&amp;": Start")</f>
        <v/>
      </c>
      <c r="AE68" s="20">
        <f t="shared" si="9"/>
        <v>0</v>
      </c>
      <c r="AF68" s="20" t="str">
        <f t="shared" si="10"/>
        <v/>
      </c>
      <c r="AG68" s="20">
        <f t="shared" si="11"/>
        <v>0</v>
      </c>
      <c r="AH68" s="20" t="str">
        <f>""</f>
        <v/>
      </c>
    </row>
    <row r="69" spans="1:34" x14ac:dyDescent="0.2">
      <c r="A69" s="20" t="str">
        <f t="shared" ref="A69:A132" si="13">IF(B69="","",F69&amp;"|"&amp;B69)</f>
        <v/>
      </c>
      <c r="B69" s="20" t="str">
        <f>IF(AND(Exposures!$D69&lt;&gt;"",COUNTA(Exposures!$N69:$U69)&gt;0),Exposures!$D69&amp;"/START","")</f>
        <v/>
      </c>
      <c r="C69" s="20" t="str">
        <f t="shared" ref="C69:C100" si="14">IF(B69="","","EXPOSURE_START")</f>
        <v/>
      </c>
      <c r="D69" s="20" t="str">
        <f>IF(B69="","",Exposures!$A69&amp;"")</f>
        <v/>
      </c>
      <c r="E69" s="20" t="str">
        <f>IF(B69="","",Exposures!$B69&amp;"")</f>
        <v/>
      </c>
      <c r="F69" s="20" t="str">
        <f t="shared" ref="F69:F132" si="15">IF(B69="","",D69&amp;"|"&amp;E69)</f>
        <v/>
      </c>
      <c r="G69" s="20" t="str">
        <f>IF(B69="","",Exposures!$D69&amp;"")</f>
        <v/>
      </c>
      <c r="H69" s="20" t="str">
        <f>IF(B69="","",Exposures!$N69&amp;"")</f>
        <v/>
      </c>
      <c r="I69" s="20" t="str">
        <f>IF(B69="","",Exposures!$Q69&amp;"")</f>
        <v/>
      </c>
      <c r="J69" s="20" t="str">
        <f>IF(B69="","",Exposures!$W69&amp;"")</f>
        <v/>
      </c>
      <c r="K69" s="20">
        <f>IF(B69="",0,Exposures!$X69)</f>
        <v>0</v>
      </c>
      <c r="L69" s="20">
        <f>IF(B69="",0,Exposures!$Y69)</f>
        <v>0</v>
      </c>
      <c r="M69" s="20" t="str">
        <f>IF(B69="","",Exposures!$AB69)</f>
        <v/>
      </c>
      <c r="N69" s="20" t="str">
        <f>IF(B69="","",Exposures!$AC69)</f>
        <v/>
      </c>
      <c r="O69" s="27" t="str">
        <f>IF(B69="","",Exposures!$Z69)</f>
        <v/>
      </c>
      <c r="P69" s="27" t="str">
        <f>IF(B69="","",Exposures!$AA69)</f>
        <v/>
      </c>
      <c r="Q69" s="20" t="str">
        <f t="shared" ref="Q69:Q132" si="16">IF(OR(A69="",J69&lt;&gt;""),"",IF(H69="TIMESTAMP",YEAR(INT(M69/1440))&amp;"-"&amp;RIGHT("0"&amp;MONTH(INT(M69/1440)),2)&amp;"-"&amp;RIGHT("0"&amp;DAY(INT(M69/1440)),2)&amp;"T"&amp;RIGHT("0"&amp;INT(MOD(M69,1440)/60),2)&amp;":"&amp;RIGHT("0"&amp;MOD(M69,60),2)&amp;IF(L69=1,I69,""),IF(H69="DATE",YEAR(O69)&amp;"-"&amp;RIGHT("0"&amp;MONTH(O69),2)&amp;"-"&amp;RIGHT("0"&amp;DAY(O69),2),IF(H69="MONTH",YEAR(O69)&amp;"-"&amp;RIGHT("0"&amp;MONTH(O69),2),IF(H69="YEAR",YEAR(O69)&amp;"",YEAR(O69)&amp;"-"&amp;RIGHT("0"&amp;MONTH(O69),2)&amp;"-"&amp;RIGHT("0"&amp;DAY(O69),2)&amp;"/"&amp;YEAR(P69)&amp;"-"&amp;RIGHT("0"&amp;MONTH(P69),2)&amp;"-"&amp;RIGHT("0"&amp;DAY(P69),2))))))</f>
        <v/>
      </c>
      <c r="R69" s="20" t="str">
        <f>IF(A69="","",IF(J69&lt;&gt;"",J69,IF(H69="TIMESTAMP",DAY(INT(M69/1440))&amp;" "&amp;INDEX(nLIST_Months,MONTH(INT(M69/1440)))&amp;" "&amp;YEAR(INT(M69/1440))&amp;" "&amp;RIGHT("0"&amp;INT(MOD(M69,1440)/60),2)&amp;":"&amp;RIGHT("0"&amp;MOD(M69,60),2)&amp;IF(L69=1," (UTC"&amp;I69&amp;")"," (offset unknown)"),IF(H69="DATE",DAY(O69)&amp;" "&amp;INDEX(nLIST_Months,MONTH(O69))&amp;" "&amp;YEAR(O69),IF(H69="MONTH",INDEX(nLIST_Months,MONTH(O69))&amp;" "&amp;YEAR(O69)&amp;" ("&amp;DAY(O69)&amp;" "&amp;INDEX(nLIST_Months,MONTH(O69))&amp;" "&amp;YEAR(O69)&amp;" to "&amp;DAY(P69)&amp;" "&amp;INDEX(nLIST_Months,MONTH(P69))&amp;" "&amp;YEAR(P69)&amp;")",IF(H69="YEAR",YEAR(O69)&amp;" (1 January to 31 December)",DAY(O69)&amp;" "&amp;INDEX(nLIST_Months,MONTH(O69))&amp;" "&amp;YEAR(O69)&amp;" to "&amp;DAY(P69)&amp;" "&amp;INDEX(nLIST_Months,MONTH(P69))&amp;" "&amp;YEAR(P69)&amp;IF(H69="LAB"," (laboratory-defined)","")))))))</f>
        <v/>
      </c>
      <c r="S69" s="20" t="str">
        <f>IF(B69="","",Exposures!$M69&amp;"")</f>
        <v/>
      </c>
      <c r="T69" s="20" t="str">
        <f>IF(B69="","",Exposures!$V69&amp;"")</f>
        <v/>
      </c>
      <c r="U69" s="20" t="str">
        <f>IF(B69="","","Exposures row "&amp;ROW(Exposures!$A69)&amp;", Start")</f>
        <v/>
      </c>
      <c r="V69" s="20">
        <f>IF(A69="",0,COUNTIF(nTP_Key,A69))</f>
        <v>0</v>
      </c>
      <c r="W69" s="20">
        <f t="shared" ref="W69:W132" si="17">IF(M69="",0,M69)</f>
        <v>0</v>
      </c>
      <c r="X69" s="20">
        <f t="shared" ref="X69:X132" si="18">IF(N69="",0,N69)</f>
        <v>0</v>
      </c>
      <c r="Y69" s="20">
        <f t="shared" ref="Y69:Y132" si="19">IF(O69="",0,O69)</f>
        <v>0</v>
      </c>
      <c r="Z69" s="20">
        <f t="shared" ref="Z69:Z132" si="20">IF(P69="",0,P69)</f>
        <v>0</v>
      </c>
      <c r="AA69" s="20">
        <f t="shared" ref="AA69:AA132" si="21">ROW()-4</f>
        <v>65</v>
      </c>
      <c r="AB69" s="20" t="str">
        <f>""</f>
        <v/>
      </c>
      <c r="AC69" s="20" t="str">
        <f>IF(B69="","",Exposures!$F69&amp;"")</f>
        <v/>
      </c>
      <c r="AD69" s="20" t="str">
        <f>IF(B69="","",Exposures!$E69&amp;": Start")</f>
        <v/>
      </c>
      <c r="AE69" s="20">
        <f t="shared" ref="AE69:AE132" si="22">IF(AND(A69&lt;&gt;"",OR(C69="EXPOSURE_START",C69="EXPOSURE_RESTART",AND(C69="ADMINISTRATION",AB69&lt;&gt;"INFUSION_SEGMENT"))),1,0)</f>
        <v>0</v>
      </c>
      <c r="AF69" s="20" t="str">
        <f t="shared" ref="AF69:AF132" si="23">IF(AE69=1,F69&amp;"|"&amp;G69,"")</f>
        <v/>
      </c>
      <c r="AG69" s="20">
        <f t="shared" ref="AG69:AG132" si="24">IF(AND(A69&lt;&gt;"",J69="",OR(H69="TIMESTAMP",H69="DATE")),1,0)</f>
        <v>0</v>
      </c>
      <c r="AH69" s="20" t="str">
        <f>""</f>
        <v/>
      </c>
    </row>
    <row r="70" spans="1:34" x14ac:dyDescent="0.2">
      <c r="A70" s="20" t="str">
        <f t="shared" si="13"/>
        <v/>
      </c>
      <c r="B70" s="20" t="str">
        <f>IF(AND(Exposures!$D70&lt;&gt;"",COUNTA(Exposures!$N70:$U70)&gt;0),Exposures!$D70&amp;"/START","")</f>
        <v/>
      </c>
      <c r="C70" s="20" t="str">
        <f t="shared" si="14"/>
        <v/>
      </c>
      <c r="D70" s="20" t="str">
        <f>IF(B70="","",Exposures!$A70&amp;"")</f>
        <v/>
      </c>
      <c r="E70" s="20" t="str">
        <f>IF(B70="","",Exposures!$B70&amp;"")</f>
        <v/>
      </c>
      <c r="F70" s="20" t="str">
        <f t="shared" si="15"/>
        <v/>
      </c>
      <c r="G70" s="20" t="str">
        <f>IF(B70="","",Exposures!$D70&amp;"")</f>
        <v/>
      </c>
      <c r="H70" s="20" t="str">
        <f>IF(B70="","",Exposures!$N70&amp;"")</f>
        <v/>
      </c>
      <c r="I70" s="20" t="str">
        <f>IF(B70="","",Exposures!$Q70&amp;"")</f>
        <v/>
      </c>
      <c r="J70" s="20" t="str">
        <f>IF(B70="","",Exposures!$W70&amp;"")</f>
        <v/>
      </c>
      <c r="K70" s="20">
        <f>IF(B70="",0,Exposures!$X70)</f>
        <v>0</v>
      </c>
      <c r="L70" s="20">
        <f>IF(B70="",0,Exposures!$Y70)</f>
        <v>0</v>
      </c>
      <c r="M70" s="20" t="str">
        <f>IF(B70="","",Exposures!$AB70)</f>
        <v/>
      </c>
      <c r="N70" s="20" t="str">
        <f>IF(B70="","",Exposures!$AC70)</f>
        <v/>
      </c>
      <c r="O70" s="27" t="str">
        <f>IF(B70="","",Exposures!$Z70)</f>
        <v/>
      </c>
      <c r="P70" s="27" t="str">
        <f>IF(B70="","",Exposures!$AA70)</f>
        <v/>
      </c>
      <c r="Q70" s="20" t="str">
        <f t="shared" si="16"/>
        <v/>
      </c>
      <c r="R70" s="20" t="str">
        <f>IF(A70="","",IF(J70&lt;&gt;"",J70,IF(H70="TIMESTAMP",DAY(INT(M70/1440))&amp;" "&amp;INDEX(nLIST_Months,MONTH(INT(M70/1440)))&amp;" "&amp;YEAR(INT(M70/1440))&amp;" "&amp;RIGHT("0"&amp;INT(MOD(M70,1440)/60),2)&amp;":"&amp;RIGHT("0"&amp;MOD(M70,60),2)&amp;IF(L70=1," (UTC"&amp;I70&amp;")"," (offset unknown)"),IF(H70="DATE",DAY(O70)&amp;" "&amp;INDEX(nLIST_Months,MONTH(O70))&amp;" "&amp;YEAR(O70),IF(H70="MONTH",INDEX(nLIST_Months,MONTH(O70))&amp;" "&amp;YEAR(O70)&amp;" ("&amp;DAY(O70)&amp;" "&amp;INDEX(nLIST_Months,MONTH(O70))&amp;" "&amp;YEAR(O70)&amp;" to "&amp;DAY(P70)&amp;" "&amp;INDEX(nLIST_Months,MONTH(P70))&amp;" "&amp;YEAR(P70)&amp;")",IF(H70="YEAR",YEAR(O70)&amp;" (1 January to 31 December)",DAY(O70)&amp;" "&amp;INDEX(nLIST_Months,MONTH(O70))&amp;" "&amp;YEAR(O70)&amp;" to "&amp;DAY(P70)&amp;" "&amp;INDEX(nLIST_Months,MONTH(P70))&amp;" "&amp;YEAR(P70)&amp;IF(H70="LAB"," (laboratory-defined)","")))))))</f>
        <v/>
      </c>
      <c r="S70" s="20" t="str">
        <f>IF(B70="","",Exposures!$M70&amp;"")</f>
        <v/>
      </c>
      <c r="T70" s="20" t="str">
        <f>IF(B70="","",Exposures!$V70&amp;"")</f>
        <v/>
      </c>
      <c r="U70" s="20" t="str">
        <f>IF(B70="","","Exposures row "&amp;ROW(Exposures!$A70)&amp;", Start")</f>
        <v/>
      </c>
      <c r="V70" s="20">
        <f>IF(A70="",0,COUNTIF(nTP_Key,A70))</f>
        <v>0</v>
      </c>
      <c r="W70" s="20">
        <f t="shared" si="17"/>
        <v>0</v>
      </c>
      <c r="X70" s="20">
        <f t="shared" si="18"/>
        <v>0</v>
      </c>
      <c r="Y70" s="20">
        <f t="shared" si="19"/>
        <v>0</v>
      </c>
      <c r="Z70" s="20">
        <f t="shared" si="20"/>
        <v>0</v>
      </c>
      <c r="AA70" s="20">
        <f t="shared" si="21"/>
        <v>66</v>
      </c>
      <c r="AB70" s="20" t="str">
        <f>""</f>
        <v/>
      </c>
      <c r="AC70" s="20" t="str">
        <f>IF(B70="","",Exposures!$F70&amp;"")</f>
        <v/>
      </c>
      <c r="AD70" s="20" t="str">
        <f>IF(B70="","",Exposures!$E70&amp;": Start")</f>
        <v/>
      </c>
      <c r="AE70" s="20">
        <f t="shared" si="22"/>
        <v>0</v>
      </c>
      <c r="AF70" s="20" t="str">
        <f t="shared" si="23"/>
        <v/>
      </c>
      <c r="AG70" s="20">
        <f t="shared" si="24"/>
        <v>0</v>
      </c>
      <c r="AH70" s="20" t="str">
        <f>""</f>
        <v/>
      </c>
    </row>
    <row r="71" spans="1:34" x14ac:dyDescent="0.2">
      <c r="A71" s="20" t="str">
        <f t="shared" si="13"/>
        <v>VEC-V30|1|EXO1/START</v>
      </c>
      <c r="B71" s="20" t="str">
        <f>IF(AND(Exposures!$D71&lt;&gt;"",COUNTA(Exposures!$N71:$U71)&gt;0),Exposures!$D71&amp;"/START","")</f>
        <v>EXO1/START</v>
      </c>
      <c r="C71" s="20" t="str">
        <f t="shared" si="14"/>
        <v>EXPOSURE_START</v>
      </c>
      <c r="D71" s="20" t="str">
        <f>IF(B71="","",Exposures!$A71&amp;"")</f>
        <v>VEC-V30</v>
      </c>
      <c r="E71" s="20" t="str">
        <f>IF(B71="","",Exposures!$B71&amp;"")</f>
        <v>1</v>
      </c>
      <c r="F71" s="20" t="str">
        <f t="shared" si="15"/>
        <v>VEC-V30|1</v>
      </c>
      <c r="G71" s="20" t="str">
        <f>IF(B71="","",Exposures!$D71&amp;"")</f>
        <v>EXO1</v>
      </c>
      <c r="H71" s="20" t="str">
        <f>IF(B71="","",Exposures!$N71&amp;"")</f>
        <v>DATE</v>
      </c>
      <c r="I71" s="20" t="str">
        <f>IF(B71="","",Exposures!$Q71&amp;"")</f>
        <v/>
      </c>
      <c r="J71" s="20" t="str">
        <f>IF(B71="","",Exposures!$W71&amp;"")</f>
        <v/>
      </c>
      <c r="K71" s="20">
        <f>IF(B71="",0,Exposures!$X71)</f>
        <v>0</v>
      </c>
      <c r="L71" s="20">
        <f>IF(B71="",0,Exposures!$Y71)</f>
        <v>0</v>
      </c>
      <c r="M71" s="20" t="str">
        <f>IF(B71="","",Exposures!$AB71)</f>
        <v/>
      </c>
      <c r="N71" s="20" t="str">
        <f>IF(B71="","",Exposures!$AC71)</f>
        <v/>
      </c>
      <c r="O71" s="27">
        <f>IF(B71="","",Exposures!$Z71)</f>
        <v>46209</v>
      </c>
      <c r="P71" s="27">
        <f>IF(B71="","",Exposures!$AA71)</f>
        <v>46209</v>
      </c>
      <c r="Q71" s="20" t="str">
        <f t="shared" si="16"/>
        <v>2026-07-06</v>
      </c>
      <c r="R71" s="20" t="str">
        <f>IF(A71="","",IF(J71&lt;&gt;"",J71,IF(H71="TIMESTAMP",DAY(INT(M71/1440))&amp;" "&amp;INDEX(nLIST_Months,MONTH(INT(M71/1440)))&amp;" "&amp;YEAR(INT(M71/1440))&amp;" "&amp;RIGHT("0"&amp;INT(MOD(M71,1440)/60),2)&amp;":"&amp;RIGHT("0"&amp;MOD(M71,60),2)&amp;IF(L71=1," (UTC"&amp;I71&amp;")"," (offset unknown)"),IF(H71="DATE",DAY(O71)&amp;" "&amp;INDEX(nLIST_Months,MONTH(O71))&amp;" "&amp;YEAR(O71),IF(H71="MONTH",INDEX(nLIST_Months,MONTH(O71))&amp;" "&amp;YEAR(O71)&amp;" ("&amp;DAY(O71)&amp;" "&amp;INDEX(nLIST_Months,MONTH(O71))&amp;" "&amp;YEAR(O71)&amp;" to "&amp;DAY(P71)&amp;" "&amp;INDEX(nLIST_Months,MONTH(P71))&amp;" "&amp;YEAR(P71)&amp;")",IF(H71="YEAR",YEAR(O71)&amp;" (1 January to 31 December)",DAY(O71)&amp;" "&amp;INDEX(nLIST_Months,MONTH(O71))&amp;" "&amp;YEAR(O71)&amp;" to "&amp;DAY(P71)&amp;" "&amp;INDEX(nLIST_Months,MONTH(P71))&amp;" "&amp;YEAR(P71)&amp;IF(H71="LAB"," (laboratory-defined)","")))))))</f>
        <v>6 July 2026</v>
      </c>
      <c r="S71" s="20" t="str">
        <f>IF(B71="","",Exposures!$M71&amp;"")</f>
        <v>treatment started 2026-07-06</v>
      </c>
      <c r="T71" s="20" t="str">
        <f>IF(B71="","",Exposures!$V71&amp;"")</f>
        <v>tto_calc_test_vectors_v1.1.json V30</v>
      </c>
      <c r="U71" s="20" t="str">
        <f>IF(B71="","","Exposures row "&amp;ROW(Exposures!$A71)&amp;", Start")</f>
        <v>Exposures row 71, Start</v>
      </c>
      <c r="V71" s="20">
        <f>IF(A71="",0,COUNTIF(nTP_Key,A71))</f>
        <v>1</v>
      </c>
      <c r="W71" s="20">
        <f t="shared" si="17"/>
        <v>0</v>
      </c>
      <c r="X71" s="20">
        <f t="shared" si="18"/>
        <v>0</v>
      </c>
      <c r="Y71" s="20">
        <f t="shared" si="19"/>
        <v>46209</v>
      </c>
      <c r="Z71" s="20">
        <f t="shared" si="20"/>
        <v>46209</v>
      </c>
      <c r="AA71" s="20">
        <f t="shared" si="21"/>
        <v>67</v>
      </c>
      <c r="AB71" s="20" t="str">
        <f>""</f>
        <v/>
      </c>
      <c r="AC71" s="20" t="str">
        <f>IF(B71="","",Exposures!$F71&amp;"")</f>
        <v>treatment of the event</v>
      </c>
      <c r="AD71" s="20" t="str">
        <f>IF(B71="","",Exposures!$E71&amp;": Start")</f>
        <v>Other drug 1: Start</v>
      </c>
      <c r="AE71" s="20">
        <f t="shared" si="22"/>
        <v>1</v>
      </c>
      <c r="AF71" s="20" t="str">
        <f t="shared" si="23"/>
        <v>VEC-V30|1|EXO1</v>
      </c>
      <c r="AG71" s="20">
        <f t="shared" si="24"/>
        <v>1</v>
      </c>
      <c r="AH71" s="20" t="str">
        <f>""</f>
        <v/>
      </c>
    </row>
    <row r="72" spans="1:34" x14ac:dyDescent="0.2">
      <c r="A72" s="20" t="str">
        <f t="shared" si="13"/>
        <v>VEC-V31|1|EX1/START</v>
      </c>
      <c r="B72" s="20" t="str">
        <f>IF(AND(Exposures!$D72&lt;&gt;"",COUNTA(Exposures!$N72:$U72)&gt;0),Exposures!$D72&amp;"/START","")</f>
        <v>EX1/START</v>
      </c>
      <c r="C72" s="20" t="str">
        <f t="shared" si="14"/>
        <v>EXPOSURE_START</v>
      </c>
      <c r="D72" s="20" t="str">
        <f>IF(B72="","",Exposures!$A72&amp;"")</f>
        <v>VEC-V31</v>
      </c>
      <c r="E72" s="20" t="str">
        <f>IF(B72="","",Exposures!$B72&amp;"")</f>
        <v>1</v>
      </c>
      <c r="F72" s="20" t="str">
        <f t="shared" si="15"/>
        <v>VEC-V31|1</v>
      </c>
      <c r="G72" s="20" t="str">
        <f>IF(B72="","",Exposures!$D72&amp;"")</f>
        <v>EX1</v>
      </c>
      <c r="H72" s="20" t="str">
        <f>IF(B72="","",Exposures!$N72&amp;"")</f>
        <v>DATE</v>
      </c>
      <c r="I72" s="20" t="str">
        <f>IF(B72="","",Exposures!$Q72&amp;"")</f>
        <v/>
      </c>
      <c r="J72" s="20" t="str">
        <f>IF(B72="","",Exposures!$W72&amp;"")</f>
        <v/>
      </c>
      <c r="K72" s="20">
        <f>IF(B72="",0,Exposures!$X72)</f>
        <v>0</v>
      </c>
      <c r="L72" s="20">
        <f>IF(B72="",0,Exposures!$Y72)</f>
        <v>0</v>
      </c>
      <c r="M72" s="20" t="str">
        <f>IF(B72="","",Exposures!$AB72)</f>
        <v/>
      </c>
      <c r="N72" s="20" t="str">
        <f>IF(B72="","",Exposures!$AC72)</f>
        <v/>
      </c>
      <c r="O72" s="27">
        <f>IF(B72="","",Exposures!$Z72)</f>
        <v>46082</v>
      </c>
      <c r="P72" s="27">
        <f>IF(B72="","",Exposures!$AA72)</f>
        <v>46082</v>
      </c>
      <c r="Q72" s="20" t="str">
        <f t="shared" si="16"/>
        <v>2026-03-01</v>
      </c>
      <c r="R72" s="20" t="str">
        <f>IF(A72="","",IF(J72&lt;&gt;"",J72,IF(H72="TIMESTAMP",DAY(INT(M72/1440))&amp;" "&amp;INDEX(nLIST_Months,MONTH(INT(M72/1440)))&amp;" "&amp;YEAR(INT(M72/1440))&amp;" "&amp;RIGHT("0"&amp;INT(MOD(M72,1440)/60),2)&amp;":"&amp;RIGHT("0"&amp;MOD(M72,60),2)&amp;IF(L72=1," (UTC"&amp;I72&amp;")"," (offset unknown)"),IF(H72="DATE",DAY(O72)&amp;" "&amp;INDEX(nLIST_Months,MONTH(O72))&amp;" "&amp;YEAR(O72),IF(H72="MONTH",INDEX(nLIST_Months,MONTH(O72))&amp;" "&amp;YEAR(O72)&amp;" ("&amp;DAY(O72)&amp;" "&amp;INDEX(nLIST_Months,MONTH(O72))&amp;" "&amp;YEAR(O72)&amp;" to "&amp;DAY(P72)&amp;" "&amp;INDEX(nLIST_Months,MONTH(P72))&amp;" "&amp;YEAR(P72)&amp;")",IF(H72="YEAR",YEAR(O72)&amp;" (1 January to 31 December)",DAY(O72)&amp;" "&amp;INDEX(nLIST_Months,MONTH(O72))&amp;" "&amp;YEAR(O72)&amp;" to "&amp;DAY(P72)&amp;" "&amp;INDEX(nLIST_Months,MONTH(P72))&amp;" "&amp;YEAR(P72)&amp;IF(H72="LAB"," (laboratory-defined)","")))))))</f>
        <v>1 March 2026</v>
      </c>
      <c r="S72" s="20" t="str">
        <f>IF(B72="","",Exposures!$M72&amp;"")</f>
        <v>2026-03-01</v>
      </c>
      <c r="T72" s="20" t="str">
        <f>IF(B72="","",Exposures!$V72&amp;"")</f>
        <v>tto_calc_test_vectors_v1.1.json V31</v>
      </c>
      <c r="U72" s="20" t="str">
        <f>IF(B72="","","Exposures row "&amp;ROW(Exposures!$A72)&amp;", Start")</f>
        <v>Exposures row 72, Start</v>
      </c>
      <c r="V72" s="20">
        <f>IF(A72="",0,COUNTIF(nTP_Key,A72))</f>
        <v>1</v>
      </c>
      <c r="W72" s="20">
        <f t="shared" si="17"/>
        <v>0</v>
      </c>
      <c r="X72" s="20">
        <f t="shared" si="18"/>
        <v>0</v>
      </c>
      <c r="Y72" s="20">
        <f t="shared" si="19"/>
        <v>46082</v>
      </c>
      <c r="Z72" s="20">
        <f t="shared" si="20"/>
        <v>46082</v>
      </c>
      <c r="AA72" s="20">
        <f t="shared" si="21"/>
        <v>68</v>
      </c>
      <c r="AB72" s="20" t="str">
        <f>""</f>
        <v/>
      </c>
      <c r="AC72" s="20" t="str">
        <f>IF(B72="","",Exposures!$F72&amp;"")</f>
        <v/>
      </c>
      <c r="AD72" s="20" t="str">
        <f>IF(B72="","",Exposures!$E72&amp;": Start")</f>
        <v>Vector drug: Start</v>
      </c>
      <c r="AE72" s="20">
        <f t="shared" si="22"/>
        <v>1</v>
      </c>
      <c r="AF72" s="20" t="str">
        <f t="shared" si="23"/>
        <v>VEC-V31|1|EX1</v>
      </c>
      <c r="AG72" s="20">
        <f t="shared" si="24"/>
        <v>1</v>
      </c>
      <c r="AH72" s="20" t="str">
        <f>""</f>
        <v/>
      </c>
    </row>
    <row r="73" spans="1:34" x14ac:dyDescent="0.2">
      <c r="A73" s="20" t="str">
        <f t="shared" si="13"/>
        <v>VEC-V33|1|EX1/START</v>
      </c>
      <c r="B73" s="20" t="str">
        <f>IF(AND(Exposures!$D73&lt;&gt;"",COUNTA(Exposures!$N73:$U73)&gt;0),Exposures!$D73&amp;"/START","")</f>
        <v>EX1/START</v>
      </c>
      <c r="C73" s="20" t="str">
        <f t="shared" si="14"/>
        <v>EXPOSURE_START</v>
      </c>
      <c r="D73" s="20" t="str">
        <f>IF(B73="","",Exposures!$A73&amp;"")</f>
        <v>VEC-V33</v>
      </c>
      <c r="E73" s="20" t="str">
        <f>IF(B73="","",Exposures!$B73&amp;"")</f>
        <v>1</v>
      </c>
      <c r="F73" s="20" t="str">
        <f t="shared" si="15"/>
        <v>VEC-V33|1</v>
      </c>
      <c r="G73" s="20" t="str">
        <f>IF(B73="","",Exposures!$D73&amp;"")</f>
        <v>EX1</v>
      </c>
      <c r="H73" s="20" t="str">
        <f>IF(B73="","",Exposures!$N73&amp;"")</f>
        <v>TIMESTAMP</v>
      </c>
      <c r="I73" s="20" t="str">
        <f>IF(B73="","",Exposures!$Q73&amp;"")</f>
        <v>-05:00</v>
      </c>
      <c r="J73" s="20" t="str">
        <f>IF(B73="","",Exposures!$W73&amp;"")</f>
        <v/>
      </c>
      <c r="K73" s="20">
        <f>IF(B73="",0,Exposures!$X73)</f>
        <v>1</v>
      </c>
      <c r="L73" s="20">
        <f>IF(B73="",0,Exposures!$Y73)</f>
        <v>1</v>
      </c>
      <c r="M73" s="20">
        <f>IF(B73="","",Exposures!$AB73)</f>
        <v>66360000</v>
      </c>
      <c r="N73" s="20">
        <f>IF(B73="","",Exposures!$AC73)</f>
        <v>66360300</v>
      </c>
      <c r="O73" s="27">
        <f>IF(B73="","",Exposures!$Z73)</f>
        <v>46083</v>
      </c>
      <c r="P73" s="27">
        <f>IF(B73="","",Exposures!$AA73)</f>
        <v>46083</v>
      </c>
      <c r="Q73" s="20" t="str">
        <f t="shared" si="16"/>
        <v>2026-03-02T08:00-05:00</v>
      </c>
      <c r="R73" s="20" t="str">
        <f>IF(A73="","",IF(J73&lt;&gt;"",J73,IF(H73="TIMESTAMP",DAY(INT(M73/1440))&amp;" "&amp;INDEX(nLIST_Months,MONTH(INT(M73/1440)))&amp;" "&amp;YEAR(INT(M73/1440))&amp;" "&amp;RIGHT("0"&amp;INT(MOD(M73,1440)/60),2)&amp;":"&amp;RIGHT("0"&amp;MOD(M73,60),2)&amp;IF(L73=1," (UTC"&amp;I73&amp;")"," (offset unknown)"),IF(H73="DATE",DAY(O73)&amp;" "&amp;INDEX(nLIST_Months,MONTH(O73))&amp;" "&amp;YEAR(O73),IF(H73="MONTH",INDEX(nLIST_Months,MONTH(O73))&amp;" "&amp;YEAR(O73)&amp;" ("&amp;DAY(O73)&amp;" "&amp;INDEX(nLIST_Months,MONTH(O73))&amp;" "&amp;YEAR(O73)&amp;" to "&amp;DAY(P73)&amp;" "&amp;INDEX(nLIST_Months,MONTH(P73))&amp;" "&amp;YEAR(P73)&amp;")",IF(H73="YEAR",YEAR(O73)&amp;" (1 January to 31 December)",DAY(O73)&amp;" "&amp;INDEX(nLIST_Months,MONTH(O73))&amp;" "&amp;YEAR(O73)&amp;" to "&amp;DAY(P73)&amp;" "&amp;INDEX(nLIST_Months,MONTH(P73))&amp;" "&amp;YEAR(P73)&amp;IF(H73="LAB"," (laboratory-defined)","")))))))</f>
        <v>2 March 2026 08:00 (UTC-05:00)</v>
      </c>
      <c r="S73" s="20" t="str">
        <f>IF(B73="","",Exposures!$M73&amp;"")</f>
        <v>2026-03-02T08:00-05:00</v>
      </c>
      <c r="T73" s="20" t="str">
        <f>IF(B73="","",Exposures!$V73&amp;"")</f>
        <v>tto_calc_test_vectors_v1.1.json V33 (first administration)</v>
      </c>
      <c r="U73" s="20" t="str">
        <f>IF(B73="","","Exposures row "&amp;ROW(Exposures!$A73)&amp;", Start")</f>
        <v>Exposures row 73, Start</v>
      </c>
      <c r="V73" s="20">
        <f>IF(A73="",0,COUNTIF(nTP_Key,A73))</f>
        <v>1</v>
      </c>
      <c r="W73" s="20">
        <f t="shared" si="17"/>
        <v>66360000</v>
      </c>
      <c r="X73" s="20">
        <f t="shared" si="18"/>
        <v>66360300</v>
      </c>
      <c r="Y73" s="20">
        <f t="shared" si="19"/>
        <v>46083</v>
      </c>
      <c r="Z73" s="20">
        <f t="shared" si="20"/>
        <v>46083</v>
      </c>
      <c r="AA73" s="20">
        <f t="shared" si="21"/>
        <v>69</v>
      </c>
      <c r="AB73" s="20" t="str">
        <f>""</f>
        <v/>
      </c>
      <c r="AC73" s="20" t="str">
        <f>IF(B73="","",Exposures!$F73&amp;"")</f>
        <v/>
      </c>
      <c r="AD73" s="20" t="str">
        <f>IF(B73="","",Exposures!$E73&amp;": Start")</f>
        <v>Vector drug: Start</v>
      </c>
      <c r="AE73" s="20">
        <f t="shared" si="22"/>
        <v>1</v>
      </c>
      <c r="AF73" s="20" t="str">
        <f t="shared" si="23"/>
        <v>VEC-V33|1|EX1</v>
      </c>
      <c r="AG73" s="20">
        <f t="shared" si="24"/>
        <v>1</v>
      </c>
      <c r="AH73" s="20" t="str">
        <f>""</f>
        <v/>
      </c>
    </row>
    <row r="74" spans="1:34" x14ac:dyDescent="0.2">
      <c r="A74" s="20" t="str">
        <f t="shared" si="13"/>
        <v>VEC-V34|1|EX1/START</v>
      </c>
      <c r="B74" s="20" t="str">
        <f>IF(AND(Exposures!$D74&lt;&gt;"",COUNTA(Exposures!$N74:$U74)&gt;0),Exposures!$D74&amp;"/START","")</f>
        <v>EX1/START</v>
      </c>
      <c r="C74" s="20" t="str">
        <f t="shared" si="14"/>
        <v>EXPOSURE_START</v>
      </c>
      <c r="D74" s="20" t="str">
        <f>IF(B74="","",Exposures!$A74&amp;"")</f>
        <v>VEC-V34</v>
      </c>
      <c r="E74" s="20" t="str">
        <f>IF(B74="","",Exposures!$B74&amp;"")</f>
        <v>1</v>
      </c>
      <c r="F74" s="20" t="str">
        <f t="shared" si="15"/>
        <v>VEC-V34|1</v>
      </c>
      <c r="G74" s="20" t="str">
        <f>IF(B74="","",Exposures!$D74&amp;"")</f>
        <v>EX1</v>
      </c>
      <c r="H74" s="20" t="str">
        <f>IF(B74="","",Exposures!$N74&amp;"")</f>
        <v>DATE</v>
      </c>
      <c r="I74" s="20" t="str">
        <f>IF(B74="","",Exposures!$Q74&amp;"")</f>
        <v/>
      </c>
      <c r="J74" s="20" t="str">
        <f>IF(B74="","",Exposures!$W74&amp;"")</f>
        <v/>
      </c>
      <c r="K74" s="20">
        <f>IF(B74="",0,Exposures!$X74)</f>
        <v>0</v>
      </c>
      <c r="L74" s="20">
        <f>IF(B74="",0,Exposures!$Y74)</f>
        <v>0</v>
      </c>
      <c r="M74" s="20" t="str">
        <f>IF(B74="","",Exposures!$AB74)</f>
        <v/>
      </c>
      <c r="N74" s="20" t="str">
        <f>IF(B74="","",Exposures!$AC74)</f>
        <v/>
      </c>
      <c r="O74" s="27">
        <f>IF(B74="","",Exposures!$Z74)</f>
        <v>46082</v>
      </c>
      <c r="P74" s="27">
        <f>IF(B74="","",Exposures!$AA74)</f>
        <v>46082</v>
      </c>
      <c r="Q74" s="20" t="str">
        <f t="shared" si="16"/>
        <v>2026-03-01</v>
      </c>
      <c r="R74" s="20" t="str">
        <f>IF(A74="","",IF(J74&lt;&gt;"",J74,IF(H74="TIMESTAMP",DAY(INT(M74/1440))&amp;" "&amp;INDEX(nLIST_Months,MONTH(INT(M74/1440)))&amp;" "&amp;YEAR(INT(M74/1440))&amp;" "&amp;RIGHT("0"&amp;INT(MOD(M74,1440)/60),2)&amp;":"&amp;RIGHT("0"&amp;MOD(M74,60),2)&amp;IF(L74=1," (UTC"&amp;I74&amp;")"," (offset unknown)"),IF(H74="DATE",DAY(O74)&amp;" "&amp;INDEX(nLIST_Months,MONTH(O74))&amp;" "&amp;YEAR(O74),IF(H74="MONTH",INDEX(nLIST_Months,MONTH(O74))&amp;" "&amp;YEAR(O74)&amp;" ("&amp;DAY(O74)&amp;" "&amp;INDEX(nLIST_Months,MONTH(O74))&amp;" "&amp;YEAR(O74)&amp;" to "&amp;DAY(P74)&amp;" "&amp;INDEX(nLIST_Months,MONTH(P74))&amp;" "&amp;YEAR(P74)&amp;")",IF(H74="YEAR",YEAR(O74)&amp;" (1 January to 31 December)",DAY(O74)&amp;" "&amp;INDEX(nLIST_Months,MONTH(O74))&amp;" "&amp;YEAR(O74)&amp;" to "&amp;DAY(P74)&amp;" "&amp;INDEX(nLIST_Months,MONTH(P74))&amp;" "&amp;YEAR(P74)&amp;IF(H74="LAB"," (laboratory-defined)","")))))))</f>
        <v>1 March 2026</v>
      </c>
      <c r="S74" s="20" t="str">
        <f>IF(B74="","",Exposures!$M74&amp;"")</f>
        <v>2026-03-01</v>
      </c>
      <c r="T74" s="20" t="str">
        <f>IF(B74="","",Exposures!$V74&amp;"")</f>
        <v>tto_calc_test_vectors_v1.1.json V34 (first administration)</v>
      </c>
      <c r="U74" s="20" t="str">
        <f>IF(B74="","","Exposures row "&amp;ROW(Exposures!$A74)&amp;", Start")</f>
        <v>Exposures row 74, Start</v>
      </c>
      <c r="V74" s="20">
        <f>IF(A74="",0,COUNTIF(nTP_Key,A74))</f>
        <v>1</v>
      </c>
      <c r="W74" s="20">
        <f t="shared" si="17"/>
        <v>0</v>
      </c>
      <c r="X74" s="20">
        <f t="shared" si="18"/>
        <v>0</v>
      </c>
      <c r="Y74" s="20">
        <f t="shared" si="19"/>
        <v>46082</v>
      </c>
      <c r="Z74" s="20">
        <f t="shared" si="20"/>
        <v>46082</v>
      </c>
      <c r="AA74" s="20">
        <f t="shared" si="21"/>
        <v>70</v>
      </c>
      <c r="AB74" s="20" t="str">
        <f>""</f>
        <v/>
      </c>
      <c r="AC74" s="20" t="str">
        <f>IF(B74="","",Exposures!$F74&amp;"")</f>
        <v/>
      </c>
      <c r="AD74" s="20" t="str">
        <f>IF(B74="","",Exposures!$E74&amp;": Start")</f>
        <v>Vector drug: Start</v>
      </c>
      <c r="AE74" s="20">
        <f t="shared" si="22"/>
        <v>1</v>
      </c>
      <c r="AF74" s="20" t="str">
        <f t="shared" si="23"/>
        <v>VEC-V34|1|EX1</v>
      </c>
      <c r="AG74" s="20">
        <f t="shared" si="24"/>
        <v>1</v>
      </c>
      <c r="AH74" s="20" t="str">
        <f>""</f>
        <v/>
      </c>
    </row>
    <row r="75" spans="1:34" x14ac:dyDescent="0.2">
      <c r="A75" s="20" t="str">
        <f t="shared" si="13"/>
        <v>VEC-V35|1|EX1/START</v>
      </c>
      <c r="B75" s="20" t="str">
        <f>IF(AND(Exposures!$D75&lt;&gt;"",COUNTA(Exposures!$N75:$U75)&gt;0),Exposures!$D75&amp;"/START","")</f>
        <v>EX1/START</v>
      </c>
      <c r="C75" s="20" t="str">
        <f t="shared" si="14"/>
        <v>EXPOSURE_START</v>
      </c>
      <c r="D75" s="20" t="str">
        <f>IF(B75="","",Exposures!$A75&amp;"")</f>
        <v>VEC-V35</v>
      </c>
      <c r="E75" s="20" t="str">
        <f>IF(B75="","",Exposures!$B75&amp;"")</f>
        <v>1</v>
      </c>
      <c r="F75" s="20" t="str">
        <f t="shared" si="15"/>
        <v>VEC-V35|1</v>
      </c>
      <c r="G75" s="20" t="str">
        <f>IF(B75="","",Exposures!$D75&amp;"")</f>
        <v>EX1</v>
      </c>
      <c r="H75" s="20" t="str">
        <f>IF(B75="","",Exposures!$N75&amp;"")</f>
        <v>DATE</v>
      </c>
      <c r="I75" s="20" t="str">
        <f>IF(B75="","",Exposures!$Q75&amp;"")</f>
        <v/>
      </c>
      <c r="J75" s="20" t="str">
        <f>IF(B75="","",Exposures!$W75&amp;"")</f>
        <v/>
      </c>
      <c r="K75" s="20">
        <f>IF(B75="",0,Exposures!$X75)</f>
        <v>0</v>
      </c>
      <c r="L75" s="20">
        <f>IF(B75="",0,Exposures!$Y75)</f>
        <v>0</v>
      </c>
      <c r="M75" s="20" t="str">
        <f>IF(B75="","",Exposures!$AB75)</f>
        <v/>
      </c>
      <c r="N75" s="20" t="str">
        <f>IF(B75="","",Exposures!$AC75)</f>
        <v/>
      </c>
      <c r="O75" s="27">
        <f>IF(B75="","",Exposures!$Z75)</f>
        <v>46023</v>
      </c>
      <c r="P75" s="27">
        <f>IF(B75="","",Exposures!$AA75)</f>
        <v>46023</v>
      </c>
      <c r="Q75" s="20" t="str">
        <f t="shared" si="16"/>
        <v>2026-01-01</v>
      </c>
      <c r="R75" s="20" t="str">
        <f>IF(A75="","",IF(J75&lt;&gt;"",J75,IF(H75="TIMESTAMP",DAY(INT(M75/1440))&amp;" "&amp;INDEX(nLIST_Months,MONTH(INT(M75/1440)))&amp;" "&amp;YEAR(INT(M75/1440))&amp;" "&amp;RIGHT("0"&amp;INT(MOD(M75,1440)/60),2)&amp;":"&amp;RIGHT("0"&amp;MOD(M75,60),2)&amp;IF(L75=1," (UTC"&amp;I75&amp;")"," (offset unknown)"),IF(H75="DATE",DAY(O75)&amp;" "&amp;INDEX(nLIST_Months,MONTH(O75))&amp;" "&amp;YEAR(O75),IF(H75="MONTH",INDEX(nLIST_Months,MONTH(O75))&amp;" "&amp;YEAR(O75)&amp;" ("&amp;DAY(O75)&amp;" "&amp;INDEX(nLIST_Months,MONTH(O75))&amp;" "&amp;YEAR(O75)&amp;" to "&amp;DAY(P75)&amp;" "&amp;INDEX(nLIST_Months,MONTH(P75))&amp;" "&amp;YEAR(P75)&amp;")",IF(H75="YEAR",YEAR(O75)&amp;" (1 January to 31 December)",DAY(O75)&amp;" "&amp;INDEX(nLIST_Months,MONTH(O75))&amp;" "&amp;YEAR(O75)&amp;" to "&amp;DAY(P75)&amp;" "&amp;INDEX(nLIST_Months,MONTH(P75))&amp;" "&amp;YEAR(P75)&amp;IF(H75="LAB"," (laboratory-defined)","")))))))</f>
        <v>1 January 2026</v>
      </c>
      <c r="S75" s="20" t="str">
        <f>IF(B75="","",Exposures!$M75&amp;"")</f>
        <v>2026-01-01</v>
      </c>
      <c r="T75" s="20" t="str">
        <f>IF(B75="","",Exposures!$V75&amp;"")</f>
        <v>tto_calc_test_vectors_v1.1.json V35</v>
      </c>
      <c r="U75" s="20" t="str">
        <f>IF(B75="","","Exposures row "&amp;ROW(Exposures!$A75)&amp;", Start")</f>
        <v>Exposures row 75, Start</v>
      </c>
      <c r="V75" s="20">
        <f>IF(A75="",0,COUNTIF(nTP_Key,A75))</f>
        <v>1</v>
      </c>
      <c r="W75" s="20">
        <f t="shared" si="17"/>
        <v>0</v>
      </c>
      <c r="X75" s="20">
        <f t="shared" si="18"/>
        <v>0</v>
      </c>
      <c r="Y75" s="20">
        <f t="shared" si="19"/>
        <v>46023</v>
      </c>
      <c r="Z75" s="20">
        <f t="shared" si="20"/>
        <v>46023</v>
      </c>
      <c r="AA75" s="20">
        <f t="shared" si="21"/>
        <v>71</v>
      </c>
      <c r="AB75" s="20" t="str">
        <f>""</f>
        <v/>
      </c>
      <c r="AC75" s="20" t="str">
        <f>IF(B75="","",Exposures!$F75&amp;"")</f>
        <v/>
      </c>
      <c r="AD75" s="20" t="str">
        <f>IF(B75="","",Exposures!$E75&amp;": Start")</f>
        <v>Vector drug: Start</v>
      </c>
      <c r="AE75" s="20">
        <f t="shared" si="22"/>
        <v>1</v>
      </c>
      <c r="AF75" s="20" t="str">
        <f t="shared" si="23"/>
        <v>VEC-V35|1|EX1</v>
      </c>
      <c r="AG75" s="20">
        <f t="shared" si="24"/>
        <v>1</v>
      </c>
      <c r="AH75" s="20" t="str">
        <f>""</f>
        <v/>
      </c>
    </row>
    <row r="76" spans="1:34" x14ac:dyDescent="0.2">
      <c r="A76" s="20" t="str">
        <f t="shared" si="13"/>
        <v/>
      </c>
      <c r="B76" s="20" t="str">
        <f>IF(AND(Exposures!$D76&lt;&gt;"",COUNTA(Exposures!$N76:$U76)&gt;0),Exposures!$D76&amp;"/START","")</f>
        <v/>
      </c>
      <c r="C76" s="20" t="str">
        <f t="shared" si="14"/>
        <v/>
      </c>
      <c r="D76" s="20" t="str">
        <f>IF(B76="","",Exposures!$A76&amp;"")</f>
        <v/>
      </c>
      <c r="E76" s="20" t="str">
        <f>IF(B76="","",Exposures!$B76&amp;"")</f>
        <v/>
      </c>
      <c r="F76" s="20" t="str">
        <f t="shared" si="15"/>
        <v/>
      </c>
      <c r="G76" s="20" t="str">
        <f>IF(B76="","",Exposures!$D76&amp;"")</f>
        <v/>
      </c>
      <c r="H76" s="20" t="str">
        <f>IF(B76="","",Exposures!$N76&amp;"")</f>
        <v/>
      </c>
      <c r="I76" s="20" t="str">
        <f>IF(B76="","",Exposures!$Q76&amp;"")</f>
        <v/>
      </c>
      <c r="J76" s="20" t="str">
        <f>IF(B76="","",Exposures!$W76&amp;"")</f>
        <v/>
      </c>
      <c r="K76" s="20">
        <f>IF(B76="",0,Exposures!$X76)</f>
        <v>0</v>
      </c>
      <c r="L76" s="20">
        <f>IF(B76="",0,Exposures!$Y76)</f>
        <v>0</v>
      </c>
      <c r="M76" s="20" t="str">
        <f>IF(B76="","",Exposures!$AB76)</f>
        <v/>
      </c>
      <c r="N76" s="20" t="str">
        <f>IF(B76="","",Exposures!$AC76)</f>
        <v/>
      </c>
      <c r="O76" s="27" t="str">
        <f>IF(B76="","",Exposures!$Z76)</f>
        <v/>
      </c>
      <c r="P76" s="27" t="str">
        <f>IF(B76="","",Exposures!$AA76)</f>
        <v/>
      </c>
      <c r="Q76" s="20" t="str">
        <f t="shared" si="16"/>
        <v/>
      </c>
      <c r="R76" s="20" t="str">
        <f>IF(A76="","",IF(J76&lt;&gt;"",J76,IF(H76="TIMESTAMP",DAY(INT(M76/1440))&amp;" "&amp;INDEX(nLIST_Months,MONTH(INT(M76/1440)))&amp;" "&amp;YEAR(INT(M76/1440))&amp;" "&amp;RIGHT("0"&amp;INT(MOD(M76,1440)/60),2)&amp;":"&amp;RIGHT("0"&amp;MOD(M76,60),2)&amp;IF(L76=1," (UTC"&amp;I76&amp;")"," (offset unknown)"),IF(H76="DATE",DAY(O76)&amp;" "&amp;INDEX(nLIST_Months,MONTH(O76))&amp;" "&amp;YEAR(O76),IF(H76="MONTH",INDEX(nLIST_Months,MONTH(O76))&amp;" "&amp;YEAR(O76)&amp;" ("&amp;DAY(O76)&amp;" "&amp;INDEX(nLIST_Months,MONTH(O76))&amp;" "&amp;YEAR(O76)&amp;" to "&amp;DAY(P76)&amp;" "&amp;INDEX(nLIST_Months,MONTH(P76))&amp;" "&amp;YEAR(P76)&amp;")",IF(H76="YEAR",YEAR(O76)&amp;" (1 January to 31 December)",DAY(O76)&amp;" "&amp;INDEX(nLIST_Months,MONTH(O76))&amp;" "&amp;YEAR(O76)&amp;" to "&amp;DAY(P76)&amp;" "&amp;INDEX(nLIST_Months,MONTH(P76))&amp;" "&amp;YEAR(P76)&amp;IF(H76="LAB"," (laboratory-defined)","")))))))</f>
        <v/>
      </c>
      <c r="S76" s="20" t="str">
        <f>IF(B76="","",Exposures!$M76&amp;"")</f>
        <v/>
      </c>
      <c r="T76" s="20" t="str">
        <f>IF(B76="","",Exposures!$V76&amp;"")</f>
        <v/>
      </c>
      <c r="U76" s="20" t="str">
        <f>IF(B76="","","Exposures row "&amp;ROW(Exposures!$A76)&amp;", Start")</f>
        <v/>
      </c>
      <c r="V76" s="20">
        <f>IF(A76="",0,COUNTIF(nTP_Key,A76))</f>
        <v>0</v>
      </c>
      <c r="W76" s="20">
        <f t="shared" si="17"/>
        <v>0</v>
      </c>
      <c r="X76" s="20">
        <f t="shared" si="18"/>
        <v>0</v>
      </c>
      <c r="Y76" s="20">
        <f t="shared" si="19"/>
        <v>0</v>
      </c>
      <c r="Z76" s="20">
        <f t="shared" si="20"/>
        <v>0</v>
      </c>
      <c r="AA76" s="20">
        <f t="shared" si="21"/>
        <v>72</v>
      </c>
      <c r="AB76" s="20" t="str">
        <f>""</f>
        <v/>
      </c>
      <c r="AC76" s="20" t="str">
        <f>IF(B76="","",Exposures!$F76&amp;"")</f>
        <v/>
      </c>
      <c r="AD76" s="20" t="str">
        <f>IF(B76="","",Exposures!$E76&amp;": Start")</f>
        <v/>
      </c>
      <c r="AE76" s="20">
        <f t="shared" si="22"/>
        <v>0</v>
      </c>
      <c r="AF76" s="20" t="str">
        <f t="shared" si="23"/>
        <v/>
      </c>
      <c r="AG76" s="20">
        <f t="shared" si="24"/>
        <v>0</v>
      </c>
      <c r="AH76" s="20" t="str">
        <f>""</f>
        <v/>
      </c>
    </row>
    <row r="77" spans="1:34" x14ac:dyDescent="0.2">
      <c r="A77" s="20" t="str">
        <f t="shared" si="13"/>
        <v/>
      </c>
      <c r="B77" s="20" t="str">
        <f>IF(AND(Exposures!$D5&lt;&gt;"",COUNTA(Exposures!$AE5:$AL5)&gt;0),Exposures!$D5&amp;"/STOP","")</f>
        <v/>
      </c>
      <c r="C77" s="20" t="str">
        <f t="shared" ref="C77:C108" si="25">IF(B77="","","EXPOSURE_STOP")</f>
        <v/>
      </c>
      <c r="D77" s="20" t="str">
        <f>IF(B77="","",Exposures!$A5&amp;"")</f>
        <v/>
      </c>
      <c r="E77" s="20" t="str">
        <f>IF(B77="","",Exposures!$B5&amp;"")</f>
        <v/>
      </c>
      <c r="F77" s="20" t="str">
        <f t="shared" si="15"/>
        <v/>
      </c>
      <c r="G77" s="20" t="str">
        <f>IF(B77="","",Exposures!$D5&amp;"")</f>
        <v/>
      </c>
      <c r="H77" s="20" t="str">
        <f>IF(B77="","",Exposures!$AE5&amp;"")</f>
        <v/>
      </c>
      <c r="I77" s="20" t="str">
        <f>IF(B77="","",Exposures!$AH5&amp;"")</f>
        <v/>
      </c>
      <c r="J77" s="20" t="str">
        <f>IF(B77="","",Exposures!$AN5&amp;"")</f>
        <v/>
      </c>
      <c r="K77" s="20">
        <f>IF(B77="",0,Exposures!$AO5)</f>
        <v>0</v>
      </c>
      <c r="L77" s="20">
        <f>IF(B77="",0,Exposures!$AP5)</f>
        <v>0</v>
      </c>
      <c r="M77" s="20" t="str">
        <f>IF(B77="","",Exposures!$AS5)</f>
        <v/>
      </c>
      <c r="N77" s="20" t="str">
        <f>IF(B77="","",Exposures!$AT5)</f>
        <v/>
      </c>
      <c r="O77" s="27" t="str">
        <f>IF(B77="","",Exposures!$AQ5)</f>
        <v/>
      </c>
      <c r="P77" s="27" t="str">
        <f>IF(B77="","",Exposures!$AR5)</f>
        <v/>
      </c>
      <c r="Q77" s="20" t="str">
        <f t="shared" si="16"/>
        <v/>
      </c>
      <c r="R77" s="20" t="str">
        <f>IF(A77="","",IF(J77&lt;&gt;"",J77,IF(H77="TIMESTAMP",DAY(INT(M77/1440))&amp;" "&amp;INDEX(nLIST_Months,MONTH(INT(M77/1440)))&amp;" "&amp;YEAR(INT(M77/1440))&amp;" "&amp;RIGHT("0"&amp;INT(MOD(M77,1440)/60),2)&amp;":"&amp;RIGHT("0"&amp;MOD(M77,60),2)&amp;IF(L77=1," (UTC"&amp;I77&amp;")"," (offset unknown)"),IF(H77="DATE",DAY(O77)&amp;" "&amp;INDEX(nLIST_Months,MONTH(O77))&amp;" "&amp;YEAR(O77),IF(H77="MONTH",INDEX(nLIST_Months,MONTH(O77))&amp;" "&amp;YEAR(O77)&amp;" ("&amp;DAY(O77)&amp;" "&amp;INDEX(nLIST_Months,MONTH(O77))&amp;" "&amp;YEAR(O77)&amp;" to "&amp;DAY(P77)&amp;" "&amp;INDEX(nLIST_Months,MONTH(P77))&amp;" "&amp;YEAR(P77)&amp;")",IF(H77="YEAR",YEAR(O77)&amp;" (1 January to 31 December)",DAY(O77)&amp;" "&amp;INDEX(nLIST_Months,MONTH(O77))&amp;" "&amp;YEAR(O77)&amp;" to "&amp;DAY(P77)&amp;" "&amp;INDEX(nLIST_Months,MONTH(P77))&amp;" "&amp;YEAR(P77)&amp;IF(H77="LAB"," (laboratory-defined)","")))))))</f>
        <v/>
      </c>
      <c r="S77" s="20" t="str">
        <f>IF(B77="","",Exposures!$AD5&amp;"")</f>
        <v/>
      </c>
      <c r="T77" s="20" t="str">
        <f>IF(B77="","",Exposures!$AM5&amp;"")</f>
        <v/>
      </c>
      <c r="U77" s="20" t="str">
        <f>IF(B77="","","Exposures row "&amp;ROW(Exposures!$A5)&amp;", Stop")</f>
        <v/>
      </c>
      <c r="V77" s="20">
        <f>IF(A77="",0,COUNTIF(nTP_Key,A77))</f>
        <v>0</v>
      </c>
      <c r="W77" s="20">
        <f t="shared" si="17"/>
        <v>0</v>
      </c>
      <c r="X77" s="20">
        <f t="shared" si="18"/>
        <v>0</v>
      </c>
      <c r="Y77" s="20">
        <f t="shared" si="19"/>
        <v>0</v>
      </c>
      <c r="Z77" s="20">
        <f t="shared" si="20"/>
        <v>0</v>
      </c>
      <c r="AA77" s="20">
        <f t="shared" si="21"/>
        <v>73</v>
      </c>
      <c r="AB77" s="20" t="str">
        <f>""</f>
        <v/>
      </c>
      <c r="AC77" s="20" t="str">
        <f>IF(B77="","",Exposures!$F5&amp;"")</f>
        <v/>
      </c>
      <c r="AD77" s="20" t="str">
        <f>IF(B77="","",Exposures!$E5&amp;": Stop")</f>
        <v/>
      </c>
      <c r="AE77" s="20">
        <f t="shared" si="22"/>
        <v>0</v>
      </c>
      <c r="AF77" s="20" t="str">
        <f t="shared" si="23"/>
        <v/>
      </c>
      <c r="AG77" s="20">
        <f t="shared" si="24"/>
        <v>0</v>
      </c>
      <c r="AH77" s="20" t="str">
        <f>""</f>
        <v/>
      </c>
    </row>
    <row r="78" spans="1:34" x14ac:dyDescent="0.2">
      <c r="A78" s="20" t="str">
        <f t="shared" si="13"/>
        <v/>
      </c>
      <c r="B78" s="20" t="str">
        <f>IF(AND(Exposures!$D6&lt;&gt;"",COUNTA(Exposures!$AE6:$AL6)&gt;0),Exposures!$D6&amp;"/STOP","")</f>
        <v/>
      </c>
      <c r="C78" s="20" t="str">
        <f t="shared" si="25"/>
        <v/>
      </c>
      <c r="D78" s="20" t="str">
        <f>IF(B78="","",Exposures!$A6&amp;"")</f>
        <v/>
      </c>
      <c r="E78" s="20" t="str">
        <f>IF(B78="","",Exposures!$B6&amp;"")</f>
        <v/>
      </c>
      <c r="F78" s="20" t="str">
        <f t="shared" si="15"/>
        <v/>
      </c>
      <c r="G78" s="20" t="str">
        <f>IF(B78="","",Exposures!$D6&amp;"")</f>
        <v/>
      </c>
      <c r="H78" s="20" t="str">
        <f>IF(B78="","",Exposures!$AE6&amp;"")</f>
        <v/>
      </c>
      <c r="I78" s="20" t="str">
        <f>IF(B78="","",Exposures!$AH6&amp;"")</f>
        <v/>
      </c>
      <c r="J78" s="20" t="str">
        <f>IF(B78="","",Exposures!$AN6&amp;"")</f>
        <v/>
      </c>
      <c r="K78" s="20">
        <f>IF(B78="",0,Exposures!$AO6)</f>
        <v>0</v>
      </c>
      <c r="L78" s="20">
        <f>IF(B78="",0,Exposures!$AP6)</f>
        <v>0</v>
      </c>
      <c r="M78" s="20" t="str">
        <f>IF(B78="","",Exposures!$AS6)</f>
        <v/>
      </c>
      <c r="N78" s="20" t="str">
        <f>IF(B78="","",Exposures!$AT6)</f>
        <v/>
      </c>
      <c r="O78" s="27" t="str">
        <f>IF(B78="","",Exposures!$AQ6)</f>
        <v/>
      </c>
      <c r="P78" s="27" t="str">
        <f>IF(B78="","",Exposures!$AR6)</f>
        <v/>
      </c>
      <c r="Q78" s="20" t="str">
        <f t="shared" si="16"/>
        <v/>
      </c>
      <c r="R78" s="20" t="str">
        <f>IF(A78="","",IF(J78&lt;&gt;"",J78,IF(H78="TIMESTAMP",DAY(INT(M78/1440))&amp;" "&amp;INDEX(nLIST_Months,MONTH(INT(M78/1440)))&amp;" "&amp;YEAR(INT(M78/1440))&amp;" "&amp;RIGHT("0"&amp;INT(MOD(M78,1440)/60),2)&amp;":"&amp;RIGHT("0"&amp;MOD(M78,60),2)&amp;IF(L78=1," (UTC"&amp;I78&amp;")"," (offset unknown)"),IF(H78="DATE",DAY(O78)&amp;" "&amp;INDEX(nLIST_Months,MONTH(O78))&amp;" "&amp;YEAR(O78),IF(H78="MONTH",INDEX(nLIST_Months,MONTH(O78))&amp;" "&amp;YEAR(O78)&amp;" ("&amp;DAY(O78)&amp;" "&amp;INDEX(nLIST_Months,MONTH(O78))&amp;" "&amp;YEAR(O78)&amp;" to "&amp;DAY(P78)&amp;" "&amp;INDEX(nLIST_Months,MONTH(P78))&amp;" "&amp;YEAR(P78)&amp;")",IF(H78="YEAR",YEAR(O78)&amp;" (1 January to 31 December)",DAY(O78)&amp;" "&amp;INDEX(nLIST_Months,MONTH(O78))&amp;" "&amp;YEAR(O78)&amp;" to "&amp;DAY(P78)&amp;" "&amp;INDEX(nLIST_Months,MONTH(P78))&amp;" "&amp;YEAR(P78)&amp;IF(H78="LAB"," (laboratory-defined)","")))))))</f>
        <v/>
      </c>
      <c r="S78" s="20" t="str">
        <f>IF(B78="","",Exposures!$AD6&amp;"")</f>
        <v/>
      </c>
      <c r="T78" s="20" t="str">
        <f>IF(B78="","",Exposures!$AM6&amp;"")</f>
        <v/>
      </c>
      <c r="U78" s="20" t="str">
        <f>IF(B78="","","Exposures row "&amp;ROW(Exposures!$A6)&amp;", Stop")</f>
        <v/>
      </c>
      <c r="V78" s="20">
        <f>IF(A78="",0,COUNTIF(nTP_Key,A78))</f>
        <v>0</v>
      </c>
      <c r="W78" s="20">
        <f t="shared" si="17"/>
        <v>0</v>
      </c>
      <c r="X78" s="20">
        <f t="shared" si="18"/>
        <v>0</v>
      </c>
      <c r="Y78" s="20">
        <f t="shared" si="19"/>
        <v>0</v>
      </c>
      <c r="Z78" s="20">
        <f t="shared" si="20"/>
        <v>0</v>
      </c>
      <c r="AA78" s="20">
        <f t="shared" si="21"/>
        <v>74</v>
      </c>
      <c r="AB78" s="20" t="str">
        <f>""</f>
        <v/>
      </c>
      <c r="AC78" s="20" t="str">
        <f>IF(B78="","",Exposures!$F6&amp;"")</f>
        <v/>
      </c>
      <c r="AD78" s="20" t="str">
        <f>IF(B78="","",Exposures!$E6&amp;": Stop")</f>
        <v/>
      </c>
      <c r="AE78" s="20">
        <f t="shared" si="22"/>
        <v>0</v>
      </c>
      <c r="AF78" s="20" t="str">
        <f t="shared" si="23"/>
        <v/>
      </c>
      <c r="AG78" s="20">
        <f t="shared" si="24"/>
        <v>0</v>
      </c>
      <c r="AH78" s="20" t="str">
        <f>""</f>
        <v/>
      </c>
    </row>
    <row r="79" spans="1:34" x14ac:dyDescent="0.2">
      <c r="A79" s="20" t="str">
        <f t="shared" si="13"/>
        <v/>
      </c>
      <c r="B79" s="20" t="str">
        <f>IF(AND(Exposures!$D7&lt;&gt;"",COUNTA(Exposures!$AE7:$AL7)&gt;0),Exposures!$D7&amp;"/STOP","")</f>
        <v/>
      </c>
      <c r="C79" s="20" t="str">
        <f t="shared" si="25"/>
        <v/>
      </c>
      <c r="D79" s="20" t="str">
        <f>IF(B79="","",Exposures!$A7&amp;"")</f>
        <v/>
      </c>
      <c r="E79" s="20" t="str">
        <f>IF(B79="","",Exposures!$B7&amp;"")</f>
        <v/>
      </c>
      <c r="F79" s="20" t="str">
        <f t="shared" si="15"/>
        <v/>
      </c>
      <c r="G79" s="20" t="str">
        <f>IF(B79="","",Exposures!$D7&amp;"")</f>
        <v/>
      </c>
      <c r="H79" s="20" t="str">
        <f>IF(B79="","",Exposures!$AE7&amp;"")</f>
        <v/>
      </c>
      <c r="I79" s="20" t="str">
        <f>IF(B79="","",Exposures!$AH7&amp;"")</f>
        <v/>
      </c>
      <c r="J79" s="20" t="str">
        <f>IF(B79="","",Exposures!$AN7&amp;"")</f>
        <v/>
      </c>
      <c r="K79" s="20">
        <f>IF(B79="",0,Exposures!$AO7)</f>
        <v>0</v>
      </c>
      <c r="L79" s="20">
        <f>IF(B79="",0,Exposures!$AP7)</f>
        <v>0</v>
      </c>
      <c r="M79" s="20" t="str">
        <f>IF(B79="","",Exposures!$AS7)</f>
        <v/>
      </c>
      <c r="N79" s="20" t="str">
        <f>IF(B79="","",Exposures!$AT7)</f>
        <v/>
      </c>
      <c r="O79" s="27" t="str">
        <f>IF(B79="","",Exposures!$AQ7)</f>
        <v/>
      </c>
      <c r="P79" s="27" t="str">
        <f>IF(B79="","",Exposures!$AR7)</f>
        <v/>
      </c>
      <c r="Q79" s="20" t="str">
        <f t="shared" si="16"/>
        <v/>
      </c>
      <c r="R79" s="20" t="str">
        <f>IF(A79="","",IF(J79&lt;&gt;"",J79,IF(H79="TIMESTAMP",DAY(INT(M79/1440))&amp;" "&amp;INDEX(nLIST_Months,MONTH(INT(M79/1440)))&amp;" "&amp;YEAR(INT(M79/1440))&amp;" "&amp;RIGHT("0"&amp;INT(MOD(M79,1440)/60),2)&amp;":"&amp;RIGHT("0"&amp;MOD(M79,60),2)&amp;IF(L79=1," (UTC"&amp;I79&amp;")"," (offset unknown)"),IF(H79="DATE",DAY(O79)&amp;" "&amp;INDEX(nLIST_Months,MONTH(O79))&amp;" "&amp;YEAR(O79),IF(H79="MONTH",INDEX(nLIST_Months,MONTH(O79))&amp;" "&amp;YEAR(O79)&amp;" ("&amp;DAY(O79)&amp;" "&amp;INDEX(nLIST_Months,MONTH(O79))&amp;" "&amp;YEAR(O79)&amp;" to "&amp;DAY(P79)&amp;" "&amp;INDEX(nLIST_Months,MONTH(P79))&amp;" "&amp;YEAR(P79)&amp;")",IF(H79="YEAR",YEAR(O79)&amp;" (1 January to 31 December)",DAY(O79)&amp;" "&amp;INDEX(nLIST_Months,MONTH(O79))&amp;" "&amp;YEAR(O79)&amp;" to "&amp;DAY(P79)&amp;" "&amp;INDEX(nLIST_Months,MONTH(P79))&amp;" "&amp;YEAR(P79)&amp;IF(H79="LAB"," (laboratory-defined)","")))))))</f>
        <v/>
      </c>
      <c r="S79" s="20" t="str">
        <f>IF(B79="","",Exposures!$AD7&amp;"")</f>
        <v/>
      </c>
      <c r="T79" s="20" t="str">
        <f>IF(B79="","",Exposures!$AM7&amp;"")</f>
        <v/>
      </c>
      <c r="U79" s="20" t="str">
        <f>IF(B79="","","Exposures row "&amp;ROW(Exposures!$A7)&amp;", Stop")</f>
        <v/>
      </c>
      <c r="V79" s="20">
        <f>IF(A79="",0,COUNTIF(nTP_Key,A79))</f>
        <v>0</v>
      </c>
      <c r="W79" s="20">
        <f t="shared" si="17"/>
        <v>0</v>
      </c>
      <c r="X79" s="20">
        <f t="shared" si="18"/>
        <v>0</v>
      </c>
      <c r="Y79" s="20">
        <f t="shared" si="19"/>
        <v>0</v>
      </c>
      <c r="Z79" s="20">
        <f t="shared" si="20"/>
        <v>0</v>
      </c>
      <c r="AA79" s="20">
        <f t="shared" si="21"/>
        <v>75</v>
      </c>
      <c r="AB79" s="20" t="str">
        <f>""</f>
        <v/>
      </c>
      <c r="AC79" s="20" t="str">
        <f>IF(B79="","",Exposures!$F7&amp;"")</f>
        <v/>
      </c>
      <c r="AD79" s="20" t="str">
        <f>IF(B79="","",Exposures!$E7&amp;": Stop")</f>
        <v/>
      </c>
      <c r="AE79" s="20">
        <f t="shared" si="22"/>
        <v>0</v>
      </c>
      <c r="AF79" s="20" t="str">
        <f t="shared" si="23"/>
        <v/>
      </c>
      <c r="AG79" s="20">
        <f t="shared" si="24"/>
        <v>0</v>
      </c>
      <c r="AH79" s="20" t="str">
        <f>""</f>
        <v/>
      </c>
    </row>
    <row r="80" spans="1:34" x14ac:dyDescent="0.2">
      <c r="A80" s="20" t="str">
        <f t="shared" si="13"/>
        <v/>
      </c>
      <c r="B80" s="20" t="str">
        <f>IF(AND(Exposures!$D8&lt;&gt;"",COUNTA(Exposures!$AE8:$AL8)&gt;0),Exposures!$D8&amp;"/STOP","")</f>
        <v/>
      </c>
      <c r="C80" s="20" t="str">
        <f t="shared" si="25"/>
        <v/>
      </c>
      <c r="D80" s="20" t="str">
        <f>IF(B80="","",Exposures!$A8&amp;"")</f>
        <v/>
      </c>
      <c r="E80" s="20" t="str">
        <f>IF(B80="","",Exposures!$B8&amp;"")</f>
        <v/>
      </c>
      <c r="F80" s="20" t="str">
        <f t="shared" si="15"/>
        <v/>
      </c>
      <c r="G80" s="20" t="str">
        <f>IF(B80="","",Exposures!$D8&amp;"")</f>
        <v/>
      </c>
      <c r="H80" s="20" t="str">
        <f>IF(B80="","",Exposures!$AE8&amp;"")</f>
        <v/>
      </c>
      <c r="I80" s="20" t="str">
        <f>IF(B80="","",Exposures!$AH8&amp;"")</f>
        <v/>
      </c>
      <c r="J80" s="20" t="str">
        <f>IF(B80="","",Exposures!$AN8&amp;"")</f>
        <v/>
      </c>
      <c r="K80" s="20">
        <f>IF(B80="",0,Exposures!$AO8)</f>
        <v>0</v>
      </c>
      <c r="L80" s="20">
        <f>IF(B80="",0,Exposures!$AP8)</f>
        <v>0</v>
      </c>
      <c r="M80" s="20" t="str">
        <f>IF(B80="","",Exposures!$AS8)</f>
        <v/>
      </c>
      <c r="N80" s="20" t="str">
        <f>IF(B80="","",Exposures!$AT8)</f>
        <v/>
      </c>
      <c r="O80" s="27" t="str">
        <f>IF(B80="","",Exposures!$AQ8)</f>
        <v/>
      </c>
      <c r="P80" s="27" t="str">
        <f>IF(B80="","",Exposures!$AR8)</f>
        <v/>
      </c>
      <c r="Q80" s="20" t="str">
        <f t="shared" si="16"/>
        <v/>
      </c>
      <c r="R80" s="20" t="str">
        <f>IF(A80="","",IF(J80&lt;&gt;"",J80,IF(H80="TIMESTAMP",DAY(INT(M80/1440))&amp;" "&amp;INDEX(nLIST_Months,MONTH(INT(M80/1440)))&amp;" "&amp;YEAR(INT(M80/1440))&amp;" "&amp;RIGHT("0"&amp;INT(MOD(M80,1440)/60),2)&amp;":"&amp;RIGHT("0"&amp;MOD(M80,60),2)&amp;IF(L80=1," (UTC"&amp;I80&amp;")"," (offset unknown)"),IF(H80="DATE",DAY(O80)&amp;" "&amp;INDEX(nLIST_Months,MONTH(O80))&amp;" "&amp;YEAR(O80),IF(H80="MONTH",INDEX(nLIST_Months,MONTH(O80))&amp;" "&amp;YEAR(O80)&amp;" ("&amp;DAY(O80)&amp;" "&amp;INDEX(nLIST_Months,MONTH(O80))&amp;" "&amp;YEAR(O80)&amp;" to "&amp;DAY(P80)&amp;" "&amp;INDEX(nLIST_Months,MONTH(P80))&amp;" "&amp;YEAR(P80)&amp;")",IF(H80="YEAR",YEAR(O80)&amp;" (1 January to 31 December)",DAY(O80)&amp;" "&amp;INDEX(nLIST_Months,MONTH(O80))&amp;" "&amp;YEAR(O80)&amp;" to "&amp;DAY(P80)&amp;" "&amp;INDEX(nLIST_Months,MONTH(P80))&amp;" "&amp;YEAR(P80)&amp;IF(H80="LAB"," (laboratory-defined)","")))))))</f>
        <v/>
      </c>
      <c r="S80" s="20" t="str">
        <f>IF(B80="","",Exposures!$AD8&amp;"")</f>
        <v/>
      </c>
      <c r="T80" s="20" t="str">
        <f>IF(B80="","",Exposures!$AM8&amp;"")</f>
        <v/>
      </c>
      <c r="U80" s="20" t="str">
        <f>IF(B80="","","Exposures row "&amp;ROW(Exposures!$A8)&amp;", Stop")</f>
        <v/>
      </c>
      <c r="V80" s="20">
        <f>IF(A80="",0,COUNTIF(nTP_Key,A80))</f>
        <v>0</v>
      </c>
      <c r="W80" s="20">
        <f t="shared" si="17"/>
        <v>0</v>
      </c>
      <c r="X80" s="20">
        <f t="shared" si="18"/>
        <v>0</v>
      </c>
      <c r="Y80" s="20">
        <f t="shared" si="19"/>
        <v>0</v>
      </c>
      <c r="Z80" s="20">
        <f t="shared" si="20"/>
        <v>0</v>
      </c>
      <c r="AA80" s="20">
        <f t="shared" si="21"/>
        <v>76</v>
      </c>
      <c r="AB80" s="20" t="str">
        <f>""</f>
        <v/>
      </c>
      <c r="AC80" s="20" t="str">
        <f>IF(B80="","",Exposures!$F8&amp;"")</f>
        <v/>
      </c>
      <c r="AD80" s="20" t="str">
        <f>IF(B80="","",Exposures!$E8&amp;": Stop")</f>
        <v/>
      </c>
      <c r="AE80" s="20">
        <f t="shared" si="22"/>
        <v>0</v>
      </c>
      <c r="AF80" s="20" t="str">
        <f t="shared" si="23"/>
        <v/>
      </c>
      <c r="AG80" s="20">
        <f t="shared" si="24"/>
        <v>0</v>
      </c>
      <c r="AH80" s="20" t="str">
        <f>""</f>
        <v/>
      </c>
    </row>
    <row r="81" spans="1:34" x14ac:dyDescent="0.2">
      <c r="A81" s="20" t="str">
        <f t="shared" si="13"/>
        <v/>
      </c>
      <c r="B81" s="20" t="str">
        <f>IF(AND(Exposures!$D9&lt;&gt;"",COUNTA(Exposures!$AE9:$AL9)&gt;0),Exposures!$D9&amp;"/STOP","")</f>
        <v/>
      </c>
      <c r="C81" s="20" t="str">
        <f t="shared" si="25"/>
        <v/>
      </c>
      <c r="D81" s="20" t="str">
        <f>IF(B81="","",Exposures!$A9&amp;"")</f>
        <v/>
      </c>
      <c r="E81" s="20" t="str">
        <f>IF(B81="","",Exposures!$B9&amp;"")</f>
        <v/>
      </c>
      <c r="F81" s="20" t="str">
        <f t="shared" si="15"/>
        <v/>
      </c>
      <c r="G81" s="20" t="str">
        <f>IF(B81="","",Exposures!$D9&amp;"")</f>
        <v/>
      </c>
      <c r="H81" s="20" t="str">
        <f>IF(B81="","",Exposures!$AE9&amp;"")</f>
        <v/>
      </c>
      <c r="I81" s="20" t="str">
        <f>IF(B81="","",Exposures!$AH9&amp;"")</f>
        <v/>
      </c>
      <c r="J81" s="20" t="str">
        <f>IF(B81="","",Exposures!$AN9&amp;"")</f>
        <v/>
      </c>
      <c r="K81" s="20">
        <f>IF(B81="",0,Exposures!$AO9)</f>
        <v>0</v>
      </c>
      <c r="L81" s="20">
        <f>IF(B81="",0,Exposures!$AP9)</f>
        <v>0</v>
      </c>
      <c r="M81" s="20" t="str">
        <f>IF(B81="","",Exposures!$AS9)</f>
        <v/>
      </c>
      <c r="N81" s="20" t="str">
        <f>IF(B81="","",Exposures!$AT9)</f>
        <v/>
      </c>
      <c r="O81" s="27" t="str">
        <f>IF(B81="","",Exposures!$AQ9)</f>
        <v/>
      </c>
      <c r="P81" s="27" t="str">
        <f>IF(B81="","",Exposures!$AR9)</f>
        <v/>
      </c>
      <c r="Q81" s="20" t="str">
        <f t="shared" si="16"/>
        <v/>
      </c>
      <c r="R81" s="20" t="str">
        <f>IF(A81="","",IF(J81&lt;&gt;"",J81,IF(H81="TIMESTAMP",DAY(INT(M81/1440))&amp;" "&amp;INDEX(nLIST_Months,MONTH(INT(M81/1440)))&amp;" "&amp;YEAR(INT(M81/1440))&amp;" "&amp;RIGHT("0"&amp;INT(MOD(M81,1440)/60),2)&amp;":"&amp;RIGHT("0"&amp;MOD(M81,60),2)&amp;IF(L81=1," (UTC"&amp;I81&amp;")"," (offset unknown)"),IF(H81="DATE",DAY(O81)&amp;" "&amp;INDEX(nLIST_Months,MONTH(O81))&amp;" "&amp;YEAR(O81),IF(H81="MONTH",INDEX(nLIST_Months,MONTH(O81))&amp;" "&amp;YEAR(O81)&amp;" ("&amp;DAY(O81)&amp;" "&amp;INDEX(nLIST_Months,MONTH(O81))&amp;" "&amp;YEAR(O81)&amp;" to "&amp;DAY(P81)&amp;" "&amp;INDEX(nLIST_Months,MONTH(P81))&amp;" "&amp;YEAR(P81)&amp;")",IF(H81="YEAR",YEAR(O81)&amp;" (1 January to 31 December)",DAY(O81)&amp;" "&amp;INDEX(nLIST_Months,MONTH(O81))&amp;" "&amp;YEAR(O81)&amp;" to "&amp;DAY(P81)&amp;" "&amp;INDEX(nLIST_Months,MONTH(P81))&amp;" "&amp;YEAR(P81)&amp;IF(H81="LAB"," (laboratory-defined)","")))))))</f>
        <v/>
      </c>
      <c r="S81" s="20" t="str">
        <f>IF(B81="","",Exposures!$AD9&amp;"")</f>
        <v/>
      </c>
      <c r="T81" s="20" t="str">
        <f>IF(B81="","",Exposures!$AM9&amp;"")</f>
        <v/>
      </c>
      <c r="U81" s="20" t="str">
        <f>IF(B81="","","Exposures row "&amp;ROW(Exposures!$A9)&amp;", Stop")</f>
        <v/>
      </c>
      <c r="V81" s="20">
        <f>IF(A81="",0,COUNTIF(nTP_Key,A81))</f>
        <v>0</v>
      </c>
      <c r="W81" s="20">
        <f t="shared" si="17"/>
        <v>0</v>
      </c>
      <c r="X81" s="20">
        <f t="shared" si="18"/>
        <v>0</v>
      </c>
      <c r="Y81" s="20">
        <f t="shared" si="19"/>
        <v>0</v>
      </c>
      <c r="Z81" s="20">
        <f t="shared" si="20"/>
        <v>0</v>
      </c>
      <c r="AA81" s="20">
        <f t="shared" si="21"/>
        <v>77</v>
      </c>
      <c r="AB81" s="20" t="str">
        <f>""</f>
        <v/>
      </c>
      <c r="AC81" s="20" t="str">
        <f>IF(B81="","",Exposures!$F9&amp;"")</f>
        <v/>
      </c>
      <c r="AD81" s="20" t="str">
        <f>IF(B81="","",Exposures!$E9&amp;": Stop")</f>
        <v/>
      </c>
      <c r="AE81" s="20">
        <f t="shared" si="22"/>
        <v>0</v>
      </c>
      <c r="AF81" s="20" t="str">
        <f t="shared" si="23"/>
        <v/>
      </c>
      <c r="AG81" s="20">
        <f t="shared" si="24"/>
        <v>0</v>
      </c>
      <c r="AH81" s="20" t="str">
        <f>""</f>
        <v/>
      </c>
    </row>
    <row r="82" spans="1:34" x14ac:dyDescent="0.2">
      <c r="A82" s="20" t="str">
        <f t="shared" si="13"/>
        <v/>
      </c>
      <c r="B82" s="20" t="str">
        <f>IF(AND(Exposures!$D10&lt;&gt;"",COUNTA(Exposures!$AE10:$AL10)&gt;0),Exposures!$D10&amp;"/STOP","")</f>
        <v/>
      </c>
      <c r="C82" s="20" t="str">
        <f t="shared" si="25"/>
        <v/>
      </c>
      <c r="D82" s="20" t="str">
        <f>IF(B82="","",Exposures!$A10&amp;"")</f>
        <v/>
      </c>
      <c r="E82" s="20" t="str">
        <f>IF(B82="","",Exposures!$B10&amp;"")</f>
        <v/>
      </c>
      <c r="F82" s="20" t="str">
        <f t="shared" si="15"/>
        <v/>
      </c>
      <c r="G82" s="20" t="str">
        <f>IF(B82="","",Exposures!$D10&amp;"")</f>
        <v/>
      </c>
      <c r="H82" s="20" t="str">
        <f>IF(B82="","",Exposures!$AE10&amp;"")</f>
        <v/>
      </c>
      <c r="I82" s="20" t="str">
        <f>IF(B82="","",Exposures!$AH10&amp;"")</f>
        <v/>
      </c>
      <c r="J82" s="20" t="str">
        <f>IF(B82="","",Exposures!$AN10&amp;"")</f>
        <v/>
      </c>
      <c r="K82" s="20">
        <f>IF(B82="",0,Exposures!$AO10)</f>
        <v>0</v>
      </c>
      <c r="L82" s="20">
        <f>IF(B82="",0,Exposures!$AP10)</f>
        <v>0</v>
      </c>
      <c r="M82" s="20" t="str">
        <f>IF(B82="","",Exposures!$AS10)</f>
        <v/>
      </c>
      <c r="N82" s="20" t="str">
        <f>IF(B82="","",Exposures!$AT10)</f>
        <v/>
      </c>
      <c r="O82" s="27" t="str">
        <f>IF(B82="","",Exposures!$AQ10)</f>
        <v/>
      </c>
      <c r="P82" s="27" t="str">
        <f>IF(B82="","",Exposures!$AR10)</f>
        <v/>
      </c>
      <c r="Q82" s="20" t="str">
        <f t="shared" si="16"/>
        <v/>
      </c>
      <c r="R82" s="20" t="str">
        <f>IF(A82="","",IF(J82&lt;&gt;"",J82,IF(H82="TIMESTAMP",DAY(INT(M82/1440))&amp;" "&amp;INDEX(nLIST_Months,MONTH(INT(M82/1440)))&amp;" "&amp;YEAR(INT(M82/1440))&amp;" "&amp;RIGHT("0"&amp;INT(MOD(M82,1440)/60),2)&amp;":"&amp;RIGHT("0"&amp;MOD(M82,60),2)&amp;IF(L82=1," (UTC"&amp;I82&amp;")"," (offset unknown)"),IF(H82="DATE",DAY(O82)&amp;" "&amp;INDEX(nLIST_Months,MONTH(O82))&amp;" "&amp;YEAR(O82),IF(H82="MONTH",INDEX(nLIST_Months,MONTH(O82))&amp;" "&amp;YEAR(O82)&amp;" ("&amp;DAY(O82)&amp;" "&amp;INDEX(nLIST_Months,MONTH(O82))&amp;" "&amp;YEAR(O82)&amp;" to "&amp;DAY(P82)&amp;" "&amp;INDEX(nLIST_Months,MONTH(P82))&amp;" "&amp;YEAR(P82)&amp;")",IF(H82="YEAR",YEAR(O82)&amp;" (1 January to 31 December)",DAY(O82)&amp;" "&amp;INDEX(nLIST_Months,MONTH(O82))&amp;" "&amp;YEAR(O82)&amp;" to "&amp;DAY(P82)&amp;" "&amp;INDEX(nLIST_Months,MONTH(P82))&amp;" "&amp;YEAR(P82)&amp;IF(H82="LAB"," (laboratory-defined)","")))))))</f>
        <v/>
      </c>
      <c r="S82" s="20" t="str">
        <f>IF(B82="","",Exposures!$AD10&amp;"")</f>
        <v/>
      </c>
      <c r="T82" s="20" t="str">
        <f>IF(B82="","",Exposures!$AM10&amp;"")</f>
        <v/>
      </c>
      <c r="U82" s="20" t="str">
        <f>IF(B82="","","Exposures row "&amp;ROW(Exposures!$A10)&amp;", Stop")</f>
        <v/>
      </c>
      <c r="V82" s="20">
        <f>IF(A82="",0,COUNTIF(nTP_Key,A82))</f>
        <v>0</v>
      </c>
      <c r="W82" s="20">
        <f t="shared" si="17"/>
        <v>0</v>
      </c>
      <c r="X82" s="20">
        <f t="shared" si="18"/>
        <v>0</v>
      </c>
      <c r="Y82" s="20">
        <f t="shared" si="19"/>
        <v>0</v>
      </c>
      <c r="Z82" s="20">
        <f t="shared" si="20"/>
        <v>0</v>
      </c>
      <c r="AA82" s="20">
        <f t="shared" si="21"/>
        <v>78</v>
      </c>
      <c r="AB82" s="20" t="str">
        <f>""</f>
        <v/>
      </c>
      <c r="AC82" s="20" t="str">
        <f>IF(B82="","",Exposures!$F10&amp;"")</f>
        <v/>
      </c>
      <c r="AD82" s="20" t="str">
        <f>IF(B82="","",Exposures!$E10&amp;": Stop")</f>
        <v/>
      </c>
      <c r="AE82" s="20">
        <f t="shared" si="22"/>
        <v>0</v>
      </c>
      <c r="AF82" s="20" t="str">
        <f t="shared" si="23"/>
        <v/>
      </c>
      <c r="AG82" s="20">
        <f t="shared" si="24"/>
        <v>0</v>
      </c>
      <c r="AH82" s="20" t="str">
        <f>""</f>
        <v/>
      </c>
    </row>
    <row r="83" spans="1:34" x14ac:dyDescent="0.2">
      <c r="A83" s="20" t="str">
        <f t="shared" si="13"/>
        <v/>
      </c>
      <c r="B83" s="20" t="str">
        <f>IF(AND(Exposures!$D11&lt;&gt;"",COUNTA(Exposures!$AE11:$AL11)&gt;0),Exposures!$D11&amp;"/STOP","")</f>
        <v/>
      </c>
      <c r="C83" s="20" t="str">
        <f t="shared" si="25"/>
        <v/>
      </c>
      <c r="D83" s="20" t="str">
        <f>IF(B83="","",Exposures!$A11&amp;"")</f>
        <v/>
      </c>
      <c r="E83" s="20" t="str">
        <f>IF(B83="","",Exposures!$B11&amp;"")</f>
        <v/>
      </c>
      <c r="F83" s="20" t="str">
        <f t="shared" si="15"/>
        <v/>
      </c>
      <c r="G83" s="20" t="str">
        <f>IF(B83="","",Exposures!$D11&amp;"")</f>
        <v/>
      </c>
      <c r="H83" s="20" t="str">
        <f>IF(B83="","",Exposures!$AE11&amp;"")</f>
        <v/>
      </c>
      <c r="I83" s="20" t="str">
        <f>IF(B83="","",Exposures!$AH11&amp;"")</f>
        <v/>
      </c>
      <c r="J83" s="20" t="str">
        <f>IF(B83="","",Exposures!$AN11&amp;"")</f>
        <v/>
      </c>
      <c r="K83" s="20">
        <f>IF(B83="",0,Exposures!$AO11)</f>
        <v>0</v>
      </c>
      <c r="L83" s="20">
        <f>IF(B83="",0,Exposures!$AP11)</f>
        <v>0</v>
      </c>
      <c r="M83" s="20" t="str">
        <f>IF(B83="","",Exposures!$AS11)</f>
        <v/>
      </c>
      <c r="N83" s="20" t="str">
        <f>IF(B83="","",Exposures!$AT11)</f>
        <v/>
      </c>
      <c r="O83" s="27" t="str">
        <f>IF(B83="","",Exposures!$AQ11)</f>
        <v/>
      </c>
      <c r="P83" s="27" t="str">
        <f>IF(B83="","",Exposures!$AR11)</f>
        <v/>
      </c>
      <c r="Q83" s="20" t="str">
        <f t="shared" si="16"/>
        <v/>
      </c>
      <c r="R83" s="20" t="str">
        <f>IF(A83="","",IF(J83&lt;&gt;"",J83,IF(H83="TIMESTAMP",DAY(INT(M83/1440))&amp;" "&amp;INDEX(nLIST_Months,MONTH(INT(M83/1440)))&amp;" "&amp;YEAR(INT(M83/1440))&amp;" "&amp;RIGHT("0"&amp;INT(MOD(M83,1440)/60),2)&amp;":"&amp;RIGHT("0"&amp;MOD(M83,60),2)&amp;IF(L83=1," (UTC"&amp;I83&amp;")"," (offset unknown)"),IF(H83="DATE",DAY(O83)&amp;" "&amp;INDEX(nLIST_Months,MONTH(O83))&amp;" "&amp;YEAR(O83),IF(H83="MONTH",INDEX(nLIST_Months,MONTH(O83))&amp;" "&amp;YEAR(O83)&amp;" ("&amp;DAY(O83)&amp;" "&amp;INDEX(nLIST_Months,MONTH(O83))&amp;" "&amp;YEAR(O83)&amp;" to "&amp;DAY(P83)&amp;" "&amp;INDEX(nLIST_Months,MONTH(P83))&amp;" "&amp;YEAR(P83)&amp;")",IF(H83="YEAR",YEAR(O83)&amp;" (1 January to 31 December)",DAY(O83)&amp;" "&amp;INDEX(nLIST_Months,MONTH(O83))&amp;" "&amp;YEAR(O83)&amp;" to "&amp;DAY(P83)&amp;" "&amp;INDEX(nLIST_Months,MONTH(P83))&amp;" "&amp;YEAR(P83)&amp;IF(H83="LAB"," (laboratory-defined)","")))))))</f>
        <v/>
      </c>
      <c r="S83" s="20" t="str">
        <f>IF(B83="","",Exposures!$AD11&amp;"")</f>
        <v/>
      </c>
      <c r="T83" s="20" t="str">
        <f>IF(B83="","",Exposures!$AM11&amp;"")</f>
        <v/>
      </c>
      <c r="U83" s="20" t="str">
        <f>IF(B83="","","Exposures row "&amp;ROW(Exposures!$A11)&amp;", Stop")</f>
        <v/>
      </c>
      <c r="V83" s="20">
        <f>IF(A83="",0,COUNTIF(nTP_Key,A83))</f>
        <v>0</v>
      </c>
      <c r="W83" s="20">
        <f t="shared" si="17"/>
        <v>0</v>
      </c>
      <c r="X83" s="20">
        <f t="shared" si="18"/>
        <v>0</v>
      </c>
      <c r="Y83" s="20">
        <f t="shared" si="19"/>
        <v>0</v>
      </c>
      <c r="Z83" s="20">
        <f t="shared" si="20"/>
        <v>0</v>
      </c>
      <c r="AA83" s="20">
        <f t="shared" si="21"/>
        <v>79</v>
      </c>
      <c r="AB83" s="20" t="str">
        <f>""</f>
        <v/>
      </c>
      <c r="AC83" s="20" t="str">
        <f>IF(B83="","",Exposures!$F11&amp;"")</f>
        <v/>
      </c>
      <c r="AD83" s="20" t="str">
        <f>IF(B83="","",Exposures!$E11&amp;": Stop")</f>
        <v/>
      </c>
      <c r="AE83" s="20">
        <f t="shared" si="22"/>
        <v>0</v>
      </c>
      <c r="AF83" s="20" t="str">
        <f t="shared" si="23"/>
        <v/>
      </c>
      <c r="AG83" s="20">
        <f t="shared" si="24"/>
        <v>0</v>
      </c>
      <c r="AH83" s="20" t="str">
        <f>""</f>
        <v/>
      </c>
    </row>
    <row r="84" spans="1:34" x14ac:dyDescent="0.2">
      <c r="A84" s="20" t="str">
        <f t="shared" si="13"/>
        <v/>
      </c>
      <c r="B84" s="20" t="str">
        <f>IF(AND(Exposures!$D12&lt;&gt;"",COUNTA(Exposures!$AE12:$AL12)&gt;0),Exposures!$D12&amp;"/STOP","")</f>
        <v/>
      </c>
      <c r="C84" s="20" t="str">
        <f t="shared" si="25"/>
        <v/>
      </c>
      <c r="D84" s="20" t="str">
        <f>IF(B84="","",Exposures!$A12&amp;"")</f>
        <v/>
      </c>
      <c r="E84" s="20" t="str">
        <f>IF(B84="","",Exposures!$B12&amp;"")</f>
        <v/>
      </c>
      <c r="F84" s="20" t="str">
        <f t="shared" si="15"/>
        <v/>
      </c>
      <c r="G84" s="20" t="str">
        <f>IF(B84="","",Exposures!$D12&amp;"")</f>
        <v/>
      </c>
      <c r="H84" s="20" t="str">
        <f>IF(B84="","",Exposures!$AE12&amp;"")</f>
        <v/>
      </c>
      <c r="I84" s="20" t="str">
        <f>IF(B84="","",Exposures!$AH12&amp;"")</f>
        <v/>
      </c>
      <c r="J84" s="20" t="str">
        <f>IF(B84="","",Exposures!$AN12&amp;"")</f>
        <v/>
      </c>
      <c r="K84" s="20">
        <f>IF(B84="",0,Exposures!$AO12)</f>
        <v>0</v>
      </c>
      <c r="L84" s="20">
        <f>IF(B84="",0,Exposures!$AP12)</f>
        <v>0</v>
      </c>
      <c r="M84" s="20" t="str">
        <f>IF(B84="","",Exposures!$AS12)</f>
        <v/>
      </c>
      <c r="N84" s="20" t="str">
        <f>IF(B84="","",Exposures!$AT12)</f>
        <v/>
      </c>
      <c r="O84" s="27" t="str">
        <f>IF(B84="","",Exposures!$AQ12)</f>
        <v/>
      </c>
      <c r="P84" s="27" t="str">
        <f>IF(B84="","",Exposures!$AR12)</f>
        <v/>
      </c>
      <c r="Q84" s="20" t="str">
        <f t="shared" si="16"/>
        <v/>
      </c>
      <c r="R84" s="20" t="str">
        <f>IF(A84="","",IF(J84&lt;&gt;"",J84,IF(H84="TIMESTAMP",DAY(INT(M84/1440))&amp;" "&amp;INDEX(nLIST_Months,MONTH(INT(M84/1440)))&amp;" "&amp;YEAR(INT(M84/1440))&amp;" "&amp;RIGHT("0"&amp;INT(MOD(M84,1440)/60),2)&amp;":"&amp;RIGHT("0"&amp;MOD(M84,60),2)&amp;IF(L84=1," (UTC"&amp;I84&amp;")"," (offset unknown)"),IF(H84="DATE",DAY(O84)&amp;" "&amp;INDEX(nLIST_Months,MONTH(O84))&amp;" "&amp;YEAR(O84),IF(H84="MONTH",INDEX(nLIST_Months,MONTH(O84))&amp;" "&amp;YEAR(O84)&amp;" ("&amp;DAY(O84)&amp;" "&amp;INDEX(nLIST_Months,MONTH(O84))&amp;" "&amp;YEAR(O84)&amp;" to "&amp;DAY(P84)&amp;" "&amp;INDEX(nLIST_Months,MONTH(P84))&amp;" "&amp;YEAR(P84)&amp;")",IF(H84="YEAR",YEAR(O84)&amp;" (1 January to 31 December)",DAY(O84)&amp;" "&amp;INDEX(nLIST_Months,MONTH(O84))&amp;" "&amp;YEAR(O84)&amp;" to "&amp;DAY(P84)&amp;" "&amp;INDEX(nLIST_Months,MONTH(P84))&amp;" "&amp;YEAR(P84)&amp;IF(H84="LAB"," (laboratory-defined)","")))))))</f>
        <v/>
      </c>
      <c r="S84" s="20" t="str">
        <f>IF(B84="","",Exposures!$AD12&amp;"")</f>
        <v/>
      </c>
      <c r="T84" s="20" t="str">
        <f>IF(B84="","",Exposures!$AM12&amp;"")</f>
        <v/>
      </c>
      <c r="U84" s="20" t="str">
        <f>IF(B84="","","Exposures row "&amp;ROW(Exposures!$A12)&amp;", Stop")</f>
        <v/>
      </c>
      <c r="V84" s="20">
        <f>IF(A84="",0,COUNTIF(nTP_Key,A84))</f>
        <v>0</v>
      </c>
      <c r="W84" s="20">
        <f t="shared" si="17"/>
        <v>0</v>
      </c>
      <c r="X84" s="20">
        <f t="shared" si="18"/>
        <v>0</v>
      </c>
      <c r="Y84" s="20">
        <f t="shared" si="19"/>
        <v>0</v>
      </c>
      <c r="Z84" s="20">
        <f t="shared" si="20"/>
        <v>0</v>
      </c>
      <c r="AA84" s="20">
        <f t="shared" si="21"/>
        <v>80</v>
      </c>
      <c r="AB84" s="20" t="str">
        <f>""</f>
        <v/>
      </c>
      <c r="AC84" s="20" t="str">
        <f>IF(B84="","",Exposures!$F12&amp;"")</f>
        <v/>
      </c>
      <c r="AD84" s="20" t="str">
        <f>IF(B84="","",Exposures!$E12&amp;": Stop")</f>
        <v/>
      </c>
      <c r="AE84" s="20">
        <f t="shared" si="22"/>
        <v>0</v>
      </c>
      <c r="AF84" s="20" t="str">
        <f t="shared" si="23"/>
        <v/>
      </c>
      <c r="AG84" s="20">
        <f t="shared" si="24"/>
        <v>0</v>
      </c>
      <c r="AH84" s="20" t="str">
        <f>""</f>
        <v/>
      </c>
    </row>
    <row r="85" spans="1:34" x14ac:dyDescent="0.2">
      <c r="A85" s="20" t="str">
        <f t="shared" si="13"/>
        <v/>
      </c>
      <c r="B85" s="20" t="str">
        <f>IF(AND(Exposures!$D13&lt;&gt;"",COUNTA(Exposures!$AE13:$AL13)&gt;0),Exposures!$D13&amp;"/STOP","")</f>
        <v/>
      </c>
      <c r="C85" s="20" t="str">
        <f t="shared" si="25"/>
        <v/>
      </c>
      <c r="D85" s="20" t="str">
        <f>IF(B85="","",Exposures!$A13&amp;"")</f>
        <v/>
      </c>
      <c r="E85" s="20" t="str">
        <f>IF(B85="","",Exposures!$B13&amp;"")</f>
        <v/>
      </c>
      <c r="F85" s="20" t="str">
        <f t="shared" si="15"/>
        <v/>
      </c>
      <c r="G85" s="20" t="str">
        <f>IF(B85="","",Exposures!$D13&amp;"")</f>
        <v/>
      </c>
      <c r="H85" s="20" t="str">
        <f>IF(B85="","",Exposures!$AE13&amp;"")</f>
        <v/>
      </c>
      <c r="I85" s="20" t="str">
        <f>IF(B85="","",Exposures!$AH13&amp;"")</f>
        <v/>
      </c>
      <c r="J85" s="20" t="str">
        <f>IF(B85="","",Exposures!$AN13&amp;"")</f>
        <v/>
      </c>
      <c r="K85" s="20">
        <f>IF(B85="",0,Exposures!$AO13)</f>
        <v>0</v>
      </c>
      <c r="L85" s="20">
        <f>IF(B85="",0,Exposures!$AP13)</f>
        <v>0</v>
      </c>
      <c r="M85" s="20" t="str">
        <f>IF(B85="","",Exposures!$AS13)</f>
        <v/>
      </c>
      <c r="N85" s="20" t="str">
        <f>IF(B85="","",Exposures!$AT13)</f>
        <v/>
      </c>
      <c r="O85" s="27" t="str">
        <f>IF(B85="","",Exposures!$AQ13)</f>
        <v/>
      </c>
      <c r="P85" s="27" t="str">
        <f>IF(B85="","",Exposures!$AR13)</f>
        <v/>
      </c>
      <c r="Q85" s="20" t="str">
        <f t="shared" si="16"/>
        <v/>
      </c>
      <c r="R85" s="20" t="str">
        <f>IF(A85="","",IF(J85&lt;&gt;"",J85,IF(H85="TIMESTAMP",DAY(INT(M85/1440))&amp;" "&amp;INDEX(nLIST_Months,MONTH(INT(M85/1440)))&amp;" "&amp;YEAR(INT(M85/1440))&amp;" "&amp;RIGHT("0"&amp;INT(MOD(M85,1440)/60),2)&amp;":"&amp;RIGHT("0"&amp;MOD(M85,60),2)&amp;IF(L85=1," (UTC"&amp;I85&amp;")"," (offset unknown)"),IF(H85="DATE",DAY(O85)&amp;" "&amp;INDEX(nLIST_Months,MONTH(O85))&amp;" "&amp;YEAR(O85),IF(H85="MONTH",INDEX(nLIST_Months,MONTH(O85))&amp;" "&amp;YEAR(O85)&amp;" ("&amp;DAY(O85)&amp;" "&amp;INDEX(nLIST_Months,MONTH(O85))&amp;" "&amp;YEAR(O85)&amp;" to "&amp;DAY(P85)&amp;" "&amp;INDEX(nLIST_Months,MONTH(P85))&amp;" "&amp;YEAR(P85)&amp;")",IF(H85="YEAR",YEAR(O85)&amp;" (1 January to 31 December)",DAY(O85)&amp;" "&amp;INDEX(nLIST_Months,MONTH(O85))&amp;" "&amp;YEAR(O85)&amp;" to "&amp;DAY(P85)&amp;" "&amp;INDEX(nLIST_Months,MONTH(P85))&amp;" "&amp;YEAR(P85)&amp;IF(H85="LAB"," (laboratory-defined)","")))))))</f>
        <v/>
      </c>
      <c r="S85" s="20" t="str">
        <f>IF(B85="","",Exposures!$AD13&amp;"")</f>
        <v/>
      </c>
      <c r="T85" s="20" t="str">
        <f>IF(B85="","",Exposures!$AM13&amp;"")</f>
        <v/>
      </c>
      <c r="U85" s="20" t="str">
        <f>IF(B85="","","Exposures row "&amp;ROW(Exposures!$A13)&amp;", Stop")</f>
        <v/>
      </c>
      <c r="V85" s="20">
        <f>IF(A85="",0,COUNTIF(nTP_Key,A85))</f>
        <v>0</v>
      </c>
      <c r="W85" s="20">
        <f t="shared" si="17"/>
        <v>0</v>
      </c>
      <c r="X85" s="20">
        <f t="shared" si="18"/>
        <v>0</v>
      </c>
      <c r="Y85" s="20">
        <f t="shared" si="19"/>
        <v>0</v>
      </c>
      <c r="Z85" s="20">
        <f t="shared" si="20"/>
        <v>0</v>
      </c>
      <c r="AA85" s="20">
        <f t="shared" si="21"/>
        <v>81</v>
      </c>
      <c r="AB85" s="20" t="str">
        <f>""</f>
        <v/>
      </c>
      <c r="AC85" s="20" t="str">
        <f>IF(B85="","",Exposures!$F13&amp;"")</f>
        <v/>
      </c>
      <c r="AD85" s="20" t="str">
        <f>IF(B85="","",Exposures!$E13&amp;": Stop")</f>
        <v/>
      </c>
      <c r="AE85" s="20">
        <f t="shared" si="22"/>
        <v>0</v>
      </c>
      <c r="AF85" s="20" t="str">
        <f t="shared" si="23"/>
        <v/>
      </c>
      <c r="AG85" s="20">
        <f t="shared" si="24"/>
        <v>0</v>
      </c>
      <c r="AH85" s="20" t="str">
        <f>""</f>
        <v/>
      </c>
    </row>
    <row r="86" spans="1:34" x14ac:dyDescent="0.2">
      <c r="A86" s="20" t="str">
        <f t="shared" si="13"/>
        <v/>
      </c>
      <c r="B86" s="20" t="str">
        <f>IF(AND(Exposures!$D14&lt;&gt;"",COUNTA(Exposures!$AE14:$AL14)&gt;0),Exposures!$D14&amp;"/STOP","")</f>
        <v/>
      </c>
      <c r="C86" s="20" t="str">
        <f t="shared" si="25"/>
        <v/>
      </c>
      <c r="D86" s="20" t="str">
        <f>IF(B86="","",Exposures!$A14&amp;"")</f>
        <v/>
      </c>
      <c r="E86" s="20" t="str">
        <f>IF(B86="","",Exposures!$B14&amp;"")</f>
        <v/>
      </c>
      <c r="F86" s="20" t="str">
        <f t="shared" si="15"/>
        <v/>
      </c>
      <c r="G86" s="20" t="str">
        <f>IF(B86="","",Exposures!$D14&amp;"")</f>
        <v/>
      </c>
      <c r="H86" s="20" t="str">
        <f>IF(B86="","",Exposures!$AE14&amp;"")</f>
        <v/>
      </c>
      <c r="I86" s="20" t="str">
        <f>IF(B86="","",Exposures!$AH14&amp;"")</f>
        <v/>
      </c>
      <c r="J86" s="20" t="str">
        <f>IF(B86="","",Exposures!$AN14&amp;"")</f>
        <v/>
      </c>
      <c r="K86" s="20">
        <f>IF(B86="",0,Exposures!$AO14)</f>
        <v>0</v>
      </c>
      <c r="L86" s="20">
        <f>IF(B86="",0,Exposures!$AP14)</f>
        <v>0</v>
      </c>
      <c r="M86" s="20" t="str">
        <f>IF(B86="","",Exposures!$AS14)</f>
        <v/>
      </c>
      <c r="N86" s="20" t="str">
        <f>IF(B86="","",Exposures!$AT14)</f>
        <v/>
      </c>
      <c r="O86" s="27" t="str">
        <f>IF(B86="","",Exposures!$AQ14)</f>
        <v/>
      </c>
      <c r="P86" s="27" t="str">
        <f>IF(B86="","",Exposures!$AR14)</f>
        <v/>
      </c>
      <c r="Q86" s="20" t="str">
        <f t="shared" si="16"/>
        <v/>
      </c>
      <c r="R86" s="20" t="str">
        <f>IF(A86="","",IF(J86&lt;&gt;"",J86,IF(H86="TIMESTAMP",DAY(INT(M86/1440))&amp;" "&amp;INDEX(nLIST_Months,MONTH(INT(M86/1440)))&amp;" "&amp;YEAR(INT(M86/1440))&amp;" "&amp;RIGHT("0"&amp;INT(MOD(M86,1440)/60),2)&amp;":"&amp;RIGHT("0"&amp;MOD(M86,60),2)&amp;IF(L86=1," (UTC"&amp;I86&amp;")"," (offset unknown)"),IF(H86="DATE",DAY(O86)&amp;" "&amp;INDEX(nLIST_Months,MONTH(O86))&amp;" "&amp;YEAR(O86),IF(H86="MONTH",INDEX(nLIST_Months,MONTH(O86))&amp;" "&amp;YEAR(O86)&amp;" ("&amp;DAY(O86)&amp;" "&amp;INDEX(nLIST_Months,MONTH(O86))&amp;" "&amp;YEAR(O86)&amp;" to "&amp;DAY(P86)&amp;" "&amp;INDEX(nLIST_Months,MONTH(P86))&amp;" "&amp;YEAR(P86)&amp;")",IF(H86="YEAR",YEAR(O86)&amp;" (1 January to 31 December)",DAY(O86)&amp;" "&amp;INDEX(nLIST_Months,MONTH(O86))&amp;" "&amp;YEAR(O86)&amp;" to "&amp;DAY(P86)&amp;" "&amp;INDEX(nLIST_Months,MONTH(P86))&amp;" "&amp;YEAR(P86)&amp;IF(H86="LAB"," (laboratory-defined)","")))))))</f>
        <v/>
      </c>
      <c r="S86" s="20" t="str">
        <f>IF(B86="","",Exposures!$AD14&amp;"")</f>
        <v/>
      </c>
      <c r="T86" s="20" t="str">
        <f>IF(B86="","",Exposures!$AM14&amp;"")</f>
        <v/>
      </c>
      <c r="U86" s="20" t="str">
        <f>IF(B86="","","Exposures row "&amp;ROW(Exposures!$A14)&amp;", Stop")</f>
        <v/>
      </c>
      <c r="V86" s="20">
        <f>IF(A86="",0,COUNTIF(nTP_Key,A86))</f>
        <v>0</v>
      </c>
      <c r="W86" s="20">
        <f t="shared" si="17"/>
        <v>0</v>
      </c>
      <c r="X86" s="20">
        <f t="shared" si="18"/>
        <v>0</v>
      </c>
      <c r="Y86" s="20">
        <f t="shared" si="19"/>
        <v>0</v>
      </c>
      <c r="Z86" s="20">
        <f t="shared" si="20"/>
        <v>0</v>
      </c>
      <c r="AA86" s="20">
        <f t="shared" si="21"/>
        <v>82</v>
      </c>
      <c r="AB86" s="20" t="str">
        <f>""</f>
        <v/>
      </c>
      <c r="AC86" s="20" t="str">
        <f>IF(B86="","",Exposures!$F14&amp;"")</f>
        <v/>
      </c>
      <c r="AD86" s="20" t="str">
        <f>IF(B86="","",Exposures!$E14&amp;": Stop")</f>
        <v/>
      </c>
      <c r="AE86" s="20">
        <f t="shared" si="22"/>
        <v>0</v>
      </c>
      <c r="AF86" s="20" t="str">
        <f t="shared" si="23"/>
        <v/>
      </c>
      <c r="AG86" s="20">
        <f t="shared" si="24"/>
        <v>0</v>
      </c>
      <c r="AH86" s="20" t="str">
        <f>""</f>
        <v/>
      </c>
    </row>
    <row r="87" spans="1:34" x14ac:dyDescent="0.2">
      <c r="A87" s="20" t="str">
        <f t="shared" si="13"/>
        <v/>
      </c>
      <c r="B87" s="20" t="str">
        <f>IF(AND(Exposures!$D15&lt;&gt;"",COUNTA(Exposures!$AE15:$AL15)&gt;0),Exposures!$D15&amp;"/STOP","")</f>
        <v/>
      </c>
      <c r="C87" s="20" t="str">
        <f t="shared" si="25"/>
        <v/>
      </c>
      <c r="D87" s="20" t="str">
        <f>IF(B87="","",Exposures!$A15&amp;"")</f>
        <v/>
      </c>
      <c r="E87" s="20" t="str">
        <f>IF(B87="","",Exposures!$B15&amp;"")</f>
        <v/>
      </c>
      <c r="F87" s="20" t="str">
        <f t="shared" si="15"/>
        <v/>
      </c>
      <c r="G87" s="20" t="str">
        <f>IF(B87="","",Exposures!$D15&amp;"")</f>
        <v/>
      </c>
      <c r="H87" s="20" t="str">
        <f>IF(B87="","",Exposures!$AE15&amp;"")</f>
        <v/>
      </c>
      <c r="I87" s="20" t="str">
        <f>IF(B87="","",Exposures!$AH15&amp;"")</f>
        <v/>
      </c>
      <c r="J87" s="20" t="str">
        <f>IF(B87="","",Exposures!$AN15&amp;"")</f>
        <v/>
      </c>
      <c r="K87" s="20">
        <f>IF(B87="",0,Exposures!$AO15)</f>
        <v>0</v>
      </c>
      <c r="L87" s="20">
        <f>IF(B87="",0,Exposures!$AP15)</f>
        <v>0</v>
      </c>
      <c r="M87" s="20" t="str">
        <f>IF(B87="","",Exposures!$AS15)</f>
        <v/>
      </c>
      <c r="N87" s="20" t="str">
        <f>IF(B87="","",Exposures!$AT15)</f>
        <v/>
      </c>
      <c r="O87" s="27" t="str">
        <f>IF(B87="","",Exposures!$AQ15)</f>
        <v/>
      </c>
      <c r="P87" s="27" t="str">
        <f>IF(B87="","",Exposures!$AR15)</f>
        <v/>
      </c>
      <c r="Q87" s="20" t="str">
        <f t="shared" si="16"/>
        <v/>
      </c>
      <c r="R87" s="20" t="str">
        <f>IF(A87="","",IF(J87&lt;&gt;"",J87,IF(H87="TIMESTAMP",DAY(INT(M87/1440))&amp;" "&amp;INDEX(nLIST_Months,MONTH(INT(M87/1440)))&amp;" "&amp;YEAR(INT(M87/1440))&amp;" "&amp;RIGHT("0"&amp;INT(MOD(M87,1440)/60),2)&amp;":"&amp;RIGHT("0"&amp;MOD(M87,60),2)&amp;IF(L87=1," (UTC"&amp;I87&amp;")"," (offset unknown)"),IF(H87="DATE",DAY(O87)&amp;" "&amp;INDEX(nLIST_Months,MONTH(O87))&amp;" "&amp;YEAR(O87),IF(H87="MONTH",INDEX(nLIST_Months,MONTH(O87))&amp;" "&amp;YEAR(O87)&amp;" ("&amp;DAY(O87)&amp;" "&amp;INDEX(nLIST_Months,MONTH(O87))&amp;" "&amp;YEAR(O87)&amp;" to "&amp;DAY(P87)&amp;" "&amp;INDEX(nLIST_Months,MONTH(P87))&amp;" "&amp;YEAR(P87)&amp;")",IF(H87="YEAR",YEAR(O87)&amp;" (1 January to 31 December)",DAY(O87)&amp;" "&amp;INDEX(nLIST_Months,MONTH(O87))&amp;" "&amp;YEAR(O87)&amp;" to "&amp;DAY(P87)&amp;" "&amp;INDEX(nLIST_Months,MONTH(P87))&amp;" "&amp;YEAR(P87)&amp;IF(H87="LAB"," (laboratory-defined)","")))))))</f>
        <v/>
      </c>
      <c r="S87" s="20" t="str">
        <f>IF(B87="","",Exposures!$AD15&amp;"")</f>
        <v/>
      </c>
      <c r="T87" s="20" t="str">
        <f>IF(B87="","",Exposures!$AM15&amp;"")</f>
        <v/>
      </c>
      <c r="U87" s="20" t="str">
        <f>IF(B87="","","Exposures row "&amp;ROW(Exposures!$A15)&amp;", Stop")</f>
        <v/>
      </c>
      <c r="V87" s="20">
        <f>IF(A87="",0,COUNTIF(nTP_Key,A87))</f>
        <v>0</v>
      </c>
      <c r="W87" s="20">
        <f t="shared" si="17"/>
        <v>0</v>
      </c>
      <c r="X87" s="20">
        <f t="shared" si="18"/>
        <v>0</v>
      </c>
      <c r="Y87" s="20">
        <f t="shared" si="19"/>
        <v>0</v>
      </c>
      <c r="Z87" s="20">
        <f t="shared" si="20"/>
        <v>0</v>
      </c>
      <c r="AA87" s="20">
        <f t="shared" si="21"/>
        <v>83</v>
      </c>
      <c r="AB87" s="20" t="str">
        <f>""</f>
        <v/>
      </c>
      <c r="AC87" s="20" t="str">
        <f>IF(B87="","",Exposures!$F15&amp;"")</f>
        <v/>
      </c>
      <c r="AD87" s="20" t="str">
        <f>IF(B87="","",Exposures!$E15&amp;": Stop")</f>
        <v/>
      </c>
      <c r="AE87" s="20">
        <f t="shared" si="22"/>
        <v>0</v>
      </c>
      <c r="AF87" s="20" t="str">
        <f t="shared" si="23"/>
        <v/>
      </c>
      <c r="AG87" s="20">
        <f t="shared" si="24"/>
        <v>0</v>
      </c>
      <c r="AH87" s="20" t="str">
        <f>""</f>
        <v/>
      </c>
    </row>
    <row r="88" spans="1:34" x14ac:dyDescent="0.2">
      <c r="A88" s="20" t="str">
        <f t="shared" si="13"/>
        <v/>
      </c>
      <c r="B88" s="20" t="str">
        <f>IF(AND(Exposures!$D16&lt;&gt;"",COUNTA(Exposures!$AE16:$AL16)&gt;0),Exposures!$D16&amp;"/STOP","")</f>
        <v/>
      </c>
      <c r="C88" s="20" t="str">
        <f t="shared" si="25"/>
        <v/>
      </c>
      <c r="D88" s="20" t="str">
        <f>IF(B88="","",Exposures!$A16&amp;"")</f>
        <v/>
      </c>
      <c r="E88" s="20" t="str">
        <f>IF(B88="","",Exposures!$B16&amp;"")</f>
        <v/>
      </c>
      <c r="F88" s="20" t="str">
        <f t="shared" si="15"/>
        <v/>
      </c>
      <c r="G88" s="20" t="str">
        <f>IF(B88="","",Exposures!$D16&amp;"")</f>
        <v/>
      </c>
      <c r="H88" s="20" t="str">
        <f>IF(B88="","",Exposures!$AE16&amp;"")</f>
        <v/>
      </c>
      <c r="I88" s="20" t="str">
        <f>IF(B88="","",Exposures!$AH16&amp;"")</f>
        <v/>
      </c>
      <c r="J88" s="20" t="str">
        <f>IF(B88="","",Exposures!$AN16&amp;"")</f>
        <v/>
      </c>
      <c r="K88" s="20">
        <f>IF(B88="",0,Exposures!$AO16)</f>
        <v>0</v>
      </c>
      <c r="L88" s="20">
        <f>IF(B88="",0,Exposures!$AP16)</f>
        <v>0</v>
      </c>
      <c r="M88" s="20" t="str">
        <f>IF(B88="","",Exposures!$AS16)</f>
        <v/>
      </c>
      <c r="N88" s="20" t="str">
        <f>IF(B88="","",Exposures!$AT16)</f>
        <v/>
      </c>
      <c r="O88" s="27" t="str">
        <f>IF(B88="","",Exposures!$AQ16)</f>
        <v/>
      </c>
      <c r="P88" s="27" t="str">
        <f>IF(B88="","",Exposures!$AR16)</f>
        <v/>
      </c>
      <c r="Q88" s="20" t="str">
        <f t="shared" si="16"/>
        <v/>
      </c>
      <c r="R88" s="20" t="str">
        <f>IF(A88="","",IF(J88&lt;&gt;"",J88,IF(H88="TIMESTAMP",DAY(INT(M88/1440))&amp;" "&amp;INDEX(nLIST_Months,MONTH(INT(M88/1440)))&amp;" "&amp;YEAR(INT(M88/1440))&amp;" "&amp;RIGHT("0"&amp;INT(MOD(M88,1440)/60),2)&amp;":"&amp;RIGHT("0"&amp;MOD(M88,60),2)&amp;IF(L88=1," (UTC"&amp;I88&amp;")"," (offset unknown)"),IF(H88="DATE",DAY(O88)&amp;" "&amp;INDEX(nLIST_Months,MONTH(O88))&amp;" "&amp;YEAR(O88),IF(H88="MONTH",INDEX(nLIST_Months,MONTH(O88))&amp;" "&amp;YEAR(O88)&amp;" ("&amp;DAY(O88)&amp;" "&amp;INDEX(nLIST_Months,MONTH(O88))&amp;" "&amp;YEAR(O88)&amp;" to "&amp;DAY(P88)&amp;" "&amp;INDEX(nLIST_Months,MONTH(P88))&amp;" "&amp;YEAR(P88)&amp;")",IF(H88="YEAR",YEAR(O88)&amp;" (1 January to 31 December)",DAY(O88)&amp;" "&amp;INDEX(nLIST_Months,MONTH(O88))&amp;" "&amp;YEAR(O88)&amp;" to "&amp;DAY(P88)&amp;" "&amp;INDEX(nLIST_Months,MONTH(P88))&amp;" "&amp;YEAR(P88)&amp;IF(H88="LAB"," (laboratory-defined)","")))))))</f>
        <v/>
      </c>
      <c r="S88" s="20" t="str">
        <f>IF(B88="","",Exposures!$AD16&amp;"")</f>
        <v/>
      </c>
      <c r="T88" s="20" t="str">
        <f>IF(B88="","",Exposures!$AM16&amp;"")</f>
        <v/>
      </c>
      <c r="U88" s="20" t="str">
        <f>IF(B88="","","Exposures row "&amp;ROW(Exposures!$A16)&amp;", Stop")</f>
        <v/>
      </c>
      <c r="V88" s="20">
        <f>IF(A88="",0,COUNTIF(nTP_Key,A88))</f>
        <v>0</v>
      </c>
      <c r="W88" s="20">
        <f t="shared" si="17"/>
        <v>0</v>
      </c>
      <c r="X88" s="20">
        <f t="shared" si="18"/>
        <v>0</v>
      </c>
      <c r="Y88" s="20">
        <f t="shared" si="19"/>
        <v>0</v>
      </c>
      <c r="Z88" s="20">
        <f t="shared" si="20"/>
        <v>0</v>
      </c>
      <c r="AA88" s="20">
        <f t="shared" si="21"/>
        <v>84</v>
      </c>
      <c r="AB88" s="20" t="str">
        <f>""</f>
        <v/>
      </c>
      <c r="AC88" s="20" t="str">
        <f>IF(B88="","",Exposures!$F16&amp;"")</f>
        <v/>
      </c>
      <c r="AD88" s="20" t="str">
        <f>IF(B88="","",Exposures!$E16&amp;": Stop")</f>
        <v/>
      </c>
      <c r="AE88" s="20">
        <f t="shared" si="22"/>
        <v>0</v>
      </c>
      <c r="AF88" s="20" t="str">
        <f t="shared" si="23"/>
        <v/>
      </c>
      <c r="AG88" s="20">
        <f t="shared" si="24"/>
        <v>0</v>
      </c>
      <c r="AH88" s="20" t="str">
        <f>""</f>
        <v/>
      </c>
    </row>
    <row r="89" spans="1:34" x14ac:dyDescent="0.2">
      <c r="A89" s="20" t="str">
        <f t="shared" si="13"/>
        <v/>
      </c>
      <c r="B89" s="20" t="str">
        <f>IF(AND(Exposures!$D17&lt;&gt;"",COUNTA(Exposures!$AE17:$AL17)&gt;0),Exposures!$D17&amp;"/STOP","")</f>
        <v/>
      </c>
      <c r="C89" s="20" t="str">
        <f t="shared" si="25"/>
        <v/>
      </c>
      <c r="D89" s="20" t="str">
        <f>IF(B89="","",Exposures!$A17&amp;"")</f>
        <v/>
      </c>
      <c r="E89" s="20" t="str">
        <f>IF(B89="","",Exposures!$B17&amp;"")</f>
        <v/>
      </c>
      <c r="F89" s="20" t="str">
        <f t="shared" si="15"/>
        <v/>
      </c>
      <c r="G89" s="20" t="str">
        <f>IF(B89="","",Exposures!$D17&amp;"")</f>
        <v/>
      </c>
      <c r="H89" s="20" t="str">
        <f>IF(B89="","",Exposures!$AE17&amp;"")</f>
        <v/>
      </c>
      <c r="I89" s="20" t="str">
        <f>IF(B89="","",Exposures!$AH17&amp;"")</f>
        <v/>
      </c>
      <c r="J89" s="20" t="str">
        <f>IF(B89="","",Exposures!$AN17&amp;"")</f>
        <v/>
      </c>
      <c r="K89" s="20">
        <f>IF(B89="",0,Exposures!$AO17)</f>
        <v>0</v>
      </c>
      <c r="L89" s="20">
        <f>IF(B89="",0,Exposures!$AP17)</f>
        <v>0</v>
      </c>
      <c r="M89" s="20" t="str">
        <f>IF(B89="","",Exposures!$AS17)</f>
        <v/>
      </c>
      <c r="N89" s="20" t="str">
        <f>IF(B89="","",Exposures!$AT17)</f>
        <v/>
      </c>
      <c r="O89" s="27" t="str">
        <f>IF(B89="","",Exposures!$AQ17)</f>
        <v/>
      </c>
      <c r="P89" s="27" t="str">
        <f>IF(B89="","",Exposures!$AR17)</f>
        <v/>
      </c>
      <c r="Q89" s="20" t="str">
        <f t="shared" si="16"/>
        <v/>
      </c>
      <c r="R89" s="20" t="str">
        <f>IF(A89="","",IF(J89&lt;&gt;"",J89,IF(H89="TIMESTAMP",DAY(INT(M89/1440))&amp;" "&amp;INDEX(nLIST_Months,MONTH(INT(M89/1440)))&amp;" "&amp;YEAR(INT(M89/1440))&amp;" "&amp;RIGHT("0"&amp;INT(MOD(M89,1440)/60),2)&amp;":"&amp;RIGHT("0"&amp;MOD(M89,60),2)&amp;IF(L89=1," (UTC"&amp;I89&amp;")"," (offset unknown)"),IF(H89="DATE",DAY(O89)&amp;" "&amp;INDEX(nLIST_Months,MONTH(O89))&amp;" "&amp;YEAR(O89),IF(H89="MONTH",INDEX(nLIST_Months,MONTH(O89))&amp;" "&amp;YEAR(O89)&amp;" ("&amp;DAY(O89)&amp;" "&amp;INDEX(nLIST_Months,MONTH(O89))&amp;" "&amp;YEAR(O89)&amp;" to "&amp;DAY(P89)&amp;" "&amp;INDEX(nLIST_Months,MONTH(P89))&amp;" "&amp;YEAR(P89)&amp;")",IF(H89="YEAR",YEAR(O89)&amp;" (1 January to 31 December)",DAY(O89)&amp;" "&amp;INDEX(nLIST_Months,MONTH(O89))&amp;" "&amp;YEAR(O89)&amp;" to "&amp;DAY(P89)&amp;" "&amp;INDEX(nLIST_Months,MONTH(P89))&amp;" "&amp;YEAR(P89)&amp;IF(H89="LAB"," (laboratory-defined)","")))))))</f>
        <v/>
      </c>
      <c r="S89" s="20" t="str">
        <f>IF(B89="","",Exposures!$AD17&amp;"")</f>
        <v/>
      </c>
      <c r="T89" s="20" t="str">
        <f>IF(B89="","",Exposures!$AM17&amp;"")</f>
        <v/>
      </c>
      <c r="U89" s="20" t="str">
        <f>IF(B89="","","Exposures row "&amp;ROW(Exposures!$A17)&amp;", Stop")</f>
        <v/>
      </c>
      <c r="V89" s="20">
        <f>IF(A89="",0,COUNTIF(nTP_Key,A89))</f>
        <v>0</v>
      </c>
      <c r="W89" s="20">
        <f t="shared" si="17"/>
        <v>0</v>
      </c>
      <c r="X89" s="20">
        <f t="shared" si="18"/>
        <v>0</v>
      </c>
      <c r="Y89" s="20">
        <f t="shared" si="19"/>
        <v>0</v>
      </c>
      <c r="Z89" s="20">
        <f t="shared" si="20"/>
        <v>0</v>
      </c>
      <c r="AA89" s="20">
        <f t="shared" si="21"/>
        <v>85</v>
      </c>
      <c r="AB89" s="20" t="str">
        <f>""</f>
        <v/>
      </c>
      <c r="AC89" s="20" t="str">
        <f>IF(B89="","",Exposures!$F17&amp;"")</f>
        <v/>
      </c>
      <c r="AD89" s="20" t="str">
        <f>IF(B89="","",Exposures!$E17&amp;": Stop")</f>
        <v/>
      </c>
      <c r="AE89" s="20">
        <f t="shared" si="22"/>
        <v>0</v>
      </c>
      <c r="AF89" s="20" t="str">
        <f t="shared" si="23"/>
        <v/>
      </c>
      <c r="AG89" s="20">
        <f t="shared" si="24"/>
        <v>0</v>
      </c>
      <c r="AH89" s="20" t="str">
        <f>""</f>
        <v/>
      </c>
    </row>
    <row r="90" spans="1:34" x14ac:dyDescent="0.2">
      <c r="A90" s="20" t="str">
        <f t="shared" si="13"/>
        <v/>
      </c>
      <c r="B90" s="20" t="str">
        <f>IF(AND(Exposures!$D18&lt;&gt;"",COUNTA(Exposures!$AE18:$AL18)&gt;0),Exposures!$D18&amp;"/STOP","")</f>
        <v/>
      </c>
      <c r="C90" s="20" t="str">
        <f t="shared" si="25"/>
        <v/>
      </c>
      <c r="D90" s="20" t="str">
        <f>IF(B90="","",Exposures!$A18&amp;"")</f>
        <v/>
      </c>
      <c r="E90" s="20" t="str">
        <f>IF(B90="","",Exposures!$B18&amp;"")</f>
        <v/>
      </c>
      <c r="F90" s="20" t="str">
        <f t="shared" si="15"/>
        <v/>
      </c>
      <c r="G90" s="20" t="str">
        <f>IF(B90="","",Exposures!$D18&amp;"")</f>
        <v/>
      </c>
      <c r="H90" s="20" t="str">
        <f>IF(B90="","",Exposures!$AE18&amp;"")</f>
        <v/>
      </c>
      <c r="I90" s="20" t="str">
        <f>IF(B90="","",Exposures!$AH18&amp;"")</f>
        <v/>
      </c>
      <c r="J90" s="20" t="str">
        <f>IF(B90="","",Exposures!$AN18&amp;"")</f>
        <v/>
      </c>
      <c r="K90" s="20">
        <f>IF(B90="",0,Exposures!$AO18)</f>
        <v>0</v>
      </c>
      <c r="L90" s="20">
        <f>IF(B90="",0,Exposures!$AP18)</f>
        <v>0</v>
      </c>
      <c r="M90" s="20" t="str">
        <f>IF(B90="","",Exposures!$AS18)</f>
        <v/>
      </c>
      <c r="N90" s="20" t="str">
        <f>IF(B90="","",Exposures!$AT18)</f>
        <v/>
      </c>
      <c r="O90" s="27" t="str">
        <f>IF(B90="","",Exposures!$AQ18)</f>
        <v/>
      </c>
      <c r="P90" s="27" t="str">
        <f>IF(B90="","",Exposures!$AR18)</f>
        <v/>
      </c>
      <c r="Q90" s="20" t="str">
        <f t="shared" si="16"/>
        <v/>
      </c>
      <c r="R90" s="20" t="str">
        <f>IF(A90="","",IF(J90&lt;&gt;"",J90,IF(H90="TIMESTAMP",DAY(INT(M90/1440))&amp;" "&amp;INDEX(nLIST_Months,MONTH(INT(M90/1440)))&amp;" "&amp;YEAR(INT(M90/1440))&amp;" "&amp;RIGHT("0"&amp;INT(MOD(M90,1440)/60),2)&amp;":"&amp;RIGHT("0"&amp;MOD(M90,60),2)&amp;IF(L90=1," (UTC"&amp;I90&amp;")"," (offset unknown)"),IF(H90="DATE",DAY(O90)&amp;" "&amp;INDEX(nLIST_Months,MONTH(O90))&amp;" "&amp;YEAR(O90),IF(H90="MONTH",INDEX(nLIST_Months,MONTH(O90))&amp;" "&amp;YEAR(O90)&amp;" ("&amp;DAY(O90)&amp;" "&amp;INDEX(nLIST_Months,MONTH(O90))&amp;" "&amp;YEAR(O90)&amp;" to "&amp;DAY(P90)&amp;" "&amp;INDEX(nLIST_Months,MONTH(P90))&amp;" "&amp;YEAR(P90)&amp;")",IF(H90="YEAR",YEAR(O90)&amp;" (1 January to 31 December)",DAY(O90)&amp;" "&amp;INDEX(nLIST_Months,MONTH(O90))&amp;" "&amp;YEAR(O90)&amp;" to "&amp;DAY(P90)&amp;" "&amp;INDEX(nLIST_Months,MONTH(P90))&amp;" "&amp;YEAR(P90)&amp;IF(H90="LAB"," (laboratory-defined)","")))))))</f>
        <v/>
      </c>
      <c r="S90" s="20" t="str">
        <f>IF(B90="","",Exposures!$AD18&amp;"")</f>
        <v/>
      </c>
      <c r="T90" s="20" t="str">
        <f>IF(B90="","",Exposures!$AM18&amp;"")</f>
        <v/>
      </c>
      <c r="U90" s="20" t="str">
        <f>IF(B90="","","Exposures row "&amp;ROW(Exposures!$A18)&amp;", Stop")</f>
        <v/>
      </c>
      <c r="V90" s="20">
        <f>IF(A90="",0,COUNTIF(nTP_Key,A90))</f>
        <v>0</v>
      </c>
      <c r="W90" s="20">
        <f t="shared" si="17"/>
        <v>0</v>
      </c>
      <c r="X90" s="20">
        <f t="shared" si="18"/>
        <v>0</v>
      </c>
      <c r="Y90" s="20">
        <f t="shared" si="19"/>
        <v>0</v>
      </c>
      <c r="Z90" s="20">
        <f t="shared" si="20"/>
        <v>0</v>
      </c>
      <c r="AA90" s="20">
        <f t="shared" si="21"/>
        <v>86</v>
      </c>
      <c r="AB90" s="20" t="str">
        <f>""</f>
        <v/>
      </c>
      <c r="AC90" s="20" t="str">
        <f>IF(B90="","",Exposures!$F18&amp;"")</f>
        <v/>
      </c>
      <c r="AD90" s="20" t="str">
        <f>IF(B90="","",Exposures!$E18&amp;": Stop")</f>
        <v/>
      </c>
      <c r="AE90" s="20">
        <f t="shared" si="22"/>
        <v>0</v>
      </c>
      <c r="AF90" s="20" t="str">
        <f t="shared" si="23"/>
        <v/>
      </c>
      <c r="AG90" s="20">
        <f t="shared" si="24"/>
        <v>0</v>
      </c>
      <c r="AH90" s="20" t="str">
        <f>""</f>
        <v/>
      </c>
    </row>
    <row r="91" spans="1:34" x14ac:dyDescent="0.2">
      <c r="A91" s="20" t="str">
        <f t="shared" si="13"/>
        <v/>
      </c>
      <c r="B91" s="20" t="str">
        <f>IF(AND(Exposures!$D19&lt;&gt;"",COUNTA(Exposures!$AE19:$AL19)&gt;0),Exposures!$D19&amp;"/STOP","")</f>
        <v/>
      </c>
      <c r="C91" s="20" t="str">
        <f t="shared" si="25"/>
        <v/>
      </c>
      <c r="D91" s="20" t="str">
        <f>IF(B91="","",Exposures!$A19&amp;"")</f>
        <v/>
      </c>
      <c r="E91" s="20" t="str">
        <f>IF(B91="","",Exposures!$B19&amp;"")</f>
        <v/>
      </c>
      <c r="F91" s="20" t="str">
        <f t="shared" si="15"/>
        <v/>
      </c>
      <c r="G91" s="20" t="str">
        <f>IF(B91="","",Exposures!$D19&amp;"")</f>
        <v/>
      </c>
      <c r="H91" s="20" t="str">
        <f>IF(B91="","",Exposures!$AE19&amp;"")</f>
        <v/>
      </c>
      <c r="I91" s="20" t="str">
        <f>IF(B91="","",Exposures!$AH19&amp;"")</f>
        <v/>
      </c>
      <c r="J91" s="20" t="str">
        <f>IF(B91="","",Exposures!$AN19&amp;"")</f>
        <v/>
      </c>
      <c r="K91" s="20">
        <f>IF(B91="",0,Exposures!$AO19)</f>
        <v>0</v>
      </c>
      <c r="L91" s="20">
        <f>IF(B91="",0,Exposures!$AP19)</f>
        <v>0</v>
      </c>
      <c r="M91" s="20" t="str">
        <f>IF(B91="","",Exposures!$AS19)</f>
        <v/>
      </c>
      <c r="N91" s="20" t="str">
        <f>IF(B91="","",Exposures!$AT19)</f>
        <v/>
      </c>
      <c r="O91" s="27" t="str">
        <f>IF(B91="","",Exposures!$AQ19)</f>
        <v/>
      </c>
      <c r="P91" s="27" t="str">
        <f>IF(B91="","",Exposures!$AR19)</f>
        <v/>
      </c>
      <c r="Q91" s="20" t="str">
        <f t="shared" si="16"/>
        <v/>
      </c>
      <c r="R91" s="20" t="str">
        <f>IF(A91="","",IF(J91&lt;&gt;"",J91,IF(H91="TIMESTAMP",DAY(INT(M91/1440))&amp;" "&amp;INDEX(nLIST_Months,MONTH(INT(M91/1440)))&amp;" "&amp;YEAR(INT(M91/1440))&amp;" "&amp;RIGHT("0"&amp;INT(MOD(M91,1440)/60),2)&amp;":"&amp;RIGHT("0"&amp;MOD(M91,60),2)&amp;IF(L91=1," (UTC"&amp;I91&amp;")"," (offset unknown)"),IF(H91="DATE",DAY(O91)&amp;" "&amp;INDEX(nLIST_Months,MONTH(O91))&amp;" "&amp;YEAR(O91),IF(H91="MONTH",INDEX(nLIST_Months,MONTH(O91))&amp;" "&amp;YEAR(O91)&amp;" ("&amp;DAY(O91)&amp;" "&amp;INDEX(nLIST_Months,MONTH(O91))&amp;" "&amp;YEAR(O91)&amp;" to "&amp;DAY(P91)&amp;" "&amp;INDEX(nLIST_Months,MONTH(P91))&amp;" "&amp;YEAR(P91)&amp;")",IF(H91="YEAR",YEAR(O91)&amp;" (1 January to 31 December)",DAY(O91)&amp;" "&amp;INDEX(nLIST_Months,MONTH(O91))&amp;" "&amp;YEAR(O91)&amp;" to "&amp;DAY(P91)&amp;" "&amp;INDEX(nLIST_Months,MONTH(P91))&amp;" "&amp;YEAR(P91)&amp;IF(H91="LAB"," (laboratory-defined)","")))))))</f>
        <v/>
      </c>
      <c r="S91" s="20" t="str">
        <f>IF(B91="","",Exposures!$AD19&amp;"")</f>
        <v/>
      </c>
      <c r="T91" s="20" t="str">
        <f>IF(B91="","",Exposures!$AM19&amp;"")</f>
        <v/>
      </c>
      <c r="U91" s="20" t="str">
        <f>IF(B91="","","Exposures row "&amp;ROW(Exposures!$A19)&amp;", Stop")</f>
        <v/>
      </c>
      <c r="V91" s="20">
        <f>IF(A91="",0,COUNTIF(nTP_Key,A91))</f>
        <v>0</v>
      </c>
      <c r="W91" s="20">
        <f t="shared" si="17"/>
        <v>0</v>
      </c>
      <c r="X91" s="20">
        <f t="shared" si="18"/>
        <v>0</v>
      </c>
      <c r="Y91" s="20">
        <f t="shared" si="19"/>
        <v>0</v>
      </c>
      <c r="Z91" s="20">
        <f t="shared" si="20"/>
        <v>0</v>
      </c>
      <c r="AA91" s="20">
        <f t="shared" si="21"/>
        <v>87</v>
      </c>
      <c r="AB91" s="20" t="str">
        <f>""</f>
        <v/>
      </c>
      <c r="AC91" s="20" t="str">
        <f>IF(B91="","",Exposures!$F19&amp;"")</f>
        <v/>
      </c>
      <c r="AD91" s="20" t="str">
        <f>IF(B91="","",Exposures!$E19&amp;": Stop")</f>
        <v/>
      </c>
      <c r="AE91" s="20">
        <f t="shared" si="22"/>
        <v>0</v>
      </c>
      <c r="AF91" s="20" t="str">
        <f t="shared" si="23"/>
        <v/>
      </c>
      <c r="AG91" s="20">
        <f t="shared" si="24"/>
        <v>0</v>
      </c>
      <c r="AH91" s="20" t="str">
        <f>""</f>
        <v/>
      </c>
    </row>
    <row r="92" spans="1:34" x14ac:dyDescent="0.2">
      <c r="A92" s="20" t="str">
        <f t="shared" si="13"/>
        <v/>
      </c>
      <c r="B92" s="20" t="str">
        <f>IF(AND(Exposures!$D20&lt;&gt;"",COUNTA(Exposures!$AE20:$AL20)&gt;0),Exposures!$D20&amp;"/STOP","")</f>
        <v/>
      </c>
      <c r="C92" s="20" t="str">
        <f t="shared" si="25"/>
        <v/>
      </c>
      <c r="D92" s="20" t="str">
        <f>IF(B92="","",Exposures!$A20&amp;"")</f>
        <v/>
      </c>
      <c r="E92" s="20" t="str">
        <f>IF(B92="","",Exposures!$B20&amp;"")</f>
        <v/>
      </c>
      <c r="F92" s="20" t="str">
        <f t="shared" si="15"/>
        <v/>
      </c>
      <c r="G92" s="20" t="str">
        <f>IF(B92="","",Exposures!$D20&amp;"")</f>
        <v/>
      </c>
      <c r="H92" s="20" t="str">
        <f>IF(B92="","",Exposures!$AE20&amp;"")</f>
        <v/>
      </c>
      <c r="I92" s="20" t="str">
        <f>IF(B92="","",Exposures!$AH20&amp;"")</f>
        <v/>
      </c>
      <c r="J92" s="20" t="str">
        <f>IF(B92="","",Exposures!$AN20&amp;"")</f>
        <v/>
      </c>
      <c r="K92" s="20">
        <f>IF(B92="",0,Exposures!$AO20)</f>
        <v>0</v>
      </c>
      <c r="L92" s="20">
        <f>IF(B92="",0,Exposures!$AP20)</f>
        <v>0</v>
      </c>
      <c r="M92" s="20" t="str">
        <f>IF(B92="","",Exposures!$AS20)</f>
        <v/>
      </c>
      <c r="N92" s="20" t="str">
        <f>IF(B92="","",Exposures!$AT20)</f>
        <v/>
      </c>
      <c r="O92" s="27" t="str">
        <f>IF(B92="","",Exposures!$AQ20)</f>
        <v/>
      </c>
      <c r="P92" s="27" t="str">
        <f>IF(B92="","",Exposures!$AR20)</f>
        <v/>
      </c>
      <c r="Q92" s="20" t="str">
        <f t="shared" si="16"/>
        <v/>
      </c>
      <c r="R92" s="20" t="str">
        <f>IF(A92="","",IF(J92&lt;&gt;"",J92,IF(H92="TIMESTAMP",DAY(INT(M92/1440))&amp;" "&amp;INDEX(nLIST_Months,MONTH(INT(M92/1440)))&amp;" "&amp;YEAR(INT(M92/1440))&amp;" "&amp;RIGHT("0"&amp;INT(MOD(M92,1440)/60),2)&amp;":"&amp;RIGHT("0"&amp;MOD(M92,60),2)&amp;IF(L92=1," (UTC"&amp;I92&amp;")"," (offset unknown)"),IF(H92="DATE",DAY(O92)&amp;" "&amp;INDEX(nLIST_Months,MONTH(O92))&amp;" "&amp;YEAR(O92),IF(H92="MONTH",INDEX(nLIST_Months,MONTH(O92))&amp;" "&amp;YEAR(O92)&amp;" ("&amp;DAY(O92)&amp;" "&amp;INDEX(nLIST_Months,MONTH(O92))&amp;" "&amp;YEAR(O92)&amp;" to "&amp;DAY(P92)&amp;" "&amp;INDEX(nLIST_Months,MONTH(P92))&amp;" "&amp;YEAR(P92)&amp;")",IF(H92="YEAR",YEAR(O92)&amp;" (1 January to 31 December)",DAY(O92)&amp;" "&amp;INDEX(nLIST_Months,MONTH(O92))&amp;" "&amp;YEAR(O92)&amp;" to "&amp;DAY(P92)&amp;" "&amp;INDEX(nLIST_Months,MONTH(P92))&amp;" "&amp;YEAR(P92)&amp;IF(H92="LAB"," (laboratory-defined)","")))))))</f>
        <v/>
      </c>
      <c r="S92" s="20" t="str">
        <f>IF(B92="","",Exposures!$AD20&amp;"")</f>
        <v/>
      </c>
      <c r="T92" s="20" t="str">
        <f>IF(B92="","",Exposures!$AM20&amp;"")</f>
        <v/>
      </c>
      <c r="U92" s="20" t="str">
        <f>IF(B92="","","Exposures row "&amp;ROW(Exposures!$A20)&amp;", Stop")</f>
        <v/>
      </c>
      <c r="V92" s="20">
        <f>IF(A92="",0,COUNTIF(nTP_Key,A92))</f>
        <v>0</v>
      </c>
      <c r="W92" s="20">
        <f t="shared" si="17"/>
        <v>0</v>
      </c>
      <c r="X92" s="20">
        <f t="shared" si="18"/>
        <v>0</v>
      </c>
      <c r="Y92" s="20">
        <f t="shared" si="19"/>
        <v>0</v>
      </c>
      <c r="Z92" s="20">
        <f t="shared" si="20"/>
        <v>0</v>
      </c>
      <c r="AA92" s="20">
        <f t="shared" si="21"/>
        <v>88</v>
      </c>
      <c r="AB92" s="20" t="str">
        <f>""</f>
        <v/>
      </c>
      <c r="AC92" s="20" t="str">
        <f>IF(B92="","",Exposures!$F20&amp;"")</f>
        <v/>
      </c>
      <c r="AD92" s="20" t="str">
        <f>IF(B92="","",Exposures!$E20&amp;": Stop")</f>
        <v/>
      </c>
      <c r="AE92" s="20">
        <f t="shared" si="22"/>
        <v>0</v>
      </c>
      <c r="AF92" s="20" t="str">
        <f t="shared" si="23"/>
        <v/>
      </c>
      <c r="AG92" s="20">
        <f t="shared" si="24"/>
        <v>0</v>
      </c>
      <c r="AH92" s="20" t="str">
        <f>""</f>
        <v/>
      </c>
    </row>
    <row r="93" spans="1:34" x14ac:dyDescent="0.2">
      <c r="A93" s="20" t="str">
        <f t="shared" si="13"/>
        <v/>
      </c>
      <c r="B93" s="20" t="str">
        <f>IF(AND(Exposures!$D21&lt;&gt;"",COUNTA(Exposures!$AE21:$AL21)&gt;0),Exposures!$D21&amp;"/STOP","")</f>
        <v/>
      </c>
      <c r="C93" s="20" t="str">
        <f t="shared" si="25"/>
        <v/>
      </c>
      <c r="D93" s="20" t="str">
        <f>IF(B93="","",Exposures!$A21&amp;"")</f>
        <v/>
      </c>
      <c r="E93" s="20" t="str">
        <f>IF(B93="","",Exposures!$B21&amp;"")</f>
        <v/>
      </c>
      <c r="F93" s="20" t="str">
        <f t="shared" si="15"/>
        <v/>
      </c>
      <c r="G93" s="20" t="str">
        <f>IF(B93="","",Exposures!$D21&amp;"")</f>
        <v/>
      </c>
      <c r="H93" s="20" t="str">
        <f>IF(B93="","",Exposures!$AE21&amp;"")</f>
        <v/>
      </c>
      <c r="I93" s="20" t="str">
        <f>IF(B93="","",Exposures!$AH21&amp;"")</f>
        <v/>
      </c>
      <c r="J93" s="20" t="str">
        <f>IF(B93="","",Exposures!$AN21&amp;"")</f>
        <v/>
      </c>
      <c r="K93" s="20">
        <f>IF(B93="",0,Exposures!$AO21)</f>
        <v>0</v>
      </c>
      <c r="L93" s="20">
        <f>IF(B93="",0,Exposures!$AP21)</f>
        <v>0</v>
      </c>
      <c r="M93" s="20" t="str">
        <f>IF(B93="","",Exposures!$AS21)</f>
        <v/>
      </c>
      <c r="N93" s="20" t="str">
        <f>IF(B93="","",Exposures!$AT21)</f>
        <v/>
      </c>
      <c r="O93" s="27" t="str">
        <f>IF(B93="","",Exposures!$AQ21)</f>
        <v/>
      </c>
      <c r="P93" s="27" t="str">
        <f>IF(B93="","",Exposures!$AR21)</f>
        <v/>
      </c>
      <c r="Q93" s="20" t="str">
        <f t="shared" si="16"/>
        <v/>
      </c>
      <c r="R93" s="20" t="str">
        <f>IF(A93="","",IF(J93&lt;&gt;"",J93,IF(H93="TIMESTAMP",DAY(INT(M93/1440))&amp;" "&amp;INDEX(nLIST_Months,MONTH(INT(M93/1440)))&amp;" "&amp;YEAR(INT(M93/1440))&amp;" "&amp;RIGHT("0"&amp;INT(MOD(M93,1440)/60),2)&amp;":"&amp;RIGHT("0"&amp;MOD(M93,60),2)&amp;IF(L93=1," (UTC"&amp;I93&amp;")"," (offset unknown)"),IF(H93="DATE",DAY(O93)&amp;" "&amp;INDEX(nLIST_Months,MONTH(O93))&amp;" "&amp;YEAR(O93),IF(H93="MONTH",INDEX(nLIST_Months,MONTH(O93))&amp;" "&amp;YEAR(O93)&amp;" ("&amp;DAY(O93)&amp;" "&amp;INDEX(nLIST_Months,MONTH(O93))&amp;" "&amp;YEAR(O93)&amp;" to "&amp;DAY(P93)&amp;" "&amp;INDEX(nLIST_Months,MONTH(P93))&amp;" "&amp;YEAR(P93)&amp;")",IF(H93="YEAR",YEAR(O93)&amp;" (1 January to 31 December)",DAY(O93)&amp;" "&amp;INDEX(nLIST_Months,MONTH(O93))&amp;" "&amp;YEAR(O93)&amp;" to "&amp;DAY(P93)&amp;" "&amp;INDEX(nLIST_Months,MONTH(P93))&amp;" "&amp;YEAR(P93)&amp;IF(H93="LAB"," (laboratory-defined)","")))))))</f>
        <v/>
      </c>
      <c r="S93" s="20" t="str">
        <f>IF(B93="","",Exposures!$AD21&amp;"")</f>
        <v/>
      </c>
      <c r="T93" s="20" t="str">
        <f>IF(B93="","",Exposures!$AM21&amp;"")</f>
        <v/>
      </c>
      <c r="U93" s="20" t="str">
        <f>IF(B93="","","Exposures row "&amp;ROW(Exposures!$A21)&amp;", Stop")</f>
        <v/>
      </c>
      <c r="V93" s="20">
        <f>IF(A93="",0,COUNTIF(nTP_Key,A93))</f>
        <v>0</v>
      </c>
      <c r="W93" s="20">
        <f t="shared" si="17"/>
        <v>0</v>
      </c>
      <c r="X93" s="20">
        <f t="shared" si="18"/>
        <v>0</v>
      </c>
      <c r="Y93" s="20">
        <f t="shared" si="19"/>
        <v>0</v>
      </c>
      <c r="Z93" s="20">
        <f t="shared" si="20"/>
        <v>0</v>
      </c>
      <c r="AA93" s="20">
        <f t="shared" si="21"/>
        <v>89</v>
      </c>
      <c r="AB93" s="20" t="str">
        <f>""</f>
        <v/>
      </c>
      <c r="AC93" s="20" t="str">
        <f>IF(B93="","",Exposures!$F21&amp;"")</f>
        <v/>
      </c>
      <c r="AD93" s="20" t="str">
        <f>IF(B93="","",Exposures!$E21&amp;": Stop")</f>
        <v/>
      </c>
      <c r="AE93" s="20">
        <f t="shared" si="22"/>
        <v>0</v>
      </c>
      <c r="AF93" s="20" t="str">
        <f t="shared" si="23"/>
        <v/>
      </c>
      <c r="AG93" s="20">
        <f t="shared" si="24"/>
        <v>0</v>
      </c>
      <c r="AH93" s="20" t="str">
        <f>""</f>
        <v/>
      </c>
    </row>
    <row r="94" spans="1:34" x14ac:dyDescent="0.2">
      <c r="A94" s="20" t="str">
        <f t="shared" si="13"/>
        <v/>
      </c>
      <c r="B94" s="20" t="str">
        <f>IF(AND(Exposures!$D22&lt;&gt;"",COUNTA(Exposures!$AE22:$AL22)&gt;0),Exposures!$D22&amp;"/STOP","")</f>
        <v/>
      </c>
      <c r="C94" s="20" t="str">
        <f t="shared" si="25"/>
        <v/>
      </c>
      <c r="D94" s="20" t="str">
        <f>IF(B94="","",Exposures!$A22&amp;"")</f>
        <v/>
      </c>
      <c r="E94" s="20" t="str">
        <f>IF(B94="","",Exposures!$B22&amp;"")</f>
        <v/>
      </c>
      <c r="F94" s="20" t="str">
        <f t="shared" si="15"/>
        <v/>
      </c>
      <c r="G94" s="20" t="str">
        <f>IF(B94="","",Exposures!$D22&amp;"")</f>
        <v/>
      </c>
      <c r="H94" s="20" t="str">
        <f>IF(B94="","",Exposures!$AE22&amp;"")</f>
        <v/>
      </c>
      <c r="I94" s="20" t="str">
        <f>IF(B94="","",Exposures!$AH22&amp;"")</f>
        <v/>
      </c>
      <c r="J94" s="20" t="str">
        <f>IF(B94="","",Exposures!$AN22&amp;"")</f>
        <v/>
      </c>
      <c r="K94" s="20">
        <f>IF(B94="",0,Exposures!$AO22)</f>
        <v>0</v>
      </c>
      <c r="L94" s="20">
        <f>IF(B94="",0,Exposures!$AP22)</f>
        <v>0</v>
      </c>
      <c r="M94" s="20" t="str">
        <f>IF(B94="","",Exposures!$AS22)</f>
        <v/>
      </c>
      <c r="N94" s="20" t="str">
        <f>IF(B94="","",Exposures!$AT22)</f>
        <v/>
      </c>
      <c r="O94" s="27" t="str">
        <f>IF(B94="","",Exposures!$AQ22)</f>
        <v/>
      </c>
      <c r="P94" s="27" t="str">
        <f>IF(B94="","",Exposures!$AR22)</f>
        <v/>
      </c>
      <c r="Q94" s="20" t="str">
        <f t="shared" si="16"/>
        <v/>
      </c>
      <c r="R94" s="20" t="str">
        <f>IF(A94="","",IF(J94&lt;&gt;"",J94,IF(H94="TIMESTAMP",DAY(INT(M94/1440))&amp;" "&amp;INDEX(nLIST_Months,MONTH(INT(M94/1440)))&amp;" "&amp;YEAR(INT(M94/1440))&amp;" "&amp;RIGHT("0"&amp;INT(MOD(M94,1440)/60),2)&amp;":"&amp;RIGHT("0"&amp;MOD(M94,60),2)&amp;IF(L94=1," (UTC"&amp;I94&amp;")"," (offset unknown)"),IF(H94="DATE",DAY(O94)&amp;" "&amp;INDEX(nLIST_Months,MONTH(O94))&amp;" "&amp;YEAR(O94),IF(H94="MONTH",INDEX(nLIST_Months,MONTH(O94))&amp;" "&amp;YEAR(O94)&amp;" ("&amp;DAY(O94)&amp;" "&amp;INDEX(nLIST_Months,MONTH(O94))&amp;" "&amp;YEAR(O94)&amp;" to "&amp;DAY(P94)&amp;" "&amp;INDEX(nLIST_Months,MONTH(P94))&amp;" "&amp;YEAR(P94)&amp;")",IF(H94="YEAR",YEAR(O94)&amp;" (1 January to 31 December)",DAY(O94)&amp;" "&amp;INDEX(nLIST_Months,MONTH(O94))&amp;" "&amp;YEAR(O94)&amp;" to "&amp;DAY(P94)&amp;" "&amp;INDEX(nLIST_Months,MONTH(P94))&amp;" "&amp;YEAR(P94)&amp;IF(H94="LAB"," (laboratory-defined)","")))))))</f>
        <v/>
      </c>
      <c r="S94" s="20" t="str">
        <f>IF(B94="","",Exposures!$AD22&amp;"")</f>
        <v/>
      </c>
      <c r="T94" s="20" t="str">
        <f>IF(B94="","",Exposures!$AM22&amp;"")</f>
        <v/>
      </c>
      <c r="U94" s="20" t="str">
        <f>IF(B94="","","Exposures row "&amp;ROW(Exposures!$A22)&amp;", Stop")</f>
        <v/>
      </c>
      <c r="V94" s="20">
        <f>IF(A94="",0,COUNTIF(nTP_Key,A94))</f>
        <v>0</v>
      </c>
      <c r="W94" s="20">
        <f t="shared" si="17"/>
        <v>0</v>
      </c>
      <c r="X94" s="20">
        <f t="shared" si="18"/>
        <v>0</v>
      </c>
      <c r="Y94" s="20">
        <f t="shared" si="19"/>
        <v>0</v>
      </c>
      <c r="Z94" s="20">
        <f t="shared" si="20"/>
        <v>0</v>
      </c>
      <c r="AA94" s="20">
        <f t="shared" si="21"/>
        <v>90</v>
      </c>
      <c r="AB94" s="20" t="str">
        <f>""</f>
        <v/>
      </c>
      <c r="AC94" s="20" t="str">
        <f>IF(B94="","",Exposures!$F22&amp;"")</f>
        <v/>
      </c>
      <c r="AD94" s="20" t="str">
        <f>IF(B94="","",Exposures!$E22&amp;": Stop")</f>
        <v/>
      </c>
      <c r="AE94" s="20">
        <f t="shared" si="22"/>
        <v>0</v>
      </c>
      <c r="AF94" s="20" t="str">
        <f t="shared" si="23"/>
        <v/>
      </c>
      <c r="AG94" s="20">
        <f t="shared" si="24"/>
        <v>0</v>
      </c>
      <c r="AH94" s="20" t="str">
        <f>""</f>
        <v/>
      </c>
    </row>
    <row r="95" spans="1:34" x14ac:dyDescent="0.2">
      <c r="A95" s="20" t="str">
        <f t="shared" si="13"/>
        <v/>
      </c>
      <c r="B95" s="20" t="str">
        <f>IF(AND(Exposures!$D23&lt;&gt;"",COUNTA(Exposures!$AE23:$AL23)&gt;0),Exposures!$D23&amp;"/STOP","")</f>
        <v/>
      </c>
      <c r="C95" s="20" t="str">
        <f t="shared" si="25"/>
        <v/>
      </c>
      <c r="D95" s="20" t="str">
        <f>IF(B95="","",Exposures!$A23&amp;"")</f>
        <v/>
      </c>
      <c r="E95" s="20" t="str">
        <f>IF(B95="","",Exposures!$B23&amp;"")</f>
        <v/>
      </c>
      <c r="F95" s="20" t="str">
        <f t="shared" si="15"/>
        <v/>
      </c>
      <c r="G95" s="20" t="str">
        <f>IF(B95="","",Exposures!$D23&amp;"")</f>
        <v/>
      </c>
      <c r="H95" s="20" t="str">
        <f>IF(B95="","",Exposures!$AE23&amp;"")</f>
        <v/>
      </c>
      <c r="I95" s="20" t="str">
        <f>IF(B95="","",Exposures!$AH23&amp;"")</f>
        <v/>
      </c>
      <c r="J95" s="20" t="str">
        <f>IF(B95="","",Exposures!$AN23&amp;"")</f>
        <v/>
      </c>
      <c r="K95" s="20">
        <f>IF(B95="",0,Exposures!$AO23)</f>
        <v>0</v>
      </c>
      <c r="L95" s="20">
        <f>IF(B95="",0,Exposures!$AP23)</f>
        <v>0</v>
      </c>
      <c r="M95" s="20" t="str">
        <f>IF(B95="","",Exposures!$AS23)</f>
        <v/>
      </c>
      <c r="N95" s="20" t="str">
        <f>IF(B95="","",Exposures!$AT23)</f>
        <v/>
      </c>
      <c r="O95" s="27" t="str">
        <f>IF(B95="","",Exposures!$AQ23)</f>
        <v/>
      </c>
      <c r="P95" s="27" t="str">
        <f>IF(B95="","",Exposures!$AR23)</f>
        <v/>
      </c>
      <c r="Q95" s="20" t="str">
        <f t="shared" si="16"/>
        <v/>
      </c>
      <c r="R95" s="20" t="str">
        <f>IF(A95="","",IF(J95&lt;&gt;"",J95,IF(H95="TIMESTAMP",DAY(INT(M95/1440))&amp;" "&amp;INDEX(nLIST_Months,MONTH(INT(M95/1440)))&amp;" "&amp;YEAR(INT(M95/1440))&amp;" "&amp;RIGHT("0"&amp;INT(MOD(M95,1440)/60),2)&amp;":"&amp;RIGHT("0"&amp;MOD(M95,60),2)&amp;IF(L95=1," (UTC"&amp;I95&amp;")"," (offset unknown)"),IF(H95="DATE",DAY(O95)&amp;" "&amp;INDEX(nLIST_Months,MONTH(O95))&amp;" "&amp;YEAR(O95),IF(H95="MONTH",INDEX(nLIST_Months,MONTH(O95))&amp;" "&amp;YEAR(O95)&amp;" ("&amp;DAY(O95)&amp;" "&amp;INDEX(nLIST_Months,MONTH(O95))&amp;" "&amp;YEAR(O95)&amp;" to "&amp;DAY(P95)&amp;" "&amp;INDEX(nLIST_Months,MONTH(P95))&amp;" "&amp;YEAR(P95)&amp;")",IF(H95="YEAR",YEAR(O95)&amp;" (1 January to 31 December)",DAY(O95)&amp;" "&amp;INDEX(nLIST_Months,MONTH(O95))&amp;" "&amp;YEAR(O95)&amp;" to "&amp;DAY(P95)&amp;" "&amp;INDEX(nLIST_Months,MONTH(P95))&amp;" "&amp;YEAR(P95)&amp;IF(H95="LAB"," (laboratory-defined)","")))))))</f>
        <v/>
      </c>
      <c r="S95" s="20" t="str">
        <f>IF(B95="","",Exposures!$AD23&amp;"")</f>
        <v/>
      </c>
      <c r="T95" s="20" t="str">
        <f>IF(B95="","",Exposures!$AM23&amp;"")</f>
        <v/>
      </c>
      <c r="U95" s="20" t="str">
        <f>IF(B95="","","Exposures row "&amp;ROW(Exposures!$A23)&amp;", Stop")</f>
        <v/>
      </c>
      <c r="V95" s="20">
        <f>IF(A95="",0,COUNTIF(nTP_Key,A95))</f>
        <v>0</v>
      </c>
      <c r="W95" s="20">
        <f t="shared" si="17"/>
        <v>0</v>
      </c>
      <c r="X95" s="20">
        <f t="shared" si="18"/>
        <v>0</v>
      </c>
      <c r="Y95" s="20">
        <f t="shared" si="19"/>
        <v>0</v>
      </c>
      <c r="Z95" s="20">
        <f t="shared" si="20"/>
        <v>0</v>
      </c>
      <c r="AA95" s="20">
        <f t="shared" si="21"/>
        <v>91</v>
      </c>
      <c r="AB95" s="20" t="str">
        <f>""</f>
        <v/>
      </c>
      <c r="AC95" s="20" t="str">
        <f>IF(B95="","",Exposures!$F23&amp;"")</f>
        <v/>
      </c>
      <c r="AD95" s="20" t="str">
        <f>IF(B95="","",Exposures!$E23&amp;": Stop")</f>
        <v/>
      </c>
      <c r="AE95" s="20">
        <f t="shared" si="22"/>
        <v>0</v>
      </c>
      <c r="AF95" s="20" t="str">
        <f t="shared" si="23"/>
        <v/>
      </c>
      <c r="AG95" s="20">
        <f t="shared" si="24"/>
        <v>0</v>
      </c>
      <c r="AH95" s="20" t="str">
        <f>""</f>
        <v/>
      </c>
    </row>
    <row r="96" spans="1:34" x14ac:dyDescent="0.2">
      <c r="A96" s="20" t="str">
        <f t="shared" si="13"/>
        <v/>
      </c>
      <c r="B96" s="20" t="str">
        <f>IF(AND(Exposures!$D24&lt;&gt;"",COUNTA(Exposures!$AE24:$AL24)&gt;0),Exposures!$D24&amp;"/STOP","")</f>
        <v/>
      </c>
      <c r="C96" s="20" t="str">
        <f t="shared" si="25"/>
        <v/>
      </c>
      <c r="D96" s="20" t="str">
        <f>IF(B96="","",Exposures!$A24&amp;"")</f>
        <v/>
      </c>
      <c r="E96" s="20" t="str">
        <f>IF(B96="","",Exposures!$B24&amp;"")</f>
        <v/>
      </c>
      <c r="F96" s="20" t="str">
        <f t="shared" si="15"/>
        <v/>
      </c>
      <c r="G96" s="20" t="str">
        <f>IF(B96="","",Exposures!$D24&amp;"")</f>
        <v/>
      </c>
      <c r="H96" s="20" t="str">
        <f>IF(B96="","",Exposures!$AE24&amp;"")</f>
        <v/>
      </c>
      <c r="I96" s="20" t="str">
        <f>IF(B96="","",Exposures!$AH24&amp;"")</f>
        <v/>
      </c>
      <c r="J96" s="20" t="str">
        <f>IF(B96="","",Exposures!$AN24&amp;"")</f>
        <v/>
      </c>
      <c r="K96" s="20">
        <f>IF(B96="",0,Exposures!$AO24)</f>
        <v>0</v>
      </c>
      <c r="L96" s="20">
        <f>IF(B96="",0,Exposures!$AP24)</f>
        <v>0</v>
      </c>
      <c r="M96" s="20" t="str">
        <f>IF(B96="","",Exposures!$AS24)</f>
        <v/>
      </c>
      <c r="N96" s="20" t="str">
        <f>IF(B96="","",Exposures!$AT24)</f>
        <v/>
      </c>
      <c r="O96" s="27" t="str">
        <f>IF(B96="","",Exposures!$AQ24)</f>
        <v/>
      </c>
      <c r="P96" s="27" t="str">
        <f>IF(B96="","",Exposures!$AR24)</f>
        <v/>
      </c>
      <c r="Q96" s="20" t="str">
        <f t="shared" si="16"/>
        <v/>
      </c>
      <c r="R96" s="20" t="str">
        <f>IF(A96="","",IF(J96&lt;&gt;"",J96,IF(H96="TIMESTAMP",DAY(INT(M96/1440))&amp;" "&amp;INDEX(nLIST_Months,MONTH(INT(M96/1440)))&amp;" "&amp;YEAR(INT(M96/1440))&amp;" "&amp;RIGHT("0"&amp;INT(MOD(M96,1440)/60),2)&amp;":"&amp;RIGHT("0"&amp;MOD(M96,60),2)&amp;IF(L96=1," (UTC"&amp;I96&amp;")"," (offset unknown)"),IF(H96="DATE",DAY(O96)&amp;" "&amp;INDEX(nLIST_Months,MONTH(O96))&amp;" "&amp;YEAR(O96),IF(H96="MONTH",INDEX(nLIST_Months,MONTH(O96))&amp;" "&amp;YEAR(O96)&amp;" ("&amp;DAY(O96)&amp;" "&amp;INDEX(nLIST_Months,MONTH(O96))&amp;" "&amp;YEAR(O96)&amp;" to "&amp;DAY(P96)&amp;" "&amp;INDEX(nLIST_Months,MONTH(P96))&amp;" "&amp;YEAR(P96)&amp;")",IF(H96="YEAR",YEAR(O96)&amp;" (1 January to 31 December)",DAY(O96)&amp;" "&amp;INDEX(nLIST_Months,MONTH(O96))&amp;" "&amp;YEAR(O96)&amp;" to "&amp;DAY(P96)&amp;" "&amp;INDEX(nLIST_Months,MONTH(P96))&amp;" "&amp;YEAR(P96)&amp;IF(H96="LAB"," (laboratory-defined)","")))))))</f>
        <v/>
      </c>
      <c r="S96" s="20" t="str">
        <f>IF(B96="","",Exposures!$AD24&amp;"")</f>
        <v/>
      </c>
      <c r="T96" s="20" t="str">
        <f>IF(B96="","",Exposures!$AM24&amp;"")</f>
        <v/>
      </c>
      <c r="U96" s="20" t="str">
        <f>IF(B96="","","Exposures row "&amp;ROW(Exposures!$A24)&amp;", Stop")</f>
        <v/>
      </c>
      <c r="V96" s="20">
        <f>IF(A96="",0,COUNTIF(nTP_Key,A96))</f>
        <v>0</v>
      </c>
      <c r="W96" s="20">
        <f t="shared" si="17"/>
        <v>0</v>
      </c>
      <c r="X96" s="20">
        <f t="shared" si="18"/>
        <v>0</v>
      </c>
      <c r="Y96" s="20">
        <f t="shared" si="19"/>
        <v>0</v>
      </c>
      <c r="Z96" s="20">
        <f t="shared" si="20"/>
        <v>0</v>
      </c>
      <c r="AA96" s="20">
        <f t="shared" si="21"/>
        <v>92</v>
      </c>
      <c r="AB96" s="20" t="str">
        <f>""</f>
        <v/>
      </c>
      <c r="AC96" s="20" t="str">
        <f>IF(B96="","",Exposures!$F24&amp;"")</f>
        <v/>
      </c>
      <c r="AD96" s="20" t="str">
        <f>IF(B96="","",Exposures!$E24&amp;": Stop")</f>
        <v/>
      </c>
      <c r="AE96" s="20">
        <f t="shared" si="22"/>
        <v>0</v>
      </c>
      <c r="AF96" s="20" t="str">
        <f t="shared" si="23"/>
        <v/>
      </c>
      <c r="AG96" s="20">
        <f t="shared" si="24"/>
        <v>0</v>
      </c>
      <c r="AH96" s="20" t="str">
        <f>""</f>
        <v/>
      </c>
    </row>
    <row r="97" spans="1:34" x14ac:dyDescent="0.2">
      <c r="A97" s="20" t="str">
        <f t="shared" si="13"/>
        <v/>
      </c>
      <c r="B97" s="20" t="str">
        <f>IF(AND(Exposures!$D25&lt;&gt;"",COUNTA(Exposures!$AE25:$AL25)&gt;0),Exposures!$D25&amp;"/STOP","")</f>
        <v/>
      </c>
      <c r="C97" s="20" t="str">
        <f t="shared" si="25"/>
        <v/>
      </c>
      <c r="D97" s="20" t="str">
        <f>IF(B97="","",Exposures!$A25&amp;"")</f>
        <v/>
      </c>
      <c r="E97" s="20" t="str">
        <f>IF(B97="","",Exposures!$B25&amp;"")</f>
        <v/>
      </c>
      <c r="F97" s="20" t="str">
        <f t="shared" si="15"/>
        <v/>
      </c>
      <c r="G97" s="20" t="str">
        <f>IF(B97="","",Exposures!$D25&amp;"")</f>
        <v/>
      </c>
      <c r="H97" s="20" t="str">
        <f>IF(B97="","",Exposures!$AE25&amp;"")</f>
        <v/>
      </c>
      <c r="I97" s="20" t="str">
        <f>IF(B97="","",Exposures!$AH25&amp;"")</f>
        <v/>
      </c>
      <c r="J97" s="20" t="str">
        <f>IF(B97="","",Exposures!$AN25&amp;"")</f>
        <v/>
      </c>
      <c r="K97" s="20">
        <f>IF(B97="",0,Exposures!$AO25)</f>
        <v>0</v>
      </c>
      <c r="L97" s="20">
        <f>IF(B97="",0,Exposures!$AP25)</f>
        <v>0</v>
      </c>
      <c r="M97" s="20" t="str">
        <f>IF(B97="","",Exposures!$AS25)</f>
        <v/>
      </c>
      <c r="N97" s="20" t="str">
        <f>IF(B97="","",Exposures!$AT25)</f>
        <v/>
      </c>
      <c r="O97" s="27" t="str">
        <f>IF(B97="","",Exposures!$AQ25)</f>
        <v/>
      </c>
      <c r="P97" s="27" t="str">
        <f>IF(B97="","",Exposures!$AR25)</f>
        <v/>
      </c>
      <c r="Q97" s="20" t="str">
        <f t="shared" si="16"/>
        <v/>
      </c>
      <c r="R97" s="20" t="str">
        <f>IF(A97="","",IF(J97&lt;&gt;"",J97,IF(H97="TIMESTAMP",DAY(INT(M97/1440))&amp;" "&amp;INDEX(nLIST_Months,MONTH(INT(M97/1440)))&amp;" "&amp;YEAR(INT(M97/1440))&amp;" "&amp;RIGHT("0"&amp;INT(MOD(M97,1440)/60),2)&amp;":"&amp;RIGHT("0"&amp;MOD(M97,60),2)&amp;IF(L97=1," (UTC"&amp;I97&amp;")"," (offset unknown)"),IF(H97="DATE",DAY(O97)&amp;" "&amp;INDEX(nLIST_Months,MONTH(O97))&amp;" "&amp;YEAR(O97),IF(H97="MONTH",INDEX(nLIST_Months,MONTH(O97))&amp;" "&amp;YEAR(O97)&amp;" ("&amp;DAY(O97)&amp;" "&amp;INDEX(nLIST_Months,MONTH(O97))&amp;" "&amp;YEAR(O97)&amp;" to "&amp;DAY(P97)&amp;" "&amp;INDEX(nLIST_Months,MONTH(P97))&amp;" "&amp;YEAR(P97)&amp;")",IF(H97="YEAR",YEAR(O97)&amp;" (1 January to 31 December)",DAY(O97)&amp;" "&amp;INDEX(nLIST_Months,MONTH(O97))&amp;" "&amp;YEAR(O97)&amp;" to "&amp;DAY(P97)&amp;" "&amp;INDEX(nLIST_Months,MONTH(P97))&amp;" "&amp;YEAR(P97)&amp;IF(H97="LAB"," (laboratory-defined)","")))))))</f>
        <v/>
      </c>
      <c r="S97" s="20" t="str">
        <f>IF(B97="","",Exposures!$AD25&amp;"")</f>
        <v/>
      </c>
      <c r="T97" s="20" t="str">
        <f>IF(B97="","",Exposures!$AM25&amp;"")</f>
        <v/>
      </c>
      <c r="U97" s="20" t="str">
        <f>IF(B97="","","Exposures row "&amp;ROW(Exposures!$A25)&amp;", Stop")</f>
        <v/>
      </c>
      <c r="V97" s="20">
        <f>IF(A97="",0,COUNTIF(nTP_Key,A97))</f>
        <v>0</v>
      </c>
      <c r="W97" s="20">
        <f t="shared" si="17"/>
        <v>0</v>
      </c>
      <c r="X97" s="20">
        <f t="shared" si="18"/>
        <v>0</v>
      </c>
      <c r="Y97" s="20">
        <f t="shared" si="19"/>
        <v>0</v>
      </c>
      <c r="Z97" s="20">
        <f t="shared" si="20"/>
        <v>0</v>
      </c>
      <c r="AA97" s="20">
        <f t="shared" si="21"/>
        <v>93</v>
      </c>
      <c r="AB97" s="20" t="str">
        <f>""</f>
        <v/>
      </c>
      <c r="AC97" s="20" t="str">
        <f>IF(B97="","",Exposures!$F25&amp;"")</f>
        <v/>
      </c>
      <c r="AD97" s="20" t="str">
        <f>IF(B97="","",Exposures!$E25&amp;": Stop")</f>
        <v/>
      </c>
      <c r="AE97" s="20">
        <f t="shared" si="22"/>
        <v>0</v>
      </c>
      <c r="AF97" s="20" t="str">
        <f t="shared" si="23"/>
        <v/>
      </c>
      <c r="AG97" s="20">
        <f t="shared" si="24"/>
        <v>0</v>
      </c>
      <c r="AH97" s="20" t="str">
        <f>""</f>
        <v/>
      </c>
    </row>
    <row r="98" spans="1:34" x14ac:dyDescent="0.2">
      <c r="A98" s="20" t="str">
        <f t="shared" si="13"/>
        <v/>
      </c>
      <c r="B98" s="20" t="str">
        <f>IF(AND(Exposures!$D26&lt;&gt;"",COUNTA(Exposures!$AE26:$AL26)&gt;0),Exposures!$D26&amp;"/STOP","")</f>
        <v/>
      </c>
      <c r="C98" s="20" t="str">
        <f t="shared" si="25"/>
        <v/>
      </c>
      <c r="D98" s="20" t="str">
        <f>IF(B98="","",Exposures!$A26&amp;"")</f>
        <v/>
      </c>
      <c r="E98" s="20" t="str">
        <f>IF(B98="","",Exposures!$B26&amp;"")</f>
        <v/>
      </c>
      <c r="F98" s="20" t="str">
        <f t="shared" si="15"/>
        <v/>
      </c>
      <c r="G98" s="20" t="str">
        <f>IF(B98="","",Exposures!$D26&amp;"")</f>
        <v/>
      </c>
      <c r="H98" s="20" t="str">
        <f>IF(B98="","",Exposures!$AE26&amp;"")</f>
        <v/>
      </c>
      <c r="I98" s="20" t="str">
        <f>IF(B98="","",Exposures!$AH26&amp;"")</f>
        <v/>
      </c>
      <c r="J98" s="20" t="str">
        <f>IF(B98="","",Exposures!$AN26&amp;"")</f>
        <v/>
      </c>
      <c r="K98" s="20">
        <f>IF(B98="",0,Exposures!$AO26)</f>
        <v>0</v>
      </c>
      <c r="L98" s="20">
        <f>IF(B98="",0,Exposures!$AP26)</f>
        <v>0</v>
      </c>
      <c r="M98" s="20" t="str">
        <f>IF(B98="","",Exposures!$AS26)</f>
        <v/>
      </c>
      <c r="N98" s="20" t="str">
        <f>IF(B98="","",Exposures!$AT26)</f>
        <v/>
      </c>
      <c r="O98" s="27" t="str">
        <f>IF(B98="","",Exposures!$AQ26)</f>
        <v/>
      </c>
      <c r="P98" s="27" t="str">
        <f>IF(B98="","",Exposures!$AR26)</f>
        <v/>
      </c>
      <c r="Q98" s="20" t="str">
        <f t="shared" si="16"/>
        <v/>
      </c>
      <c r="R98" s="20" t="str">
        <f>IF(A98="","",IF(J98&lt;&gt;"",J98,IF(H98="TIMESTAMP",DAY(INT(M98/1440))&amp;" "&amp;INDEX(nLIST_Months,MONTH(INT(M98/1440)))&amp;" "&amp;YEAR(INT(M98/1440))&amp;" "&amp;RIGHT("0"&amp;INT(MOD(M98,1440)/60),2)&amp;":"&amp;RIGHT("0"&amp;MOD(M98,60),2)&amp;IF(L98=1," (UTC"&amp;I98&amp;")"," (offset unknown)"),IF(H98="DATE",DAY(O98)&amp;" "&amp;INDEX(nLIST_Months,MONTH(O98))&amp;" "&amp;YEAR(O98),IF(H98="MONTH",INDEX(nLIST_Months,MONTH(O98))&amp;" "&amp;YEAR(O98)&amp;" ("&amp;DAY(O98)&amp;" "&amp;INDEX(nLIST_Months,MONTH(O98))&amp;" "&amp;YEAR(O98)&amp;" to "&amp;DAY(P98)&amp;" "&amp;INDEX(nLIST_Months,MONTH(P98))&amp;" "&amp;YEAR(P98)&amp;")",IF(H98="YEAR",YEAR(O98)&amp;" (1 January to 31 December)",DAY(O98)&amp;" "&amp;INDEX(nLIST_Months,MONTH(O98))&amp;" "&amp;YEAR(O98)&amp;" to "&amp;DAY(P98)&amp;" "&amp;INDEX(nLIST_Months,MONTH(P98))&amp;" "&amp;YEAR(P98)&amp;IF(H98="LAB"," (laboratory-defined)","")))))))</f>
        <v/>
      </c>
      <c r="S98" s="20" t="str">
        <f>IF(B98="","",Exposures!$AD26&amp;"")</f>
        <v/>
      </c>
      <c r="T98" s="20" t="str">
        <f>IF(B98="","",Exposures!$AM26&amp;"")</f>
        <v/>
      </c>
      <c r="U98" s="20" t="str">
        <f>IF(B98="","","Exposures row "&amp;ROW(Exposures!$A26)&amp;", Stop")</f>
        <v/>
      </c>
      <c r="V98" s="20">
        <f>IF(A98="",0,COUNTIF(nTP_Key,A98))</f>
        <v>0</v>
      </c>
      <c r="W98" s="20">
        <f t="shared" si="17"/>
        <v>0</v>
      </c>
      <c r="X98" s="20">
        <f t="shared" si="18"/>
        <v>0</v>
      </c>
      <c r="Y98" s="20">
        <f t="shared" si="19"/>
        <v>0</v>
      </c>
      <c r="Z98" s="20">
        <f t="shared" si="20"/>
        <v>0</v>
      </c>
      <c r="AA98" s="20">
        <f t="shared" si="21"/>
        <v>94</v>
      </c>
      <c r="AB98" s="20" t="str">
        <f>""</f>
        <v/>
      </c>
      <c r="AC98" s="20" t="str">
        <f>IF(B98="","",Exposures!$F26&amp;"")</f>
        <v/>
      </c>
      <c r="AD98" s="20" t="str">
        <f>IF(B98="","",Exposures!$E26&amp;": Stop")</f>
        <v/>
      </c>
      <c r="AE98" s="20">
        <f t="shared" si="22"/>
        <v>0</v>
      </c>
      <c r="AF98" s="20" t="str">
        <f t="shared" si="23"/>
        <v/>
      </c>
      <c r="AG98" s="20">
        <f t="shared" si="24"/>
        <v>0</v>
      </c>
      <c r="AH98" s="20" t="str">
        <f>""</f>
        <v/>
      </c>
    </row>
    <row r="99" spans="1:34" x14ac:dyDescent="0.2">
      <c r="A99" s="20" t="str">
        <f t="shared" si="13"/>
        <v/>
      </c>
      <c r="B99" s="20" t="str">
        <f>IF(AND(Exposures!$D27&lt;&gt;"",COUNTA(Exposures!$AE27:$AL27)&gt;0),Exposures!$D27&amp;"/STOP","")</f>
        <v/>
      </c>
      <c r="C99" s="20" t="str">
        <f t="shared" si="25"/>
        <v/>
      </c>
      <c r="D99" s="20" t="str">
        <f>IF(B99="","",Exposures!$A27&amp;"")</f>
        <v/>
      </c>
      <c r="E99" s="20" t="str">
        <f>IF(B99="","",Exposures!$B27&amp;"")</f>
        <v/>
      </c>
      <c r="F99" s="20" t="str">
        <f t="shared" si="15"/>
        <v/>
      </c>
      <c r="G99" s="20" t="str">
        <f>IF(B99="","",Exposures!$D27&amp;"")</f>
        <v/>
      </c>
      <c r="H99" s="20" t="str">
        <f>IF(B99="","",Exposures!$AE27&amp;"")</f>
        <v/>
      </c>
      <c r="I99" s="20" t="str">
        <f>IF(B99="","",Exposures!$AH27&amp;"")</f>
        <v/>
      </c>
      <c r="J99" s="20" t="str">
        <f>IF(B99="","",Exposures!$AN27&amp;"")</f>
        <v/>
      </c>
      <c r="K99" s="20">
        <f>IF(B99="",0,Exposures!$AO27)</f>
        <v>0</v>
      </c>
      <c r="L99" s="20">
        <f>IF(B99="",0,Exposures!$AP27)</f>
        <v>0</v>
      </c>
      <c r="M99" s="20" t="str">
        <f>IF(B99="","",Exposures!$AS27)</f>
        <v/>
      </c>
      <c r="N99" s="20" t="str">
        <f>IF(B99="","",Exposures!$AT27)</f>
        <v/>
      </c>
      <c r="O99" s="27" t="str">
        <f>IF(B99="","",Exposures!$AQ27)</f>
        <v/>
      </c>
      <c r="P99" s="27" t="str">
        <f>IF(B99="","",Exposures!$AR27)</f>
        <v/>
      </c>
      <c r="Q99" s="20" t="str">
        <f t="shared" si="16"/>
        <v/>
      </c>
      <c r="R99" s="20" t="str">
        <f>IF(A99="","",IF(J99&lt;&gt;"",J99,IF(H99="TIMESTAMP",DAY(INT(M99/1440))&amp;" "&amp;INDEX(nLIST_Months,MONTH(INT(M99/1440)))&amp;" "&amp;YEAR(INT(M99/1440))&amp;" "&amp;RIGHT("0"&amp;INT(MOD(M99,1440)/60),2)&amp;":"&amp;RIGHT("0"&amp;MOD(M99,60),2)&amp;IF(L99=1," (UTC"&amp;I99&amp;")"," (offset unknown)"),IF(H99="DATE",DAY(O99)&amp;" "&amp;INDEX(nLIST_Months,MONTH(O99))&amp;" "&amp;YEAR(O99),IF(H99="MONTH",INDEX(nLIST_Months,MONTH(O99))&amp;" "&amp;YEAR(O99)&amp;" ("&amp;DAY(O99)&amp;" "&amp;INDEX(nLIST_Months,MONTH(O99))&amp;" "&amp;YEAR(O99)&amp;" to "&amp;DAY(P99)&amp;" "&amp;INDEX(nLIST_Months,MONTH(P99))&amp;" "&amp;YEAR(P99)&amp;")",IF(H99="YEAR",YEAR(O99)&amp;" (1 January to 31 December)",DAY(O99)&amp;" "&amp;INDEX(nLIST_Months,MONTH(O99))&amp;" "&amp;YEAR(O99)&amp;" to "&amp;DAY(P99)&amp;" "&amp;INDEX(nLIST_Months,MONTH(P99))&amp;" "&amp;YEAR(P99)&amp;IF(H99="LAB"," (laboratory-defined)","")))))))</f>
        <v/>
      </c>
      <c r="S99" s="20" t="str">
        <f>IF(B99="","",Exposures!$AD27&amp;"")</f>
        <v/>
      </c>
      <c r="T99" s="20" t="str">
        <f>IF(B99="","",Exposures!$AM27&amp;"")</f>
        <v/>
      </c>
      <c r="U99" s="20" t="str">
        <f>IF(B99="","","Exposures row "&amp;ROW(Exposures!$A27)&amp;", Stop")</f>
        <v/>
      </c>
      <c r="V99" s="20">
        <f>IF(A99="",0,COUNTIF(nTP_Key,A99))</f>
        <v>0</v>
      </c>
      <c r="W99" s="20">
        <f t="shared" si="17"/>
        <v>0</v>
      </c>
      <c r="X99" s="20">
        <f t="shared" si="18"/>
        <v>0</v>
      </c>
      <c r="Y99" s="20">
        <f t="shared" si="19"/>
        <v>0</v>
      </c>
      <c r="Z99" s="20">
        <f t="shared" si="20"/>
        <v>0</v>
      </c>
      <c r="AA99" s="20">
        <f t="shared" si="21"/>
        <v>95</v>
      </c>
      <c r="AB99" s="20" t="str">
        <f>""</f>
        <v/>
      </c>
      <c r="AC99" s="20" t="str">
        <f>IF(B99="","",Exposures!$F27&amp;"")</f>
        <v/>
      </c>
      <c r="AD99" s="20" t="str">
        <f>IF(B99="","",Exposures!$E27&amp;": Stop")</f>
        <v/>
      </c>
      <c r="AE99" s="20">
        <f t="shared" si="22"/>
        <v>0</v>
      </c>
      <c r="AF99" s="20" t="str">
        <f t="shared" si="23"/>
        <v/>
      </c>
      <c r="AG99" s="20">
        <f t="shared" si="24"/>
        <v>0</v>
      </c>
      <c r="AH99" s="20" t="str">
        <f>""</f>
        <v/>
      </c>
    </row>
    <row r="100" spans="1:34" x14ac:dyDescent="0.2">
      <c r="A100" s="20" t="str">
        <f t="shared" si="13"/>
        <v/>
      </c>
      <c r="B100" s="20" t="str">
        <f>IF(AND(Exposures!$D28&lt;&gt;"",COUNTA(Exposures!$AE28:$AL28)&gt;0),Exposures!$D28&amp;"/STOP","")</f>
        <v/>
      </c>
      <c r="C100" s="20" t="str">
        <f t="shared" si="25"/>
        <v/>
      </c>
      <c r="D100" s="20" t="str">
        <f>IF(B100="","",Exposures!$A28&amp;"")</f>
        <v/>
      </c>
      <c r="E100" s="20" t="str">
        <f>IF(B100="","",Exposures!$B28&amp;"")</f>
        <v/>
      </c>
      <c r="F100" s="20" t="str">
        <f t="shared" si="15"/>
        <v/>
      </c>
      <c r="G100" s="20" t="str">
        <f>IF(B100="","",Exposures!$D28&amp;"")</f>
        <v/>
      </c>
      <c r="H100" s="20" t="str">
        <f>IF(B100="","",Exposures!$AE28&amp;"")</f>
        <v/>
      </c>
      <c r="I100" s="20" t="str">
        <f>IF(B100="","",Exposures!$AH28&amp;"")</f>
        <v/>
      </c>
      <c r="J100" s="20" t="str">
        <f>IF(B100="","",Exposures!$AN28&amp;"")</f>
        <v/>
      </c>
      <c r="K100" s="20">
        <f>IF(B100="",0,Exposures!$AO28)</f>
        <v>0</v>
      </c>
      <c r="L100" s="20">
        <f>IF(B100="",0,Exposures!$AP28)</f>
        <v>0</v>
      </c>
      <c r="M100" s="20" t="str">
        <f>IF(B100="","",Exposures!$AS28)</f>
        <v/>
      </c>
      <c r="N100" s="20" t="str">
        <f>IF(B100="","",Exposures!$AT28)</f>
        <v/>
      </c>
      <c r="O100" s="27" t="str">
        <f>IF(B100="","",Exposures!$AQ28)</f>
        <v/>
      </c>
      <c r="P100" s="27" t="str">
        <f>IF(B100="","",Exposures!$AR28)</f>
        <v/>
      </c>
      <c r="Q100" s="20" t="str">
        <f t="shared" si="16"/>
        <v/>
      </c>
      <c r="R100" s="20" t="str">
        <f>IF(A100="","",IF(J100&lt;&gt;"",J100,IF(H100="TIMESTAMP",DAY(INT(M100/1440))&amp;" "&amp;INDEX(nLIST_Months,MONTH(INT(M100/1440)))&amp;" "&amp;YEAR(INT(M100/1440))&amp;" "&amp;RIGHT("0"&amp;INT(MOD(M100,1440)/60),2)&amp;":"&amp;RIGHT("0"&amp;MOD(M100,60),2)&amp;IF(L100=1," (UTC"&amp;I100&amp;")"," (offset unknown)"),IF(H100="DATE",DAY(O100)&amp;" "&amp;INDEX(nLIST_Months,MONTH(O100))&amp;" "&amp;YEAR(O100),IF(H100="MONTH",INDEX(nLIST_Months,MONTH(O100))&amp;" "&amp;YEAR(O100)&amp;" ("&amp;DAY(O100)&amp;" "&amp;INDEX(nLIST_Months,MONTH(O100))&amp;" "&amp;YEAR(O100)&amp;" to "&amp;DAY(P100)&amp;" "&amp;INDEX(nLIST_Months,MONTH(P100))&amp;" "&amp;YEAR(P100)&amp;")",IF(H100="YEAR",YEAR(O100)&amp;" (1 January to 31 December)",DAY(O100)&amp;" "&amp;INDEX(nLIST_Months,MONTH(O100))&amp;" "&amp;YEAR(O100)&amp;" to "&amp;DAY(P100)&amp;" "&amp;INDEX(nLIST_Months,MONTH(P100))&amp;" "&amp;YEAR(P100)&amp;IF(H100="LAB"," (laboratory-defined)","")))))))</f>
        <v/>
      </c>
      <c r="S100" s="20" t="str">
        <f>IF(B100="","",Exposures!$AD28&amp;"")</f>
        <v/>
      </c>
      <c r="T100" s="20" t="str">
        <f>IF(B100="","",Exposures!$AM28&amp;"")</f>
        <v/>
      </c>
      <c r="U100" s="20" t="str">
        <f>IF(B100="","","Exposures row "&amp;ROW(Exposures!$A28)&amp;", Stop")</f>
        <v/>
      </c>
      <c r="V100" s="20">
        <f>IF(A100="",0,COUNTIF(nTP_Key,A100))</f>
        <v>0</v>
      </c>
      <c r="W100" s="20">
        <f t="shared" si="17"/>
        <v>0</v>
      </c>
      <c r="X100" s="20">
        <f t="shared" si="18"/>
        <v>0</v>
      </c>
      <c r="Y100" s="20">
        <f t="shared" si="19"/>
        <v>0</v>
      </c>
      <c r="Z100" s="20">
        <f t="shared" si="20"/>
        <v>0</v>
      </c>
      <c r="AA100" s="20">
        <f t="shared" si="21"/>
        <v>96</v>
      </c>
      <c r="AB100" s="20" t="str">
        <f>""</f>
        <v/>
      </c>
      <c r="AC100" s="20" t="str">
        <f>IF(B100="","",Exposures!$F28&amp;"")</f>
        <v/>
      </c>
      <c r="AD100" s="20" t="str">
        <f>IF(B100="","",Exposures!$E28&amp;": Stop")</f>
        <v/>
      </c>
      <c r="AE100" s="20">
        <f t="shared" si="22"/>
        <v>0</v>
      </c>
      <c r="AF100" s="20" t="str">
        <f t="shared" si="23"/>
        <v/>
      </c>
      <c r="AG100" s="20">
        <f t="shared" si="24"/>
        <v>0</v>
      </c>
      <c r="AH100" s="20" t="str">
        <f>""</f>
        <v/>
      </c>
    </row>
    <row r="101" spans="1:34" x14ac:dyDescent="0.2">
      <c r="A101" s="20" t="str">
        <f t="shared" si="13"/>
        <v/>
      </c>
      <c r="B101" s="20" t="str">
        <f>IF(AND(Exposures!$D29&lt;&gt;"",COUNTA(Exposures!$AE29:$AL29)&gt;0),Exposures!$D29&amp;"/STOP","")</f>
        <v/>
      </c>
      <c r="C101" s="20" t="str">
        <f t="shared" si="25"/>
        <v/>
      </c>
      <c r="D101" s="20" t="str">
        <f>IF(B101="","",Exposures!$A29&amp;"")</f>
        <v/>
      </c>
      <c r="E101" s="20" t="str">
        <f>IF(B101="","",Exposures!$B29&amp;"")</f>
        <v/>
      </c>
      <c r="F101" s="20" t="str">
        <f t="shared" si="15"/>
        <v/>
      </c>
      <c r="G101" s="20" t="str">
        <f>IF(B101="","",Exposures!$D29&amp;"")</f>
        <v/>
      </c>
      <c r="H101" s="20" t="str">
        <f>IF(B101="","",Exposures!$AE29&amp;"")</f>
        <v/>
      </c>
      <c r="I101" s="20" t="str">
        <f>IF(B101="","",Exposures!$AH29&amp;"")</f>
        <v/>
      </c>
      <c r="J101" s="20" t="str">
        <f>IF(B101="","",Exposures!$AN29&amp;"")</f>
        <v/>
      </c>
      <c r="K101" s="20">
        <f>IF(B101="",0,Exposures!$AO29)</f>
        <v>0</v>
      </c>
      <c r="L101" s="20">
        <f>IF(B101="",0,Exposures!$AP29)</f>
        <v>0</v>
      </c>
      <c r="M101" s="20" t="str">
        <f>IF(B101="","",Exposures!$AS29)</f>
        <v/>
      </c>
      <c r="N101" s="20" t="str">
        <f>IF(B101="","",Exposures!$AT29)</f>
        <v/>
      </c>
      <c r="O101" s="27" t="str">
        <f>IF(B101="","",Exposures!$AQ29)</f>
        <v/>
      </c>
      <c r="P101" s="27" t="str">
        <f>IF(B101="","",Exposures!$AR29)</f>
        <v/>
      </c>
      <c r="Q101" s="20" t="str">
        <f t="shared" si="16"/>
        <v/>
      </c>
      <c r="R101" s="20" t="str">
        <f>IF(A101="","",IF(J101&lt;&gt;"",J101,IF(H101="TIMESTAMP",DAY(INT(M101/1440))&amp;" "&amp;INDEX(nLIST_Months,MONTH(INT(M101/1440)))&amp;" "&amp;YEAR(INT(M101/1440))&amp;" "&amp;RIGHT("0"&amp;INT(MOD(M101,1440)/60),2)&amp;":"&amp;RIGHT("0"&amp;MOD(M101,60),2)&amp;IF(L101=1," (UTC"&amp;I101&amp;")"," (offset unknown)"),IF(H101="DATE",DAY(O101)&amp;" "&amp;INDEX(nLIST_Months,MONTH(O101))&amp;" "&amp;YEAR(O101),IF(H101="MONTH",INDEX(nLIST_Months,MONTH(O101))&amp;" "&amp;YEAR(O101)&amp;" ("&amp;DAY(O101)&amp;" "&amp;INDEX(nLIST_Months,MONTH(O101))&amp;" "&amp;YEAR(O101)&amp;" to "&amp;DAY(P101)&amp;" "&amp;INDEX(nLIST_Months,MONTH(P101))&amp;" "&amp;YEAR(P101)&amp;")",IF(H101="YEAR",YEAR(O101)&amp;" (1 January to 31 December)",DAY(O101)&amp;" "&amp;INDEX(nLIST_Months,MONTH(O101))&amp;" "&amp;YEAR(O101)&amp;" to "&amp;DAY(P101)&amp;" "&amp;INDEX(nLIST_Months,MONTH(P101))&amp;" "&amp;YEAR(P101)&amp;IF(H101="LAB"," (laboratory-defined)","")))))))</f>
        <v/>
      </c>
      <c r="S101" s="20" t="str">
        <f>IF(B101="","",Exposures!$AD29&amp;"")</f>
        <v/>
      </c>
      <c r="T101" s="20" t="str">
        <f>IF(B101="","",Exposures!$AM29&amp;"")</f>
        <v/>
      </c>
      <c r="U101" s="20" t="str">
        <f>IF(B101="","","Exposures row "&amp;ROW(Exposures!$A29)&amp;", Stop")</f>
        <v/>
      </c>
      <c r="V101" s="20">
        <f>IF(A101="",0,COUNTIF(nTP_Key,A101))</f>
        <v>0</v>
      </c>
      <c r="W101" s="20">
        <f t="shared" si="17"/>
        <v>0</v>
      </c>
      <c r="X101" s="20">
        <f t="shared" si="18"/>
        <v>0</v>
      </c>
      <c r="Y101" s="20">
        <f t="shared" si="19"/>
        <v>0</v>
      </c>
      <c r="Z101" s="20">
        <f t="shared" si="20"/>
        <v>0</v>
      </c>
      <c r="AA101" s="20">
        <f t="shared" si="21"/>
        <v>97</v>
      </c>
      <c r="AB101" s="20" t="str">
        <f>""</f>
        <v/>
      </c>
      <c r="AC101" s="20" t="str">
        <f>IF(B101="","",Exposures!$F29&amp;"")</f>
        <v/>
      </c>
      <c r="AD101" s="20" t="str">
        <f>IF(B101="","",Exposures!$E29&amp;": Stop")</f>
        <v/>
      </c>
      <c r="AE101" s="20">
        <f t="shared" si="22"/>
        <v>0</v>
      </c>
      <c r="AF101" s="20" t="str">
        <f t="shared" si="23"/>
        <v/>
      </c>
      <c r="AG101" s="20">
        <f t="shared" si="24"/>
        <v>0</v>
      </c>
      <c r="AH101" s="20" t="str">
        <f>""</f>
        <v/>
      </c>
    </row>
    <row r="102" spans="1:34" x14ac:dyDescent="0.2">
      <c r="A102" s="20" t="str">
        <f t="shared" si="13"/>
        <v/>
      </c>
      <c r="B102" s="20" t="str">
        <f>IF(AND(Exposures!$D30&lt;&gt;"",COUNTA(Exposures!$AE30:$AL30)&gt;0),Exposures!$D30&amp;"/STOP","")</f>
        <v/>
      </c>
      <c r="C102" s="20" t="str">
        <f t="shared" si="25"/>
        <v/>
      </c>
      <c r="D102" s="20" t="str">
        <f>IF(B102="","",Exposures!$A30&amp;"")</f>
        <v/>
      </c>
      <c r="E102" s="20" t="str">
        <f>IF(B102="","",Exposures!$B30&amp;"")</f>
        <v/>
      </c>
      <c r="F102" s="20" t="str">
        <f t="shared" si="15"/>
        <v/>
      </c>
      <c r="G102" s="20" t="str">
        <f>IF(B102="","",Exposures!$D30&amp;"")</f>
        <v/>
      </c>
      <c r="H102" s="20" t="str">
        <f>IF(B102="","",Exposures!$AE30&amp;"")</f>
        <v/>
      </c>
      <c r="I102" s="20" t="str">
        <f>IF(B102="","",Exposures!$AH30&amp;"")</f>
        <v/>
      </c>
      <c r="J102" s="20" t="str">
        <f>IF(B102="","",Exposures!$AN30&amp;"")</f>
        <v/>
      </c>
      <c r="K102" s="20">
        <f>IF(B102="",0,Exposures!$AO30)</f>
        <v>0</v>
      </c>
      <c r="L102" s="20">
        <f>IF(B102="",0,Exposures!$AP30)</f>
        <v>0</v>
      </c>
      <c r="M102" s="20" t="str">
        <f>IF(B102="","",Exposures!$AS30)</f>
        <v/>
      </c>
      <c r="N102" s="20" t="str">
        <f>IF(B102="","",Exposures!$AT30)</f>
        <v/>
      </c>
      <c r="O102" s="27" t="str">
        <f>IF(B102="","",Exposures!$AQ30)</f>
        <v/>
      </c>
      <c r="P102" s="27" t="str">
        <f>IF(B102="","",Exposures!$AR30)</f>
        <v/>
      </c>
      <c r="Q102" s="20" t="str">
        <f t="shared" si="16"/>
        <v/>
      </c>
      <c r="R102" s="20" t="str">
        <f>IF(A102="","",IF(J102&lt;&gt;"",J102,IF(H102="TIMESTAMP",DAY(INT(M102/1440))&amp;" "&amp;INDEX(nLIST_Months,MONTH(INT(M102/1440)))&amp;" "&amp;YEAR(INT(M102/1440))&amp;" "&amp;RIGHT("0"&amp;INT(MOD(M102,1440)/60),2)&amp;":"&amp;RIGHT("0"&amp;MOD(M102,60),2)&amp;IF(L102=1," (UTC"&amp;I102&amp;")"," (offset unknown)"),IF(H102="DATE",DAY(O102)&amp;" "&amp;INDEX(nLIST_Months,MONTH(O102))&amp;" "&amp;YEAR(O102),IF(H102="MONTH",INDEX(nLIST_Months,MONTH(O102))&amp;" "&amp;YEAR(O102)&amp;" ("&amp;DAY(O102)&amp;" "&amp;INDEX(nLIST_Months,MONTH(O102))&amp;" "&amp;YEAR(O102)&amp;" to "&amp;DAY(P102)&amp;" "&amp;INDEX(nLIST_Months,MONTH(P102))&amp;" "&amp;YEAR(P102)&amp;")",IF(H102="YEAR",YEAR(O102)&amp;" (1 January to 31 December)",DAY(O102)&amp;" "&amp;INDEX(nLIST_Months,MONTH(O102))&amp;" "&amp;YEAR(O102)&amp;" to "&amp;DAY(P102)&amp;" "&amp;INDEX(nLIST_Months,MONTH(P102))&amp;" "&amp;YEAR(P102)&amp;IF(H102="LAB"," (laboratory-defined)","")))))))</f>
        <v/>
      </c>
      <c r="S102" s="20" t="str">
        <f>IF(B102="","",Exposures!$AD30&amp;"")</f>
        <v/>
      </c>
      <c r="T102" s="20" t="str">
        <f>IF(B102="","",Exposures!$AM30&amp;"")</f>
        <v/>
      </c>
      <c r="U102" s="20" t="str">
        <f>IF(B102="","","Exposures row "&amp;ROW(Exposures!$A30)&amp;", Stop")</f>
        <v/>
      </c>
      <c r="V102" s="20">
        <f>IF(A102="",0,COUNTIF(nTP_Key,A102))</f>
        <v>0</v>
      </c>
      <c r="W102" s="20">
        <f t="shared" si="17"/>
        <v>0</v>
      </c>
      <c r="X102" s="20">
        <f t="shared" si="18"/>
        <v>0</v>
      </c>
      <c r="Y102" s="20">
        <f t="shared" si="19"/>
        <v>0</v>
      </c>
      <c r="Z102" s="20">
        <f t="shared" si="20"/>
        <v>0</v>
      </c>
      <c r="AA102" s="20">
        <f t="shared" si="21"/>
        <v>98</v>
      </c>
      <c r="AB102" s="20" t="str">
        <f>""</f>
        <v/>
      </c>
      <c r="AC102" s="20" t="str">
        <f>IF(B102="","",Exposures!$F30&amp;"")</f>
        <v/>
      </c>
      <c r="AD102" s="20" t="str">
        <f>IF(B102="","",Exposures!$E30&amp;": Stop")</f>
        <v/>
      </c>
      <c r="AE102" s="20">
        <f t="shared" si="22"/>
        <v>0</v>
      </c>
      <c r="AF102" s="20" t="str">
        <f t="shared" si="23"/>
        <v/>
      </c>
      <c r="AG102" s="20">
        <f t="shared" si="24"/>
        <v>0</v>
      </c>
      <c r="AH102" s="20" t="str">
        <f>""</f>
        <v/>
      </c>
    </row>
    <row r="103" spans="1:34" x14ac:dyDescent="0.2">
      <c r="A103" s="20" t="str">
        <f t="shared" si="13"/>
        <v/>
      </c>
      <c r="B103" s="20" t="str">
        <f>IF(AND(Exposures!$D31&lt;&gt;"",COUNTA(Exposures!$AE31:$AL31)&gt;0),Exposures!$D31&amp;"/STOP","")</f>
        <v/>
      </c>
      <c r="C103" s="20" t="str">
        <f t="shared" si="25"/>
        <v/>
      </c>
      <c r="D103" s="20" t="str">
        <f>IF(B103="","",Exposures!$A31&amp;"")</f>
        <v/>
      </c>
      <c r="E103" s="20" t="str">
        <f>IF(B103="","",Exposures!$B31&amp;"")</f>
        <v/>
      </c>
      <c r="F103" s="20" t="str">
        <f t="shared" si="15"/>
        <v/>
      </c>
      <c r="G103" s="20" t="str">
        <f>IF(B103="","",Exposures!$D31&amp;"")</f>
        <v/>
      </c>
      <c r="H103" s="20" t="str">
        <f>IF(B103="","",Exposures!$AE31&amp;"")</f>
        <v/>
      </c>
      <c r="I103" s="20" t="str">
        <f>IF(B103="","",Exposures!$AH31&amp;"")</f>
        <v/>
      </c>
      <c r="J103" s="20" t="str">
        <f>IF(B103="","",Exposures!$AN31&amp;"")</f>
        <v/>
      </c>
      <c r="K103" s="20">
        <f>IF(B103="",0,Exposures!$AO31)</f>
        <v>0</v>
      </c>
      <c r="L103" s="20">
        <f>IF(B103="",0,Exposures!$AP31)</f>
        <v>0</v>
      </c>
      <c r="M103" s="20" t="str">
        <f>IF(B103="","",Exposures!$AS31)</f>
        <v/>
      </c>
      <c r="N103" s="20" t="str">
        <f>IF(B103="","",Exposures!$AT31)</f>
        <v/>
      </c>
      <c r="O103" s="27" t="str">
        <f>IF(B103="","",Exposures!$AQ31)</f>
        <v/>
      </c>
      <c r="P103" s="27" t="str">
        <f>IF(B103="","",Exposures!$AR31)</f>
        <v/>
      </c>
      <c r="Q103" s="20" t="str">
        <f t="shared" si="16"/>
        <v/>
      </c>
      <c r="R103" s="20" t="str">
        <f>IF(A103="","",IF(J103&lt;&gt;"",J103,IF(H103="TIMESTAMP",DAY(INT(M103/1440))&amp;" "&amp;INDEX(nLIST_Months,MONTH(INT(M103/1440)))&amp;" "&amp;YEAR(INT(M103/1440))&amp;" "&amp;RIGHT("0"&amp;INT(MOD(M103,1440)/60),2)&amp;":"&amp;RIGHT("0"&amp;MOD(M103,60),2)&amp;IF(L103=1," (UTC"&amp;I103&amp;")"," (offset unknown)"),IF(H103="DATE",DAY(O103)&amp;" "&amp;INDEX(nLIST_Months,MONTH(O103))&amp;" "&amp;YEAR(O103),IF(H103="MONTH",INDEX(nLIST_Months,MONTH(O103))&amp;" "&amp;YEAR(O103)&amp;" ("&amp;DAY(O103)&amp;" "&amp;INDEX(nLIST_Months,MONTH(O103))&amp;" "&amp;YEAR(O103)&amp;" to "&amp;DAY(P103)&amp;" "&amp;INDEX(nLIST_Months,MONTH(P103))&amp;" "&amp;YEAR(P103)&amp;")",IF(H103="YEAR",YEAR(O103)&amp;" (1 January to 31 December)",DAY(O103)&amp;" "&amp;INDEX(nLIST_Months,MONTH(O103))&amp;" "&amp;YEAR(O103)&amp;" to "&amp;DAY(P103)&amp;" "&amp;INDEX(nLIST_Months,MONTH(P103))&amp;" "&amp;YEAR(P103)&amp;IF(H103="LAB"," (laboratory-defined)","")))))))</f>
        <v/>
      </c>
      <c r="S103" s="20" t="str">
        <f>IF(B103="","",Exposures!$AD31&amp;"")</f>
        <v/>
      </c>
      <c r="T103" s="20" t="str">
        <f>IF(B103="","",Exposures!$AM31&amp;"")</f>
        <v/>
      </c>
      <c r="U103" s="20" t="str">
        <f>IF(B103="","","Exposures row "&amp;ROW(Exposures!$A31)&amp;", Stop")</f>
        <v/>
      </c>
      <c r="V103" s="20">
        <f>IF(A103="",0,COUNTIF(nTP_Key,A103))</f>
        <v>0</v>
      </c>
      <c r="W103" s="20">
        <f t="shared" si="17"/>
        <v>0</v>
      </c>
      <c r="X103" s="20">
        <f t="shared" si="18"/>
        <v>0</v>
      </c>
      <c r="Y103" s="20">
        <f t="shared" si="19"/>
        <v>0</v>
      </c>
      <c r="Z103" s="20">
        <f t="shared" si="20"/>
        <v>0</v>
      </c>
      <c r="AA103" s="20">
        <f t="shared" si="21"/>
        <v>99</v>
      </c>
      <c r="AB103" s="20" t="str">
        <f>""</f>
        <v/>
      </c>
      <c r="AC103" s="20" t="str">
        <f>IF(B103="","",Exposures!$F31&amp;"")</f>
        <v/>
      </c>
      <c r="AD103" s="20" t="str">
        <f>IF(B103="","",Exposures!$E31&amp;": Stop")</f>
        <v/>
      </c>
      <c r="AE103" s="20">
        <f t="shared" si="22"/>
        <v>0</v>
      </c>
      <c r="AF103" s="20" t="str">
        <f t="shared" si="23"/>
        <v/>
      </c>
      <c r="AG103" s="20">
        <f t="shared" si="24"/>
        <v>0</v>
      </c>
      <c r="AH103" s="20" t="str">
        <f>""</f>
        <v/>
      </c>
    </row>
    <row r="104" spans="1:34" x14ac:dyDescent="0.2">
      <c r="A104" s="20" t="str">
        <f t="shared" si="13"/>
        <v/>
      </c>
      <c r="B104" s="20" t="str">
        <f>IF(AND(Exposures!$D32&lt;&gt;"",COUNTA(Exposures!$AE32:$AL32)&gt;0),Exposures!$D32&amp;"/STOP","")</f>
        <v/>
      </c>
      <c r="C104" s="20" t="str">
        <f t="shared" si="25"/>
        <v/>
      </c>
      <c r="D104" s="20" t="str">
        <f>IF(B104="","",Exposures!$A32&amp;"")</f>
        <v/>
      </c>
      <c r="E104" s="20" t="str">
        <f>IF(B104="","",Exposures!$B32&amp;"")</f>
        <v/>
      </c>
      <c r="F104" s="20" t="str">
        <f t="shared" si="15"/>
        <v/>
      </c>
      <c r="G104" s="20" t="str">
        <f>IF(B104="","",Exposures!$D32&amp;"")</f>
        <v/>
      </c>
      <c r="H104" s="20" t="str">
        <f>IF(B104="","",Exposures!$AE32&amp;"")</f>
        <v/>
      </c>
      <c r="I104" s="20" t="str">
        <f>IF(B104="","",Exposures!$AH32&amp;"")</f>
        <v/>
      </c>
      <c r="J104" s="20" t="str">
        <f>IF(B104="","",Exposures!$AN32&amp;"")</f>
        <v/>
      </c>
      <c r="K104" s="20">
        <f>IF(B104="",0,Exposures!$AO32)</f>
        <v>0</v>
      </c>
      <c r="L104" s="20">
        <f>IF(B104="",0,Exposures!$AP32)</f>
        <v>0</v>
      </c>
      <c r="M104" s="20" t="str">
        <f>IF(B104="","",Exposures!$AS32)</f>
        <v/>
      </c>
      <c r="N104" s="20" t="str">
        <f>IF(B104="","",Exposures!$AT32)</f>
        <v/>
      </c>
      <c r="O104" s="27" t="str">
        <f>IF(B104="","",Exposures!$AQ32)</f>
        <v/>
      </c>
      <c r="P104" s="27" t="str">
        <f>IF(B104="","",Exposures!$AR32)</f>
        <v/>
      </c>
      <c r="Q104" s="20" t="str">
        <f t="shared" si="16"/>
        <v/>
      </c>
      <c r="R104" s="20" t="str">
        <f>IF(A104="","",IF(J104&lt;&gt;"",J104,IF(H104="TIMESTAMP",DAY(INT(M104/1440))&amp;" "&amp;INDEX(nLIST_Months,MONTH(INT(M104/1440)))&amp;" "&amp;YEAR(INT(M104/1440))&amp;" "&amp;RIGHT("0"&amp;INT(MOD(M104,1440)/60),2)&amp;":"&amp;RIGHT("0"&amp;MOD(M104,60),2)&amp;IF(L104=1," (UTC"&amp;I104&amp;")"," (offset unknown)"),IF(H104="DATE",DAY(O104)&amp;" "&amp;INDEX(nLIST_Months,MONTH(O104))&amp;" "&amp;YEAR(O104),IF(H104="MONTH",INDEX(nLIST_Months,MONTH(O104))&amp;" "&amp;YEAR(O104)&amp;" ("&amp;DAY(O104)&amp;" "&amp;INDEX(nLIST_Months,MONTH(O104))&amp;" "&amp;YEAR(O104)&amp;" to "&amp;DAY(P104)&amp;" "&amp;INDEX(nLIST_Months,MONTH(P104))&amp;" "&amp;YEAR(P104)&amp;")",IF(H104="YEAR",YEAR(O104)&amp;" (1 January to 31 December)",DAY(O104)&amp;" "&amp;INDEX(nLIST_Months,MONTH(O104))&amp;" "&amp;YEAR(O104)&amp;" to "&amp;DAY(P104)&amp;" "&amp;INDEX(nLIST_Months,MONTH(P104))&amp;" "&amp;YEAR(P104)&amp;IF(H104="LAB"," (laboratory-defined)","")))))))</f>
        <v/>
      </c>
      <c r="S104" s="20" t="str">
        <f>IF(B104="","",Exposures!$AD32&amp;"")</f>
        <v/>
      </c>
      <c r="T104" s="20" t="str">
        <f>IF(B104="","",Exposures!$AM32&amp;"")</f>
        <v/>
      </c>
      <c r="U104" s="20" t="str">
        <f>IF(B104="","","Exposures row "&amp;ROW(Exposures!$A32)&amp;", Stop")</f>
        <v/>
      </c>
      <c r="V104" s="20">
        <f>IF(A104="",0,COUNTIF(nTP_Key,A104))</f>
        <v>0</v>
      </c>
      <c r="W104" s="20">
        <f t="shared" si="17"/>
        <v>0</v>
      </c>
      <c r="X104" s="20">
        <f t="shared" si="18"/>
        <v>0</v>
      </c>
      <c r="Y104" s="20">
        <f t="shared" si="19"/>
        <v>0</v>
      </c>
      <c r="Z104" s="20">
        <f t="shared" si="20"/>
        <v>0</v>
      </c>
      <c r="AA104" s="20">
        <f t="shared" si="21"/>
        <v>100</v>
      </c>
      <c r="AB104" s="20" t="str">
        <f>""</f>
        <v/>
      </c>
      <c r="AC104" s="20" t="str">
        <f>IF(B104="","",Exposures!$F32&amp;"")</f>
        <v/>
      </c>
      <c r="AD104" s="20" t="str">
        <f>IF(B104="","",Exposures!$E32&amp;": Stop")</f>
        <v/>
      </c>
      <c r="AE104" s="20">
        <f t="shared" si="22"/>
        <v>0</v>
      </c>
      <c r="AF104" s="20" t="str">
        <f t="shared" si="23"/>
        <v/>
      </c>
      <c r="AG104" s="20">
        <f t="shared" si="24"/>
        <v>0</v>
      </c>
      <c r="AH104" s="20" t="str">
        <f>""</f>
        <v/>
      </c>
    </row>
    <row r="105" spans="1:34" x14ac:dyDescent="0.2">
      <c r="A105" s="20" t="str">
        <f t="shared" si="13"/>
        <v/>
      </c>
      <c r="B105" s="20" t="str">
        <f>IF(AND(Exposures!$D33&lt;&gt;"",COUNTA(Exposures!$AE33:$AL33)&gt;0),Exposures!$D33&amp;"/STOP","")</f>
        <v/>
      </c>
      <c r="C105" s="20" t="str">
        <f t="shared" si="25"/>
        <v/>
      </c>
      <c r="D105" s="20" t="str">
        <f>IF(B105="","",Exposures!$A33&amp;"")</f>
        <v/>
      </c>
      <c r="E105" s="20" t="str">
        <f>IF(B105="","",Exposures!$B33&amp;"")</f>
        <v/>
      </c>
      <c r="F105" s="20" t="str">
        <f t="shared" si="15"/>
        <v/>
      </c>
      <c r="G105" s="20" t="str">
        <f>IF(B105="","",Exposures!$D33&amp;"")</f>
        <v/>
      </c>
      <c r="H105" s="20" t="str">
        <f>IF(B105="","",Exposures!$AE33&amp;"")</f>
        <v/>
      </c>
      <c r="I105" s="20" t="str">
        <f>IF(B105="","",Exposures!$AH33&amp;"")</f>
        <v/>
      </c>
      <c r="J105" s="20" t="str">
        <f>IF(B105="","",Exposures!$AN33&amp;"")</f>
        <v/>
      </c>
      <c r="K105" s="20">
        <f>IF(B105="",0,Exposures!$AO33)</f>
        <v>0</v>
      </c>
      <c r="L105" s="20">
        <f>IF(B105="",0,Exposures!$AP33)</f>
        <v>0</v>
      </c>
      <c r="M105" s="20" t="str">
        <f>IF(B105="","",Exposures!$AS33)</f>
        <v/>
      </c>
      <c r="N105" s="20" t="str">
        <f>IF(B105="","",Exposures!$AT33)</f>
        <v/>
      </c>
      <c r="O105" s="27" t="str">
        <f>IF(B105="","",Exposures!$AQ33)</f>
        <v/>
      </c>
      <c r="P105" s="27" t="str">
        <f>IF(B105="","",Exposures!$AR33)</f>
        <v/>
      </c>
      <c r="Q105" s="20" t="str">
        <f t="shared" si="16"/>
        <v/>
      </c>
      <c r="R105" s="20" t="str">
        <f>IF(A105="","",IF(J105&lt;&gt;"",J105,IF(H105="TIMESTAMP",DAY(INT(M105/1440))&amp;" "&amp;INDEX(nLIST_Months,MONTH(INT(M105/1440)))&amp;" "&amp;YEAR(INT(M105/1440))&amp;" "&amp;RIGHT("0"&amp;INT(MOD(M105,1440)/60),2)&amp;":"&amp;RIGHT("0"&amp;MOD(M105,60),2)&amp;IF(L105=1," (UTC"&amp;I105&amp;")"," (offset unknown)"),IF(H105="DATE",DAY(O105)&amp;" "&amp;INDEX(nLIST_Months,MONTH(O105))&amp;" "&amp;YEAR(O105),IF(H105="MONTH",INDEX(nLIST_Months,MONTH(O105))&amp;" "&amp;YEAR(O105)&amp;" ("&amp;DAY(O105)&amp;" "&amp;INDEX(nLIST_Months,MONTH(O105))&amp;" "&amp;YEAR(O105)&amp;" to "&amp;DAY(P105)&amp;" "&amp;INDEX(nLIST_Months,MONTH(P105))&amp;" "&amp;YEAR(P105)&amp;")",IF(H105="YEAR",YEAR(O105)&amp;" (1 January to 31 December)",DAY(O105)&amp;" "&amp;INDEX(nLIST_Months,MONTH(O105))&amp;" "&amp;YEAR(O105)&amp;" to "&amp;DAY(P105)&amp;" "&amp;INDEX(nLIST_Months,MONTH(P105))&amp;" "&amp;YEAR(P105)&amp;IF(H105="LAB"," (laboratory-defined)","")))))))</f>
        <v/>
      </c>
      <c r="S105" s="20" t="str">
        <f>IF(B105="","",Exposures!$AD33&amp;"")</f>
        <v/>
      </c>
      <c r="T105" s="20" t="str">
        <f>IF(B105="","",Exposures!$AM33&amp;"")</f>
        <v/>
      </c>
      <c r="U105" s="20" t="str">
        <f>IF(B105="","","Exposures row "&amp;ROW(Exposures!$A33)&amp;", Stop")</f>
        <v/>
      </c>
      <c r="V105" s="20">
        <f>IF(A105="",0,COUNTIF(nTP_Key,A105))</f>
        <v>0</v>
      </c>
      <c r="W105" s="20">
        <f t="shared" si="17"/>
        <v>0</v>
      </c>
      <c r="X105" s="20">
        <f t="shared" si="18"/>
        <v>0</v>
      </c>
      <c r="Y105" s="20">
        <f t="shared" si="19"/>
        <v>0</v>
      </c>
      <c r="Z105" s="20">
        <f t="shared" si="20"/>
        <v>0</v>
      </c>
      <c r="AA105" s="20">
        <f t="shared" si="21"/>
        <v>101</v>
      </c>
      <c r="AB105" s="20" t="str">
        <f>""</f>
        <v/>
      </c>
      <c r="AC105" s="20" t="str">
        <f>IF(B105="","",Exposures!$F33&amp;"")</f>
        <v/>
      </c>
      <c r="AD105" s="20" t="str">
        <f>IF(B105="","",Exposures!$E33&amp;": Stop")</f>
        <v/>
      </c>
      <c r="AE105" s="20">
        <f t="shared" si="22"/>
        <v>0</v>
      </c>
      <c r="AF105" s="20" t="str">
        <f t="shared" si="23"/>
        <v/>
      </c>
      <c r="AG105" s="20">
        <f t="shared" si="24"/>
        <v>0</v>
      </c>
      <c r="AH105" s="20" t="str">
        <f>""</f>
        <v/>
      </c>
    </row>
    <row r="106" spans="1:34" x14ac:dyDescent="0.2">
      <c r="A106" s="20" t="str">
        <f t="shared" si="13"/>
        <v/>
      </c>
      <c r="B106" s="20" t="str">
        <f>IF(AND(Exposures!$D34&lt;&gt;"",COUNTA(Exposures!$AE34:$AL34)&gt;0),Exposures!$D34&amp;"/STOP","")</f>
        <v/>
      </c>
      <c r="C106" s="20" t="str">
        <f t="shared" si="25"/>
        <v/>
      </c>
      <c r="D106" s="20" t="str">
        <f>IF(B106="","",Exposures!$A34&amp;"")</f>
        <v/>
      </c>
      <c r="E106" s="20" t="str">
        <f>IF(B106="","",Exposures!$B34&amp;"")</f>
        <v/>
      </c>
      <c r="F106" s="20" t="str">
        <f t="shared" si="15"/>
        <v/>
      </c>
      <c r="G106" s="20" t="str">
        <f>IF(B106="","",Exposures!$D34&amp;"")</f>
        <v/>
      </c>
      <c r="H106" s="20" t="str">
        <f>IF(B106="","",Exposures!$AE34&amp;"")</f>
        <v/>
      </c>
      <c r="I106" s="20" t="str">
        <f>IF(B106="","",Exposures!$AH34&amp;"")</f>
        <v/>
      </c>
      <c r="J106" s="20" t="str">
        <f>IF(B106="","",Exposures!$AN34&amp;"")</f>
        <v/>
      </c>
      <c r="K106" s="20">
        <f>IF(B106="",0,Exposures!$AO34)</f>
        <v>0</v>
      </c>
      <c r="L106" s="20">
        <f>IF(B106="",0,Exposures!$AP34)</f>
        <v>0</v>
      </c>
      <c r="M106" s="20" t="str">
        <f>IF(B106="","",Exposures!$AS34)</f>
        <v/>
      </c>
      <c r="N106" s="20" t="str">
        <f>IF(B106="","",Exposures!$AT34)</f>
        <v/>
      </c>
      <c r="O106" s="27" t="str">
        <f>IF(B106="","",Exposures!$AQ34)</f>
        <v/>
      </c>
      <c r="P106" s="27" t="str">
        <f>IF(B106="","",Exposures!$AR34)</f>
        <v/>
      </c>
      <c r="Q106" s="20" t="str">
        <f t="shared" si="16"/>
        <v/>
      </c>
      <c r="R106" s="20" t="str">
        <f>IF(A106="","",IF(J106&lt;&gt;"",J106,IF(H106="TIMESTAMP",DAY(INT(M106/1440))&amp;" "&amp;INDEX(nLIST_Months,MONTH(INT(M106/1440)))&amp;" "&amp;YEAR(INT(M106/1440))&amp;" "&amp;RIGHT("0"&amp;INT(MOD(M106,1440)/60),2)&amp;":"&amp;RIGHT("0"&amp;MOD(M106,60),2)&amp;IF(L106=1," (UTC"&amp;I106&amp;")"," (offset unknown)"),IF(H106="DATE",DAY(O106)&amp;" "&amp;INDEX(nLIST_Months,MONTH(O106))&amp;" "&amp;YEAR(O106),IF(H106="MONTH",INDEX(nLIST_Months,MONTH(O106))&amp;" "&amp;YEAR(O106)&amp;" ("&amp;DAY(O106)&amp;" "&amp;INDEX(nLIST_Months,MONTH(O106))&amp;" "&amp;YEAR(O106)&amp;" to "&amp;DAY(P106)&amp;" "&amp;INDEX(nLIST_Months,MONTH(P106))&amp;" "&amp;YEAR(P106)&amp;")",IF(H106="YEAR",YEAR(O106)&amp;" (1 January to 31 December)",DAY(O106)&amp;" "&amp;INDEX(nLIST_Months,MONTH(O106))&amp;" "&amp;YEAR(O106)&amp;" to "&amp;DAY(P106)&amp;" "&amp;INDEX(nLIST_Months,MONTH(P106))&amp;" "&amp;YEAR(P106)&amp;IF(H106="LAB"," (laboratory-defined)","")))))))</f>
        <v/>
      </c>
      <c r="S106" s="20" t="str">
        <f>IF(B106="","",Exposures!$AD34&amp;"")</f>
        <v/>
      </c>
      <c r="T106" s="20" t="str">
        <f>IF(B106="","",Exposures!$AM34&amp;"")</f>
        <v/>
      </c>
      <c r="U106" s="20" t="str">
        <f>IF(B106="","","Exposures row "&amp;ROW(Exposures!$A34)&amp;", Stop")</f>
        <v/>
      </c>
      <c r="V106" s="20">
        <f>IF(A106="",0,COUNTIF(nTP_Key,A106))</f>
        <v>0</v>
      </c>
      <c r="W106" s="20">
        <f t="shared" si="17"/>
        <v>0</v>
      </c>
      <c r="X106" s="20">
        <f t="shared" si="18"/>
        <v>0</v>
      </c>
      <c r="Y106" s="20">
        <f t="shared" si="19"/>
        <v>0</v>
      </c>
      <c r="Z106" s="20">
        <f t="shared" si="20"/>
        <v>0</v>
      </c>
      <c r="AA106" s="20">
        <f t="shared" si="21"/>
        <v>102</v>
      </c>
      <c r="AB106" s="20" t="str">
        <f>""</f>
        <v/>
      </c>
      <c r="AC106" s="20" t="str">
        <f>IF(B106="","",Exposures!$F34&amp;"")</f>
        <v/>
      </c>
      <c r="AD106" s="20" t="str">
        <f>IF(B106="","",Exposures!$E34&amp;": Stop")</f>
        <v/>
      </c>
      <c r="AE106" s="20">
        <f t="shared" si="22"/>
        <v>0</v>
      </c>
      <c r="AF106" s="20" t="str">
        <f t="shared" si="23"/>
        <v/>
      </c>
      <c r="AG106" s="20">
        <f t="shared" si="24"/>
        <v>0</v>
      </c>
      <c r="AH106" s="20" t="str">
        <f>""</f>
        <v/>
      </c>
    </row>
    <row r="107" spans="1:34" x14ac:dyDescent="0.2">
      <c r="A107" s="20" t="str">
        <f t="shared" si="13"/>
        <v/>
      </c>
      <c r="B107" s="20" t="str">
        <f>IF(AND(Exposures!$D35&lt;&gt;"",COUNTA(Exposures!$AE35:$AL35)&gt;0),Exposures!$D35&amp;"/STOP","")</f>
        <v/>
      </c>
      <c r="C107" s="20" t="str">
        <f t="shared" si="25"/>
        <v/>
      </c>
      <c r="D107" s="20" t="str">
        <f>IF(B107="","",Exposures!$A35&amp;"")</f>
        <v/>
      </c>
      <c r="E107" s="20" t="str">
        <f>IF(B107="","",Exposures!$B35&amp;"")</f>
        <v/>
      </c>
      <c r="F107" s="20" t="str">
        <f t="shared" si="15"/>
        <v/>
      </c>
      <c r="G107" s="20" t="str">
        <f>IF(B107="","",Exposures!$D35&amp;"")</f>
        <v/>
      </c>
      <c r="H107" s="20" t="str">
        <f>IF(B107="","",Exposures!$AE35&amp;"")</f>
        <v/>
      </c>
      <c r="I107" s="20" t="str">
        <f>IF(B107="","",Exposures!$AH35&amp;"")</f>
        <v/>
      </c>
      <c r="J107" s="20" t="str">
        <f>IF(B107="","",Exposures!$AN35&amp;"")</f>
        <v/>
      </c>
      <c r="K107" s="20">
        <f>IF(B107="",0,Exposures!$AO35)</f>
        <v>0</v>
      </c>
      <c r="L107" s="20">
        <f>IF(B107="",0,Exposures!$AP35)</f>
        <v>0</v>
      </c>
      <c r="M107" s="20" t="str">
        <f>IF(B107="","",Exposures!$AS35)</f>
        <v/>
      </c>
      <c r="N107" s="20" t="str">
        <f>IF(B107="","",Exposures!$AT35)</f>
        <v/>
      </c>
      <c r="O107" s="27" t="str">
        <f>IF(B107="","",Exposures!$AQ35)</f>
        <v/>
      </c>
      <c r="P107" s="27" t="str">
        <f>IF(B107="","",Exposures!$AR35)</f>
        <v/>
      </c>
      <c r="Q107" s="20" t="str">
        <f t="shared" si="16"/>
        <v/>
      </c>
      <c r="R107" s="20" t="str">
        <f>IF(A107="","",IF(J107&lt;&gt;"",J107,IF(H107="TIMESTAMP",DAY(INT(M107/1440))&amp;" "&amp;INDEX(nLIST_Months,MONTH(INT(M107/1440)))&amp;" "&amp;YEAR(INT(M107/1440))&amp;" "&amp;RIGHT("0"&amp;INT(MOD(M107,1440)/60),2)&amp;":"&amp;RIGHT("0"&amp;MOD(M107,60),2)&amp;IF(L107=1," (UTC"&amp;I107&amp;")"," (offset unknown)"),IF(H107="DATE",DAY(O107)&amp;" "&amp;INDEX(nLIST_Months,MONTH(O107))&amp;" "&amp;YEAR(O107),IF(H107="MONTH",INDEX(nLIST_Months,MONTH(O107))&amp;" "&amp;YEAR(O107)&amp;" ("&amp;DAY(O107)&amp;" "&amp;INDEX(nLIST_Months,MONTH(O107))&amp;" "&amp;YEAR(O107)&amp;" to "&amp;DAY(P107)&amp;" "&amp;INDEX(nLIST_Months,MONTH(P107))&amp;" "&amp;YEAR(P107)&amp;")",IF(H107="YEAR",YEAR(O107)&amp;" (1 January to 31 December)",DAY(O107)&amp;" "&amp;INDEX(nLIST_Months,MONTH(O107))&amp;" "&amp;YEAR(O107)&amp;" to "&amp;DAY(P107)&amp;" "&amp;INDEX(nLIST_Months,MONTH(P107))&amp;" "&amp;YEAR(P107)&amp;IF(H107="LAB"," (laboratory-defined)","")))))))</f>
        <v/>
      </c>
      <c r="S107" s="20" t="str">
        <f>IF(B107="","",Exposures!$AD35&amp;"")</f>
        <v/>
      </c>
      <c r="T107" s="20" t="str">
        <f>IF(B107="","",Exposures!$AM35&amp;"")</f>
        <v/>
      </c>
      <c r="U107" s="20" t="str">
        <f>IF(B107="","","Exposures row "&amp;ROW(Exposures!$A35)&amp;", Stop")</f>
        <v/>
      </c>
      <c r="V107" s="20">
        <f>IF(A107="",0,COUNTIF(nTP_Key,A107))</f>
        <v>0</v>
      </c>
      <c r="W107" s="20">
        <f t="shared" si="17"/>
        <v>0</v>
      </c>
      <c r="X107" s="20">
        <f t="shared" si="18"/>
        <v>0</v>
      </c>
      <c r="Y107" s="20">
        <f t="shared" si="19"/>
        <v>0</v>
      </c>
      <c r="Z107" s="20">
        <f t="shared" si="20"/>
        <v>0</v>
      </c>
      <c r="AA107" s="20">
        <f t="shared" si="21"/>
        <v>103</v>
      </c>
      <c r="AB107" s="20" t="str">
        <f>""</f>
        <v/>
      </c>
      <c r="AC107" s="20" t="str">
        <f>IF(B107="","",Exposures!$F35&amp;"")</f>
        <v/>
      </c>
      <c r="AD107" s="20" t="str">
        <f>IF(B107="","",Exposures!$E35&amp;": Stop")</f>
        <v/>
      </c>
      <c r="AE107" s="20">
        <f t="shared" si="22"/>
        <v>0</v>
      </c>
      <c r="AF107" s="20" t="str">
        <f t="shared" si="23"/>
        <v/>
      </c>
      <c r="AG107" s="20">
        <f t="shared" si="24"/>
        <v>0</v>
      </c>
      <c r="AH107" s="20" t="str">
        <f>""</f>
        <v/>
      </c>
    </row>
    <row r="108" spans="1:34" x14ac:dyDescent="0.2">
      <c r="A108" s="20" t="str">
        <f t="shared" si="13"/>
        <v>EX-C01|2|EX-A/STOP</v>
      </c>
      <c r="B108" s="20" t="str">
        <f>IF(AND(Exposures!$D36&lt;&gt;"",COUNTA(Exposures!$AE36:$AL36)&gt;0),Exposures!$D36&amp;"/STOP","")</f>
        <v>EX-A/STOP</v>
      </c>
      <c r="C108" s="20" t="str">
        <f t="shared" si="25"/>
        <v>EXPOSURE_STOP</v>
      </c>
      <c r="D108" s="20" t="str">
        <f>IF(B108="","",Exposures!$A36&amp;"")</f>
        <v>EX-C01</v>
      </c>
      <c r="E108" s="20" t="str">
        <f>IF(B108="","",Exposures!$B36&amp;"")</f>
        <v>2</v>
      </c>
      <c r="F108" s="20" t="str">
        <f t="shared" si="15"/>
        <v>EX-C01|2</v>
      </c>
      <c r="G108" s="20" t="str">
        <f>IF(B108="","",Exposures!$D36&amp;"")</f>
        <v>EX-A</v>
      </c>
      <c r="H108" s="20" t="str">
        <f>IF(B108="","",Exposures!$AE36&amp;"")</f>
        <v>TIMESTAMP</v>
      </c>
      <c r="I108" s="20" t="str">
        <f>IF(B108="","",Exposures!$AH36&amp;"")</f>
        <v>-05:00</v>
      </c>
      <c r="J108" s="20" t="str">
        <f>IF(B108="","",Exposures!$AN36&amp;"")</f>
        <v/>
      </c>
      <c r="K108" s="20">
        <f>IF(B108="",0,Exposures!$AO36)</f>
        <v>1</v>
      </c>
      <c r="L108" s="20">
        <f>IF(B108="",0,Exposures!$AP36)</f>
        <v>1</v>
      </c>
      <c r="M108" s="20">
        <f>IF(B108="","",Exposures!$AS36)</f>
        <v>66286636</v>
      </c>
      <c r="N108" s="20">
        <f>IF(B108="","",Exposures!$AT36)</f>
        <v>66286936</v>
      </c>
      <c r="O108" s="27">
        <f>IF(B108="","",Exposures!$AQ36)</f>
        <v>46032</v>
      </c>
      <c r="P108" s="27">
        <f>IF(B108="","",Exposures!$AR36)</f>
        <v>46032</v>
      </c>
      <c r="Q108" s="20" t="str">
        <f t="shared" si="16"/>
        <v>2026-01-10T09:16-05:00</v>
      </c>
      <c r="R108" s="20" t="str">
        <f>IF(A108="","",IF(J108&lt;&gt;"",J108,IF(H108="TIMESTAMP",DAY(INT(M108/1440))&amp;" "&amp;INDEX(nLIST_Months,MONTH(INT(M108/1440)))&amp;" "&amp;YEAR(INT(M108/1440))&amp;" "&amp;RIGHT("0"&amp;INT(MOD(M108,1440)/60),2)&amp;":"&amp;RIGHT("0"&amp;MOD(M108,60),2)&amp;IF(L108=1," (UTC"&amp;I108&amp;")"," (offset unknown)"),IF(H108="DATE",DAY(O108)&amp;" "&amp;INDEX(nLIST_Months,MONTH(O108))&amp;" "&amp;YEAR(O108),IF(H108="MONTH",INDEX(nLIST_Months,MONTH(O108))&amp;" "&amp;YEAR(O108)&amp;" ("&amp;DAY(O108)&amp;" "&amp;INDEX(nLIST_Months,MONTH(O108))&amp;" "&amp;YEAR(O108)&amp;" to "&amp;DAY(P108)&amp;" "&amp;INDEX(nLIST_Months,MONTH(P108))&amp;" "&amp;YEAR(P108)&amp;")",IF(H108="YEAR",YEAR(O108)&amp;" (1 January to 31 December)",DAY(O108)&amp;" "&amp;INDEX(nLIST_Months,MONTH(O108))&amp;" "&amp;YEAR(O108)&amp;" to "&amp;DAY(P108)&amp;" "&amp;INDEX(nLIST_Months,MONTH(P108))&amp;" "&amp;YEAR(P108)&amp;IF(H108="LAB"," (laboratory-defined)","")))))))</f>
        <v>10 January 2026 09:16 (UTC-05:00)</v>
      </c>
      <c r="S108" s="20" t="str">
        <f>IF(B108="","",Exposures!$AD36&amp;"")</f>
        <v>09:16 infusion stopped, doctor called</v>
      </c>
      <c r="T108" s="20" t="str">
        <f>IF(B108="","",Exposures!$AM36&amp;"")</f>
        <v>Nursing chart</v>
      </c>
      <c r="U108" s="20" t="str">
        <f>IF(B108="","","Exposures row "&amp;ROW(Exposures!$A36)&amp;", Stop")</f>
        <v>Exposures row 36, Stop</v>
      </c>
      <c r="V108" s="20">
        <f>IF(A108="",0,COUNTIF(nTP_Key,A108))</f>
        <v>1</v>
      </c>
      <c r="W108" s="20">
        <f t="shared" si="17"/>
        <v>66286636</v>
      </c>
      <c r="X108" s="20">
        <f t="shared" si="18"/>
        <v>66286936</v>
      </c>
      <c r="Y108" s="20">
        <f t="shared" si="19"/>
        <v>46032</v>
      </c>
      <c r="Z108" s="20">
        <f t="shared" si="20"/>
        <v>46032</v>
      </c>
      <c r="AA108" s="20">
        <f t="shared" si="21"/>
        <v>104</v>
      </c>
      <c r="AB108" s="20" t="str">
        <f>""</f>
        <v/>
      </c>
      <c r="AC108" s="20" t="str">
        <f>IF(B108="","",Exposures!$F36&amp;"")</f>
        <v>suspect</v>
      </c>
      <c r="AD108" s="20" t="str">
        <f>IF(B108="","",Exposures!$E36&amp;": Stop")</f>
        <v>Drug A (placeholder): Stop</v>
      </c>
      <c r="AE108" s="20">
        <f t="shared" si="22"/>
        <v>0</v>
      </c>
      <c r="AF108" s="20" t="str">
        <f t="shared" si="23"/>
        <v/>
      </c>
      <c r="AG108" s="20">
        <f t="shared" si="24"/>
        <v>1</v>
      </c>
      <c r="AH108" s="20" t="str">
        <f>""</f>
        <v/>
      </c>
    </row>
    <row r="109" spans="1:34" x14ac:dyDescent="0.2">
      <c r="A109" s="20" t="str">
        <f t="shared" si="13"/>
        <v>EX-C01|2|EX-B/STOP</v>
      </c>
      <c r="B109" s="20" t="str">
        <f>IF(AND(Exposures!$D37&lt;&gt;"",COUNTA(Exposures!$AE37:$AL37)&gt;0),Exposures!$D37&amp;"/STOP","")</f>
        <v>EX-B/STOP</v>
      </c>
      <c r="C109" s="20" t="str">
        <f t="shared" ref="C109:C140" si="26">IF(B109="","","EXPOSURE_STOP")</f>
        <v>EXPOSURE_STOP</v>
      </c>
      <c r="D109" s="20" t="str">
        <f>IF(B109="","",Exposures!$A37&amp;"")</f>
        <v>EX-C01</v>
      </c>
      <c r="E109" s="20" t="str">
        <f>IF(B109="","",Exposures!$B37&amp;"")</f>
        <v>2</v>
      </c>
      <c r="F109" s="20" t="str">
        <f t="shared" si="15"/>
        <v>EX-C01|2</v>
      </c>
      <c r="G109" s="20" t="str">
        <f>IF(B109="","",Exposures!$D37&amp;"")</f>
        <v>EX-B</v>
      </c>
      <c r="H109" s="20" t="str">
        <f>IF(B109="","",Exposures!$AE37&amp;"")</f>
        <v>TIMESTAMP</v>
      </c>
      <c r="I109" s="20" t="str">
        <f>IF(B109="","",Exposures!$AH37&amp;"")</f>
        <v>-05:00</v>
      </c>
      <c r="J109" s="20" t="str">
        <f>IF(B109="","",Exposures!$AN37&amp;"")</f>
        <v/>
      </c>
      <c r="K109" s="20">
        <f>IF(B109="",0,Exposures!$AO37)</f>
        <v>1</v>
      </c>
      <c r="L109" s="20">
        <f>IF(B109="",0,Exposures!$AP37)</f>
        <v>1</v>
      </c>
      <c r="M109" s="20">
        <f>IF(B109="","",Exposures!$AS37)</f>
        <v>66286610</v>
      </c>
      <c r="N109" s="20">
        <f>IF(B109="","",Exposures!$AT37)</f>
        <v>66286910</v>
      </c>
      <c r="O109" s="27">
        <f>IF(B109="","",Exposures!$AQ37)</f>
        <v>46032</v>
      </c>
      <c r="P109" s="27">
        <f>IF(B109="","",Exposures!$AR37)</f>
        <v>46032</v>
      </c>
      <c r="Q109" s="20" t="str">
        <f t="shared" si="16"/>
        <v>2026-01-10T08:50-05:00</v>
      </c>
      <c r="R109" s="20" t="str">
        <f>IF(A109="","",IF(J109&lt;&gt;"",J109,IF(H109="TIMESTAMP",DAY(INT(M109/1440))&amp;" "&amp;INDEX(nLIST_Months,MONTH(INT(M109/1440)))&amp;" "&amp;YEAR(INT(M109/1440))&amp;" "&amp;RIGHT("0"&amp;INT(MOD(M109,1440)/60),2)&amp;":"&amp;RIGHT("0"&amp;MOD(M109,60),2)&amp;IF(L109=1," (UTC"&amp;I109&amp;")"," (offset unknown)"),IF(H109="DATE",DAY(O109)&amp;" "&amp;INDEX(nLIST_Months,MONTH(O109))&amp;" "&amp;YEAR(O109),IF(H109="MONTH",INDEX(nLIST_Months,MONTH(O109))&amp;" "&amp;YEAR(O109)&amp;" ("&amp;DAY(O109)&amp;" "&amp;INDEX(nLIST_Months,MONTH(O109))&amp;" "&amp;YEAR(O109)&amp;" to "&amp;DAY(P109)&amp;" "&amp;INDEX(nLIST_Months,MONTH(P109))&amp;" "&amp;YEAR(P109)&amp;")",IF(H109="YEAR",YEAR(O109)&amp;" (1 January to 31 December)",DAY(O109)&amp;" "&amp;INDEX(nLIST_Months,MONTH(O109))&amp;" "&amp;YEAR(O109)&amp;" to "&amp;DAY(P109)&amp;" "&amp;INDEX(nLIST_Months,MONTH(P109))&amp;" "&amp;YEAR(P109)&amp;IF(H109="LAB"," (laboratory-defined)","")))))))</f>
        <v>10 January 2026 08:50 (UTC-05:00)</v>
      </c>
      <c r="S109" s="20" t="str">
        <f>IF(B109="","",Exposures!$AD37&amp;"")</f>
        <v>Drug B infusion ended 08:50</v>
      </c>
      <c r="T109" s="20" t="str">
        <f>IF(B109="","",Exposures!$AM37&amp;"")</f>
        <v>Follow-up, version 2</v>
      </c>
      <c r="U109" s="20" t="str">
        <f>IF(B109="","","Exposures row "&amp;ROW(Exposures!$A37)&amp;", Stop")</f>
        <v>Exposures row 37, Stop</v>
      </c>
      <c r="V109" s="20">
        <f>IF(A109="",0,COUNTIF(nTP_Key,A109))</f>
        <v>1</v>
      </c>
      <c r="W109" s="20">
        <f t="shared" si="17"/>
        <v>66286610</v>
      </c>
      <c r="X109" s="20">
        <f t="shared" si="18"/>
        <v>66286910</v>
      </c>
      <c r="Y109" s="20">
        <f t="shared" si="19"/>
        <v>46032</v>
      </c>
      <c r="Z109" s="20">
        <f t="shared" si="20"/>
        <v>46032</v>
      </c>
      <c r="AA109" s="20">
        <f t="shared" si="21"/>
        <v>105</v>
      </c>
      <c r="AB109" s="20" t="str">
        <f>""</f>
        <v/>
      </c>
      <c r="AC109" s="20" t="str">
        <f>IF(B109="","",Exposures!$F37&amp;"")</f>
        <v>concomitant</v>
      </c>
      <c r="AD109" s="20" t="str">
        <f>IF(B109="","",Exposures!$E37&amp;": Stop")</f>
        <v>Drug B (placeholder): Stop</v>
      </c>
      <c r="AE109" s="20">
        <f t="shared" si="22"/>
        <v>0</v>
      </c>
      <c r="AF109" s="20" t="str">
        <f t="shared" si="23"/>
        <v/>
      </c>
      <c r="AG109" s="20">
        <f t="shared" si="24"/>
        <v>1</v>
      </c>
      <c r="AH109" s="20" t="str">
        <f>""</f>
        <v/>
      </c>
    </row>
    <row r="110" spans="1:34" x14ac:dyDescent="0.2">
      <c r="A110" s="20" t="str">
        <f t="shared" si="13"/>
        <v/>
      </c>
      <c r="B110" s="20" t="str">
        <f>IF(AND(Exposures!$D38&lt;&gt;"",COUNTA(Exposures!$AE38:$AL38)&gt;0),Exposures!$D38&amp;"/STOP","")</f>
        <v/>
      </c>
      <c r="C110" s="20" t="str">
        <f t="shared" si="26"/>
        <v/>
      </c>
      <c r="D110" s="20" t="str">
        <f>IF(B110="","",Exposures!$A38&amp;"")</f>
        <v/>
      </c>
      <c r="E110" s="20" t="str">
        <f>IF(B110="","",Exposures!$B38&amp;"")</f>
        <v/>
      </c>
      <c r="F110" s="20" t="str">
        <f t="shared" si="15"/>
        <v/>
      </c>
      <c r="G110" s="20" t="str">
        <f>IF(B110="","",Exposures!$D38&amp;"")</f>
        <v/>
      </c>
      <c r="H110" s="20" t="str">
        <f>IF(B110="","",Exposures!$AE38&amp;"")</f>
        <v/>
      </c>
      <c r="I110" s="20" t="str">
        <f>IF(B110="","",Exposures!$AH38&amp;"")</f>
        <v/>
      </c>
      <c r="J110" s="20" t="str">
        <f>IF(B110="","",Exposures!$AN38&amp;"")</f>
        <v/>
      </c>
      <c r="K110" s="20">
        <f>IF(B110="",0,Exposures!$AO38)</f>
        <v>0</v>
      </c>
      <c r="L110" s="20">
        <f>IF(B110="",0,Exposures!$AP38)</f>
        <v>0</v>
      </c>
      <c r="M110" s="20" t="str">
        <f>IF(B110="","",Exposures!$AS38)</f>
        <v/>
      </c>
      <c r="N110" s="20" t="str">
        <f>IF(B110="","",Exposures!$AT38)</f>
        <v/>
      </c>
      <c r="O110" s="27" t="str">
        <f>IF(B110="","",Exposures!$AQ38)</f>
        <v/>
      </c>
      <c r="P110" s="27" t="str">
        <f>IF(B110="","",Exposures!$AR38)</f>
        <v/>
      </c>
      <c r="Q110" s="20" t="str">
        <f t="shared" si="16"/>
        <v/>
      </c>
      <c r="R110" s="20" t="str">
        <f>IF(A110="","",IF(J110&lt;&gt;"",J110,IF(H110="TIMESTAMP",DAY(INT(M110/1440))&amp;" "&amp;INDEX(nLIST_Months,MONTH(INT(M110/1440)))&amp;" "&amp;YEAR(INT(M110/1440))&amp;" "&amp;RIGHT("0"&amp;INT(MOD(M110,1440)/60),2)&amp;":"&amp;RIGHT("0"&amp;MOD(M110,60),2)&amp;IF(L110=1," (UTC"&amp;I110&amp;")"," (offset unknown)"),IF(H110="DATE",DAY(O110)&amp;" "&amp;INDEX(nLIST_Months,MONTH(O110))&amp;" "&amp;YEAR(O110),IF(H110="MONTH",INDEX(nLIST_Months,MONTH(O110))&amp;" "&amp;YEAR(O110)&amp;" ("&amp;DAY(O110)&amp;" "&amp;INDEX(nLIST_Months,MONTH(O110))&amp;" "&amp;YEAR(O110)&amp;" to "&amp;DAY(P110)&amp;" "&amp;INDEX(nLIST_Months,MONTH(P110))&amp;" "&amp;YEAR(P110)&amp;")",IF(H110="YEAR",YEAR(O110)&amp;" (1 January to 31 December)",DAY(O110)&amp;" "&amp;INDEX(nLIST_Months,MONTH(O110))&amp;" "&amp;YEAR(O110)&amp;" to "&amp;DAY(P110)&amp;" "&amp;INDEX(nLIST_Months,MONTH(P110))&amp;" "&amp;YEAR(P110)&amp;IF(H110="LAB"," (laboratory-defined)","")))))))</f>
        <v/>
      </c>
      <c r="S110" s="20" t="str">
        <f>IF(B110="","",Exposures!$AD38&amp;"")</f>
        <v/>
      </c>
      <c r="T110" s="20" t="str">
        <f>IF(B110="","",Exposures!$AM38&amp;"")</f>
        <v/>
      </c>
      <c r="U110" s="20" t="str">
        <f>IF(B110="","","Exposures row "&amp;ROW(Exposures!$A38)&amp;", Stop")</f>
        <v/>
      </c>
      <c r="V110" s="20">
        <f>IF(A110="",0,COUNTIF(nTP_Key,A110))</f>
        <v>0</v>
      </c>
      <c r="W110" s="20">
        <f t="shared" si="17"/>
        <v>0</v>
      </c>
      <c r="X110" s="20">
        <f t="shared" si="18"/>
        <v>0</v>
      </c>
      <c r="Y110" s="20">
        <f t="shared" si="19"/>
        <v>0</v>
      </c>
      <c r="Z110" s="20">
        <f t="shared" si="20"/>
        <v>0</v>
      </c>
      <c r="AA110" s="20">
        <f t="shared" si="21"/>
        <v>106</v>
      </c>
      <c r="AB110" s="20" t="str">
        <f>""</f>
        <v/>
      </c>
      <c r="AC110" s="20" t="str">
        <f>IF(B110="","",Exposures!$F38&amp;"")</f>
        <v/>
      </c>
      <c r="AD110" s="20" t="str">
        <f>IF(B110="","",Exposures!$E38&amp;": Stop")</f>
        <v/>
      </c>
      <c r="AE110" s="20">
        <f t="shared" si="22"/>
        <v>0</v>
      </c>
      <c r="AF110" s="20" t="str">
        <f t="shared" si="23"/>
        <v/>
      </c>
      <c r="AG110" s="20">
        <f t="shared" si="24"/>
        <v>0</v>
      </c>
      <c r="AH110" s="20" t="str">
        <f>""</f>
        <v/>
      </c>
    </row>
    <row r="111" spans="1:34" x14ac:dyDescent="0.2">
      <c r="A111" s="20" t="str">
        <f t="shared" si="13"/>
        <v>EX-C04|2|EX-DIG/STOP</v>
      </c>
      <c r="B111" s="20" t="str">
        <f>IF(AND(Exposures!$D39&lt;&gt;"",COUNTA(Exposures!$AE39:$AL39)&gt;0),Exposures!$D39&amp;"/STOP","")</f>
        <v>EX-DIG/STOP</v>
      </c>
      <c r="C111" s="20" t="str">
        <f t="shared" si="26"/>
        <v>EXPOSURE_STOP</v>
      </c>
      <c r="D111" s="20" t="str">
        <f>IF(B111="","",Exposures!$A39&amp;"")</f>
        <v>EX-C04</v>
      </c>
      <c r="E111" s="20" t="str">
        <f>IF(B111="","",Exposures!$B39&amp;"")</f>
        <v>2</v>
      </c>
      <c r="F111" s="20" t="str">
        <f t="shared" si="15"/>
        <v>EX-C04|2</v>
      </c>
      <c r="G111" s="20" t="str">
        <f>IF(B111="","",Exposures!$D39&amp;"")</f>
        <v>EX-DIG</v>
      </c>
      <c r="H111" s="20" t="str">
        <f>IF(B111="","",Exposures!$AE39&amp;"")</f>
        <v>DATE</v>
      </c>
      <c r="I111" s="20" t="str">
        <f>IF(B111="","",Exposures!$AH39&amp;"")</f>
        <v/>
      </c>
      <c r="J111" s="20" t="str">
        <f>IF(B111="","",Exposures!$AN39&amp;"")</f>
        <v/>
      </c>
      <c r="K111" s="20">
        <f>IF(B111="",0,Exposures!$AO39)</f>
        <v>0</v>
      </c>
      <c r="L111" s="20">
        <f>IF(B111="",0,Exposures!$AP39)</f>
        <v>0</v>
      </c>
      <c r="M111" s="20" t="str">
        <f>IF(B111="","",Exposures!$AS39)</f>
        <v/>
      </c>
      <c r="N111" s="20" t="str">
        <f>IF(B111="","",Exposures!$AT39)</f>
        <v/>
      </c>
      <c r="O111" s="27">
        <f>IF(B111="","",Exposures!$AQ39)</f>
        <v>46208</v>
      </c>
      <c r="P111" s="27">
        <f>IF(B111="","",Exposures!$AR39)</f>
        <v>46208</v>
      </c>
      <c r="Q111" s="20" t="str">
        <f t="shared" si="16"/>
        <v>2026-07-05</v>
      </c>
      <c r="R111" s="20" t="str">
        <f>IF(A111="","",IF(J111&lt;&gt;"",J111,IF(H111="TIMESTAMP",DAY(INT(M111/1440))&amp;" "&amp;INDEX(nLIST_Months,MONTH(INT(M111/1440)))&amp;" "&amp;YEAR(INT(M111/1440))&amp;" "&amp;RIGHT("0"&amp;INT(MOD(M111,1440)/60),2)&amp;":"&amp;RIGHT("0"&amp;MOD(M111,60),2)&amp;IF(L111=1," (UTC"&amp;I111&amp;")"," (offset unknown)"),IF(H111="DATE",DAY(O111)&amp;" "&amp;INDEX(nLIST_Months,MONTH(O111))&amp;" "&amp;YEAR(O111),IF(H111="MONTH",INDEX(nLIST_Months,MONTH(O111))&amp;" "&amp;YEAR(O111)&amp;" ("&amp;DAY(O111)&amp;" "&amp;INDEX(nLIST_Months,MONTH(O111))&amp;" "&amp;YEAR(O111)&amp;" to "&amp;DAY(P111)&amp;" "&amp;INDEX(nLIST_Months,MONTH(P111))&amp;" "&amp;YEAR(P111)&amp;")",IF(H111="YEAR",YEAR(O111)&amp;" (1 January to 31 December)",DAY(O111)&amp;" "&amp;INDEX(nLIST_Months,MONTH(O111))&amp;" "&amp;YEAR(O111)&amp;" to "&amp;DAY(P111)&amp;" "&amp;INDEX(nLIST_Months,MONTH(P111))&amp;" "&amp;YEAR(P111)&amp;IF(H111="LAB"," (laboratory-defined)","")))))))</f>
        <v>5 July 2026</v>
      </c>
      <c r="S111" s="20" t="str">
        <f>IF(B111="","",Exposures!$AD39&amp;"")</f>
        <v>Digoxin and ibuprofen withheld (5 July)</v>
      </c>
      <c r="T111" s="20" t="str">
        <f>IF(B111="","",Exposures!$AM39&amp;"")</f>
        <v>Emergency department note</v>
      </c>
      <c r="U111" s="20" t="str">
        <f>IF(B111="","","Exposures row "&amp;ROW(Exposures!$A39)&amp;", Stop")</f>
        <v>Exposures row 39, Stop</v>
      </c>
      <c r="V111" s="20">
        <f>IF(A111="",0,COUNTIF(nTP_Key,A111))</f>
        <v>1</v>
      </c>
      <c r="W111" s="20">
        <f t="shared" si="17"/>
        <v>0</v>
      </c>
      <c r="X111" s="20">
        <f t="shared" si="18"/>
        <v>0</v>
      </c>
      <c r="Y111" s="20">
        <f t="shared" si="19"/>
        <v>46208</v>
      </c>
      <c r="Z111" s="20">
        <f t="shared" si="20"/>
        <v>46208</v>
      </c>
      <c r="AA111" s="20">
        <f t="shared" si="21"/>
        <v>107</v>
      </c>
      <c r="AB111" s="20" t="str">
        <f>""</f>
        <v/>
      </c>
      <c r="AC111" s="20" t="str">
        <f>IF(B111="","",Exposures!$F39&amp;"")</f>
        <v>suspect</v>
      </c>
      <c r="AD111" s="20" t="str">
        <f>IF(B111="","",Exposures!$E39&amp;": Stop")</f>
        <v>Digoxin tablets: Stop</v>
      </c>
      <c r="AE111" s="20">
        <f t="shared" si="22"/>
        <v>0</v>
      </c>
      <c r="AF111" s="20" t="str">
        <f t="shared" si="23"/>
        <v/>
      </c>
      <c r="AG111" s="20">
        <f t="shared" si="24"/>
        <v>1</v>
      </c>
      <c r="AH111" s="20" t="str">
        <f>""</f>
        <v/>
      </c>
    </row>
    <row r="112" spans="1:34" x14ac:dyDescent="0.2">
      <c r="A112" s="20" t="str">
        <f t="shared" si="13"/>
        <v>EX-C04|2|EX-IBU/STOP</v>
      </c>
      <c r="B112" s="20" t="str">
        <f>IF(AND(Exposures!$D40&lt;&gt;"",COUNTA(Exposures!$AE40:$AL40)&gt;0),Exposures!$D40&amp;"/STOP","")</f>
        <v>EX-IBU/STOP</v>
      </c>
      <c r="C112" s="20" t="str">
        <f t="shared" si="26"/>
        <v>EXPOSURE_STOP</v>
      </c>
      <c r="D112" s="20" t="str">
        <f>IF(B112="","",Exposures!$A40&amp;"")</f>
        <v>EX-C04</v>
      </c>
      <c r="E112" s="20" t="str">
        <f>IF(B112="","",Exposures!$B40&amp;"")</f>
        <v>2</v>
      </c>
      <c r="F112" s="20" t="str">
        <f t="shared" si="15"/>
        <v>EX-C04|2</v>
      </c>
      <c r="G112" s="20" t="str">
        <f>IF(B112="","",Exposures!$D40&amp;"")</f>
        <v>EX-IBU</v>
      </c>
      <c r="H112" s="20" t="str">
        <f>IF(B112="","",Exposures!$AE40&amp;"")</f>
        <v>DATE</v>
      </c>
      <c r="I112" s="20" t="str">
        <f>IF(B112="","",Exposures!$AH40&amp;"")</f>
        <v/>
      </c>
      <c r="J112" s="20" t="str">
        <f>IF(B112="","",Exposures!$AN40&amp;"")</f>
        <v/>
      </c>
      <c r="K112" s="20">
        <f>IF(B112="",0,Exposures!$AO40)</f>
        <v>0</v>
      </c>
      <c r="L112" s="20">
        <f>IF(B112="",0,Exposures!$AP40)</f>
        <v>0</v>
      </c>
      <c r="M112" s="20" t="str">
        <f>IF(B112="","",Exposures!$AS40)</f>
        <v/>
      </c>
      <c r="N112" s="20" t="str">
        <f>IF(B112="","",Exposures!$AT40)</f>
        <v/>
      </c>
      <c r="O112" s="27">
        <f>IF(B112="","",Exposures!$AQ40)</f>
        <v>46207</v>
      </c>
      <c r="P112" s="27">
        <f>IF(B112="","",Exposures!$AR40)</f>
        <v>46207</v>
      </c>
      <c r="Q112" s="20" t="str">
        <f t="shared" si="16"/>
        <v>2026-07-04</v>
      </c>
      <c r="R112" s="20" t="str">
        <f>IF(A112="","",IF(J112&lt;&gt;"",J112,IF(H112="TIMESTAMP",DAY(INT(M112/1440))&amp;" "&amp;INDEX(nLIST_Months,MONTH(INT(M112/1440)))&amp;" "&amp;YEAR(INT(M112/1440))&amp;" "&amp;RIGHT("0"&amp;INT(MOD(M112,1440)/60),2)&amp;":"&amp;RIGHT("0"&amp;MOD(M112,60),2)&amp;IF(L112=1," (UTC"&amp;I112&amp;")"," (offset unknown)"),IF(H112="DATE",DAY(O112)&amp;" "&amp;INDEX(nLIST_Months,MONTH(O112))&amp;" "&amp;YEAR(O112),IF(H112="MONTH",INDEX(nLIST_Months,MONTH(O112))&amp;" "&amp;YEAR(O112)&amp;" ("&amp;DAY(O112)&amp;" "&amp;INDEX(nLIST_Months,MONTH(O112))&amp;" "&amp;YEAR(O112)&amp;" to "&amp;DAY(P112)&amp;" "&amp;INDEX(nLIST_Months,MONTH(P112))&amp;" "&amp;YEAR(P112)&amp;")",IF(H112="YEAR",YEAR(O112)&amp;" (1 January to 31 December)",DAY(O112)&amp;" "&amp;INDEX(nLIST_Months,MONTH(O112))&amp;" "&amp;YEAR(O112)&amp;" to "&amp;DAY(P112)&amp;" "&amp;INDEX(nLIST_Months,MONTH(P112))&amp;" "&amp;YEAR(P112)&amp;IF(H112="LAB"," (laboratory-defined)","")))))))</f>
        <v>4 July 2026</v>
      </c>
      <c r="S112" s="20" t="str">
        <f>IF(B112="","",Exposures!$AD40&amp;"")</f>
        <v>last taken 4 July</v>
      </c>
      <c r="T112" s="20" t="str">
        <f>IF(B112="","",Exposures!$AM40&amp;"")</f>
        <v>GP letter (version 2)</v>
      </c>
      <c r="U112" s="20" t="str">
        <f>IF(B112="","","Exposures row "&amp;ROW(Exposures!$A40)&amp;", Stop")</f>
        <v>Exposures row 40, Stop</v>
      </c>
      <c r="V112" s="20">
        <f>IF(A112="",0,COUNTIF(nTP_Key,A112))</f>
        <v>1</v>
      </c>
      <c r="W112" s="20">
        <f t="shared" si="17"/>
        <v>0</v>
      </c>
      <c r="X112" s="20">
        <f t="shared" si="18"/>
        <v>0</v>
      </c>
      <c r="Y112" s="20">
        <f t="shared" si="19"/>
        <v>46207</v>
      </c>
      <c r="Z112" s="20">
        <f t="shared" si="20"/>
        <v>46207</v>
      </c>
      <c r="AA112" s="20">
        <f t="shared" si="21"/>
        <v>108</v>
      </c>
      <c r="AB112" s="20" t="str">
        <f>""</f>
        <v/>
      </c>
      <c r="AC112" s="20" t="str">
        <f>IF(B112="","",Exposures!$F40&amp;"")</f>
        <v>interacting</v>
      </c>
      <c r="AD112" s="20" t="str">
        <f>IF(B112="","",Exposures!$E40&amp;": Stop")</f>
        <v>Ibuprofen: Stop</v>
      </c>
      <c r="AE112" s="20">
        <f t="shared" si="22"/>
        <v>0</v>
      </c>
      <c r="AF112" s="20" t="str">
        <f t="shared" si="23"/>
        <v/>
      </c>
      <c r="AG112" s="20">
        <f t="shared" si="24"/>
        <v>1</v>
      </c>
      <c r="AH112" s="20" t="str">
        <f>""</f>
        <v/>
      </c>
    </row>
    <row r="113" spans="1:34" x14ac:dyDescent="0.2">
      <c r="A113" s="20" t="str">
        <f t="shared" si="13"/>
        <v/>
      </c>
      <c r="B113" s="20" t="str">
        <f>IF(AND(Exposures!$D41&lt;&gt;"",COUNTA(Exposures!$AE41:$AL41)&gt;0),Exposures!$D41&amp;"/STOP","")</f>
        <v/>
      </c>
      <c r="C113" s="20" t="str">
        <f t="shared" si="26"/>
        <v/>
      </c>
      <c r="D113" s="20" t="str">
        <f>IF(B113="","",Exposures!$A41&amp;"")</f>
        <v/>
      </c>
      <c r="E113" s="20" t="str">
        <f>IF(B113="","",Exposures!$B41&amp;"")</f>
        <v/>
      </c>
      <c r="F113" s="20" t="str">
        <f t="shared" si="15"/>
        <v/>
      </c>
      <c r="G113" s="20" t="str">
        <f>IF(B113="","",Exposures!$D41&amp;"")</f>
        <v/>
      </c>
      <c r="H113" s="20" t="str">
        <f>IF(B113="","",Exposures!$AE41&amp;"")</f>
        <v/>
      </c>
      <c r="I113" s="20" t="str">
        <f>IF(B113="","",Exposures!$AH41&amp;"")</f>
        <v/>
      </c>
      <c r="J113" s="20" t="str">
        <f>IF(B113="","",Exposures!$AN41&amp;"")</f>
        <v/>
      </c>
      <c r="K113" s="20">
        <f>IF(B113="",0,Exposures!$AO41)</f>
        <v>0</v>
      </c>
      <c r="L113" s="20">
        <f>IF(B113="",0,Exposures!$AP41)</f>
        <v>0</v>
      </c>
      <c r="M113" s="20" t="str">
        <f>IF(B113="","",Exposures!$AS41)</f>
        <v/>
      </c>
      <c r="N113" s="20" t="str">
        <f>IF(B113="","",Exposures!$AT41)</f>
        <v/>
      </c>
      <c r="O113" s="27" t="str">
        <f>IF(B113="","",Exposures!$AQ41)</f>
        <v/>
      </c>
      <c r="P113" s="27" t="str">
        <f>IF(B113="","",Exposures!$AR41)</f>
        <v/>
      </c>
      <c r="Q113" s="20" t="str">
        <f t="shared" si="16"/>
        <v/>
      </c>
      <c r="R113" s="20" t="str">
        <f>IF(A113="","",IF(J113&lt;&gt;"",J113,IF(H113="TIMESTAMP",DAY(INT(M113/1440))&amp;" "&amp;INDEX(nLIST_Months,MONTH(INT(M113/1440)))&amp;" "&amp;YEAR(INT(M113/1440))&amp;" "&amp;RIGHT("0"&amp;INT(MOD(M113,1440)/60),2)&amp;":"&amp;RIGHT("0"&amp;MOD(M113,60),2)&amp;IF(L113=1," (UTC"&amp;I113&amp;")"," (offset unknown)"),IF(H113="DATE",DAY(O113)&amp;" "&amp;INDEX(nLIST_Months,MONTH(O113))&amp;" "&amp;YEAR(O113),IF(H113="MONTH",INDEX(nLIST_Months,MONTH(O113))&amp;" "&amp;YEAR(O113)&amp;" ("&amp;DAY(O113)&amp;" "&amp;INDEX(nLIST_Months,MONTH(O113))&amp;" "&amp;YEAR(O113)&amp;" to "&amp;DAY(P113)&amp;" "&amp;INDEX(nLIST_Months,MONTH(P113))&amp;" "&amp;YEAR(P113)&amp;")",IF(H113="YEAR",YEAR(O113)&amp;" (1 January to 31 December)",DAY(O113)&amp;" "&amp;INDEX(nLIST_Months,MONTH(O113))&amp;" "&amp;YEAR(O113)&amp;" to "&amp;DAY(P113)&amp;" "&amp;INDEX(nLIST_Months,MONTH(P113))&amp;" "&amp;YEAR(P113)&amp;IF(H113="LAB"," (laboratory-defined)","")))))))</f>
        <v/>
      </c>
      <c r="S113" s="20" t="str">
        <f>IF(B113="","",Exposures!$AD41&amp;"")</f>
        <v/>
      </c>
      <c r="T113" s="20" t="str">
        <f>IF(B113="","",Exposures!$AM41&amp;"")</f>
        <v/>
      </c>
      <c r="U113" s="20" t="str">
        <f>IF(B113="","","Exposures row "&amp;ROW(Exposures!$A41)&amp;", Stop")</f>
        <v/>
      </c>
      <c r="V113" s="20">
        <f>IF(A113="",0,COUNTIF(nTP_Key,A113))</f>
        <v>0</v>
      </c>
      <c r="W113" s="20">
        <f t="shared" si="17"/>
        <v>0</v>
      </c>
      <c r="X113" s="20">
        <f t="shared" si="18"/>
        <v>0</v>
      </c>
      <c r="Y113" s="20">
        <f t="shared" si="19"/>
        <v>0</v>
      </c>
      <c r="Z113" s="20">
        <f t="shared" si="20"/>
        <v>0</v>
      </c>
      <c r="AA113" s="20">
        <f t="shared" si="21"/>
        <v>109</v>
      </c>
      <c r="AB113" s="20" t="str">
        <f>""</f>
        <v/>
      </c>
      <c r="AC113" s="20" t="str">
        <f>IF(B113="","",Exposures!$F41&amp;"")</f>
        <v/>
      </c>
      <c r="AD113" s="20" t="str">
        <f>IF(B113="","",Exposures!$E41&amp;": Stop")</f>
        <v/>
      </c>
      <c r="AE113" s="20">
        <f t="shared" si="22"/>
        <v>0</v>
      </c>
      <c r="AF113" s="20" t="str">
        <f t="shared" si="23"/>
        <v/>
      </c>
      <c r="AG113" s="20">
        <f t="shared" si="24"/>
        <v>0</v>
      </c>
      <c r="AH113" s="20" t="str">
        <f>""</f>
        <v/>
      </c>
    </row>
    <row r="114" spans="1:34" x14ac:dyDescent="0.2">
      <c r="A114" s="20" t="str">
        <f t="shared" si="13"/>
        <v>EX-C28|2|EX-RTX/STOP</v>
      </c>
      <c r="B114" s="20" t="str">
        <f>IF(AND(Exposures!$D42&lt;&gt;"",COUNTA(Exposures!$AE42:$AL42)&gt;0),Exposures!$D42&amp;"/STOP","")</f>
        <v>EX-RTX/STOP</v>
      </c>
      <c r="C114" s="20" t="str">
        <f t="shared" si="26"/>
        <v>EXPOSURE_STOP</v>
      </c>
      <c r="D114" s="20" t="str">
        <f>IF(B114="","",Exposures!$A42&amp;"")</f>
        <v>EX-C28</v>
      </c>
      <c r="E114" s="20" t="str">
        <f>IF(B114="","",Exposures!$B42&amp;"")</f>
        <v>2</v>
      </c>
      <c r="F114" s="20" t="str">
        <f t="shared" si="15"/>
        <v>EX-C28|2</v>
      </c>
      <c r="G114" s="20" t="str">
        <f>IF(B114="","",Exposures!$D42&amp;"")</f>
        <v>EX-RTX</v>
      </c>
      <c r="H114" s="20" t="str">
        <f>IF(B114="","",Exposures!$AE42&amp;"")</f>
        <v>DATE</v>
      </c>
      <c r="I114" s="20" t="str">
        <f>IF(B114="","",Exposures!$AH42&amp;"")</f>
        <v/>
      </c>
      <c r="J114" s="20" t="str">
        <f>IF(B114="","",Exposures!$AN42&amp;"")</f>
        <v/>
      </c>
      <c r="K114" s="20">
        <f>IF(B114="",0,Exposures!$AO42)</f>
        <v>0</v>
      </c>
      <c r="L114" s="20">
        <f>IF(B114="",0,Exposures!$AP42)</f>
        <v>0</v>
      </c>
      <c r="M114" s="20" t="str">
        <f>IF(B114="","",Exposures!$AS42)</f>
        <v/>
      </c>
      <c r="N114" s="20" t="str">
        <f>IF(B114="","",Exposures!$AT42)</f>
        <v/>
      </c>
      <c r="O114" s="27">
        <f>IF(B114="","",Exposures!$AQ42)</f>
        <v>45719</v>
      </c>
      <c r="P114" s="27">
        <f>IF(B114="","",Exposures!$AR42)</f>
        <v>45719</v>
      </c>
      <c r="Q114" s="20" t="str">
        <f t="shared" si="16"/>
        <v>2025-03-03</v>
      </c>
      <c r="R114" s="20" t="str">
        <f>IF(A114="","",IF(J114&lt;&gt;"",J114,IF(H114="TIMESTAMP",DAY(INT(M114/1440))&amp;" "&amp;INDEX(nLIST_Months,MONTH(INT(M114/1440)))&amp;" "&amp;YEAR(INT(M114/1440))&amp;" "&amp;RIGHT("0"&amp;INT(MOD(M114,1440)/60),2)&amp;":"&amp;RIGHT("0"&amp;MOD(M114,60),2)&amp;IF(L114=1," (UTC"&amp;I114&amp;")"," (offset unknown)"),IF(H114="DATE",DAY(O114)&amp;" "&amp;INDEX(nLIST_Months,MONTH(O114))&amp;" "&amp;YEAR(O114),IF(H114="MONTH",INDEX(nLIST_Months,MONTH(O114))&amp;" "&amp;YEAR(O114)&amp;" ("&amp;DAY(O114)&amp;" "&amp;INDEX(nLIST_Months,MONTH(O114))&amp;" "&amp;YEAR(O114)&amp;" to "&amp;DAY(P114)&amp;" "&amp;INDEX(nLIST_Months,MONTH(P114))&amp;" "&amp;YEAR(P114)&amp;")",IF(H114="YEAR",YEAR(O114)&amp;" (1 January to 31 December)",DAY(O114)&amp;" "&amp;INDEX(nLIST_Months,MONTH(O114))&amp;" "&amp;YEAR(O114)&amp;" to "&amp;DAY(P114)&amp;" "&amp;INDEX(nLIST_Months,MONTH(P114))&amp;" "&amp;YEAR(P114)&amp;IF(H114="LAB"," (laboratory-defined)","")))))))</f>
        <v>3 March 2025</v>
      </c>
      <c r="S114" s="20" t="str">
        <f>IF(B114="","",Exposures!$AD42&amp;"")</f>
        <v>last infusion 03/03/2025</v>
      </c>
      <c r="T114" s="20" t="str">
        <f>IF(B114="","",Exposures!$AM42&amp;"")</f>
        <v>Hematology summary</v>
      </c>
      <c r="U114" s="20" t="str">
        <f>IF(B114="","","Exposures row "&amp;ROW(Exposures!$A42)&amp;", Stop")</f>
        <v>Exposures row 42, Stop</v>
      </c>
      <c r="V114" s="20">
        <f>IF(A114="",0,COUNTIF(nTP_Key,A114))</f>
        <v>1</v>
      </c>
      <c r="W114" s="20">
        <f t="shared" si="17"/>
        <v>0</v>
      </c>
      <c r="X114" s="20">
        <f t="shared" si="18"/>
        <v>0</v>
      </c>
      <c r="Y114" s="20">
        <f t="shared" si="19"/>
        <v>45719</v>
      </c>
      <c r="Z114" s="20">
        <f t="shared" si="20"/>
        <v>45719</v>
      </c>
      <c r="AA114" s="20">
        <f t="shared" si="21"/>
        <v>110</v>
      </c>
      <c r="AB114" s="20" t="str">
        <f>""</f>
        <v/>
      </c>
      <c r="AC114" s="20" t="str">
        <f>IF(B114="","",Exposures!$F42&amp;"")</f>
        <v>suspect</v>
      </c>
      <c r="AD114" s="20" t="str">
        <f>IF(B114="","",Exposures!$E42&amp;": Stop")</f>
        <v>Rituximab (NHL): Stop</v>
      </c>
      <c r="AE114" s="20">
        <f t="shared" si="22"/>
        <v>0</v>
      </c>
      <c r="AF114" s="20" t="str">
        <f t="shared" si="23"/>
        <v/>
      </c>
      <c r="AG114" s="20">
        <f t="shared" si="24"/>
        <v>1</v>
      </c>
      <c r="AH114" s="20" t="str">
        <f>""</f>
        <v/>
      </c>
    </row>
    <row r="115" spans="1:34" x14ac:dyDescent="0.2">
      <c r="A115" s="20" t="str">
        <f t="shared" si="13"/>
        <v>EX-C28|2|EX-RX/STOP</v>
      </c>
      <c r="B115" s="20" t="str">
        <f>IF(AND(Exposures!$D43&lt;&gt;"",COUNTA(Exposures!$AE43:$AL43)&gt;0),Exposures!$D43&amp;"/STOP","")</f>
        <v>EX-RX/STOP</v>
      </c>
      <c r="C115" s="20" t="str">
        <f t="shared" si="26"/>
        <v>EXPOSURE_STOP</v>
      </c>
      <c r="D115" s="20" t="str">
        <f>IF(B115="","",Exposures!$A43&amp;"")</f>
        <v>EX-C28</v>
      </c>
      <c r="E115" s="20" t="str">
        <f>IF(B115="","",Exposures!$B43&amp;"")</f>
        <v>2</v>
      </c>
      <c r="F115" s="20" t="str">
        <f t="shared" si="15"/>
        <v>EX-C28|2</v>
      </c>
      <c r="G115" s="20" t="str">
        <f>IF(B115="","",Exposures!$D43&amp;"")</f>
        <v>EX-RX</v>
      </c>
      <c r="H115" s="20" t="str">
        <f>IF(B115="","",Exposures!$AE43&amp;"")</f>
        <v>DATE</v>
      </c>
      <c r="I115" s="20" t="str">
        <f>IF(B115="","",Exposures!$AH43&amp;"")</f>
        <v/>
      </c>
      <c r="J115" s="20" t="str">
        <f>IF(B115="","",Exposures!$AN43&amp;"")</f>
        <v/>
      </c>
      <c r="K115" s="20">
        <f>IF(B115="",0,Exposures!$AO43)</f>
        <v>0</v>
      </c>
      <c r="L115" s="20">
        <f>IF(B115="",0,Exposures!$AP43)</f>
        <v>0</v>
      </c>
      <c r="M115" s="20" t="str">
        <f>IF(B115="","",Exposures!$AS43)</f>
        <v/>
      </c>
      <c r="N115" s="20" t="str">
        <f>IF(B115="","",Exposures!$AT43)</f>
        <v/>
      </c>
      <c r="O115" s="27">
        <f>IF(B115="","",Exposures!$AQ43)</f>
        <v>45719</v>
      </c>
      <c r="P115" s="27">
        <f>IF(B115="","",Exposures!$AR43)</f>
        <v>45719</v>
      </c>
      <c r="Q115" s="20" t="str">
        <f t="shared" si="16"/>
        <v>2025-03-03</v>
      </c>
      <c r="R115" s="20" t="str">
        <f>IF(A115="","",IF(J115&lt;&gt;"",J115,IF(H115="TIMESTAMP",DAY(INT(M115/1440))&amp;" "&amp;INDEX(nLIST_Months,MONTH(INT(M115/1440)))&amp;" "&amp;YEAR(INT(M115/1440))&amp;" "&amp;RIGHT("0"&amp;INT(MOD(M115,1440)/60),2)&amp;":"&amp;RIGHT("0"&amp;MOD(M115,60),2)&amp;IF(L115=1," (UTC"&amp;I115&amp;")"," (offset unknown)"),IF(H115="DATE",DAY(O115)&amp;" "&amp;INDEX(nLIST_Months,MONTH(O115))&amp;" "&amp;YEAR(O115),IF(H115="MONTH",INDEX(nLIST_Months,MONTH(O115))&amp;" "&amp;YEAR(O115)&amp;" ("&amp;DAY(O115)&amp;" "&amp;INDEX(nLIST_Months,MONTH(O115))&amp;" "&amp;YEAR(O115)&amp;" to "&amp;DAY(P115)&amp;" "&amp;INDEX(nLIST_Months,MONTH(P115))&amp;" "&amp;YEAR(P115)&amp;")",IF(H115="YEAR",YEAR(O115)&amp;" (1 January to 31 December)",DAY(O115)&amp;" "&amp;INDEX(nLIST_Months,MONTH(O115))&amp;" "&amp;YEAR(O115)&amp;" to "&amp;DAY(P115)&amp;" "&amp;INDEX(nLIST_Months,MONTH(P115))&amp;" "&amp;YEAR(P115)&amp;IF(H115="LAB"," (laboratory-defined)","")))))))</f>
        <v>3 March 2025</v>
      </c>
      <c r="S115" s="20" t="str">
        <f>IF(B115="","",Exposures!$AD43&amp;"")</f>
        <v>same cycles as rituximab</v>
      </c>
      <c r="T115" s="20" t="str">
        <f>IF(B115="","",Exposures!$AM43&amp;"")</f>
        <v>Hematology summary</v>
      </c>
      <c r="U115" s="20" t="str">
        <f>IF(B115="","","Exposures row "&amp;ROW(Exposures!$A43)&amp;", Stop")</f>
        <v>Exposures row 43, Stop</v>
      </c>
      <c r="V115" s="20">
        <f>IF(A115="",0,COUNTIF(nTP_Key,A115))</f>
        <v>1</v>
      </c>
      <c r="W115" s="20">
        <f t="shared" si="17"/>
        <v>0</v>
      </c>
      <c r="X115" s="20">
        <f t="shared" si="18"/>
        <v>0</v>
      </c>
      <c r="Y115" s="20">
        <f t="shared" si="19"/>
        <v>45719</v>
      </c>
      <c r="Z115" s="20">
        <f t="shared" si="20"/>
        <v>45719</v>
      </c>
      <c r="AA115" s="20">
        <f t="shared" si="21"/>
        <v>111</v>
      </c>
      <c r="AB115" s="20" t="str">
        <f>""</f>
        <v/>
      </c>
      <c r="AC115" s="20" t="str">
        <f>IF(B115="","",Exposures!$F43&amp;"")</f>
        <v>concomitant</v>
      </c>
      <c r="AD115" s="20" t="str">
        <f>IF(B115="","",Exposures!$E43&amp;": Stop")</f>
        <v>Regimen X (placeholder; includes a glucocorticoid): Stop</v>
      </c>
      <c r="AE115" s="20">
        <f t="shared" si="22"/>
        <v>0</v>
      </c>
      <c r="AF115" s="20" t="str">
        <f t="shared" si="23"/>
        <v/>
      </c>
      <c r="AG115" s="20">
        <f t="shared" si="24"/>
        <v>1</v>
      </c>
      <c r="AH115" s="20" t="str">
        <f>""</f>
        <v/>
      </c>
    </row>
    <row r="116" spans="1:34" x14ac:dyDescent="0.2">
      <c r="A116" s="20" t="str">
        <f t="shared" si="13"/>
        <v>EX-C28|2|EX-AVA/STOP</v>
      </c>
      <c r="B116" s="20" t="str">
        <f>IF(AND(Exposures!$D44&lt;&gt;"",COUNTA(Exposures!$AE44:$AL44)&gt;0),Exposures!$D44&amp;"/STOP","")</f>
        <v>EX-AVA/STOP</v>
      </c>
      <c r="C116" s="20" t="str">
        <f t="shared" si="26"/>
        <v>EXPOSURE_STOP</v>
      </c>
      <c r="D116" s="20" t="str">
        <f>IF(B116="","",Exposures!$A44&amp;"")</f>
        <v>EX-C28</v>
      </c>
      <c r="E116" s="20" t="str">
        <f>IF(B116="","",Exposures!$B44&amp;"")</f>
        <v>2</v>
      </c>
      <c r="F116" s="20" t="str">
        <f t="shared" si="15"/>
        <v>EX-C28|2</v>
      </c>
      <c r="G116" s="20" t="str">
        <f>IF(B116="","",Exposures!$D44&amp;"")</f>
        <v>EX-AVA</v>
      </c>
      <c r="H116" s="20" t="str">
        <f>IF(B116="","",Exposures!$AE44&amp;"")</f>
        <v>DATE</v>
      </c>
      <c r="I116" s="20" t="str">
        <f>IF(B116="","",Exposures!$AH44&amp;"")</f>
        <v/>
      </c>
      <c r="J116" s="20" t="str">
        <f>IF(B116="","",Exposures!$AN44&amp;"")</f>
        <v/>
      </c>
      <c r="K116" s="20">
        <f>IF(B116="",0,Exposures!$AO44)</f>
        <v>0</v>
      </c>
      <c r="L116" s="20">
        <f>IF(B116="",0,Exposures!$AP44)</f>
        <v>0</v>
      </c>
      <c r="M116" s="20" t="str">
        <f>IF(B116="","",Exposures!$AS44)</f>
        <v/>
      </c>
      <c r="N116" s="20" t="str">
        <f>IF(B116="","",Exposures!$AT44)</f>
        <v/>
      </c>
      <c r="O116" s="27">
        <f>IF(B116="","",Exposures!$AQ44)</f>
        <v>45903</v>
      </c>
      <c r="P116" s="27">
        <f>IF(B116="","",Exposures!$AR44)</f>
        <v>45903</v>
      </c>
      <c r="Q116" s="20" t="str">
        <f t="shared" si="16"/>
        <v>2025-09-03</v>
      </c>
      <c r="R116" s="20" t="str">
        <f>IF(A116="","",IF(J116&lt;&gt;"",J116,IF(H116="TIMESTAMP",DAY(INT(M116/1440))&amp;" "&amp;INDEX(nLIST_Months,MONTH(INT(M116/1440)))&amp;" "&amp;YEAR(INT(M116/1440))&amp;" "&amp;RIGHT("0"&amp;INT(MOD(M116,1440)/60),2)&amp;":"&amp;RIGHT("0"&amp;MOD(M116,60),2)&amp;IF(L116=1," (UTC"&amp;I116&amp;")"," (offset unknown)"),IF(H116="DATE",DAY(O116)&amp;" "&amp;INDEX(nLIST_Months,MONTH(O116))&amp;" "&amp;YEAR(O116),IF(H116="MONTH",INDEX(nLIST_Months,MONTH(O116))&amp;" "&amp;YEAR(O116)&amp;" ("&amp;DAY(O116)&amp;" "&amp;INDEX(nLIST_Months,MONTH(O116))&amp;" "&amp;YEAR(O116)&amp;" to "&amp;DAY(P116)&amp;" "&amp;INDEX(nLIST_Months,MONTH(P116))&amp;" "&amp;YEAR(P116)&amp;")",IF(H116="YEAR",YEAR(O116)&amp;" (1 January to 31 December)",DAY(O116)&amp;" "&amp;INDEX(nLIST_Months,MONTH(O116))&amp;" "&amp;YEAR(O116)&amp;" to "&amp;DAY(P116)&amp;" "&amp;INDEX(nLIST_Months,MONTH(P116))&amp;" "&amp;YEAR(P116)&amp;IF(H116="LAB"," (laboratory-defined)","")))))))</f>
        <v>3 September 2025</v>
      </c>
      <c r="S116" s="20" t="str">
        <f>IF(B116="","",Exposures!$AD44&amp;"")</f>
        <v>prophylaxis to 03/09/2025</v>
      </c>
      <c r="T116" s="20" t="str">
        <f>IF(B116="","",Exposures!$AM44&amp;"")</f>
        <v>Hematology summary</v>
      </c>
      <c r="U116" s="20" t="str">
        <f>IF(B116="","","Exposures row "&amp;ROW(Exposures!$A44)&amp;", Stop")</f>
        <v>Exposures row 44, Stop</v>
      </c>
      <c r="V116" s="20">
        <f>IF(A116="",0,COUNTIF(nTP_Key,A116))</f>
        <v>1</v>
      </c>
      <c r="W116" s="20">
        <f t="shared" si="17"/>
        <v>0</v>
      </c>
      <c r="X116" s="20">
        <f t="shared" si="18"/>
        <v>0</v>
      </c>
      <c r="Y116" s="20">
        <f t="shared" si="19"/>
        <v>45903</v>
      </c>
      <c r="Z116" s="20">
        <f t="shared" si="20"/>
        <v>45903</v>
      </c>
      <c r="AA116" s="20">
        <f t="shared" si="21"/>
        <v>112</v>
      </c>
      <c r="AB116" s="20" t="str">
        <f>""</f>
        <v/>
      </c>
      <c r="AC116" s="20" t="str">
        <f>IF(B116="","",Exposures!$F44&amp;"")</f>
        <v>prophylaxis</v>
      </c>
      <c r="AD116" s="20" t="str">
        <f>IF(B116="","",Exposures!$E44&amp;": Stop")</f>
        <v>Antiviral A (placeholder), prophylaxis: Stop</v>
      </c>
      <c r="AE116" s="20">
        <f t="shared" si="22"/>
        <v>0</v>
      </c>
      <c r="AF116" s="20" t="str">
        <f t="shared" si="23"/>
        <v/>
      </c>
      <c r="AG116" s="20">
        <f t="shared" si="24"/>
        <v>1</v>
      </c>
      <c r="AH116" s="20" t="str">
        <f>""</f>
        <v/>
      </c>
    </row>
    <row r="117" spans="1:34" x14ac:dyDescent="0.2">
      <c r="A117" s="20" t="str">
        <f t="shared" si="13"/>
        <v>EX-C28|2|EX-PRED/STOP</v>
      </c>
      <c r="B117" s="20" t="str">
        <f>IF(AND(Exposures!$D45&lt;&gt;"",COUNTA(Exposures!$AE45:$AL45)&gt;0),Exposures!$D45&amp;"/STOP","")</f>
        <v>EX-PRED/STOP</v>
      </c>
      <c r="C117" s="20" t="str">
        <f t="shared" si="26"/>
        <v>EXPOSURE_STOP</v>
      </c>
      <c r="D117" s="20" t="str">
        <f>IF(B117="","",Exposures!$A45&amp;"")</f>
        <v>EX-C28</v>
      </c>
      <c r="E117" s="20" t="str">
        <f>IF(B117="","",Exposures!$B45&amp;"")</f>
        <v>2</v>
      </c>
      <c r="F117" s="20" t="str">
        <f t="shared" si="15"/>
        <v>EX-C28|2</v>
      </c>
      <c r="G117" s="20" t="str">
        <f>IF(B117="","",Exposures!$D45&amp;"")</f>
        <v>EX-PRED</v>
      </c>
      <c r="H117" s="20" t="str">
        <f>IF(B117="","",Exposures!$AE45&amp;"")</f>
        <v>DATE</v>
      </c>
      <c r="I117" s="20" t="str">
        <f>IF(B117="","",Exposures!$AH45&amp;"")</f>
        <v/>
      </c>
      <c r="J117" s="20" t="str">
        <f>IF(B117="","",Exposures!$AN45&amp;"")</f>
        <v/>
      </c>
      <c r="K117" s="20">
        <f>IF(B117="",0,Exposures!$AO45)</f>
        <v>0</v>
      </c>
      <c r="L117" s="20">
        <f>IF(B117="",0,Exposures!$AP45)</f>
        <v>0</v>
      </c>
      <c r="M117" s="20" t="str">
        <f>IF(B117="","",Exposures!$AS45)</f>
        <v/>
      </c>
      <c r="N117" s="20" t="str">
        <f>IF(B117="","",Exposures!$AT45)</f>
        <v/>
      </c>
      <c r="O117" s="27">
        <f>IF(B117="","",Exposures!$AQ45)</f>
        <v>46092</v>
      </c>
      <c r="P117" s="27">
        <f>IF(B117="","",Exposures!$AR45)</f>
        <v>46092</v>
      </c>
      <c r="Q117" s="20" t="str">
        <f t="shared" si="16"/>
        <v>2026-03-11</v>
      </c>
      <c r="R117" s="20" t="str">
        <f>IF(A117="","",IF(J117&lt;&gt;"",J117,IF(H117="TIMESTAMP",DAY(INT(M117/1440))&amp;" "&amp;INDEX(nLIST_Months,MONTH(INT(M117/1440)))&amp;" "&amp;YEAR(INT(M117/1440))&amp;" "&amp;RIGHT("0"&amp;INT(MOD(M117,1440)/60),2)&amp;":"&amp;RIGHT("0"&amp;MOD(M117,60),2)&amp;IF(L117=1," (UTC"&amp;I117&amp;")"," (offset unknown)"),IF(H117="DATE",DAY(O117)&amp;" "&amp;INDEX(nLIST_Months,MONTH(O117))&amp;" "&amp;YEAR(O117),IF(H117="MONTH",INDEX(nLIST_Months,MONTH(O117))&amp;" "&amp;YEAR(O117)&amp;" ("&amp;DAY(O117)&amp;" "&amp;INDEX(nLIST_Months,MONTH(O117))&amp;" "&amp;YEAR(O117)&amp;" to "&amp;DAY(P117)&amp;" "&amp;INDEX(nLIST_Months,MONTH(P117))&amp;" "&amp;YEAR(P117)&amp;")",IF(H117="YEAR",YEAR(O117)&amp;" (1 January to 31 December)",DAY(O117)&amp;" "&amp;INDEX(nLIST_Months,MONTH(O117))&amp;" "&amp;YEAR(O117)&amp;" to "&amp;DAY(P117)&amp;" "&amp;INDEX(nLIST_Months,MONTH(P117))&amp;" "&amp;YEAR(P117)&amp;IF(H117="LAB"," (laboratory-defined)","")))))))</f>
        <v>11 March 2026</v>
      </c>
      <c r="S117" s="20" t="str">
        <f>IF(B117="","",Exposures!$AD45&amp;"")</f>
        <v>10-day oral prednisolone course 02-11/03/2026</v>
      </c>
      <c r="T117" s="20" t="str">
        <f>IF(B117="","",Exposures!$AM45&amp;"")</f>
        <v>Hepatology letter</v>
      </c>
      <c r="U117" s="20" t="str">
        <f>IF(B117="","","Exposures row "&amp;ROW(Exposures!$A45)&amp;", Stop")</f>
        <v>Exposures row 45, Stop</v>
      </c>
      <c r="V117" s="20">
        <f>IF(A117="",0,COUNTIF(nTP_Key,A117))</f>
        <v>1</v>
      </c>
      <c r="W117" s="20">
        <f t="shared" si="17"/>
        <v>0</v>
      </c>
      <c r="X117" s="20">
        <f t="shared" si="18"/>
        <v>0</v>
      </c>
      <c r="Y117" s="20">
        <f t="shared" si="19"/>
        <v>46092</v>
      </c>
      <c r="Z117" s="20">
        <f t="shared" si="20"/>
        <v>46092</v>
      </c>
      <c r="AA117" s="20">
        <f t="shared" si="21"/>
        <v>113</v>
      </c>
      <c r="AB117" s="20" t="str">
        <f>""</f>
        <v/>
      </c>
      <c r="AC117" s="20" t="str">
        <f>IF(B117="","",Exposures!$F45&amp;"")</f>
        <v>concomitant</v>
      </c>
      <c r="AD117" s="20" t="str">
        <f>IF(B117="","",Exposures!$E45&amp;": Stop")</f>
        <v>Prednisolone, 10-day oral course: Stop</v>
      </c>
      <c r="AE117" s="20">
        <f t="shared" si="22"/>
        <v>0</v>
      </c>
      <c r="AF117" s="20" t="str">
        <f t="shared" si="23"/>
        <v/>
      </c>
      <c r="AG117" s="20">
        <f t="shared" si="24"/>
        <v>1</v>
      </c>
      <c r="AH117" s="20" t="str">
        <f>""</f>
        <v/>
      </c>
    </row>
    <row r="118" spans="1:34" x14ac:dyDescent="0.2">
      <c r="A118" s="20" t="str">
        <f t="shared" si="13"/>
        <v/>
      </c>
      <c r="B118" s="20" t="str">
        <f>IF(AND(Exposures!$D46&lt;&gt;"",COUNTA(Exposures!$AE46:$AL46)&gt;0),Exposures!$D46&amp;"/STOP","")</f>
        <v/>
      </c>
      <c r="C118" s="20" t="str">
        <f t="shared" si="26"/>
        <v/>
      </c>
      <c r="D118" s="20" t="str">
        <f>IF(B118="","",Exposures!$A46&amp;"")</f>
        <v/>
      </c>
      <c r="E118" s="20" t="str">
        <f>IF(B118="","",Exposures!$B46&amp;"")</f>
        <v/>
      </c>
      <c r="F118" s="20" t="str">
        <f t="shared" si="15"/>
        <v/>
      </c>
      <c r="G118" s="20" t="str">
        <f>IF(B118="","",Exposures!$D46&amp;"")</f>
        <v/>
      </c>
      <c r="H118" s="20" t="str">
        <f>IF(B118="","",Exposures!$AE46&amp;"")</f>
        <v/>
      </c>
      <c r="I118" s="20" t="str">
        <f>IF(B118="","",Exposures!$AH46&amp;"")</f>
        <v/>
      </c>
      <c r="J118" s="20" t="str">
        <f>IF(B118="","",Exposures!$AN46&amp;"")</f>
        <v/>
      </c>
      <c r="K118" s="20">
        <f>IF(B118="",0,Exposures!$AO46)</f>
        <v>0</v>
      </c>
      <c r="L118" s="20">
        <f>IF(B118="",0,Exposures!$AP46)</f>
        <v>0</v>
      </c>
      <c r="M118" s="20" t="str">
        <f>IF(B118="","",Exposures!$AS46)</f>
        <v/>
      </c>
      <c r="N118" s="20" t="str">
        <f>IF(B118="","",Exposures!$AT46)</f>
        <v/>
      </c>
      <c r="O118" s="27" t="str">
        <f>IF(B118="","",Exposures!$AQ46)</f>
        <v/>
      </c>
      <c r="P118" s="27" t="str">
        <f>IF(B118="","",Exposures!$AR46)</f>
        <v/>
      </c>
      <c r="Q118" s="20" t="str">
        <f t="shared" si="16"/>
        <v/>
      </c>
      <c r="R118" s="20" t="str">
        <f>IF(A118="","",IF(J118&lt;&gt;"",J118,IF(H118="TIMESTAMP",DAY(INT(M118/1440))&amp;" "&amp;INDEX(nLIST_Months,MONTH(INT(M118/1440)))&amp;" "&amp;YEAR(INT(M118/1440))&amp;" "&amp;RIGHT("0"&amp;INT(MOD(M118,1440)/60),2)&amp;":"&amp;RIGHT("0"&amp;MOD(M118,60),2)&amp;IF(L118=1," (UTC"&amp;I118&amp;")"," (offset unknown)"),IF(H118="DATE",DAY(O118)&amp;" "&amp;INDEX(nLIST_Months,MONTH(O118))&amp;" "&amp;YEAR(O118),IF(H118="MONTH",INDEX(nLIST_Months,MONTH(O118))&amp;" "&amp;YEAR(O118)&amp;" ("&amp;DAY(O118)&amp;" "&amp;INDEX(nLIST_Months,MONTH(O118))&amp;" "&amp;YEAR(O118)&amp;" to "&amp;DAY(P118)&amp;" "&amp;INDEX(nLIST_Months,MONTH(P118))&amp;" "&amp;YEAR(P118)&amp;")",IF(H118="YEAR",YEAR(O118)&amp;" (1 January to 31 December)",DAY(O118)&amp;" "&amp;INDEX(nLIST_Months,MONTH(O118))&amp;" "&amp;YEAR(O118)&amp;" to "&amp;DAY(P118)&amp;" "&amp;INDEX(nLIST_Months,MONTH(P118))&amp;" "&amp;YEAR(P118)&amp;IF(H118="LAB"," (laboratory-defined)","")))))))</f>
        <v/>
      </c>
      <c r="S118" s="20" t="str">
        <f>IF(B118="","",Exposures!$AD46&amp;"")</f>
        <v/>
      </c>
      <c r="T118" s="20" t="str">
        <f>IF(B118="","",Exposures!$AM46&amp;"")</f>
        <v/>
      </c>
      <c r="U118" s="20" t="str">
        <f>IF(B118="","","Exposures row "&amp;ROW(Exposures!$A46)&amp;", Stop")</f>
        <v/>
      </c>
      <c r="V118" s="20">
        <f>IF(A118="",0,COUNTIF(nTP_Key,A118))</f>
        <v>0</v>
      </c>
      <c r="W118" s="20">
        <f t="shared" si="17"/>
        <v>0</v>
      </c>
      <c r="X118" s="20">
        <f t="shared" si="18"/>
        <v>0</v>
      </c>
      <c r="Y118" s="20">
        <f t="shared" si="19"/>
        <v>0</v>
      </c>
      <c r="Z118" s="20">
        <f t="shared" si="20"/>
        <v>0</v>
      </c>
      <c r="AA118" s="20">
        <f t="shared" si="21"/>
        <v>114</v>
      </c>
      <c r="AB118" s="20" t="str">
        <f>""</f>
        <v/>
      </c>
      <c r="AC118" s="20" t="str">
        <f>IF(B118="","",Exposures!$F46&amp;"")</f>
        <v/>
      </c>
      <c r="AD118" s="20" t="str">
        <f>IF(B118="","",Exposures!$E46&amp;": Stop")</f>
        <v/>
      </c>
      <c r="AE118" s="20">
        <f t="shared" si="22"/>
        <v>0</v>
      </c>
      <c r="AF118" s="20" t="str">
        <f t="shared" si="23"/>
        <v/>
      </c>
      <c r="AG118" s="20">
        <f t="shared" si="24"/>
        <v>0</v>
      </c>
      <c r="AH118" s="20" t="str">
        <f>""</f>
        <v/>
      </c>
    </row>
    <row r="119" spans="1:34" x14ac:dyDescent="0.2">
      <c r="A119" s="20" t="str">
        <f t="shared" si="13"/>
        <v/>
      </c>
      <c r="B119" s="20" t="str">
        <f>IF(AND(Exposures!$D47&lt;&gt;"",COUNTA(Exposures!$AE47:$AL47)&gt;0),Exposures!$D47&amp;"/STOP","")</f>
        <v/>
      </c>
      <c r="C119" s="20" t="str">
        <f t="shared" si="26"/>
        <v/>
      </c>
      <c r="D119" s="20" t="str">
        <f>IF(B119="","",Exposures!$A47&amp;"")</f>
        <v/>
      </c>
      <c r="E119" s="20" t="str">
        <f>IF(B119="","",Exposures!$B47&amp;"")</f>
        <v/>
      </c>
      <c r="F119" s="20" t="str">
        <f t="shared" si="15"/>
        <v/>
      </c>
      <c r="G119" s="20" t="str">
        <f>IF(B119="","",Exposures!$D47&amp;"")</f>
        <v/>
      </c>
      <c r="H119" s="20" t="str">
        <f>IF(B119="","",Exposures!$AE47&amp;"")</f>
        <v/>
      </c>
      <c r="I119" s="20" t="str">
        <f>IF(B119="","",Exposures!$AH47&amp;"")</f>
        <v/>
      </c>
      <c r="J119" s="20" t="str">
        <f>IF(B119="","",Exposures!$AN47&amp;"")</f>
        <v/>
      </c>
      <c r="K119" s="20">
        <f>IF(B119="",0,Exposures!$AO47)</f>
        <v>0</v>
      </c>
      <c r="L119" s="20">
        <f>IF(B119="",0,Exposures!$AP47)</f>
        <v>0</v>
      </c>
      <c r="M119" s="20" t="str">
        <f>IF(B119="","",Exposures!$AS47)</f>
        <v/>
      </c>
      <c r="N119" s="20" t="str">
        <f>IF(B119="","",Exposures!$AT47)</f>
        <v/>
      </c>
      <c r="O119" s="27" t="str">
        <f>IF(B119="","",Exposures!$AQ47)</f>
        <v/>
      </c>
      <c r="P119" s="27" t="str">
        <f>IF(B119="","",Exposures!$AR47)</f>
        <v/>
      </c>
      <c r="Q119" s="20" t="str">
        <f t="shared" si="16"/>
        <v/>
      </c>
      <c r="R119" s="20" t="str">
        <f>IF(A119="","",IF(J119&lt;&gt;"",J119,IF(H119="TIMESTAMP",DAY(INT(M119/1440))&amp;" "&amp;INDEX(nLIST_Months,MONTH(INT(M119/1440)))&amp;" "&amp;YEAR(INT(M119/1440))&amp;" "&amp;RIGHT("0"&amp;INT(MOD(M119,1440)/60),2)&amp;":"&amp;RIGHT("0"&amp;MOD(M119,60),2)&amp;IF(L119=1," (UTC"&amp;I119&amp;")"," (offset unknown)"),IF(H119="DATE",DAY(O119)&amp;" "&amp;INDEX(nLIST_Months,MONTH(O119))&amp;" "&amp;YEAR(O119),IF(H119="MONTH",INDEX(nLIST_Months,MONTH(O119))&amp;" "&amp;YEAR(O119)&amp;" ("&amp;DAY(O119)&amp;" "&amp;INDEX(nLIST_Months,MONTH(O119))&amp;" "&amp;YEAR(O119)&amp;" to "&amp;DAY(P119)&amp;" "&amp;INDEX(nLIST_Months,MONTH(P119))&amp;" "&amp;YEAR(P119)&amp;")",IF(H119="YEAR",YEAR(O119)&amp;" (1 January to 31 December)",DAY(O119)&amp;" "&amp;INDEX(nLIST_Months,MONTH(O119))&amp;" "&amp;YEAR(O119)&amp;" to "&amp;DAY(P119)&amp;" "&amp;INDEX(nLIST_Months,MONTH(P119))&amp;" "&amp;YEAR(P119)&amp;IF(H119="LAB"," (laboratory-defined)","")))))))</f>
        <v/>
      </c>
      <c r="S119" s="20" t="str">
        <f>IF(B119="","",Exposures!$AD47&amp;"")</f>
        <v/>
      </c>
      <c r="T119" s="20" t="str">
        <f>IF(B119="","",Exposures!$AM47&amp;"")</f>
        <v/>
      </c>
      <c r="U119" s="20" t="str">
        <f>IF(B119="","","Exposures row "&amp;ROW(Exposures!$A47)&amp;", Stop")</f>
        <v/>
      </c>
      <c r="V119" s="20">
        <f>IF(A119="",0,COUNTIF(nTP_Key,A119))</f>
        <v>0</v>
      </c>
      <c r="W119" s="20">
        <f t="shared" si="17"/>
        <v>0</v>
      </c>
      <c r="X119" s="20">
        <f t="shared" si="18"/>
        <v>0</v>
      </c>
      <c r="Y119" s="20">
        <f t="shared" si="19"/>
        <v>0</v>
      </c>
      <c r="Z119" s="20">
        <f t="shared" si="20"/>
        <v>0</v>
      </c>
      <c r="AA119" s="20">
        <f t="shared" si="21"/>
        <v>115</v>
      </c>
      <c r="AB119" s="20" t="str">
        <f>""</f>
        <v/>
      </c>
      <c r="AC119" s="20" t="str">
        <f>IF(B119="","",Exposures!$F47&amp;"")</f>
        <v/>
      </c>
      <c r="AD119" s="20" t="str">
        <f>IF(B119="","",Exposures!$E47&amp;": Stop")</f>
        <v/>
      </c>
      <c r="AE119" s="20">
        <f t="shared" si="22"/>
        <v>0</v>
      </c>
      <c r="AF119" s="20" t="str">
        <f t="shared" si="23"/>
        <v/>
      </c>
      <c r="AG119" s="20">
        <f t="shared" si="24"/>
        <v>0</v>
      </c>
      <c r="AH119" s="20" t="str">
        <f>""</f>
        <v/>
      </c>
    </row>
    <row r="120" spans="1:34" x14ac:dyDescent="0.2">
      <c r="A120" s="20" t="str">
        <f t="shared" si="13"/>
        <v/>
      </c>
      <c r="B120" s="20" t="str">
        <f>IF(AND(Exposures!$D48&lt;&gt;"",COUNTA(Exposures!$AE48:$AL48)&gt;0),Exposures!$D48&amp;"/STOP","")</f>
        <v/>
      </c>
      <c r="C120" s="20" t="str">
        <f t="shared" si="26"/>
        <v/>
      </c>
      <c r="D120" s="20" t="str">
        <f>IF(B120="","",Exposures!$A48&amp;"")</f>
        <v/>
      </c>
      <c r="E120" s="20" t="str">
        <f>IF(B120="","",Exposures!$B48&amp;"")</f>
        <v/>
      </c>
      <c r="F120" s="20" t="str">
        <f t="shared" si="15"/>
        <v/>
      </c>
      <c r="G120" s="20" t="str">
        <f>IF(B120="","",Exposures!$D48&amp;"")</f>
        <v/>
      </c>
      <c r="H120" s="20" t="str">
        <f>IF(B120="","",Exposures!$AE48&amp;"")</f>
        <v/>
      </c>
      <c r="I120" s="20" t="str">
        <f>IF(B120="","",Exposures!$AH48&amp;"")</f>
        <v/>
      </c>
      <c r="J120" s="20" t="str">
        <f>IF(B120="","",Exposures!$AN48&amp;"")</f>
        <v/>
      </c>
      <c r="K120" s="20">
        <f>IF(B120="",0,Exposures!$AO48)</f>
        <v>0</v>
      </c>
      <c r="L120" s="20">
        <f>IF(B120="",0,Exposures!$AP48)</f>
        <v>0</v>
      </c>
      <c r="M120" s="20" t="str">
        <f>IF(B120="","",Exposures!$AS48)</f>
        <v/>
      </c>
      <c r="N120" s="20" t="str">
        <f>IF(B120="","",Exposures!$AT48)</f>
        <v/>
      </c>
      <c r="O120" s="27" t="str">
        <f>IF(B120="","",Exposures!$AQ48)</f>
        <v/>
      </c>
      <c r="P120" s="27" t="str">
        <f>IF(B120="","",Exposures!$AR48)</f>
        <v/>
      </c>
      <c r="Q120" s="20" t="str">
        <f t="shared" si="16"/>
        <v/>
      </c>
      <c r="R120" s="20" t="str">
        <f>IF(A120="","",IF(J120&lt;&gt;"",J120,IF(H120="TIMESTAMP",DAY(INT(M120/1440))&amp;" "&amp;INDEX(nLIST_Months,MONTH(INT(M120/1440)))&amp;" "&amp;YEAR(INT(M120/1440))&amp;" "&amp;RIGHT("0"&amp;INT(MOD(M120,1440)/60),2)&amp;":"&amp;RIGHT("0"&amp;MOD(M120,60),2)&amp;IF(L120=1," (UTC"&amp;I120&amp;")"," (offset unknown)"),IF(H120="DATE",DAY(O120)&amp;" "&amp;INDEX(nLIST_Months,MONTH(O120))&amp;" "&amp;YEAR(O120),IF(H120="MONTH",INDEX(nLIST_Months,MONTH(O120))&amp;" "&amp;YEAR(O120)&amp;" ("&amp;DAY(O120)&amp;" "&amp;INDEX(nLIST_Months,MONTH(O120))&amp;" "&amp;YEAR(O120)&amp;" to "&amp;DAY(P120)&amp;" "&amp;INDEX(nLIST_Months,MONTH(P120))&amp;" "&amp;YEAR(P120)&amp;")",IF(H120="YEAR",YEAR(O120)&amp;" (1 January to 31 December)",DAY(O120)&amp;" "&amp;INDEX(nLIST_Months,MONTH(O120))&amp;" "&amp;YEAR(O120)&amp;" to "&amp;DAY(P120)&amp;" "&amp;INDEX(nLIST_Months,MONTH(P120))&amp;" "&amp;YEAR(P120)&amp;IF(H120="LAB"," (laboratory-defined)","")))))))</f>
        <v/>
      </c>
      <c r="S120" s="20" t="str">
        <f>IF(B120="","",Exposures!$AD48&amp;"")</f>
        <v/>
      </c>
      <c r="T120" s="20" t="str">
        <f>IF(B120="","",Exposures!$AM48&amp;"")</f>
        <v/>
      </c>
      <c r="U120" s="20" t="str">
        <f>IF(B120="","","Exposures row "&amp;ROW(Exposures!$A48)&amp;", Stop")</f>
        <v/>
      </c>
      <c r="V120" s="20">
        <f>IF(A120="",0,COUNTIF(nTP_Key,A120))</f>
        <v>0</v>
      </c>
      <c r="W120" s="20">
        <f t="shared" si="17"/>
        <v>0</v>
      </c>
      <c r="X120" s="20">
        <f t="shared" si="18"/>
        <v>0</v>
      </c>
      <c r="Y120" s="20">
        <f t="shared" si="19"/>
        <v>0</v>
      </c>
      <c r="Z120" s="20">
        <f t="shared" si="20"/>
        <v>0</v>
      </c>
      <c r="AA120" s="20">
        <f t="shared" si="21"/>
        <v>116</v>
      </c>
      <c r="AB120" s="20" t="str">
        <f>""</f>
        <v/>
      </c>
      <c r="AC120" s="20" t="str">
        <f>IF(B120="","",Exposures!$F48&amp;"")</f>
        <v/>
      </c>
      <c r="AD120" s="20" t="str">
        <f>IF(B120="","",Exposures!$E48&amp;": Stop")</f>
        <v/>
      </c>
      <c r="AE120" s="20">
        <f t="shared" si="22"/>
        <v>0</v>
      </c>
      <c r="AF120" s="20" t="str">
        <f t="shared" si="23"/>
        <v/>
      </c>
      <c r="AG120" s="20">
        <f t="shared" si="24"/>
        <v>0</v>
      </c>
      <c r="AH120" s="20" t="str">
        <f>""</f>
        <v/>
      </c>
    </row>
    <row r="121" spans="1:34" x14ac:dyDescent="0.2">
      <c r="A121" s="20" t="str">
        <f t="shared" si="13"/>
        <v/>
      </c>
      <c r="B121" s="20" t="str">
        <f>IF(AND(Exposures!$D49&lt;&gt;"",COUNTA(Exposures!$AE49:$AL49)&gt;0),Exposures!$D49&amp;"/STOP","")</f>
        <v/>
      </c>
      <c r="C121" s="20" t="str">
        <f t="shared" si="26"/>
        <v/>
      </c>
      <c r="D121" s="20" t="str">
        <f>IF(B121="","",Exposures!$A49&amp;"")</f>
        <v/>
      </c>
      <c r="E121" s="20" t="str">
        <f>IF(B121="","",Exposures!$B49&amp;"")</f>
        <v/>
      </c>
      <c r="F121" s="20" t="str">
        <f t="shared" si="15"/>
        <v/>
      </c>
      <c r="G121" s="20" t="str">
        <f>IF(B121="","",Exposures!$D49&amp;"")</f>
        <v/>
      </c>
      <c r="H121" s="20" t="str">
        <f>IF(B121="","",Exposures!$AE49&amp;"")</f>
        <v/>
      </c>
      <c r="I121" s="20" t="str">
        <f>IF(B121="","",Exposures!$AH49&amp;"")</f>
        <v/>
      </c>
      <c r="J121" s="20" t="str">
        <f>IF(B121="","",Exposures!$AN49&amp;"")</f>
        <v/>
      </c>
      <c r="K121" s="20">
        <f>IF(B121="",0,Exposures!$AO49)</f>
        <v>0</v>
      </c>
      <c r="L121" s="20">
        <f>IF(B121="",0,Exposures!$AP49)</f>
        <v>0</v>
      </c>
      <c r="M121" s="20" t="str">
        <f>IF(B121="","",Exposures!$AS49)</f>
        <v/>
      </c>
      <c r="N121" s="20" t="str">
        <f>IF(B121="","",Exposures!$AT49)</f>
        <v/>
      </c>
      <c r="O121" s="27" t="str">
        <f>IF(B121="","",Exposures!$AQ49)</f>
        <v/>
      </c>
      <c r="P121" s="27" t="str">
        <f>IF(B121="","",Exposures!$AR49)</f>
        <v/>
      </c>
      <c r="Q121" s="20" t="str">
        <f t="shared" si="16"/>
        <v/>
      </c>
      <c r="R121" s="20" t="str">
        <f>IF(A121="","",IF(J121&lt;&gt;"",J121,IF(H121="TIMESTAMP",DAY(INT(M121/1440))&amp;" "&amp;INDEX(nLIST_Months,MONTH(INT(M121/1440)))&amp;" "&amp;YEAR(INT(M121/1440))&amp;" "&amp;RIGHT("0"&amp;INT(MOD(M121,1440)/60),2)&amp;":"&amp;RIGHT("0"&amp;MOD(M121,60),2)&amp;IF(L121=1," (UTC"&amp;I121&amp;")"," (offset unknown)"),IF(H121="DATE",DAY(O121)&amp;" "&amp;INDEX(nLIST_Months,MONTH(O121))&amp;" "&amp;YEAR(O121),IF(H121="MONTH",INDEX(nLIST_Months,MONTH(O121))&amp;" "&amp;YEAR(O121)&amp;" ("&amp;DAY(O121)&amp;" "&amp;INDEX(nLIST_Months,MONTH(O121))&amp;" "&amp;YEAR(O121)&amp;" to "&amp;DAY(P121)&amp;" "&amp;INDEX(nLIST_Months,MONTH(P121))&amp;" "&amp;YEAR(P121)&amp;")",IF(H121="YEAR",YEAR(O121)&amp;" (1 January to 31 December)",DAY(O121)&amp;" "&amp;INDEX(nLIST_Months,MONTH(O121))&amp;" "&amp;YEAR(O121)&amp;" to "&amp;DAY(P121)&amp;" "&amp;INDEX(nLIST_Months,MONTH(P121))&amp;" "&amp;YEAR(P121)&amp;IF(H121="LAB"," (laboratory-defined)","")))))))</f>
        <v/>
      </c>
      <c r="S121" s="20" t="str">
        <f>IF(B121="","",Exposures!$AD49&amp;"")</f>
        <v/>
      </c>
      <c r="T121" s="20" t="str">
        <f>IF(B121="","",Exposures!$AM49&amp;"")</f>
        <v/>
      </c>
      <c r="U121" s="20" t="str">
        <f>IF(B121="","","Exposures row "&amp;ROW(Exposures!$A49)&amp;", Stop")</f>
        <v/>
      </c>
      <c r="V121" s="20">
        <f>IF(A121="",0,COUNTIF(nTP_Key,A121))</f>
        <v>0</v>
      </c>
      <c r="W121" s="20">
        <f t="shared" si="17"/>
        <v>0</v>
      </c>
      <c r="X121" s="20">
        <f t="shared" si="18"/>
        <v>0</v>
      </c>
      <c r="Y121" s="20">
        <f t="shared" si="19"/>
        <v>0</v>
      </c>
      <c r="Z121" s="20">
        <f t="shared" si="20"/>
        <v>0</v>
      </c>
      <c r="AA121" s="20">
        <f t="shared" si="21"/>
        <v>117</v>
      </c>
      <c r="AB121" s="20" t="str">
        <f>""</f>
        <v/>
      </c>
      <c r="AC121" s="20" t="str">
        <f>IF(B121="","",Exposures!$F49&amp;"")</f>
        <v/>
      </c>
      <c r="AD121" s="20" t="str">
        <f>IF(B121="","",Exposures!$E49&amp;": Stop")</f>
        <v/>
      </c>
      <c r="AE121" s="20">
        <f t="shared" si="22"/>
        <v>0</v>
      </c>
      <c r="AF121" s="20" t="str">
        <f t="shared" si="23"/>
        <v/>
      </c>
      <c r="AG121" s="20">
        <f t="shared" si="24"/>
        <v>0</v>
      </c>
      <c r="AH121" s="20" t="str">
        <f>""</f>
        <v/>
      </c>
    </row>
    <row r="122" spans="1:34" x14ac:dyDescent="0.2">
      <c r="A122" s="20" t="str">
        <f t="shared" si="13"/>
        <v/>
      </c>
      <c r="B122" s="20" t="str">
        <f>IF(AND(Exposures!$D50&lt;&gt;"",COUNTA(Exposures!$AE50:$AL50)&gt;0),Exposures!$D50&amp;"/STOP","")</f>
        <v/>
      </c>
      <c r="C122" s="20" t="str">
        <f t="shared" si="26"/>
        <v/>
      </c>
      <c r="D122" s="20" t="str">
        <f>IF(B122="","",Exposures!$A50&amp;"")</f>
        <v/>
      </c>
      <c r="E122" s="20" t="str">
        <f>IF(B122="","",Exposures!$B50&amp;"")</f>
        <v/>
      </c>
      <c r="F122" s="20" t="str">
        <f t="shared" si="15"/>
        <v/>
      </c>
      <c r="G122" s="20" t="str">
        <f>IF(B122="","",Exposures!$D50&amp;"")</f>
        <v/>
      </c>
      <c r="H122" s="20" t="str">
        <f>IF(B122="","",Exposures!$AE50&amp;"")</f>
        <v/>
      </c>
      <c r="I122" s="20" t="str">
        <f>IF(B122="","",Exposures!$AH50&amp;"")</f>
        <v/>
      </c>
      <c r="J122" s="20" t="str">
        <f>IF(B122="","",Exposures!$AN50&amp;"")</f>
        <v/>
      </c>
      <c r="K122" s="20">
        <f>IF(B122="",0,Exposures!$AO50)</f>
        <v>0</v>
      </c>
      <c r="L122" s="20">
        <f>IF(B122="",0,Exposures!$AP50)</f>
        <v>0</v>
      </c>
      <c r="M122" s="20" t="str">
        <f>IF(B122="","",Exposures!$AS50)</f>
        <v/>
      </c>
      <c r="N122" s="20" t="str">
        <f>IF(B122="","",Exposures!$AT50)</f>
        <v/>
      </c>
      <c r="O122" s="27" t="str">
        <f>IF(B122="","",Exposures!$AQ50)</f>
        <v/>
      </c>
      <c r="P122" s="27" t="str">
        <f>IF(B122="","",Exposures!$AR50)</f>
        <v/>
      </c>
      <c r="Q122" s="20" t="str">
        <f t="shared" si="16"/>
        <v/>
      </c>
      <c r="R122" s="20" t="str">
        <f>IF(A122="","",IF(J122&lt;&gt;"",J122,IF(H122="TIMESTAMP",DAY(INT(M122/1440))&amp;" "&amp;INDEX(nLIST_Months,MONTH(INT(M122/1440)))&amp;" "&amp;YEAR(INT(M122/1440))&amp;" "&amp;RIGHT("0"&amp;INT(MOD(M122,1440)/60),2)&amp;":"&amp;RIGHT("0"&amp;MOD(M122,60),2)&amp;IF(L122=1," (UTC"&amp;I122&amp;")"," (offset unknown)"),IF(H122="DATE",DAY(O122)&amp;" "&amp;INDEX(nLIST_Months,MONTH(O122))&amp;" "&amp;YEAR(O122),IF(H122="MONTH",INDEX(nLIST_Months,MONTH(O122))&amp;" "&amp;YEAR(O122)&amp;" ("&amp;DAY(O122)&amp;" "&amp;INDEX(nLIST_Months,MONTH(O122))&amp;" "&amp;YEAR(O122)&amp;" to "&amp;DAY(P122)&amp;" "&amp;INDEX(nLIST_Months,MONTH(P122))&amp;" "&amp;YEAR(P122)&amp;")",IF(H122="YEAR",YEAR(O122)&amp;" (1 January to 31 December)",DAY(O122)&amp;" "&amp;INDEX(nLIST_Months,MONTH(O122))&amp;" "&amp;YEAR(O122)&amp;" to "&amp;DAY(P122)&amp;" "&amp;INDEX(nLIST_Months,MONTH(P122))&amp;" "&amp;YEAR(P122)&amp;IF(H122="LAB"," (laboratory-defined)","")))))))</f>
        <v/>
      </c>
      <c r="S122" s="20" t="str">
        <f>IF(B122="","",Exposures!$AD50&amp;"")</f>
        <v/>
      </c>
      <c r="T122" s="20" t="str">
        <f>IF(B122="","",Exposures!$AM50&amp;"")</f>
        <v/>
      </c>
      <c r="U122" s="20" t="str">
        <f>IF(B122="","","Exposures row "&amp;ROW(Exposures!$A50)&amp;", Stop")</f>
        <v/>
      </c>
      <c r="V122" s="20">
        <f>IF(A122="",0,COUNTIF(nTP_Key,A122))</f>
        <v>0</v>
      </c>
      <c r="W122" s="20">
        <f t="shared" si="17"/>
        <v>0</v>
      </c>
      <c r="X122" s="20">
        <f t="shared" si="18"/>
        <v>0</v>
      </c>
      <c r="Y122" s="20">
        <f t="shared" si="19"/>
        <v>0</v>
      </c>
      <c r="Z122" s="20">
        <f t="shared" si="20"/>
        <v>0</v>
      </c>
      <c r="AA122" s="20">
        <f t="shared" si="21"/>
        <v>118</v>
      </c>
      <c r="AB122" s="20" t="str">
        <f>""</f>
        <v/>
      </c>
      <c r="AC122" s="20" t="str">
        <f>IF(B122="","",Exposures!$F50&amp;"")</f>
        <v/>
      </c>
      <c r="AD122" s="20" t="str">
        <f>IF(B122="","",Exposures!$E50&amp;": Stop")</f>
        <v/>
      </c>
      <c r="AE122" s="20">
        <f t="shared" si="22"/>
        <v>0</v>
      </c>
      <c r="AF122" s="20" t="str">
        <f t="shared" si="23"/>
        <v/>
      </c>
      <c r="AG122" s="20">
        <f t="shared" si="24"/>
        <v>0</v>
      </c>
      <c r="AH122" s="20" t="str">
        <f>""</f>
        <v/>
      </c>
    </row>
    <row r="123" spans="1:34" x14ac:dyDescent="0.2">
      <c r="A123" s="20" t="str">
        <f t="shared" si="13"/>
        <v/>
      </c>
      <c r="B123" s="20" t="str">
        <f>IF(AND(Exposures!$D51&lt;&gt;"",COUNTA(Exposures!$AE51:$AL51)&gt;0),Exposures!$D51&amp;"/STOP","")</f>
        <v/>
      </c>
      <c r="C123" s="20" t="str">
        <f t="shared" si="26"/>
        <v/>
      </c>
      <c r="D123" s="20" t="str">
        <f>IF(B123="","",Exposures!$A51&amp;"")</f>
        <v/>
      </c>
      <c r="E123" s="20" t="str">
        <f>IF(B123="","",Exposures!$B51&amp;"")</f>
        <v/>
      </c>
      <c r="F123" s="20" t="str">
        <f t="shared" si="15"/>
        <v/>
      </c>
      <c r="G123" s="20" t="str">
        <f>IF(B123="","",Exposures!$D51&amp;"")</f>
        <v/>
      </c>
      <c r="H123" s="20" t="str">
        <f>IF(B123="","",Exposures!$AE51&amp;"")</f>
        <v/>
      </c>
      <c r="I123" s="20" t="str">
        <f>IF(B123="","",Exposures!$AH51&amp;"")</f>
        <v/>
      </c>
      <c r="J123" s="20" t="str">
        <f>IF(B123="","",Exposures!$AN51&amp;"")</f>
        <v/>
      </c>
      <c r="K123" s="20">
        <f>IF(B123="",0,Exposures!$AO51)</f>
        <v>0</v>
      </c>
      <c r="L123" s="20">
        <f>IF(B123="",0,Exposures!$AP51)</f>
        <v>0</v>
      </c>
      <c r="M123" s="20" t="str">
        <f>IF(B123="","",Exposures!$AS51)</f>
        <v/>
      </c>
      <c r="N123" s="20" t="str">
        <f>IF(B123="","",Exposures!$AT51)</f>
        <v/>
      </c>
      <c r="O123" s="27" t="str">
        <f>IF(B123="","",Exposures!$AQ51)</f>
        <v/>
      </c>
      <c r="P123" s="27" t="str">
        <f>IF(B123="","",Exposures!$AR51)</f>
        <v/>
      </c>
      <c r="Q123" s="20" t="str">
        <f t="shared" si="16"/>
        <v/>
      </c>
      <c r="R123" s="20" t="str">
        <f>IF(A123="","",IF(J123&lt;&gt;"",J123,IF(H123="TIMESTAMP",DAY(INT(M123/1440))&amp;" "&amp;INDEX(nLIST_Months,MONTH(INT(M123/1440)))&amp;" "&amp;YEAR(INT(M123/1440))&amp;" "&amp;RIGHT("0"&amp;INT(MOD(M123,1440)/60),2)&amp;":"&amp;RIGHT("0"&amp;MOD(M123,60),2)&amp;IF(L123=1," (UTC"&amp;I123&amp;")"," (offset unknown)"),IF(H123="DATE",DAY(O123)&amp;" "&amp;INDEX(nLIST_Months,MONTH(O123))&amp;" "&amp;YEAR(O123),IF(H123="MONTH",INDEX(nLIST_Months,MONTH(O123))&amp;" "&amp;YEAR(O123)&amp;" ("&amp;DAY(O123)&amp;" "&amp;INDEX(nLIST_Months,MONTH(O123))&amp;" "&amp;YEAR(O123)&amp;" to "&amp;DAY(P123)&amp;" "&amp;INDEX(nLIST_Months,MONTH(P123))&amp;" "&amp;YEAR(P123)&amp;")",IF(H123="YEAR",YEAR(O123)&amp;" (1 January to 31 December)",DAY(O123)&amp;" "&amp;INDEX(nLIST_Months,MONTH(O123))&amp;" "&amp;YEAR(O123)&amp;" to "&amp;DAY(P123)&amp;" "&amp;INDEX(nLIST_Months,MONTH(P123))&amp;" "&amp;YEAR(P123)&amp;IF(H123="LAB"," (laboratory-defined)","")))))))</f>
        <v/>
      </c>
      <c r="S123" s="20" t="str">
        <f>IF(B123="","",Exposures!$AD51&amp;"")</f>
        <v/>
      </c>
      <c r="T123" s="20" t="str">
        <f>IF(B123="","",Exposures!$AM51&amp;"")</f>
        <v/>
      </c>
      <c r="U123" s="20" t="str">
        <f>IF(B123="","","Exposures row "&amp;ROW(Exposures!$A51)&amp;", Stop")</f>
        <v/>
      </c>
      <c r="V123" s="20">
        <f>IF(A123="",0,COUNTIF(nTP_Key,A123))</f>
        <v>0</v>
      </c>
      <c r="W123" s="20">
        <f t="shared" si="17"/>
        <v>0</v>
      </c>
      <c r="X123" s="20">
        <f t="shared" si="18"/>
        <v>0</v>
      </c>
      <c r="Y123" s="20">
        <f t="shared" si="19"/>
        <v>0</v>
      </c>
      <c r="Z123" s="20">
        <f t="shared" si="20"/>
        <v>0</v>
      </c>
      <c r="AA123" s="20">
        <f t="shared" si="21"/>
        <v>119</v>
      </c>
      <c r="AB123" s="20" t="str">
        <f>""</f>
        <v/>
      </c>
      <c r="AC123" s="20" t="str">
        <f>IF(B123="","",Exposures!$F51&amp;"")</f>
        <v/>
      </c>
      <c r="AD123" s="20" t="str">
        <f>IF(B123="","",Exposures!$E51&amp;": Stop")</f>
        <v/>
      </c>
      <c r="AE123" s="20">
        <f t="shared" si="22"/>
        <v>0</v>
      </c>
      <c r="AF123" s="20" t="str">
        <f t="shared" si="23"/>
        <v/>
      </c>
      <c r="AG123" s="20">
        <f t="shared" si="24"/>
        <v>0</v>
      </c>
      <c r="AH123" s="20" t="str">
        <f>""</f>
        <v/>
      </c>
    </row>
    <row r="124" spans="1:34" x14ac:dyDescent="0.2">
      <c r="A124" s="20" t="str">
        <f t="shared" si="13"/>
        <v/>
      </c>
      <c r="B124" s="20" t="str">
        <f>IF(AND(Exposures!$D52&lt;&gt;"",COUNTA(Exposures!$AE52:$AL52)&gt;0),Exposures!$D52&amp;"/STOP","")</f>
        <v/>
      </c>
      <c r="C124" s="20" t="str">
        <f t="shared" si="26"/>
        <v/>
      </c>
      <c r="D124" s="20" t="str">
        <f>IF(B124="","",Exposures!$A52&amp;"")</f>
        <v/>
      </c>
      <c r="E124" s="20" t="str">
        <f>IF(B124="","",Exposures!$B52&amp;"")</f>
        <v/>
      </c>
      <c r="F124" s="20" t="str">
        <f t="shared" si="15"/>
        <v/>
      </c>
      <c r="G124" s="20" t="str">
        <f>IF(B124="","",Exposures!$D52&amp;"")</f>
        <v/>
      </c>
      <c r="H124" s="20" t="str">
        <f>IF(B124="","",Exposures!$AE52&amp;"")</f>
        <v/>
      </c>
      <c r="I124" s="20" t="str">
        <f>IF(B124="","",Exposures!$AH52&amp;"")</f>
        <v/>
      </c>
      <c r="J124" s="20" t="str">
        <f>IF(B124="","",Exposures!$AN52&amp;"")</f>
        <v/>
      </c>
      <c r="K124" s="20">
        <f>IF(B124="",0,Exposures!$AO52)</f>
        <v>0</v>
      </c>
      <c r="L124" s="20">
        <f>IF(B124="",0,Exposures!$AP52)</f>
        <v>0</v>
      </c>
      <c r="M124" s="20" t="str">
        <f>IF(B124="","",Exposures!$AS52)</f>
        <v/>
      </c>
      <c r="N124" s="20" t="str">
        <f>IF(B124="","",Exposures!$AT52)</f>
        <v/>
      </c>
      <c r="O124" s="27" t="str">
        <f>IF(B124="","",Exposures!$AQ52)</f>
        <v/>
      </c>
      <c r="P124" s="27" t="str">
        <f>IF(B124="","",Exposures!$AR52)</f>
        <v/>
      </c>
      <c r="Q124" s="20" t="str">
        <f t="shared" si="16"/>
        <v/>
      </c>
      <c r="R124" s="20" t="str">
        <f>IF(A124="","",IF(J124&lt;&gt;"",J124,IF(H124="TIMESTAMP",DAY(INT(M124/1440))&amp;" "&amp;INDEX(nLIST_Months,MONTH(INT(M124/1440)))&amp;" "&amp;YEAR(INT(M124/1440))&amp;" "&amp;RIGHT("0"&amp;INT(MOD(M124,1440)/60),2)&amp;":"&amp;RIGHT("0"&amp;MOD(M124,60),2)&amp;IF(L124=1," (UTC"&amp;I124&amp;")"," (offset unknown)"),IF(H124="DATE",DAY(O124)&amp;" "&amp;INDEX(nLIST_Months,MONTH(O124))&amp;" "&amp;YEAR(O124),IF(H124="MONTH",INDEX(nLIST_Months,MONTH(O124))&amp;" "&amp;YEAR(O124)&amp;" ("&amp;DAY(O124)&amp;" "&amp;INDEX(nLIST_Months,MONTH(O124))&amp;" "&amp;YEAR(O124)&amp;" to "&amp;DAY(P124)&amp;" "&amp;INDEX(nLIST_Months,MONTH(P124))&amp;" "&amp;YEAR(P124)&amp;")",IF(H124="YEAR",YEAR(O124)&amp;" (1 January to 31 December)",DAY(O124)&amp;" "&amp;INDEX(nLIST_Months,MONTH(O124))&amp;" "&amp;YEAR(O124)&amp;" to "&amp;DAY(P124)&amp;" "&amp;INDEX(nLIST_Months,MONTH(P124))&amp;" "&amp;YEAR(P124)&amp;IF(H124="LAB"," (laboratory-defined)","")))))))</f>
        <v/>
      </c>
      <c r="S124" s="20" t="str">
        <f>IF(B124="","",Exposures!$AD52&amp;"")</f>
        <v/>
      </c>
      <c r="T124" s="20" t="str">
        <f>IF(B124="","",Exposures!$AM52&amp;"")</f>
        <v/>
      </c>
      <c r="U124" s="20" t="str">
        <f>IF(B124="","","Exposures row "&amp;ROW(Exposures!$A52)&amp;", Stop")</f>
        <v/>
      </c>
      <c r="V124" s="20">
        <f>IF(A124="",0,COUNTIF(nTP_Key,A124))</f>
        <v>0</v>
      </c>
      <c r="W124" s="20">
        <f t="shared" si="17"/>
        <v>0</v>
      </c>
      <c r="X124" s="20">
        <f t="shared" si="18"/>
        <v>0</v>
      </c>
      <c r="Y124" s="20">
        <f t="shared" si="19"/>
        <v>0</v>
      </c>
      <c r="Z124" s="20">
        <f t="shared" si="20"/>
        <v>0</v>
      </c>
      <c r="AA124" s="20">
        <f t="shared" si="21"/>
        <v>120</v>
      </c>
      <c r="AB124" s="20" t="str">
        <f>""</f>
        <v/>
      </c>
      <c r="AC124" s="20" t="str">
        <f>IF(B124="","",Exposures!$F52&amp;"")</f>
        <v/>
      </c>
      <c r="AD124" s="20" t="str">
        <f>IF(B124="","",Exposures!$E52&amp;": Stop")</f>
        <v/>
      </c>
      <c r="AE124" s="20">
        <f t="shared" si="22"/>
        <v>0</v>
      </c>
      <c r="AF124" s="20" t="str">
        <f t="shared" si="23"/>
        <v/>
      </c>
      <c r="AG124" s="20">
        <f t="shared" si="24"/>
        <v>0</v>
      </c>
      <c r="AH124" s="20" t="str">
        <f>""</f>
        <v/>
      </c>
    </row>
    <row r="125" spans="1:34" x14ac:dyDescent="0.2">
      <c r="A125" s="20" t="str">
        <f t="shared" si="13"/>
        <v/>
      </c>
      <c r="B125" s="20" t="str">
        <f>IF(AND(Exposures!$D53&lt;&gt;"",COUNTA(Exposures!$AE53:$AL53)&gt;0),Exposures!$D53&amp;"/STOP","")</f>
        <v/>
      </c>
      <c r="C125" s="20" t="str">
        <f t="shared" si="26"/>
        <v/>
      </c>
      <c r="D125" s="20" t="str">
        <f>IF(B125="","",Exposures!$A53&amp;"")</f>
        <v/>
      </c>
      <c r="E125" s="20" t="str">
        <f>IF(B125="","",Exposures!$B53&amp;"")</f>
        <v/>
      </c>
      <c r="F125" s="20" t="str">
        <f t="shared" si="15"/>
        <v/>
      </c>
      <c r="G125" s="20" t="str">
        <f>IF(B125="","",Exposures!$D53&amp;"")</f>
        <v/>
      </c>
      <c r="H125" s="20" t="str">
        <f>IF(B125="","",Exposures!$AE53&amp;"")</f>
        <v/>
      </c>
      <c r="I125" s="20" t="str">
        <f>IF(B125="","",Exposures!$AH53&amp;"")</f>
        <v/>
      </c>
      <c r="J125" s="20" t="str">
        <f>IF(B125="","",Exposures!$AN53&amp;"")</f>
        <v/>
      </c>
      <c r="K125" s="20">
        <f>IF(B125="",0,Exposures!$AO53)</f>
        <v>0</v>
      </c>
      <c r="L125" s="20">
        <f>IF(B125="",0,Exposures!$AP53)</f>
        <v>0</v>
      </c>
      <c r="M125" s="20" t="str">
        <f>IF(B125="","",Exposures!$AS53)</f>
        <v/>
      </c>
      <c r="N125" s="20" t="str">
        <f>IF(B125="","",Exposures!$AT53)</f>
        <v/>
      </c>
      <c r="O125" s="27" t="str">
        <f>IF(B125="","",Exposures!$AQ53)</f>
        <v/>
      </c>
      <c r="P125" s="27" t="str">
        <f>IF(B125="","",Exposures!$AR53)</f>
        <v/>
      </c>
      <c r="Q125" s="20" t="str">
        <f t="shared" si="16"/>
        <v/>
      </c>
      <c r="R125" s="20" t="str">
        <f>IF(A125="","",IF(J125&lt;&gt;"",J125,IF(H125="TIMESTAMP",DAY(INT(M125/1440))&amp;" "&amp;INDEX(nLIST_Months,MONTH(INT(M125/1440)))&amp;" "&amp;YEAR(INT(M125/1440))&amp;" "&amp;RIGHT("0"&amp;INT(MOD(M125,1440)/60),2)&amp;":"&amp;RIGHT("0"&amp;MOD(M125,60),2)&amp;IF(L125=1," (UTC"&amp;I125&amp;")"," (offset unknown)"),IF(H125="DATE",DAY(O125)&amp;" "&amp;INDEX(nLIST_Months,MONTH(O125))&amp;" "&amp;YEAR(O125),IF(H125="MONTH",INDEX(nLIST_Months,MONTH(O125))&amp;" "&amp;YEAR(O125)&amp;" ("&amp;DAY(O125)&amp;" "&amp;INDEX(nLIST_Months,MONTH(O125))&amp;" "&amp;YEAR(O125)&amp;" to "&amp;DAY(P125)&amp;" "&amp;INDEX(nLIST_Months,MONTH(P125))&amp;" "&amp;YEAR(P125)&amp;")",IF(H125="YEAR",YEAR(O125)&amp;" (1 January to 31 December)",DAY(O125)&amp;" "&amp;INDEX(nLIST_Months,MONTH(O125))&amp;" "&amp;YEAR(O125)&amp;" to "&amp;DAY(P125)&amp;" "&amp;INDEX(nLIST_Months,MONTH(P125))&amp;" "&amp;YEAR(P125)&amp;IF(H125="LAB"," (laboratory-defined)","")))))))</f>
        <v/>
      </c>
      <c r="S125" s="20" t="str">
        <f>IF(B125="","",Exposures!$AD53&amp;"")</f>
        <v/>
      </c>
      <c r="T125" s="20" t="str">
        <f>IF(B125="","",Exposures!$AM53&amp;"")</f>
        <v/>
      </c>
      <c r="U125" s="20" t="str">
        <f>IF(B125="","","Exposures row "&amp;ROW(Exposures!$A53)&amp;", Stop")</f>
        <v/>
      </c>
      <c r="V125" s="20">
        <f>IF(A125="",0,COUNTIF(nTP_Key,A125))</f>
        <v>0</v>
      </c>
      <c r="W125" s="20">
        <f t="shared" si="17"/>
        <v>0</v>
      </c>
      <c r="X125" s="20">
        <f t="shared" si="18"/>
        <v>0</v>
      </c>
      <c r="Y125" s="20">
        <f t="shared" si="19"/>
        <v>0</v>
      </c>
      <c r="Z125" s="20">
        <f t="shared" si="20"/>
        <v>0</v>
      </c>
      <c r="AA125" s="20">
        <f t="shared" si="21"/>
        <v>121</v>
      </c>
      <c r="AB125" s="20" t="str">
        <f>""</f>
        <v/>
      </c>
      <c r="AC125" s="20" t="str">
        <f>IF(B125="","",Exposures!$F53&amp;"")</f>
        <v/>
      </c>
      <c r="AD125" s="20" t="str">
        <f>IF(B125="","",Exposures!$E53&amp;": Stop")</f>
        <v/>
      </c>
      <c r="AE125" s="20">
        <f t="shared" si="22"/>
        <v>0</v>
      </c>
      <c r="AF125" s="20" t="str">
        <f t="shared" si="23"/>
        <v/>
      </c>
      <c r="AG125" s="20">
        <f t="shared" si="24"/>
        <v>0</v>
      </c>
      <c r="AH125" s="20" t="str">
        <f>""</f>
        <v/>
      </c>
    </row>
    <row r="126" spans="1:34" x14ac:dyDescent="0.2">
      <c r="A126" s="20" t="str">
        <f t="shared" si="13"/>
        <v/>
      </c>
      <c r="B126" s="20" t="str">
        <f>IF(AND(Exposures!$D54&lt;&gt;"",COUNTA(Exposures!$AE54:$AL54)&gt;0),Exposures!$D54&amp;"/STOP","")</f>
        <v/>
      </c>
      <c r="C126" s="20" t="str">
        <f t="shared" si="26"/>
        <v/>
      </c>
      <c r="D126" s="20" t="str">
        <f>IF(B126="","",Exposures!$A54&amp;"")</f>
        <v/>
      </c>
      <c r="E126" s="20" t="str">
        <f>IF(B126="","",Exposures!$B54&amp;"")</f>
        <v/>
      </c>
      <c r="F126" s="20" t="str">
        <f t="shared" si="15"/>
        <v/>
      </c>
      <c r="G126" s="20" t="str">
        <f>IF(B126="","",Exposures!$D54&amp;"")</f>
        <v/>
      </c>
      <c r="H126" s="20" t="str">
        <f>IF(B126="","",Exposures!$AE54&amp;"")</f>
        <v/>
      </c>
      <c r="I126" s="20" t="str">
        <f>IF(B126="","",Exposures!$AH54&amp;"")</f>
        <v/>
      </c>
      <c r="J126" s="20" t="str">
        <f>IF(B126="","",Exposures!$AN54&amp;"")</f>
        <v/>
      </c>
      <c r="K126" s="20">
        <f>IF(B126="",0,Exposures!$AO54)</f>
        <v>0</v>
      </c>
      <c r="L126" s="20">
        <f>IF(B126="",0,Exposures!$AP54)</f>
        <v>0</v>
      </c>
      <c r="M126" s="20" t="str">
        <f>IF(B126="","",Exposures!$AS54)</f>
        <v/>
      </c>
      <c r="N126" s="20" t="str">
        <f>IF(B126="","",Exposures!$AT54)</f>
        <v/>
      </c>
      <c r="O126" s="27" t="str">
        <f>IF(B126="","",Exposures!$AQ54)</f>
        <v/>
      </c>
      <c r="P126" s="27" t="str">
        <f>IF(B126="","",Exposures!$AR54)</f>
        <v/>
      </c>
      <c r="Q126" s="20" t="str">
        <f t="shared" si="16"/>
        <v/>
      </c>
      <c r="R126" s="20" t="str">
        <f>IF(A126="","",IF(J126&lt;&gt;"",J126,IF(H126="TIMESTAMP",DAY(INT(M126/1440))&amp;" "&amp;INDEX(nLIST_Months,MONTH(INT(M126/1440)))&amp;" "&amp;YEAR(INT(M126/1440))&amp;" "&amp;RIGHT("0"&amp;INT(MOD(M126,1440)/60),2)&amp;":"&amp;RIGHT("0"&amp;MOD(M126,60),2)&amp;IF(L126=1," (UTC"&amp;I126&amp;")"," (offset unknown)"),IF(H126="DATE",DAY(O126)&amp;" "&amp;INDEX(nLIST_Months,MONTH(O126))&amp;" "&amp;YEAR(O126),IF(H126="MONTH",INDEX(nLIST_Months,MONTH(O126))&amp;" "&amp;YEAR(O126)&amp;" ("&amp;DAY(O126)&amp;" "&amp;INDEX(nLIST_Months,MONTH(O126))&amp;" "&amp;YEAR(O126)&amp;" to "&amp;DAY(P126)&amp;" "&amp;INDEX(nLIST_Months,MONTH(P126))&amp;" "&amp;YEAR(P126)&amp;")",IF(H126="YEAR",YEAR(O126)&amp;" (1 January to 31 December)",DAY(O126)&amp;" "&amp;INDEX(nLIST_Months,MONTH(O126))&amp;" "&amp;YEAR(O126)&amp;" to "&amp;DAY(P126)&amp;" "&amp;INDEX(nLIST_Months,MONTH(P126))&amp;" "&amp;YEAR(P126)&amp;IF(H126="LAB"," (laboratory-defined)","")))))))</f>
        <v/>
      </c>
      <c r="S126" s="20" t="str">
        <f>IF(B126="","",Exposures!$AD54&amp;"")</f>
        <v/>
      </c>
      <c r="T126" s="20" t="str">
        <f>IF(B126="","",Exposures!$AM54&amp;"")</f>
        <v/>
      </c>
      <c r="U126" s="20" t="str">
        <f>IF(B126="","","Exposures row "&amp;ROW(Exposures!$A54)&amp;", Stop")</f>
        <v/>
      </c>
      <c r="V126" s="20">
        <f>IF(A126="",0,COUNTIF(nTP_Key,A126))</f>
        <v>0</v>
      </c>
      <c r="W126" s="20">
        <f t="shared" si="17"/>
        <v>0</v>
      </c>
      <c r="X126" s="20">
        <f t="shared" si="18"/>
        <v>0</v>
      </c>
      <c r="Y126" s="20">
        <f t="shared" si="19"/>
        <v>0</v>
      </c>
      <c r="Z126" s="20">
        <f t="shared" si="20"/>
        <v>0</v>
      </c>
      <c r="AA126" s="20">
        <f t="shared" si="21"/>
        <v>122</v>
      </c>
      <c r="AB126" s="20" t="str">
        <f>""</f>
        <v/>
      </c>
      <c r="AC126" s="20" t="str">
        <f>IF(B126="","",Exposures!$F54&amp;"")</f>
        <v/>
      </c>
      <c r="AD126" s="20" t="str">
        <f>IF(B126="","",Exposures!$E54&amp;": Stop")</f>
        <v/>
      </c>
      <c r="AE126" s="20">
        <f t="shared" si="22"/>
        <v>0</v>
      </c>
      <c r="AF126" s="20" t="str">
        <f t="shared" si="23"/>
        <v/>
      </c>
      <c r="AG126" s="20">
        <f t="shared" si="24"/>
        <v>0</v>
      </c>
      <c r="AH126" s="20" t="str">
        <f>""</f>
        <v/>
      </c>
    </row>
    <row r="127" spans="1:34" x14ac:dyDescent="0.2">
      <c r="A127" s="20" t="str">
        <f t="shared" si="13"/>
        <v>VEC-V08|1|EX1/STOP</v>
      </c>
      <c r="B127" s="20" t="str">
        <f>IF(AND(Exposures!$D55&lt;&gt;"",COUNTA(Exposures!$AE55:$AL55)&gt;0),Exposures!$D55&amp;"/STOP","")</f>
        <v>EX1/STOP</v>
      </c>
      <c r="C127" s="20" t="str">
        <f t="shared" si="26"/>
        <v>EXPOSURE_STOP</v>
      </c>
      <c r="D127" s="20" t="str">
        <f>IF(B127="","",Exposures!$A55&amp;"")</f>
        <v>VEC-V08</v>
      </c>
      <c r="E127" s="20" t="str">
        <f>IF(B127="","",Exposures!$B55&amp;"")</f>
        <v>1</v>
      </c>
      <c r="F127" s="20" t="str">
        <f t="shared" si="15"/>
        <v>VEC-V08|1</v>
      </c>
      <c r="G127" s="20" t="str">
        <f>IF(B127="","",Exposures!$D55&amp;"")</f>
        <v>EX1</v>
      </c>
      <c r="H127" s="20" t="str">
        <f>IF(B127="","",Exposures!$AE55&amp;"")</f>
        <v>DATE</v>
      </c>
      <c r="I127" s="20" t="str">
        <f>IF(B127="","",Exposures!$AH55&amp;"")</f>
        <v/>
      </c>
      <c r="J127" s="20" t="str">
        <f>IF(B127="","",Exposures!$AN55&amp;"")</f>
        <v/>
      </c>
      <c r="K127" s="20">
        <f>IF(B127="",0,Exposures!$AO55)</f>
        <v>0</v>
      </c>
      <c r="L127" s="20">
        <f>IF(B127="",0,Exposures!$AP55)</f>
        <v>0</v>
      </c>
      <c r="M127" s="20" t="str">
        <f>IF(B127="","",Exposures!$AS55)</f>
        <v/>
      </c>
      <c r="N127" s="20" t="str">
        <f>IF(B127="","",Exposures!$AT55)</f>
        <v/>
      </c>
      <c r="O127" s="27">
        <f>IF(B127="","",Exposures!$AQ55)</f>
        <v>46042</v>
      </c>
      <c r="P127" s="27">
        <f>IF(B127="","",Exposures!$AR55)</f>
        <v>46042</v>
      </c>
      <c r="Q127" s="20" t="str">
        <f t="shared" si="16"/>
        <v>2026-01-20</v>
      </c>
      <c r="R127" s="20" t="str">
        <f>IF(A127="","",IF(J127&lt;&gt;"",J127,IF(H127="TIMESTAMP",DAY(INT(M127/1440))&amp;" "&amp;INDEX(nLIST_Months,MONTH(INT(M127/1440)))&amp;" "&amp;YEAR(INT(M127/1440))&amp;" "&amp;RIGHT("0"&amp;INT(MOD(M127,1440)/60),2)&amp;":"&amp;RIGHT("0"&amp;MOD(M127,60),2)&amp;IF(L127=1," (UTC"&amp;I127&amp;")"," (offset unknown)"),IF(H127="DATE",DAY(O127)&amp;" "&amp;INDEX(nLIST_Months,MONTH(O127))&amp;" "&amp;YEAR(O127),IF(H127="MONTH",INDEX(nLIST_Months,MONTH(O127))&amp;" "&amp;YEAR(O127)&amp;" ("&amp;DAY(O127)&amp;" "&amp;INDEX(nLIST_Months,MONTH(O127))&amp;" "&amp;YEAR(O127)&amp;" to "&amp;DAY(P127)&amp;" "&amp;INDEX(nLIST_Months,MONTH(P127))&amp;" "&amp;YEAR(P127)&amp;")",IF(H127="YEAR",YEAR(O127)&amp;" (1 January to 31 December)",DAY(O127)&amp;" "&amp;INDEX(nLIST_Months,MONTH(O127))&amp;" "&amp;YEAR(O127)&amp;" to "&amp;DAY(P127)&amp;" "&amp;INDEX(nLIST_Months,MONTH(P127))&amp;" "&amp;YEAR(P127)&amp;IF(H127="LAB"," (laboratory-defined)","")))))))</f>
        <v>20 January 2026</v>
      </c>
      <c r="S127" s="20" t="str">
        <f>IF(B127="","",Exposures!$AD55&amp;"")</f>
        <v>stop</v>
      </c>
      <c r="T127" s="20" t="str">
        <f>IF(B127="","",Exposures!$AM55&amp;"")</f>
        <v>tto_calc_test_vectors_v1.1.json V08</v>
      </c>
      <c r="U127" s="20" t="str">
        <f>IF(B127="","","Exposures row "&amp;ROW(Exposures!$A55)&amp;", Stop")</f>
        <v>Exposures row 55, Stop</v>
      </c>
      <c r="V127" s="20">
        <f>IF(A127="",0,COUNTIF(nTP_Key,A127))</f>
        <v>1</v>
      </c>
      <c r="W127" s="20">
        <f t="shared" si="17"/>
        <v>0</v>
      </c>
      <c r="X127" s="20">
        <f t="shared" si="18"/>
        <v>0</v>
      </c>
      <c r="Y127" s="20">
        <f t="shared" si="19"/>
        <v>46042</v>
      </c>
      <c r="Z127" s="20">
        <f t="shared" si="20"/>
        <v>46042</v>
      </c>
      <c r="AA127" s="20">
        <f t="shared" si="21"/>
        <v>123</v>
      </c>
      <c r="AB127" s="20" t="str">
        <f>""</f>
        <v/>
      </c>
      <c r="AC127" s="20" t="str">
        <f>IF(B127="","",Exposures!$F55&amp;"")</f>
        <v/>
      </c>
      <c r="AD127" s="20" t="str">
        <f>IF(B127="","",Exposures!$E55&amp;": Stop")</f>
        <v>Vector drug: Stop</v>
      </c>
      <c r="AE127" s="20">
        <f t="shared" si="22"/>
        <v>0</v>
      </c>
      <c r="AF127" s="20" t="str">
        <f t="shared" si="23"/>
        <v/>
      </c>
      <c r="AG127" s="20">
        <f t="shared" si="24"/>
        <v>1</v>
      </c>
      <c r="AH127" s="20" t="str">
        <f>""</f>
        <v/>
      </c>
    </row>
    <row r="128" spans="1:34" x14ac:dyDescent="0.2">
      <c r="A128" s="20" t="str">
        <f t="shared" si="13"/>
        <v/>
      </c>
      <c r="B128" s="20" t="str">
        <f>IF(AND(Exposures!$D56&lt;&gt;"",COUNTA(Exposures!$AE56:$AL56)&gt;0),Exposures!$D56&amp;"/STOP","")</f>
        <v/>
      </c>
      <c r="C128" s="20" t="str">
        <f t="shared" si="26"/>
        <v/>
      </c>
      <c r="D128" s="20" t="str">
        <f>IF(B128="","",Exposures!$A56&amp;"")</f>
        <v/>
      </c>
      <c r="E128" s="20" t="str">
        <f>IF(B128="","",Exposures!$B56&amp;"")</f>
        <v/>
      </c>
      <c r="F128" s="20" t="str">
        <f t="shared" si="15"/>
        <v/>
      </c>
      <c r="G128" s="20" t="str">
        <f>IF(B128="","",Exposures!$D56&amp;"")</f>
        <v/>
      </c>
      <c r="H128" s="20" t="str">
        <f>IF(B128="","",Exposures!$AE56&amp;"")</f>
        <v/>
      </c>
      <c r="I128" s="20" t="str">
        <f>IF(B128="","",Exposures!$AH56&amp;"")</f>
        <v/>
      </c>
      <c r="J128" s="20" t="str">
        <f>IF(B128="","",Exposures!$AN56&amp;"")</f>
        <v/>
      </c>
      <c r="K128" s="20">
        <f>IF(B128="",0,Exposures!$AO56)</f>
        <v>0</v>
      </c>
      <c r="L128" s="20">
        <f>IF(B128="",0,Exposures!$AP56)</f>
        <v>0</v>
      </c>
      <c r="M128" s="20" t="str">
        <f>IF(B128="","",Exposures!$AS56)</f>
        <v/>
      </c>
      <c r="N128" s="20" t="str">
        <f>IF(B128="","",Exposures!$AT56)</f>
        <v/>
      </c>
      <c r="O128" s="27" t="str">
        <f>IF(B128="","",Exposures!$AQ56)</f>
        <v/>
      </c>
      <c r="P128" s="27" t="str">
        <f>IF(B128="","",Exposures!$AR56)</f>
        <v/>
      </c>
      <c r="Q128" s="20" t="str">
        <f t="shared" si="16"/>
        <v/>
      </c>
      <c r="R128" s="20" t="str">
        <f>IF(A128="","",IF(J128&lt;&gt;"",J128,IF(H128="TIMESTAMP",DAY(INT(M128/1440))&amp;" "&amp;INDEX(nLIST_Months,MONTH(INT(M128/1440)))&amp;" "&amp;YEAR(INT(M128/1440))&amp;" "&amp;RIGHT("0"&amp;INT(MOD(M128,1440)/60),2)&amp;":"&amp;RIGHT("0"&amp;MOD(M128,60),2)&amp;IF(L128=1," (UTC"&amp;I128&amp;")"," (offset unknown)"),IF(H128="DATE",DAY(O128)&amp;" "&amp;INDEX(nLIST_Months,MONTH(O128))&amp;" "&amp;YEAR(O128),IF(H128="MONTH",INDEX(nLIST_Months,MONTH(O128))&amp;" "&amp;YEAR(O128)&amp;" ("&amp;DAY(O128)&amp;" "&amp;INDEX(nLIST_Months,MONTH(O128))&amp;" "&amp;YEAR(O128)&amp;" to "&amp;DAY(P128)&amp;" "&amp;INDEX(nLIST_Months,MONTH(P128))&amp;" "&amp;YEAR(P128)&amp;")",IF(H128="YEAR",YEAR(O128)&amp;" (1 January to 31 December)",DAY(O128)&amp;" "&amp;INDEX(nLIST_Months,MONTH(O128))&amp;" "&amp;YEAR(O128)&amp;" to "&amp;DAY(P128)&amp;" "&amp;INDEX(nLIST_Months,MONTH(P128))&amp;" "&amp;YEAR(P128)&amp;IF(H128="LAB"," (laboratory-defined)","")))))))</f>
        <v/>
      </c>
      <c r="S128" s="20" t="str">
        <f>IF(B128="","",Exposures!$AD56&amp;"")</f>
        <v/>
      </c>
      <c r="T128" s="20" t="str">
        <f>IF(B128="","",Exposures!$AM56&amp;"")</f>
        <v/>
      </c>
      <c r="U128" s="20" t="str">
        <f>IF(B128="","","Exposures row "&amp;ROW(Exposures!$A56)&amp;", Stop")</f>
        <v/>
      </c>
      <c r="V128" s="20">
        <f>IF(A128="",0,COUNTIF(nTP_Key,A128))</f>
        <v>0</v>
      </c>
      <c r="W128" s="20">
        <f t="shared" si="17"/>
        <v>0</v>
      </c>
      <c r="X128" s="20">
        <f t="shared" si="18"/>
        <v>0</v>
      </c>
      <c r="Y128" s="20">
        <f t="shared" si="19"/>
        <v>0</v>
      </c>
      <c r="Z128" s="20">
        <f t="shared" si="20"/>
        <v>0</v>
      </c>
      <c r="AA128" s="20">
        <f t="shared" si="21"/>
        <v>124</v>
      </c>
      <c r="AB128" s="20" t="str">
        <f>""</f>
        <v/>
      </c>
      <c r="AC128" s="20" t="str">
        <f>IF(B128="","",Exposures!$F56&amp;"")</f>
        <v/>
      </c>
      <c r="AD128" s="20" t="str">
        <f>IF(B128="","",Exposures!$E56&amp;": Stop")</f>
        <v/>
      </c>
      <c r="AE128" s="20">
        <f t="shared" si="22"/>
        <v>0</v>
      </c>
      <c r="AF128" s="20" t="str">
        <f t="shared" si="23"/>
        <v/>
      </c>
      <c r="AG128" s="20">
        <f t="shared" si="24"/>
        <v>0</v>
      </c>
      <c r="AH128" s="20" t="str">
        <f>""</f>
        <v/>
      </c>
    </row>
    <row r="129" spans="1:34" x14ac:dyDescent="0.2">
      <c r="A129" s="20" t="str">
        <f t="shared" si="13"/>
        <v/>
      </c>
      <c r="B129" s="20" t="str">
        <f>IF(AND(Exposures!$D57&lt;&gt;"",COUNTA(Exposures!$AE57:$AL57)&gt;0),Exposures!$D57&amp;"/STOP","")</f>
        <v/>
      </c>
      <c r="C129" s="20" t="str">
        <f t="shared" si="26"/>
        <v/>
      </c>
      <c r="D129" s="20" t="str">
        <f>IF(B129="","",Exposures!$A57&amp;"")</f>
        <v/>
      </c>
      <c r="E129" s="20" t="str">
        <f>IF(B129="","",Exposures!$B57&amp;"")</f>
        <v/>
      </c>
      <c r="F129" s="20" t="str">
        <f t="shared" si="15"/>
        <v/>
      </c>
      <c r="G129" s="20" t="str">
        <f>IF(B129="","",Exposures!$D57&amp;"")</f>
        <v/>
      </c>
      <c r="H129" s="20" t="str">
        <f>IF(B129="","",Exposures!$AE57&amp;"")</f>
        <v/>
      </c>
      <c r="I129" s="20" t="str">
        <f>IF(B129="","",Exposures!$AH57&amp;"")</f>
        <v/>
      </c>
      <c r="J129" s="20" t="str">
        <f>IF(B129="","",Exposures!$AN57&amp;"")</f>
        <v/>
      </c>
      <c r="K129" s="20">
        <f>IF(B129="",0,Exposures!$AO57)</f>
        <v>0</v>
      </c>
      <c r="L129" s="20">
        <f>IF(B129="",0,Exposures!$AP57)</f>
        <v>0</v>
      </c>
      <c r="M129" s="20" t="str">
        <f>IF(B129="","",Exposures!$AS57)</f>
        <v/>
      </c>
      <c r="N129" s="20" t="str">
        <f>IF(B129="","",Exposures!$AT57)</f>
        <v/>
      </c>
      <c r="O129" s="27" t="str">
        <f>IF(B129="","",Exposures!$AQ57)</f>
        <v/>
      </c>
      <c r="P129" s="27" t="str">
        <f>IF(B129="","",Exposures!$AR57)</f>
        <v/>
      </c>
      <c r="Q129" s="20" t="str">
        <f t="shared" si="16"/>
        <v/>
      </c>
      <c r="R129" s="20" t="str">
        <f>IF(A129="","",IF(J129&lt;&gt;"",J129,IF(H129="TIMESTAMP",DAY(INT(M129/1440))&amp;" "&amp;INDEX(nLIST_Months,MONTH(INT(M129/1440)))&amp;" "&amp;YEAR(INT(M129/1440))&amp;" "&amp;RIGHT("0"&amp;INT(MOD(M129,1440)/60),2)&amp;":"&amp;RIGHT("0"&amp;MOD(M129,60),2)&amp;IF(L129=1," (UTC"&amp;I129&amp;")"," (offset unknown)"),IF(H129="DATE",DAY(O129)&amp;" "&amp;INDEX(nLIST_Months,MONTH(O129))&amp;" "&amp;YEAR(O129),IF(H129="MONTH",INDEX(nLIST_Months,MONTH(O129))&amp;" "&amp;YEAR(O129)&amp;" ("&amp;DAY(O129)&amp;" "&amp;INDEX(nLIST_Months,MONTH(O129))&amp;" "&amp;YEAR(O129)&amp;" to "&amp;DAY(P129)&amp;" "&amp;INDEX(nLIST_Months,MONTH(P129))&amp;" "&amp;YEAR(P129)&amp;")",IF(H129="YEAR",YEAR(O129)&amp;" (1 January to 31 December)",DAY(O129)&amp;" "&amp;INDEX(nLIST_Months,MONTH(O129))&amp;" "&amp;YEAR(O129)&amp;" to "&amp;DAY(P129)&amp;" "&amp;INDEX(nLIST_Months,MONTH(P129))&amp;" "&amp;YEAR(P129)&amp;IF(H129="LAB"," (laboratory-defined)","")))))))</f>
        <v/>
      </c>
      <c r="S129" s="20" t="str">
        <f>IF(B129="","",Exposures!$AD57&amp;"")</f>
        <v/>
      </c>
      <c r="T129" s="20" t="str">
        <f>IF(B129="","",Exposures!$AM57&amp;"")</f>
        <v/>
      </c>
      <c r="U129" s="20" t="str">
        <f>IF(B129="","","Exposures row "&amp;ROW(Exposures!$A57)&amp;", Stop")</f>
        <v/>
      </c>
      <c r="V129" s="20">
        <f>IF(A129="",0,COUNTIF(nTP_Key,A129))</f>
        <v>0</v>
      </c>
      <c r="W129" s="20">
        <f t="shared" si="17"/>
        <v>0</v>
      </c>
      <c r="X129" s="20">
        <f t="shared" si="18"/>
        <v>0</v>
      </c>
      <c r="Y129" s="20">
        <f t="shared" si="19"/>
        <v>0</v>
      </c>
      <c r="Z129" s="20">
        <f t="shared" si="20"/>
        <v>0</v>
      </c>
      <c r="AA129" s="20">
        <f t="shared" si="21"/>
        <v>125</v>
      </c>
      <c r="AB129" s="20" t="str">
        <f>""</f>
        <v/>
      </c>
      <c r="AC129" s="20" t="str">
        <f>IF(B129="","",Exposures!$F57&amp;"")</f>
        <v/>
      </c>
      <c r="AD129" s="20" t="str">
        <f>IF(B129="","",Exposures!$E57&amp;": Stop")</f>
        <v/>
      </c>
      <c r="AE129" s="20">
        <f t="shared" si="22"/>
        <v>0</v>
      </c>
      <c r="AF129" s="20" t="str">
        <f t="shared" si="23"/>
        <v/>
      </c>
      <c r="AG129" s="20">
        <f t="shared" si="24"/>
        <v>0</v>
      </c>
      <c r="AH129" s="20" t="str">
        <f>""</f>
        <v/>
      </c>
    </row>
    <row r="130" spans="1:34" x14ac:dyDescent="0.2">
      <c r="A130" s="20" t="str">
        <f t="shared" si="13"/>
        <v/>
      </c>
      <c r="B130" s="20" t="str">
        <f>IF(AND(Exposures!$D58&lt;&gt;"",COUNTA(Exposures!$AE58:$AL58)&gt;0),Exposures!$D58&amp;"/STOP","")</f>
        <v/>
      </c>
      <c r="C130" s="20" t="str">
        <f t="shared" si="26"/>
        <v/>
      </c>
      <c r="D130" s="20" t="str">
        <f>IF(B130="","",Exposures!$A58&amp;"")</f>
        <v/>
      </c>
      <c r="E130" s="20" t="str">
        <f>IF(B130="","",Exposures!$B58&amp;"")</f>
        <v/>
      </c>
      <c r="F130" s="20" t="str">
        <f t="shared" si="15"/>
        <v/>
      </c>
      <c r="G130" s="20" t="str">
        <f>IF(B130="","",Exposures!$D58&amp;"")</f>
        <v/>
      </c>
      <c r="H130" s="20" t="str">
        <f>IF(B130="","",Exposures!$AE58&amp;"")</f>
        <v/>
      </c>
      <c r="I130" s="20" t="str">
        <f>IF(B130="","",Exposures!$AH58&amp;"")</f>
        <v/>
      </c>
      <c r="J130" s="20" t="str">
        <f>IF(B130="","",Exposures!$AN58&amp;"")</f>
        <v/>
      </c>
      <c r="K130" s="20">
        <f>IF(B130="",0,Exposures!$AO58)</f>
        <v>0</v>
      </c>
      <c r="L130" s="20">
        <f>IF(B130="",0,Exposures!$AP58)</f>
        <v>0</v>
      </c>
      <c r="M130" s="20" t="str">
        <f>IF(B130="","",Exposures!$AS58)</f>
        <v/>
      </c>
      <c r="N130" s="20" t="str">
        <f>IF(B130="","",Exposures!$AT58)</f>
        <v/>
      </c>
      <c r="O130" s="27" t="str">
        <f>IF(B130="","",Exposures!$AQ58)</f>
        <v/>
      </c>
      <c r="P130" s="27" t="str">
        <f>IF(B130="","",Exposures!$AR58)</f>
        <v/>
      </c>
      <c r="Q130" s="20" t="str">
        <f t="shared" si="16"/>
        <v/>
      </c>
      <c r="R130" s="20" t="str">
        <f>IF(A130="","",IF(J130&lt;&gt;"",J130,IF(H130="TIMESTAMP",DAY(INT(M130/1440))&amp;" "&amp;INDEX(nLIST_Months,MONTH(INT(M130/1440)))&amp;" "&amp;YEAR(INT(M130/1440))&amp;" "&amp;RIGHT("0"&amp;INT(MOD(M130,1440)/60),2)&amp;":"&amp;RIGHT("0"&amp;MOD(M130,60),2)&amp;IF(L130=1," (UTC"&amp;I130&amp;")"," (offset unknown)"),IF(H130="DATE",DAY(O130)&amp;" "&amp;INDEX(nLIST_Months,MONTH(O130))&amp;" "&amp;YEAR(O130),IF(H130="MONTH",INDEX(nLIST_Months,MONTH(O130))&amp;" "&amp;YEAR(O130)&amp;" ("&amp;DAY(O130)&amp;" "&amp;INDEX(nLIST_Months,MONTH(O130))&amp;" "&amp;YEAR(O130)&amp;" to "&amp;DAY(P130)&amp;" "&amp;INDEX(nLIST_Months,MONTH(P130))&amp;" "&amp;YEAR(P130)&amp;")",IF(H130="YEAR",YEAR(O130)&amp;" (1 January to 31 December)",DAY(O130)&amp;" "&amp;INDEX(nLIST_Months,MONTH(O130))&amp;" "&amp;YEAR(O130)&amp;" to "&amp;DAY(P130)&amp;" "&amp;INDEX(nLIST_Months,MONTH(P130))&amp;" "&amp;YEAR(P130)&amp;IF(H130="LAB"," (laboratory-defined)","")))))))</f>
        <v/>
      </c>
      <c r="S130" s="20" t="str">
        <f>IF(B130="","",Exposures!$AD58&amp;"")</f>
        <v/>
      </c>
      <c r="T130" s="20" t="str">
        <f>IF(B130="","",Exposures!$AM58&amp;"")</f>
        <v/>
      </c>
      <c r="U130" s="20" t="str">
        <f>IF(B130="","","Exposures row "&amp;ROW(Exposures!$A58)&amp;", Stop")</f>
        <v/>
      </c>
      <c r="V130" s="20">
        <f>IF(A130="",0,COUNTIF(nTP_Key,A130))</f>
        <v>0</v>
      </c>
      <c r="W130" s="20">
        <f t="shared" si="17"/>
        <v>0</v>
      </c>
      <c r="X130" s="20">
        <f t="shared" si="18"/>
        <v>0</v>
      </c>
      <c r="Y130" s="20">
        <f t="shared" si="19"/>
        <v>0</v>
      </c>
      <c r="Z130" s="20">
        <f t="shared" si="20"/>
        <v>0</v>
      </c>
      <c r="AA130" s="20">
        <f t="shared" si="21"/>
        <v>126</v>
      </c>
      <c r="AB130" s="20" t="str">
        <f>""</f>
        <v/>
      </c>
      <c r="AC130" s="20" t="str">
        <f>IF(B130="","",Exposures!$F58&amp;"")</f>
        <v/>
      </c>
      <c r="AD130" s="20" t="str">
        <f>IF(B130="","",Exposures!$E58&amp;": Stop")</f>
        <v/>
      </c>
      <c r="AE130" s="20">
        <f t="shared" si="22"/>
        <v>0</v>
      </c>
      <c r="AF130" s="20" t="str">
        <f t="shared" si="23"/>
        <v/>
      </c>
      <c r="AG130" s="20">
        <f t="shared" si="24"/>
        <v>0</v>
      </c>
      <c r="AH130" s="20" t="str">
        <f>""</f>
        <v/>
      </c>
    </row>
    <row r="131" spans="1:34" x14ac:dyDescent="0.2">
      <c r="A131" s="20" t="str">
        <f t="shared" si="13"/>
        <v/>
      </c>
      <c r="B131" s="20" t="str">
        <f>IF(AND(Exposures!$D59&lt;&gt;"",COUNTA(Exposures!$AE59:$AL59)&gt;0),Exposures!$D59&amp;"/STOP","")</f>
        <v/>
      </c>
      <c r="C131" s="20" t="str">
        <f t="shared" si="26"/>
        <v/>
      </c>
      <c r="D131" s="20" t="str">
        <f>IF(B131="","",Exposures!$A59&amp;"")</f>
        <v/>
      </c>
      <c r="E131" s="20" t="str">
        <f>IF(B131="","",Exposures!$B59&amp;"")</f>
        <v/>
      </c>
      <c r="F131" s="20" t="str">
        <f t="shared" si="15"/>
        <v/>
      </c>
      <c r="G131" s="20" t="str">
        <f>IF(B131="","",Exposures!$D59&amp;"")</f>
        <v/>
      </c>
      <c r="H131" s="20" t="str">
        <f>IF(B131="","",Exposures!$AE59&amp;"")</f>
        <v/>
      </c>
      <c r="I131" s="20" t="str">
        <f>IF(B131="","",Exposures!$AH59&amp;"")</f>
        <v/>
      </c>
      <c r="J131" s="20" t="str">
        <f>IF(B131="","",Exposures!$AN59&amp;"")</f>
        <v/>
      </c>
      <c r="K131" s="20">
        <f>IF(B131="",0,Exposures!$AO59)</f>
        <v>0</v>
      </c>
      <c r="L131" s="20">
        <f>IF(B131="",0,Exposures!$AP59)</f>
        <v>0</v>
      </c>
      <c r="M131" s="20" t="str">
        <f>IF(B131="","",Exposures!$AS59)</f>
        <v/>
      </c>
      <c r="N131" s="20" t="str">
        <f>IF(B131="","",Exposures!$AT59)</f>
        <v/>
      </c>
      <c r="O131" s="27" t="str">
        <f>IF(B131="","",Exposures!$AQ59)</f>
        <v/>
      </c>
      <c r="P131" s="27" t="str">
        <f>IF(B131="","",Exposures!$AR59)</f>
        <v/>
      </c>
      <c r="Q131" s="20" t="str">
        <f t="shared" si="16"/>
        <v/>
      </c>
      <c r="R131" s="20" t="str">
        <f>IF(A131="","",IF(J131&lt;&gt;"",J131,IF(H131="TIMESTAMP",DAY(INT(M131/1440))&amp;" "&amp;INDEX(nLIST_Months,MONTH(INT(M131/1440)))&amp;" "&amp;YEAR(INT(M131/1440))&amp;" "&amp;RIGHT("0"&amp;INT(MOD(M131,1440)/60),2)&amp;":"&amp;RIGHT("0"&amp;MOD(M131,60),2)&amp;IF(L131=1," (UTC"&amp;I131&amp;")"," (offset unknown)"),IF(H131="DATE",DAY(O131)&amp;" "&amp;INDEX(nLIST_Months,MONTH(O131))&amp;" "&amp;YEAR(O131),IF(H131="MONTH",INDEX(nLIST_Months,MONTH(O131))&amp;" "&amp;YEAR(O131)&amp;" ("&amp;DAY(O131)&amp;" "&amp;INDEX(nLIST_Months,MONTH(O131))&amp;" "&amp;YEAR(O131)&amp;" to "&amp;DAY(P131)&amp;" "&amp;INDEX(nLIST_Months,MONTH(P131))&amp;" "&amp;YEAR(P131)&amp;")",IF(H131="YEAR",YEAR(O131)&amp;" (1 January to 31 December)",DAY(O131)&amp;" "&amp;INDEX(nLIST_Months,MONTH(O131))&amp;" "&amp;YEAR(O131)&amp;" to "&amp;DAY(P131)&amp;" "&amp;INDEX(nLIST_Months,MONTH(P131))&amp;" "&amp;YEAR(P131)&amp;IF(H131="LAB"," (laboratory-defined)","")))))))</f>
        <v/>
      </c>
      <c r="S131" s="20" t="str">
        <f>IF(B131="","",Exposures!$AD59&amp;"")</f>
        <v/>
      </c>
      <c r="T131" s="20" t="str">
        <f>IF(B131="","",Exposures!$AM59&amp;"")</f>
        <v/>
      </c>
      <c r="U131" s="20" t="str">
        <f>IF(B131="","","Exposures row "&amp;ROW(Exposures!$A59)&amp;", Stop")</f>
        <v/>
      </c>
      <c r="V131" s="20">
        <f>IF(A131="",0,COUNTIF(nTP_Key,A131))</f>
        <v>0</v>
      </c>
      <c r="W131" s="20">
        <f t="shared" si="17"/>
        <v>0</v>
      </c>
      <c r="X131" s="20">
        <f t="shared" si="18"/>
        <v>0</v>
      </c>
      <c r="Y131" s="20">
        <f t="shared" si="19"/>
        <v>0</v>
      </c>
      <c r="Z131" s="20">
        <f t="shared" si="20"/>
        <v>0</v>
      </c>
      <c r="AA131" s="20">
        <f t="shared" si="21"/>
        <v>127</v>
      </c>
      <c r="AB131" s="20" t="str">
        <f>""</f>
        <v/>
      </c>
      <c r="AC131" s="20" t="str">
        <f>IF(B131="","",Exposures!$F59&amp;"")</f>
        <v/>
      </c>
      <c r="AD131" s="20" t="str">
        <f>IF(B131="","",Exposures!$E59&amp;": Stop")</f>
        <v/>
      </c>
      <c r="AE131" s="20">
        <f t="shared" si="22"/>
        <v>0</v>
      </c>
      <c r="AF131" s="20" t="str">
        <f t="shared" si="23"/>
        <v/>
      </c>
      <c r="AG131" s="20">
        <f t="shared" si="24"/>
        <v>0</v>
      </c>
      <c r="AH131" s="20" t="str">
        <f>""</f>
        <v/>
      </c>
    </row>
    <row r="132" spans="1:34" x14ac:dyDescent="0.2">
      <c r="A132" s="20" t="str">
        <f t="shared" si="13"/>
        <v/>
      </c>
      <c r="B132" s="20" t="str">
        <f>IF(AND(Exposures!$D60&lt;&gt;"",COUNTA(Exposures!$AE60:$AL60)&gt;0),Exposures!$D60&amp;"/STOP","")</f>
        <v/>
      </c>
      <c r="C132" s="20" t="str">
        <f t="shared" si="26"/>
        <v/>
      </c>
      <c r="D132" s="20" t="str">
        <f>IF(B132="","",Exposures!$A60&amp;"")</f>
        <v/>
      </c>
      <c r="E132" s="20" t="str">
        <f>IF(B132="","",Exposures!$B60&amp;"")</f>
        <v/>
      </c>
      <c r="F132" s="20" t="str">
        <f t="shared" si="15"/>
        <v/>
      </c>
      <c r="G132" s="20" t="str">
        <f>IF(B132="","",Exposures!$D60&amp;"")</f>
        <v/>
      </c>
      <c r="H132" s="20" t="str">
        <f>IF(B132="","",Exposures!$AE60&amp;"")</f>
        <v/>
      </c>
      <c r="I132" s="20" t="str">
        <f>IF(B132="","",Exposures!$AH60&amp;"")</f>
        <v/>
      </c>
      <c r="J132" s="20" t="str">
        <f>IF(B132="","",Exposures!$AN60&amp;"")</f>
        <v/>
      </c>
      <c r="K132" s="20">
        <f>IF(B132="",0,Exposures!$AO60)</f>
        <v>0</v>
      </c>
      <c r="L132" s="20">
        <f>IF(B132="",0,Exposures!$AP60)</f>
        <v>0</v>
      </c>
      <c r="M132" s="20" t="str">
        <f>IF(B132="","",Exposures!$AS60)</f>
        <v/>
      </c>
      <c r="N132" s="20" t="str">
        <f>IF(B132="","",Exposures!$AT60)</f>
        <v/>
      </c>
      <c r="O132" s="27" t="str">
        <f>IF(B132="","",Exposures!$AQ60)</f>
        <v/>
      </c>
      <c r="P132" s="27" t="str">
        <f>IF(B132="","",Exposures!$AR60)</f>
        <v/>
      </c>
      <c r="Q132" s="20" t="str">
        <f t="shared" si="16"/>
        <v/>
      </c>
      <c r="R132" s="20" t="str">
        <f>IF(A132="","",IF(J132&lt;&gt;"",J132,IF(H132="TIMESTAMP",DAY(INT(M132/1440))&amp;" "&amp;INDEX(nLIST_Months,MONTH(INT(M132/1440)))&amp;" "&amp;YEAR(INT(M132/1440))&amp;" "&amp;RIGHT("0"&amp;INT(MOD(M132,1440)/60),2)&amp;":"&amp;RIGHT("0"&amp;MOD(M132,60),2)&amp;IF(L132=1," (UTC"&amp;I132&amp;")"," (offset unknown)"),IF(H132="DATE",DAY(O132)&amp;" "&amp;INDEX(nLIST_Months,MONTH(O132))&amp;" "&amp;YEAR(O132),IF(H132="MONTH",INDEX(nLIST_Months,MONTH(O132))&amp;" "&amp;YEAR(O132)&amp;" ("&amp;DAY(O132)&amp;" "&amp;INDEX(nLIST_Months,MONTH(O132))&amp;" "&amp;YEAR(O132)&amp;" to "&amp;DAY(P132)&amp;" "&amp;INDEX(nLIST_Months,MONTH(P132))&amp;" "&amp;YEAR(P132)&amp;")",IF(H132="YEAR",YEAR(O132)&amp;" (1 January to 31 December)",DAY(O132)&amp;" "&amp;INDEX(nLIST_Months,MONTH(O132))&amp;" "&amp;YEAR(O132)&amp;" to "&amp;DAY(P132)&amp;" "&amp;INDEX(nLIST_Months,MONTH(P132))&amp;" "&amp;YEAR(P132)&amp;IF(H132="LAB"," (laboratory-defined)","")))))))</f>
        <v/>
      </c>
      <c r="S132" s="20" t="str">
        <f>IF(B132="","",Exposures!$AD60&amp;"")</f>
        <v/>
      </c>
      <c r="T132" s="20" t="str">
        <f>IF(B132="","",Exposures!$AM60&amp;"")</f>
        <v/>
      </c>
      <c r="U132" s="20" t="str">
        <f>IF(B132="","","Exposures row "&amp;ROW(Exposures!$A60)&amp;", Stop")</f>
        <v/>
      </c>
      <c r="V132" s="20">
        <f>IF(A132="",0,COUNTIF(nTP_Key,A132))</f>
        <v>0</v>
      </c>
      <c r="W132" s="20">
        <f t="shared" si="17"/>
        <v>0</v>
      </c>
      <c r="X132" s="20">
        <f t="shared" si="18"/>
        <v>0</v>
      </c>
      <c r="Y132" s="20">
        <f t="shared" si="19"/>
        <v>0</v>
      </c>
      <c r="Z132" s="20">
        <f t="shared" si="20"/>
        <v>0</v>
      </c>
      <c r="AA132" s="20">
        <f t="shared" si="21"/>
        <v>128</v>
      </c>
      <c r="AB132" s="20" t="str">
        <f>""</f>
        <v/>
      </c>
      <c r="AC132" s="20" t="str">
        <f>IF(B132="","",Exposures!$F60&amp;"")</f>
        <v/>
      </c>
      <c r="AD132" s="20" t="str">
        <f>IF(B132="","",Exposures!$E60&amp;": Stop")</f>
        <v/>
      </c>
      <c r="AE132" s="20">
        <f t="shared" si="22"/>
        <v>0</v>
      </c>
      <c r="AF132" s="20" t="str">
        <f t="shared" si="23"/>
        <v/>
      </c>
      <c r="AG132" s="20">
        <f t="shared" si="24"/>
        <v>0</v>
      </c>
      <c r="AH132" s="20" t="str">
        <f>""</f>
        <v/>
      </c>
    </row>
    <row r="133" spans="1:34" x14ac:dyDescent="0.2">
      <c r="A133" s="20" t="str">
        <f t="shared" ref="A133:A196" si="27">IF(B133="","",F133&amp;"|"&amp;B133)</f>
        <v/>
      </c>
      <c r="B133" s="20" t="str">
        <f>IF(AND(Exposures!$D61&lt;&gt;"",COUNTA(Exposures!$AE61:$AL61)&gt;0),Exposures!$D61&amp;"/STOP","")</f>
        <v/>
      </c>
      <c r="C133" s="20" t="str">
        <f t="shared" si="26"/>
        <v/>
      </c>
      <c r="D133" s="20" t="str">
        <f>IF(B133="","",Exposures!$A61&amp;"")</f>
        <v/>
      </c>
      <c r="E133" s="20" t="str">
        <f>IF(B133="","",Exposures!$B61&amp;"")</f>
        <v/>
      </c>
      <c r="F133" s="20" t="str">
        <f t="shared" ref="F133:F196" si="28">IF(B133="","",D133&amp;"|"&amp;E133)</f>
        <v/>
      </c>
      <c r="G133" s="20" t="str">
        <f>IF(B133="","",Exposures!$D61&amp;"")</f>
        <v/>
      </c>
      <c r="H133" s="20" t="str">
        <f>IF(B133="","",Exposures!$AE61&amp;"")</f>
        <v/>
      </c>
      <c r="I133" s="20" t="str">
        <f>IF(B133="","",Exposures!$AH61&amp;"")</f>
        <v/>
      </c>
      <c r="J133" s="20" t="str">
        <f>IF(B133="","",Exposures!$AN61&amp;"")</f>
        <v/>
      </c>
      <c r="K133" s="20">
        <f>IF(B133="",0,Exposures!$AO61)</f>
        <v>0</v>
      </c>
      <c r="L133" s="20">
        <f>IF(B133="",0,Exposures!$AP61)</f>
        <v>0</v>
      </c>
      <c r="M133" s="20" t="str">
        <f>IF(B133="","",Exposures!$AS61)</f>
        <v/>
      </c>
      <c r="N133" s="20" t="str">
        <f>IF(B133="","",Exposures!$AT61)</f>
        <v/>
      </c>
      <c r="O133" s="27" t="str">
        <f>IF(B133="","",Exposures!$AQ61)</f>
        <v/>
      </c>
      <c r="P133" s="27" t="str">
        <f>IF(B133="","",Exposures!$AR61)</f>
        <v/>
      </c>
      <c r="Q133" s="20" t="str">
        <f t="shared" ref="Q133:Q196" si="29">IF(OR(A133="",J133&lt;&gt;""),"",IF(H133="TIMESTAMP",YEAR(INT(M133/1440))&amp;"-"&amp;RIGHT("0"&amp;MONTH(INT(M133/1440)),2)&amp;"-"&amp;RIGHT("0"&amp;DAY(INT(M133/1440)),2)&amp;"T"&amp;RIGHT("0"&amp;INT(MOD(M133,1440)/60),2)&amp;":"&amp;RIGHT("0"&amp;MOD(M133,60),2)&amp;IF(L133=1,I133,""),IF(H133="DATE",YEAR(O133)&amp;"-"&amp;RIGHT("0"&amp;MONTH(O133),2)&amp;"-"&amp;RIGHT("0"&amp;DAY(O133),2),IF(H133="MONTH",YEAR(O133)&amp;"-"&amp;RIGHT("0"&amp;MONTH(O133),2),IF(H133="YEAR",YEAR(O133)&amp;"",YEAR(O133)&amp;"-"&amp;RIGHT("0"&amp;MONTH(O133),2)&amp;"-"&amp;RIGHT("0"&amp;DAY(O133),2)&amp;"/"&amp;YEAR(P133)&amp;"-"&amp;RIGHT("0"&amp;MONTH(P133),2)&amp;"-"&amp;RIGHT("0"&amp;DAY(P133),2))))))</f>
        <v/>
      </c>
      <c r="R133" s="20" t="str">
        <f>IF(A133="","",IF(J133&lt;&gt;"",J133,IF(H133="TIMESTAMP",DAY(INT(M133/1440))&amp;" "&amp;INDEX(nLIST_Months,MONTH(INT(M133/1440)))&amp;" "&amp;YEAR(INT(M133/1440))&amp;" "&amp;RIGHT("0"&amp;INT(MOD(M133,1440)/60),2)&amp;":"&amp;RIGHT("0"&amp;MOD(M133,60),2)&amp;IF(L133=1," (UTC"&amp;I133&amp;")"," (offset unknown)"),IF(H133="DATE",DAY(O133)&amp;" "&amp;INDEX(nLIST_Months,MONTH(O133))&amp;" "&amp;YEAR(O133),IF(H133="MONTH",INDEX(nLIST_Months,MONTH(O133))&amp;" "&amp;YEAR(O133)&amp;" ("&amp;DAY(O133)&amp;" "&amp;INDEX(nLIST_Months,MONTH(O133))&amp;" "&amp;YEAR(O133)&amp;" to "&amp;DAY(P133)&amp;" "&amp;INDEX(nLIST_Months,MONTH(P133))&amp;" "&amp;YEAR(P133)&amp;")",IF(H133="YEAR",YEAR(O133)&amp;" (1 January to 31 December)",DAY(O133)&amp;" "&amp;INDEX(nLIST_Months,MONTH(O133))&amp;" "&amp;YEAR(O133)&amp;" to "&amp;DAY(P133)&amp;" "&amp;INDEX(nLIST_Months,MONTH(P133))&amp;" "&amp;YEAR(P133)&amp;IF(H133="LAB"," (laboratory-defined)","")))))))</f>
        <v/>
      </c>
      <c r="S133" s="20" t="str">
        <f>IF(B133="","",Exposures!$AD61&amp;"")</f>
        <v/>
      </c>
      <c r="T133" s="20" t="str">
        <f>IF(B133="","",Exposures!$AM61&amp;"")</f>
        <v/>
      </c>
      <c r="U133" s="20" t="str">
        <f>IF(B133="","","Exposures row "&amp;ROW(Exposures!$A61)&amp;", Stop")</f>
        <v/>
      </c>
      <c r="V133" s="20">
        <f>IF(A133="",0,COUNTIF(nTP_Key,A133))</f>
        <v>0</v>
      </c>
      <c r="W133" s="20">
        <f t="shared" ref="W133:W196" si="30">IF(M133="",0,M133)</f>
        <v>0</v>
      </c>
      <c r="X133" s="20">
        <f t="shared" ref="X133:X196" si="31">IF(N133="",0,N133)</f>
        <v>0</v>
      </c>
      <c r="Y133" s="20">
        <f t="shared" ref="Y133:Y196" si="32">IF(O133="",0,O133)</f>
        <v>0</v>
      </c>
      <c r="Z133" s="20">
        <f t="shared" ref="Z133:Z196" si="33">IF(P133="",0,P133)</f>
        <v>0</v>
      </c>
      <c r="AA133" s="20">
        <f t="shared" ref="AA133:AA196" si="34">ROW()-4</f>
        <v>129</v>
      </c>
      <c r="AB133" s="20" t="str">
        <f>""</f>
        <v/>
      </c>
      <c r="AC133" s="20" t="str">
        <f>IF(B133="","",Exposures!$F61&amp;"")</f>
        <v/>
      </c>
      <c r="AD133" s="20" t="str">
        <f>IF(B133="","",Exposures!$E61&amp;": Stop")</f>
        <v/>
      </c>
      <c r="AE133" s="20">
        <f t="shared" ref="AE133:AE196" si="35">IF(AND(A133&lt;&gt;"",OR(C133="EXPOSURE_START",C133="EXPOSURE_RESTART",AND(C133="ADMINISTRATION",AB133&lt;&gt;"INFUSION_SEGMENT"))),1,0)</f>
        <v>0</v>
      </c>
      <c r="AF133" s="20" t="str">
        <f t="shared" ref="AF133:AF196" si="36">IF(AE133=1,F133&amp;"|"&amp;G133,"")</f>
        <v/>
      </c>
      <c r="AG133" s="20">
        <f t="shared" ref="AG133:AG196" si="37">IF(AND(A133&lt;&gt;"",J133="",OR(H133="TIMESTAMP",H133="DATE")),1,0)</f>
        <v>0</v>
      </c>
      <c r="AH133" s="20" t="str">
        <f>""</f>
        <v/>
      </c>
    </row>
    <row r="134" spans="1:34" x14ac:dyDescent="0.2">
      <c r="A134" s="20" t="str">
        <f t="shared" si="27"/>
        <v/>
      </c>
      <c r="B134" s="20" t="str">
        <f>IF(AND(Exposures!$D62&lt;&gt;"",COUNTA(Exposures!$AE62:$AL62)&gt;0),Exposures!$D62&amp;"/STOP","")</f>
        <v/>
      </c>
      <c r="C134" s="20" t="str">
        <f t="shared" si="26"/>
        <v/>
      </c>
      <c r="D134" s="20" t="str">
        <f>IF(B134="","",Exposures!$A62&amp;"")</f>
        <v/>
      </c>
      <c r="E134" s="20" t="str">
        <f>IF(B134="","",Exposures!$B62&amp;"")</f>
        <v/>
      </c>
      <c r="F134" s="20" t="str">
        <f t="shared" si="28"/>
        <v/>
      </c>
      <c r="G134" s="20" t="str">
        <f>IF(B134="","",Exposures!$D62&amp;"")</f>
        <v/>
      </c>
      <c r="H134" s="20" t="str">
        <f>IF(B134="","",Exposures!$AE62&amp;"")</f>
        <v/>
      </c>
      <c r="I134" s="20" t="str">
        <f>IF(B134="","",Exposures!$AH62&amp;"")</f>
        <v/>
      </c>
      <c r="J134" s="20" t="str">
        <f>IF(B134="","",Exposures!$AN62&amp;"")</f>
        <v/>
      </c>
      <c r="K134" s="20">
        <f>IF(B134="",0,Exposures!$AO62)</f>
        <v>0</v>
      </c>
      <c r="L134" s="20">
        <f>IF(B134="",0,Exposures!$AP62)</f>
        <v>0</v>
      </c>
      <c r="M134" s="20" t="str">
        <f>IF(B134="","",Exposures!$AS62)</f>
        <v/>
      </c>
      <c r="N134" s="20" t="str">
        <f>IF(B134="","",Exposures!$AT62)</f>
        <v/>
      </c>
      <c r="O134" s="27" t="str">
        <f>IF(B134="","",Exposures!$AQ62)</f>
        <v/>
      </c>
      <c r="P134" s="27" t="str">
        <f>IF(B134="","",Exposures!$AR62)</f>
        <v/>
      </c>
      <c r="Q134" s="20" t="str">
        <f t="shared" si="29"/>
        <v/>
      </c>
      <c r="R134" s="20" t="str">
        <f>IF(A134="","",IF(J134&lt;&gt;"",J134,IF(H134="TIMESTAMP",DAY(INT(M134/1440))&amp;" "&amp;INDEX(nLIST_Months,MONTH(INT(M134/1440)))&amp;" "&amp;YEAR(INT(M134/1440))&amp;" "&amp;RIGHT("0"&amp;INT(MOD(M134,1440)/60),2)&amp;":"&amp;RIGHT("0"&amp;MOD(M134,60),2)&amp;IF(L134=1," (UTC"&amp;I134&amp;")"," (offset unknown)"),IF(H134="DATE",DAY(O134)&amp;" "&amp;INDEX(nLIST_Months,MONTH(O134))&amp;" "&amp;YEAR(O134),IF(H134="MONTH",INDEX(nLIST_Months,MONTH(O134))&amp;" "&amp;YEAR(O134)&amp;" ("&amp;DAY(O134)&amp;" "&amp;INDEX(nLIST_Months,MONTH(O134))&amp;" "&amp;YEAR(O134)&amp;" to "&amp;DAY(P134)&amp;" "&amp;INDEX(nLIST_Months,MONTH(P134))&amp;" "&amp;YEAR(P134)&amp;")",IF(H134="YEAR",YEAR(O134)&amp;" (1 January to 31 December)",DAY(O134)&amp;" "&amp;INDEX(nLIST_Months,MONTH(O134))&amp;" "&amp;YEAR(O134)&amp;" to "&amp;DAY(P134)&amp;" "&amp;INDEX(nLIST_Months,MONTH(P134))&amp;" "&amp;YEAR(P134)&amp;IF(H134="LAB"," (laboratory-defined)","")))))))</f>
        <v/>
      </c>
      <c r="S134" s="20" t="str">
        <f>IF(B134="","",Exposures!$AD62&amp;"")</f>
        <v/>
      </c>
      <c r="T134" s="20" t="str">
        <f>IF(B134="","",Exposures!$AM62&amp;"")</f>
        <v/>
      </c>
      <c r="U134" s="20" t="str">
        <f>IF(B134="","","Exposures row "&amp;ROW(Exposures!$A62)&amp;", Stop")</f>
        <v/>
      </c>
      <c r="V134" s="20">
        <f>IF(A134="",0,COUNTIF(nTP_Key,A134))</f>
        <v>0</v>
      </c>
      <c r="W134" s="20">
        <f t="shared" si="30"/>
        <v>0</v>
      </c>
      <c r="X134" s="20">
        <f t="shared" si="31"/>
        <v>0</v>
      </c>
      <c r="Y134" s="20">
        <f t="shared" si="32"/>
        <v>0</v>
      </c>
      <c r="Z134" s="20">
        <f t="shared" si="33"/>
        <v>0</v>
      </c>
      <c r="AA134" s="20">
        <f t="shared" si="34"/>
        <v>130</v>
      </c>
      <c r="AB134" s="20" t="str">
        <f>""</f>
        <v/>
      </c>
      <c r="AC134" s="20" t="str">
        <f>IF(B134="","",Exposures!$F62&amp;"")</f>
        <v/>
      </c>
      <c r="AD134" s="20" t="str">
        <f>IF(B134="","",Exposures!$E62&amp;": Stop")</f>
        <v/>
      </c>
      <c r="AE134" s="20">
        <f t="shared" si="35"/>
        <v>0</v>
      </c>
      <c r="AF134" s="20" t="str">
        <f t="shared" si="36"/>
        <v/>
      </c>
      <c r="AG134" s="20">
        <f t="shared" si="37"/>
        <v>0</v>
      </c>
      <c r="AH134" s="20" t="str">
        <f>""</f>
        <v/>
      </c>
    </row>
    <row r="135" spans="1:34" x14ac:dyDescent="0.2">
      <c r="A135" s="20" t="str">
        <f t="shared" si="27"/>
        <v/>
      </c>
      <c r="B135" s="20" t="str">
        <f>IF(AND(Exposures!$D63&lt;&gt;"",COUNTA(Exposures!$AE63:$AL63)&gt;0),Exposures!$D63&amp;"/STOP","")</f>
        <v/>
      </c>
      <c r="C135" s="20" t="str">
        <f t="shared" si="26"/>
        <v/>
      </c>
      <c r="D135" s="20" t="str">
        <f>IF(B135="","",Exposures!$A63&amp;"")</f>
        <v/>
      </c>
      <c r="E135" s="20" t="str">
        <f>IF(B135="","",Exposures!$B63&amp;"")</f>
        <v/>
      </c>
      <c r="F135" s="20" t="str">
        <f t="shared" si="28"/>
        <v/>
      </c>
      <c r="G135" s="20" t="str">
        <f>IF(B135="","",Exposures!$D63&amp;"")</f>
        <v/>
      </c>
      <c r="H135" s="20" t="str">
        <f>IF(B135="","",Exposures!$AE63&amp;"")</f>
        <v/>
      </c>
      <c r="I135" s="20" t="str">
        <f>IF(B135="","",Exposures!$AH63&amp;"")</f>
        <v/>
      </c>
      <c r="J135" s="20" t="str">
        <f>IF(B135="","",Exposures!$AN63&amp;"")</f>
        <v/>
      </c>
      <c r="K135" s="20">
        <f>IF(B135="",0,Exposures!$AO63)</f>
        <v>0</v>
      </c>
      <c r="L135" s="20">
        <f>IF(B135="",0,Exposures!$AP63)</f>
        <v>0</v>
      </c>
      <c r="M135" s="20" t="str">
        <f>IF(B135="","",Exposures!$AS63)</f>
        <v/>
      </c>
      <c r="N135" s="20" t="str">
        <f>IF(B135="","",Exposures!$AT63)</f>
        <v/>
      </c>
      <c r="O135" s="27" t="str">
        <f>IF(B135="","",Exposures!$AQ63)</f>
        <v/>
      </c>
      <c r="P135" s="27" t="str">
        <f>IF(B135="","",Exposures!$AR63)</f>
        <v/>
      </c>
      <c r="Q135" s="20" t="str">
        <f t="shared" si="29"/>
        <v/>
      </c>
      <c r="R135" s="20" t="str">
        <f>IF(A135="","",IF(J135&lt;&gt;"",J135,IF(H135="TIMESTAMP",DAY(INT(M135/1440))&amp;" "&amp;INDEX(nLIST_Months,MONTH(INT(M135/1440)))&amp;" "&amp;YEAR(INT(M135/1440))&amp;" "&amp;RIGHT("0"&amp;INT(MOD(M135,1440)/60),2)&amp;":"&amp;RIGHT("0"&amp;MOD(M135,60),2)&amp;IF(L135=1," (UTC"&amp;I135&amp;")"," (offset unknown)"),IF(H135="DATE",DAY(O135)&amp;" "&amp;INDEX(nLIST_Months,MONTH(O135))&amp;" "&amp;YEAR(O135),IF(H135="MONTH",INDEX(nLIST_Months,MONTH(O135))&amp;" "&amp;YEAR(O135)&amp;" ("&amp;DAY(O135)&amp;" "&amp;INDEX(nLIST_Months,MONTH(O135))&amp;" "&amp;YEAR(O135)&amp;" to "&amp;DAY(P135)&amp;" "&amp;INDEX(nLIST_Months,MONTH(P135))&amp;" "&amp;YEAR(P135)&amp;")",IF(H135="YEAR",YEAR(O135)&amp;" (1 January to 31 December)",DAY(O135)&amp;" "&amp;INDEX(nLIST_Months,MONTH(O135))&amp;" "&amp;YEAR(O135)&amp;" to "&amp;DAY(P135)&amp;" "&amp;INDEX(nLIST_Months,MONTH(P135))&amp;" "&amp;YEAR(P135)&amp;IF(H135="LAB"," (laboratory-defined)","")))))))</f>
        <v/>
      </c>
      <c r="S135" s="20" t="str">
        <f>IF(B135="","",Exposures!$AD63&amp;"")</f>
        <v/>
      </c>
      <c r="T135" s="20" t="str">
        <f>IF(B135="","",Exposures!$AM63&amp;"")</f>
        <v/>
      </c>
      <c r="U135" s="20" t="str">
        <f>IF(B135="","","Exposures row "&amp;ROW(Exposures!$A63)&amp;", Stop")</f>
        <v/>
      </c>
      <c r="V135" s="20">
        <f>IF(A135="",0,COUNTIF(nTP_Key,A135))</f>
        <v>0</v>
      </c>
      <c r="W135" s="20">
        <f t="shared" si="30"/>
        <v>0</v>
      </c>
      <c r="X135" s="20">
        <f t="shared" si="31"/>
        <v>0</v>
      </c>
      <c r="Y135" s="20">
        <f t="shared" si="32"/>
        <v>0</v>
      </c>
      <c r="Z135" s="20">
        <f t="shared" si="33"/>
        <v>0</v>
      </c>
      <c r="AA135" s="20">
        <f t="shared" si="34"/>
        <v>131</v>
      </c>
      <c r="AB135" s="20" t="str">
        <f>""</f>
        <v/>
      </c>
      <c r="AC135" s="20" t="str">
        <f>IF(B135="","",Exposures!$F63&amp;"")</f>
        <v/>
      </c>
      <c r="AD135" s="20" t="str">
        <f>IF(B135="","",Exposures!$E63&amp;": Stop")</f>
        <v/>
      </c>
      <c r="AE135" s="20">
        <f t="shared" si="35"/>
        <v>0</v>
      </c>
      <c r="AF135" s="20" t="str">
        <f t="shared" si="36"/>
        <v/>
      </c>
      <c r="AG135" s="20">
        <f t="shared" si="37"/>
        <v>0</v>
      </c>
      <c r="AH135" s="20" t="str">
        <f>""</f>
        <v/>
      </c>
    </row>
    <row r="136" spans="1:34" x14ac:dyDescent="0.2">
      <c r="A136" s="20" t="str">
        <f t="shared" si="27"/>
        <v/>
      </c>
      <c r="B136" s="20" t="str">
        <f>IF(AND(Exposures!$D64&lt;&gt;"",COUNTA(Exposures!$AE64:$AL64)&gt;0),Exposures!$D64&amp;"/STOP","")</f>
        <v/>
      </c>
      <c r="C136" s="20" t="str">
        <f t="shared" si="26"/>
        <v/>
      </c>
      <c r="D136" s="20" t="str">
        <f>IF(B136="","",Exposures!$A64&amp;"")</f>
        <v/>
      </c>
      <c r="E136" s="20" t="str">
        <f>IF(B136="","",Exposures!$B64&amp;"")</f>
        <v/>
      </c>
      <c r="F136" s="20" t="str">
        <f t="shared" si="28"/>
        <v/>
      </c>
      <c r="G136" s="20" t="str">
        <f>IF(B136="","",Exposures!$D64&amp;"")</f>
        <v/>
      </c>
      <c r="H136" s="20" t="str">
        <f>IF(B136="","",Exposures!$AE64&amp;"")</f>
        <v/>
      </c>
      <c r="I136" s="20" t="str">
        <f>IF(B136="","",Exposures!$AH64&amp;"")</f>
        <v/>
      </c>
      <c r="J136" s="20" t="str">
        <f>IF(B136="","",Exposures!$AN64&amp;"")</f>
        <v/>
      </c>
      <c r="K136" s="20">
        <f>IF(B136="",0,Exposures!$AO64)</f>
        <v>0</v>
      </c>
      <c r="L136" s="20">
        <f>IF(B136="",0,Exposures!$AP64)</f>
        <v>0</v>
      </c>
      <c r="M136" s="20" t="str">
        <f>IF(B136="","",Exposures!$AS64)</f>
        <v/>
      </c>
      <c r="N136" s="20" t="str">
        <f>IF(B136="","",Exposures!$AT64)</f>
        <v/>
      </c>
      <c r="O136" s="27" t="str">
        <f>IF(B136="","",Exposures!$AQ64)</f>
        <v/>
      </c>
      <c r="P136" s="27" t="str">
        <f>IF(B136="","",Exposures!$AR64)</f>
        <v/>
      </c>
      <c r="Q136" s="20" t="str">
        <f t="shared" si="29"/>
        <v/>
      </c>
      <c r="R136" s="20" t="str">
        <f>IF(A136="","",IF(J136&lt;&gt;"",J136,IF(H136="TIMESTAMP",DAY(INT(M136/1440))&amp;" "&amp;INDEX(nLIST_Months,MONTH(INT(M136/1440)))&amp;" "&amp;YEAR(INT(M136/1440))&amp;" "&amp;RIGHT("0"&amp;INT(MOD(M136,1440)/60),2)&amp;":"&amp;RIGHT("0"&amp;MOD(M136,60),2)&amp;IF(L136=1," (UTC"&amp;I136&amp;")"," (offset unknown)"),IF(H136="DATE",DAY(O136)&amp;" "&amp;INDEX(nLIST_Months,MONTH(O136))&amp;" "&amp;YEAR(O136),IF(H136="MONTH",INDEX(nLIST_Months,MONTH(O136))&amp;" "&amp;YEAR(O136)&amp;" ("&amp;DAY(O136)&amp;" "&amp;INDEX(nLIST_Months,MONTH(O136))&amp;" "&amp;YEAR(O136)&amp;" to "&amp;DAY(P136)&amp;" "&amp;INDEX(nLIST_Months,MONTH(P136))&amp;" "&amp;YEAR(P136)&amp;")",IF(H136="YEAR",YEAR(O136)&amp;" (1 January to 31 December)",DAY(O136)&amp;" "&amp;INDEX(nLIST_Months,MONTH(O136))&amp;" "&amp;YEAR(O136)&amp;" to "&amp;DAY(P136)&amp;" "&amp;INDEX(nLIST_Months,MONTH(P136))&amp;" "&amp;YEAR(P136)&amp;IF(H136="LAB"," (laboratory-defined)","")))))))</f>
        <v/>
      </c>
      <c r="S136" s="20" t="str">
        <f>IF(B136="","",Exposures!$AD64&amp;"")</f>
        <v/>
      </c>
      <c r="T136" s="20" t="str">
        <f>IF(B136="","",Exposures!$AM64&amp;"")</f>
        <v/>
      </c>
      <c r="U136" s="20" t="str">
        <f>IF(B136="","","Exposures row "&amp;ROW(Exposures!$A64)&amp;", Stop")</f>
        <v/>
      </c>
      <c r="V136" s="20">
        <f>IF(A136="",0,COUNTIF(nTP_Key,A136))</f>
        <v>0</v>
      </c>
      <c r="W136" s="20">
        <f t="shared" si="30"/>
        <v>0</v>
      </c>
      <c r="X136" s="20">
        <f t="shared" si="31"/>
        <v>0</v>
      </c>
      <c r="Y136" s="20">
        <f t="shared" si="32"/>
        <v>0</v>
      </c>
      <c r="Z136" s="20">
        <f t="shared" si="33"/>
        <v>0</v>
      </c>
      <c r="AA136" s="20">
        <f t="shared" si="34"/>
        <v>132</v>
      </c>
      <c r="AB136" s="20" t="str">
        <f>""</f>
        <v/>
      </c>
      <c r="AC136" s="20" t="str">
        <f>IF(B136="","",Exposures!$F64&amp;"")</f>
        <v/>
      </c>
      <c r="AD136" s="20" t="str">
        <f>IF(B136="","",Exposures!$E64&amp;": Stop")</f>
        <v/>
      </c>
      <c r="AE136" s="20">
        <f t="shared" si="35"/>
        <v>0</v>
      </c>
      <c r="AF136" s="20" t="str">
        <f t="shared" si="36"/>
        <v/>
      </c>
      <c r="AG136" s="20">
        <f t="shared" si="37"/>
        <v>0</v>
      </c>
      <c r="AH136" s="20" t="str">
        <f>""</f>
        <v/>
      </c>
    </row>
    <row r="137" spans="1:34" x14ac:dyDescent="0.2">
      <c r="A137" s="20" t="str">
        <f t="shared" si="27"/>
        <v/>
      </c>
      <c r="B137" s="20" t="str">
        <f>IF(AND(Exposures!$D65&lt;&gt;"",COUNTA(Exposures!$AE65:$AL65)&gt;0),Exposures!$D65&amp;"/STOP","")</f>
        <v/>
      </c>
      <c r="C137" s="20" t="str">
        <f t="shared" si="26"/>
        <v/>
      </c>
      <c r="D137" s="20" t="str">
        <f>IF(B137="","",Exposures!$A65&amp;"")</f>
        <v/>
      </c>
      <c r="E137" s="20" t="str">
        <f>IF(B137="","",Exposures!$B65&amp;"")</f>
        <v/>
      </c>
      <c r="F137" s="20" t="str">
        <f t="shared" si="28"/>
        <v/>
      </c>
      <c r="G137" s="20" t="str">
        <f>IF(B137="","",Exposures!$D65&amp;"")</f>
        <v/>
      </c>
      <c r="H137" s="20" t="str">
        <f>IF(B137="","",Exposures!$AE65&amp;"")</f>
        <v/>
      </c>
      <c r="I137" s="20" t="str">
        <f>IF(B137="","",Exposures!$AH65&amp;"")</f>
        <v/>
      </c>
      <c r="J137" s="20" t="str">
        <f>IF(B137="","",Exposures!$AN65&amp;"")</f>
        <v/>
      </c>
      <c r="K137" s="20">
        <f>IF(B137="",0,Exposures!$AO65)</f>
        <v>0</v>
      </c>
      <c r="L137" s="20">
        <f>IF(B137="",0,Exposures!$AP65)</f>
        <v>0</v>
      </c>
      <c r="M137" s="20" t="str">
        <f>IF(B137="","",Exposures!$AS65)</f>
        <v/>
      </c>
      <c r="N137" s="20" t="str">
        <f>IF(B137="","",Exposures!$AT65)</f>
        <v/>
      </c>
      <c r="O137" s="27" t="str">
        <f>IF(B137="","",Exposures!$AQ65)</f>
        <v/>
      </c>
      <c r="P137" s="27" t="str">
        <f>IF(B137="","",Exposures!$AR65)</f>
        <v/>
      </c>
      <c r="Q137" s="20" t="str">
        <f t="shared" si="29"/>
        <v/>
      </c>
      <c r="R137" s="20" t="str">
        <f>IF(A137="","",IF(J137&lt;&gt;"",J137,IF(H137="TIMESTAMP",DAY(INT(M137/1440))&amp;" "&amp;INDEX(nLIST_Months,MONTH(INT(M137/1440)))&amp;" "&amp;YEAR(INT(M137/1440))&amp;" "&amp;RIGHT("0"&amp;INT(MOD(M137,1440)/60),2)&amp;":"&amp;RIGHT("0"&amp;MOD(M137,60),2)&amp;IF(L137=1," (UTC"&amp;I137&amp;")"," (offset unknown)"),IF(H137="DATE",DAY(O137)&amp;" "&amp;INDEX(nLIST_Months,MONTH(O137))&amp;" "&amp;YEAR(O137),IF(H137="MONTH",INDEX(nLIST_Months,MONTH(O137))&amp;" "&amp;YEAR(O137)&amp;" ("&amp;DAY(O137)&amp;" "&amp;INDEX(nLIST_Months,MONTH(O137))&amp;" "&amp;YEAR(O137)&amp;" to "&amp;DAY(P137)&amp;" "&amp;INDEX(nLIST_Months,MONTH(P137))&amp;" "&amp;YEAR(P137)&amp;")",IF(H137="YEAR",YEAR(O137)&amp;" (1 January to 31 December)",DAY(O137)&amp;" "&amp;INDEX(nLIST_Months,MONTH(O137))&amp;" "&amp;YEAR(O137)&amp;" to "&amp;DAY(P137)&amp;" "&amp;INDEX(nLIST_Months,MONTH(P137))&amp;" "&amp;YEAR(P137)&amp;IF(H137="LAB"," (laboratory-defined)","")))))))</f>
        <v/>
      </c>
      <c r="S137" s="20" t="str">
        <f>IF(B137="","",Exposures!$AD65&amp;"")</f>
        <v/>
      </c>
      <c r="T137" s="20" t="str">
        <f>IF(B137="","",Exposures!$AM65&amp;"")</f>
        <v/>
      </c>
      <c r="U137" s="20" t="str">
        <f>IF(B137="","","Exposures row "&amp;ROW(Exposures!$A65)&amp;", Stop")</f>
        <v/>
      </c>
      <c r="V137" s="20">
        <f>IF(A137="",0,COUNTIF(nTP_Key,A137))</f>
        <v>0</v>
      </c>
      <c r="W137" s="20">
        <f t="shared" si="30"/>
        <v>0</v>
      </c>
      <c r="X137" s="20">
        <f t="shared" si="31"/>
        <v>0</v>
      </c>
      <c r="Y137" s="20">
        <f t="shared" si="32"/>
        <v>0</v>
      </c>
      <c r="Z137" s="20">
        <f t="shared" si="33"/>
        <v>0</v>
      </c>
      <c r="AA137" s="20">
        <f t="shared" si="34"/>
        <v>133</v>
      </c>
      <c r="AB137" s="20" t="str">
        <f>""</f>
        <v/>
      </c>
      <c r="AC137" s="20" t="str">
        <f>IF(B137="","",Exposures!$F65&amp;"")</f>
        <v/>
      </c>
      <c r="AD137" s="20" t="str">
        <f>IF(B137="","",Exposures!$E65&amp;": Stop")</f>
        <v/>
      </c>
      <c r="AE137" s="20">
        <f t="shared" si="35"/>
        <v>0</v>
      </c>
      <c r="AF137" s="20" t="str">
        <f t="shared" si="36"/>
        <v/>
      </c>
      <c r="AG137" s="20">
        <f t="shared" si="37"/>
        <v>0</v>
      </c>
      <c r="AH137" s="20" t="str">
        <f>""</f>
        <v/>
      </c>
    </row>
    <row r="138" spans="1:34" x14ac:dyDescent="0.2">
      <c r="A138" s="20" t="str">
        <f t="shared" si="27"/>
        <v/>
      </c>
      <c r="B138" s="20" t="str">
        <f>IF(AND(Exposures!$D66&lt;&gt;"",COUNTA(Exposures!$AE66:$AL66)&gt;0),Exposures!$D66&amp;"/STOP","")</f>
        <v/>
      </c>
      <c r="C138" s="20" t="str">
        <f t="shared" si="26"/>
        <v/>
      </c>
      <c r="D138" s="20" t="str">
        <f>IF(B138="","",Exposures!$A66&amp;"")</f>
        <v/>
      </c>
      <c r="E138" s="20" t="str">
        <f>IF(B138="","",Exposures!$B66&amp;"")</f>
        <v/>
      </c>
      <c r="F138" s="20" t="str">
        <f t="shared" si="28"/>
        <v/>
      </c>
      <c r="G138" s="20" t="str">
        <f>IF(B138="","",Exposures!$D66&amp;"")</f>
        <v/>
      </c>
      <c r="H138" s="20" t="str">
        <f>IF(B138="","",Exposures!$AE66&amp;"")</f>
        <v/>
      </c>
      <c r="I138" s="20" t="str">
        <f>IF(B138="","",Exposures!$AH66&amp;"")</f>
        <v/>
      </c>
      <c r="J138" s="20" t="str">
        <f>IF(B138="","",Exposures!$AN66&amp;"")</f>
        <v/>
      </c>
      <c r="K138" s="20">
        <f>IF(B138="",0,Exposures!$AO66)</f>
        <v>0</v>
      </c>
      <c r="L138" s="20">
        <f>IF(B138="",0,Exposures!$AP66)</f>
        <v>0</v>
      </c>
      <c r="M138" s="20" t="str">
        <f>IF(B138="","",Exposures!$AS66)</f>
        <v/>
      </c>
      <c r="N138" s="20" t="str">
        <f>IF(B138="","",Exposures!$AT66)</f>
        <v/>
      </c>
      <c r="O138" s="27" t="str">
        <f>IF(B138="","",Exposures!$AQ66)</f>
        <v/>
      </c>
      <c r="P138" s="27" t="str">
        <f>IF(B138="","",Exposures!$AR66)</f>
        <v/>
      </c>
      <c r="Q138" s="20" t="str">
        <f t="shared" si="29"/>
        <v/>
      </c>
      <c r="R138" s="20" t="str">
        <f>IF(A138="","",IF(J138&lt;&gt;"",J138,IF(H138="TIMESTAMP",DAY(INT(M138/1440))&amp;" "&amp;INDEX(nLIST_Months,MONTH(INT(M138/1440)))&amp;" "&amp;YEAR(INT(M138/1440))&amp;" "&amp;RIGHT("0"&amp;INT(MOD(M138,1440)/60),2)&amp;":"&amp;RIGHT("0"&amp;MOD(M138,60),2)&amp;IF(L138=1," (UTC"&amp;I138&amp;")"," (offset unknown)"),IF(H138="DATE",DAY(O138)&amp;" "&amp;INDEX(nLIST_Months,MONTH(O138))&amp;" "&amp;YEAR(O138),IF(H138="MONTH",INDEX(nLIST_Months,MONTH(O138))&amp;" "&amp;YEAR(O138)&amp;" ("&amp;DAY(O138)&amp;" "&amp;INDEX(nLIST_Months,MONTH(O138))&amp;" "&amp;YEAR(O138)&amp;" to "&amp;DAY(P138)&amp;" "&amp;INDEX(nLIST_Months,MONTH(P138))&amp;" "&amp;YEAR(P138)&amp;")",IF(H138="YEAR",YEAR(O138)&amp;" (1 January to 31 December)",DAY(O138)&amp;" "&amp;INDEX(nLIST_Months,MONTH(O138))&amp;" "&amp;YEAR(O138)&amp;" to "&amp;DAY(P138)&amp;" "&amp;INDEX(nLIST_Months,MONTH(P138))&amp;" "&amp;YEAR(P138)&amp;IF(H138="LAB"," (laboratory-defined)","")))))))</f>
        <v/>
      </c>
      <c r="S138" s="20" t="str">
        <f>IF(B138="","",Exposures!$AD66&amp;"")</f>
        <v/>
      </c>
      <c r="T138" s="20" t="str">
        <f>IF(B138="","",Exposures!$AM66&amp;"")</f>
        <v/>
      </c>
      <c r="U138" s="20" t="str">
        <f>IF(B138="","","Exposures row "&amp;ROW(Exposures!$A66)&amp;", Stop")</f>
        <v/>
      </c>
      <c r="V138" s="20">
        <f>IF(A138="",0,COUNTIF(nTP_Key,A138))</f>
        <v>0</v>
      </c>
      <c r="W138" s="20">
        <f t="shared" si="30"/>
        <v>0</v>
      </c>
      <c r="X138" s="20">
        <f t="shared" si="31"/>
        <v>0</v>
      </c>
      <c r="Y138" s="20">
        <f t="shared" si="32"/>
        <v>0</v>
      </c>
      <c r="Z138" s="20">
        <f t="shared" si="33"/>
        <v>0</v>
      </c>
      <c r="AA138" s="20">
        <f t="shared" si="34"/>
        <v>134</v>
      </c>
      <c r="AB138" s="20" t="str">
        <f>""</f>
        <v/>
      </c>
      <c r="AC138" s="20" t="str">
        <f>IF(B138="","",Exposures!$F66&amp;"")</f>
        <v/>
      </c>
      <c r="AD138" s="20" t="str">
        <f>IF(B138="","",Exposures!$E66&amp;": Stop")</f>
        <v/>
      </c>
      <c r="AE138" s="20">
        <f t="shared" si="35"/>
        <v>0</v>
      </c>
      <c r="AF138" s="20" t="str">
        <f t="shared" si="36"/>
        <v/>
      </c>
      <c r="AG138" s="20">
        <f t="shared" si="37"/>
        <v>0</v>
      </c>
      <c r="AH138" s="20" t="str">
        <f>""</f>
        <v/>
      </c>
    </row>
    <row r="139" spans="1:34" x14ac:dyDescent="0.2">
      <c r="A139" s="20" t="str">
        <f t="shared" si="27"/>
        <v/>
      </c>
      <c r="B139" s="20" t="str">
        <f>IF(AND(Exposures!$D67&lt;&gt;"",COUNTA(Exposures!$AE67:$AL67)&gt;0),Exposures!$D67&amp;"/STOP","")</f>
        <v/>
      </c>
      <c r="C139" s="20" t="str">
        <f t="shared" si="26"/>
        <v/>
      </c>
      <c r="D139" s="20" t="str">
        <f>IF(B139="","",Exposures!$A67&amp;"")</f>
        <v/>
      </c>
      <c r="E139" s="20" t="str">
        <f>IF(B139="","",Exposures!$B67&amp;"")</f>
        <v/>
      </c>
      <c r="F139" s="20" t="str">
        <f t="shared" si="28"/>
        <v/>
      </c>
      <c r="G139" s="20" t="str">
        <f>IF(B139="","",Exposures!$D67&amp;"")</f>
        <v/>
      </c>
      <c r="H139" s="20" t="str">
        <f>IF(B139="","",Exposures!$AE67&amp;"")</f>
        <v/>
      </c>
      <c r="I139" s="20" t="str">
        <f>IF(B139="","",Exposures!$AH67&amp;"")</f>
        <v/>
      </c>
      <c r="J139" s="20" t="str">
        <f>IF(B139="","",Exposures!$AN67&amp;"")</f>
        <v/>
      </c>
      <c r="K139" s="20">
        <f>IF(B139="",0,Exposures!$AO67)</f>
        <v>0</v>
      </c>
      <c r="L139" s="20">
        <f>IF(B139="",0,Exposures!$AP67)</f>
        <v>0</v>
      </c>
      <c r="M139" s="20" t="str">
        <f>IF(B139="","",Exposures!$AS67)</f>
        <v/>
      </c>
      <c r="N139" s="20" t="str">
        <f>IF(B139="","",Exposures!$AT67)</f>
        <v/>
      </c>
      <c r="O139" s="27" t="str">
        <f>IF(B139="","",Exposures!$AQ67)</f>
        <v/>
      </c>
      <c r="P139" s="27" t="str">
        <f>IF(B139="","",Exposures!$AR67)</f>
        <v/>
      </c>
      <c r="Q139" s="20" t="str">
        <f t="shared" si="29"/>
        <v/>
      </c>
      <c r="R139" s="20" t="str">
        <f>IF(A139="","",IF(J139&lt;&gt;"",J139,IF(H139="TIMESTAMP",DAY(INT(M139/1440))&amp;" "&amp;INDEX(nLIST_Months,MONTH(INT(M139/1440)))&amp;" "&amp;YEAR(INT(M139/1440))&amp;" "&amp;RIGHT("0"&amp;INT(MOD(M139,1440)/60),2)&amp;":"&amp;RIGHT("0"&amp;MOD(M139,60),2)&amp;IF(L139=1," (UTC"&amp;I139&amp;")"," (offset unknown)"),IF(H139="DATE",DAY(O139)&amp;" "&amp;INDEX(nLIST_Months,MONTH(O139))&amp;" "&amp;YEAR(O139),IF(H139="MONTH",INDEX(nLIST_Months,MONTH(O139))&amp;" "&amp;YEAR(O139)&amp;" ("&amp;DAY(O139)&amp;" "&amp;INDEX(nLIST_Months,MONTH(O139))&amp;" "&amp;YEAR(O139)&amp;" to "&amp;DAY(P139)&amp;" "&amp;INDEX(nLIST_Months,MONTH(P139))&amp;" "&amp;YEAR(P139)&amp;")",IF(H139="YEAR",YEAR(O139)&amp;" (1 January to 31 December)",DAY(O139)&amp;" "&amp;INDEX(nLIST_Months,MONTH(O139))&amp;" "&amp;YEAR(O139)&amp;" to "&amp;DAY(P139)&amp;" "&amp;INDEX(nLIST_Months,MONTH(P139))&amp;" "&amp;YEAR(P139)&amp;IF(H139="LAB"," (laboratory-defined)","")))))))</f>
        <v/>
      </c>
      <c r="S139" s="20" t="str">
        <f>IF(B139="","",Exposures!$AD67&amp;"")</f>
        <v/>
      </c>
      <c r="T139" s="20" t="str">
        <f>IF(B139="","",Exposures!$AM67&amp;"")</f>
        <v/>
      </c>
      <c r="U139" s="20" t="str">
        <f>IF(B139="","","Exposures row "&amp;ROW(Exposures!$A67)&amp;", Stop")</f>
        <v/>
      </c>
      <c r="V139" s="20">
        <f>IF(A139="",0,COUNTIF(nTP_Key,A139))</f>
        <v>0</v>
      </c>
      <c r="W139" s="20">
        <f t="shared" si="30"/>
        <v>0</v>
      </c>
      <c r="X139" s="20">
        <f t="shared" si="31"/>
        <v>0</v>
      </c>
      <c r="Y139" s="20">
        <f t="shared" si="32"/>
        <v>0</v>
      </c>
      <c r="Z139" s="20">
        <f t="shared" si="33"/>
        <v>0</v>
      </c>
      <c r="AA139" s="20">
        <f t="shared" si="34"/>
        <v>135</v>
      </c>
      <c r="AB139" s="20" t="str">
        <f>""</f>
        <v/>
      </c>
      <c r="AC139" s="20" t="str">
        <f>IF(B139="","",Exposures!$F67&amp;"")</f>
        <v/>
      </c>
      <c r="AD139" s="20" t="str">
        <f>IF(B139="","",Exposures!$E67&amp;": Stop")</f>
        <v/>
      </c>
      <c r="AE139" s="20">
        <f t="shared" si="35"/>
        <v>0</v>
      </c>
      <c r="AF139" s="20" t="str">
        <f t="shared" si="36"/>
        <v/>
      </c>
      <c r="AG139" s="20">
        <f t="shared" si="37"/>
        <v>0</v>
      </c>
      <c r="AH139" s="20" t="str">
        <f>""</f>
        <v/>
      </c>
    </row>
    <row r="140" spans="1:34" x14ac:dyDescent="0.2">
      <c r="A140" s="20" t="str">
        <f t="shared" si="27"/>
        <v>VEC-V28|1|EX1/STOP</v>
      </c>
      <c r="B140" s="20" t="str">
        <f>IF(AND(Exposures!$D68&lt;&gt;"",COUNTA(Exposures!$AE68:$AL68)&gt;0),Exposures!$D68&amp;"/STOP","")</f>
        <v>EX1/STOP</v>
      </c>
      <c r="C140" s="20" t="str">
        <f t="shared" si="26"/>
        <v>EXPOSURE_STOP</v>
      </c>
      <c r="D140" s="20" t="str">
        <f>IF(B140="","",Exposures!$A68&amp;"")</f>
        <v>VEC-V28</v>
      </c>
      <c r="E140" s="20" t="str">
        <f>IF(B140="","",Exposures!$B68&amp;"")</f>
        <v>1</v>
      </c>
      <c r="F140" s="20" t="str">
        <f t="shared" si="28"/>
        <v>VEC-V28|1</v>
      </c>
      <c r="G140" s="20" t="str">
        <f>IF(B140="","",Exposures!$D68&amp;"")</f>
        <v>EX1</v>
      </c>
      <c r="H140" s="20" t="str">
        <f>IF(B140="","",Exposures!$AE68&amp;"")</f>
        <v>TIMESTAMP</v>
      </c>
      <c r="I140" s="20" t="str">
        <f>IF(B140="","",Exposures!$AH68&amp;"")</f>
        <v>-05:00</v>
      </c>
      <c r="J140" s="20" t="str">
        <f>IF(B140="","",Exposures!$AN68&amp;"")</f>
        <v/>
      </c>
      <c r="K140" s="20">
        <f>IF(B140="",0,Exposures!$AO68)</f>
        <v>1</v>
      </c>
      <c r="L140" s="20">
        <f>IF(B140="",0,Exposures!$AP68)</f>
        <v>1</v>
      </c>
      <c r="M140" s="20">
        <f>IF(B140="","",Exposures!$AS68)</f>
        <v>66286636</v>
      </c>
      <c r="N140" s="20">
        <f>IF(B140="","",Exposures!$AT68)</f>
        <v>66286936</v>
      </c>
      <c r="O140" s="27">
        <f>IF(B140="","",Exposures!$AQ68)</f>
        <v>46032</v>
      </c>
      <c r="P140" s="27">
        <f>IF(B140="","",Exposures!$AR68)</f>
        <v>46032</v>
      </c>
      <c r="Q140" s="20" t="str">
        <f t="shared" si="29"/>
        <v>2026-01-10T09:16-05:00</v>
      </c>
      <c r="R140" s="20" t="str">
        <f>IF(A140="","",IF(J140&lt;&gt;"",J140,IF(H140="TIMESTAMP",DAY(INT(M140/1440))&amp;" "&amp;INDEX(nLIST_Months,MONTH(INT(M140/1440)))&amp;" "&amp;YEAR(INT(M140/1440))&amp;" "&amp;RIGHT("0"&amp;INT(MOD(M140,1440)/60),2)&amp;":"&amp;RIGHT("0"&amp;MOD(M140,60),2)&amp;IF(L140=1," (UTC"&amp;I140&amp;")"," (offset unknown)"),IF(H140="DATE",DAY(O140)&amp;" "&amp;INDEX(nLIST_Months,MONTH(O140))&amp;" "&amp;YEAR(O140),IF(H140="MONTH",INDEX(nLIST_Months,MONTH(O140))&amp;" "&amp;YEAR(O140)&amp;" ("&amp;DAY(O140)&amp;" "&amp;INDEX(nLIST_Months,MONTH(O140))&amp;" "&amp;YEAR(O140)&amp;" to "&amp;DAY(P140)&amp;" "&amp;INDEX(nLIST_Months,MONTH(P140))&amp;" "&amp;YEAR(P140)&amp;")",IF(H140="YEAR",YEAR(O140)&amp;" (1 January to 31 December)",DAY(O140)&amp;" "&amp;INDEX(nLIST_Months,MONTH(O140))&amp;" "&amp;YEAR(O140)&amp;" to "&amp;DAY(P140)&amp;" "&amp;INDEX(nLIST_Months,MONTH(P140))&amp;" "&amp;YEAR(P140)&amp;IF(H140="LAB"," (laboratory-defined)","")))))))</f>
        <v>10 January 2026 09:16 (UTC-05:00)</v>
      </c>
      <c r="S140" s="20" t="str">
        <f>IF(B140="","",Exposures!$AD68&amp;"")</f>
        <v>cessation 2026-01-10T09:16-05:00</v>
      </c>
      <c r="T140" s="20" t="str">
        <f>IF(B140="","",Exposures!$AM68&amp;"")</f>
        <v>tto_calc_test_vectors_v1.1.json V28</v>
      </c>
      <c r="U140" s="20" t="str">
        <f>IF(B140="","","Exposures row "&amp;ROW(Exposures!$A68)&amp;", Stop")</f>
        <v>Exposures row 68, Stop</v>
      </c>
      <c r="V140" s="20">
        <f>IF(A140="",0,COUNTIF(nTP_Key,A140))</f>
        <v>1</v>
      </c>
      <c r="W140" s="20">
        <f t="shared" si="30"/>
        <v>66286636</v>
      </c>
      <c r="X140" s="20">
        <f t="shared" si="31"/>
        <v>66286936</v>
      </c>
      <c r="Y140" s="20">
        <f t="shared" si="32"/>
        <v>46032</v>
      </c>
      <c r="Z140" s="20">
        <f t="shared" si="33"/>
        <v>46032</v>
      </c>
      <c r="AA140" s="20">
        <f t="shared" si="34"/>
        <v>136</v>
      </c>
      <c r="AB140" s="20" t="str">
        <f>""</f>
        <v/>
      </c>
      <c r="AC140" s="20" t="str">
        <f>IF(B140="","",Exposures!$F68&amp;"")</f>
        <v/>
      </c>
      <c r="AD140" s="20" t="str">
        <f>IF(B140="","",Exposures!$E68&amp;": Stop")</f>
        <v>Vector drug: Stop</v>
      </c>
      <c r="AE140" s="20">
        <f t="shared" si="35"/>
        <v>0</v>
      </c>
      <c r="AF140" s="20" t="str">
        <f t="shared" si="36"/>
        <v/>
      </c>
      <c r="AG140" s="20">
        <f t="shared" si="37"/>
        <v>1</v>
      </c>
      <c r="AH140" s="20" t="str">
        <f>""</f>
        <v/>
      </c>
    </row>
    <row r="141" spans="1:34" x14ac:dyDescent="0.2">
      <c r="A141" s="20" t="str">
        <f t="shared" si="27"/>
        <v>VEC-V29|1|EX1/STOP</v>
      </c>
      <c r="B141" s="20" t="str">
        <f>IF(AND(Exposures!$D69&lt;&gt;"",COUNTA(Exposures!$AE69:$AL69)&gt;0),Exposures!$D69&amp;"/STOP","")</f>
        <v>EX1/STOP</v>
      </c>
      <c r="C141" s="20" t="str">
        <f t="shared" ref="C141:C172" si="38">IF(B141="","","EXPOSURE_STOP")</f>
        <v>EXPOSURE_STOP</v>
      </c>
      <c r="D141" s="20" t="str">
        <f>IF(B141="","",Exposures!$A69&amp;"")</f>
        <v>VEC-V29</v>
      </c>
      <c r="E141" s="20" t="str">
        <f>IF(B141="","",Exposures!$B69&amp;"")</f>
        <v>1</v>
      </c>
      <c r="F141" s="20" t="str">
        <f t="shared" si="28"/>
        <v>VEC-V29|1</v>
      </c>
      <c r="G141" s="20" t="str">
        <f>IF(B141="","",Exposures!$D69&amp;"")</f>
        <v>EX1</v>
      </c>
      <c r="H141" s="20" t="str">
        <f>IF(B141="","",Exposures!$AE69&amp;"")</f>
        <v>DATE</v>
      </c>
      <c r="I141" s="20" t="str">
        <f>IF(B141="","",Exposures!$AH69&amp;"")</f>
        <v/>
      </c>
      <c r="J141" s="20" t="str">
        <f>IF(B141="","",Exposures!$AN69&amp;"")</f>
        <v/>
      </c>
      <c r="K141" s="20">
        <f>IF(B141="",0,Exposures!$AO69)</f>
        <v>0</v>
      </c>
      <c r="L141" s="20">
        <f>IF(B141="",0,Exposures!$AP69)</f>
        <v>0</v>
      </c>
      <c r="M141" s="20" t="str">
        <f>IF(B141="","",Exposures!$AS69)</f>
        <v/>
      </c>
      <c r="N141" s="20" t="str">
        <f>IF(B141="","",Exposures!$AT69)</f>
        <v/>
      </c>
      <c r="O141" s="27">
        <f>IF(B141="","",Exposures!$AQ69)</f>
        <v>46208</v>
      </c>
      <c r="P141" s="27">
        <f>IF(B141="","",Exposures!$AR69)</f>
        <v>46208</v>
      </c>
      <c r="Q141" s="20" t="str">
        <f t="shared" si="29"/>
        <v>2026-07-05</v>
      </c>
      <c r="R141" s="20" t="str">
        <f>IF(A141="","",IF(J141&lt;&gt;"",J141,IF(H141="TIMESTAMP",DAY(INT(M141/1440))&amp;" "&amp;INDEX(nLIST_Months,MONTH(INT(M141/1440)))&amp;" "&amp;YEAR(INT(M141/1440))&amp;" "&amp;RIGHT("0"&amp;INT(MOD(M141,1440)/60),2)&amp;":"&amp;RIGHT("0"&amp;MOD(M141,60),2)&amp;IF(L141=1," (UTC"&amp;I141&amp;")"," (offset unknown)"),IF(H141="DATE",DAY(O141)&amp;" "&amp;INDEX(nLIST_Months,MONTH(O141))&amp;" "&amp;YEAR(O141),IF(H141="MONTH",INDEX(nLIST_Months,MONTH(O141))&amp;" "&amp;YEAR(O141)&amp;" ("&amp;DAY(O141)&amp;" "&amp;INDEX(nLIST_Months,MONTH(O141))&amp;" "&amp;YEAR(O141)&amp;" to "&amp;DAY(P141)&amp;" "&amp;INDEX(nLIST_Months,MONTH(P141))&amp;" "&amp;YEAR(P141)&amp;")",IF(H141="YEAR",YEAR(O141)&amp;" (1 January to 31 December)",DAY(O141)&amp;" "&amp;INDEX(nLIST_Months,MONTH(O141))&amp;" "&amp;YEAR(O141)&amp;" to "&amp;DAY(P141)&amp;" "&amp;INDEX(nLIST_Months,MONTH(P141))&amp;" "&amp;YEAR(P141)&amp;IF(H141="LAB"," (laboratory-defined)","")))))))</f>
        <v>5 July 2026</v>
      </c>
      <c r="S141" s="20" t="str">
        <f>IF(B141="","",Exposures!$AD69&amp;"")</f>
        <v>cessation 2026-07-05</v>
      </c>
      <c r="T141" s="20" t="str">
        <f>IF(B141="","",Exposures!$AM69&amp;"")</f>
        <v>tto_calc_test_vectors_v1.1.json V29</v>
      </c>
      <c r="U141" s="20" t="str">
        <f>IF(B141="","","Exposures row "&amp;ROW(Exposures!$A69)&amp;", Stop")</f>
        <v>Exposures row 69, Stop</v>
      </c>
      <c r="V141" s="20">
        <f>IF(A141="",0,COUNTIF(nTP_Key,A141))</f>
        <v>1</v>
      </c>
      <c r="W141" s="20">
        <f t="shared" si="30"/>
        <v>0</v>
      </c>
      <c r="X141" s="20">
        <f t="shared" si="31"/>
        <v>0</v>
      </c>
      <c r="Y141" s="20">
        <f t="shared" si="32"/>
        <v>46208</v>
      </c>
      <c r="Z141" s="20">
        <f t="shared" si="33"/>
        <v>46208</v>
      </c>
      <c r="AA141" s="20">
        <f t="shared" si="34"/>
        <v>137</v>
      </c>
      <c r="AB141" s="20" t="str">
        <f>""</f>
        <v/>
      </c>
      <c r="AC141" s="20" t="str">
        <f>IF(B141="","",Exposures!$F69&amp;"")</f>
        <v/>
      </c>
      <c r="AD141" s="20" t="str">
        <f>IF(B141="","",Exposures!$E69&amp;": Stop")</f>
        <v>Vector drug: Stop</v>
      </c>
      <c r="AE141" s="20">
        <f t="shared" si="35"/>
        <v>0</v>
      </c>
      <c r="AF141" s="20" t="str">
        <f t="shared" si="36"/>
        <v/>
      </c>
      <c r="AG141" s="20">
        <f t="shared" si="37"/>
        <v>1</v>
      </c>
      <c r="AH141" s="20" t="str">
        <f>""</f>
        <v/>
      </c>
    </row>
    <row r="142" spans="1:34" x14ac:dyDescent="0.2">
      <c r="A142" s="20" t="str">
        <f t="shared" si="27"/>
        <v>VEC-V30|1|EX1/STOP</v>
      </c>
      <c r="B142" s="20" t="str">
        <f>IF(AND(Exposures!$D70&lt;&gt;"",COUNTA(Exposures!$AE70:$AL70)&gt;0),Exposures!$D70&amp;"/STOP","")</f>
        <v>EX1/STOP</v>
      </c>
      <c r="C142" s="20" t="str">
        <f t="shared" si="38"/>
        <v>EXPOSURE_STOP</v>
      </c>
      <c r="D142" s="20" t="str">
        <f>IF(B142="","",Exposures!$A70&amp;"")</f>
        <v>VEC-V30</v>
      </c>
      <c r="E142" s="20" t="str">
        <f>IF(B142="","",Exposures!$B70&amp;"")</f>
        <v>1</v>
      </c>
      <c r="F142" s="20" t="str">
        <f t="shared" si="28"/>
        <v>VEC-V30|1</v>
      </c>
      <c r="G142" s="20" t="str">
        <f>IF(B142="","",Exposures!$D70&amp;"")</f>
        <v>EX1</v>
      </c>
      <c r="H142" s="20" t="str">
        <f>IF(B142="","",Exposures!$AE70&amp;"")</f>
        <v>DATE</v>
      </c>
      <c r="I142" s="20" t="str">
        <f>IF(B142="","",Exposures!$AH70&amp;"")</f>
        <v/>
      </c>
      <c r="J142" s="20" t="str">
        <f>IF(B142="","",Exposures!$AN70&amp;"")</f>
        <v/>
      </c>
      <c r="K142" s="20">
        <f>IF(B142="",0,Exposures!$AO70)</f>
        <v>0</v>
      </c>
      <c r="L142" s="20">
        <f>IF(B142="",0,Exposures!$AP70)</f>
        <v>0</v>
      </c>
      <c r="M142" s="20" t="str">
        <f>IF(B142="","",Exposures!$AS70)</f>
        <v/>
      </c>
      <c r="N142" s="20" t="str">
        <f>IF(B142="","",Exposures!$AT70)</f>
        <v/>
      </c>
      <c r="O142" s="27">
        <f>IF(B142="","",Exposures!$AQ70)</f>
        <v>46208</v>
      </c>
      <c r="P142" s="27">
        <f>IF(B142="","",Exposures!$AR70)</f>
        <v>46208</v>
      </c>
      <c r="Q142" s="20" t="str">
        <f t="shared" si="29"/>
        <v>2026-07-05</v>
      </c>
      <c r="R142" s="20" t="str">
        <f>IF(A142="","",IF(J142&lt;&gt;"",J142,IF(H142="TIMESTAMP",DAY(INT(M142/1440))&amp;" "&amp;INDEX(nLIST_Months,MONTH(INT(M142/1440)))&amp;" "&amp;YEAR(INT(M142/1440))&amp;" "&amp;RIGHT("0"&amp;INT(MOD(M142,1440)/60),2)&amp;":"&amp;RIGHT("0"&amp;MOD(M142,60),2)&amp;IF(L142=1," (UTC"&amp;I142&amp;")"," (offset unknown)"),IF(H142="DATE",DAY(O142)&amp;" "&amp;INDEX(nLIST_Months,MONTH(O142))&amp;" "&amp;YEAR(O142),IF(H142="MONTH",INDEX(nLIST_Months,MONTH(O142))&amp;" "&amp;YEAR(O142)&amp;" ("&amp;DAY(O142)&amp;" "&amp;INDEX(nLIST_Months,MONTH(O142))&amp;" "&amp;YEAR(O142)&amp;" to "&amp;DAY(P142)&amp;" "&amp;INDEX(nLIST_Months,MONTH(P142))&amp;" "&amp;YEAR(P142)&amp;")",IF(H142="YEAR",YEAR(O142)&amp;" (1 January to 31 December)",DAY(O142)&amp;" "&amp;INDEX(nLIST_Months,MONTH(O142))&amp;" "&amp;YEAR(O142)&amp;" to "&amp;DAY(P142)&amp;" "&amp;INDEX(nLIST_Months,MONTH(P142))&amp;" "&amp;YEAR(P142)&amp;IF(H142="LAB"," (laboratory-defined)","")))))))</f>
        <v>5 July 2026</v>
      </c>
      <c r="S142" s="20" t="str">
        <f>IF(B142="","",Exposures!$AD70&amp;"")</f>
        <v>cessation 2026-07-05</v>
      </c>
      <c r="T142" s="20" t="str">
        <f>IF(B142="","",Exposures!$AM70&amp;"")</f>
        <v>tto_calc_test_vectors_v1.1.json V30</v>
      </c>
      <c r="U142" s="20" t="str">
        <f>IF(B142="","","Exposures row "&amp;ROW(Exposures!$A70)&amp;", Stop")</f>
        <v>Exposures row 70, Stop</v>
      </c>
      <c r="V142" s="20">
        <f>IF(A142="",0,COUNTIF(nTP_Key,A142))</f>
        <v>1</v>
      </c>
      <c r="W142" s="20">
        <f t="shared" si="30"/>
        <v>0</v>
      </c>
      <c r="X142" s="20">
        <f t="shared" si="31"/>
        <v>0</v>
      </c>
      <c r="Y142" s="20">
        <f t="shared" si="32"/>
        <v>46208</v>
      </c>
      <c r="Z142" s="20">
        <f t="shared" si="33"/>
        <v>46208</v>
      </c>
      <c r="AA142" s="20">
        <f t="shared" si="34"/>
        <v>138</v>
      </c>
      <c r="AB142" s="20" t="str">
        <f>""</f>
        <v/>
      </c>
      <c r="AC142" s="20" t="str">
        <f>IF(B142="","",Exposures!$F70&amp;"")</f>
        <v/>
      </c>
      <c r="AD142" s="20" t="str">
        <f>IF(B142="","",Exposures!$E70&amp;": Stop")</f>
        <v>Vector drug: Stop</v>
      </c>
      <c r="AE142" s="20">
        <f t="shared" si="35"/>
        <v>0</v>
      </c>
      <c r="AF142" s="20" t="str">
        <f t="shared" si="36"/>
        <v/>
      </c>
      <c r="AG142" s="20">
        <f t="shared" si="37"/>
        <v>1</v>
      </c>
      <c r="AH142" s="20" t="str">
        <f>""</f>
        <v/>
      </c>
    </row>
    <row r="143" spans="1:34" x14ac:dyDescent="0.2">
      <c r="A143" s="20" t="str">
        <f t="shared" si="27"/>
        <v/>
      </c>
      <c r="B143" s="20" t="str">
        <f>IF(AND(Exposures!$D71&lt;&gt;"",COUNTA(Exposures!$AE71:$AL71)&gt;0),Exposures!$D71&amp;"/STOP","")</f>
        <v/>
      </c>
      <c r="C143" s="20" t="str">
        <f t="shared" si="38"/>
        <v/>
      </c>
      <c r="D143" s="20" t="str">
        <f>IF(B143="","",Exposures!$A71&amp;"")</f>
        <v/>
      </c>
      <c r="E143" s="20" t="str">
        <f>IF(B143="","",Exposures!$B71&amp;"")</f>
        <v/>
      </c>
      <c r="F143" s="20" t="str">
        <f t="shared" si="28"/>
        <v/>
      </c>
      <c r="G143" s="20" t="str">
        <f>IF(B143="","",Exposures!$D71&amp;"")</f>
        <v/>
      </c>
      <c r="H143" s="20" t="str">
        <f>IF(B143="","",Exposures!$AE71&amp;"")</f>
        <v/>
      </c>
      <c r="I143" s="20" t="str">
        <f>IF(B143="","",Exposures!$AH71&amp;"")</f>
        <v/>
      </c>
      <c r="J143" s="20" t="str">
        <f>IF(B143="","",Exposures!$AN71&amp;"")</f>
        <v/>
      </c>
      <c r="K143" s="20">
        <f>IF(B143="",0,Exposures!$AO71)</f>
        <v>0</v>
      </c>
      <c r="L143" s="20">
        <f>IF(B143="",0,Exposures!$AP71)</f>
        <v>0</v>
      </c>
      <c r="M143" s="20" t="str">
        <f>IF(B143="","",Exposures!$AS71)</f>
        <v/>
      </c>
      <c r="N143" s="20" t="str">
        <f>IF(B143="","",Exposures!$AT71)</f>
        <v/>
      </c>
      <c r="O143" s="27" t="str">
        <f>IF(B143="","",Exposures!$AQ71)</f>
        <v/>
      </c>
      <c r="P143" s="27" t="str">
        <f>IF(B143="","",Exposures!$AR71)</f>
        <v/>
      </c>
      <c r="Q143" s="20" t="str">
        <f t="shared" si="29"/>
        <v/>
      </c>
      <c r="R143" s="20" t="str">
        <f>IF(A143="","",IF(J143&lt;&gt;"",J143,IF(H143="TIMESTAMP",DAY(INT(M143/1440))&amp;" "&amp;INDEX(nLIST_Months,MONTH(INT(M143/1440)))&amp;" "&amp;YEAR(INT(M143/1440))&amp;" "&amp;RIGHT("0"&amp;INT(MOD(M143,1440)/60),2)&amp;":"&amp;RIGHT("0"&amp;MOD(M143,60),2)&amp;IF(L143=1," (UTC"&amp;I143&amp;")"," (offset unknown)"),IF(H143="DATE",DAY(O143)&amp;" "&amp;INDEX(nLIST_Months,MONTH(O143))&amp;" "&amp;YEAR(O143),IF(H143="MONTH",INDEX(nLIST_Months,MONTH(O143))&amp;" "&amp;YEAR(O143)&amp;" ("&amp;DAY(O143)&amp;" "&amp;INDEX(nLIST_Months,MONTH(O143))&amp;" "&amp;YEAR(O143)&amp;" to "&amp;DAY(P143)&amp;" "&amp;INDEX(nLIST_Months,MONTH(P143))&amp;" "&amp;YEAR(P143)&amp;")",IF(H143="YEAR",YEAR(O143)&amp;" (1 January to 31 December)",DAY(O143)&amp;" "&amp;INDEX(nLIST_Months,MONTH(O143))&amp;" "&amp;YEAR(O143)&amp;" to "&amp;DAY(P143)&amp;" "&amp;INDEX(nLIST_Months,MONTH(P143))&amp;" "&amp;YEAR(P143)&amp;IF(H143="LAB"," (laboratory-defined)","")))))))</f>
        <v/>
      </c>
      <c r="S143" s="20" t="str">
        <f>IF(B143="","",Exposures!$AD71&amp;"")</f>
        <v/>
      </c>
      <c r="T143" s="20" t="str">
        <f>IF(B143="","",Exposures!$AM71&amp;"")</f>
        <v/>
      </c>
      <c r="U143" s="20" t="str">
        <f>IF(B143="","","Exposures row "&amp;ROW(Exposures!$A71)&amp;", Stop")</f>
        <v/>
      </c>
      <c r="V143" s="20">
        <f>IF(A143="",0,COUNTIF(nTP_Key,A143))</f>
        <v>0</v>
      </c>
      <c r="W143" s="20">
        <f t="shared" si="30"/>
        <v>0</v>
      </c>
      <c r="X143" s="20">
        <f t="shared" si="31"/>
        <v>0</v>
      </c>
      <c r="Y143" s="20">
        <f t="shared" si="32"/>
        <v>0</v>
      </c>
      <c r="Z143" s="20">
        <f t="shared" si="33"/>
        <v>0</v>
      </c>
      <c r="AA143" s="20">
        <f t="shared" si="34"/>
        <v>139</v>
      </c>
      <c r="AB143" s="20" t="str">
        <f>""</f>
        <v/>
      </c>
      <c r="AC143" s="20" t="str">
        <f>IF(B143="","",Exposures!$F71&amp;"")</f>
        <v/>
      </c>
      <c r="AD143" s="20" t="str">
        <f>IF(B143="","",Exposures!$E71&amp;": Stop")</f>
        <v/>
      </c>
      <c r="AE143" s="20">
        <f t="shared" si="35"/>
        <v>0</v>
      </c>
      <c r="AF143" s="20" t="str">
        <f t="shared" si="36"/>
        <v/>
      </c>
      <c r="AG143" s="20">
        <f t="shared" si="37"/>
        <v>0</v>
      </c>
      <c r="AH143" s="20" t="str">
        <f>""</f>
        <v/>
      </c>
    </row>
    <row r="144" spans="1:34" x14ac:dyDescent="0.2">
      <c r="A144" s="20" t="str">
        <f t="shared" si="27"/>
        <v/>
      </c>
      <c r="B144" s="20" t="str">
        <f>IF(AND(Exposures!$D72&lt;&gt;"",COUNTA(Exposures!$AE72:$AL72)&gt;0),Exposures!$D72&amp;"/STOP","")</f>
        <v/>
      </c>
      <c r="C144" s="20" t="str">
        <f t="shared" si="38"/>
        <v/>
      </c>
      <c r="D144" s="20" t="str">
        <f>IF(B144="","",Exposures!$A72&amp;"")</f>
        <v/>
      </c>
      <c r="E144" s="20" t="str">
        <f>IF(B144="","",Exposures!$B72&amp;"")</f>
        <v/>
      </c>
      <c r="F144" s="20" t="str">
        <f t="shared" si="28"/>
        <v/>
      </c>
      <c r="G144" s="20" t="str">
        <f>IF(B144="","",Exposures!$D72&amp;"")</f>
        <v/>
      </c>
      <c r="H144" s="20" t="str">
        <f>IF(B144="","",Exposures!$AE72&amp;"")</f>
        <v/>
      </c>
      <c r="I144" s="20" t="str">
        <f>IF(B144="","",Exposures!$AH72&amp;"")</f>
        <v/>
      </c>
      <c r="J144" s="20" t="str">
        <f>IF(B144="","",Exposures!$AN72&amp;"")</f>
        <v/>
      </c>
      <c r="K144" s="20">
        <f>IF(B144="",0,Exposures!$AO72)</f>
        <v>0</v>
      </c>
      <c r="L144" s="20">
        <f>IF(B144="",0,Exposures!$AP72)</f>
        <v>0</v>
      </c>
      <c r="M144" s="20" t="str">
        <f>IF(B144="","",Exposures!$AS72)</f>
        <v/>
      </c>
      <c r="N144" s="20" t="str">
        <f>IF(B144="","",Exposures!$AT72)</f>
        <v/>
      </c>
      <c r="O144" s="27" t="str">
        <f>IF(B144="","",Exposures!$AQ72)</f>
        <v/>
      </c>
      <c r="P144" s="27" t="str">
        <f>IF(B144="","",Exposures!$AR72)</f>
        <v/>
      </c>
      <c r="Q144" s="20" t="str">
        <f t="shared" si="29"/>
        <v/>
      </c>
      <c r="R144" s="20" t="str">
        <f>IF(A144="","",IF(J144&lt;&gt;"",J144,IF(H144="TIMESTAMP",DAY(INT(M144/1440))&amp;" "&amp;INDEX(nLIST_Months,MONTH(INT(M144/1440)))&amp;" "&amp;YEAR(INT(M144/1440))&amp;" "&amp;RIGHT("0"&amp;INT(MOD(M144,1440)/60),2)&amp;":"&amp;RIGHT("0"&amp;MOD(M144,60),2)&amp;IF(L144=1," (UTC"&amp;I144&amp;")"," (offset unknown)"),IF(H144="DATE",DAY(O144)&amp;" "&amp;INDEX(nLIST_Months,MONTH(O144))&amp;" "&amp;YEAR(O144),IF(H144="MONTH",INDEX(nLIST_Months,MONTH(O144))&amp;" "&amp;YEAR(O144)&amp;" ("&amp;DAY(O144)&amp;" "&amp;INDEX(nLIST_Months,MONTH(O144))&amp;" "&amp;YEAR(O144)&amp;" to "&amp;DAY(P144)&amp;" "&amp;INDEX(nLIST_Months,MONTH(P144))&amp;" "&amp;YEAR(P144)&amp;")",IF(H144="YEAR",YEAR(O144)&amp;" (1 January to 31 December)",DAY(O144)&amp;" "&amp;INDEX(nLIST_Months,MONTH(O144))&amp;" "&amp;YEAR(O144)&amp;" to "&amp;DAY(P144)&amp;" "&amp;INDEX(nLIST_Months,MONTH(P144))&amp;" "&amp;YEAR(P144)&amp;IF(H144="LAB"," (laboratory-defined)","")))))))</f>
        <v/>
      </c>
      <c r="S144" s="20" t="str">
        <f>IF(B144="","",Exposures!$AD72&amp;"")</f>
        <v/>
      </c>
      <c r="T144" s="20" t="str">
        <f>IF(B144="","",Exposures!$AM72&amp;"")</f>
        <v/>
      </c>
      <c r="U144" s="20" t="str">
        <f>IF(B144="","","Exposures row "&amp;ROW(Exposures!$A72)&amp;", Stop")</f>
        <v/>
      </c>
      <c r="V144" s="20">
        <f>IF(A144="",0,COUNTIF(nTP_Key,A144))</f>
        <v>0</v>
      </c>
      <c r="W144" s="20">
        <f t="shared" si="30"/>
        <v>0</v>
      </c>
      <c r="X144" s="20">
        <f t="shared" si="31"/>
        <v>0</v>
      </c>
      <c r="Y144" s="20">
        <f t="shared" si="32"/>
        <v>0</v>
      </c>
      <c r="Z144" s="20">
        <f t="shared" si="33"/>
        <v>0</v>
      </c>
      <c r="AA144" s="20">
        <f t="shared" si="34"/>
        <v>140</v>
      </c>
      <c r="AB144" s="20" t="str">
        <f>""</f>
        <v/>
      </c>
      <c r="AC144" s="20" t="str">
        <f>IF(B144="","",Exposures!$F72&amp;"")</f>
        <v/>
      </c>
      <c r="AD144" s="20" t="str">
        <f>IF(B144="","",Exposures!$E72&amp;": Stop")</f>
        <v/>
      </c>
      <c r="AE144" s="20">
        <f t="shared" si="35"/>
        <v>0</v>
      </c>
      <c r="AF144" s="20" t="str">
        <f t="shared" si="36"/>
        <v/>
      </c>
      <c r="AG144" s="20">
        <f t="shared" si="37"/>
        <v>0</v>
      </c>
      <c r="AH144" s="20" t="str">
        <f>""</f>
        <v/>
      </c>
    </row>
    <row r="145" spans="1:34" x14ac:dyDescent="0.2">
      <c r="A145" s="20" t="str">
        <f t="shared" si="27"/>
        <v/>
      </c>
      <c r="B145" s="20" t="str">
        <f>IF(AND(Exposures!$D73&lt;&gt;"",COUNTA(Exposures!$AE73:$AL73)&gt;0),Exposures!$D73&amp;"/STOP","")</f>
        <v/>
      </c>
      <c r="C145" s="20" t="str">
        <f t="shared" si="38"/>
        <v/>
      </c>
      <c r="D145" s="20" t="str">
        <f>IF(B145="","",Exposures!$A73&amp;"")</f>
        <v/>
      </c>
      <c r="E145" s="20" t="str">
        <f>IF(B145="","",Exposures!$B73&amp;"")</f>
        <v/>
      </c>
      <c r="F145" s="20" t="str">
        <f t="shared" si="28"/>
        <v/>
      </c>
      <c r="G145" s="20" t="str">
        <f>IF(B145="","",Exposures!$D73&amp;"")</f>
        <v/>
      </c>
      <c r="H145" s="20" t="str">
        <f>IF(B145="","",Exposures!$AE73&amp;"")</f>
        <v/>
      </c>
      <c r="I145" s="20" t="str">
        <f>IF(B145="","",Exposures!$AH73&amp;"")</f>
        <v/>
      </c>
      <c r="J145" s="20" t="str">
        <f>IF(B145="","",Exposures!$AN73&amp;"")</f>
        <v/>
      </c>
      <c r="K145" s="20">
        <f>IF(B145="",0,Exposures!$AO73)</f>
        <v>0</v>
      </c>
      <c r="L145" s="20">
        <f>IF(B145="",0,Exposures!$AP73)</f>
        <v>0</v>
      </c>
      <c r="M145" s="20" t="str">
        <f>IF(B145="","",Exposures!$AS73)</f>
        <v/>
      </c>
      <c r="N145" s="20" t="str">
        <f>IF(B145="","",Exposures!$AT73)</f>
        <v/>
      </c>
      <c r="O145" s="27" t="str">
        <f>IF(B145="","",Exposures!$AQ73)</f>
        <v/>
      </c>
      <c r="P145" s="27" t="str">
        <f>IF(B145="","",Exposures!$AR73)</f>
        <v/>
      </c>
      <c r="Q145" s="20" t="str">
        <f t="shared" si="29"/>
        <v/>
      </c>
      <c r="R145" s="20" t="str">
        <f>IF(A145="","",IF(J145&lt;&gt;"",J145,IF(H145="TIMESTAMP",DAY(INT(M145/1440))&amp;" "&amp;INDEX(nLIST_Months,MONTH(INT(M145/1440)))&amp;" "&amp;YEAR(INT(M145/1440))&amp;" "&amp;RIGHT("0"&amp;INT(MOD(M145,1440)/60),2)&amp;":"&amp;RIGHT("0"&amp;MOD(M145,60),2)&amp;IF(L145=1," (UTC"&amp;I145&amp;")"," (offset unknown)"),IF(H145="DATE",DAY(O145)&amp;" "&amp;INDEX(nLIST_Months,MONTH(O145))&amp;" "&amp;YEAR(O145),IF(H145="MONTH",INDEX(nLIST_Months,MONTH(O145))&amp;" "&amp;YEAR(O145)&amp;" ("&amp;DAY(O145)&amp;" "&amp;INDEX(nLIST_Months,MONTH(O145))&amp;" "&amp;YEAR(O145)&amp;" to "&amp;DAY(P145)&amp;" "&amp;INDEX(nLIST_Months,MONTH(P145))&amp;" "&amp;YEAR(P145)&amp;")",IF(H145="YEAR",YEAR(O145)&amp;" (1 January to 31 December)",DAY(O145)&amp;" "&amp;INDEX(nLIST_Months,MONTH(O145))&amp;" "&amp;YEAR(O145)&amp;" to "&amp;DAY(P145)&amp;" "&amp;INDEX(nLIST_Months,MONTH(P145))&amp;" "&amp;YEAR(P145)&amp;IF(H145="LAB"," (laboratory-defined)","")))))))</f>
        <v/>
      </c>
      <c r="S145" s="20" t="str">
        <f>IF(B145="","",Exposures!$AD73&amp;"")</f>
        <v/>
      </c>
      <c r="T145" s="20" t="str">
        <f>IF(B145="","",Exposures!$AM73&amp;"")</f>
        <v/>
      </c>
      <c r="U145" s="20" t="str">
        <f>IF(B145="","","Exposures row "&amp;ROW(Exposures!$A73)&amp;", Stop")</f>
        <v/>
      </c>
      <c r="V145" s="20">
        <f>IF(A145="",0,COUNTIF(nTP_Key,A145))</f>
        <v>0</v>
      </c>
      <c r="W145" s="20">
        <f t="shared" si="30"/>
        <v>0</v>
      </c>
      <c r="X145" s="20">
        <f t="shared" si="31"/>
        <v>0</v>
      </c>
      <c r="Y145" s="20">
        <f t="shared" si="32"/>
        <v>0</v>
      </c>
      <c r="Z145" s="20">
        <f t="shared" si="33"/>
        <v>0</v>
      </c>
      <c r="AA145" s="20">
        <f t="shared" si="34"/>
        <v>141</v>
      </c>
      <c r="AB145" s="20" t="str">
        <f>""</f>
        <v/>
      </c>
      <c r="AC145" s="20" t="str">
        <f>IF(B145="","",Exposures!$F73&amp;"")</f>
        <v/>
      </c>
      <c r="AD145" s="20" t="str">
        <f>IF(B145="","",Exposures!$E73&amp;": Stop")</f>
        <v/>
      </c>
      <c r="AE145" s="20">
        <f t="shared" si="35"/>
        <v>0</v>
      </c>
      <c r="AF145" s="20" t="str">
        <f t="shared" si="36"/>
        <v/>
      </c>
      <c r="AG145" s="20">
        <f t="shared" si="37"/>
        <v>0</v>
      </c>
      <c r="AH145" s="20" t="str">
        <f>""</f>
        <v/>
      </c>
    </row>
    <row r="146" spans="1:34" x14ac:dyDescent="0.2">
      <c r="A146" s="20" t="str">
        <f t="shared" si="27"/>
        <v/>
      </c>
      <c r="B146" s="20" t="str">
        <f>IF(AND(Exposures!$D74&lt;&gt;"",COUNTA(Exposures!$AE74:$AL74)&gt;0),Exposures!$D74&amp;"/STOP","")</f>
        <v/>
      </c>
      <c r="C146" s="20" t="str">
        <f t="shared" si="38"/>
        <v/>
      </c>
      <c r="D146" s="20" t="str">
        <f>IF(B146="","",Exposures!$A74&amp;"")</f>
        <v/>
      </c>
      <c r="E146" s="20" t="str">
        <f>IF(B146="","",Exposures!$B74&amp;"")</f>
        <v/>
      </c>
      <c r="F146" s="20" t="str">
        <f t="shared" si="28"/>
        <v/>
      </c>
      <c r="G146" s="20" t="str">
        <f>IF(B146="","",Exposures!$D74&amp;"")</f>
        <v/>
      </c>
      <c r="H146" s="20" t="str">
        <f>IF(B146="","",Exposures!$AE74&amp;"")</f>
        <v/>
      </c>
      <c r="I146" s="20" t="str">
        <f>IF(B146="","",Exposures!$AH74&amp;"")</f>
        <v/>
      </c>
      <c r="J146" s="20" t="str">
        <f>IF(B146="","",Exposures!$AN74&amp;"")</f>
        <v/>
      </c>
      <c r="K146" s="20">
        <f>IF(B146="",0,Exposures!$AO74)</f>
        <v>0</v>
      </c>
      <c r="L146" s="20">
        <f>IF(B146="",0,Exposures!$AP74)</f>
        <v>0</v>
      </c>
      <c r="M146" s="20" t="str">
        <f>IF(B146="","",Exposures!$AS74)</f>
        <v/>
      </c>
      <c r="N146" s="20" t="str">
        <f>IF(B146="","",Exposures!$AT74)</f>
        <v/>
      </c>
      <c r="O146" s="27" t="str">
        <f>IF(B146="","",Exposures!$AQ74)</f>
        <v/>
      </c>
      <c r="P146" s="27" t="str">
        <f>IF(B146="","",Exposures!$AR74)</f>
        <v/>
      </c>
      <c r="Q146" s="20" t="str">
        <f t="shared" si="29"/>
        <v/>
      </c>
      <c r="R146" s="20" t="str">
        <f>IF(A146="","",IF(J146&lt;&gt;"",J146,IF(H146="TIMESTAMP",DAY(INT(M146/1440))&amp;" "&amp;INDEX(nLIST_Months,MONTH(INT(M146/1440)))&amp;" "&amp;YEAR(INT(M146/1440))&amp;" "&amp;RIGHT("0"&amp;INT(MOD(M146,1440)/60),2)&amp;":"&amp;RIGHT("0"&amp;MOD(M146,60),2)&amp;IF(L146=1," (UTC"&amp;I146&amp;")"," (offset unknown)"),IF(H146="DATE",DAY(O146)&amp;" "&amp;INDEX(nLIST_Months,MONTH(O146))&amp;" "&amp;YEAR(O146),IF(H146="MONTH",INDEX(nLIST_Months,MONTH(O146))&amp;" "&amp;YEAR(O146)&amp;" ("&amp;DAY(O146)&amp;" "&amp;INDEX(nLIST_Months,MONTH(O146))&amp;" "&amp;YEAR(O146)&amp;" to "&amp;DAY(P146)&amp;" "&amp;INDEX(nLIST_Months,MONTH(P146))&amp;" "&amp;YEAR(P146)&amp;")",IF(H146="YEAR",YEAR(O146)&amp;" (1 January to 31 December)",DAY(O146)&amp;" "&amp;INDEX(nLIST_Months,MONTH(O146))&amp;" "&amp;YEAR(O146)&amp;" to "&amp;DAY(P146)&amp;" "&amp;INDEX(nLIST_Months,MONTH(P146))&amp;" "&amp;YEAR(P146)&amp;IF(H146="LAB"," (laboratory-defined)","")))))))</f>
        <v/>
      </c>
      <c r="S146" s="20" t="str">
        <f>IF(B146="","",Exposures!$AD74&amp;"")</f>
        <v/>
      </c>
      <c r="T146" s="20" t="str">
        <f>IF(B146="","",Exposures!$AM74&amp;"")</f>
        <v/>
      </c>
      <c r="U146" s="20" t="str">
        <f>IF(B146="","","Exposures row "&amp;ROW(Exposures!$A74)&amp;", Stop")</f>
        <v/>
      </c>
      <c r="V146" s="20">
        <f>IF(A146="",0,COUNTIF(nTP_Key,A146))</f>
        <v>0</v>
      </c>
      <c r="W146" s="20">
        <f t="shared" si="30"/>
        <v>0</v>
      </c>
      <c r="X146" s="20">
        <f t="shared" si="31"/>
        <v>0</v>
      </c>
      <c r="Y146" s="20">
        <f t="shared" si="32"/>
        <v>0</v>
      </c>
      <c r="Z146" s="20">
        <f t="shared" si="33"/>
        <v>0</v>
      </c>
      <c r="AA146" s="20">
        <f t="shared" si="34"/>
        <v>142</v>
      </c>
      <c r="AB146" s="20" t="str">
        <f>""</f>
        <v/>
      </c>
      <c r="AC146" s="20" t="str">
        <f>IF(B146="","",Exposures!$F74&amp;"")</f>
        <v/>
      </c>
      <c r="AD146" s="20" t="str">
        <f>IF(B146="","",Exposures!$E74&amp;": Stop")</f>
        <v/>
      </c>
      <c r="AE146" s="20">
        <f t="shared" si="35"/>
        <v>0</v>
      </c>
      <c r="AF146" s="20" t="str">
        <f t="shared" si="36"/>
        <v/>
      </c>
      <c r="AG146" s="20">
        <f t="shared" si="37"/>
        <v>0</v>
      </c>
      <c r="AH146" s="20" t="str">
        <f>""</f>
        <v/>
      </c>
    </row>
    <row r="147" spans="1:34" x14ac:dyDescent="0.2">
      <c r="A147" s="20" t="str">
        <f t="shared" si="27"/>
        <v/>
      </c>
      <c r="B147" s="20" t="str">
        <f>IF(AND(Exposures!$D75&lt;&gt;"",COUNTA(Exposures!$AE75:$AL75)&gt;0),Exposures!$D75&amp;"/STOP","")</f>
        <v/>
      </c>
      <c r="C147" s="20" t="str">
        <f t="shared" si="38"/>
        <v/>
      </c>
      <c r="D147" s="20" t="str">
        <f>IF(B147="","",Exposures!$A75&amp;"")</f>
        <v/>
      </c>
      <c r="E147" s="20" t="str">
        <f>IF(B147="","",Exposures!$B75&amp;"")</f>
        <v/>
      </c>
      <c r="F147" s="20" t="str">
        <f t="shared" si="28"/>
        <v/>
      </c>
      <c r="G147" s="20" t="str">
        <f>IF(B147="","",Exposures!$D75&amp;"")</f>
        <v/>
      </c>
      <c r="H147" s="20" t="str">
        <f>IF(B147="","",Exposures!$AE75&amp;"")</f>
        <v/>
      </c>
      <c r="I147" s="20" t="str">
        <f>IF(B147="","",Exposures!$AH75&amp;"")</f>
        <v/>
      </c>
      <c r="J147" s="20" t="str">
        <f>IF(B147="","",Exposures!$AN75&amp;"")</f>
        <v/>
      </c>
      <c r="K147" s="20">
        <f>IF(B147="",0,Exposures!$AO75)</f>
        <v>0</v>
      </c>
      <c r="L147" s="20">
        <f>IF(B147="",0,Exposures!$AP75)</f>
        <v>0</v>
      </c>
      <c r="M147" s="20" t="str">
        <f>IF(B147="","",Exposures!$AS75)</f>
        <v/>
      </c>
      <c r="N147" s="20" t="str">
        <f>IF(B147="","",Exposures!$AT75)</f>
        <v/>
      </c>
      <c r="O147" s="27" t="str">
        <f>IF(B147="","",Exposures!$AQ75)</f>
        <v/>
      </c>
      <c r="P147" s="27" t="str">
        <f>IF(B147="","",Exposures!$AR75)</f>
        <v/>
      </c>
      <c r="Q147" s="20" t="str">
        <f t="shared" si="29"/>
        <v/>
      </c>
      <c r="R147" s="20" t="str">
        <f>IF(A147="","",IF(J147&lt;&gt;"",J147,IF(H147="TIMESTAMP",DAY(INT(M147/1440))&amp;" "&amp;INDEX(nLIST_Months,MONTH(INT(M147/1440)))&amp;" "&amp;YEAR(INT(M147/1440))&amp;" "&amp;RIGHT("0"&amp;INT(MOD(M147,1440)/60),2)&amp;":"&amp;RIGHT("0"&amp;MOD(M147,60),2)&amp;IF(L147=1," (UTC"&amp;I147&amp;")"," (offset unknown)"),IF(H147="DATE",DAY(O147)&amp;" "&amp;INDEX(nLIST_Months,MONTH(O147))&amp;" "&amp;YEAR(O147),IF(H147="MONTH",INDEX(nLIST_Months,MONTH(O147))&amp;" "&amp;YEAR(O147)&amp;" ("&amp;DAY(O147)&amp;" "&amp;INDEX(nLIST_Months,MONTH(O147))&amp;" "&amp;YEAR(O147)&amp;" to "&amp;DAY(P147)&amp;" "&amp;INDEX(nLIST_Months,MONTH(P147))&amp;" "&amp;YEAR(P147)&amp;")",IF(H147="YEAR",YEAR(O147)&amp;" (1 January to 31 December)",DAY(O147)&amp;" "&amp;INDEX(nLIST_Months,MONTH(O147))&amp;" "&amp;YEAR(O147)&amp;" to "&amp;DAY(P147)&amp;" "&amp;INDEX(nLIST_Months,MONTH(P147))&amp;" "&amp;YEAR(P147)&amp;IF(H147="LAB"," (laboratory-defined)","")))))))</f>
        <v/>
      </c>
      <c r="S147" s="20" t="str">
        <f>IF(B147="","",Exposures!$AD75&amp;"")</f>
        <v/>
      </c>
      <c r="T147" s="20" t="str">
        <f>IF(B147="","",Exposures!$AM75&amp;"")</f>
        <v/>
      </c>
      <c r="U147" s="20" t="str">
        <f>IF(B147="","","Exposures row "&amp;ROW(Exposures!$A75)&amp;", Stop")</f>
        <v/>
      </c>
      <c r="V147" s="20">
        <f>IF(A147="",0,COUNTIF(nTP_Key,A147))</f>
        <v>0</v>
      </c>
      <c r="W147" s="20">
        <f t="shared" si="30"/>
        <v>0</v>
      </c>
      <c r="X147" s="20">
        <f t="shared" si="31"/>
        <v>0</v>
      </c>
      <c r="Y147" s="20">
        <f t="shared" si="32"/>
        <v>0</v>
      </c>
      <c r="Z147" s="20">
        <f t="shared" si="33"/>
        <v>0</v>
      </c>
      <c r="AA147" s="20">
        <f t="shared" si="34"/>
        <v>143</v>
      </c>
      <c r="AB147" s="20" t="str">
        <f>""</f>
        <v/>
      </c>
      <c r="AC147" s="20" t="str">
        <f>IF(B147="","",Exposures!$F75&amp;"")</f>
        <v/>
      </c>
      <c r="AD147" s="20" t="str">
        <f>IF(B147="","",Exposures!$E75&amp;": Stop")</f>
        <v/>
      </c>
      <c r="AE147" s="20">
        <f t="shared" si="35"/>
        <v>0</v>
      </c>
      <c r="AF147" s="20" t="str">
        <f t="shared" si="36"/>
        <v/>
      </c>
      <c r="AG147" s="20">
        <f t="shared" si="37"/>
        <v>0</v>
      </c>
      <c r="AH147" s="20" t="str">
        <f>""</f>
        <v/>
      </c>
    </row>
    <row r="148" spans="1:34" x14ac:dyDescent="0.2">
      <c r="A148" s="20" t="str">
        <f t="shared" si="27"/>
        <v/>
      </c>
      <c r="B148" s="20" t="str">
        <f>IF(AND(Exposures!$D76&lt;&gt;"",COUNTA(Exposures!$AE76:$AL76)&gt;0),Exposures!$D76&amp;"/STOP","")</f>
        <v/>
      </c>
      <c r="C148" s="20" t="str">
        <f t="shared" si="38"/>
        <v/>
      </c>
      <c r="D148" s="20" t="str">
        <f>IF(B148="","",Exposures!$A76&amp;"")</f>
        <v/>
      </c>
      <c r="E148" s="20" t="str">
        <f>IF(B148="","",Exposures!$B76&amp;"")</f>
        <v/>
      </c>
      <c r="F148" s="20" t="str">
        <f t="shared" si="28"/>
        <v/>
      </c>
      <c r="G148" s="20" t="str">
        <f>IF(B148="","",Exposures!$D76&amp;"")</f>
        <v/>
      </c>
      <c r="H148" s="20" t="str">
        <f>IF(B148="","",Exposures!$AE76&amp;"")</f>
        <v/>
      </c>
      <c r="I148" s="20" t="str">
        <f>IF(B148="","",Exposures!$AH76&amp;"")</f>
        <v/>
      </c>
      <c r="J148" s="20" t="str">
        <f>IF(B148="","",Exposures!$AN76&amp;"")</f>
        <v/>
      </c>
      <c r="K148" s="20">
        <f>IF(B148="",0,Exposures!$AO76)</f>
        <v>0</v>
      </c>
      <c r="L148" s="20">
        <f>IF(B148="",0,Exposures!$AP76)</f>
        <v>0</v>
      </c>
      <c r="M148" s="20" t="str">
        <f>IF(B148="","",Exposures!$AS76)</f>
        <v/>
      </c>
      <c r="N148" s="20" t="str">
        <f>IF(B148="","",Exposures!$AT76)</f>
        <v/>
      </c>
      <c r="O148" s="27" t="str">
        <f>IF(B148="","",Exposures!$AQ76)</f>
        <v/>
      </c>
      <c r="P148" s="27" t="str">
        <f>IF(B148="","",Exposures!$AR76)</f>
        <v/>
      </c>
      <c r="Q148" s="20" t="str">
        <f t="shared" si="29"/>
        <v/>
      </c>
      <c r="R148" s="20" t="str">
        <f>IF(A148="","",IF(J148&lt;&gt;"",J148,IF(H148="TIMESTAMP",DAY(INT(M148/1440))&amp;" "&amp;INDEX(nLIST_Months,MONTH(INT(M148/1440)))&amp;" "&amp;YEAR(INT(M148/1440))&amp;" "&amp;RIGHT("0"&amp;INT(MOD(M148,1440)/60),2)&amp;":"&amp;RIGHT("0"&amp;MOD(M148,60),2)&amp;IF(L148=1," (UTC"&amp;I148&amp;")"," (offset unknown)"),IF(H148="DATE",DAY(O148)&amp;" "&amp;INDEX(nLIST_Months,MONTH(O148))&amp;" "&amp;YEAR(O148),IF(H148="MONTH",INDEX(nLIST_Months,MONTH(O148))&amp;" "&amp;YEAR(O148)&amp;" ("&amp;DAY(O148)&amp;" "&amp;INDEX(nLIST_Months,MONTH(O148))&amp;" "&amp;YEAR(O148)&amp;" to "&amp;DAY(P148)&amp;" "&amp;INDEX(nLIST_Months,MONTH(P148))&amp;" "&amp;YEAR(P148)&amp;")",IF(H148="YEAR",YEAR(O148)&amp;" (1 January to 31 December)",DAY(O148)&amp;" "&amp;INDEX(nLIST_Months,MONTH(O148))&amp;" "&amp;YEAR(O148)&amp;" to "&amp;DAY(P148)&amp;" "&amp;INDEX(nLIST_Months,MONTH(P148))&amp;" "&amp;YEAR(P148)&amp;IF(H148="LAB"," (laboratory-defined)","")))))))</f>
        <v/>
      </c>
      <c r="S148" s="20" t="str">
        <f>IF(B148="","",Exposures!$AD76&amp;"")</f>
        <v/>
      </c>
      <c r="T148" s="20" t="str">
        <f>IF(B148="","",Exposures!$AM76&amp;"")</f>
        <v/>
      </c>
      <c r="U148" s="20" t="str">
        <f>IF(B148="","","Exposures row "&amp;ROW(Exposures!$A76)&amp;", Stop")</f>
        <v/>
      </c>
      <c r="V148" s="20">
        <f>IF(A148="",0,COUNTIF(nTP_Key,A148))</f>
        <v>0</v>
      </c>
      <c r="W148" s="20">
        <f t="shared" si="30"/>
        <v>0</v>
      </c>
      <c r="X148" s="20">
        <f t="shared" si="31"/>
        <v>0</v>
      </c>
      <c r="Y148" s="20">
        <f t="shared" si="32"/>
        <v>0</v>
      </c>
      <c r="Z148" s="20">
        <f t="shared" si="33"/>
        <v>0</v>
      </c>
      <c r="AA148" s="20">
        <f t="shared" si="34"/>
        <v>144</v>
      </c>
      <c r="AB148" s="20" t="str">
        <f>""</f>
        <v/>
      </c>
      <c r="AC148" s="20" t="str">
        <f>IF(B148="","",Exposures!$F76&amp;"")</f>
        <v/>
      </c>
      <c r="AD148" s="20" t="str">
        <f>IF(B148="","",Exposures!$E76&amp;": Stop")</f>
        <v/>
      </c>
      <c r="AE148" s="20">
        <f t="shared" si="35"/>
        <v>0</v>
      </c>
      <c r="AF148" s="20" t="str">
        <f t="shared" si="36"/>
        <v/>
      </c>
      <c r="AG148" s="20">
        <f t="shared" si="37"/>
        <v>0</v>
      </c>
      <c r="AH148" s="20" t="str">
        <f>""</f>
        <v/>
      </c>
    </row>
    <row r="149" spans="1:34" x14ac:dyDescent="0.2">
      <c r="A149" s="20" t="str">
        <f t="shared" si="27"/>
        <v/>
      </c>
      <c r="B149" s="20" t="str">
        <f>IF(AND(Exposures!$D5&lt;&gt;"",COUNTA(Exposures!$AV5:$BC5)&gt;0),Exposures!$D5&amp;"/RESTART","")</f>
        <v/>
      </c>
      <c r="C149" s="20" t="str">
        <f t="shared" ref="C149:C180" si="39">IF(B149="","","EXPOSURE_RESTART")</f>
        <v/>
      </c>
      <c r="D149" s="20" t="str">
        <f>IF(B149="","",Exposures!$A5&amp;"")</f>
        <v/>
      </c>
      <c r="E149" s="20" t="str">
        <f>IF(B149="","",Exposures!$B5&amp;"")</f>
        <v/>
      </c>
      <c r="F149" s="20" t="str">
        <f t="shared" si="28"/>
        <v/>
      </c>
      <c r="G149" s="20" t="str">
        <f>IF(B149="","",Exposures!$D5&amp;"")</f>
        <v/>
      </c>
      <c r="H149" s="20" t="str">
        <f>IF(B149="","",Exposures!$AV5&amp;"")</f>
        <v/>
      </c>
      <c r="I149" s="20" t="str">
        <f>IF(B149="","",Exposures!$AY5&amp;"")</f>
        <v/>
      </c>
      <c r="J149" s="20" t="str">
        <f>IF(B149="","",Exposures!$BE5&amp;"")</f>
        <v/>
      </c>
      <c r="K149" s="20">
        <f>IF(B149="",0,Exposures!$BF5)</f>
        <v>0</v>
      </c>
      <c r="L149" s="20">
        <f>IF(B149="",0,Exposures!$BG5)</f>
        <v>0</v>
      </c>
      <c r="M149" s="20" t="str">
        <f>IF(B149="","",Exposures!$BJ5)</f>
        <v/>
      </c>
      <c r="N149" s="20" t="str">
        <f>IF(B149="","",Exposures!$BK5)</f>
        <v/>
      </c>
      <c r="O149" s="27" t="str">
        <f>IF(B149="","",Exposures!$BH5)</f>
        <v/>
      </c>
      <c r="P149" s="27" t="str">
        <f>IF(B149="","",Exposures!$BI5)</f>
        <v/>
      </c>
      <c r="Q149" s="20" t="str">
        <f t="shared" si="29"/>
        <v/>
      </c>
      <c r="R149" s="20" t="str">
        <f>IF(A149="","",IF(J149&lt;&gt;"",J149,IF(H149="TIMESTAMP",DAY(INT(M149/1440))&amp;" "&amp;INDEX(nLIST_Months,MONTH(INT(M149/1440)))&amp;" "&amp;YEAR(INT(M149/1440))&amp;" "&amp;RIGHT("0"&amp;INT(MOD(M149,1440)/60),2)&amp;":"&amp;RIGHT("0"&amp;MOD(M149,60),2)&amp;IF(L149=1," (UTC"&amp;I149&amp;")"," (offset unknown)"),IF(H149="DATE",DAY(O149)&amp;" "&amp;INDEX(nLIST_Months,MONTH(O149))&amp;" "&amp;YEAR(O149),IF(H149="MONTH",INDEX(nLIST_Months,MONTH(O149))&amp;" "&amp;YEAR(O149)&amp;" ("&amp;DAY(O149)&amp;" "&amp;INDEX(nLIST_Months,MONTH(O149))&amp;" "&amp;YEAR(O149)&amp;" to "&amp;DAY(P149)&amp;" "&amp;INDEX(nLIST_Months,MONTH(P149))&amp;" "&amp;YEAR(P149)&amp;")",IF(H149="YEAR",YEAR(O149)&amp;" (1 January to 31 December)",DAY(O149)&amp;" "&amp;INDEX(nLIST_Months,MONTH(O149))&amp;" "&amp;YEAR(O149)&amp;" to "&amp;DAY(P149)&amp;" "&amp;INDEX(nLIST_Months,MONTH(P149))&amp;" "&amp;YEAR(P149)&amp;IF(H149="LAB"," (laboratory-defined)","")))))))</f>
        <v/>
      </c>
      <c r="S149" s="20" t="str">
        <f>IF(B149="","",Exposures!$AU5&amp;"")</f>
        <v/>
      </c>
      <c r="T149" s="20" t="str">
        <f>IF(B149="","",Exposures!$BD5&amp;"")</f>
        <v/>
      </c>
      <c r="U149" s="20" t="str">
        <f>IF(B149="","","Exposures row "&amp;ROW(Exposures!$A5)&amp;", Restart")</f>
        <v/>
      </c>
      <c r="V149" s="20">
        <f>IF(A149="",0,COUNTIF(nTP_Key,A149))</f>
        <v>0</v>
      </c>
      <c r="W149" s="20">
        <f t="shared" si="30"/>
        <v>0</v>
      </c>
      <c r="X149" s="20">
        <f t="shared" si="31"/>
        <v>0</v>
      </c>
      <c r="Y149" s="20">
        <f t="shared" si="32"/>
        <v>0</v>
      </c>
      <c r="Z149" s="20">
        <f t="shared" si="33"/>
        <v>0</v>
      </c>
      <c r="AA149" s="20">
        <f t="shared" si="34"/>
        <v>145</v>
      </c>
      <c r="AB149" s="20" t="str">
        <f>""</f>
        <v/>
      </c>
      <c r="AC149" s="20" t="str">
        <f>IF(B149="","",Exposures!$F5&amp;"")</f>
        <v/>
      </c>
      <c r="AD149" s="20" t="str">
        <f>IF(B149="","",Exposures!$E5&amp;": Restart")</f>
        <v/>
      </c>
      <c r="AE149" s="20">
        <f t="shared" si="35"/>
        <v>0</v>
      </c>
      <c r="AF149" s="20" t="str">
        <f t="shared" si="36"/>
        <v/>
      </c>
      <c r="AG149" s="20">
        <f t="shared" si="37"/>
        <v>0</v>
      </c>
      <c r="AH149" s="20" t="str">
        <f>""</f>
        <v/>
      </c>
    </row>
    <row r="150" spans="1:34" x14ac:dyDescent="0.2">
      <c r="A150" s="20" t="str">
        <f t="shared" si="27"/>
        <v/>
      </c>
      <c r="B150" s="20" t="str">
        <f>IF(AND(Exposures!$D6&lt;&gt;"",COUNTA(Exposures!$AV6:$BC6)&gt;0),Exposures!$D6&amp;"/RESTART","")</f>
        <v/>
      </c>
      <c r="C150" s="20" t="str">
        <f t="shared" si="39"/>
        <v/>
      </c>
      <c r="D150" s="20" t="str">
        <f>IF(B150="","",Exposures!$A6&amp;"")</f>
        <v/>
      </c>
      <c r="E150" s="20" t="str">
        <f>IF(B150="","",Exposures!$B6&amp;"")</f>
        <v/>
      </c>
      <c r="F150" s="20" t="str">
        <f t="shared" si="28"/>
        <v/>
      </c>
      <c r="G150" s="20" t="str">
        <f>IF(B150="","",Exposures!$D6&amp;"")</f>
        <v/>
      </c>
      <c r="H150" s="20" t="str">
        <f>IF(B150="","",Exposures!$AV6&amp;"")</f>
        <v/>
      </c>
      <c r="I150" s="20" t="str">
        <f>IF(B150="","",Exposures!$AY6&amp;"")</f>
        <v/>
      </c>
      <c r="J150" s="20" t="str">
        <f>IF(B150="","",Exposures!$BE6&amp;"")</f>
        <v/>
      </c>
      <c r="K150" s="20">
        <f>IF(B150="",0,Exposures!$BF6)</f>
        <v>0</v>
      </c>
      <c r="L150" s="20">
        <f>IF(B150="",0,Exposures!$BG6)</f>
        <v>0</v>
      </c>
      <c r="M150" s="20" t="str">
        <f>IF(B150="","",Exposures!$BJ6)</f>
        <v/>
      </c>
      <c r="N150" s="20" t="str">
        <f>IF(B150="","",Exposures!$BK6)</f>
        <v/>
      </c>
      <c r="O150" s="27" t="str">
        <f>IF(B150="","",Exposures!$BH6)</f>
        <v/>
      </c>
      <c r="P150" s="27" t="str">
        <f>IF(B150="","",Exposures!$BI6)</f>
        <v/>
      </c>
      <c r="Q150" s="20" t="str">
        <f t="shared" si="29"/>
        <v/>
      </c>
      <c r="R150" s="20" t="str">
        <f>IF(A150="","",IF(J150&lt;&gt;"",J150,IF(H150="TIMESTAMP",DAY(INT(M150/1440))&amp;" "&amp;INDEX(nLIST_Months,MONTH(INT(M150/1440)))&amp;" "&amp;YEAR(INT(M150/1440))&amp;" "&amp;RIGHT("0"&amp;INT(MOD(M150,1440)/60),2)&amp;":"&amp;RIGHT("0"&amp;MOD(M150,60),2)&amp;IF(L150=1," (UTC"&amp;I150&amp;")"," (offset unknown)"),IF(H150="DATE",DAY(O150)&amp;" "&amp;INDEX(nLIST_Months,MONTH(O150))&amp;" "&amp;YEAR(O150),IF(H150="MONTH",INDEX(nLIST_Months,MONTH(O150))&amp;" "&amp;YEAR(O150)&amp;" ("&amp;DAY(O150)&amp;" "&amp;INDEX(nLIST_Months,MONTH(O150))&amp;" "&amp;YEAR(O150)&amp;" to "&amp;DAY(P150)&amp;" "&amp;INDEX(nLIST_Months,MONTH(P150))&amp;" "&amp;YEAR(P150)&amp;")",IF(H150="YEAR",YEAR(O150)&amp;" (1 January to 31 December)",DAY(O150)&amp;" "&amp;INDEX(nLIST_Months,MONTH(O150))&amp;" "&amp;YEAR(O150)&amp;" to "&amp;DAY(P150)&amp;" "&amp;INDEX(nLIST_Months,MONTH(P150))&amp;" "&amp;YEAR(P150)&amp;IF(H150="LAB"," (laboratory-defined)","")))))))</f>
        <v/>
      </c>
      <c r="S150" s="20" t="str">
        <f>IF(B150="","",Exposures!$AU6&amp;"")</f>
        <v/>
      </c>
      <c r="T150" s="20" t="str">
        <f>IF(B150="","",Exposures!$BD6&amp;"")</f>
        <v/>
      </c>
      <c r="U150" s="20" t="str">
        <f>IF(B150="","","Exposures row "&amp;ROW(Exposures!$A6)&amp;", Restart")</f>
        <v/>
      </c>
      <c r="V150" s="20">
        <f>IF(A150="",0,COUNTIF(nTP_Key,A150))</f>
        <v>0</v>
      </c>
      <c r="W150" s="20">
        <f t="shared" si="30"/>
        <v>0</v>
      </c>
      <c r="X150" s="20">
        <f t="shared" si="31"/>
        <v>0</v>
      </c>
      <c r="Y150" s="20">
        <f t="shared" si="32"/>
        <v>0</v>
      </c>
      <c r="Z150" s="20">
        <f t="shared" si="33"/>
        <v>0</v>
      </c>
      <c r="AA150" s="20">
        <f t="shared" si="34"/>
        <v>146</v>
      </c>
      <c r="AB150" s="20" t="str">
        <f>""</f>
        <v/>
      </c>
      <c r="AC150" s="20" t="str">
        <f>IF(B150="","",Exposures!$F6&amp;"")</f>
        <v/>
      </c>
      <c r="AD150" s="20" t="str">
        <f>IF(B150="","",Exposures!$E6&amp;": Restart")</f>
        <v/>
      </c>
      <c r="AE150" s="20">
        <f t="shared" si="35"/>
        <v>0</v>
      </c>
      <c r="AF150" s="20" t="str">
        <f t="shared" si="36"/>
        <v/>
      </c>
      <c r="AG150" s="20">
        <f t="shared" si="37"/>
        <v>0</v>
      </c>
      <c r="AH150" s="20" t="str">
        <f>""</f>
        <v/>
      </c>
    </row>
    <row r="151" spans="1:34" x14ac:dyDescent="0.2">
      <c r="A151" s="20" t="str">
        <f t="shared" si="27"/>
        <v/>
      </c>
      <c r="B151" s="20" t="str">
        <f>IF(AND(Exposures!$D7&lt;&gt;"",COUNTA(Exposures!$AV7:$BC7)&gt;0),Exposures!$D7&amp;"/RESTART","")</f>
        <v/>
      </c>
      <c r="C151" s="20" t="str">
        <f t="shared" si="39"/>
        <v/>
      </c>
      <c r="D151" s="20" t="str">
        <f>IF(B151="","",Exposures!$A7&amp;"")</f>
        <v/>
      </c>
      <c r="E151" s="20" t="str">
        <f>IF(B151="","",Exposures!$B7&amp;"")</f>
        <v/>
      </c>
      <c r="F151" s="20" t="str">
        <f t="shared" si="28"/>
        <v/>
      </c>
      <c r="G151" s="20" t="str">
        <f>IF(B151="","",Exposures!$D7&amp;"")</f>
        <v/>
      </c>
      <c r="H151" s="20" t="str">
        <f>IF(B151="","",Exposures!$AV7&amp;"")</f>
        <v/>
      </c>
      <c r="I151" s="20" t="str">
        <f>IF(B151="","",Exposures!$AY7&amp;"")</f>
        <v/>
      </c>
      <c r="J151" s="20" t="str">
        <f>IF(B151="","",Exposures!$BE7&amp;"")</f>
        <v/>
      </c>
      <c r="K151" s="20">
        <f>IF(B151="",0,Exposures!$BF7)</f>
        <v>0</v>
      </c>
      <c r="L151" s="20">
        <f>IF(B151="",0,Exposures!$BG7)</f>
        <v>0</v>
      </c>
      <c r="M151" s="20" t="str">
        <f>IF(B151="","",Exposures!$BJ7)</f>
        <v/>
      </c>
      <c r="N151" s="20" t="str">
        <f>IF(B151="","",Exposures!$BK7)</f>
        <v/>
      </c>
      <c r="O151" s="27" t="str">
        <f>IF(B151="","",Exposures!$BH7)</f>
        <v/>
      </c>
      <c r="P151" s="27" t="str">
        <f>IF(B151="","",Exposures!$BI7)</f>
        <v/>
      </c>
      <c r="Q151" s="20" t="str">
        <f t="shared" si="29"/>
        <v/>
      </c>
      <c r="R151" s="20" t="str">
        <f>IF(A151="","",IF(J151&lt;&gt;"",J151,IF(H151="TIMESTAMP",DAY(INT(M151/1440))&amp;" "&amp;INDEX(nLIST_Months,MONTH(INT(M151/1440)))&amp;" "&amp;YEAR(INT(M151/1440))&amp;" "&amp;RIGHT("0"&amp;INT(MOD(M151,1440)/60),2)&amp;":"&amp;RIGHT("0"&amp;MOD(M151,60),2)&amp;IF(L151=1," (UTC"&amp;I151&amp;")"," (offset unknown)"),IF(H151="DATE",DAY(O151)&amp;" "&amp;INDEX(nLIST_Months,MONTH(O151))&amp;" "&amp;YEAR(O151),IF(H151="MONTH",INDEX(nLIST_Months,MONTH(O151))&amp;" "&amp;YEAR(O151)&amp;" ("&amp;DAY(O151)&amp;" "&amp;INDEX(nLIST_Months,MONTH(O151))&amp;" "&amp;YEAR(O151)&amp;" to "&amp;DAY(P151)&amp;" "&amp;INDEX(nLIST_Months,MONTH(P151))&amp;" "&amp;YEAR(P151)&amp;")",IF(H151="YEAR",YEAR(O151)&amp;" (1 January to 31 December)",DAY(O151)&amp;" "&amp;INDEX(nLIST_Months,MONTH(O151))&amp;" "&amp;YEAR(O151)&amp;" to "&amp;DAY(P151)&amp;" "&amp;INDEX(nLIST_Months,MONTH(P151))&amp;" "&amp;YEAR(P151)&amp;IF(H151="LAB"," (laboratory-defined)","")))))))</f>
        <v/>
      </c>
      <c r="S151" s="20" t="str">
        <f>IF(B151="","",Exposures!$AU7&amp;"")</f>
        <v/>
      </c>
      <c r="T151" s="20" t="str">
        <f>IF(B151="","",Exposures!$BD7&amp;"")</f>
        <v/>
      </c>
      <c r="U151" s="20" t="str">
        <f>IF(B151="","","Exposures row "&amp;ROW(Exposures!$A7)&amp;", Restart")</f>
        <v/>
      </c>
      <c r="V151" s="20">
        <f>IF(A151="",0,COUNTIF(nTP_Key,A151))</f>
        <v>0</v>
      </c>
      <c r="W151" s="20">
        <f t="shared" si="30"/>
        <v>0</v>
      </c>
      <c r="X151" s="20">
        <f t="shared" si="31"/>
        <v>0</v>
      </c>
      <c r="Y151" s="20">
        <f t="shared" si="32"/>
        <v>0</v>
      </c>
      <c r="Z151" s="20">
        <f t="shared" si="33"/>
        <v>0</v>
      </c>
      <c r="AA151" s="20">
        <f t="shared" si="34"/>
        <v>147</v>
      </c>
      <c r="AB151" s="20" t="str">
        <f>""</f>
        <v/>
      </c>
      <c r="AC151" s="20" t="str">
        <f>IF(B151="","",Exposures!$F7&amp;"")</f>
        <v/>
      </c>
      <c r="AD151" s="20" t="str">
        <f>IF(B151="","",Exposures!$E7&amp;": Restart")</f>
        <v/>
      </c>
      <c r="AE151" s="20">
        <f t="shared" si="35"/>
        <v>0</v>
      </c>
      <c r="AF151" s="20" t="str">
        <f t="shared" si="36"/>
        <v/>
      </c>
      <c r="AG151" s="20">
        <f t="shared" si="37"/>
        <v>0</v>
      </c>
      <c r="AH151" s="20" t="str">
        <f>""</f>
        <v/>
      </c>
    </row>
    <row r="152" spans="1:34" x14ac:dyDescent="0.2">
      <c r="A152" s="20" t="str">
        <f t="shared" si="27"/>
        <v/>
      </c>
      <c r="B152" s="20" t="str">
        <f>IF(AND(Exposures!$D8&lt;&gt;"",COUNTA(Exposures!$AV8:$BC8)&gt;0),Exposures!$D8&amp;"/RESTART","")</f>
        <v/>
      </c>
      <c r="C152" s="20" t="str">
        <f t="shared" si="39"/>
        <v/>
      </c>
      <c r="D152" s="20" t="str">
        <f>IF(B152="","",Exposures!$A8&amp;"")</f>
        <v/>
      </c>
      <c r="E152" s="20" t="str">
        <f>IF(B152="","",Exposures!$B8&amp;"")</f>
        <v/>
      </c>
      <c r="F152" s="20" t="str">
        <f t="shared" si="28"/>
        <v/>
      </c>
      <c r="G152" s="20" t="str">
        <f>IF(B152="","",Exposures!$D8&amp;"")</f>
        <v/>
      </c>
      <c r="H152" s="20" t="str">
        <f>IF(B152="","",Exposures!$AV8&amp;"")</f>
        <v/>
      </c>
      <c r="I152" s="20" t="str">
        <f>IF(B152="","",Exposures!$AY8&amp;"")</f>
        <v/>
      </c>
      <c r="J152" s="20" t="str">
        <f>IF(B152="","",Exposures!$BE8&amp;"")</f>
        <v/>
      </c>
      <c r="K152" s="20">
        <f>IF(B152="",0,Exposures!$BF8)</f>
        <v>0</v>
      </c>
      <c r="L152" s="20">
        <f>IF(B152="",0,Exposures!$BG8)</f>
        <v>0</v>
      </c>
      <c r="M152" s="20" t="str">
        <f>IF(B152="","",Exposures!$BJ8)</f>
        <v/>
      </c>
      <c r="N152" s="20" t="str">
        <f>IF(B152="","",Exposures!$BK8)</f>
        <v/>
      </c>
      <c r="O152" s="27" t="str">
        <f>IF(B152="","",Exposures!$BH8)</f>
        <v/>
      </c>
      <c r="P152" s="27" t="str">
        <f>IF(B152="","",Exposures!$BI8)</f>
        <v/>
      </c>
      <c r="Q152" s="20" t="str">
        <f t="shared" si="29"/>
        <v/>
      </c>
      <c r="R152" s="20" t="str">
        <f>IF(A152="","",IF(J152&lt;&gt;"",J152,IF(H152="TIMESTAMP",DAY(INT(M152/1440))&amp;" "&amp;INDEX(nLIST_Months,MONTH(INT(M152/1440)))&amp;" "&amp;YEAR(INT(M152/1440))&amp;" "&amp;RIGHT("0"&amp;INT(MOD(M152,1440)/60),2)&amp;":"&amp;RIGHT("0"&amp;MOD(M152,60),2)&amp;IF(L152=1," (UTC"&amp;I152&amp;")"," (offset unknown)"),IF(H152="DATE",DAY(O152)&amp;" "&amp;INDEX(nLIST_Months,MONTH(O152))&amp;" "&amp;YEAR(O152),IF(H152="MONTH",INDEX(nLIST_Months,MONTH(O152))&amp;" "&amp;YEAR(O152)&amp;" ("&amp;DAY(O152)&amp;" "&amp;INDEX(nLIST_Months,MONTH(O152))&amp;" "&amp;YEAR(O152)&amp;" to "&amp;DAY(P152)&amp;" "&amp;INDEX(nLIST_Months,MONTH(P152))&amp;" "&amp;YEAR(P152)&amp;")",IF(H152="YEAR",YEAR(O152)&amp;" (1 January to 31 December)",DAY(O152)&amp;" "&amp;INDEX(nLIST_Months,MONTH(O152))&amp;" "&amp;YEAR(O152)&amp;" to "&amp;DAY(P152)&amp;" "&amp;INDEX(nLIST_Months,MONTH(P152))&amp;" "&amp;YEAR(P152)&amp;IF(H152="LAB"," (laboratory-defined)","")))))))</f>
        <v/>
      </c>
      <c r="S152" s="20" t="str">
        <f>IF(B152="","",Exposures!$AU8&amp;"")</f>
        <v/>
      </c>
      <c r="T152" s="20" t="str">
        <f>IF(B152="","",Exposures!$BD8&amp;"")</f>
        <v/>
      </c>
      <c r="U152" s="20" t="str">
        <f>IF(B152="","","Exposures row "&amp;ROW(Exposures!$A8)&amp;", Restart")</f>
        <v/>
      </c>
      <c r="V152" s="20">
        <f>IF(A152="",0,COUNTIF(nTP_Key,A152))</f>
        <v>0</v>
      </c>
      <c r="W152" s="20">
        <f t="shared" si="30"/>
        <v>0</v>
      </c>
      <c r="X152" s="20">
        <f t="shared" si="31"/>
        <v>0</v>
      </c>
      <c r="Y152" s="20">
        <f t="shared" si="32"/>
        <v>0</v>
      </c>
      <c r="Z152" s="20">
        <f t="shared" si="33"/>
        <v>0</v>
      </c>
      <c r="AA152" s="20">
        <f t="shared" si="34"/>
        <v>148</v>
      </c>
      <c r="AB152" s="20" t="str">
        <f>""</f>
        <v/>
      </c>
      <c r="AC152" s="20" t="str">
        <f>IF(B152="","",Exposures!$F8&amp;"")</f>
        <v/>
      </c>
      <c r="AD152" s="20" t="str">
        <f>IF(B152="","",Exposures!$E8&amp;": Restart")</f>
        <v/>
      </c>
      <c r="AE152" s="20">
        <f t="shared" si="35"/>
        <v>0</v>
      </c>
      <c r="AF152" s="20" t="str">
        <f t="shared" si="36"/>
        <v/>
      </c>
      <c r="AG152" s="20">
        <f t="shared" si="37"/>
        <v>0</v>
      </c>
      <c r="AH152" s="20" t="str">
        <f>""</f>
        <v/>
      </c>
    </row>
    <row r="153" spans="1:34" x14ac:dyDescent="0.2">
      <c r="A153" s="20" t="str">
        <f t="shared" si="27"/>
        <v/>
      </c>
      <c r="B153" s="20" t="str">
        <f>IF(AND(Exposures!$D9&lt;&gt;"",COUNTA(Exposures!$AV9:$BC9)&gt;0),Exposures!$D9&amp;"/RESTART","")</f>
        <v/>
      </c>
      <c r="C153" s="20" t="str">
        <f t="shared" si="39"/>
        <v/>
      </c>
      <c r="D153" s="20" t="str">
        <f>IF(B153="","",Exposures!$A9&amp;"")</f>
        <v/>
      </c>
      <c r="E153" s="20" t="str">
        <f>IF(B153="","",Exposures!$B9&amp;"")</f>
        <v/>
      </c>
      <c r="F153" s="20" t="str">
        <f t="shared" si="28"/>
        <v/>
      </c>
      <c r="G153" s="20" t="str">
        <f>IF(B153="","",Exposures!$D9&amp;"")</f>
        <v/>
      </c>
      <c r="H153" s="20" t="str">
        <f>IF(B153="","",Exposures!$AV9&amp;"")</f>
        <v/>
      </c>
      <c r="I153" s="20" t="str">
        <f>IF(B153="","",Exposures!$AY9&amp;"")</f>
        <v/>
      </c>
      <c r="J153" s="20" t="str">
        <f>IF(B153="","",Exposures!$BE9&amp;"")</f>
        <v/>
      </c>
      <c r="K153" s="20">
        <f>IF(B153="",0,Exposures!$BF9)</f>
        <v>0</v>
      </c>
      <c r="L153" s="20">
        <f>IF(B153="",0,Exposures!$BG9)</f>
        <v>0</v>
      </c>
      <c r="M153" s="20" t="str">
        <f>IF(B153="","",Exposures!$BJ9)</f>
        <v/>
      </c>
      <c r="N153" s="20" t="str">
        <f>IF(B153="","",Exposures!$BK9)</f>
        <v/>
      </c>
      <c r="O153" s="27" t="str">
        <f>IF(B153="","",Exposures!$BH9)</f>
        <v/>
      </c>
      <c r="P153" s="27" t="str">
        <f>IF(B153="","",Exposures!$BI9)</f>
        <v/>
      </c>
      <c r="Q153" s="20" t="str">
        <f t="shared" si="29"/>
        <v/>
      </c>
      <c r="R153" s="20" t="str">
        <f>IF(A153="","",IF(J153&lt;&gt;"",J153,IF(H153="TIMESTAMP",DAY(INT(M153/1440))&amp;" "&amp;INDEX(nLIST_Months,MONTH(INT(M153/1440)))&amp;" "&amp;YEAR(INT(M153/1440))&amp;" "&amp;RIGHT("0"&amp;INT(MOD(M153,1440)/60),2)&amp;":"&amp;RIGHT("0"&amp;MOD(M153,60),2)&amp;IF(L153=1," (UTC"&amp;I153&amp;")"," (offset unknown)"),IF(H153="DATE",DAY(O153)&amp;" "&amp;INDEX(nLIST_Months,MONTH(O153))&amp;" "&amp;YEAR(O153),IF(H153="MONTH",INDEX(nLIST_Months,MONTH(O153))&amp;" "&amp;YEAR(O153)&amp;" ("&amp;DAY(O153)&amp;" "&amp;INDEX(nLIST_Months,MONTH(O153))&amp;" "&amp;YEAR(O153)&amp;" to "&amp;DAY(P153)&amp;" "&amp;INDEX(nLIST_Months,MONTH(P153))&amp;" "&amp;YEAR(P153)&amp;")",IF(H153="YEAR",YEAR(O153)&amp;" (1 January to 31 December)",DAY(O153)&amp;" "&amp;INDEX(nLIST_Months,MONTH(O153))&amp;" "&amp;YEAR(O153)&amp;" to "&amp;DAY(P153)&amp;" "&amp;INDEX(nLIST_Months,MONTH(P153))&amp;" "&amp;YEAR(P153)&amp;IF(H153="LAB"," (laboratory-defined)","")))))))</f>
        <v/>
      </c>
      <c r="S153" s="20" t="str">
        <f>IF(B153="","",Exposures!$AU9&amp;"")</f>
        <v/>
      </c>
      <c r="T153" s="20" t="str">
        <f>IF(B153="","",Exposures!$BD9&amp;"")</f>
        <v/>
      </c>
      <c r="U153" s="20" t="str">
        <f>IF(B153="","","Exposures row "&amp;ROW(Exposures!$A9)&amp;", Restart")</f>
        <v/>
      </c>
      <c r="V153" s="20">
        <f>IF(A153="",0,COUNTIF(nTP_Key,A153))</f>
        <v>0</v>
      </c>
      <c r="W153" s="20">
        <f t="shared" si="30"/>
        <v>0</v>
      </c>
      <c r="X153" s="20">
        <f t="shared" si="31"/>
        <v>0</v>
      </c>
      <c r="Y153" s="20">
        <f t="shared" si="32"/>
        <v>0</v>
      </c>
      <c r="Z153" s="20">
        <f t="shared" si="33"/>
        <v>0</v>
      </c>
      <c r="AA153" s="20">
        <f t="shared" si="34"/>
        <v>149</v>
      </c>
      <c r="AB153" s="20" t="str">
        <f>""</f>
        <v/>
      </c>
      <c r="AC153" s="20" t="str">
        <f>IF(B153="","",Exposures!$F9&amp;"")</f>
        <v/>
      </c>
      <c r="AD153" s="20" t="str">
        <f>IF(B153="","",Exposures!$E9&amp;": Restart")</f>
        <v/>
      </c>
      <c r="AE153" s="20">
        <f t="shared" si="35"/>
        <v>0</v>
      </c>
      <c r="AF153" s="20" t="str">
        <f t="shared" si="36"/>
        <v/>
      </c>
      <c r="AG153" s="20">
        <f t="shared" si="37"/>
        <v>0</v>
      </c>
      <c r="AH153" s="20" t="str">
        <f>""</f>
        <v/>
      </c>
    </row>
    <row r="154" spans="1:34" x14ac:dyDescent="0.2">
      <c r="A154" s="20" t="str">
        <f t="shared" si="27"/>
        <v/>
      </c>
      <c r="B154" s="20" t="str">
        <f>IF(AND(Exposures!$D10&lt;&gt;"",COUNTA(Exposures!$AV10:$BC10)&gt;0),Exposures!$D10&amp;"/RESTART","")</f>
        <v/>
      </c>
      <c r="C154" s="20" t="str">
        <f t="shared" si="39"/>
        <v/>
      </c>
      <c r="D154" s="20" t="str">
        <f>IF(B154="","",Exposures!$A10&amp;"")</f>
        <v/>
      </c>
      <c r="E154" s="20" t="str">
        <f>IF(B154="","",Exposures!$B10&amp;"")</f>
        <v/>
      </c>
      <c r="F154" s="20" t="str">
        <f t="shared" si="28"/>
        <v/>
      </c>
      <c r="G154" s="20" t="str">
        <f>IF(B154="","",Exposures!$D10&amp;"")</f>
        <v/>
      </c>
      <c r="H154" s="20" t="str">
        <f>IF(B154="","",Exposures!$AV10&amp;"")</f>
        <v/>
      </c>
      <c r="I154" s="20" t="str">
        <f>IF(B154="","",Exposures!$AY10&amp;"")</f>
        <v/>
      </c>
      <c r="J154" s="20" t="str">
        <f>IF(B154="","",Exposures!$BE10&amp;"")</f>
        <v/>
      </c>
      <c r="K154" s="20">
        <f>IF(B154="",0,Exposures!$BF10)</f>
        <v>0</v>
      </c>
      <c r="L154" s="20">
        <f>IF(B154="",0,Exposures!$BG10)</f>
        <v>0</v>
      </c>
      <c r="M154" s="20" t="str">
        <f>IF(B154="","",Exposures!$BJ10)</f>
        <v/>
      </c>
      <c r="N154" s="20" t="str">
        <f>IF(B154="","",Exposures!$BK10)</f>
        <v/>
      </c>
      <c r="O154" s="27" t="str">
        <f>IF(B154="","",Exposures!$BH10)</f>
        <v/>
      </c>
      <c r="P154" s="27" t="str">
        <f>IF(B154="","",Exposures!$BI10)</f>
        <v/>
      </c>
      <c r="Q154" s="20" t="str">
        <f t="shared" si="29"/>
        <v/>
      </c>
      <c r="R154" s="20" t="str">
        <f>IF(A154="","",IF(J154&lt;&gt;"",J154,IF(H154="TIMESTAMP",DAY(INT(M154/1440))&amp;" "&amp;INDEX(nLIST_Months,MONTH(INT(M154/1440)))&amp;" "&amp;YEAR(INT(M154/1440))&amp;" "&amp;RIGHT("0"&amp;INT(MOD(M154,1440)/60),2)&amp;":"&amp;RIGHT("0"&amp;MOD(M154,60),2)&amp;IF(L154=1," (UTC"&amp;I154&amp;")"," (offset unknown)"),IF(H154="DATE",DAY(O154)&amp;" "&amp;INDEX(nLIST_Months,MONTH(O154))&amp;" "&amp;YEAR(O154),IF(H154="MONTH",INDEX(nLIST_Months,MONTH(O154))&amp;" "&amp;YEAR(O154)&amp;" ("&amp;DAY(O154)&amp;" "&amp;INDEX(nLIST_Months,MONTH(O154))&amp;" "&amp;YEAR(O154)&amp;" to "&amp;DAY(P154)&amp;" "&amp;INDEX(nLIST_Months,MONTH(P154))&amp;" "&amp;YEAR(P154)&amp;")",IF(H154="YEAR",YEAR(O154)&amp;" (1 January to 31 December)",DAY(O154)&amp;" "&amp;INDEX(nLIST_Months,MONTH(O154))&amp;" "&amp;YEAR(O154)&amp;" to "&amp;DAY(P154)&amp;" "&amp;INDEX(nLIST_Months,MONTH(P154))&amp;" "&amp;YEAR(P154)&amp;IF(H154="LAB"," (laboratory-defined)","")))))))</f>
        <v/>
      </c>
      <c r="S154" s="20" t="str">
        <f>IF(B154="","",Exposures!$AU10&amp;"")</f>
        <v/>
      </c>
      <c r="T154" s="20" t="str">
        <f>IF(B154="","",Exposures!$BD10&amp;"")</f>
        <v/>
      </c>
      <c r="U154" s="20" t="str">
        <f>IF(B154="","","Exposures row "&amp;ROW(Exposures!$A10)&amp;", Restart")</f>
        <v/>
      </c>
      <c r="V154" s="20">
        <f>IF(A154="",0,COUNTIF(nTP_Key,A154))</f>
        <v>0</v>
      </c>
      <c r="W154" s="20">
        <f t="shared" si="30"/>
        <v>0</v>
      </c>
      <c r="X154" s="20">
        <f t="shared" si="31"/>
        <v>0</v>
      </c>
      <c r="Y154" s="20">
        <f t="shared" si="32"/>
        <v>0</v>
      </c>
      <c r="Z154" s="20">
        <f t="shared" si="33"/>
        <v>0</v>
      </c>
      <c r="AA154" s="20">
        <f t="shared" si="34"/>
        <v>150</v>
      </c>
      <c r="AB154" s="20" t="str">
        <f>""</f>
        <v/>
      </c>
      <c r="AC154" s="20" t="str">
        <f>IF(B154="","",Exposures!$F10&amp;"")</f>
        <v/>
      </c>
      <c r="AD154" s="20" t="str">
        <f>IF(B154="","",Exposures!$E10&amp;": Restart")</f>
        <v/>
      </c>
      <c r="AE154" s="20">
        <f t="shared" si="35"/>
        <v>0</v>
      </c>
      <c r="AF154" s="20" t="str">
        <f t="shared" si="36"/>
        <v/>
      </c>
      <c r="AG154" s="20">
        <f t="shared" si="37"/>
        <v>0</v>
      </c>
      <c r="AH154" s="20" t="str">
        <f>""</f>
        <v/>
      </c>
    </row>
    <row r="155" spans="1:34" x14ac:dyDescent="0.2">
      <c r="A155" s="20" t="str">
        <f t="shared" si="27"/>
        <v/>
      </c>
      <c r="B155" s="20" t="str">
        <f>IF(AND(Exposures!$D11&lt;&gt;"",COUNTA(Exposures!$AV11:$BC11)&gt;0),Exposures!$D11&amp;"/RESTART","")</f>
        <v/>
      </c>
      <c r="C155" s="20" t="str">
        <f t="shared" si="39"/>
        <v/>
      </c>
      <c r="D155" s="20" t="str">
        <f>IF(B155="","",Exposures!$A11&amp;"")</f>
        <v/>
      </c>
      <c r="E155" s="20" t="str">
        <f>IF(B155="","",Exposures!$B11&amp;"")</f>
        <v/>
      </c>
      <c r="F155" s="20" t="str">
        <f t="shared" si="28"/>
        <v/>
      </c>
      <c r="G155" s="20" t="str">
        <f>IF(B155="","",Exposures!$D11&amp;"")</f>
        <v/>
      </c>
      <c r="H155" s="20" t="str">
        <f>IF(B155="","",Exposures!$AV11&amp;"")</f>
        <v/>
      </c>
      <c r="I155" s="20" t="str">
        <f>IF(B155="","",Exposures!$AY11&amp;"")</f>
        <v/>
      </c>
      <c r="J155" s="20" t="str">
        <f>IF(B155="","",Exposures!$BE11&amp;"")</f>
        <v/>
      </c>
      <c r="K155" s="20">
        <f>IF(B155="",0,Exposures!$BF11)</f>
        <v>0</v>
      </c>
      <c r="L155" s="20">
        <f>IF(B155="",0,Exposures!$BG11)</f>
        <v>0</v>
      </c>
      <c r="M155" s="20" t="str">
        <f>IF(B155="","",Exposures!$BJ11)</f>
        <v/>
      </c>
      <c r="N155" s="20" t="str">
        <f>IF(B155="","",Exposures!$BK11)</f>
        <v/>
      </c>
      <c r="O155" s="27" t="str">
        <f>IF(B155="","",Exposures!$BH11)</f>
        <v/>
      </c>
      <c r="P155" s="27" t="str">
        <f>IF(B155="","",Exposures!$BI11)</f>
        <v/>
      </c>
      <c r="Q155" s="20" t="str">
        <f t="shared" si="29"/>
        <v/>
      </c>
      <c r="R155" s="20" t="str">
        <f>IF(A155="","",IF(J155&lt;&gt;"",J155,IF(H155="TIMESTAMP",DAY(INT(M155/1440))&amp;" "&amp;INDEX(nLIST_Months,MONTH(INT(M155/1440)))&amp;" "&amp;YEAR(INT(M155/1440))&amp;" "&amp;RIGHT("0"&amp;INT(MOD(M155,1440)/60),2)&amp;":"&amp;RIGHT("0"&amp;MOD(M155,60),2)&amp;IF(L155=1," (UTC"&amp;I155&amp;")"," (offset unknown)"),IF(H155="DATE",DAY(O155)&amp;" "&amp;INDEX(nLIST_Months,MONTH(O155))&amp;" "&amp;YEAR(O155),IF(H155="MONTH",INDEX(nLIST_Months,MONTH(O155))&amp;" "&amp;YEAR(O155)&amp;" ("&amp;DAY(O155)&amp;" "&amp;INDEX(nLIST_Months,MONTH(O155))&amp;" "&amp;YEAR(O155)&amp;" to "&amp;DAY(P155)&amp;" "&amp;INDEX(nLIST_Months,MONTH(P155))&amp;" "&amp;YEAR(P155)&amp;")",IF(H155="YEAR",YEAR(O155)&amp;" (1 January to 31 December)",DAY(O155)&amp;" "&amp;INDEX(nLIST_Months,MONTH(O155))&amp;" "&amp;YEAR(O155)&amp;" to "&amp;DAY(P155)&amp;" "&amp;INDEX(nLIST_Months,MONTH(P155))&amp;" "&amp;YEAR(P155)&amp;IF(H155="LAB"," (laboratory-defined)","")))))))</f>
        <v/>
      </c>
      <c r="S155" s="20" t="str">
        <f>IF(B155="","",Exposures!$AU11&amp;"")</f>
        <v/>
      </c>
      <c r="T155" s="20" t="str">
        <f>IF(B155="","",Exposures!$BD11&amp;"")</f>
        <v/>
      </c>
      <c r="U155" s="20" t="str">
        <f>IF(B155="","","Exposures row "&amp;ROW(Exposures!$A11)&amp;", Restart")</f>
        <v/>
      </c>
      <c r="V155" s="20">
        <f>IF(A155="",0,COUNTIF(nTP_Key,A155))</f>
        <v>0</v>
      </c>
      <c r="W155" s="20">
        <f t="shared" si="30"/>
        <v>0</v>
      </c>
      <c r="X155" s="20">
        <f t="shared" si="31"/>
        <v>0</v>
      </c>
      <c r="Y155" s="20">
        <f t="shared" si="32"/>
        <v>0</v>
      </c>
      <c r="Z155" s="20">
        <f t="shared" si="33"/>
        <v>0</v>
      </c>
      <c r="AA155" s="20">
        <f t="shared" si="34"/>
        <v>151</v>
      </c>
      <c r="AB155" s="20" t="str">
        <f>""</f>
        <v/>
      </c>
      <c r="AC155" s="20" t="str">
        <f>IF(B155="","",Exposures!$F11&amp;"")</f>
        <v/>
      </c>
      <c r="AD155" s="20" t="str">
        <f>IF(B155="","",Exposures!$E11&amp;": Restart")</f>
        <v/>
      </c>
      <c r="AE155" s="20">
        <f t="shared" si="35"/>
        <v>0</v>
      </c>
      <c r="AF155" s="20" t="str">
        <f t="shared" si="36"/>
        <v/>
      </c>
      <c r="AG155" s="20">
        <f t="shared" si="37"/>
        <v>0</v>
      </c>
      <c r="AH155" s="20" t="str">
        <f>""</f>
        <v/>
      </c>
    </row>
    <row r="156" spans="1:34" x14ac:dyDescent="0.2">
      <c r="A156" s="20" t="str">
        <f t="shared" si="27"/>
        <v/>
      </c>
      <c r="B156" s="20" t="str">
        <f>IF(AND(Exposures!$D12&lt;&gt;"",COUNTA(Exposures!$AV12:$BC12)&gt;0),Exposures!$D12&amp;"/RESTART","")</f>
        <v/>
      </c>
      <c r="C156" s="20" t="str">
        <f t="shared" si="39"/>
        <v/>
      </c>
      <c r="D156" s="20" t="str">
        <f>IF(B156="","",Exposures!$A12&amp;"")</f>
        <v/>
      </c>
      <c r="E156" s="20" t="str">
        <f>IF(B156="","",Exposures!$B12&amp;"")</f>
        <v/>
      </c>
      <c r="F156" s="20" t="str">
        <f t="shared" si="28"/>
        <v/>
      </c>
      <c r="G156" s="20" t="str">
        <f>IF(B156="","",Exposures!$D12&amp;"")</f>
        <v/>
      </c>
      <c r="H156" s="20" t="str">
        <f>IF(B156="","",Exposures!$AV12&amp;"")</f>
        <v/>
      </c>
      <c r="I156" s="20" t="str">
        <f>IF(B156="","",Exposures!$AY12&amp;"")</f>
        <v/>
      </c>
      <c r="J156" s="20" t="str">
        <f>IF(B156="","",Exposures!$BE12&amp;"")</f>
        <v/>
      </c>
      <c r="K156" s="20">
        <f>IF(B156="",0,Exposures!$BF12)</f>
        <v>0</v>
      </c>
      <c r="L156" s="20">
        <f>IF(B156="",0,Exposures!$BG12)</f>
        <v>0</v>
      </c>
      <c r="M156" s="20" t="str">
        <f>IF(B156="","",Exposures!$BJ12)</f>
        <v/>
      </c>
      <c r="N156" s="20" t="str">
        <f>IF(B156="","",Exposures!$BK12)</f>
        <v/>
      </c>
      <c r="O156" s="27" t="str">
        <f>IF(B156="","",Exposures!$BH12)</f>
        <v/>
      </c>
      <c r="P156" s="27" t="str">
        <f>IF(B156="","",Exposures!$BI12)</f>
        <v/>
      </c>
      <c r="Q156" s="20" t="str">
        <f t="shared" si="29"/>
        <v/>
      </c>
      <c r="R156" s="20" t="str">
        <f>IF(A156="","",IF(J156&lt;&gt;"",J156,IF(H156="TIMESTAMP",DAY(INT(M156/1440))&amp;" "&amp;INDEX(nLIST_Months,MONTH(INT(M156/1440)))&amp;" "&amp;YEAR(INT(M156/1440))&amp;" "&amp;RIGHT("0"&amp;INT(MOD(M156,1440)/60),2)&amp;":"&amp;RIGHT("0"&amp;MOD(M156,60),2)&amp;IF(L156=1," (UTC"&amp;I156&amp;")"," (offset unknown)"),IF(H156="DATE",DAY(O156)&amp;" "&amp;INDEX(nLIST_Months,MONTH(O156))&amp;" "&amp;YEAR(O156),IF(H156="MONTH",INDEX(nLIST_Months,MONTH(O156))&amp;" "&amp;YEAR(O156)&amp;" ("&amp;DAY(O156)&amp;" "&amp;INDEX(nLIST_Months,MONTH(O156))&amp;" "&amp;YEAR(O156)&amp;" to "&amp;DAY(P156)&amp;" "&amp;INDEX(nLIST_Months,MONTH(P156))&amp;" "&amp;YEAR(P156)&amp;")",IF(H156="YEAR",YEAR(O156)&amp;" (1 January to 31 December)",DAY(O156)&amp;" "&amp;INDEX(nLIST_Months,MONTH(O156))&amp;" "&amp;YEAR(O156)&amp;" to "&amp;DAY(P156)&amp;" "&amp;INDEX(nLIST_Months,MONTH(P156))&amp;" "&amp;YEAR(P156)&amp;IF(H156="LAB"," (laboratory-defined)","")))))))</f>
        <v/>
      </c>
      <c r="S156" s="20" t="str">
        <f>IF(B156="","",Exposures!$AU12&amp;"")</f>
        <v/>
      </c>
      <c r="T156" s="20" t="str">
        <f>IF(B156="","",Exposures!$BD12&amp;"")</f>
        <v/>
      </c>
      <c r="U156" s="20" t="str">
        <f>IF(B156="","","Exposures row "&amp;ROW(Exposures!$A12)&amp;", Restart")</f>
        <v/>
      </c>
      <c r="V156" s="20">
        <f>IF(A156="",0,COUNTIF(nTP_Key,A156))</f>
        <v>0</v>
      </c>
      <c r="W156" s="20">
        <f t="shared" si="30"/>
        <v>0</v>
      </c>
      <c r="X156" s="20">
        <f t="shared" si="31"/>
        <v>0</v>
      </c>
      <c r="Y156" s="20">
        <f t="shared" si="32"/>
        <v>0</v>
      </c>
      <c r="Z156" s="20">
        <f t="shared" si="33"/>
        <v>0</v>
      </c>
      <c r="AA156" s="20">
        <f t="shared" si="34"/>
        <v>152</v>
      </c>
      <c r="AB156" s="20" t="str">
        <f>""</f>
        <v/>
      </c>
      <c r="AC156" s="20" t="str">
        <f>IF(B156="","",Exposures!$F12&amp;"")</f>
        <v/>
      </c>
      <c r="AD156" s="20" t="str">
        <f>IF(B156="","",Exposures!$E12&amp;": Restart")</f>
        <v/>
      </c>
      <c r="AE156" s="20">
        <f t="shared" si="35"/>
        <v>0</v>
      </c>
      <c r="AF156" s="20" t="str">
        <f t="shared" si="36"/>
        <v/>
      </c>
      <c r="AG156" s="20">
        <f t="shared" si="37"/>
        <v>0</v>
      </c>
      <c r="AH156" s="20" t="str">
        <f>""</f>
        <v/>
      </c>
    </row>
    <row r="157" spans="1:34" x14ac:dyDescent="0.2">
      <c r="A157" s="20" t="str">
        <f t="shared" si="27"/>
        <v/>
      </c>
      <c r="B157" s="20" t="str">
        <f>IF(AND(Exposures!$D13&lt;&gt;"",COUNTA(Exposures!$AV13:$BC13)&gt;0),Exposures!$D13&amp;"/RESTART","")</f>
        <v/>
      </c>
      <c r="C157" s="20" t="str">
        <f t="shared" si="39"/>
        <v/>
      </c>
      <c r="D157" s="20" t="str">
        <f>IF(B157="","",Exposures!$A13&amp;"")</f>
        <v/>
      </c>
      <c r="E157" s="20" t="str">
        <f>IF(B157="","",Exposures!$B13&amp;"")</f>
        <v/>
      </c>
      <c r="F157" s="20" t="str">
        <f t="shared" si="28"/>
        <v/>
      </c>
      <c r="G157" s="20" t="str">
        <f>IF(B157="","",Exposures!$D13&amp;"")</f>
        <v/>
      </c>
      <c r="H157" s="20" t="str">
        <f>IF(B157="","",Exposures!$AV13&amp;"")</f>
        <v/>
      </c>
      <c r="I157" s="20" t="str">
        <f>IF(B157="","",Exposures!$AY13&amp;"")</f>
        <v/>
      </c>
      <c r="J157" s="20" t="str">
        <f>IF(B157="","",Exposures!$BE13&amp;"")</f>
        <v/>
      </c>
      <c r="K157" s="20">
        <f>IF(B157="",0,Exposures!$BF13)</f>
        <v>0</v>
      </c>
      <c r="L157" s="20">
        <f>IF(B157="",0,Exposures!$BG13)</f>
        <v>0</v>
      </c>
      <c r="M157" s="20" t="str">
        <f>IF(B157="","",Exposures!$BJ13)</f>
        <v/>
      </c>
      <c r="N157" s="20" t="str">
        <f>IF(B157="","",Exposures!$BK13)</f>
        <v/>
      </c>
      <c r="O157" s="27" t="str">
        <f>IF(B157="","",Exposures!$BH13)</f>
        <v/>
      </c>
      <c r="P157" s="27" t="str">
        <f>IF(B157="","",Exposures!$BI13)</f>
        <v/>
      </c>
      <c r="Q157" s="20" t="str">
        <f t="shared" si="29"/>
        <v/>
      </c>
      <c r="R157" s="20" t="str">
        <f>IF(A157="","",IF(J157&lt;&gt;"",J157,IF(H157="TIMESTAMP",DAY(INT(M157/1440))&amp;" "&amp;INDEX(nLIST_Months,MONTH(INT(M157/1440)))&amp;" "&amp;YEAR(INT(M157/1440))&amp;" "&amp;RIGHT("0"&amp;INT(MOD(M157,1440)/60),2)&amp;":"&amp;RIGHT("0"&amp;MOD(M157,60),2)&amp;IF(L157=1," (UTC"&amp;I157&amp;")"," (offset unknown)"),IF(H157="DATE",DAY(O157)&amp;" "&amp;INDEX(nLIST_Months,MONTH(O157))&amp;" "&amp;YEAR(O157),IF(H157="MONTH",INDEX(nLIST_Months,MONTH(O157))&amp;" "&amp;YEAR(O157)&amp;" ("&amp;DAY(O157)&amp;" "&amp;INDEX(nLIST_Months,MONTH(O157))&amp;" "&amp;YEAR(O157)&amp;" to "&amp;DAY(P157)&amp;" "&amp;INDEX(nLIST_Months,MONTH(P157))&amp;" "&amp;YEAR(P157)&amp;")",IF(H157="YEAR",YEAR(O157)&amp;" (1 January to 31 December)",DAY(O157)&amp;" "&amp;INDEX(nLIST_Months,MONTH(O157))&amp;" "&amp;YEAR(O157)&amp;" to "&amp;DAY(P157)&amp;" "&amp;INDEX(nLIST_Months,MONTH(P157))&amp;" "&amp;YEAR(P157)&amp;IF(H157="LAB"," (laboratory-defined)","")))))))</f>
        <v/>
      </c>
      <c r="S157" s="20" t="str">
        <f>IF(B157="","",Exposures!$AU13&amp;"")</f>
        <v/>
      </c>
      <c r="T157" s="20" t="str">
        <f>IF(B157="","",Exposures!$BD13&amp;"")</f>
        <v/>
      </c>
      <c r="U157" s="20" t="str">
        <f>IF(B157="","","Exposures row "&amp;ROW(Exposures!$A13)&amp;", Restart")</f>
        <v/>
      </c>
      <c r="V157" s="20">
        <f>IF(A157="",0,COUNTIF(nTP_Key,A157))</f>
        <v>0</v>
      </c>
      <c r="W157" s="20">
        <f t="shared" si="30"/>
        <v>0</v>
      </c>
      <c r="X157" s="20">
        <f t="shared" si="31"/>
        <v>0</v>
      </c>
      <c r="Y157" s="20">
        <f t="shared" si="32"/>
        <v>0</v>
      </c>
      <c r="Z157" s="20">
        <f t="shared" si="33"/>
        <v>0</v>
      </c>
      <c r="AA157" s="20">
        <f t="shared" si="34"/>
        <v>153</v>
      </c>
      <c r="AB157" s="20" t="str">
        <f>""</f>
        <v/>
      </c>
      <c r="AC157" s="20" t="str">
        <f>IF(B157="","",Exposures!$F13&amp;"")</f>
        <v/>
      </c>
      <c r="AD157" s="20" t="str">
        <f>IF(B157="","",Exposures!$E13&amp;": Restart")</f>
        <v/>
      </c>
      <c r="AE157" s="20">
        <f t="shared" si="35"/>
        <v>0</v>
      </c>
      <c r="AF157" s="20" t="str">
        <f t="shared" si="36"/>
        <v/>
      </c>
      <c r="AG157" s="20">
        <f t="shared" si="37"/>
        <v>0</v>
      </c>
      <c r="AH157" s="20" t="str">
        <f>""</f>
        <v/>
      </c>
    </row>
    <row r="158" spans="1:34" x14ac:dyDescent="0.2">
      <c r="A158" s="20" t="str">
        <f t="shared" si="27"/>
        <v/>
      </c>
      <c r="B158" s="20" t="str">
        <f>IF(AND(Exposures!$D14&lt;&gt;"",COUNTA(Exposures!$AV14:$BC14)&gt;0),Exposures!$D14&amp;"/RESTART","")</f>
        <v/>
      </c>
      <c r="C158" s="20" t="str">
        <f t="shared" si="39"/>
        <v/>
      </c>
      <c r="D158" s="20" t="str">
        <f>IF(B158="","",Exposures!$A14&amp;"")</f>
        <v/>
      </c>
      <c r="E158" s="20" t="str">
        <f>IF(B158="","",Exposures!$B14&amp;"")</f>
        <v/>
      </c>
      <c r="F158" s="20" t="str">
        <f t="shared" si="28"/>
        <v/>
      </c>
      <c r="G158" s="20" t="str">
        <f>IF(B158="","",Exposures!$D14&amp;"")</f>
        <v/>
      </c>
      <c r="H158" s="20" t="str">
        <f>IF(B158="","",Exposures!$AV14&amp;"")</f>
        <v/>
      </c>
      <c r="I158" s="20" t="str">
        <f>IF(B158="","",Exposures!$AY14&amp;"")</f>
        <v/>
      </c>
      <c r="J158" s="20" t="str">
        <f>IF(B158="","",Exposures!$BE14&amp;"")</f>
        <v/>
      </c>
      <c r="K158" s="20">
        <f>IF(B158="",0,Exposures!$BF14)</f>
        <v>0</v>
      </c>
      <c r="L158" s="20">
        <f>IF(B158="",0,Exposures!$BG14)</f>
        <v>0</v>
      </c>
      <c r="M158" s="20" t="str">
        <f>IF(B158="","",Exposures!$BJ14)</f>
        <v/>
      </c>
      <c r="N158" s="20" t="str">
        <f>IF(B158="","",Exposures!$BK14)</f>
        <v/>
      </c>
      <c r="O158" s="27" t="str">
        <f>IF(B158="","",Exposures!$BH14)</f>
        <v/>
      </c>
      <c r="P158" s="27" t="str">
        <f>IF(B158="","",Exposures!$BI14)</f>
        <v/>
      </c>
      <c r="Q158" s="20" t="str">
        <f t="shared" si="29"/>
        <v/>
      </c>
      <c r="R158" s="20" t="str">
        <f>IF(A158="","",IF(J158&lt;&gt;"",J158,IF(H158="TIMESTAMP",DAY(INT(M158/1440))&amp;" "&amp;INDEX(nLIST_Months,MONTH(INT(M158/1440)))&amp;" "&amp;YEAR(INT(M158/1440))&amp;" "&amp;RIGHT("0"&amp;INT(MOD(M158,1440)/60),2)&amp;":"&amp;RIGHT("0"&amp;MOD(M158,60),2)&amp;IF(L158=1," (UTC"&amp;I158&amp;")"," (offset unknown)"),IF(H158="DATE",DAY(O158)&amp;" "&amp;INDEX(nLIST_Months,MONTH(O158))&amp;" "&amp;YEAR(O158),IF(H158="MONTH",INDEX(nLIST_Months,MONTH(O158))&amp;" "&amp;YEAR(O158)&amp;" ("&amp;DAY(O158)&amp;" "&amp;INDEX(nLIST_Months,MONTH(O158))&amp;" "&amp;YEAR(O158)&amp;" to "&amp;DAY(P158)&amp;" "&amp;INDEX(nLIST_Months,MONTH(P158))&amp;" "&amp;YEAR(P158)&amp;")",IF(H158="YEAR",YEAR(O158)&amp;" (1 January to 31 December)",DAY(O158)&amp;" "&amp;INDEX(nLIST_Months,MONTH(O158))&amp;" "&amp;YEAR(O158)&amp;" to "&amp;DAY(P158)&amp;" "&amp;INDEX(nLIST_Months,MONTH(P158))&amp;" "&amp;YEAR(P158)&amp;IF(H158="LAB"," (laboratory-defined)","")))))))</f>
        <v/>
      </c>
      <c r="S158" s="20" t="str">
        <f>IF(B158="","",Exposures!$AU14&amp;"")</f>
        <v/>
      </c>
      <c r="T158" s="20" t="str">
        <f>IF(B158="","",Exposures!$BD14&amp;"")</f>
        <v/>
      </c>
      <c r="U158" s="20" t="str">
        <f>IF(B158="","","Exposures row "&amp;ROW(Exposures!$A14)&amp;", Restart")</f>
        <v/>
      </c>
      <c r="V158" s="20">
        <f>IF(A158="",0,COUNTIF(nTP_Key,A158))</f>
        <v>0</v>
      </c>
      <c r="W158" s="20">
        <f t="shared" si="30"/>
        <v>0</v>
      </c>
      <c r="X158" s="20">
        <f t="shared" si="31"/>
        <v>0</v>
      </c>
      <c r="Y158" s="20">
        <f t="shared" si="32"/>
        <v>0</v>
      </c>
      <c r="Z158" s="20">
        <f t="shared" si="33"/>
        <v>0</v>
      </c>
      <c r="AA158" s="20">
        <f t="shared" si="34"/>
        <v>154</v>
      </c>
      <c r="AB158" s="20" t="str">
        <f>""</f>
        <v/>
      </c>
      <c r="AC158" s="20" t="str">
        <f>IF(B158="","",Exposures!$F14&amp;"")</f>
        <v/>
      </c>
      <c r="AD158" s="20" t="str">
        <f>IF(B158="","",Exposures!$E14&amp;": Restart")</f>
        <v/>
      </c>
      <c r="AE158" s="20">
        <f t="shared" si="35"/>
        <v>0</v>
      </c>
      <c r="AF158" s="20" t="str">
        <f t="shared" si="36"/>
        <v/>
      </c>
      <c r="AG158" s="20">
        <f t="shared" si="37"/>
        <v>0</v>
      </c>
      <c r="AH158" s="20" t="str">
        <f>""</f>
        <v/>
      </c>
    </row>
    <row r="159" spans="1:34" x14ac:dyDescent="0.2">
      <c r="A159" s="20" t="str">
        <f t="shared" si="27"/>
        <v/>
      </c>
      <c r="B159" s="20" t="str">
        <f>IF(AND(Exposures!$D15&lt;&gt;"",COUNTA(Exposures!$AV15:$BC15)&gt;0),Exposures!$D15&amp;"/RESTART","")</f>
        <v/>
      </c>
      <c r="C159" s="20" t="str">
        <f t="shared" si="39"/>
        <v/>
      </c>
      <c r="D159" s="20" t="str">
        <f>IF(B159="","",Exposures!$A15&amp;"")</f>
        <v/>
      </c>
      <c r="E159" s="20" t="str">
        <f>IF(B159="","",Exposures!$B15&amp;"")</f>
        <v/>
      </c>
      <c r="F159" s="20" t="str">
        <f t="shared" si="28"/>
        <v/>
      </c>
      <c r="G159" s="20" t="str">
        <f>IF(B159="","",Exposures!$D15&amp;"")</f>
        <v/>
      </c>
      <c r="H159" s="20" t="str">
        <f>IF(B159="","",Exposures!$AV15&amp;"")</f>
        <v/>
      </c>
      <c r="I159" s="20" t="str">
        <f>IF(B159="","",Exposures!$AY15&amp;"")</f>
        <v/>
      </c>
      <c r="J159" s="20" t="str">
        <f>IF(B159="","",Exposures!$BE15&amp;"")</f>
        <v/>
      </c>
      <c r="K159" s="20">
        <f>IF(B159="",0,Exposures!$BF15)</f>
        <v>0</v>
      </c>
      <c r="L159" s="20">
        <f>IF(B159="",0,Exposures!$BG15)</f>
        <v>0</v>
      </c>
      <c r="M159" s="20" t="str">
        <f>IF(B159="","",Exposures!$BJ15)</f>
        <v/>
      </c>
      <c r="N159" s="20" t="str">
        <f>IF(B159="","",Exposures!$BK15)</f>
        <v/>
      </c>
      <c r="O159" s="27" t="str">
        <f>IF(B159="","",Exposures!$BH15)</f>
        <v/>
      </c>
      <c r="P159" s="27" t="str">
        <f>IF(B159="","",Exposures!$BI15)</f>
        <v/>
      </c>
      <c r="Q159" s="20" t="str">
        <f t="shared" si="29"/>
        <v/>
      </c>
      <c r="R159" s="20" t="str">
        <f>IF(A159="","",IF(J159&lt;&gt;"",J159,IF(H159="TIMESTAMP",DAY(INT(M159/1440))&amp;" "&amp;INDEX(nLIST_Months,MONTH(INT(M159/1440)))&amp;" "&amp;YEAR(INT(M159/1440))&amp;" "&amp;RIGHT("0"&amp;INT(MOD(M159,1440)/60),2)&amp;":"&amp;RIGHT("0"&amp;MOD(M159,60),2)&amp;IF(L159=1," (UTC"&amp;I159&amp;")"," (offset unknown)"),IF(H159="DATE",DAY(O159)&amp;" "&amp;INDEX(nLIST_Months,MONTH(O159))&amp;" "&amp;YEAR(O159),IF(H159="MONTH",INDEX(nLIST_Months,MONTH(O159))&amp;" "&amp;YEAR(O159)&amp;" ("&amp;DAY(O159)&amp;" "&amp;INDEX(nLIST_Months,MONTH(O159))&amp;" "&amp;YEAR(O159)&amp;" to "&amp;DAY(P159)&amp;" "&amp;INDEX(nLIST_Months,MONTH(P159))&amp;" "&amp;YEAR(P159)&amp;")",IF(H159="YEAR",YEAR(O159)&amp;" (1 January to 31 December)",DAY(O159)&amp;" "&amp;INDEX(nLIST_Months,MONTH(O159))&amp;" "&amp;YEAR(O159)&amp;" to "&amp;DAY(P159)&amp;" "&amp;INDEX(nLIST_Months,MONTH(P159))&amp;" "&amp;YEAR(P159)&amp;IF(H159="LAB"," (laboratory-defined)","")))))))</f>
        <v/>
      </c>
      <c r="S159" s="20" t="str">
        <f>IF(B159="","",Exposures!$AU15&amp;"")</f>
        <v/>
      </c>
      <c r="T159" s="20" t="str">
        <f>IF(B159="","",Exposures!$BD15&amp;"")</f>
        <v/>
      </c>
      <c r="U159" s="20" t="str">
        <f>IF(B159="","","Exposures row "&amp;ROW(Exposures!$A15)&amp;", Restart")</f>
        <v/>
      </c>
      <c r="V159" s="20">
        <f>IF(A159="",0,COUNTIF(nTP_Key,A159))</f>
        <v>0</v>
      </c>
      <c r="W159" s="20">
        <f t="shared" si="30"/>
        <v>0</v>
      </c>
      <c r="X159" s="20">
        <f t="shared" si="31"/>
        <v>0</v>
      </c>
      <c r="Y159" s="20">
        <f t="shared" si="32"/>
        <v>0</v>
      </c>
      <c r="Z159" s="20">
        <f t="shared" si="33"/>
        <v>0</v>
      </c>
      <c r="AA159" s="20">
        <f t="shared" si="34"/>
        <v>155</v>
      </c>
      <c r="AB159" s="20" t="str">
        <f>""</f>
        <v/>
      </c>
      <c r="AC159" s="20" t="str">
        <f>IF(B159="","",Exposures!$F15&amp;"")</f>
        <v/>
      </c>
      <c r="AD159" s="20" t="str">
        <f>IF(B159="","",Exposures!$E15&amp;": Restart")</f>
        <v/>
      </c>
      <c r="AE159" s="20">
        <f t="shared" si="35"/>
        <v>0</v>
      </c>
      <c r="AF159" s="20" t="str">
        <f t="shared" si="36"/>
        <v/>
      </c>
      <c r="AG159" s="20">
        <f t="shared" si="37"/>
        <v>0</v>
      </c>
      <c r="AH159" s="20" t="str">
        <f>""</f>
        <v/>
      </c>
    </row>
    <row r="160" spans="1:34" x14ac:dyDescent="0.2">
      <c r="A160" s="20" t="str">
        <f t="shared" si="27"/>
        <v/>
      </c>
      <c r="B160" s="20" t="str">
        <f>IF(AND(Exposures!$D16&lt;&gt;"",COUNTA(Exposures!$AV16:$BC16)&gt;0),Exposures!$D16&amp;"/RESTART","")</f>
        <v/>
      </c>
      <c r="C160" s="20" t="str">
        <f t="shared" si="39"/>
        <v/>
      </c>
      <c r="D160" s="20" t="str">
        <f>IF(B160="","",Exposures!$A16&amp;"")</f>
        <v/>
      </c>
      <c r="E160" s="20" t="str">
        <f>IF(B160="","",Exposures!$B16&amp;"")</f>
        <v/>
      </c>
      <c r="F160" s="20" t="str">
        <f t="shared" si="28"/>
        <v/>
      </c>
      <c r="G160" s="20" t="str">
        <f>IF(B160="","",Exposures!$D16&amp;"")</f>
        <v/>
      </c>
      <c r="H160" s="20" t="str">
        <f>IF(B160="","",Exposures!$AV16&amp;"")</f>
        <v/>
      </c>
      <c r="I160" s="20" t="str">
        <f>IF(B160="","",Exposures!$AY16&amp;"")</f>
        <v/>
      </c>
      <c r="J160" s="20" t="str">
        <f>IF(B160="","",Exposures!$BE16&amp;"")</f>
        <v/>
      </c>
      <c r="K160" s="20">
        <f>IF(B160="",0,Exposures!$BF16)</f>
        <v>0</v>
      </c>
      <c r="L160" s="20">
        <f>IF(B160="",0,Exposures!$BG16)</f>
        <v>0</v>
      </c>
      <c r="M160" s="20" t="str">
        <f>IF(B160="","",Exposures!$BJ16)</f>
        <v/>
      </c>
      <c r="N160" s="20" t="str">
        <f>IF(B160="","",Exposures!$BK16)</f>
        <v/>
      </c>
      <c r="O160" s="27" t="str">
        <f>IF(B160="","",Exposures!$BH16)</f>
        <v/>
      </c>
      <c r="P160" s="27" t="str">
        <f>IF(B160="","",Exposures!$BI16)</f>
        <v/>
      </c>
      <c r="Q160" s="20" t="str">
        <f t="shared" si="29"/>
        <v/>
      </c>
      <c r="R160" s="20" t="str">
        <f>IF(A160="","",IF(J160&lt;&gt;"",J160,IF(H160="TIMESTAMP",DAY(INT(M160/1440))&amp;" "&amp;INDEX(nLIST_Months,MONTH(INT(M160/1440)))&amp;" "&amp;YEAR(INT(M160/1440))&amp;" "&amp;RIGHT("0"&amp;INT(MOD(M160,1440)/60),2)&amp;":"&amp;RIGHT("0"&amp;MOD(M160,60),2)&amp;IF(L160=1," (UTC"&amp;I160&amp;")"," (offset unknown)"),IF(H160="DATE",DAY(O160)&amp;" "&amp;INDEX(nLIST_Months,MONTH(O160))&amp;" "&amp;YEAR(O160),IF(H160="MONTH",INDEX(nLIST_Months,MONTH(O160))&amp;" "&amp;YEAR(O160)&amp;" ("&amp;DAY(O160)&amp;" "&amp;INDEX(nLIST_Months,MONTH(O160))&amp;" "&amp;YEAR(O160)&amp;" to "&amp;DAY(P160)&amp;" "&amp;INDEX(nLIST_Months,MONTH(P160))&amp;" "&amp;YEAR(P160)&amp;")",IF(H160="YEAR",YEAR(O160)&amp;" (1 January to 31 December)",DAY(O160)&amp;" "&amp;INDEX(nLIST_Months,MONTH(O160))&amp;" "&amp;YEAR(O160)&amp;" to "&amp;DAY(P160)&amp;" "&amp;INDEX(nLIST_Months,MONTH(P160))&amp;" "&amp;YEAR(P160)&amp;IF(H160="LAB"," (laboratory-defined)","")))))))</f>
        <v/>
      </c>
      <c r="S160" s="20" t="str">
        <f>IF(B160="","",Exposures!$AU16&amp;"")</f>
        <v/>
      </c>
      <c r="T160" s="20" t="str">
        <f>IF(B160="","",Exposures!$BD16&amp;"")</f>
        <v/>
      </c>
      <c r="U160" s="20" t="str">
        <f>IF(B160="","","Exposures row "&amp;ROW(Exposures!$A16)&amp;", Restart")</f>
        <v/>
      </c>
      <c r="V160" s="20">
        <f>IF(A160="",0,COUNTIF(nTP_Key,A160))</f>
        <v>0</v>
      </c>
      <c r="W160" s="20">
        <f t="shared" si="30"/>
        <v>0</v>
      </c>
      <c r="X160" s="20">
        <f t="shared" si="31"/>
        <v>0</v>
      </c>
      <c r="Y160" s="20">
        <f t="shared" si="32"/>
        <v>0</v>
      </c>
      <c r="Z160" s="20">
        <f t="shared" si="33"/>
        <v>0</v>
      </c>
      <c r="AA160" s="20">
        <f t="shared" si="34"/>
        <v>156</v>
      </c>
      <c r="AB160" s="20" t="str">
        <f>""</f>
        <v/>
      </c>
      <c r="AC160" s="20" t="str">
        <f>IF(B160="","",Exposures!$F16&amp;"")</f>
        <v/>
      </c>
      <c r="AD160" s="20" t="str">
        <f>IF(B160="","",Exposures!$E16&amp;": Restart")</f>
        <v/>
      </c>
      <c r="AE160" s="20">
        <f t="shared" si="35"/>
        <v>0</v>
      </c>
      <c r="AF160" s="20" t="str">
        <f t="shared" si="36"/>
        <v/>
      </c>
      <c r="AG160" s="20">
        <f t="shared" si="37"/>
        <v>0</v>
      </c>
      <c r="AH160" s="20" t="str">
        <f>""</f>
        <v/>
      </c>
    </row>
    <row r="161" spans="1:34" x14ac:dyDescent="0.2">
      <c r="A161" s="20" t="str">
        <f t="shared" si="27"/>
        <v/>
      </c>
      <c r="B161" s="20" t="str">
        <f>IF(AND(Exposures!$D17&lt;&gt;"",COUNTA(Exposures!$AV17:$BC17)&gt;0),Exposures!$D17&amp;"/RESTART","")</f>
        <v/>
      </c>
      <c r="C161" s="20" t="str">
        <f t="shared" si="39"/>
        <v/>
      </c>
      <c r="D161" s="20" t="str">
        <f>IF(B161="","",Exposures!$A17&amp;"")</f>
        <v/>
      </c>
      <c r="E161" s="20" t="str">
        <f>IF(B161="","",Exposures!$B17&amp;"")</f>
        <v/>
      </c>
      <c r="F161" s="20" t="str">
        <f t="shared" si="28"/>
        <v/>
      </c>
      <c r="G161" s="20" t="str">
        <f>IF(B161="","",Exposures!$D17&amp;"")</f>
        <v/>
      </c>
      <c r="H161" s="20" t="str">
        <f>IF(B161="","",Exposures!$AV17&amp;"")</f>
        <v/>
      </c>
      <c r="I161" s="20" t="str">
        <f>IF(B161="","",Exposures!$AY17&amp;"")</f>
        <v/>
      </c>
      <c r="J161" s="20" t="str">
        <f>IF(B161="","",Exposures!$BE17&amp;"")</f>
        <v/>
      </c>
      <c r="K161" s="20">
        <f>IF(B161="",0,Exposures!$BF17)</f>
        <v>0</v>
      </c>
      <c r="L161" s="20">
        <f>IF(B161="",0,Exposures!$BG17)</f>
        <v>0</v>
      </c>
      <c r="M161" s="20" t="str">
        <f>IF(B161="","",Exposures!$BJ17)</f>
        <v/>
      </c>
      <c r="N161" s="20" t="str">
        <f>IF(B161="","",Exposures!$BK17)</f>
        <v/>
      </c>
      <c r="O161" s="27" t="str">
        <f>IF(B161="","",Exposures!$BH17)</f>
        <v/>
      </c>
      <c r="P161" s="27" t="str">
        <f>IF(B161="","",Exposures!$BI17)</f>
        <v/>
      </c>
      <c r="Q161" s="20" t="str">
        <f t="shared" si="29"/>
        <v/>
      </c>
      <c r="R161" s="20" t="str">
        <f>IF(A161="","",IF(J161&lt;&gt;"",J161,IF(H161="TIMESTAMP",DAY(INT(M161/1440))&amp;" "&amp;INDEX(nLIST_Months,MONTH(INT(M161/1440)))&amp;" "&amp;YEAR(INT(M161/1440))&amp;" "&amp;RIGHT("0"&amp;INT(MOD(M161,1440)/60),2)&amp;":"&amp;RIGHT("0"&amp;MOD(M161,60),2)&amp;IF(L161=1," (UTC"&amp;I161&amp;")"," (offset unknown)"),IF(H161="DATE",DAY(O161)&amp;" "&amp;INDEX(nLIST_Months,MONTH(O161))&amp;" "&amp;YEAR(O161),IF(H161="MONTH",INDEX(nLIST_Months,MONTH(O161))&amp;" "&amp;YEAR(O161)&amp;" ("&amp;DAY(O161)&amp;" "&amp;INDEX(nLIST_Months,MONTH(O161))&amp;" "&amp;YEAR(O161)&amp;" to "&amp;DAY(P161)&amp;" "&amp;INDEX(nLIST_Months,MONTH(P161))&amp;" "&amp;YEAR(P161)&amp;")",IF(H161="YEAR",YEAR(O161)&amp;" (1 January to 31 December)",DAY(O161)&amp;" "&amp;INDEX(nLIST_Months,MONTH(O161))&amp;" "&amp;YEAR(O161)&amp;" to "&amp;DAY(P161)&amp;" "&amp;INDEX(nLIST_Months,MONTH(P161))&amp;" "&amp;YEAR(P161)&amp;IF(H161="LAB"," (laboratory-defined)","")))))))</f>
        <v/>
      </c>
      <c r="S161" s="20" t="str">
        <f>IF(B161="","",Exposures!$AU17&amp;"")</f>
        <v/>
      </c>
      <c r="T161" s="20" t="str">
        <f>IF(B161="","",Exposures!$BD17&amp;"")</f>
        <v/>
      </c>
      <c r="U161" s="20" t="str">
        <f>IF(B161="","","Exposures row "&amp;ROW(Exposures!$A17)&amp;", Restart")</f>
        <v/>
      </c>
      <c r="V161" s="20">
        <f>IF(A161="",0,COUNTIF(nTP_Key,A161))</f>
        <v>0</v>
      </c>
      <c r="W161" s="20">
        <f t="shared" si="30"/>
        <v>0</v>
      </c>
      <c r="X161" s="20">
        <f t="shared" si="31"/>
        <v>0</v>
      </c>
      <c r="Y161" s="20">
        <f t="shared" si="32"/>
        <v>0</v>
      </c>
      <c r="Z161" s="20">
        <f t="shared" si="33"/>
        <v>0</v>
      </c>
      <c r="AA161" s="20">
        <f t="shared" si="34"/>
        <v>157</v>
      </c>
      <c r="AB161" s="20" t="str">
        <f>""</f>
        <v/>
      </c>
      <c r="AC161" s="20" t="str">
        <f>IF(B161="","",Exposures!$F17&amp;"")</f>
        <v/>
      </c>
      <c r="AD161" s="20" t="str">
        <f>IF(B161="","",Exposures!$E17&amp;": Restart")</f>
        <v/>
      </c>
      <c r="AE161" s="20">
        <f t="shared" si="35"/>
        <v>0</v>
      </c>
      <c r="AF161" s="20" t="str">
        <f t="shared" si="36"/>
        <v/>
      </c>
      <c r="AG161" s="20">
        <f t="shared" si="37"/>
        <v>0</v>
      </c>
      <c r="AH161" s="20" t="str">
        <f>""</f>
        <v/>
      </c>
    </row>
    <row r="162" spans="1:34" x14ac:dyDescent="0.2">
      <c r="A162" s="20" t="str">
        <f t="shared" si="27"/>
        <v/>
      </c>
      <c r="B162" s="20" t="str">
        <f>IF(AND(Exposures!$D18&lt;&gt;"",COUNTA(Exposures!$AV18:$BC18)&gt;0),Exposures!$D18&amp;"/RESTART","")</f>
        <v/>
      </c>
      <c r="C162" s="20" t="str">
        <f t="shared" si="39"/>
        <v/>
      </c>
      <c r="D162" s="20" t="str">
        <f>IF(B162="","",Exposures!$A18&amp;"")</f>
        <v/>
      </c>
      <c r="E162" s="20" t="str">
        <f>IF(B162="","",Exposures!$B18&amp;"")</f>
        <v/>
      </c>
      <c r="F162" s="20" t="str">
        <f t="shared" si="28"/>
        <v/>
      </c>
      <c r="G162" s="20" t="str">
        <f>IF(B162="","",Exposures!$D18&amp;"")</f>
        <v/>
      </c>
      <c r="H162" s="20" t="str">
        <f>IF(B162="","",Exposures!$AV18&amp;"")</f>
        <v/>
      </c>
      <c r="I162" s="20" t="str">
        <f>IF(B162="","",Exposures!$AY18&amp;"")</f>
        <v/>
      </c>
      <c r="J162" s="20" t="str">
        <f>IF(B162="","",Exposures!$BE18&amp;"")</f>
        <v/>
      </c>
      <c r="K162" s="20">
        <f>IF(B162="",0,Exposures!$BF18)</f>
        <v>0</v>
      </c>
      <c r="L162" s="20">
        <f>IF(B162="",0,Exposures!$BG18)</f>
        <v>0</v>
      </c>
      <c r="M162" s="20" t="str">
        <f>IF(B162="","",Exposures!$BJ18)</f>
        <v/>
      </c>
      <c r="N162" s="20" t="str">
        <f>IF(B162="","",Exposures!$BK18)</f>
        <v/>
      </c>
      <c r="O162" s="27" t="str">
        <f>IF(B162="","",Exposures!$BH18)</f>
        <v/>
      </c>
      <c r="P162" s="27" t="str">
        <f>IF(B162="","",Exposures!$BI18)</f>
        <v/>
      </c>
      <c r="Q162" s="20" t="str">
        <f t="shared" si="29"/>
        <v/>
      </c>
      <c r="R162" s="20" t="str">
        <f>IF(A162="","",IF(J162&lt;&gt;"",J162,IF(H162="TIMESTAMP",DAY(INT(M162/1440))&amp;" "&amp;INDEX(nLIST_Months,MONTH(INT(M162/1440)))&amp;" "&amp;YEAR(INT(M162/1440))&amp;" "&amp;RIGHT("0"&amp;INT(MOD(M162,1440)/60),2)&amp;":"&amp;RIGHT("0"&amp;MOD(M162,60),2)&amp;IF(L162=1," (UTC"&amp;I162&amp;")"," (offset unknown)"),IF(H162="DATE",DAY(O162)&amp;" "&amp;INDEX(nLIST_Months,MONTH(O162))&amp;" "&amp;YEAR(O162),IF(H162="MONTH",INDEX(nLIST_Months,MONTH(O162))&amp;" "&amp;YEAR(O162)&amp;" ("&amp;DAY(O162)&amp;" "&amp;INDEX(nLIST_Months,MONTH(O162))&amp;" "&amp;YEAR(O162)&amp;" to "&amp;DAY(P162)&amp;" "&amp;INDEX(nLIST_Months,MONTH(P162))&amp;" "&amp;YEAR(P162)&amp;")",IF(H162="YEAR",YEAR(O162)&amp;" (1 January to 31 December)",DAY(O162)&amp;" "&amp;INDEX(nLIST_Months,MONTH(O162))&amp;" "&amp;YEAR(O162)&amp;" to "&amp;DAY(P162)&amp;" "&amp;INDEX(nLIST_Months,MONTH(P162))&amp;" "&amp;YEAR(P162)&amp;IF(H162="LAB"," (laboratory-defined)","")))))))</f>
        <v/>
      </c>
      <c r="S162" s="20" t="str">
        <f>IF(B162="","",Exposures!$AU18&amp;"")</f>
        <v/>
      </c>
      <c r="T162" s="20" t="str">
        <f>IF(B162="","",Exposures!$BD18&amp;"")</f>
        <v/>
      </c>
      <c r="U162" s="20" t="str">
        <f>IF(B162="","","Exposures row "&amp;ROW(Exposures!$A18)&amp;", Restart")</f>
        <v/>
      </c>
      <c r="V162" s="20">
        <f>IF(A162="",0,COUNTIF(nTP_Key,A162))</f>
        <v>0</v>
      </c>
      <c r="W162" s="20">
        <f t="shared" si="30"/>
        <v>0</v>
      </c>
      <c r="X162" s="20">
        <f t="shared" si="31"/>
        <v>0</v>
      </c>
      <c r="Y162" s="20">
        <f t="shared" si="32"/>
        <v>0</v>
      </c>
      <c r="Z162" s="20">
        <f t="shared" si="33"/>
        <v>0</v>
      </c>
      <c r="AA162" s="20">
        <f t="shared" si="34"/>
        <v>158</v>
      </c>
      <c r="AB162" s="20" t="str">
        <f>""</f>
        <v/>
      </c>
      <c r="AC162" s="20" t="str">
        <f>IF(B162="","",Exposures!$F18&amp;"")</f>
        <v/>
      </c>
      <c r="AD162" s="20" t="str">
        <f>IF(B162="","",Exposures!$E18&amp;": Restart")</f>
        <v/>
      </c>
      <c r="AE162" s="20">
        <f t="shared" si="35"/>
        <v>0</v>
      </c>
      <c r="AF162" s="20" t="str">
        <f t="shared" si="36"/>
        <v/>
      </c>
      <c r="AG162" s="20">
        <f t="shared" si="37"/>
        <v>0</v>
      </c>
      <c r="AH162" s="20" t="str">
        <f>""</f>
        <v/>
      </c>
    </row>
    <row r="163" spans="1:34" x14ac:dyDescent="0.2">
      <c r="A163" s="20" t="str">
        <f t="shared" si="27"/>
        <v/>
      </c>
      <c r="B163" s="20" t="str">
        <f>IF(AND(Exposures!$D19&lt;&gt;"",COUNTA(Exposures!$AV19:$BC19)&gt;0),Exposures!$D19&amp;"/RESTART","")</f>
        <v/>
      </c>
      <c r="C163" s="20" t="str">
        <f t="shared" si="39"/>
        <v/>
      </c>
      <c r="D163" s="20" t="str">
        <f>IF(B163="","",Exposures!$A19&amp;"")</f>
        <v/>
      </c>
      <c r="E163" s="20" t="str">
        <f>IF(B163="","",Exposures!$B19&amp;"")</f>
        <v/>
      </c>
      <c r="F163" s="20" t="str">
        <f t="shared" si="28"/>
        <v/>
      </c>
      <c r="G163" s="20" t="str">
        <f>IF(B163="","",Exposures!$D19&amp;"")</f>
        <v/>
      </c>
      <c r="H163" s="20" t="str">
        <f>IF(B163="","",Exposures!$AV19&amp;"")</f>
        <v/>
      </c>
      <c r="I163" s="20" t="str">
        <f>IF(B163="","",Exposures!$AY19&amp;"")</f>
        <v/>
      </c>
      <c r="J163" s="20" t="str">
        <f>IF(B163="","",Exposures!$BE19&amp;"")</f>
        <v/>
      </c>
      <c r="K163" s="20">
        <f>IF(B163="",0,Exposures!$BF19)</f>
        <v>0</v>
      </c>
      <c r="L163" s="20">
        <f>IF(B163="",0,Exposures!$BG19)</f>
        <v>0</v>
      </c>
      <c r="M163" s="20" t="str">
        <f>IF(B163="","",Exposures!$BJ19)</f>
        <v/>
      </c>
      <c r="N163" s="20" t="str">
        <f>IF(B163="","",Exposures!$BK19)</f>
        <v/>
      </c>
      <c r="O163" s="27" t="str">
        <f>IF(B163="","",Exposures!$BH19)</f>
        <v/>
      </c>
      <c r="P163" s="27" t="str">
        <f>IF(B163="","",Exposures!$BI19)</f>
        <v/>
      </c>
      <c r="Q163" s="20" t="str">
        <f t="shared" si="29"/>
        <v/>
      </c>
      <c r="R163" s="20" t="str">
        <f>IF(A163="","",IF(J163&lt;&gt;"",J163,IF(H163="TIMESTAMP",DAY(INT(M163/1440))&amp;" "&amp;INDEX(nLIST_Months,MONTH(INT(M163/1440)))&amp;" "&amp;YEAR(INT(M163/1440))&amp;" "&amp;RIGHT("0"&amp;INT(MOD(M163,1440)/60),2)&amp;":"&amp;RIGHT("0"&amp;MOD(M163,60),2)&amp;IF(L163=1," (UTC"&amp;I163&amp;")"," (offset unknown)"),IF(H163="DATE",DAY(O163)&amp;" "&amp;INDEX(nLIST_Months,MONTH(O163))&amp;" "&amp;YEAR(O163),IF(H163="MONTH",INDEX(nLIST_Months,MONTH(O163))&amp;" "&amp;YEAR(O163)&amp;" ("&amp;DAY(O163)&amp;" "&amp;INDEX(nLIST_Months,MONTH(O163))&amp;" "&amp;YEAR(O163)&amp;" to "&amp;DAY(P163)&amp;" "&amp;INDEX(nLIST_Months,MONTH(P163))&amp;" "&amp;YEAR(P163)&amp;")",IF(H163="YEAR",YEAR(O163)&amp;" (1 January to 31 December)",DAY(O163)&amp;" "&amp;INDEX(nLIST_Months,MONTH(O163))&amp;" "&amp;YEAR(O163)&amp;" to "&amp;DAY(P163)&amp;" "&amp;INDEX(nLIST_Months,MONTH(P163))&amp;" "&amp;YEAR(P163)&amp;IF(H163="LAB"," (laboratory-defined)","")))))))</f>
        <v/>
      </c>
      <c r="S163" s="20" t="str">
        <f>IF(B163="","",Exposures!$AU19&amp;"")</f>
        <v/>
      </c>
      <c r="T163" s="20" t="str">
        <f>IF(B163="","",Exposures!$BD19&amp;"")</f>
        <v/>
      </c>
      <c r="U163" s="20" t="str">
        <f>IF(B163="","","Exposures row "&amp;ROW(Exposures!$A19)&amp;", Restart")</f>
        <v/>
      </c>
      <c r="V163" s="20">
        <f>IF(A163="",0,COUNTIF(nTP_Key,A163))</f>
        <v>0</v>
      </c>
      <c r="W163" s="20">
        <f t="shared" si="30"/>
        <v>0</v>
      </c>
      <c r="X163" s="20">
        <f t="shared" si="31"/>
        <v>0</v>
      </c>
      <c r="Y163" s="20">
        <f t="shared" si="32"/>
        <v>0</v>
      </c>
      <c r="Z163" s="20">
        <f t="shared" si="33"/>
        <v>0</v>
      </c>
      <c r="AA163" s="20">
        <f t="shared" si="34"/>
        <v>159</v>
      </c>
      <c r="AB163" s="20" t="str">
        <f>""</f>
        <v/>
      </c>
      <c r="AC163" s="20" t="str">
        <f>IF(B163="","",Exposures!$F19&amp;"")</f>
        <v/>
      </c>
      <c r="AD163" s="20" t="str">
        <f>IF(B163="","",Exposures!$E19&amp;": Restart")</f>
        <v/>
      </c>
      <c r="AE163" s="20">
        <f t="shared" si="35"/>
        <v>0</v>
      </c>
      <c r="AF163" s="20" t="str">
        <f t="shared" si="36"/>
        <v/>
      </c>
      <c r="AG163" s="20">
        <f t="shared" si="37"/>
        <v>0</v>
      </c>
      <c r="AH163" s="20" t="str">
        <f>""</f>
        <v/>
      </c>
    </row>
    <row r="164" spans="1:34" x14ac:dyDescent="0.2">
      <c r="A164" s="20" t="str">
        <f t="shared" si="27"/>
        <v/>
      </c>
      <c r="B164" s="20" t="str">
        <f>IF(AND(Exposures!$D20&lt;&gt;"",COUNTA(Exposures!$AV20:$BC20)&gt;0),Exposures!$D20&amp;"/RESTART","")</f>
        <v/>
      </c>
      <c r="C164" s="20" t="str">
        <f t="shared" si="39"/>
        <v/>
      </c>
      <c r="D164" s="20" t="str">
        <f>IF(B164="","",Exposures!$A20&amp;"")</f>
        <v/>
      </c>
      <c r="E164" s="20" t="str">
        <f>IF(B164="","",Exposures!$B20&amp;"")</f>
        <v/>
      </c>
      <c r="F164" s="20" t="str">
        <f t="shared" si="28"/>
        <v/>
      </c>
      <c r="G164" s="20" t="str">
        <f>IF(B164="","",Exposures!$D20&amp;"")</f>
        <v/>
      </c>
      <c r="H164" s="20" t="str">
        <f>IF(B164="","",Exposures!$AV20&amp;"")</f>
        <v/>
      </c>
      <c r="I164" s="20" t="str">
        <f>IF(B164="","",Exposures!$AY20&amp;"")</f>
        <v/>
      </c>
      <c r="J164" s="20" t="str">
        <f>IF(B164="","",Exposures!$BE20&amp;"")</f>
        <v/>
      </c>
      <c r="K164" s="20">
        <f>IF(B164="",0,Exposures!$BF20)</f>
        <v>0</v>
      </c>
      <c r="L164" s="20">
        <f>IF(B164="",0,Exposures!$BG20)</f>
        <v>0</v>
      </c>
      <c r="M164" s="20" t="str">
        <f>IF(B164="","",Exposures!$BJ20)</f>
        <v/>
      </c>
      <c r="N164" s="20" t="str">
        <f>IF(B164="","",Exposures!$BK20)</f>
        <v/>
      </c>
      <c r="O164" s="27" t="str">
        <f>IF(B164="","",Exposures!$BH20)</f>
        <v/>
      </c>
      <c r="P164" s="27" t="str">
        <f>IF(B164="","",Exposures!$BI20)</f>
        <v/>
      </c>
      <c r="Q164" s="20" t="str">
        <f t="shared" si="29"/>
        <v/>
      </c>
      <c r="R164" s="20" t="str">
        <f>IF(A164="","",IF(J164&lt;&gt;"",J164,IF(H164="TIMESTAMP",DAY(INT(M164/1440))&amp;" "&amp;INDEX(nLIST_Months,MONTH(INT(M164/1440)))&amp;" "&amp;YEAR(INT(M164/1440))&amp;" "&amp;RIGHT("0"&amp;INT(MOD(M164,1440)/60),2)&amp;":"&amp;RIGHT("0"&amp;MOD(M164,60),2)&amp;IF(L164=1," (UTC"&amp;I164&amp;")"," (offset unknown)"),IF(H164="DATE",DAY(O164)&amp;" "&amp;INDEX(nLIST_Months,MONTH(O164))&amp;" "&amp;YEAR(O164),IF(H164="MONTH",INDEX(nLIST_Months,MONTH(O164))&amp;" "&amp;YEAR(O164)&amp;" ("&amp;DAY(O164)&amp;" "&amp;INDEX(nLIST_Months,MONTH(O164))&amp;" "&amp;YEAR(O164)&amp;" to "&amp;DAY(P164)&amp;" "&amp;INDEX(nLIST_Months,MONTH(P164))&amp;" "&amp;YEAR(P164)&amp;")",IF(H164="YEAR",YEAR(O164)&amp;" (1 January to 31 December)",DAY(O164)&amp;" "&amp;INDEX(nLIST_Months,MONTH(O164))&amp;" "&amp;YEAR(O164)&amp;" to "&amp;DAY(P164)&amp;" "&amp;INDEX(nLIST_Months,MONTH(P164))&amp;" "&amp;YEAR(P164)&amp;IF(H164="LAB"," (laboratory-defined)","")))))))</f>
        <v/>
      </c>
      <c r="S164" s="20" t="str">
        <f>IF(B164="","",Exposures!$AU20&amp;"")</f>
        <v/>
      </c>
      <c r="T164" s="20" t="str">
        <f>IF(B164="","",Exposures!$BD20&amp;"")</f>
        <v/>
      </c>
      <c r="U164" s="20" t="str">
        <f>IF(B164="","","Exposures row "&amp;ROW(Exposures!$A20)&amp;", Restart")</f>
        <v/>
      </c>
      <c r="V164" s="20">
        <f>IF(A164="",0,COUNTIF(nTP_Key,A164))</f>
        <v>0</v>
      </c>
      <c r="W164" s="20">
        <f t="shared" si="30"/>
        <v>0</v>
      </c>
      <c r="X164" s="20">
        <f t="shared" si="31"/>
        <v>0</v>
      </c>
      <c r="Y164" s="20">
        <f t="shared" si="32"/>
        <v>0</v>
      </c>
      <c r="Z164" s="20">
        <f t="shared" si="33"/>
        <v>0</v>
      </c>
      <c r="AA164" s="20">
        <f t="shared" si="34"/>
        <v>160</v>
      </c>
      <c r="AB164" s="20" t="str">
        <f>""</f>
        <v/>
      </c>
      <c r="AC164" s="20" t="str">
        <f>IF(B164="","",Exposures!$F20&amp;"")</f>
        <v/>
      </c>
      <c r="AD164" s="20" t="str">
        <f>IF(B164="","",Exposures!$E20&amp;": Restart")</f>
        <v/>
      </c>
      <c r="AE164" s="20">
        <f t="shared" si="35"/>
        <v>0</v>
      </c>
      <c r="AF164" s="20" t="str">
        <f t="shared" si="36"/>
        <v/>
      </c>
      <c r="AG164" s="20">
        <f t="shared" si="37"/>
        <v>0</v>
      </c>
      <c r="AH164" s="20" t="str">
        <f>""</f>
        <v/>
      </c>
    </row>
    <row r="165" spans="1:34" x14ac:dyDescent="0.2">
      <c r="A165" s="20" t="str">
        <f t="shared" si="27"/>
        <v/>
      </c>
      <c r="B165" s="20" t="str">
        <f>IF(AND(Exposures!$D21&lt;&gt;"",COUNTA(Exposures!$AV21:$BC21)&gt;0),Exposures!$D21&amp;"/RESTART","")</f>
        <v/>
      </c>
      <c r="C165" s="20" t="str">
        <f t="shared" si="39"/>
        <v/>
      </c>
      <c r="D165" s="20" t="str">
        <f>IF(B165="","",Exposures!$A21&amp;"")</f>
        <v/>
      </c>
      <c r="E165" s="20" t="str">
        <f>IF(B165="","",Exposures!$B21&amp;"")</f>
        <v/>
      </c>
      <c r="F165" s="20" t="str">
        <f t="shared" si="28"/>
        <v/>
      </c>
      <c r="G165" s="20" t="str">
        <f>IF(B165="","",Exposures!$D21&amp;"")</f>
        <v/>
      </c>
      <c r="H165" s="20" t="str">
        <f>IF(B165="","",Exposures!$AV21&amp;"")</f>
        <v/>
      </c>
      <c r="I165" s="20" t="str">
        <f>IF(B165="","",Exposures!$AY21&amp;"")</f>
        <v/>
      </c>
      <c r="J165" s="20" t="str">
        <f>IF(B165="","",Exposures!$BE21&amp;"")</f>
        <v/>
      </c>
      <c r="K165" s="20">
        <f>IF(B165="",0,Exposures!$BF21)</f>
        <v>0</v>
      </c>
      <c r="L165" s="20">
        <f>IF(B165="",0,Exposures!$BG21)</f>
        <v>0</v>
      </c>
      <c r="M165" s="20" t="str">
        <f>IF(B165="","",Exposures!$BJ21)</f>
        <v/>
      </c>
      <c r="N165" s="20" t="str">
        <f>IF(B165="","",Exposures!$BK21)</f>
        <v/>
      </c>
      <c r="O165" s="27" t="str">
        <f>IF(B165="","",Exposures!$BH21)</f>
        <v/>
      </c>
      <c r="P165" s="27" t="str">
        <f>IF(B165="","",Exposures!$BI21)</f>
        <v/>
      </c>
      <c r="Q165" s="20" t="str">
        <f t="shared" si="29"/>
        <v/>
      </c>
      <c r="R165" s="20" t="str">
        <f>IF(A165="","",IF(J165&lt;&gt;"",J165,IF(H165="TIMESTAMP",DAY(INT(M165/1440))&amp;" "&amp;INDEX(nLIST_Months,MONTH(INT(M165/1440)))&amp;" "&amp;YEAR(INT(M165/1440))&amp;" "&amp;RIGHT("0"&amp;INT(MOD(M165,1440)/60),2)&amp;":"&amp;RIGHT("0"&amp;MOD(M165,60),2)&amp;IF(L165=1," (UTC"&amp;I165&amp;")"," (offset unknown)"),IF(H165="DATE",DAY(O165)&amp;" "&amp;INDEX(nLIST_Months,MONTH(O165))&amp;" "&amp;YEAR(O165),IF(H165="MONTH",INDEX(nLIST_Months,MONTH(O165))&amp;" "&amp;YEAR(O165)&amp;" ("&amp;DAY(O165)&amp;" "&amp;INDEX(nLIST_Months,MONTH(O165))&amp;" "&amp;YEAR(O165)&amp;" to "&amp;DAY(P165)&amp;" "&amp;INDEX(nLIST_Months,MONTH(P165))&amp;" "&amp;YEAR(P165)&amp;")",IF(H165="YEAR",YEAR(O165)&amp;" (1 January to 31 December)",DAY(O165)&amp;" "&amp;INDEX(nLIST_Months,MONTH(O165))&amp;" "&amp;YEAR(O165)&amp;" to "&amp;DAY(P165)&amp;" "&amp;INDEX(nLIST_Months,MONTH(P165))&amp;" "&amp;YEAR(P165)&amp;IF(H165="LAB"," (laboratory-defined)","")))))))</f>
        <v/>
      </c>
      <c r="S165" s="20" t="str">
        <f>IF(B165="","",Exposures!$AU21&amp;"")</f>
        <v/>
      </c>
      <c r="T165" s="20" t="str">
        <f>IF(B165="","",Exposures!$BD21&amp;"")</f>
        <v/>
      </c>
      <c r="U165" s="20" t="str">
        <f>IF(B165="","","Exposures row "&amp;ROW(Exposures!$A21)&amp;", Restart")</f>
        <v/>
      </c>
      <c r="V165" s="20">
        <f>IF(A165="",0,COUNTIF(nTP_Key,A165))</f>
        <v>0</v>
      </c>
      <c r="W165" s="20">
        <f t="shared" si="30"/>
        <v>0</v>
      </c>
      <c r="X165" s="20">
        <f t="shared" si="31"/>
        <v>0</v>
      </c>
      <c r="Y165" s="20">
        <f t="shared" si="32"/>
        <v>0</v>
      </c>
      <c r="Z165" s="20">
        <f t="shared" si="33"/>
        <v>0</v>
      </c>
      <c r="AA165" s="20">
        <f t="shared" si="34"/>
        <v>161</v>
      </c>
      <c r="AB165" s="20" t="str">
        <f>""</f>
        <v/>
      </c>
      <c r="AC165" s="20" t="str">
        <f>IF(B165="","",Exposures!$F21&amp;"")</f>
        <v/>
      </c>
      <c r="AD165" s="20" t="str">
        <f>IF(B165="","",Exposures!$E21&amp;": Restart")</f>
        <v/>
      </c>
      <c r="AE165" s="20">
        <f t="shared" si="35"/>
        <v>0</v>
      </c>
      <c r="AF165" s="20" t="str">
        <f t="shared" si="36"/>
        <v/>
      </c>
      <c r="AG165" s="20">
        <f t="shared" si="37"/>
        <v>0</v>
      </c>
      <c r="AH165" s="20" t="str">
        <f>""</f>
        <v/>
      </c>
    </row>
    <row r="166" spans="1:34" x14ac:dyDescent="0.2">
      <c r="A166" s="20" t="str">
        <f t="shared" si="27"/>
        <v/>
      </c>
      <c r="B166" s="20" t="str">
        <f>IF(AND(Exposures!$D22&lt;&gt;"",COUNTA(Exposures!$AV22:$BC22)&gt;0),Exposures!$D22&amp;"/RESTART","")</f>
        <v/>
      </c>
      <c r="C166" s="20" t="str">
        <f t="shared" si="39"/>
        <v/>
      </c>
      <c r="D166" s="20" t="str">
        <f>IF(B166="","",Exposures!$A22&amp;"")</f>
        <v/>
      </c>
      <c r="E166" s="20" t="str">
        <f>IF(B166="","",Exposures!$B22&amp;"")</f>
        <v/>
      </c>
      <c r="F166" s="20" t="str">
        <f t="shared" si="28"/>
        <v/>
      </c>
      <c r="G166" s="20" t="str">
        <f>IF(B166="","",Exposures!$D22&amp;"")</f>
        <v/>
      </c>
      <c r="H166" s="20" t="str">
        <f>IF(B166="","",Exposures!$AV22&amp;"")</f>
        <v/>
      </c>
      <c r="I166" s="20" t="str">
        <f>IF(B166="","",Exposures!$AY22&amp;"")</f>
        <v/>
      </c>
      <c r="J166" s="20" t="str">
        <f>IF(B166="","",Exposures!$BE22&amp;"")</f>
        <v/>
      </c>
      <c r="K166" s="20">
        <f>IF(B166="",0,Exposures!$BF22)</f>
        <v>0</v>
      </c>
      <c r="L166" s="20">
        <f>IF(B166="",0,Exposures!$BG22)</f>
        <v>0</v>
      </c>
      <c r="M166" s="20" t="str">
        <f>IF(B166="","",Exposures!$BJ22)</f>
        <v/>
      </c>
      <c r="N166" s="20" t="str">
        <f>IF(B166="","",Exposures!$BK22)</f>
        <v/>
      </c>
      <c r="O166" s="27" t="str">
        <f>IF(B166="","",Exposures!$BH22)</f>
        <v/>
      </c>
      <c r="P166" s="27" t="str">
        <f>IF(B166="","",Exposures!$BI22)</f>
        <v/>
      </c>
      <c r="Q166" s="20" t="str">
        <f t="shared" si="29"/>
        <v/>
      </c>
      <c r="R166" s="20" t="str">
        <f>IF(A166="","",IF(J166&lt;&gt;"",J166,IF(H166="TIMESTAMP",DAY(INT(M166/1440))&amp;" "&amp;INDEX(nLIST_Months,MONTH(INT(M166/1440)))&amp;" "&amp;YEAR(INT(M166/1440))&amp;" "&amp;RIGHT("0"&amp;INT(MOD(M166,1440)/60),2)&amp;":"&amp;RIGHT("0"&amp;MOD(M166,60),2)&amp;IF(L166=1," (UTC"&amp;I166&amp;")"," (offset unknown)"),IF(H166="DATE",DAY(O166)&amp;" "&amp;INDEX(nLIST_Months,MONTH(O166))&amp;" "&amp;YEAR(O166),IF(H166="MONTH",INDEX(nLIST_Months,MONTH(O166))&amp;" "&amp;YEAR(O166)&amp;" ("&amp;DAY(O166)&amp;" "&amp;INDEX(nLIST_Months,MONTH(O166))&amp;" "&amp;YEAR(O166)&amp;" to "&amp;DAY(P166)&amp;" "&amp;INDEX(nLIST_Months,MONTH(P166))&amp;" "&amp;YEAR(P166)&amp;")",IF(H166="YEAR",YEAR(O166)&amp;" (1 January to 31 December)",DAY(O166)&amp;" "&amp;INDEX(nLIST_Months,MONTH(O166))&amp;" "&amp;YEAR(O166)&amp;" to "&amp;DAY(P166)&amp;" "&amp;INDEX(nLIST_Months,MONTH(P166))&amp;" "&amp;YEAR(P166)&amp;IF(H166="LAB"," (laboratory-defined)","")))))))</f>
        <v/>
      </c>
      <c r="S166" s="20" t="str">
        <f>IF(B166="","",Exposures!$AU22&amp;"")</f>
        <v/>
      </c>
      <c r="T166" s="20" t="str">
        <f>IF(B166="","",Exposures!$BD22&amp;"")</f>
        <v/>
      </c>
      <c r="U166" s="20" t="str">
        <f>IF(B166="","","Exposures row "&amp;ROW(Exposures!$A22)&amp;", Restart")</f>
        <v/>
      </c>
      <c r="V166" s="20">
        <f>IF(A166="",0,COUNTIF(nTP_Key,A166))</f>
        <v>0</v>
      </c>
      <c r="W166" s="20">
        <f t="shared" si="30"/>
        <v>0</v>
      </c>
      <c r="X166" s="20">
        <f t="shared" si="31"/>
        <v>0</v>
      </c>
      <c r="Y166" s="20">
        <f t="shared" si="32"/>
        <v>0</v>
      </c>
      <c r="Z166" s="20">
        <f t="shared" si="33"/>
        <v>0</v>
      </c>
      <c r="AA166" s="20">
        <f t="shared" si="34"/>
        <v>162</v>
      </c>
      <c r="AB166" s="20" t="str">
        <f>""</f>
        <v/>
      </c>
      <c r="AC166" s="20" t="str">
        <f>IF(B166="","",Exposures!$F22&amp;"")</f>
        <v/>
      </c>
      <c r="AD166" s="20" t="str">
        <f>IF(B166="","",Exposures!$E22&amp;": Restart")</f>
        <v/>
      </c>
      <c r="AE166" s="20">
        <f t="shared" si="35"/>
        <v>0</v>
      </c>
      <c r="AF166" s="20" t="str">
        <f t="shared" si="36"/>
        <v/>
      </c>
      <c r="AG166" s="20">
        <f t="shared" si="37"/>
        <v>0</v>
      </c>
      <c r="AH166" s="20" t="str">
        <f>""</f>
        <v/>
      </c>
    </row>
    <row r="167" spans="1:34" x14ac:dyDescent="0.2">
      <c r="A167" s="20" t="str">
        <f t="shared" si="27"/>
        <v/>
      </c>
      <c r="B167" s="20" t="str">
        <f>IF(AND(Exposures!$D23&lt;&gt;"",COUNTA(Exposures!$AV23:$BC23)&gt;0),Exposures!$D23&amp;"/RESTART","")</f>
        <v/>
      </c>
      <c r="C167" s="20" t="str">
        <f t="shared" si="39"/>
        <v/>
      </c>
      <c r="D167" s="20" t="str">
        <f>IF(B167="","",Exposures!$A23&amp;"")</f>
        <v/>
      </c>
      <c r="E167" s="20" t="str">
        <f>IF(B167="","",Exposures!$B23&amp;"")</f>
        <v/>
      </c>
      <c r="F167" s="20" t="str">
        <f t="shared" si="28"/>
        <v/>
      </c>
      <c r="G167" s="20" t="str">
        <f>IF(B167="","",Exposures!$D23&amp;"")</f>
        <v/>
      </c>
      <c r="H167" s="20" t="str">
        <f>IF(B167="","",Exposures!$AV23&amp;"")</f>
        <v/>
      </c>
      <c r="I167" s="20" t="str">
        <f>IF(B167="","",Exposures!$AY23&amp;"")</f>
        <v/>
      </c>
      <c r="J167" s="20" t="str">
        <f>IF(B167="","",Exposures!$BE23&amp;"")</f>
        <v/>
      </c>
      <c r="K167" s="20">
        <f>IF(B167="",0,Exposures!$BF23)</f>
        <v>0</v>
      </c>
      <c r="L167" s="20">
        <f>IF(B167="",0,Exposures!$BG23)</f>
        <v>0</v>
      </c>
      <c r="M167" s="20" t="str">
        <f>IF(B167="","",Exposures!$BJ23)</f>
        <v/>
      </c>
      <c r="N167" s="20" t="str">
        <f>IF(B167="","",Exposures!$BK23)</f>
        <v/>
      </c>
      <c r="O167" s="27" t="str">
        <f>IF(B167="","",Exposures!$BH23)</f>
        <v/>
      </c>
      <c r="P167" s="27" t="str">
        <f>IF(B167="","",Exposures!$BI23)</f>
        <v/>
      </c>
      <c r="Q167" s="20" t="str">
        <f t="shared" si="29"/>
        <v/>
      </c>
      <c r="R167" s="20" t="str">
        <f>IF(A167="","",IF(J167&lt;&gt;"",J167,IF(H167="TIMESTAMP",DAY(INT(M167/1440))&amp;" "&amp;INDEX(nLIST_Months,MONTH(INT(M167/1440)))&amp;" "&amp;YEAR(INT(M167/1440))&amp;" "&amp;RIGHT("0"&amp;INT(MOD(M167,1440)/60),2)&amp;":"&amp;RIGHT("0"&amp;MOD(M167,60),2)&amp;IF(L167=1," (UTC"&amp;I167&amp;")"," (offset unknown)"),IF(H167="DATE",DAY(O167)&amp;" "&amp;INDEX(nLIST_Months,MONTH(O167))&amp;" "&amp;YEAR(O167),IF(H167="MONTH",INDEX(nLIST_Months,MONTH(O167))&amp;" "&amp;YEAR(O167)&amp;" ("&amp;DAY(O167)&amp;" "&amp;INDEX(nLIST_Months,MONTH(O167))&amp;" "&amp;YEAR(O167)&amp;" to "&amp;DAY(P167)&amp;" "&amp;INDEX(nLIST_Months,MONTH(P167))&amp;" "&amp;YEAR(P167)&amp;")",IF(H167="YEAR",YEAR(O167)&amp;" (1 January to 31 December)",DAY(O167)&amp;" "&amp;INDEX(nLIST_Months,MONTH(O167))&amp;" "&amp;YEAR(O167)&amp;" to "&amp;DAY(P167)&amp;" "&amp;INDEX(nLIST_Months,MONTH(P167))&amp;" "&amp;YEAR(P167)&amp;IF(H167="LAB"," (laboratory-defined)","")))))))</f>
        <v/>
      </c>
      <c r="S167" s="20" t="str">
        <f>IF(B167="","",Exposures!$AU23&amp;"")</f>
        <v/>
      </c>
      <c r="T167" s="20" t="str">
        <f>IF(B167="","",Exposures!$BD23&amp;"")</f>
        <v/>
      </c>
      <c r="U167" s="20" t="str">
        <f>IF(B167="","","Exposures row "&amp;ROW(Exposures!$A23)&amp;", Restart")</f>
        <v/>
      </c>
      <c r="V167" s="20">
        <f>IF(A167="",0,COUNTIF(nTP_Key,A167))</f>
        <v>0</v>
      </c>
      <c r="W167" s="20">
        <f t="shared" si="30"/>
        <v>0</v>
      </c>
      <c r="X167" s="20">
        <f t="shared" si="31"/>
        <v>0</v>
      </c>
      <c r="Y167" s="20">
        <f t="shared" si="32"/>
        <v>0</v>
      </c>
      <c r="Z167" s="20">
        <f t="shared" si="33"/>
        <v>0</v>
      </c>
      <c r="AA167" s="20">
        <f t="shared" si="34"/>
        <v>163</v>
      </c>
      <c r="AB167" s="20" t="str">
        <f>""</f>
        <v/>
      </c>
      <c r="AC167" s="20" t="str">
        <f>IF(B167="","",Exposures!$F23&amp;"")</f>
        <v/>
      </c>
      <c r="AD167" s="20" t="str">
        <f>IF(B167="","",Exposures!$E23&amp;": Restart")</f>
        <v/>
      </c>
      <c r="AE167" s="20">
        <f t="shared" si="35"/>
        <v>0</v>
      </c>
      <c r="AF167" s="20" t="str">
        <f t="shared" si="36"/>
        <v/>
      </c>
      <c r="AG167" s="20">
        <f t="shared" si="37"/>
        <v>0</v>
      </c>
      <c r="AH167" s="20" t="str">
        <f>""</f>
        <v/>
      </c>
    </row>
    <row r="168" spans="1:34" x14ac:dyDescent="0.2">
      <c r="A168" s="20" t="str">
        <f t="shared" si="27"/>
        <v/>
      </c>
      <c r="B168" s="20" t="str">
        <f>IF(AND(Exposures!$D24&lt;&gt;"",COUNTA(Exposures!$AV24:$BC24)&gt;0),Exposures!$D24&amp;"/RESTART","")</f>
        <v/>
      </c>
      <c r="C168" s="20" t="str">
        <f t="shared" si="39"/>
        <v/>
      </c>
      <c r="D168" s="20" t="str">
        <f>IF(B168="","",Exposures!$A24&amp;"")</f>
        <v/>
      </c>
      <c r="E168" s="20" t="str">
        <f>IF(B168="","",Exposures!$B24&amp;"")</f>
        <v/>
      </c>
      <c r="F168" s="20" t="str">
        <f t="shared" si="28"/>
        <v/>
      </c>
      <c r="G168" s="20" t="str">
        <f>IF(B168="","",Exposures!$D24&amp;"")</f>
        <v/>
      </c>
      <c r="H168" s="20" t="str">
        <f>IF(B168="","",Exposures!$AV24&amp;"")</f>
        <v/>
      </c>
      <c r="I168" s="20" t="str">
        <f>IF(B168="","",Exposures!$AY24&amp;"")</f>
        <v/>
      </c>
      <c r="J168" s="20" t="str">
        <f>IF(B168="","",Exposures!$BE24&amp;"")</f>
        <v/>
      </c>
      <c r="K168" s="20">
        <f>IF(B168="",0,Exposures!$BF24)</f>
        <v>0</v>
      </c>
      <c r="L168" s="20">
        <f>IF(B168="",0,Exposures!$BG24)</f>
        <v>0</v>
      </c>
      <c r="M168" s="20" t="str">
        <f>IF(B168="","",Exposures!$BJ24)</f>
        <v/>
      </c>
      <c r="N168" s="20" t="str">
        <f>IF(B168="","",Exposures!$BK24)</f>
        <v/>
      </c>
      <c r="O168" s="27" t="str">
        <f>IF(B168="","",Exposures!$BH24)</f>
        <v/>
      </c>
      <c r="P168" s="27" t="str">
        <f>IF(B168="","",Exposures!$BI24)</f>
        <v/>
      </c>
      <c r="Q168" s="20" t="str">
        <f t="shared" si="29"/>
        <v/>
      </c>
      <c r="R168" s="20" t="str">
        <f>IF(A168="","",IF(J168&lt;&gt;"",J168,IF(H168="TIMESTAMP",DAY(INT(M168/1440))&amp;" "&amp;INDEX(nLIST_Months,MONTH(INT(M168/1440)))&amp;" "&amp;YEAR(INT(M168/1440))&amp;" "&amp;RIGHT("0"&amp;INT(MOD(M168,1440)/60),2)&amp;":"&amp;RIGHT("0"&amp;MOD(M168,60),2)&amp;IF(L168=1," (UTC"&amp;I168&amp;")"," (offset unknown)"),IF(H168="DATE",DAY(O168)&amp;" "&amp;INDEX(nLIST_Months,MONTH(O168))&amp;" "&amp;YEAR(O168),IF(H168="MONTH",INDEX(nLIST_Months,MONTH(O168))&amp;" "&amp;YEAR(O168)&amp;" ("&amp;DAY(O168)&amp;" "&amp;INDEX(nLIST_Months,MONTH(O168))&amp;" "&amp;YEAR(O168)&amp;" to "&amp;DAY(P168)&amp;" "&amp;INDEX(nLIST_Months,MONTH(P168))&amp;" "&amp;YEAR(P168)&amp;")",IF(H168="YEAR",YEAR(O168)&amp;" (1 January to 31 December)",DAY(O168)&amp;" "&amp;INDEX(nLIST_Months,MONTH(O168))&amp;" "&amp;YEAR(O168)&amp;" to "&amp;DAY(P168)&amp;" "&amp;INDEX(nLIST_Months,MONTH(P168))&amp;" "&amp;YEAR(P168)&amp;IF(H168="LAB"," (laboratory-defined)","")))))))</f>
        <v/>
      </c>
      <c r="S168" s="20" t="str">
        <f>IF(B168="","",Exposures!$AU24&amp;"")</f>
        <v/>
      </c>
      <c r="T168" s="20" t="str">
        <f>IF(B168="","",Exposures!$BD24&amp;"")</f>
        <v/>
      </c>
      <c r="U168" s="20" t="str">
        <f>IF(B168="","","Exposures row "&amp;ROW(Exposures!$A24)&amp;", Restart")</f>
        <v/>
      </c>
      <c r="V168" s="20">
        <f>IF(A168="",0,COUNTIF(nTP_Key,A168))</f>
        <v>0</v>
      </c>
      <c r="W168" s="20">
        <f t="shared" si="30"/>
        <v>0</v>
      </c>
      <c r="X168" s="20">
        <f t="shared" si="31"/>
        <v>0</v>
      </c>
      <c r="Y168" s="20">
        <f t="shared" si="32"/>
        <v>0</v>
      </c>
      <c r="Z168" s="20">
        <f t="shared" si="33"/>
        <v>0</v>
      </c>
      <c r="AA168" s="20">
        <f t="shared" si="34"/>
        <v>164</v>
      </c>
      <c r="AB168" s="20" t="str">
        <f>""</f>
        <v/>
      </c>
      <c r="AC168" s="20" t="str">
        <f>IF(B168="","",Exposures!$F24&amp;"")</f>
        <v/>
      </c>
      <c r="AD168" s="20" t="str">
        <f>IF(B168="","",Exposures!$E24&amp;": Restart")</f>
        <v/>
      </c>
      <c r="AE168" s="20">
        <f t="shared" si="35"/>
        <v>0</v>
      </c>
      <c r="AF168" s="20" t="str">
        <f t="shared" si="36"/>
        <v/>
      </c>
      <c r="AG168" s="20">
        <f t="shared" si="37"/>
        <v>0</v>
      </c>
      <c r="AH168" s="20" t="str">
        <f>""</f>
        <v/>
      </c>
    </row>
    <row r="169" spans="1:34" x14ac:dyDescent="0.2">
      <c r="A169" s="20" t="str">
        <f t="shared" si="27"/>
        <v/>
      </c>
      <c r="B169" s="20" t="str">
        <f>IF(AND(Exposures!$D25&lt;&gt;"",COUNTA(Exposures!$AV25:$BC25)&gt;0),Exposures!$D25&amp;"/RESTART","")</f>
        <v/>
      </c>
      <c r="C169" s="20" t="str">
        <f t="shared" si="39"/>
        <v/>
      </c>
      <c r="D169" s="20" t="str">
        <f>IF(B169="","",Exposures!$A25&amp;"")</f>
        <v/>
      </c>
      <c r="E169" s="20" t="str">
        <f>IF(B169="","",Exposures!$B25&amp;"")</f>
        <v/>
      </c>
      <c r="F169" s="20" t="str">
        <f t="shared" si="28"/>
        <v/>
      </c>
      <c r="G169" s="20" t="str">
        <f>IF(B169="","",Exposures!$D25&amp;"")</f>
        <v/>
      </c>
      <c r="H169" s="20" t="str">
        <f>IF(B169="","",Exposures!$AV25&amp;"")</f>
        <v/>
      </c>
      <c r="I169" s="20" t="str">
        <f>IF(B169="","",Exposures!$AY25&amp;"")</f>
        <v/>
      </c>
      <c r="J169" s="20" t="str">
        <f>IF(B169="","",Exposures!$BE25&amp;"")</f>
        <v/>
      </c>
      <c r="K169" s="20">
        <f>IF(B169="",0,Exposures!$BF25)</f>
        <v>0</v>
      </c>
      <c r="L169" s="20">
        <f>IF(B169="",0,Exposures!$BG25)</f>
        <v>0</v>
      </c>
      <c r="M169" s="20" t="str">
        <f>IF(B169="","",Exposures!$BJ25)</f>
        <v/>
      </c>
      <c r="N169" s="20" t="str">
        <f>IF(B169="","",Exposures!$BK25)</f>
        <v/>
      </c>
      <c r="O169" s="27" t="str">
        <f>IF(B169="","",Exposures!$BH25)</f>
        <v/>
      </c>
      <c r="P169" s="27" t="str">
        <f>IF(B169="","",Exposures!$BI25)</f>
        <v/>
      </c>
      <c r="Q169" s="20" t="str">
        <f t="shared" si="29"/>
        <v/>
      </c>
      <c r="R169" s="20" t="str">
        <f>IF(A169="","",IF(J169&lt;&gt;"",J169,IF(H169="TIMESTAMP",DAY(INT(M169/1440))&amp;" "&amp;INDEX(nLIST_Months,MONTH(INT(M169/1440)))&amp;" "&amp;YEAR(INT(M169/1440))&amp;" "&amp;RIGHT("0"&amp;INT(MOD(M169,1440)/60),2)&amp;":"&amp;RIGHT("0"&amp;MOD(M169,60),2)&amp;IF(L169=1," (UTC"&amp;I169&amp;")"," (offset unknown)"),IF(H169="DATE",DAY(O169)&amp;" "&amp;INDEX(nLIST_Months,MONTH(O169))&amp;" "&amp;YEAR(O169),IF(H169="MONTH",INDEX(nLIST_Months,MONTH(O169))&amp;" "&amp;YEAR(O169)&amp;" ("&amp;DAY(O169)&amp;" "&amp;INDEX(nLIST_Months,MONTH(O169))&amp;" "&amp;YEAR(O169)&amp;" to "&amp;DAY(P169)&amp;" "&amp;INDEX(nLIST_Months,MONTH(P169))&amp;" "&amp;YEAR(P169)&amp;")",IF(H169="YEAR",YEAR(O169)&amp;" (1 January to 31 December)",DAY(O169)&amp;" "&amp;INDEX(nLIST_Months,MONTH(O169))&amp;" "&amp;YEAR(O169)&amp;" to "&amp;DAY(P169)&amp;" "&amp;INDEX(nLIST_Months,MONTH(P169))&amp;" "&amp;YEAR(P169)&amp;IF(H169="LAB"," (laboratory-defined)","")))))))</f>
        <v/>
      </c>
      <c r="S169" s="20" t="str">
        <f>IF(B169="","",Exposures!$AU25&amp;"")</f>
        <v/>
      </c>
      <c r="T169" s="20" t="str">
        <f>IF(B169="","",Exposures!$BD25&amp;"")</f>
        <v/>
      </c>
      <c r="U169" s="20" t="str">
        <f>IF(B169="","","Exposures row "&amp;ROW(Exposures!$A25)&amp;", Restart")</f>
        <v/>
      </c>
      <c r="V169" s="20">
        <f>IF(A169="",0,COUNTIF(nTP_Key,A169))</f>
        <v>0</v>
      </c>
      <c r="W169" s="20">
        <f t="shared" si="30"/>
        <v>0</v>
      </c>
      <c r="X169" s="20">
        <f t="shared" si="31"/>
        <v>0</v>
      </c>
      <c r="Y169" s="20">
        <f t="shared" si="32"/>
        <v>0</v>
      </c>
      <c r="Z169" s="20">
        <f t="shared" si="33"/>
        <v>0</v>
      </c>
      <c r="AA169" s="20">
        <f t="shared" si="34"/>
        <v>165</v>
      </c>
      <c r="AB169" s="20" t="str">
        <f>""</f>
        <v/>
      </c>
      <c r="AC169" s="20" t="str">
        <f>IF(B169="","",Exposures!$F25&amp;"")</f>
        <v/>
      </c>
      <c r="AD169" s="20" t="str">
        <f>IF(B169="","",Exposures!$E25&amp;": Restart")</f>
        <v/>
      </c>
      <c r="AE169" s="20">
        <f t="shared" si="35"/>
        <v>0</v>
      </c>
      <c r="AF169" s="20" t="str">
        <f t="shared" si="36"/>
        <v/>
      </c>
      <c r="AG169" s="20">
        <f t="shared" si="37"/>
        <v>0</v>
      </c>
      <c r="AH169" s="20" t="str">
        <f>""</f>
        <v/>
      </c>
    </row>
    <row r="170" spans="1:34" x14ac:dyDescent="0.2">
      <c r="A170" s="20" t="str">
        <f t="shared" si="27"/>
        <v/>
      </c>
      <c r="B170" s="20" t="str">
        <f>IF(AND(Exposures!$D26&lt;&gt;"",COUNTA(Exposures!$AV26:$BC26)&gt;0),Exposures!$D26&amp;"/RESTART","")</f>
        <v/>
      </c>
      <c r="C170" s="20" t="str">
        <f t="shared" si="39"/>
        <v/>
      </c>
      <c r="D170" s="20" t="str">
        <f>IF(B170="","",Exposures!$A26&amp;"")</f>
        <v/>
      </c>
      <c r="E170" s="20" t="str">
        <f>IF(B170="","",Exposures!$B26&amp;"")</f>
        <v/>
      </c>
      <c r="F170" s="20" t="str">
        <f t="shared" si="28"/>
        <v/>
      </c>
      <c r="G170" s="20" t="str">
        <f>IF(B170="","",Exposures!$D26&amp;"")</f>
        <v/>
      </c>
      <c r="H170" s="20" t="str">
        <f>IF(B170="","",Exposures!$AV26&amp;"")</f>
        <v/>
      </c>
      <c r="I170" s="20" t="str">
        <f>IF(B170="","",Exposures!$AY26&amp;"")</f>
        <v/>
      </c>
      <c r="J170" s="20" t="str">
        <f>IF(B170="","",Exposures!$BE26&amp;"")</f>
        <v/>
      </c>
      <c r="K170" s="20">
        <f>IF(B170="",0,Exposures!$BF26)</f>
        <v>0</v>
      </c>
      <c r="L170" s="20">
        <f>IF(B170="",0,Exposures!$BG26)</f>
        <v>0</v>
      </c>
      <c r="M170" s="20" t="str">
        <f>IF(B170="","",Exposures!$BJ26)</f>
        <v/>
      </c>
      <c r="N170" s="20" t="str">
        <f>IF(B170="","",Exposures!$BK26)</f>
        <v/>
      </c>
      <c r="O170" s="27" t="str">
        <f>IF(B170="","",Exposures!$BH26)</f>
        <v/>
      </c>
      <c r="P170" s="27" t="str">
        <f>IF(B170="","",Exposures!$BI26)</f>
        <v/>
      </c>
      <c r="Q170" s="20" t="str">
        <f t="shared" si="29"/>
        <v/>
      </c>
      <c r="R170" s="20" t="str">
        <f>IF(A170="","",IF(J170&lt;&gt;"",J170,IF(H170="TIMESTAMP",DAY(INT(M170/1440))&amp;" "&amp;INDEX(nLIST_Months,MONTH(INT(M170/1440)))&amp;" "&amp;YEAR(INT(M170/1440))&amp;" "&amp;RIGHT("0"&amp;INT(MOD(M170,1440)/60),2)&amp;":"&amp;RIGHT("0"&amp;MOD(M170,60),2)&amp;IF(L170=1," (UTC"&amp;I170&amp;")"," (offset unknown)"),IF(H170="DATE",DAY(O170)&amp;" "&amp;INDEX(nLIST_Months,MONTH(O170))&amp;" "&amp;YEAR(O170),IF(H170="MONTH",INDEX(nLIST_Months,MONTH(O170))&amp;" "&amp;YEAR(O170)&amp;" ("&amp;DAY(O170)&amp;" "&amp;INDEX(nLIST_Months,MONTH(O170))&amp;" "&amp;YEAR(O170)&amp;" to "&amp;DAY(P170)&amp;" "&amp;INDEX(nLIST_Months,MONTH(P170))&amp;" "&amp;YEAR(P170)&amp;")",IF(H170="YEAR",YEAR(O170)&amp;" (1 January to 31 December)",DAY(O170)&amp;" "&amp;INDEX(nLIST_Months,MONTH(O170))&amp;" "&amp;YEAR(O170)&amp;" to "&amp;DAY(P170)&amp;" "&amp;INDEX(nLIST_Months,MONTH(P170))&amp;" "&amp;YEAR(P170)&amp;IF(H170="LAB"," (laboratory-defined)","")))))))</f>
        <v/>
      </c>
      <c r="S170" s="20" t="str">
        <f>IF(B170="","",Exposures!$AU26&amp;"")</f>
        <v/>
      </c>
      <c r="T170" s="20" t="str">
        <f>IF(B170="","",Exposures!$BD26&amp;"")</f>
        <v/>
      </c>
      <c r="U170" s="20" t="str">
        <f>IF(B170="","","Exposures row "&amp;ROW(Exposures!$A26)&amp;", Restart")</f>
        <v/>
      </c>
      <c r="V170" s="20">
        <f>IF(A170="",0,COUNTIF(nTP_Key,A170))</f>
        <v>0</v>
      </c>
      <c r="W170" s="20">
        <f t="shared" si="30"/>
        <v>0</v>
      </c>
      <c r="X170" s="20">
        <f t="shared" si="31"/>
        <v>0</v>
      </c>
      <c r="Y170" s="20">
        <f t="shared" si="32"/>
        <v>0</v>
      </c>
      <c r="Z170" s="20">
        <f t="shared" si="33"/>
        <v>0</v>
      </c>
      <c r="AA170" s="20">
        <f t="shared" si="34"/>
        <v>166</v>
      </c>
      <c r="AB170" s="20" t="str">
        <f>""</f>
        <v/>
      </c>
      <c r="AC170" s="20" t="str">
        <f>IF(B170="","",Exposures!$F26&amp;"")</f>
        <v/>
      </c>
      <c r="AD170" s="20" t="str">
        <f>IF(B170="","",Exposures!$E26&amp;": Restart")</f>
        <v/>
      </c>
      <c r="AE170" s="20">
        <f t="shared" si="35"/>
        <v>0</v>
      </c>
      <c r="AF170" s="20" t="str">
        <f t="shared" si="36"/>
        <v/>
      </c>
      <c r="AG170" s="20">
        <f t="shared" si="37"/>
        <v>0</v>
      </c>
      <c r="AH170" s="20" t="str">
        <f>""</f>
        <v/>
      </c>
    </row>
    <row r="171" spans="1:34" x14ac:dyDescent="0.2">
      <c r="A171" s="20" t="str">
        <f t="shared" si="27"/>
        <v/>
      </c>
      <c r="B171" s="20" t="str">
        <f>IF(AND(Exposures!$D27&lt;&gt;"",COUNTA(Exposures!$AV27:$BC27)&gt;0),Exposures!$D27&amp;"/RESTART","")</f>
        <v/>
      </c>
      <c r="C171" s="20" t="str">
        <f t="shared" si="39"/>
        <v/>
      </c>
      <c r="D171" s="20" t="str">
        <f>IF(B171="","",Exposures!$A27&amp;"")</f>
        <v/>
      </c>
      <c r="E171" s="20" t="str">
        <f>IF(B171="","",Exposures!$B27&amp;"")</f>
        <v/>
      </c>
      <c r="F171" s="20" t="str">
        <f t="shared" si="28"/>
        <v/>
      </c>
      <c r="G171" s="20" t="str">
        <f>IF(B171="","",Exposures!$D27&amp;"")</f>
        <v/>
      </c>
      <c r="H171" s="20" t="str">
        <f>IF(B171="","",Exposures!$AV27&amp;"")</f>
        <v/>
      </c>
      <c r="I171" s="20" t="str">
        <f>IF(B171="","",Exposures!$AY27&amp;"")</f>
        <v/>
      </c>
      <c r="J171" s="20" t="str">
        <f>IF(B171="","",Exposures!$BE27&amp;"")</f>
        <v/>
      </c>
      <c r="K171" s="20">
        <f>IF(B171="",0,Exposures!$BF27)</f>
        <v>0</v>
      </c>
      <c r="L171" s="20">
        <f>IF(B171="",0,Exposures!$BG27)</f>
        <v>0</v>
      </c>
      <c r="M171" s="20" t="str">
        <f>IF(B171="","",Exposures!$BJ27)</f>
        <v/>
      </c>
      <c r="N171" s="20" t="str">
        <f>IF(B171="","",Exposures!$BK27)</f>
        <v/>
      </c>
      <c r="O171" s="27" t="str">
        <f>IF(B171="","",Exposures!$BH27)</f>
        <v/>
      </c>
      <c r="P171" s="27" t="str">
        <f>IF(B171="","",Exposures!$BI27)</f>
        <v/>
      </c>
      <c r="Q171" s="20" t="str">
        <f t="shared" si="29"/>
        <v/>
      </c>
      <c r="R171" s="20" t="str">
        <f>IF(A171="","",IF(J171&lt;&gt;"",J171,IF(H171="TIMESTAMP",DAY(INT(M171/1440))&amp;" "&amp;INDEX(nLIST_Months,MONTH(INT(M171/1440)))&amp;" "&amp;YEAR(INT(M171/1440))&amp;" "&amp;RIGHT("0"&amp;INT(MOD(M171,1440)/60),2)&amp;":"&amp;RIGHT("0"&amp;MOD(M171,60),2)&amp;IF(L171=1," (UTC"&amp;I171&amp;")"," (offset unknown)"),IF(H171="DATE",DAY(O171)&amp;" "&amp;INDEX(nLIST_Months,MONTH(O171))&amp;" "&amp;YEAR(O171),IF(H171="MONTH",INDEX(nLIST_Months,MONTH(O171))&amp;" "&amp;YEAR(O171)&amp;" ("&amp;DAY(O171)&amp;" "&amp;INDEX(nLIST_Months,MONTH(O171))&amp;" "&amp;YEAR(O171)&amp;" to "&amp;DAY(P171)&amp;" "&amp;INDEX(nLIST_Months,MONTH(P171))&amp;" "&amp;YEAR(P171)&amp;")",IF(H171="YEAR",YEAR(O171)&amp;" (1 January to 31 December)",DAY(O171)&amp;" "&amp;INDEX(nLIST_Months,MONTH(O171))&amp;" "&amp;YEAR(O171)&amp;" to "&amp;DAY(P171)&amp;" "&amp;INDEX(nLIST_Months,MONTH(P171))&amp;" "&amp;YEAR(P171)&amp;IF(H171="LAB"," (laboratory-defined)","")))))))</f>
        <v/>
      </c>
      <c r="S171" s="20" t="str">
        <f>IF(B171="","",Exposures!$AU27&amp;"")</f>
        <v/>
      </c>
      <c r="T171" s="20" t="str">
        <f>IF(B171="","",Exposures!$BD27&amp;"")</f>
        <v/>
      </c>
      <c r="U171" s="20" t="str">
        <f>IF(B171="","","Exposures row "&amp;ROW(Exposures!$A27)&amp;", Restart")</f>
        <v/>
      </c>
      <c r="V171" s="20">
        <f>IF(A171="",0,COUNTIF(nTP_Key,A171))</f>
        <v>0</v>
      </c>
      <c r="W171" s="20">
        <f t="shared" si="30"/>
        <v>0</v>
      </c>
      <c r="X171" s="20">
        <f t="shared" si="31"/>
        <v>0</v>
      </c>
      <c r="Y171" s="20">
        <f t="shared" si="32"/>
        <v>0</v>
      </c>
      <c r="Z171" s="20">
        <f t="shared" si="33"/>
        <v>0</v>
      </c>
      <c r="AA171" s="20">
        <f t="shared" si="34"/>
        <v>167</v>
      </c>
      <c r="AB171" s="20" t="str">
        <f>""</f>
        <v/>
      </c>
      <c r="AC171" s="20" t="str">
        <f>IF(B171="","",Exposures!$F27&amp;"")</f>
        <v/>
      </c>
      <c r="AD171" s="20" t="str">
        <f>IF(B171="","",Exposures!$E27&amp;": Restart")</f>
        <v/>
      </c>
      <c r="AE171" s="20">
        <f t="shared" si="35"/>
        <v>0</v>
      </c>
      <c r="AF171" s="20" t="str">
        <f t="shared" si="36"/>
        <v/>
      </c>
      <c r="AG171" s="20">
        <f t="shared" si="37"/>
        <v>0</v>
      </c>
      <c r="AH171" s="20" t="str">
        <f>""</f>
        <v/>
      </c>
    </row>
    <row r="172" spans="1:34" x14ac:dyDescent="0.2">
      <c r="A172" s="20" t="str">
        <f t="shared" si="27"/>
        <v/>
      </c>
      <c r="B172" s="20" t="str">
        <f>IF(AND(Exposures!$D28&lt;&gt;"",COUNTA(Exposures!$AV28:$BC28)&gt;0),Exposures!$D28&amp;"/RESTART","")</f>
        <v/>
      </c>
      <c r="C172" s="20" t="str">
        <f t="shared" si="39"/>
        <v/>
      </c>
      <c r="D172" s="20" t="str">
        <f>IF(B172="","",Exposures!$A28&amp;"")</f>
        <v/>
      </c>
      <c r="E172" s="20" t="str">
        <f>IF(B172="","",Exposures!$B28&amp;"")</f>
        <v/>
      </c>
      <c r="F172" s="20" t="str">
        <f t="shared" si="28"/>
        <v/>
      </c>
      <c r="G172" s="20" t="str">
        <f>IF(B172="","",Exposures!$D28&amp;"")</f>
        <v/>
      </c>
      <c r="H172" s="20" t="str">
        <f>IF(B172="","",Exposures!$AV28&amp;"")</f>
        <v/>
      </c>
      <c r="I172" s="20" t="str">
        <f>IF(B172="","",Exposures!$AY28&amp;"")</f>
        <v/>
      </c>
      <c r="J172" s="20" t="str">
        <f>IF(B172="","",Exposures!$BE28&amp;"")</f>
        <v/>
      </c>
      <c r="K172" s="20">
        <f>IF(B172="",0,Exposures!$BF28)</f>
        <v>0</v>
      </c>
      <c r="L172" s="20">
        <f>IF(B172="",0,Exposures!$BG28)</f>
        <v>0</v>
      </c>
      <c r="M172" s="20" t="str">
        <f>IF(B172="","",Exposures!$BJ28)</f>
        <v/>
      </c>
      <c r="N172" s="20" t="str">
        <f>IF(B172="","",Exposures!$BK28)</f>
        <v/>
      </c>
      <c r="O172" s="27" t="str">
        <f>IF(B172="","",Exposures!$BH28)</f>
        <v/>
      </c>
      <c r="P172" s="27" t="str">
        <f>IF(B172="","",Exposures!$BI28)</f>
        <v/>
      </c>
      <c r="Q172" s="20" t="str">
        <f t="shared" si="29"/>
        <v/>
      </c>
      <c r="R172" s="20" t="str">
        <f>IF(A172="","",IF(J172&lt;&gt;"",J172,IF(H172="TIMESTAMP",DAY(INT(M172/1440))&amp;" "&amp;INDEX(nLIST_Months,MONTH(INT(M172/1440)))&amp;" "&amp;YEAR(INT(M172/1440))&amp;" "&amp;RIGHT("0"&amp;INT(MOD(M172,1440)/60),2)&amp;":"&amp;RIGHT("0"&amp;MOD(M172,60),2)&amp;IF(L172=1," (UTC"&amp;I172&amp;")"," (offset unknown)"),IF(H172="DATE",DAY(O172)&amp;" "&amp;INDEX(nLIST_Months,MONTH(O172))&amp;" "&amp;YEAR(O172),IF(H172="MONTH",INDEX(nLIST_Months,MONTH(O172))&amp;" "&amp;YEAR(O172)&amp;" ("&amp;DAY(O172)&amp;" "&amp;INDEX(nLIST_Months,MONTH(O172))&amp;" "&amp;YEAR(O172)&amp;" to "&amp;DAY(P172)&amp;" "&amp;INDEX(nLIST_Months,MONTH(P172))&amp;" "&amp;YEAR(P172)&amp;")",IF(H172="YEAR",YEAR(O172)&amp;" (1 January to 31 December)",DAY(O172)&amp;" "&amp;INDEX(nLIST_Months,MONTH(O172))&amp;" "&amp;YEAR(O172)&amp;" to "&amp;DAY(P172)&amp;" "&amp;INDEX(nLIST_Months,MONTH(P172))&amp;" "&amp;YEAR(P172)&amp;IF(H172="LAB"," (laboratory-defined)","")))))))</f>
        <v/>
      </c>
      <c r="S172" s="20" t="str">
        <f>IF(B172="","",Exposures!$AU28&amp;"")</f>
        <v/>
      </c>
      <c r="T172" s="20" t="str">
        <f>IF(B172="","",Exposures!$BD28&amp;"")</f>
        <v/>
      </c>
      <c r="U172" s="20" t="str">
        <f>IF(B172="","","Exposures row "&amp;ROW(Exposures!$A28)&amp;", Restart")</f>
        <v/>
      </c>
      <c r="V172" s="20">
        <f>IF(A172="",0,COUNTIF(nTP_Key,A172))</f>
        <v>0</v>
      </c>
      <c r="W172" s="20">
        <f t="shared" si="30"/>
        <v>0</v>
      </c>
      <c r="X172" s="20">
        <f t="shared" si="31"/>
        <v>0</v>
      </c>
      <c r="Y172" s="20">
        <f t="shared" si="32"/>
        <v>0</v>
      </c>
      <c r="Z172" s="20">
        <f t="shared" si="33"/>
        <v>0</v>
      </c>
      <c r="AA172" s="20">
        <f t="shared" si="34"/>
        <v>168</v>
      </c>
      <c r="AB172" s="20" t="str">
        <f>""</f>
        <v/>
      </c>
      <c r="AC172" s="20" t="str">
        <f>IF(B172="","",Exposures!$F28&amp;"")</f>
        <v/>
      </c>
      <c r="AD172" s="20" t="str">
        <f>IF(B172="","",Exposures!$E28&amp;": Restart")</f>
        <v/>
      </c>
      <c r="AE172" s="20">
        <f t="shared" si="35"/>
        <v>0</v>
      </c>
      <c r="AF172" s="20" t="str">
        <f t="shared" si="36"/>
        <v/>
      </c>
      <c r="AG172" s="20">
        <f t="shared" si="37"/>
        <v>0</v>
      </c>
      <c r="AH172" s="20" t="str">
        <f>""</f>
        <v/>
      </c>
    </row>
    <row r="173" spans="1:34" x14ac:dyDescent="0.2">
      <c r="A173" s="20" t="str">
        <f t="shared" si="27"/>
        <v/>
      </c>
      <c r="B173" s="20" t="str">
        <f>IF(AND(Exposures!$D29&lt;&gt;"",COUNTA(Exposures!$AV29:$BC29)&gt;0),Exposures!$D29&amp;"/RESTART","")</f>
        <v/>
      </c>
      <c r="C173" s="20" t="str">
        <f t="shared" si="39"/>
        <v/>
      </c>
      <c r="D173" s="20" t="str">
        <f>IF(B173="","",Exposures!$A29&amp;"")</f>
        <v/>
      </c>
      <c r="E173" s="20" t="str">
        <f>IF(B173="","",Exposures!$B29&amp;"")</f>
        <v/>
      </c>
      <c r="F173" s="20" t="str">
        <f t="shared" si="28"/>
        <v/>
      </c>
      <c r="G173" s="20" t="str">
        <f>IF(B173="","",Exposures!$D29&amp;"")</f>
        <v/>
      </c>
      <c r="H173" s="20" t="str">
        <f>IF(B173="","",Exposures!$AV29&amp;"")</f>
        <v/>
      </c>
      <c r="I173" s="20" t="str">
        <f>IF(B173="","",Exposures!$AY29&amp;"")</f>
        <v/>
      </c>
      <c r="J173" s="20" t="str">
        <f>IF(B173="","",Exposures!$BE29&amp;"")</f>
        <v/>
      </c>
      <c r="K173" s="20">
        <f>IF(B173="",0,Exposures!$BF29)</f>
        <v>0</v>
      </c>
      <c r="L173" s="20">
        <f>IF(B173="",0,Exposures!$BG29)</f>
        <v>0</v>
      </c>
      <c r="M173" s="20" t="str">
        <f>IF(B173="","",Exposures!$BJ29)</f>
        <v/>
      </c>
      <c r="N173" s="20" t="str">
        <f>IF(B173="","",Exposures!$BK29)</f>
        <v/>
      </c>
      <c r="O173" s="27" t="str">
        <f>IF(B173="","",Exposures!$BH29)</f>
        <v/>
      </c>
      <c r="P173" s="27" t="str">
        <f>IF(B173="","",Exposures!$BI29)</f>
        <v/>
      </c>
      <c r="Q173" s="20" t="str">
        <f t="shared" si="29"/>
        <v/>
      </c>
      <c r="R173" s="20" t="str">
        <f>IF(A173="","",IF(J173&lt;&gt;"",J173,IF(H173="TIMESTAMP",DAY(INT(M173/1440))&amp;" "&amp;INDEX(nLIST_Months,MONTH(INT(M173/1440)))&amp;" "&amp;YEAR(INT(M173/1440))&amp;" "&amp;RIGHT("0"&amp;INT(MOD(M173,1440)/60),2)&amp;":"&amp;RIGHT("0"&amp;MOD(M173,60),2)&amp;IF(L173=1," (UTC"&amp;I173&amp;")"," (offset unknown)"),IF(H173="DATE",DAY(O173)&amp;" "&amp;INDEX(nLIST_Months,MONTH(O173))&amp;" "&amp;YEAR(O173),IF(H173="MONTH",INDEX(nLIST_Months,MONTH(O173))&amp;" "&amp;YEAR(O173)&amp;" ("&amp;DAY(O173)&amp;" "&amp;INDEX(nLIST_Months,MONTH(O173))&amp;" "&amp;YEAR(O173)&amp;" to "&amp;DAY(P173)&amp;" "&amp;INDEX(nLIST_Months,MONTH(P173))&amp;" "&amp;YEAR(P173)&amp;")",IF(H173="YEAR",YEAR(O173)&amp;" (1 January to 31 December)",DAY(O173)&amp;" "&amp;INDEX(nLIST_Months,MONTH(O173))&amp;" "&amp;YEAR(O173)&amp;" to "&amp;DAY(P173)&amp;" "&amp;INDEX(nLIST_Months,MONTH(P173))&amp;" "&amp;YEAR(P173)&amp;IF(H173="LAB"," (laboratory-defined)","")))))))</f>
        <v/>
      </c>
      <c r="S173" s="20" t="str">
        <f>IF(B173="","",Exposures!$AU29&amp;"")</f>
        <v/>
      </c>
      <c r="T173" s="20" t="str">
        <f>IF(B173="","",Exposures!$BD29&amp;"")</f>
        <v/>
      </c>
      <c r="U173" s="20" t="str">
        <f>IF(B173="","","Exposures row "&amp;ROW(Exposures!$A29)&amp;", Restart")</f>
        <v/>
      </c>
      <c r="V173" s="20">
        <f>IF(A173="",0,COUNTIF(nTP_Key,A173))</f>
        <v>0</v>
      </c>
      <c r="W173" s="20">
        <f t="shared" si="30"/>
        <v>0</v>
      </c>
      <c r="X173" s="20">
        <f t="shared" si="31"/>
        <v>0</v>
      </c>
      <c r="Y173" s="20">
        <f t="shared" si="32"/>
        <v>0</v>
      </c>
      <c r="Z173" s="20">
        <f t="shared" si="33"/>
        <v>0</v>
      </c>
      <c r="AA173" s="20">
        <f t="shared" si="34"/>
        <v>169</v>
      </c>
      <c r="AB173" s="20" t="str">
        <f>""</f>
        <v/>
      </c>
      <c r="AC173" s="20" t="str">
        <f>IF(B173="","",Exposures!$F29&amp;"")</f>
        <v/>
      </c>
      <c r="AD173" s="20" t="str">
        <f>IF(B173="","",Exposures!$E29&amp;": Restart")</f>
        <v/>
      </c>
      <c r="AE173" s="20">
        <f t="shared" si="35"/>
        <v>0</v>
      </c>
      <c r="AF173" s="20" t="str">
        <f t="shared" si="36"/>
        <v/>
      </c>
      <c r="AG173" s="20">
        <f t="shared" si="37"/>
        <v>0</v>
      </c>
      <c r="AH173" s="20" t="str">
        <f>""</f>
        <v/>
      </c>
    </row>
    <row r="174" spans="1:34" x14ac:dyDescent="0.2">
      <c r="A174" s="20" t="str">
        <f t="shared" si="27"/>
        <v/>
      </c>
      <c r="B174" s="20" t="str">
        <f>IF(AND(Exposures!$D30&lt;&gt;"",COUNTA(Exposures!$AV30:$BC30)&gt;0),Exposures!$D30&amp;"/RESTART","")</f>
        <v/>
      </c>
      <c r="C174" s="20" t="str">
        <f t="shared" si="39"/>
        <v/>
      </c>
      <c r="D174" s="20" t="str">
        <f>IF(B174="","",Exposures!$A30&amp;"")</f>
        <v/>
      </c>
      <c r="E174" s="20" t="str">
        <f>IF(B174="","",Exposures!$B30&amp;"")</f>
        <v/>
      </c>
      <c r="F174" s="20" t="str">
        <f t="shared" si="28"/>
        <v/>
      </c>
      <c r="G174" s="20" t="str">
        <f>IF(B174="","",Exposures!$D30&amp;"")</f>
        <v/>
      </c>
      <c r="H174" s="20" t="str">
        <f>IF(B174="","",Exposures!$AV30&amp;"")</f>
        <v/>
      </c>
      <c r="I174" s="20" t="str">
        <f>IF(B174="","",Exposures!$AY30&amp;"")</f>
        <v/>
      </c>
      <c r="J174" s="20" t="str">
        <f>IF(B174="","",Exposures!$BE30&amp;"")</f>
        <v/>
      </c>
      <c r="K174" s="20">
        <f>IF(B174="",0,Exposures!$BF30)</f>
        <v>0</v>
      </c>
      <c r="L174" s="20">
        <f>IF(B174="",0,Exposures!$BG30)</f>
        <v>0</v>
      </c>
      <c r="M174" s="20" t="str">
        <f>IF(B174="","",Exposures!$BJ30)</f>
        <v/>
      </c>
      <c r="N174" s="20" t="str">
        <f>IF(B174="","",Exposures!$BK30)</f>
        <v/>
      </c>
      <c r="O174" s="27" t="str">
        <f>IF(B174="","",Exposures!$BH30)</f>
        <v/>
      </c>
      <c r="P174" s="27" t="str">
        <f>IF(B174="","",Exposures!$BI30)</f>
        <v/>
      </c>
      <c r="Q174" s="20" t="str">
        <f t="shared" si="29"/>
        <v/>
      </c>
      <c r="R174" s="20" t="str">
        <f>IF(A174="","",IF(J174&lt;&gt;"",J174,IF(H174="TIMESTAMP",DAY(INT(M174/1440))&amp;" "&amp;INDEX(nLIST_Months,MONTH(INT(M174/1440)))&amp;" "&amp;YEAR(INT(M174/1440))&amp;" "&amp;RIGHT("0"&amp;INT(MOD(M174,1440)/60),2)&amp;":"&amp;RIGHT("0"&amp;MOD(M174,60),2)&amp;IF(L174=1," (UTC"&amp;I174&amp;")"," (offset unknown)"),IF(H174="DATE",DAY(O174)&amp;" "&amp;INDEX(nLIST_Months,MONTH(O174))&amp;" "&amp;YEAR(O174),IF(H174="MONTH",INDEX(nLIST_Months,MONTH(O174))&amp;" "&amp;YEAR(O174)&amp;" ("&amp;DAY(O174)&amp;" "&amp;INDEX(nLIST_Months,MONTH(O174))&amp;" "&amp;YEAR(O174)&amp;" to "&amp;DAY(P174)&amp;" "&amp;INDEX(nLIST_Months,MONTH(P174))&amp;" "&amp;YEAR(P174)&amp;")",IF(H174="YEAR",YEAR(O174)&amp;" (1 January to 31 December)",DAY(O174)&amp;" "&amp;INDEX(nLIST_Months,MONTH(O174))&amp;" "&amp;YEAR(O174)&amp;" to "&amp;DAY(P174)&amp;" "&amp;INDEX(nLIST_Months,MONTH(P174))&amp;" "&amp;YEAR(P174)&amp;IF(H174="LAB"," (laboratory-defined)","")))))))</f>
        <v/>
      </c>
      <c r="S174" s="20" t="str">
        <f>IF(B174="","",Exposures!$AU30&amp;"")</f>
        <v/>
      </c>
      <c r="T174" s="20" t="str">
        <f>IF(B174="","",Exposures!$BD30&amp;"")</f>
        <v/>
      </c>
      <c r="U174" s="20" t="str">
        <f>IF(B174="","","Exposures row "&amp;ROW(Exposures!$A30)&amp;", Restart")</f>
        <v/>
      </c>
      <c r="V174" s="20">
        <f>IF(A174="",0,COUNTIF(nTP_Key,A174))</f>
        <v>0</v>
      </c>
      <c r="W174" s="20">
        <f t="shared" si="30"/>
        <v>0</v>
      </c>
      <c r="X174" s="20">
        <f t="shared" si="31"/>
        <v>0</v>
      </c>
      <c r="Y174" s="20">
        <f t="shared" si="32"/>
        <v>0</v>
      </c>
      <c r="Z174" s="20">
        <f t="shared" si="33"/>
        <v>0</v>
      </c>
      <c r="AA174" s="20">
        <f t="shared" si="34"/>
        <v>170</v>
      </c>
      <c r="AB174" s="20" t="str">
        <f>""</f>
        <v/>
      </c>
      <c r="AC174" s="20" t="str">
        <f>IF(B174="","",Exposures!$F30&amp;"")</f>
        <v/>
      </c>
      <c r="AD174" s="20" t="str">
        <f>IF(B174="","",Exposures!$E30&amp;": Restart")</f>
        <v/>
      </c>
      <c r="AE174" s="20">
        <f t="shared" si="35"/>
        <v>0</v>
      </c>
      <c r="AF174" s="20" t="str">
        <f t="shared" si="36"/>
        <v/>
      </c>
      <c r="AG174" s="20">
        <f t="shared" si="37"/>
        <v>0</v>
      </c>
      <c r="AH174" s="20" t="str">
        <f>""</f>
        <v/>
      </c>
    </row>
    <row r="175" spans="1:34" x14ac:dyDescent="0.2">
      <c r="A175" s="20" t="str">
        <f t="shared" si="27"/>
        <v/>
      </c>
      <c r="B175" s="20" t="str">
        <f>IF(AND(Exposures!$D31&lt;&gt;"",COUNTA(Exposures!$AV31:$BC31)&gt;0),Exposures!$D31&amp;"/RESTART","")</f>
        <v/>
      </c>
      <c r="C175" s="20" t="str">
        <f t="shared" si="39"/>
        <v/>
      </c>
      <c r="D175" s="20" t="str">
        <f>IF(B175="","",Exposures!$A31&amp;"")</f>
        <v/>
      </c>
      <c r="E175" s="20" t="str">
        <f>IF(B175="","",Exposures!$B31&amp;"")</f>
        <v/>
      </c>
      <c r="F175" s="20" t="str">
        <f t="shared" si="28"/>
        <v/>
      </c>
      <c r="G175" s="20" t="str">
        <f>IF(B175="","",Exposures!$D31&amp;"")</f>
        <v/>
      </c>
      <c r="H175" s="20" t="str">
        <f>IF(B175="","",Exposures!$AV31&amp;"")</f>
        <v/>
      </c>
      <c r="I175" s="20" t="str">
        <f>IF(B175="","",Exposures!$AY31&amp;"")</f>
        <v/>
      </c>
      <c r="J175" s="20" t="str">
        <f>IF(B175="","",Exposures!$BE31&amp;"")</f>
        <v/>
      </c>
      <c r="K175" s="20">
        <f>IF(B175="",0,Exposures!$BF31)</f>
        <v>0</v>
      </c>
      <c r="L175" s="20">
        <f>IF(B175="",0,Exposures!$BG31)</f>
        <v>0</v>
      </c>
      <c r="M175" s="20" t="str">
        <f>IF(B175="","",Exposures!$BJ31)</f>
        <v/>
      </c>
      <c r="N175" s="20" t="str">
        <f>IF(B175="","",Exposures!$BK31)</f>
        <v/>
      </c>
      <c r="O175" s="27" t="str">
        <f>IF(B175="","",Exposures!$BH31)</f>
        <v/>
      </c>
      <c r="P175" s="27" t="str">
        <f>IF(B175="","",Exposures!$BI31)</f>
        <v/>
      </c>
      <c r="Q175" s="20" t="str">
        <f t="shared" si="29"/>
        <v/>
      </c>
      <c r="R175" s="20" t="str">
        <f>IF(A175="","",IF(J175&lt;&gt;"",J175,IF(H175="TIMESTAMP",DAY(INT(M175/1440))&amp;" "&amp;INDEX(nLIST_Months,MONTH(INT(M175/1440)))&amp;" "&amp;YEAR(INT(M175/1440))&amp;" "&amp;RIGHT("0"&amp;INT(MOD(M175,1440)/60),2)&amp;":"&amp;RIGHT("0"&amp;MOD(M175,60),2)&amp;IF(L175=1," (UTC"&amp;I175&amp;")"," (offset unknown)"),IF(H175="DATE",DAY(O175)&amp;" "&amp;INDEX(nLIST_Months,MONTH(O175))&amp;" "&amp;YEAR(O175),IF(H175="MONTH",INDEX(nLIST_Months,MONTH(O175))&amp;" "&amp;YEAR(O175)&amp;" ("&amp;DAY(O175)&amp;" "&amp;INDEX(nLIST_Months,MONTH(O175))&amp;" "&amp;YEAR(O175)&amp;" to "&amp;DAY(P175)&amp;" "&amp;INDEX(nLIST_Months,MONTH(P175))&amp;" "&amp;YEAR(P175)&amp;")",IF(H175="YEAR",YEAR(O175)&amp;" (1 January to 31 December)",DAY(O175)&amp;" "&amp;INDEX(nLIST_Months,MONTH(O175))&amp;" "&amp;YEAR(O175)&amp;" to "&amp;DAY(P175)&amp;" "&amp;INDEX(nLIST_Months,MONTH(P175))&amp;" "&amp;YEAR(P175)&amp;IF(H175="LAB"," (laboratory-defined)","")))))))</f>
        <v/>
      </c>
      <c r="S175" s="20" t="str">
        <f>IF(B175="","",Exposures!$AU31&amp;"")</f>
        <v/>
      </c>
      <c r="T175" s="20" t="str">
        <f>IF(B175="","",Exposures!$BD31&amp;"")</f>
        <v/>
      </c>
      <c r="U175" s="20" t="str">
        <f>IF(B175="","","Exposures row "&amp;ROW(Exposures!$A31)&amp;", Restart")</f>
        <v/>
      </c>
      <c r="V175" s="20">
        <f>IF(A175="",0,COUNTIF(nTP_Key,A175))</f>
        <v>0</v>
      </c>
      <c r="W175" s="20">
        <f t="shared" si="30"/>
        <v>0</v>
      </c>
      <c r="X175" s="20">
        <f t="shared" si="31"/>
        <v>0</v>
      </c>
      <c r="Y175" s="20">
        <f t="shared" si="32"/>
        <v>0</v>
      </c>
      <c r="Z175" s="20">
        <f t="shared" si="33"/>
        <v>0</v>
      </c>
      <c r="AA175" s="20">
        <f t="shared" si="34"/>
        <v>171</v>
      </c>
      <c r="AB175" s="20" t="str">
        <f>""</f>
        <v/>
      </c>
      <c r="AC175" s="20" t="str">
        <f>IF(B175="","",Exposures!$F31&amp;"")</f>
        <v/>
      </c>
      <c r="AD175" s="20" t="str">
        <f>IF(B175="","",Exposures!$E31&amp;": Restart")</f>
        <v/>
      </c>
      <c r="AE175" s="20">
        <f t="shared" si="35"/>
        <v>0</v>
      </c>
      <c r="AF175" s="20" t="str">
        <f t="shared" si="36"/>
        <v/>
      </c>
      <c r="AG175" s="20">
        <f t="shared" si="37"/>
        <v>0</v>
      </c>
      <c r="AH175" s="20" t="str">
        <f>""</f>
        <v/>
      </c>
    </row>
    <row r="176" spans="1:34" x14ac:dyDescent="0.2">
      <c r="A176" s="20" t="str">
        <f t="shared" si="27"/>
        <v/>
      </c>
      <c r="B176" s="20" t="str">
        <f>IF(AND(Exposures!$D32&lt;&gt;"",COUNTA(Exposures!$AV32:$BC32)&gt;0),Exposures!$D32&amp;"/RESTART","")</f>
        <v/>
      </c>
      <c r="C176" s="20" t="str">
        <f t="shared" si="39"/>
        <v/>
      </c>
      <c r="D176" s="20" t="str">
        <f>IF(B176="","",Exposures!$A32&amp;"")</f>
        <v/>
      </c>
      <c r="E176" s="20" t="str">
        <f>IF(B176="","",Exposures!$B32&amp;"")</f>
        <v/>
      </c>
      <c r="F176" s="20" t="str">
        <f t="shared" si="28"/>
        <v/>
      </c>
      <c r="G176" s="20" t="str">
        <f>IF(B176="","",Exposures!$D32&amp;"")</f>
        <v/>
      </c>
      <c r="H176" s="20" t="str">
        <f>IF(B176="","",Exposures!$AV32&amp;"")</f>
        <v/>
      </c>
      <c r="I176" s="20" t="str">
        <f>IF(B176="","",Exposures!$AY32&amp;"")</f>
        <v/>
      </c>
      <c r="J176" s="20" t="str">
        <f>IF(B176="","",Exposures!$BE32&amp;"")</f>
        <v/>
      </c>
      <c r="K176" s="20">
        <f>IF(B176="",0,Exposures!$BF32)</f>
        <v>0</v>
      </c>
      <c r="L176" s="20">
        <f>IF(B176="",0,Exposures!$BG32)</f>
        <v>0</v>
      </c>
      <c r="M176" s="20" t="str">
        <f>IF(B176="","",Exposures!$BJ32)</f>
        <v/>
      </c>
      <c r="N176" s="20" t="str">
        <f>IF(B176="","",Exposures!$BK32)</f>
        <v/>
      </c>
      <c r="O176" s="27" t="str">
        <f>IF(B176="","",Exposures!$BH32)</f>
        <v/>
      </c>
      <c r="P176" s="27" t="str">
        <f>IF(B176="","",Exposures!$BI32)</f>
        <v/>
      </c>
      <c r="Q176" s="20" t="str">
        <f t="shared" si="29"/>
        <v/>
      </c>
      <c r="R176" s="20" t="str">
        <f>IF(A176="","",IF(J176&lt;&gt;"",J176,IF(H176="TIMESTAMP",DAY(INT(M176/1440))&amp;" "&amp;INDEX(nLIST_Months,MONTH(INT(M176/1440)))&amp;" "&amp;YEAR(INT(M176/1440))&amp;" "&amp;RIGHT("0"&amp;INT(MOD(M176,1440)/60),2)&amp;":"&amp;RIGHT("0"&amp;MOD(M176,60),2)&amp;IF(L176=1," (UTC"&amp;I176&amp;")"," (offset unknown)"),IF(H176="DATE",DAY(O176)&amp;" "&amp;INDEX(nLIST_Months,MONTH(O176))&amp;" "&amp;YEAR(O176),IF(H176="MONTH",INDEX(nLIST_Months,MONTH(O176))&amp;" "&amp;YEAR(O176)&amp;" ("&amp;DAY(O176)&amp;" "&amp;INDEX(nLIST_Months,MONTH(O176))&amp;" "&amp;YEAR(O176)&amp;" to "&amp;DAY(P176)&amp;" "&amp;INDEX(nLIST_Months,MONTH(P176))&amp;" "&amp;YEAR(P176)&amp;")",IF(H176="YEAR",YEAR(O176)&amp;" (1 January to 31 December)",DAY(O176)&amp;" "&amp;INDEX(nLIST_Months,MONTH(O176))&amp;" "&amp;YEAR(O176)&amp;" to "&amp;DAY(P176)&amp;" "&amp;INDEX(nLIST_Months,MONTH(P176))&amp;" "&amp;YEAR(P176)&amp;IF(H176="LAB"," (laboratory-defined)","")))))))</f>
        <v/>
      </c>
      <c r="S176" s="20" t="str">
        <f>IF(B176="","",Exposures!$AU32&amp;"")</f>
        <v/>
      </c>
      <c r="T176" s="20" t="str">
        <f>IF(B176="","",Exposures!$BD32&amp;"")</f>
        <v/>
      </c>
      <c r="U176" s="20" t="str">
        <f>IF(B176="","","Exposures row "&amp;ROW(Exposures!$A32)&amp;", Restart")</f>
        <v/>
      </c>
      <c r="V176" s="20">
        <f>IF(A176="",0,COUNTIF(nTP_Key,A176))</f>
        <v>0</v>
      </c>
      <c r="W176" s="20">
        <f t="shared" si="30"/>
        <v>0</v>
      </c>
      <c r="X176" s="20">
        <f t="shared" si="31"/>
        <v>0</v>
      </c>
      <c r="Y176" s="20">
        <f t="shared" si="32"/>
        <v>0</v>
      </c>
      <c r="Z176" s="20">
        <f t="shared" si="33"/>
        <v>0</v>
      </c>
      <c r="AA176" s="20">
        <f t="shared" si="34"/>
        <v>172</v>
      </c>
      <c r="AB176" s="20" t="str">
        <f>""</f>
        <v/>
      </c>
      <c r="AC176" s="20" t="str">
        <f>IF(B176="","",Exposures!$F32&amp;"")</f>
        <v/>
      </c>
      <c r="AD176" s="20" t="str">
        <f>IF(B176="","",Exposures!$E32&amp;": Restart")</f>
        <v/>
      </c>
      <c r="AE176" s="20">
        <f t="shared" si="35"/>
        <v>0</v>
      </c>
      <c r="AF176" s="20" t="str">
        <f t="shared" si="36"/>
        <v/>
      </c>
      <c r="AG176" s="20">
        <f t="shared" si="37"/>
        <v>0</v>
      </c>
      <c r="AH176" s="20" t="str">
        <f>""</f>
        <v/>
      </c>
    </row>
    <row r="177" spans="1:34" x14ac:dyDescent="0.2">
      <c r="A177" s="20" t="str">
        <f t="shared" si="27"/>
        <v/>
      </c>
      <c r="B177" s="20" t="str">
        <f>IF(AND(Exposures!$D33&lt;&gt;"",COUNTA(Exposures!$AV33:$BC33)&gt;0),Exposures!$D33&amp;"/RESTART","")</f>
        <v/>
      </c>
      <c r="C177" s="20" t="str">
        <f t="shared" si="39"/>
        <v/>
      </c>
      <c r="D177" s="20" t="str">
        <f>IF(B177="","",Exposures!$A33&amp;"")</f>
        <v/>
      </c>
      <c r="E177" s="20" t="str">
        <f>IF(B177="","",Exposures!$B33&amp;"")</f>
        <v/>
      </c>
      <c r="F177" s="20" t="str">
        <f t="shared" si="28"/>
        <v/>
      </c>
      <c r="G177" s="20" t="str">
        <f>IF(B177="","",Exposures!$D33&amp;"")</f>
        <v/>
      </c>
      <c r="H177" s="20" t="str">
        <f>IF(B177="","",Exposures!$AV33&amp;"")</f>
        <v/>
      </c>
      <c r="I177" s="20" t="str">
        <f>IF(B177="","",Exposures!$AY33&amp;"")</f>
        <v/>
      </c>
      <c r="J177" s="20" t="str">
        <f>IF(B177="","",Exposures!$BE33&amp;"")</f>
        <v/>
      </c>
      <c r="K177" s="20">
        <f>IF(B177="",0,Exposures!$BF33)</f>
        <v>0</v>
      </c>
      <c r="L177" s="20">
        <f>IF(B177="",0,Exposures!$BG33)</f>
        <v>0</v>
      </c>
      <c r="M177" s="20" t="str">
        <f>IF(B177="","",Exposures!$BJ33)</f>
        <v/>
      </c>
      <c r="N177" s="20" t="str">
        <f>IF(B177="","",Exposures!$BK33)</f>
        <v/>
      </c>
      <c r="O177" s="27" t="str">
        <f>IF(B177="","",Exposures!$BH33)</f>
        <v/>
      </c>
      <c r="P177" s="27" t="str">
        <f>IF(B177="","",Exposures!$BI33)</f>
        <v/>
      </c>
      <c r="Q177" s="20" t="str">
        <f t="shared" si="29"/>
        <v/>
      </c>
      <c r="R177" s="20" t="str">
        <f>IF(A177="","",IF(J177&lt;&gt;"",J177,IF(H177="TIMESTAMP",DAY(INT(M177/1440))&amp;" "&amp;INDEX(nLIST_Months,MONTH(INT(M177/1440)))&amp;" "&amp;YEAR(INT(M177/1440))&amp;" "&amp;RIGHT("0"&amp;INT(MOD(M177,1440)/60),2)&amp;":"&amp;RIGHT("0"&amp;MOD(M177,60),2)&amp;IF(L177=1," (UTC"&amp;I177&amp;")"," (offset unknown)"),IF(H177="DATE",DAY(O177)&amp;" "&amp;INDEX(nLIST_Months,MONTH(O177))&amp;" "&amp;YEAR(O177),IF(H177="MONTH",INDEX(nLIST_Months,MONTH(O177))&amp;" "&amp;YEAR(O177)&amp;" ("&amp;DAY(O177)&amp;" "&amp;INDEX(nLIST_Months,MONTH(O177))&amp;" "&amp;YEAR(O177)&amp;" to "&amp;DAY(P177)&amp;" "&amp;INDEX(nLIST_Months,MONTH(P177))&amp;" "&amp;YEAR(P177)&amp;")",IF(H177="YEAR",YEAR(O177)&amp;" (1 January to 31 December)",DAY(O177)&amp;" "&amp;INDEX(nLIST_Months,MONTH(O177))&amp;" "&amp;YEAR(O177)&amp;" to "&amp;DAY(P177)&amp;" "&amp;INDEX(nLIST_Months,MONTH(P177))&amp;" "&amp;YEAR(P177)&amp;IF(H177="LAB"," (laboratory-defined)","")))))))</f>
        <v/>
      </c>
      <c r="S177" s="20" t="str">
        <f>IF(B177="","",Exposures!$AU33&amp;"")</f>
        <v/>
      </c>
      <c r="T177" s="20" t="str">
        <f>IF(B177="","",Exposures!$BD33&amp;"")</f>
        <v/>
      </c>
      <c r="U177" s="20" t="str">
        <f>IF(B177="","","Exposures row "&amp;ROW(Exposures!$A33)&amp;", Restart")</f>
        <v/>
      </c>
      <c r="V177" s="20">
        <f>IF(A177="",0,COUNTIF(nTP_Key,A177))</f>
        <v>0</v>
      </c>
      <c r="W177" s="20">
        <f t="shared" si="30"/>
        <v>0</v>
      </c>
      <c r="X177" s="20">
        <f t="shared" si="31"/>
        <v>0</v>
      </c>
      <c r="Y177" s="20">
        <f t="shared" si="32"/>
        <v>0</v>
      </c>
      <c r="Z177" s="20">
        <f t="shared" si="33"/>
        <v>0</v>
      </c>
      <c r="AA177" s="20">
        <f t="shared" si="34"/>
        <v>173</v>
      </c>
      <c r="AB177" s="20" t="str">
        <f>""</f>
        <v/>
      </c>
      <c r="AC177" s="20" t="str">
        <f>IF(B177="","",Exposures!$F33&amp;"")</f>
        <v/>
      </c>
      <c r="AD177" s="20" t="str">
        <f>IF(B177="","",Exposures!$E33&amp;": Restart")</f>
        <v/>
      </c>
      <c r="AE177" s="20">
        <f t="shared" si="35"/>
        <v>0</v>
      </c>
      <c r="AF177" s="20" t="str">
        <f t="shared" si="36"/>
        <v/>
      </c>
      <c r="AG177" s="20">
        <f t="shared" si="37"/>
        <v>0</v>
      </c>
      <c r="AH177" s="20" t="str">
        <f>""</f>
        <v/>
      </c>
    </row>
    <row r="178" spans="1:34" x14ac:dyDescent="0.2">
      <c r="A178" s="20" t="str">
        <f t="shared" si="27"/>
        <v/>
      </c>
      <c r="B178" s="20" t="str">
        <f>IF(AND(Exposures!$D34&lt;&gt;"",COUNTA(Exposures!$AV34:$BC34)&gt;0),Exposures!$D34&amp;"/RESTART","")</f>
        <v/>
      </c>
      <c r="C178" s="20" t="str">
        <f t="shared" si="39"/>
        <v/>
      </c>
      <c r="D178" s="20" t="str">
        <f>IF(B178="","",Exposures!$A34&amp;"")</f>
        <v/>
      </c>
      <c r="E178" s="20" t="str">
        <f>IF(B178="","",Exposures!$B34&amp;"")</f>
        <v/>
      </c>
      <c r="F178" s="20" t="str">
        <f t="shared" si="28"/>
        <v/>
      </c>
      <c r="G178" s="20" t="str">
        <f>IF(B178="","",Exposures!$D34&amp;"")</f>
        <v/>
      </c>
      <c r="H178" s="20" t="str">
        <f>IF(B178="","",Exposures!$AV34&amp;"")</f>
        <v/>
      </c>
      <c r="I178" s="20" t="str">
        <f>IF(B178="","",Exposures!$AY34&amp;"")</f>
        <v/>
      </c>
      <c r="J178" s="20" t="str">
        <f>IF(B178="","",Exposures!$BE34&amp;"")</f>
        <v/>
      </c>
      <c r="K178" s="20">
        <f>IF(B178="",0,Exposures!$BF34)</f>
        <v>0</v>
      </c>
      <c r="L178" s="20">
        <f>IF(B178="",0,Exposures!$BG34)</f>
        <v>0</v>
      </c>
      <c r="M178" s="20" t="str">
        <f>IF(B178="","",Exposures!$BJ34)</f>
        <v/>
      </c>
      <c r="N178" s="20" t="str">
        <f>IF(B178="","",Exposures!$BK34)</f>
        <v/>
      </c>
      <c r="O178" s="27" t="str">
        <f>IF(B178="","",Exposures!$BH34)</f>
        <v/>
      </c>
      <c r="P178" s="27" t="str">
        <f>IF(B178="","",Exposures!$BI34)</f>
        <v/>
      </c>
      <c r="Q178" s="20" t="str">
        <f t="shared" si="29"/>
        <v/>
      </c>
      <c r="R178" s="20" t="str">
        <f>IF(A178="","",IF(J178&lt;&gt;"",J178,IF(H178="TIMESTAMP",DAY(INT(M178/1440))&amp;" "&amp;INDEX(nLIST_Months,MONTH(INT(M178/1440)))&amp;" "&amp;YEAR(INT(M178/1440))&amp;" "&amp;RIGHT("0"&amp;INT(MOD(M178,1440)/60),2)&amp;":"&amp;RIGHT("0"&amp;MOD(M178,60),2)&amp;IF(L178=1," (UTC"&amp;I178&amp;")"," (offset unknown)"),IF(H178="DATE",DAY(O178)&amp;" "&amp;INDEX(nLIST_Months,MONTH(O178))&amp;" "&amp;YEAR(O178),IF(H178="MONTH",INDEX(nLIST_Months,MONTH(O178))&amp;" "&amp;YEAR(O178)&amp;" ("&amp;DAY(O178)&amp;" "&amp;INDEX(nLIST_Months,MONTH(O178))&amp;" "&amp;YEAR(O178)&amp;" to "&amp;DAY(P178)&amp;" "&amp;INDEX(nLIST_Months,MONTH(P178))&amp;" "&amp;YEAR(P178)&amp;")",IF(H178="YEAR",YEAR(O178)&amp;" (1 January to 31 December)",DAY(O178)&amp;" "&amp;INDEX(nLIST_Months,MONTH(O178))&amp;" "&amp;YEAR(O178)&amp;" to "&amp;DAY(P178)&amp;" "&amp;INDEX(nLIST_Months,MONTH(P178))&amp;" "&amp;YEAR(P178)&amp;IF(H178="LAB"," (laboratory-defined)","")))))))</f>
        <v/>
      </c>
      <c r="S178" s="20" t="str">
        <f>IF(B178="","",Exposures!$AU34&amp;"")</f>
        <v/>
      </c>
      <c r="T178" s="20" t="str">
        <f>IF(B178="","",Exposures!$BD34&amp;"")</f>
        <v/>
      </c>
      <c r="U178" s="20" t="str">
        <f>IF(B178="","","Exposures row "&amp;ROW(Exposures!$A34)&amp;", Restart")</f>
        <v/>
      </c>
      <c r="V178" s="20">
        <f>IF(A178="",0,COUNTIF(nTP_Key,A178))</f>
        <v>0</v>
      </c>
      <c r="W178" s="20">
        <f t="shared" si="30"/>
        <v>0</v>
      </c>
      <c r="X178" s="20">
        <f t="shared" si="31"/>
        <v>0</v>
      </c>
      <c r="Y178" s="20">
        <f t="shared" si="32"/>
        <v>0</v>
      </c>
      <c r="Z178" s="20">
        <f t="shared" si="33"/>
        <v>0</v>
      </c>
      <c r="AA178" s="20">
        <f t="shared" si="34"/>
        <v>174</v>
      </c>
      <c r="AB178" s="20" t="str">
        <f>""</f>
        <v/>
      </c>
      <c r="AC178" s="20" t="str">
        <f>IF(B178="","",Exposures!$F34&amp;"")</f>
        <v/>
      </c>
      <c r="AD178" s="20" t="str">
        <f>IF(B178="","",Exposures!$E34&amp;": Restart")</f>
        <v/>
      </c>
      <c r="AE178" s="20">
        <f t="shared" si="35"/>
        <v>0</v>
      </c>
      <c r="AF178" s="20" t="str">
        <f t="shared" si="36"/>
        <v/>
      </c>
      <c r="AG178" s="20">
        <f t="shared" si="37"/>
        <v>0</v>
      </c>
      <c r="AH178" s="20" t="str">
        <f>""</f>
        <v/>
      </c>
    </row>
    <row r="179" spans="1:34" x14ac:dyDescent="0.2">
      <c r="A179" s="20" t="str">
        <f t="shared" si="27"/>
        <v/>
      </c>
      <c r="B179" s="20" t="str">
        <f>IF(AND(Exposures!$D35&lt;&gt;"",COUNTA(Exposures!$AV35:$BC35)&gt;0),Exposures!$D35&amp;"/RESTART","")</f>
        <v/>
      </c>
      <c r="C179" s="20" t="str">
        <f t="shared" si="39"/>
        <v/>
      </c>
      <c r="D179" s="20" t="str">
        <f>IF(B179="","",Exposures!$A35&amp;"")</f>
        <v/>
      </c>
      <c r="E179" s="20" t="str">
        <f>IF(B179="","",Exposures!$B35&amp;"")</f>
        <v/>
      </c>
      <c r="F179" s="20" t="str">
        <f t="shared" si="28"/>
        <v/>
      </c>
      <c r="G179" s="20" t="str">
        <f>IF(B179="","",Exposures!$D35&amp;"")</f>
        <v/>
      </c>
      <c r="H179" s="20" t="str">
        <f>IF(B179="","",Exposures!$AV35&amp;"")</f>
        <v/>
      </c>
      <c r="I179" s="20" t="str">
        <f>IF(B179="","",Exposures!$AY35&amp;"")</f>
        <v/>
      </c>
      <c r="J179" s="20" t="str">
        <f>IF(B179="","",Exposures!$BE35&amp;"")</f>
        <v/>
      </c>
      <c r="K179" s="20">
        <f>IF(B179="",0,Exposures!$BF35)</f>
        <v>0</v>
      </c>
      <c r="L179" s="20">
        <f>IF(B179="",0,Exposures!$BG35)</f>
        <v>0</v>
      </c>
      <c r="M179" s="20" t="str">
        <f>IF(B179="","",Exposures!$BJ35)</f>
        <v/>
      </c>
      <c r="N179" s="20" t="str">
        <f>IF(B179="","",Exposures!$BK35)</f>
        <v/>
      </c>
      <c r="O179" s="27" t="str">
        <f>IF(B179="","",Exposures!$BH35)</f>
        <v/>
      </c>
      <c r="P179" s="27" t="str">
        <f>IF(B179="","",Exposures!$BI35)</f>
        <v/>
      </c>
      <c r="Q179" s="20" t="str">
        <f t="shared" si="29"/>
        <v/>
      </c>
      <c r="R179" s="20" t="str">
        <f>IF(A179="","",IF(J179&lt;&gt;"",J179,IF(H179="TIMESTAMP",DAY(INT(M179/1440))&amp;" "&amp;INDEX(nLIST_Months,MONTH(INT(M179/1440)))&amp;" "&amp;YEAR(INT(M179/1440))&amp;" "&amp;RIGHT("0"&amp;INT(MOD(M179,1440)/60),2)&amp;":"&amp;RIGHT("0"&amp;MOD(M179,60),2)&amp;IF(L179=1," (UTC"&amp;I179&amp;")"," (offset unknown)"),IF(H179="DATE",DAY(O179)&amp;" "&amp;INDEX(nLIST_Months,MONTH(O179))&amp;" "&amp;YEAR(O179),IF(H179="MONTH",INDEX(nLIST_Months,MONTH(O179))&amp;" "&amp;YEAR(O179)&amp;" ("&amp;DAY(O179)&amp;" "&amp;INDEX(nLIST_Months,MONTH(O179))&amp;" "&amp;YEAR(O179)&amp;" to "&amp;DAY(P179)&amp;" "&amp;INDEX(nLIST_Months,MONTH(P179))&amp;" "&amp;YEAR(P179)&amp;")",IF(H179="YEAR",YEAR(O179)&amp;" (1 January to 31 December)",DAY(O179)&amp;" "&amp;INDEX(nLIST_Months,MONTH(O179))&amp;" "&amp;YEAR(O179)&amp;" to "&amp;DAY(P179)&amp;" "&amp;INDEX(nLIST_Months,MONTH(P179))&amp;" "&amp;YEAR(P179)&amp;IF(H179="LAB"," (laboratory-defined)","")))))))</f>
        <v/>
      </c>
      <c r="S179" s="20" t="str">
        <f>IF(B179="","",Exposures!$AU35&amp;"")</f>
        <v/>
      </c>
      <c r="T179" s="20" t="str">
        <f>IF(B179="","",Exposures!$BD35&amp;"")</f>
        <v/>
      </c>
      <c r="U179" s="20" t="str">
        <f>IF(B179="","","Exposures row "&amp;ROW(Exposures!$A35)&amp;", Restart")</f>
        <v/>
      </c>
      <c r="V179" s="20">
        <f>IF(A179="",0,COUNTIF(nTP_Key,A179))</f>
        <v>0</v>
      </c>
      <c r="W179" s="20">
        <f t="shared" si="30"/>
        <v>0</v>
      </c>
      <c r="X179" s="20">
        <f t="shared" si="31"/>
        <v>0</v>
      </c>
      <c r="Y179" s="20">
        <f t="shared" si="32"/>
        <v>0</v>
      </c>
      <c r="Z179" s="20">
        <f t="shared" si="33"/>
        <v>0</v>
      </c>
      <c r="AA179" s="20">
        <f t="shared" si="34"/>
        <v>175</v>
      </c>
      <c r="AB179" s="20" t="str">
        <f>""</f>
        <v/>
      </c>
      <c r="AC179" s="20" t="str">
        <f>IF(B179="","",Exposures!$F35&amp;"")</f>
        <v/>
      </c>
      <c r="AD179" s="20" t="str">
        <f>IF(B179="","",Exposures!$E35&amp;": Restart")</f>
        <v/>
      </c>
      <c r="AE179" s="20">
        <f t="shared" si="35"/>
        <v>0</v>
      </c>
      <c r="AF179" s="20" t="str">
        <f t="shared" si="36"/>
        <v/>
      </c>
      <c r="AG179" s="20">
        <f t="shared" si="37"/>
        <v>0</v>
      </c>
      <c r="AH179" s="20" t="str">
        <f>""</f>
        <v/>
      </c>
    </row>
    <row r="180" spans="1:34" x14ac:dyDescent="0.2">
      <c r="A180" s="20" t="str">
        <f t="shared" si="27"/>
        <v/>
      </c>
      <c r="B180" s="20" t="str">
        <f>IF(AND(Exposures!$D36&lt;&gt;"",COUNTA(Exposures!$AV36:$BC36)&gt;0),Exposures!$D36&amp;"/RESTART","")</f>
        <v/>
      </c>
      <c r="C180" s="20" t="str">
        <f t="shared" si="39"/>
        <v/>
      </c>
      <c r="D180" s="20" t="str">
        <f>IF(B180="","",Exposures!$A36&amp;"")</f>
        <v/>
      </c>
      <c r="E180" s="20" t="str">
        <f>IF(B180="","",Exposures!$B36&amp;"")</f>
        <v/>
      </c>
      <c r="F180" s="20" t="str">
        <f t="shared" si="28"/>
        <v/>
      </c>
      <c r="G180" s="20" t="str">
        <f>IF(B180="","",Exposures!$D36&amp;"")</f>
        <v/>
      </c>
      <c r="H180" s="20" t="str">
        <f>IF(B180="","",Exposures!$AV36&amp;"")</f>
        <v/>
      </c>
      <c r="I180" s="20" t="str">
        <f>IF(B180="","",Exposures!$AY36&amp;"")</f>
        <v/>
      </c>
      <c r="J180" s="20" t="str">
        <f>IF(B180="","",Exposures!$BE36&amp;"")</f>
        <v/>
      </c>
      <c r="K180" s="20">
        <f>IF(B180="",0,Exposures!$BF36)</f>
        <v>0</v>
      </c>
      <c r="L180" s="20">
        <f>IF(B180="",0,Exposures!$BG36)</f>
        <v>0</v>
      </c>
      <c r="M180" s="20" t="str">
        <f>IF(B180="","",Exposures!$BJ36)</f>
        <v/>
      </c>
      <c r="N180" s="20" t="str">
        <f>IF(B180="","",Exposures!$BK36)</f>
        <v/>
      </c>
      <c r="O180" s="27" t="str">
        <f>IF(B180="","",Exposures!$BH36)</f>
        <v/>
      </c>
      <c r="P180" s="27" t="str">
        <f>IF(B180="","",Exposures!$BI36)</f>
        <v/>
      </c>
      <c r="Q180" s="20" t="str">
        <f t="shared" si="29"/>
        <v/>
      </c>
      <c r="R180" s="20" t="str">
        <f>IF(A180="","",IF(J180&lt;&gt;"",J180,IF(H180="TIMESTAMP",DAY(INT(M180/1440))&amp;" "&amp;INDEX(nLIST_Months,MONTH(INT(M180/1440)))&amp;" "&amp;YEAR(INT(M180/1440))&amp;" "&amp;RIGHT("0"&amp;INT(MOD(M180,1440)/60),2)&amp;":"&amp;RIGHT("0"&amp;MOD(M180,60),2)&amp;IF(L180=1," (UTC"&amp;I180&amp;")"," (offset unknown)"),IF(H180="DATE",DAY(O180)&amp;" "&amp;INDEX(nLIST_Months,MONTH(O180))&amp;" "&amp;YEAR(O180),IF(H180="MONTH",INDEX(nLIST_Months,MONTH(O180))&amp;" "&amp;YEAR(O180)&amp;" ("&amp;DAY(O180)&amp;" "&amp;INDEX(nLIST_Months,MONTH(O180))&amp;" "&amp;YEAR(O180)&amp;" to "&amp;DAY(P180)&amp;" "&amp;INDEX(nLIST_Months,MONTH(P180))&amp;" "&amp;YEAR(P180)&amp;")",IF(H180="YEAR",YEAR(O180)&amp;" (1 January to 31 December)",DAY(O180)&amp;" "&amp;INDEX(nLIST_Months,MONTH(O180))&amp;" "&amp;YEAR(O180)&amp;" to "&amp;DAY(P180)&amp;" "&amp;INDEX(nLIST_Months,MONTH(P180))&amp;" "&amp;YEAR(P180)&amp;IF(H180="LAB"," (laboratory-defined)","")))))))</f>
        <v/>
      </c>
      <c r="S180" s="20" t="str">
        <f>IF(B180="","",Exposures!$AU36&amp;"")</f>
        <v/>
      </c>
      <c r="T180" s="20" t="str">
        <f>IF(B180="","",Exposures!$BD36&amp;"")</f>
        <v/>
      </c>
      <c r="U180" s="20" t="str">
        <f>IF(B180="","","Exposures row "&amp;ROW(Exposures!$A36)&amp;", Restart")</f>
        <v/>
      </c>
      <c r="V180" s="20">
        <f>IF(A180="",0,COUNTIF(nTP_Key,A180))</f>
        <v>0</v>
      </c>
      <c r="W180" s="20">
        <f t="shared" si="30"/>
        <v>0</v>
      </c>
      <c r="X180" s="20">
        <f t="shared" si="31"/>
        <v>0</v>
      </c>
      <c r="Y180" s="20">
        <f t="shared" si="32"/>
        <v>0</v>
      </c>
      <c r="Z180" s="20">
        <f t="shared" si="33"/>
        <v>0</v>
      </c>
      <c r="AA180" s="20">
        <f t="shared" si="34"/>
        <v>176</v>
      </c>
      <c r="AB180" s="20" t="str">
        <f>""</f>
        <v/>
      </c>
      <c r="AC180" s="20" t="str">
        <f>IF(B180="","",Exposures!$F36&amp;"")</f>
        <v/>
      </c>
      <c r="AD180" s="20" t="str">
        <f>IF(B180="","",Exposures!$E36&amp;": Restart")</f>
        <v/>
      </c>
      <c r="AE180" s="20">
        <f t="shared" si="35"/>
        <v>0</v>
      </c>
      <c r="AF180" s="20" t="str">
        <f t="shared" si="36"/>
        <v/>
      </c>
      <c r="AG180" s="20">
        <f t="shared" si="37"/>
        <v>0</v>
      </c>
      <c r="AH180" s="20" t="str">
        <f>""</f>
        <v/>
      </c>
    </row>
    <row r="181" spans="1:34" x14ac:dyDescent="0.2">
      <c r="A181" s="20" t="str">
        <f t="shared" si="27"/>
        <v/>
      </c>
      <c r="B181" s="20" t="str">
        <f>IF(AND(Exposures!$D37&lt;&gt;"",COUNTA(Exposures!$AV37:$BC37)&gt;0),Exposures!$D37&amp;"/RESTART","")</f>
        <v/>
      </c>
      <c r="C181" s="20" t="str">
        <f t="shared" ref="C181:C212" si="40">IF(B181="","","EXPOSURE_RESTART")</f>
        <v/>
      </c>
      <c r="D181" s="20" t="str">
        <f>IF(B181="","",Exposures!$A37&amp;"")</f>
        <v/>
      </c>
      <c r="E181" s="20" t="str">
        <f>IF(B181="","",Exposures!$B37&amp;"")</f>
        <v/>
      </c>
      <c r="F181" s="20" t="str">
        <f t="shared" si="28"/>
        <v/>
      </c>
      <c r="G181" s="20" t="str">
        <f>IF(B181="","",Exposures!$D37&amp;"")</f>
        <v/>
      </c>
      <c r="H181" s="20" t="str">
        <f>IF(B181="","",Exposures!$AV37&amp;"")</f>
        <v/>
      </c>
      <c r="I181" s="20" t="str">
        <f>IF(B181="","",Exposures!$AY37&amp;"")</f>
        <v/>
      </c>
      <c r="J181" s="20" t="str">
        <f>IF(B181="","",Exposures!$BE37&amp;"")</f>
        <v/>
      </c>
      <c r="K181" s="20">
        <f>IF(B181="",0,Exposures!$BF37)</f>
        <v>0</v>
      </c>
      <c r="L181" s="20">
        <f>IF(B181="",0,Exposures!$BG37)</f>
        <v>0</v>
      </c>
      <c r="M181" s="20" t="str">
        <f>IF(B181="","",Exposures!$BJ37)</f>
        <v/>
      </c>
      <c r="N181" s="20" t="str">
        <f>IF(B181="","",Exposures!$BK37)</f>
        <v/>
      </c>
      <c r="O181" s="27" t="str">
        <f>IF(B181="","",Exposures!$BH37)</f>
        <v/>
      </c>
      <c r="P181" s="27" t="str">
        <f>IF(B181="","",Exposures!$BI37)</f>
        <v/>
      </c>
      <c r="Q181" s="20" t="str">
        <f t="shared" si="29"/>
        <v/>
      </c>
      <c r="R181" s="20" t="str">
        <f>IF(A181="","",IF(J181&lt;&gt;"",J181,IF(H181="TIMESTAMP",DAY(INT(M181/1440))&amp;" "&amp;INDEX(nLIST_Months,MONTH(INT(M181/1440)))&amp;" "&amp;YEAR(INT(M181/1440))&amp;" "&amp;RIGHT("0"&amp;INT(MOD(M181,1440)/60),2)&amp;":"&amp;RIGHT("0"&amp;MOD(M181,60),2)&amp;IF(L181=1," (UTC"&amp;I181&amp;")"," (offset unknown)"),IF(H181="DATE",DAY(O181)&amp;" "&amp;INDEX(nLIST_Months,MONTH(O181))&amp;" "&amp;YEAR(O181),IF(H181="MONTH",INDEX(nLIST_Months,MONTH(O181))&amp;" "&amp;YEAR(O181)&amp;" ("&amp;DAY(O181)&amp;" "&amp;INDEX(nLIST_Months,MONTH(O181))&amp;" "&amp;YEAR(O181)&amp;" to "&amp;DAY(P181)&amp;" "&amp;INDEX(nLIST_Months,MONTH(P181))&amp;" "&amp;YEAR(P181)&amp;")",IF(H181="YEAR",YEAR(O181)&amp;" (1 January to 31 December)",DAY(O181)&amp;" "&amp;INDEX(nLIST_Months,MONTH(O181))&amp;" "&amp;YEAR(O181)&amp;" to "&amp;DAY(P181)&amp;" "&amp;INDEX(nLIST_Months,MONTH(P181))&amp;" "&amp;YEAR(P181)&amp;IF(H181="LAB"," (laboratory-defined)","")))))))</f>
        <v/>
      </c>
      <c r="S181" s="20" t="str">
        <f>IF(B181="","",Exposures!$AU37&amp;"")</f>
        <v/>
      </c>
      <c r="T181" s="20" t="str">
        <f>IF(B181="","",Exposures!$BD37&amp;"")</f>
        <v/>
      </c>
      <c r="U181" s="20" t="str">
        <f>IF(B181="","","Exposures row "&amp;ROW(Exposures!$A37)&amp;", Restart")</f>
        <v/>
      </c>
      <c r="V181" s="20">
        <f>IF(A181="",0,COUNTIF(nTP_Key,A181))</f>
        <v>0</v>
      </c>
      <c r="W181" s="20">
        <f t="shared" si="30"/>
        <v>0</v>
      </c>
      <c r="X181" s="20">
        <f t="shared" si="31"/>
        <v>0</v>
      </c>
      <c r="Y181" s="20">
        <f t="shared" si="32"/>
        <v>0</v>
      </c>
      <c r="Z181" s="20">
        <f t="shared" si="33"/>
        <v>0</v>
      </c>
      <c r="AA181" s="20">
        <f t="shared" si="34"/>
        <v>177</v>
      </c>
      <c r="AB181" s="20" t="str">
        <f>""</f>
        <v/>
      </c>
      <c r="AC181" s="20" t="str">
        <f>IF(B181="","",Exposures!$F37&amp;"")</f>
        <v/>
      </c>
      <c r="AD181" s="20" t="str">
        <f>IF(B181="","",Exposures!$E37&amp;": Restart")</f>
        <v/>
      </c>
      <c r="AE181" s="20">
        <f t="shared" si="35"/>
        <v>0</v>
      </c>
      <c r="AF181" s="20" t="str">
        <f t="shared" si="36"/>
        <v/>
      </c>
      <c r="AG181" s="20">
        <f t="shared" si="37"/>
        <v>0</v>
      </c>
      <c r="AH181" s="20" t="str">
        <f>""</f>
        <v/>
      </c>
    </row>
    <row r="182" spans="1:34" x14ac:dyDescent="0.2">
      <c r="A182" s="20" t="str">
        <f t="shared" si="27"/>
        <v/>
      </c>
      <c r="B182" s="20" t="str">
        <f>IF(AND(Exposures!$D38&lt;&gt;"",COUNTA(Exposures!$AV38:$BC38)&gt;0),Exposures!$D38&amp;"/RESTART","")</f>
        <v/>
      </c>
      <c r="C182" s="20" t="str">
        <f t="shared" si="40"/>
        <v/>
      </c>
      <c r="D182" s="20" t="str">
        <f>IF(B182="","",Exposures!$A38&amp;"")</f>
        <v/>
      </c>
      <c r="E182" s="20" t="str">
        <f>IF(B182="","",Exposures!$B38&amp;"")</f>
        <v/>
      </c>
      <c r="F182" s="20" t="str">
        <f t="shared" si="28"/>
        <v/>
      </c>
      <c r="G182" s="20" t="str">
        <f>IF(B182="","",Exposures!$D38&amp;"")</f>
        <v/>
      </c>
      <c r="H182" s="20" t="str">
        <f>IF(B182="","",Exposures!$AV38&amp;"")</f>
        <v/>
      </c>
      <c r="I182" s="20" t="str">
        <f>IF(B182="","",Exposures!$AY38&amp;"")</f>
        <v/>
      </c>
      <c r="J182" s="20" t="str">
        <f>IF(B182="","",Exposures!$BE38&amp;"")</f>
        <v/>
      </c>
      <c r="K182" s="20">
        <f>IF(B182="",0,Exposures!$BF38)</f>
        <v>0</v>
      </c>
      <c r="L182" s="20">
        <f>IF(B182="",0,Exposures!$BG38)</f>
        <v>0</v>
      </c>
      <c r="M182" s="20" t="str">
        <f>IF(B182="","",Exposures!$BJ38)</f>
        <v/>
      </c>
      <c r="N182" s="20" t="str">
        <f>IF(B182="","",Exposures!$BK38)</f>
        <v/>
      </c>
      <c r="O182" s="27" t="str">
        <f>IF(B182="","",Exposures!$BH38)</f>
        <v/>
      </c>
      <c r="P182" s="27" t="str">
        <f>IF(B182="","",Exposures!$BI38)</f>
        <v/>
      </c>
      <c r="Q182" s="20" t="str">
        <f t="shared" si="29"/>
        <v/>
      </c>
      <c r="R182" s="20" t="str">
        <f>IF(A182="","",IF(J182&lt;&gt;"",J182,IF(H182="TIMESTAMP",DAY(INT(M182/1440))&amp;" "&amp;INDEX(nLIST_Months,MONTH(INT(M182/1440)))&amp;" "&amp;YEAR(INT(M182/1440))&amp;" "&amp;RIGHT("0"&amp;INT(MOD(M182,1440)/60),2)&amp;":"&amp;RIGHT("0"&amp;MOD(M182,60),2)&amp;IF(L182=1," (UTC"&amp;I182&amp;")"," (offset unknown)"),IF(H182="DATE",DAY(O182)&amp;" "&amp;INDEX(nLIST_Months,MONTH(O182))&amp;" "&amp;YEAR(O182),IF(H182="MONTH",INDEX(nLIST_Months,MONTH(O182))&amp;" "&amp;YEAR(O182)&amp;" ("&amp;DAY(O182)&amp;" "&amp;INDEX(nLIST_Months,MONTH(O182))&amp;" "&amp;YEAR(O182)&amp;" to "&amp;DAY(P182)&amp;" "&amp;INDEX(nLIST_Months,MONTH(P182))&amp;" "&amp;YEAR(P182)&amp;")",IF(H182="YEAR",YEAR(O182)&amp;" (1 January to 31 December)",DAY(O182)&amp;" "&amp;INDEX(nLIST_Months,MONTH(O182))&amp;" "&amp;YEAR(O182)&amp;" to "&amp;DAY(P182)&amp;" "&amp;INDEX(nLIST_Months,MONTH(P182))&amp;" "&amp;YEAR(P182)&amp;IF(H182="LAB"," (laboratory-defined)","")))))))</f>
        <v/>
      </c>
      <c r="S182" s="20" t="str">
        <f>IF(B182="","",Exposures!$AU38&amp;"")</f>
        <v/>
      </c>
      <c r="T182" s="20" t="str">
        <f>IF(B182="","",Exposures!$BD38&amp;"")</f>
        <v/>
      </c>
      <c r="U182" s="20" t="str">
        <f>IF(B182="","","Exposures row "&amp;ROW(Exposures!$A38)&amp;", Restart")</f>
        <v/>
      </c>
      <c r="V182" s="20">
        <f>IF(A182="",0,COUNTIF(nTP_Key,A182))</f>
        <v>0</v>
      </c>
      <c r="W182" s="20">
        <f t="shared" si="30"/>
        <v>0</v>
      </c>
      <c r="X182" s="20">
        <f t="shared" si="31"/>
        <v>0</v>
      </c>
      <c r="Y182" s="20">
        <f t="shared" si="32"/>
        <v>0</v>
      </c>
      <c r="Z182" s="20">
        <f t="shared" si="33"/>
        <v>0</v>
      </c>
      <c r="AA182" s="20">
        <f t="shared" si="34"/>
        <v>178</v>
      </c>
      <c r="AB182" s="20" t="str">
        <f>""</f>
        <v/>
      </c>
      <c r="AC182" s="20" t="str">
        <f>IF(B182="","",Exposures!$F38&amp;"")</f>
        <v/>
      </c>
      <c r="AD182" s="20" t="str">
        <f>IF(B182="","",Exposures!$E38&amp;": Restart")</f>
        <v/>
      </c>
      <c r="AE182" s="20">
        <f t="shared" si="35"/>
        <v>0</v>
      </c>
      <c r="AF182" s="20" t="str">
        <f t="shared" si="36"/>
        <v/>
      </c>
      <c r="AG182" s="20">
        <f t="shared" si="37"/>
        <v>0</v>
      </c>
      <c r="AH182" s="20" t="str">
        <f>""</f>
        <v/>
      </c>
    </row>
    <row r="183" spans="1:34" x14ac:dyDescent="0.2">
      <c r="A183" s="20" t="str">
        <f t="shared" si="27"/>
        <v/>
      </c>
      <c r="B183" s="20" t="str">
        <f>IF(AND(Exposures!$D39&lt;&gt;"",COUNTA(Exposures!$AV39:$BC39)&gt;0),Exposures!$D39&amp;"/RESTART","")</f>
        <v/>
      </c>
      <c r="C183" s="20" t="str">
        <f t="shared" si="40"/>
        <v/>
      </c>
      <c r="D183" s="20" t="str">
        <f>IF(B183="","",Exposures!$A39&amp;"")</f>
        <v/>
      </c>
      <c r="E183" s="20" t="str">
        <f>IF(B183="","",Exposures!$B39&amp;"")</f>
        <v/>
      </c>
      <c r="F183" s="20" t="str">
        <f t="shared" si="28"/>
        <v/>
      </c>
      <c r="G183" s="20" t="str">
        <f>IF(B183="","",Exposures!$D39&amp;"")</f>
        <v/>
      </c>
      <c r="H183" s="20" t="str">
        <f>IF(B183="","",Exposures!$AV39&amp;"")</f>
        <v/>
      </c>
      <c r="I183" s="20" t="str">
        <f>IF(B183="","",Exposures!$AY39&amp;"")</f>
        <v/>
      </c>
      <c r="J183" s="20" t="str">
        <f>IF(B183="","",Exposures!$BE39&amp;"")</f>
        <v/>
      </c>
      <c r="K183" s="20">
        <f>IF(B183="",0,Exposures!$BF39)</f>
        <v>0</v>
      </c>
      <c r="L183" s="20">
        <f>IF(B183="",0,Exposures!$BG39)</f>
        <v>0</v>
      </c>
      <c r="M183" s="20" t="str">
        <f>IF(B183="","",Exposures!$BJ39)</f>
        <v/>
      </c>
      <c r="N183" s="20" t="str">
        <f>IF(B183="","",Exposures!$BK39)</f>
        <v/>
      </c>
      <c r="O183" s="27" t="str">
        <f>IF(B183="","",Exposures!$BH39)</f>
        <v/>
      </c>
      <c r="P183" s="27" t="str">
        <f>IF(B183="","",Exposures!$BI39)</f>
        <v/>
      </c>
      <c r="Q183" s="20" t="str">
        <f t="shared" si="29"/>
        <v/>
      </c>
      <c r="R183" s="20" t="str">
        <f>IF(A183="","",IF(J183&lt;&gt;"",J183,IF(H183="TIMESTAMP",DAY(INT(M183/1440))&amp;" "&amp;INDEX(nLIST_Months,MONTH(INT(M183/1440)))&amp;" "&amp;YEAR(INT(M183/1440))&amp;" "&amp;RIGHT("0"&amp;INT(MOD(M183,1440)/60),2)&amp;":"&amp;RIGHT("0"&amp;MOD(M183,60),2)&amp;IF(L183=1," (UTC"&amp;I183&amp;")"," (offset unknown)"),IF(H183="DATE",DAY(O183)&amp;" "&amp;INDEX(nLIST_Months,MONTH(O183))&amp;" "&amp;YEAR(O183),IF(H183="MONTH",INDEX(nLIST_Months,MONTH(O183))&amp;" "&amp;YEAR(O183)&amp;" ("&amp;DAY(O183)&amp;" "&amp;INDEX(nLIST_Months,MONTH(O183))&amp;" "&amp;YEAR(O183)&amp;" to "&amp;DAY(P183)&amp;" "&amp;INDEX(nLIST_Months,MONTH(P183))&amp;" "&amp;YEAR(P183)&amp;")",IF(H183="YEAR",YEAR(O183)&amp;" (1 January to 31 December)",DAY(O183)&amp;" "&amp;INDEX(nLIST_Months,MONTH(O183))&amp;" "&amp;YEAR(O183)&amp;" to "&amp;DAY(P183)&amp;" "&amp;INDEX(nLIST_Months,MONTH(P183))&amp;" "&amp;YEAR(P183)&amp;IF(H183="LAB"," (laboratory-defined)","")))))))</f>
        <v/>
      </c>
      <c r="S183" s="20" t="str">
        <f>IF(B183="","",Exposures!$AU39&amp;"")</f>
        <v/>
      </c>
      <c r="T183" s="20" t="str">
        <f>IF(B183="","",Exposures!$BD39&amp;"")</f>
        <v/>
      </c>
      <c r="U183" s="20" t="str">
        <f>IF(B183="","","Exposures row "&amp;ROW(Exposures!$A39)&amp;", Restart")</f>
        <v/>
      </c>
      <c r="V183" s="20">
        <f>IF(A183="",0,COUNTIF(nTP_Key,A183))</f>
        <v>0</v>
      </c>
      <c r="W183" s="20">
        <f t="shared" si="30"/>
        <v>0</v>
      </c>
      <c r="X183" s="20">
        <f t="shared" si="31"/>
        <v>0</v>
      </c>
      <c r="Y183" s="20">
        <f t="shared" si="32"/>
        <v>0</v>
      </c>
      <c r="Z183" s="20">
        <f t="shared" si="33"/>
        <v>0</v>
      </c>
      <c r="AA183" s="20">
        <f t="shared" si="34"/>
        <v>179</v>
      </c>
      <c r="AB183" s="20" t="str">
        <f>""</f>
        <v/>
      </c>
      <c r="AC183" s="20" t="str">
        <f>IF(B183="","",Exposures!$F39&amp;"")</f>
        <v/>
      </c>
      <c r="AD183" s="20" t="str">
        <f>IF(B183="","",Exposures!$E39&amp;": Restart")</f>
        <v/>
      </c>
      <c r="AE183" s="20">
        <f t="shared" si="35"/>
        <v>0</v>
      </c>
      <c r="AF183" s="20" t="str">
        <f t="shared" si="36"/>
        <v/>
      </c>
      <c r="AG183" s="20">
        <f t="shared" si="37"/>
        <v>0</v>
      </c>
      <c r="AH183" s="20" t="str">
        <f>""</f>
        <v/>
      </c>
    </row>
    <row r="184" spans="1:34" x14ac:dyDescent="0.2">
      <c r="A184" s="20" t="str">
        <f t="shared" si="27"/>
        <v/>
      </c>
      <c r="B184" s="20" t="str">
        <f>IF(AND(Exposures!$D40&lt;&gt;"",COUNTA(Exposures!$AV40:$BC40)&gt;0),Exposures!$D40&amp;"/RESTART","")</f>
        <v/>
      </c>
      <c r="C184" s="20" t="str">
        <f t="shared" si="40"/>
        <v/>
      </c>
      <c r="D184" s="20" t="str">
        <f>IF(B184="","",Exposures!$A40&amp;"")</f>
        <v/>
      </c>
      <c r="E184" s="20" t="str">
        <f>IF(B184="","",Exposures!$B40&amp;"")</f>
        <v/>
      </c>
      <c r="F184" s="20" t="str">
        <f t="shared" si="28"/>
        <v/>
      </c>
      <c r="G184" s="20" t="str">
        <f>IF(B184="","",Exposures!$D40&amp;"")</f>
        <v/>
      </c>
      <c r="H184" s="20" t="str">
        <f>IF(B184="","",Exposures!$AV40&amp;"")</f>
        <v/>
      </c>
      <c r="I184" s="20" t="str">
        <f>IF(B184="","",Exposures!$AY40&amp;"")</f>
        <v/>
      </c>
      <c r="J184" s="20" t="str">
        <f>IF(B184="","",Exposures!$BE40&amp;"")</f>
        <v/>
      </c>
      <c r="K184" s="20">
        <f>IF(B184="",0,Exposures!$BF40)</f>
        <v>0</v>
      </c>
      <c r="L184" s="20">
        <f>IF(B184="",0,Exposures!$BG40)</f>
        <v>0</v>
      </c>
      <c r="M184" s="20" t="str">
        <f>IF(B184="","",Exposures!$BJ40)</f>
        <v/>
      </c>
      <c r="N184" s="20" t="str">
        <f>IF(B184="","",Exposures!$BK40)</f>
        <v/>
      </c>
      <c r="O184" s="27" t="str">
        <f>IF(B184="","",Exposures!$BH40)</f>
        <v/>
      </c>
      <c r="P184" s="27" t="str">
        <f>IF(B184="","",Exposures!$BI40)</f>
        <v/>
      </c>
      <c r="Q184" s="20" t="str">
        <f t="shared" si="29"/>
        <v/>
      </c>
      <c r="R184" s="20" t="str">
        <f>IF(A184="","",IF(J184&lt;&gt;"",J184,IF(H184="TIMESTAMP",DAY(INT(M184/1440))&amp;" "&amp;INDEX(nLIST_Months,MONTH(INT(M184/1440)))&amp;" "&amp;YEAR(INT(M184/1440))&amp;" "&amp;RIGHT("0"&amp;INT(MOD(M184,1440)/60),2)&amp;":"&amp;RIGHT("0"&amp;MOD(M184,60),2)&amp;IF(L184=1," (UTC"&amp;I184&amp;")"," (offset unknown)"),IF(H184="DATE",DAY(O184)&amp;" "&amp;INDEX(nLIST_Months,MONTH(O184))&amp;" "&amp;YEAR(O184),IF(H184="MONTH",INDEX(nLIST_Months,MONTH(O184))&amp;" "&amp;YEAR(O184)&amp;" ("&amp;DAY(O184)&amp;" "&amp;INDEX(nLIST_Months,MONTH(O184))&amp;" "&amp;YEAR(O184)&amp;" to "&amp;DAY(P184)&amp;" "&amp;INDEX(nLIST_Months,MONTH(P184))&amp;" "&amp;YEAR(P184)&amp;")",IF(H184="YEAR",YEAR(O184)&amp;" (1 January to 31 December)",DAY(O184)&amp;" "&amp;INDEX(nLIST_Months,MONTH(O184))&amp;" "&amp;YEAR(O184)&amp;" to "&amp;DAY(P184)&amp;" "&amp;INDEX(nLIST_Months,MONTH(P184))&amp;" "&amp;YEAR(P184)&amp;IF(H184="LAB"," (laboratory-defined)","")))))))</f>
        <v/>
      </c>
      <c r="S184" s="20" t="str">
        <f>IF(B184="","",Exposures!$AU40&amp;"")</f>
        <v/>
      </c>
      <c r="T184" s="20" t="str">
        <f>IF(B184="","",Exposures!$BD40&amp;"")</f>
        <v/>
      </c>
      <c r="U184" s="20" t="str">
        <f>IF(B184="","","Exposures row "&amp;ROW(Exposures!$A40)&amp;", Restart")</f>
        <v/>
      </c>
      <c r="V184" s="20">
        <f>IF(A184="",0,COUNTIF(nTP_Key,A184))</f>
        <v>0</v>
      </c>
      <c r="W184" s="20">
        <f t="shared" si="30"/>
        <v>0</v>
      </c>
      <c r="X184" s="20">
        <f t="shared" si="31"/>
        <v>0</v>
      </c>
      <c r="Y184" s="20">
        <f t="shared" si="32"/>
        <v>0</v>
      </c>
      <c r="Z184" s="20">
        <f t="shared" si="33"/>
        <v>0</v>
      </c>
      <c r="AA184" s="20">
        <f t="shared" si="34"/>
        <v>180</v>
      </c>
      <c r="AB184" s="20" t="str">
        <f>""</f>
        <v/>
      </c>
      <c r="AC184" s="20" t="str">
        <f>IF(B184="","",Exposures!$F40&amp;"")</f>
        <v/>
      </c>
      <c r="AD184" s="20" t="str">
        <f>IF(B184="","",Exposures!$E40&amp;": Restart")</f>
        <v/>
      </c>
      <c r="AE184" s="20">
        <f t="shared" si="35"/>
        <v>0</v>
      </c>
      <c r="AF184" s="20" t="str">
        <f t="shared" si="36"/>
        <v/>
      </c>
      <c r="AG184" s="20">
        <f t="shared" si="37"/>
        <v>0</v>
      </c>
      <c r="AH184" s="20" t="str">
        <f>""</f>
        <v/>
      </c>
    </row>
    <row r="185" spans="1:34" x14ac:dyDescent="0.2">
      <c r="A185" s="20" t="str">
        <f t="shared" si="27"/>
        <v/>
      </c>
      <c r="B185" s="20" t="str">
        <f>IF(AND(Exposures!$D41&lt;&gt;"",COUNTA(Exposures!$AV41:$BC41)&gt;0),Exposures!$D41&amp;"/RESTART","")</f>
        <v/>
      </c>
      <c r="C185" s="20" t="str">
        <f t="shared" si="40"/>
        <v/>
      </c>
      <c r="D185" s="20" t="str">
        <f>IF(B185="","",Exposures!$A41&amp;"")</f>
        <v/>
      </c>
      <c r="E185" s="20" t="str">
        <f>IF(B185="","",Exposures!$B41&amp;"")</f>
        <v/>
      </c>
      <c r="F185" s="20" t="str">
        <f t="shared" si="28"/>
        <v/>
      </c>
      <c r="G185" s="20" t="str">
        <f>IF(B185="","",Exposures!$D41&amp;"")</f>
        <v/>
      </c>
      <c r="H185" s="20" t="str">
        <f>IF(B185="","",Exposures!$AV41&amp;"")</f>
        <v/>
      </c>
      <c r="I185" s="20" t="str">
        <f>IF(B185="","",Exposures!$AY41&amp;"")</f>
        <v/>
      </c>
      <c r="J185" s="20" t="str">
        <f>IF(B185="","",Exposures!$BE41&amp;"")</f>
        <v/>
      </c>
      <c r="K185" s="20">
        <f>IF(B185="",0,Exposures!$BF41)</f>
        <v>0</v>
      </c>
      <c r="L185" s="20">
        <f>IF(B185="",0,Exposures!$BG41)</f>
        <v>0</v>
      </c>
      <c r="M185" s="20" t="str">
        <f>IF(B185="","",Exposures!$BJ41)</f>
        <v/>
      </c>
      <c r="N185" s="20" t="str">
        <f>IF(B185="","",Exposures!$BK41)</f>
        <v/>
      </c>
      <c r="O185" s="27" t="str">
        <f>IF(B185="","",Exposures!$BH41)</f>
        <v/>
      </c>
      <c r="P185" s="27" t="str">
        <f>IF(B185="","",Exposures!$BI41)</f>
        <v/>
      </c>
      <c r="Q185" s="20" t="str">
        <f t="shared" si="29"/>
        <v/>
      </c>
      <c r="R185" s="20" t="str">
        <f>IF(A185="","",IF(J185&lt;&gt;"",J185,IF(H185="TIMESTAMP",DAY(INT(M185/1440))&amp;" "&amp;INDEX(nLIST_Months,MONTH(INT(M185/1440)))&amp;" "&amp;YEAR(INT(M185/1440))&amp;" "&amp;RIGHT("0"&amp;INT(MOD(M185,1440)/60),2)&amp;":"&amp;RIGHT("0"&amp;MOD(M185,60),2)&amp;IF(L185=1," (UTC"&amp;I185&amp;")"," (offset unknown)"),IF(H185="DATE",DAY(O185)&amp;" "&amp;INDEX(nLIST_Months,MONTH(O185))&amp;" "&amp;YEAR(O185),IF(H185="MONTH",INDEX(nLIST_Months,MONTH(O185))&amp;" "&amp;YEAR(O185)&amp;" ("&amp;DAY(O185)&amp;" "&amp;INDEX(nLIST_Months,MONTH(O185))&amp;" "&amp;YEAR(O185)&amp;" to "&amp;DAY(P185)&amp;" "&amp;INDEX(nLIST_Months,MONTH(P185))&amp;" "&amp;YEAR(P185)&amp;")",IF(H185="YEAR",YEAR(O185)&amp;" (1 January to 31 December)",DAY(O185)&amp;" "&amp;INDEX(nLIST_Months,MONTH(O185))&amp;" "&amp;YEAR(O185)&amp;" to "&amp;DAY(P185)&amp;" "&amp;INDEX(nLIST_Months,MONTH(P185))&amp;" "&amp;YEAR(P185)&amp;IF(H185="LAB"," (laboratory-defined)","")))))))</f>
        <v/>
      </c>
      <c r="S185" s="20" t="str">
        <f>IF(B185="","",Exposures!$AU41&amp;"")</f>
        <v/>
      </c>
      <c r="T185" s="20" t="str">
        <f>IF(B185="","",Exposures!$BD41&amp;"")</f>
        <v/>
      </c>
      <c r="U185" s="20" t="str">
        <f>IF(B185="","","Exposures row "&amp;ROW(Exposures!$A41)&amp;", Restart")</f>
        <v/>
      </c>
      <c r="V185" s="20">
        <f>IF(A185="",0,COUNTIF(nTP_Key,A185))</f>
        <v>0</v>
      </c>
      <c r="W185" s="20">
        <f t="shared" si="30"/>
        <v>0</v>
      </c>
      <c r="X185" s="20">
        <f t="shared" si="31"/>
        <v>0</v>
      </c>
      <c r="Y185" s="20">
        <f t="shared" si="32"/>
        <v>0</v>
      </c>
      <c r="Z185" s="20">
        <f t="shared" si="33"/>
        <v>0</v>
      </c>
      <c r="AA185" s="20">
        <f t="shared" si="34"/>
        <v>181</v>
      </c>
      <c r="AB185" s="20" t="str">
        <f>""</f>
        <v/>
      </c>
      <c r="AC185" s="20" t="str">
        <f>IF(B185="","",Exposures!$F41&amp;"")</f>
        <v/>
      </c>
      <c r="AD185" s="20" t="str">
        <f>IF(B185="","",Exposures!$E41&amp;": Restart")</f>
        <v/>
      </c>
      <c r="AE185" s="20">
        <f t="shared" si="35"/>
        <v>0</v>
      </c>
      <c r="AF185" s="20" t="str">
        <f t="shared" si="36"/>
        <v/>
      </c>
      <c r="AG185" s="20">
        <f t="shared" si="37"/>
        <v>0</v>
      </c>
      <c r="AH185" s="20" t="str">
        <f>""</f>
        <v/>
      </c>
    </row>
    <row r="186" spans="1:34" x14ac:dyDescent="0.2">
      <c r="A186" s="20" t="str">
        <f t="shared" si="27"/>
        <v/>
      </c>
      <c r="B186" s="20" t="str">
        <f>IF(AND(Exposures!$D42&lt;&gt;"",COUNTA(Exposures!$AV42:$BC42)&gt;0),Exposures!$D42&amp;"/RESTART","")</f>
        <v/>
      </c>
      <c r="C186" s="20" t="str">
        <f t="shared" si="40"/>
        <v/>
      </c>
      <c r="D186" s="20" t="str">
        <f>IF(B186="","",Exposures!$A42&amp;"")</f>
        <v/>
      </c>
      <c r="E186" s="20" t="str">
        <f>IF(B186="","",Exposures!$B42&amp;"")</f>
        <v/>
      </c>
      <c r="F186" s="20" t="str">
        <f t="shared" si="28"/>
        <v/>
      </c>
      <c r="G186" s="20" t="str">
        <f>IF(B186="","",Exposures!$D42&amp;"")</f>
        <v/>
      </c>
      <c r="H186" s="20" t="str">
        <f>IF(B186="","",Exposures!$AV42&amp;"")</f>
        <v/>
      </c>
      <c r="I186" s="20" t="str">
        <f>IF(B186="","",Exposures!$AY42&amp;"")</f>
        <v/>
      </c>
      <c r="J186" s="20" t="str">
        <f>IF(B186="","",Exposures!$BE42&amp;"")</f>
        <v/>
      </c>
      <c r="K186" s="20">
        <f>IF(B186="",0,Exposures!$BF42)</f>
        <v>0</v>
      </c>
      <c r="L186" s="20">
        <f>IF(B186="",0,Exposures!$BG42)</f>
        <v>0</v>
      </c>
      <c r="M186" s="20" t="str">
        <f>IF(B186="","",Exposures!$BJ42)</f>
        <v/>
      </c>
      <c r="N186" s="20" t="str">
        <f>IF(B186="","",Exposures!$BK42)</f>
        <v/>
      </c>
      <c r="O186" s="27" t="str">
        <f>IF(B186="","",Exposures!$BH42)</f>
        <v/>
      </c>
      <c r="P186" s="27" t="str">
        <f>IF(B186="","",Exposures!$BI42)</f>
        <v/>
      </c>
      <c r="Q186" s="20" t="str">
        <f t="shared" si="29"/>
        <v/>
      </c>
      <c r="R186" s="20" t="str">
        <f>IF(A186="","",IF(J186&lt;&gt;"",J186,IF(H186="TIMESTAMP",DAY(INT(M186/1440))&amp;" "&amp;INDEX(nLIST_Months,MONTH(INT(M186/1440)))&amp;" "&amp;YEAR(INT(M186/1440))&amp;" "&amp;RIGHT("0"&amp;INT(MOD(M186,1440)/60),2)&amp;":"&amp;RIGHT("0"&amp;MOD(M186,60),2)&amp;IF(L186=1," (UTC"&amp;I186&amp;")"," (offset unknown)"),IF(H186="DATE",DAY(O186)&amp;" "&amp;INDEX(nLIST_Months,MONTH(O186))&amp;" "&amp;YEAR(O186),IF(H186="MONTH",INDEX(nLIST_Months,MONTH(O186))&amp;" "&amp;YEAR(O186)&amp;" ("&amp;DAY(O186)&amp;" "&amp;INDEX(nLIST_Months,MONTH(O186))&amp;" "&amp;YEAR(O186)&amp;" to "&amp;DAY(P186)&amp;" "&amp;INDEX(nLIST_Months,MONTH(P186))&amp;" "&amp;YEAR(P186)&amp;")",IF(H186="YEAR",YEAR(O186)&amp;" (1 January to 31 December)",DAY(O186)&amp;" "&amp;INDEX(nLIST_Months,MONTH(O186))&amp;" "&amp;YEAR(O186)&amp;" to "&amp;DAY(P186)&amp;" "&amp;INDEX(nLIST_Months,MONTH(P186))&amp;" "&amp;YEAR(P186)&amp;IF(H186="LAB"," (laboratory-defined)","")))))))</f>
        <v/>
      </c>
      <c r="S186" s="20" t="str">
        <f>IF(B186="","",Exposures!$AU42&amp;"")</f>
        <v/>
      </c>
      <c r="T186" s="20" t="str">
        <f>IF(B186="","",Exposures!$BD42&amp;"")</f>
        <v/>
      </c>
      <c r="U186" s="20" t="str">
        <f>IF(B186="","","Exposures row "&amp;ROW(Exposures!$A42)&amp;", Restart")</f>
        <v/>
      </c>
      <c r="V186" s="20">
        <f>IF(A186="",0,COUNTIF(nTP_Key,A186))</f>
        <v>0</v>
      </c>
      <c r="W186" s="20">
        <f t="shared" si="30"/>
        <v>0</v>
      </c>
      <c r="X186" s="20">
        <f t="shared" si="31"/>
        <v>0</v>
      </c>
      <c r="Y186" s="20">
        <f t="shared" si="32"/>
        <v>0</v>
      </c>
      <c r="Z186" s="20">
        <f t="shared" si="33"/>
        <v>0</v>
      </c>
      <c r="AA186" s="20">
        <f t="shared" si="34"/>
        <v>182</v>
      </c>
      <c r="AB186" s="20" t="str">
        <f>""</f>
        <v/>
      </c>
      <c r="AC186" s="20" t="str">
        <f>IF(B186="","",Exposures!$F42&amp;"")</f>
        <v/>
      </c>
      <c r="AD186" s="20" t="str">
        <f>IF(B186="","",Exposures!$E42&amp;": Restart")</f>
        <v/>
      </c>
      <c r="AE186" s="20">
        <f t="shared" si="35"/>
        <v>0</v>
      </c>
      <c r="AF186" s="20" t="str">
        <f t="shared" si="36"/>
        <v/>
      </c>
      <c r="AG186" s="20">
        <f t="shared" si="37"/>
        <v>0</v>
      </c>
      <c r="AH186" s="20" t="str">
        <f>""</f>
        <v/>
      </c>
    </row>
    <row r="187" spans="1:34" x14ac:dyDescent="0.2">
      <c r="A187" s="20" t="str">
        <f t="shared" si="27"/>
        <v/>
      </c>
      <c r="B187" s="20" t="str">
        <f>IF(AND(Exposures!$D43&lt;&gt;"",COUNTA(Exposures!$AV43:$BC43)&gt;0),Exposures!$D43&amp;"/RESTART","")</f>
        <v/>
      </c>
      <c r="C187" s="20" t="str">
        <f t="shared" si="40"/>
        <v/>
      </c>
      <c r="D187" s="20" t="str">
        <f>IF(B187="","",Exposures!$A43&amp;"")</f>
        <v/>
      </c>
      <c r="E187" s="20" t="str">
        <f>IF(B187="","",Exposures!$B43&amp;"")</f>
        <v/>
      </c>
      <c r="F187" s="20" t="str">
        <f t="shared" si="28"/>
        <v/>
      </c>
      <c r="G187" s="20" t="str">
        <f>IF(B187="","",Exposures!$D43&amp;"")</f>
        <v/>
      </c>
      <c r="H187" s="20" t="str">
        <f>IF(B187="","",Exposures!$AV43&amp;"")</f>
        <v/>
      </c>
      <c r="I187" s="20" t="str">
        <f>IF(B187="","",Exposures!$AY43&amp;"")</f>
        <v/>
      </c>
      <c r="J187" s="20" t="str">
        <f>IF(B187="","",Exposures!$BE43&amp;"")</f>
        <v/>
      </c>
      <c r="K187" s="20">
        <f>IF(B187="",0,Exposures!$BF43)</f>
        <v>0</v>
      </c>
      <c r="L187" s="20">
        <f>IF(B187="",0,Exposures!$BG43)</f>
        <v>0</v>
      </c>
      <c r="M187" s="20" t="str">
        <f>IF(B187="","",Exposures!$BJ43)</f>
        <v/>
      </c>
      <c r="N187" s="20" t="str">
        <f>IF(B187="","",Exposures!$BK43)</f>
        <v/>
      </c>
      <c r="O187" s="27" t="str">
        <f>IF(B187="","",Exposures!$BH43)</f>
        <v/>
      </c>
      <c r="P187" s="27" t="str">
        <f>IF(B187="","",Exposures!$BI43)</f>
        <v/>
      </c>
      <c r="Q187" s="20" t="str">
        <f t="shared" si="29"/>
        <v/>
      </c>
      <c r="R187" s="20" t="str">
        <f>IF(A187="","",IF(J187&lt;&gt;"",J187,IF(H187="TIMESTAMP",DAY(INT(M187/1440))&amp;" "&amp;INDEX(nLIST_Months,MONTH(INT(M187/1440)))&amp;" "&amp;YEAR(INT(M187/1440))&amp;" "&amp;RIGHT("0"&amp;INT(MOD(M187,1440)/60),2)&amp;":"&amp;RIGHT("0"&amp;MOD(M187,60),2)&amp;IF(L187=1," (UTC"&amp;I187&amp;")"," (offset unknown)"),IF(H187="DATE",DAY(O187)&amp;" "&amp;INDEX(nLIST_Months,MONTH(O187))&amp;" "&amp;YEAR(O187),IF(H187="MONTH",INDEX(nLIST_Months,MONTH(O187))&amp;" "&amp;YEAR(O187)&amp;" ("&amp;DAY(O187)&amp;" "&amp;INDEX(nLIST_Months,MONTH(O187))&amp;" "&amp;YEAR(O187)&amp;" to "&amp;DAY(P187)&amp;" "&amp;INDEX(nLIST_Months,MONTH(P187))&amp;" "&amp;YEAR(P187)&amp;")",IF(H187="YEAR",YEAR(O187)&amp;" (1 January to 31 December)",DAY(O187)&amp;" "&amp;INDEX(nLIST_Months,MONTH(O187))&amp;" "&amp;YEAR(O187)&amp;" to "&amp;DAY(P187)&amp;" "&amp;INDEX(nLIST_Months,MONTH(P187))&amp;" "&amp;YEAR(P187)&amp;IF(H187="LAB"," (laboratory-defined)","")))))))</f>
        <v/>
      </c>
      <c r="S187" s="20" t="str">
        <f>IF(B187="","",Exposures!$AU43&amp;"")</f>
        <v/>
      </c>
      <c r="T187" s="20" t="str">
        <f>IF(B187="","",Exposures!$BD43&amp;"")</f>
        <v/>
      </c>
      <c r="U187" s="20" t="str">
        <f>IF(B187="","","Exposures row "&amp;ROW(Exposures!$A43)&amp;", Restart")</f>
        <v/>
      </c>
      <c r="V187" s="20">
        <f>IF(A187="",0,COUNTIF(nTP_Key,A187))</f>
        <v>0</v>
      </c>
      <c r="W187" s="20">
        <f t="shared" si="30"/>
        <v>0</v>
      </c>
      <c r="X187" s="20">
        <f t="shared" si="31"/>
        <v>0</v>
      </c>
      <c r="Y187" s="20">
        <f t="shared" si="32"/>
        <v>0</v>
      </c>
      <c r="Z187" s="20">
        <f t="shared" si="33"/>
        <v>0</v>
      </c>
      <c r="AA187" s="20">
        <f t="shared" si="34"/>
        <v>183</v>
      </c>
      <c r="AB187" s="20" t="str">
        <f>""</f>
        <v/>
      </c>
      <c r="AC187" s="20" t="str">
        <f>IF(B187="","",Exposures!$F43&amp;"")</f>
        <v/>
      </c>
      <c r="AD187" s="20" t="str">
        <f>IF(B187="","",Exposures!$E43&amp;": Restart")</f>
        <v/>
      </c>
      <c r="AE187" s="20">
        <f t="shared" si="35"/>
        <v>0</v>
      </c>
      <c r="AF187" s="20" t="str">
        <f t="shared" si="36"/>
        <v/>
      </c>
      <c r="AG187" s="20">
        <f t="shared" si="37"/>
        <v>0</v>
      </c>
      <c r="AH187" s="20" t="str">
        <f>""</f>
        <v/>
      </c>
    </row>
    <row r="188" spans="1:34" x14ac:dyDescent="0.2">
      <c r="A188" s="20" t="str">
        <f t="shared" si="27"/>
        <v/>
      </c>
      <c r="B188" s="20" t="str">
        <f>IF(AND(Exposures!$D44&lt;&gt;"",COUNTA(Exposures!$AV44:$BC44)&gt;0),Exposures!$D44&amp;"/RESTART","")</f>
        <v/>
      </c>
      <c r="C188" s="20" t="str">
        <f t="shared" si="40"/>
        <v/>
      </c>
      <c r="D188" s="20" t="str">
        <f>IF(B188="","",Exposures!$A44&amp;"")</f>
        <v/>
      </c>
      <c r="E188" s="20" t="str">
        <f>IF(B188="","",Exposures!$B44&amp;"")</f>
        <v/>
      </c>
      <c r="F188" s="20" t="str">
        <f t="shared" si="28"/>
        <v/>
      </c>
      <c r="G188" s="20" t="str">
        <f>IF(B188="","",Exposures!$D44&amp;"")</f>
        <v/>
      </c>
      <c r="H188" s="20" t="str">
        <f>IF(B188="","",Exposures!$AV44&amp;"")</f>
        <v/>
      </c>
      <c r="I188" s="20" t="str">
        <f>IF(B188="","",Exposures!$AY44&amp;"")</f>
        <v/>
      </c>
      <c r="J188" s="20" t="str">
        <f>IF(B188="","",Exposures!$BE44&amp;"")</f>
        <v/>
      </c>
      <c r="K188" s="20">
        <f>IF(B188="",0,Exposures!$BF44)</f>
        <v>0</v>
      </c>
      <c r="L188" s="20">
        <f>IF(B188="",0,Exposures!$BG44)</f>
        <v>0</v>
      </c>
      <c r="M188" s="20" t="str">
        <f>IF(B188="","",Exposures!$BJ44)</f>
        <v/>
      </c>
      <c r="N188" s="20" t="str">
        <f>IF(B188="","",Exposures!$BK44)</f>
        <v/>
      </c>
      <c r="O188" s="27" t="str">
        <f>IF(B188="","",Exposures!$BH44)</f>
        <v/>
      </c>
      <c r="P188" s="27" t="str">
        <f>IF(B188="","",Exposures!$BI44)</f>
        <v/>
      </c>
      <c r="Q188" s="20" t="str">
        <f t="shared" si="29"/>
        <v/>
      </c>
      <c r="R188" s="20" t="str">
        <f>IF(A188="","",IF(J188&lt;&gt;"",J188,IF(H188="TIMESTAMP",DAY(INT(M188/1440))&amp;" "&amp;INDEX(nLIST_Months,MONTH(INT(M188/1440)))&amp;" "&amp;YEAR(INT(M188/1440))&amp;" "&amp;RIGHT("0"&amp;INT(MOD(M188,1440)/60),2)&amp;":"&amp;RIGHT("0"&amp;MOD(M188,60),2)&amp;IF(L188=1," (UTC"&amp;I188&amp;")"," (offset unknown)"),IF(H188="DATE",DAY(O188)&amp;" "&amp;INDEX(nLIST_Months,MONTH(O188))&amp;" "&amp;YEAR(O188),IF(H188="MONTH",INDEX(nLIST_Months,MONTH(O188))&amp;" "&amp;YEAR(O188)&amp;" ("&amp;DAY(O188)&amp;" "&amp;INDEX(nLIST_Months,MONTH(O188))&amp;" "&amp;YEAR(O188)&amp;" to "&amp;DAY(P188)&amp;" "&amp;INDEX(nLIST_Months,MONTH(P188))&amp;" "&amp;YEAR(P188)&amp;")",IF(H188="YEAR",YEAR(O188)&amp;" (1 January to 31 December)",DAY(O188)&amp;" "&amp;INDEX(nLIST_Months,MONTH(O188))&amp;" "&amp;YEAR(O188)&amp;" to "&amp;DAY(P188)&amp;" "&amp;INDEX(nLIST_Months,MONTH(P188))&amp;" "&amp;YEAR(P188)&amp;IF(H188="LAB"," (laboratory-defined)","")))))))</f>
        <v/>
      </c>
      <c r="S188" s="20" t="str">
        <f>IF(B188="","",Exposures!$AU44&amp;"")</f>
        <v/>
      </c>
      <c r="T188" s="20" t="str">
        <f>IF(B188="","",Exposures!$BD44&amp;"")</f>
        <v/>
      </c>
      <c r="U188" s="20" t="str">
        <f>IF(B188="","","Exposures row "&amp;ROW(Exposures!$A44)&amp;", Restart")</f>
        <v/>
      </c>
      <c r="V188" s="20">
        <f>IF(A188="",0,COUNTIF(nTP_Key,A188))</f>
        <v>0</v>
      </c>
      <c r="W188" s="20">
        <f t="shared" si="30"/>
        <v>0</v>
      </c>
      <c r="X188" s="20">
        <f t="shared" si="31"/>
        <v>0</v>
      </c>
      <c r="Y188" s="20">
        <f t="shared" si="32"/>
        <v>0</v>
      </c>
      <c r="Z188" s="20">
        <f t="shared" si="33"/>
        <v>0</v>
      </c>
      <c r="AA188" s="20">
        <f t="shared" si="34"/>
        <v>184</v>
      </c>
      <c r="AB188" s="20" t="str">
        <f>""</f>
        <v/>
      </c>
      <c r="AC188" s="20" t="str">
        <f>IF(B188="","",Exposures!$F44&amp;"")</f>
        <v/>
      </c>
      <c r="AD188" s="20" t="str">
        <f>IF(B188="","",Exposures!$E44&amp;": Restart")</f>
        <v/>
      </c>
      <c r="AE188" s="20">
        <f t="shared" si="35"/>
        <v>0</v>
      </c>
      <c r="AF188" s="20" t="str">
        <f t="shared" si="36"/>
        <v/>
      </c>
      <c r="AG188" s="20">
        <f t="shared" si="37"/>
        <v>0</v>
      </c>
      <c r="AH188" s="20" t="str">
        <f>""</f>
        <v/>
      </c>
    </row>
    <row r="189" spans="1:34" x14ac:dyDescent="0.2">
      <c r="A189" s="20" t="str">
        <f t="shared" si="27"/>
        <v/>
      </c>
      <c r="B189" s="20" t="str">
        <f>IF(AND(Exposures!$D45&lt;&gt;"",COUNTA(Exposures!$AV45:$BC45)&gt;0),Exposures!$D45&amp;"/RESTART","")</f>
        <v/>
      </c>
      <c r="C189" s="20" t="str">
        <f t="shared" si="40"/>
        <v/>
      </c>
      <c r="D189" s="20" t="str">
        <f>IF(B189="","",Exposures!$A45&amp;"")</f>
        <v/>
      </c>
      <c r="E189" s="20" t="str">
        <f>IF(B189="","",Exposures!$B45&amp;"")</f>
        <v/>
      </c>
      <c r="F189" s="20" t="str">
        <f t="shared" si="28"/>
        <v/>
      </c>
      <c r="G189" s="20" t="str">
        <f>IF(B189="","",Exposures!$D45&amp;"")</f>
        <v/>
      </c>
      <c r="H189" s="20" t="str">
        <f>IF(B189="","",Exposures!$AV45&amp;"")</f>
        <v/>
      </c>
      <c r="I189" s="20" t="str">
        <f>IF(B189="","",Exposures!$AY45&amp;"")</f>
        <v/>
      </c>
      <c r="J189" s="20" t="str">
        <f>IF(B189="","",Exposures!$BE45&amp;"")</f>
        <v/>
      </c>
      <c r="K189" s="20">
        <f>IF(B189="",0,Exposures!$BF45)</f>
        <v>0</v>
      </c>
      <c r="L189" s="20">
        <f>IF(B189="",0,Exposures!$BG45)</f>
        <v>0</v>
      </c>
      <c r="M189" s="20" t="str">
        <f>IF(B189="","",Exposures!$BJ45)</f>
        <v/>
      </c>
      <c r="N189" s="20" t="str">
        <f>IF(B189="","",Exposures!$BK45)</f>
        <v/>
      </c>
      <c r="O189" s="27" t="str">
        <f>IF(B189="","",Exposures!$BH45)</f>
        <v/>
      </c>
      <c r="P189" s="27" t="str">
        <f>IF(B189="","",Exposures!$BI45)</f>
        <v/>
      </c>
      <c r="Q189" s="20" t="str">
        <f t="shared" si="29"/>
        <v/>
      </c>
      <c r="R189" s="20" t="str">
        <f>IF(A189="","",IF(J189&lt;&gt;"",J189,IF(H189="TIMESTAMP",DAY(INT(M189/1440))&amp;" "&amp;INDEX(nLIST_Months,MONTH(INT(M189/1440)))&amp;" "&amp;YEAR(INT(M189/1440))&amp;" "&amp;RIGHT("0"&amp;INT(MOD(M189,1440)/60),2)&amp;":"&amp;RIGHT("0"&amp;MOD(M189,60),2)&amp;IF(L189=1," (UTC"&amp;I189&amp;")"," (offset unknown)"),IF(H189="DATE",DAY(O189)&amp;" "&amp;INDEX(nLIST_Months,MONTH(O189))&amp;" "&amp;YEAR(O189),IF(H189="MONTH",INDEX(nLIST_Months,MONTH(O189))&amp;" "&amp;YEAR(O189)&amp;" ("&amp;DAY(O189)&amp;" "&amp;INDEX(nLIST_Months,MONTH(O189))&amp;" "&amp;YEAR(O189)&amp;" to "&amp;DAY(P189)&amp;" "&amp;INDEX(nLIST_Months,MONTH(P189))&amp;" "&amp;YEAR(P189)&amp;")",IF(H189="YEAR",YEAR(O189)&amp;" (1 January to 31 December)",DAY(O189)&amp;" "&amp;INDEX(nLIST_Months,MONTH(O189))&amp;" "&amp;YEAR(O189)&amp;" to "&amp;DAY(P189)&amp;" "&amp;INDEX(nLIST_Months,MONTH(P189))&amp;" "&amp;YEAR(P189)&amp;IF(H189="LAB"," (laboratory-defined)","")))))))</f>
        <v/>
      </c>
      <c r="S189" s="20" t="str">
        <f>IF(B189="","",Exposures!$AU45&amp;"")</f>
        <v/>
      </c>
      <c r="T189" s="20" t="str">
        <f>IF(B189="","",Exposures!$BD45&amp;"")</f>
        <v/>
      </c>
      <c r="U189" s="20" t="str">
        <f>IF(B189="","","Exposures row "&amp;ROW(Exposures!$A45)&amp;", Restart")</f>
        <v/>
      </c>
      <c r="V189" s="20">
        <f>IF(A189="",0,COUNTIF(nTP_Key,A189))</f>
        <v>0</v>
      </c>
      <c r="W189" s="20">
        <f t="shared" si="30"/>
        <v>0</v>
      </c>
      <c r="X189" s="20">
        <f t="shared" si="31"/>
        <v>0</v>
      </c>
      <c r="Y189" s="20">
        <f t="shared" si="32"/>
        <v>0</v>
      </c>
      <c r="Z189" s="20">
        <f t="shared" si="33"/>
        <v>0</v>
      </c>
      <c r="AA189" s="20">
        <f t="shared" si="34"/>
        <v>185</v>
      </c>
      <c r="AB189" s="20" t="str">
        <f>""</f>
        <v/>
      </c>
      <c r="AC189" s="20" t="str">
        <f>IF(B189="","",Exposures!$F45&amp;"")</f>
        <v/>
      </c>
      <c r="AD189" s="20" t="str">
        <f>IF(B189="","",Exposures!$E45&amp;": Restart")</f>
        <v/>
      </c>
      <c r="AE189" s="20">
        <f t="shared" si="35"/>
        <v>0</v>
      </c>
      <c r="AF189" s="20" t="str">
        <f t="shared" si="36"/>
        <v/>
      </c>
      <c r="AG189" s="20">
        <f t="shared" si="37"/>
        <v>0</v>
      </c>
      <c r="AH189" s="20" t="str">
        <f>""</f>
        <v/>
      </c>
    </row>
    <row r="190" spans="1:34" x14ac:dyDescent="0.2">
      <c r="A190" s="20" t="str">
        <f t="shared" si="27"/>
        <v/>
      </c>
      <c r="B190" s="20" t="str">
        <f>IF(AND(Exposures!$D46&lt;&gt;"",COUNTA(Exposures!$AV46:$BC46)&gt;0),Exposures!$D46&amp;"/RESTART","")</f>
        <v/>
      </c>
      <c r="C190" s="20" t="str">
        <f t="shared" si="40"/>
        <v/>
      </c>
      <c r="D190" s="20" t="str">
        <f>IF(B190="","",Exposures!$A46&amp;"")</f>
        <v/>
      </c>
      <c r="E190" s="20" t="str">
        <f>IF(B190="","",Exposures!$B46&amp;"")</f>
        <v/>
      </c>
      <c r="F190" s="20" t="str">
        <f t="shared" si="28"/>
        <v/>
      </c>
      <c r="G190" s="20" t="str">
        <f>IF(B190="","",Exposures!$D46&amp;"")</f>
        <v/>
      </c>
      <c r="H190" s="20" t="str">
        <f>IF(B190="","",Exposures!$AV46&amp;"")</f>
        <v/>
      </c>
      <c r="I190" s="20" t="str">
        <f>IF(B190="","",Exposures!$AY46&amp;"")</f>
        <v/>
      </c>
      <c r="J190" s="20" t="str">
        <f>IF(B190="","",Exposures!$BE46&amp;"")</f>
        <v/>
      </c>
      <c r="K190" s="20">
        <f>IF(B190="",0,Exposures!$BF46)</f>
        <v>0</v>
      </c>
      <c r="L190" s="20">
        <f>IF(B190="",0,Exposures!$BG46)</f>
        <v>0</v>
      </c>
      <c r="M190" s="20" t="str">
        <f>IF(B190="","",Exposures!$BJ46)</f>
        <v/>
      </c>
      <c r="N190" s="20" t="str">
        <f>IF(B190="","",Exposures!$BK46)</f>
        <v/>
      </c>
      <c r="O190" s="27" t="str">
        <f>IF(B190="","",Exposures!$BH46)</f>
        <v/>
      </c>
      <c r="P190" s="27" t="str">
        <f>IF(B190="","",Exposures!$BI46)</f>
        <v/>
      </c>
      <c r="Q190" s="20" t="str">
        <f t="shared" si="29"/>
        <v/>
      </c>
      <c r="R190" s="20" t="str">
        <f>IF(A190="","",IF(J190&lt;&gt;"",J190,IF(H190="TIMESTAMP",DAY(INT(M190/1440))&amp;" "&amp;INDEX(nLIST_Months,MONTH(INT(M190/1440)))&amp;" "&amp;YEAR(INT(M190/1440))&amp;" "&amp;RIGHT("0"&amp;INT(MOD(M190,1440)/60),2)&amp;":"&amp;RIGHT("0"&amp;MOD(M190,60),2)&amp;IF(L190=1," (UTC"&amp;I190&amp;")"," (offset unknown)"),IF(H190="DATE",DAY(O190)&amp;" "&amp;INDEX(nLIST_Months,MONTH(O190))&amp;" "&amp;YEAR(O190),IF(H190="MONTH",INDEX(nLIST_Months,MONTH(O190))&amp;" "&amp;YEAR(O190)&amp;" ("&amp;DAY(O190)&amp;" "&amp;INDEX(nLIST_Months,MONTH(O190))&amp;" "&amp;YEAR(O190)&amp;" to "&amp;DAY(P190)&amp;" "&amp;INDEX(nLIST_Months,MONTH(P190))&amp;" "&amp;YEAR(P190)&amp;")",IF(H190="YEAR",YEAR(O190)&amp;" (1 January to 31 December)",DAY(O190)&amp;" "&amp;INDEX(nLIST_Months,MONTH(O190))&amp;" "&amp;YEAR(O190)&amp;" to "&amp;DAY(P190)&amp;" "&amp;INDEX(nLIST_Months,MONTH(P190))&amp;" "&amp;YEAR(P190)&amp;IF(H190="LAB"," (laboratory-defined)","")))))))</f>
        <v/>
      </c>
      <c r="S190" s="20" t="str">
        <f>IF(B190="","",Exposures!$AU46&amp;"")</f>
        <v/>
      </c>
      <c r="T190" s="20" t="str">
        <f>IF(B190="","",Exposures!$BD46&amp;"")</f>
        <v/>
      </c>
      <c r="U190" s="20" t="str">
        <f>IF(B190="","","Exposures row "&amp;ROW(Exposures!$A46)&amp;", Restart")</f>
        <v/>
      </c>
      <c r="V190" s="20">
        <f>IF(A190="",0,COUNTIF(nTP_Key,A190))</f>
        <v>0</v>
      </c>
      <c r="W190" s="20">
        <f t="shared" si="30"/>
        <v>0</v>
      </c>
      <c r="X190" s="20">
        <f t="shared" si="31"/>
        <v>0</v>
      </c>
      <c r="Y190" s="20">
        <f t="shared" si="32"/>
        <v>0</v>
      </c>
      <c r="Z190" s="20">
        <f t="shared" si="33"/>
        <v>0</v>
      </c>
      <c r="AA190" s="20">
        <f t="shared" si="34"/>
        <v>186</v>
      </c>
      <c r="AB190" s="20" t="str">
        <f>""</f>
        <v/>
      </c>
      <c r="AC190" s="20" t="str">
        <f>IF(B190="","",Exposures!$F46&amp;"")</f>
        <v/>
      </c>
      <c r="AD190" s="20" t="str">
        <f>IF(B190="","",Exposures!$E46&amp;": Restart")</f>
        <v/>
      </c>
      <c r="AE190" s="20">
        <f t="shared" si="35"/>
        <v>0</v>
      </c>
      <c r="AF190" s="20" t="str">
        <f t="shared" si="36"/>
        <v/>
      </c>
      <c r="AG190" s="20">
        <f t="shared" si="37"/>
        <v>0</v>
      </c>
      <c r="AH190" s="20" t="str">
        <f>""</f>
        <v/>
      </c>
    </row>
    <row r="191" spans="1:34" x14ac:dyDescent="0.2">
      <c r="A191" s="20" t="str">
        <f t="shared" si="27"/>
        <v/>
      </c>
      <c r="B191" s="20" t="str">
        <f>IF(AND(Exposures!$D47&lt;&gt;"",COUNTA(Exposures!$AV47:$BC47)&gt;0),Exposures!$D47&amp;"/RESTART","")</f>
        <v/>
      </c>
      <c r="C191" s="20" t="str">
        <f t="shared" si="40"/>
        <v/>
      </c>
      <c r="D191" s="20" t="str">
        <f>IF(B191="","",Exposures!$A47&amp;"")</f>
        <v/>
      </c>
      <c r="E191" s="20" t="str">
        <f>IF(B191="","",Exposures!$B47&amp;"")</f>
        <v/>
      </c>
      <c r="F191" s="20" t="str">
        <f t="shared" si="28"/>
        <v/>
      </c>
      <c r="G191" s="20" t="str">
        <f>IF(B191="","",Exposures!$D47&amp;"")</f>
        <v/>
      </c>
      <c r="H191" s="20" t="str">
        <f>IF(B191="","",Exposures!$AV47&amp;"")</f>
        <v/>
      </c>
      <c r="I191" s="20" t="str">
        <f>IF(B191="","",Exposures!$AY47&amp;"")</f>
        <v/>
      </c>
      <c r="J191" s="20" t="str">
        <f>IF(B191="","",Exposures!$BE47&amp;"")</f>
        <v/>
      </c>
      <c r="K191" s="20">
        <f>IF(B191="",0,Exposures!$BF47)</f>
        <v>0</v>
      </c>
      <c r="L191" s="20">
        <f>IF(B191="",0,Exposures!$BG47)</f>
        <v>0</v>
      </c>
      <c r="M191" s="20" t="str">
        <f>IF(B191="","",Exposures!$BJ47)</f>
        <v/>
      </c>
      <c r="N191" s="20" t="str">
        <f>IF(B191="","",Exposures!$BK47)</f>
        <v/>
      </c>
      <c r="O191" s="27" t="str">
        <f>IF(B191="","",Exposures!$BH47)</f>
        <v/>
      </c>
      <c r="P191" s="27" t="str">
        <f>IF(B191="","",Exposures!$BI47)</f>
        <v/>
      </c>
      <c r="Q191" s="20" t="str">
        <f t="shared" si="29"/>
        <v/>
      </c>
      <c r="R191" s="20" t="str">
        <f>IF(A191="","",IF(J191&lt;&gt;"",J191,IF(H191="TIMESTAMP",DAY(INT(M191/1440))&amp;" "&amp;INDEX(nLIST_Months,MONTH(INT(M191/1440)))&amp;" "&amp;YEAR(INT(M191/1440))&amp;" "&amp;RIGHT("0"&amp;INT(MOD(M191,1440)/60),2)&amp;":"&amp;RIGHT("0"&amp;MOD(M191,60),2)&amp;IF(L191=1," (UTC"&amp;I191&amp;")"," (offset unknown)"),IF(H191="DATE",DAY(O191)&amp;" "&amp;INDEX(nLIST_Months,MONTH(O191))&amp;" "&amp;YEAR(O191),IF(H191="MONTH",INDEX(nLIST_Months,MONTH(O191))&amp;" "&amp;YEAR(O191)&amp;" ("&amp;DAY(O191)&amp;" "&amp;INDEX(nLIST_Months,MONTH(O191))&amp;" "&amp;YEAR(O191)&amp;" to "&amp;DAY(P191)&amp;" "&amp;INDEX(nLIST_Months,MONTH(P191))&amp;" "&amp;YEAR(P191)&amp;")",IF(H191="YEAR",YEAR(O191)&amp;" (1 January to 31 December)",DAY(O191)&amp;" "&amp;INDEX(nLIST_Months,MONTH(O191))&amp;" "&amp;YEAR(O191)&amp;" to "&amp;DAY(P191)&amp;" "&amp;INDEX(nLIST_Months,MONTH(P191))&amp;" "&amp;YEAR(P191)&amp;IF(H191="LAB"," (laboratory-defined)","")))))))</f>
        <v/>
      </c>
      <c r="S191" s="20" t="str">
        <f>IF(B191="","",Exposures!$AU47&amp;"")</f>
        <v/>
      </c>
      <c r="T191" s="20" t="str">
        <f>IF(B191="","",Exposures!$BD47&amp;"")</f>
        <v/>
      </c>
      <c r="U191" s="20" t="str">
        <f>IF(B191="","","Exposures row "&amp;ROW(Exposures!$A47)&amp;", Restart")</f>
        <v/>
      </c>
      <c r="V191" s="20">
        <f>IF(A191="",0,COUNTIF(nTP_Key,A191))</f>
        <v>0</v>
      </c>
      <c r="W191" s="20">
        <f t="shared" si="30"/>
        <v>0</v>
      </c>
      <c r="X191" s="20">
        <f t="shared" si="31"/>
        <v>0</v>
      </c>
      <c r="Y191" s="20">
        <f t="shared" si="32"/>
        <v>0</v>
      </c>
      <c r="Z191" s="20">
        <f t="shared" si="33"/>
        <v>0</v>
      </c>
      <c r="AA191" s="20">
        <f t="shared" si="34"/>
        <v>187</v>
      </c>
      <c r="AB191" s="20" t="str">
        <f>""</f>
        <v/>
      </c>
      <c r="AC191" s="20" t="str">
        <f>IF(B191="","",Exposures!$F47&amp;"")</f>
        <v/>
      </c>
      <c r="AD191" s="20" t="str">
        <f>IF(B191="","",Exposures!$E47&amp;": Restart")</f>
        <v/>
      </c>
      <c r="AE191" s="20">
        <f t="shared" si="35"/>
        <v>0</v>
      </c>
      <c r="AF191" s="20" t="str">
        <f t="shared" si="36"/>
        <v/>
      </c>
      <c r="AG191" s="20">
        <f t="shared" si="37"/>
        <v>0</v>
      </c>
      <c r="AH191" s="20" t="str">
        <f>""</f>
        <v/>
      </c>
    </row>
    <row r="192" spans="1:34" x14ac:dyDescent="0.2">
      <c r="A192" s="20" t="str">
        <f t="shared" si="27"/>
        <v/>
      </c>
      <c r="B192" s="20" t="str">
        <f>IF(AND(Exposures!$D48&lt;&gt;"",COUNTA(Exposures!$AV48:$BC48)&gt;0),Exposures!$D48&amp;"/RESTART","")</f>
        <v/>
      </c>
      <c r="C192" s="20" t="str">
        <f t="shared" si="40"/>
        <v/>
      </c>
      <c r="D192" s="20" t="str">
        <f>IF(B192="","",Exposures!$A48&amp;"")</f>
        <v/>
      </c>
      <c r="E192" s="20" t="str">
        <f>IF(B192="","",Exposures!$B48&amp;"")</f>
        <v/>
      </c>
      <c r="F192" s="20" t="str">
        <f t="shared" si="28"/>
        <v/>
      </c>
      <c r="G192" s="20" t="str">
        <f>IF(B192="","",Exposures!$D48&amp;"")</f>
        <v/>
      </c>
      <c r="H192" s="20" t="str">
        <f>IF(B192="","",Exposures!$AV48&amp;"")</f>
        <v/>
      </c>
      <c r="I192" s="20" t="str">
        <f>IF(B192="","",Exposures!$AY48&amp;"")</f>
        <v/>
      </c>
      <c r="J192" s="20" t="str">
        <f>IF(B192="","",Exposures!$BE48&amp;"")</f>
        <v/>
      </c>
      <c r="K192" s="20">
        <f>IF(B192="",0,Exposures!$BF48)</f>
        <v>0</v>
      </c>
      <c r="L192" s="20">
        <f>IF(B192="",0,Exposures!$BG48)</f>
        <v>0</v>
      </c>
      <c r="M192" s="20" t="str">
        <f>IF(B192="","",Exposures!$BJ48)</f>
        <v/>
      </c>
      <c r="N192" s="20" t="str">
        <f>IF(B192="","",Exposures!$BK48)</f>
        <v/>
      </c>
      <c r="O192" s="27" t="str">
        <f>IF(B192="","",Exposures!$BH48)</f>
        <v/>
      </c>
      <c r="P192" s="27" t="str">
        <f>IF(B192="","",Exposures!$BI48)</f>
        <v/>
      </c>
      <c r="Q192" s="20" t="str">
        <f t="shared" si="29"/>
        <v/>
      </c>
      <c r="R192" s="20" t="str">
        <f>IF(A192="","",IF(J192&lt;&gt;"",J192,IF(H192="TIMESTAMP",DAY(INT(M192/1440))&amp;" "&amp;INDEX(nLIST_Months,MONTH(INT(M192/1440)))&amp;" "&amp;YEAR(INT(M192/1440))&amp;" "&amp;RIGHT("0"&amp;INT(MOD(M192,1440)/60),2)&amp;":"&amp;RIGHT("0"&amp;MOD(M192,60),2)&amp;IF(L192=1," (UTC"&amp;I192&amp;")"," (offset unknown)"),IF(H192="DATE",DAY(O192)&amp;" "&amp;INDEX(nLIST_Months,MONTH(O192))&amp;" "&amp;YEAR(O192),IF(H192="MONTH",INDEX(nLIST_Months,MONTH(O192))&amp;" "&amp;YEAR(O192)&amp;" ("&amp;DAY(O192)&amp;" "&amp;INDEX(nLIST_Months,MONTH(O192))&amp;" "&amp;YEAR(O192)&amp;" to "&amp;DAY(P192)&amp;" "&amp;INDEX(nLIST_Months,MONTH(P192))&amp;" "&amp;YEAR(P192)&amp;")",IF(H192="YEAR",YEAR(O192)&amp;" (1 January to 31 December)",DAY(O192)&amp;" "&amp;INDEX(nLIST_Months,MONTH(O192))&amp;" "&amp;YEAR(O192)&amp;" to "&amp;DAY(P192)&amp;" "&amp;INDEX(nLIST_Months,MONTH(P192))&amp;" "&amp;YEAR(P192)&amp;IF(H192="LAB"," (laboratory-defined)","")))))))</f>
        <v/>
      </c>
      <c r="S192" s="20" t="str">
        <f>IF(B192="","",Exposures!$AU48&amp;"")</f>
        <v/>
      </c>
      <c r="T192" s="20" t="str">
        <f>IF(B192="","",Exposures!$BD48&amp;"")</f>
        <v/>
      </c>
      <c r="U192" s="20" t="str">
        <f>IF(B192="","","Exposures row "&amp;ROW(Exposures!$A48)&amp;", Restart")</f>
        <v/>
      </c>
      <c r="V192" s="20">
        <f>IF(A192="",0,COUNTIF(nTP_Key,A192))</f>
        <v>0</v>
      </c>
      <c r="W192" s="20">
        <f t="shared" si="30"/>
        <v>0</v>
      </c>
      <c r="X192" s="20">
        <f t="shared" si="31"/>
        <v>0</v>
      </c>
      <c r="Y192" s="20">
        <f t="shared" si="32"/>
        <v>0</v>
      </c>
      <c r="Z192" s="20">
        <f t="shared" si="33"/>
        <v>0</v>
      </c>
      <c r="AA192" s="20">
        <f t="shared" si="34"/>
        <v>188</v>
      </c>
      <c r="AB192" s="20" t="str">
        <f>""</f>
        <v/>
      </c>
      <c r="AC192" s="20" t="str">
        <f>IF(B192="","",Exposures!$F48&amp;"")</f>
        <v/>
      </c>
      <c r="AD192" s="20" t="str">
        <f>IF(B192="","",Exposures!$E48&amp;": Restart")</f>
        <v/>
      </c>
      <c r="AE192" s="20">
        <f t="shared" si="35"/>
        <v>0</v>
      </c>
      <c r="AF192" s="20" t="str">
        <f t="shared" si="36"/>
        <v/>
      </c>
      <c r="AG192" s="20">
        <f t="shared" si="37"/>
        <v>0</v>
      </c>
      <c r="AH192" s="20" t="str">
        <f>""</f>
        <v/>
      </c>
    </row>
    <row r="193" spans="1:34" x14ac:dyDescent="0.2">
      <c r="A193" s="20" t="str">
        <f t="shared" si="27"/>
        <v/>
      </c>
      <c r="B193" s="20" t="str">
        <f>IF(AND(Exposures!$D49&lt;&gt;"",COUNTA(Exposures!$AV49:$BC49)&gt;0),Exposures!$D49&amp;"/RESTART","")</f>
        <v/>
      </c>
      <c r="C193" s="20" t="str">
        <f t="shared" si="40"/>
        <v/>
      </c>
      <c r="D193" s="20" t="str">
        <f>IF(B193="","",Exposures!$A49&amp;"")</f>
        <v/>
      </c>
      <c r="E193" s="20" t="str">
        <f>IF(B193="","",Exposures!$B49&amp;"")</f>
        <v/>
      </c>
      <c r="F193" s="20" t="str">
        <f t="shared" si="28"/>
        <v/>
      </c>
      <c r="G193" s="20" t="str">
        <f>IF(B193="","",Exposures!$D49&amp;"")</f>
        <v/>
      </c>
      <c r="H193" s="20" t="str">
        <f>IF(B193="","",Exposures!$AV49&amp;"")</f>
        <v/>
      </c>
      <c r="I193" s="20" t="str">
        <f>IF(B193="","",Exposures!$AY49&amp;"")</f>
        <v/>
      </c>
      <c r="J193" s="20" t="str">
        <f>IF(B193="","",Exposures!$BE49&amp;"")</f>
        <v/>
      </c>
      <c r="K193" s="20">
        <f>IF(B193="",0,Exposures!$BF49)</f>
        <v>0</v>
      </c>
      <c r="L193" s="20">
        <f>IF(B193="",0,Exposures!$BG49)</f>
        <v>0</v>
      </c>
      <c r="M193" s="20" t="str">
        <f>IF(B193="","",Exposures!$BJ49)</f>
        <v/>
      </c>
      <c r="N193" s="20" t="str">
        <f>IF(B193="","",Exposures!$BK49)</f>
        <v/>
      </c>
      <c r="O193" s="27" t="str">
        <f>IF(B193="","",Exposures!$BH49)</f>
        <v/>
      </c>
      <c r="P193" s="27" t="str">
        <f>IF(B193="","",Exposures!$BI49)</f>
        <v/>
      </c>
      <c r="Q193" s="20" t="str">
        <f t="shared" si="29"/>
        <v/>
      </c>
      <c r="R193" s="20" t="str">
        <f>IF(A193="","",IF(J193&lt;&gt;"",J193,IF(H193="TIMESTAMP",DAY(INT(M193/1440))&amp;" "&amp;INDEX(nLIST_Months,MONTH(INT(M193/1440)))&amp;" "&amp;YEAR(INT(M193/1440))&amp;" "&amp;RIGHT("0"&amp;INT(MOD(M193,1440)/60),2)&amp;":"&amp;RIGHT("0"&amp;MOD(M193,60),2)&amp;IF(L193=1," (UTC"&amp;I193&amp;")"," (offset unknown)"),IF(H193="DATE",DAY(O193)&amp;" "&amp;INDEX(nLIST_Months,MONTH(O193))&amp;" "&amp;YEAR(O193),IF(H193="MONTH",INDEX(nLIST_Months,MONTH(O193))&amp;" "&amp;YEAR(O193)&amp;" ("&amp;DAY(O193)&amp;" "&amp;INDEX(nLIST_Months,MONTH(O193))&amp;" "&amp;YEAR(O193)&amp;" to "&amp;DAY(P193)&amp;" "&amp;INDEX(nLIST_Months,MONTH(P193))&amp;" "&amp;YEAR(P193)&amp;")",IF(H193="YEAR",YEAR(O193)&amp;" (1 January to 31 December)",DAY(O193)&amp;" "&amp;INDEX(nLIST_Months,MONTH(O193))&amp;" "&amp;YEAR(O193)&amp;" to "&amp;DAY(P193)&amp;" "&amp;INDEX(nLIST_Months,MONTH(P193))&amp;" "&amp;YEAR(P193)&amp;IF(H193="LAB"," (laboratory-defined)","")))))))</f>
        <v/>
      </c>
      <c r="S193" s="20" t="str">
        <f>IF(B193="","",Exposures!$AU49&amp;"")</f>
        <v/>
      </c>
      <c r="T193" s="20" t="str">
        <f>IF(B193="","",Exposures!$BD49&amp;"")</f>
        <v/>
      </c>
      <c r="U193" s="20" t="str">
        <f>IF(B193="","","Exposures row "&amp;ROW(Exposures!$A49)&amp;", Restart")</f>
        <v/>
      </c>
      <c r="V193" s="20">
        <f>IF(A193="",0,COUNTIF(nTP_Key,A193))</f>
        <v>0</v>
      </c>
      <c r="W193" s="20">
        <f t="shared" si="30"/>
        <v>0</v>
      </c>
      <c r="X193" s="20">
        <f t="shared" si="31"/>
        <v>0</v>
      </c>
      <c r="Y193" s="20">
        <f t="shared" si="32"/>
        <v>0</v>
      </c>
      <c r="Z193" s="20">
        <f t="shared" si="33"/>
        <v>0</v>
      </c>
      <c r="AA193" s="20">
        <f t="shared" si="34"/>
        <v>189</v>
      </c>
      <c r="AB193" s="20" t="str">
        <f>""</f>
        <v/>
      </c>
      <c r="AC193" s="20" t="str">
        <f>IF(B193="","",Exposures!$F49&amp;"")</f>
        <v/>
      </c>
      <c r="AD193" s="20" t="str">
        <f>IF(B193="","",Exposures!$E49&amp;": Restart")</f>
        <v/>
      </c>
      <c r="AE193" s="20">
        <f t="shared" si="35"/>
        <v>0</v>
      </c>
      <c r="AF193" s="20" t="str">
        <f t="shared" si="36"/>
        <v/>
      </c>
      <c r="AG193" s="20">
        <f t="shared" si="37"/>
        <v>0</v>
      </c>
      <c r="AH193" s="20" t="str">
        <f>""</f>
        <v/>
      </c>
    </row>
    <row r="194" spans="1:34" x14ac:dyDescent="0.2">
      <c r="A194" s="20" t="str">
        <f t="shared" si="27"/>
        <v/>
      </c>
      <c r="B194" s="20" t="str">
        <f>IF(AND(Exposures!$D50&lt;&gt;"",COUNTA(Exposures!$AV50:$BC50)&gt;0),Exposures!$D50&amp;"/RESTART","")</f>
        <v/>
      </c>
      <c r="C194" s="20" t="str">
        <f t="shared" si="40"/>
        <v/>
      </c>
      <c r="D194" s="20" t="str">
        <f>IF(B194="","",Exposures!$A50&amp;"")</f>
        <v/>
      </c>
      <c r="E194" s="20" t="str">
        <f>IF(B194="","",Exposures!$B50&amp;"")</f>
        <v/>
      </c>
      <c r="F194" s="20" t="str">
        <f t="shared" si="28"/>
        <v/>
      </c>
      <c r="G194" s="20" t="str">
        <f>IF(B194="","",Exposures!$D50&amp;"")</f>
        <v/>
      </c>
      <c r="H194" s="20" t="str">
        <f>IF(B194="","",Exposures!$AV50&amp;"")</f>
        <v/>
      </c>
      <c r="I194" s="20" t="str">
        <f>IF(B194="","",Exposures!$AY50&amp;"")</f>
        <v/>
      </c>
      <c r="J194" s="20" t="str">
        <f>IF(B194="","",Exposures!$BE50&amp;"")</f>
        <v/>
      </c>
      <c r="K194" s="20">
        <f>IF(B194="",0,Exposures!$BF50)</f>
        <v>0</v>
      </c>
      <c r="L194" s="20">
        <f>IF(B194="",0,Exposures!$BG50)</f>
        <v>0</v>
      </c>
      <c r="M194" s="20" t="str">
        <f>IF(B194="","",Exposures!$BJ50)</f>
        <v/>
      </c>
      <c r="N194" s="20" t="str">
        <f>IF(B194="","",Exposures!$BK50)</f>
        <v/>
      </c>
      <c r="O194" s="27" t="str">
        <f>IF(B194="","",Exposures!$BH50)</f>
        <v/>
      </c>
      <c r="P194" s="27" t="str">
        <f>IF(B194="","",Exposures!$BI50)</f>
        <v/>
      </c>
      <c r="Q194" s="20" t="str">
        <f t="shared" si="29"/>
        <v/>
      </c>
      <c r="R194" s="20" t="str">
        <f>IF(A194="","",IF(J194&lt;&gt;"",J194,IF(H194="TIMESTAMP",DAY(INT(M194/1440))&amp;" "&amp;INDEX(nLIST_Months,MONTH(INT(M194/1440)))&amp;" "&amp;YEAR(INT(M194/1440))&amp;" "&amp;RIGHT("0"&amp;INT(MOD(M194,1440)/60),2)&amp;":"&amp;RIGHT("0"&amp;MOD(M194,60),2)&amp;IF(L194=1," (UTC"&amp;I194&amp;")"," (offset unknown)"),IF(H194="DATE",DAY(O194)&amp;" "&amp;INDEX(nLIST_Months,MONTH(O194))&amp;" "&amp;YEAR(O194),IF(H194="MONTH",INDEX(nLIST_Months,MONTH(O194))&amp;" "&amp;YEAR(O194)&amp;" ("&amp;DAY(O194)&amp;" "&amp;INDEX(nLIST_Months,MONTH(O194))&amp;" "&amp;YEAR(O194)&amp;" to "&amp;DAY(P194)&amp;" "&amp;INDEX(nLIST_Months,MONTH(P194))&amp;" "&amp;YEAR(P194)&amp;")",IF(H194="YEAR",YEAR(O194)&amp;" (1 January to 31 December)",DAY(O194)&amp;" "&amp;INDEX(nLIST_Months,MONTH(O194))&amp;" "&amp;YEAR(O194)&amp;" to "&amp;DAY(P194)&amp;" "&amp;INDEX(nLIST_Months,MONTH(P194))&amp;" "&amp;YEAR(P194)&amp;IF(H194="LAB"," (laboratory-defined)","")))))))</f>
        <v/>
      </c>
      <c r="S194" s="20" t="str">
        <f>IF(B194="","",Exposures!$AU50&amp;"")</f>
        <v/>
      </c>
      <c r="T194" s="20" t="str">
        <f>IF(B194="","",Exposures!$BD50&amp;"")</f>
        <v/>
      </c>
      <c r="U194" s="20" t="str">
        <f>IF(B194="","","Exposures row "&amp;ROW(Exposures!$A50)&amp;", Restart")</f>
        <v/>
      </c>
      <c r="V194" s="20">
        <f>IF(A194="",0,COUNTIF(nTP_Key,A194))</f>
        <v>0</v>
      </c>
      <c r="W194" s="20">
        <f t="shared" si="30"/>
        <v>0</v>
      </c>
      <c r="X194" s="20">
        <f t="shared" si="31"/>
        <v>0</v>
      </c>
      <c r="Y194" s="20">
        <f t="shared" si="32"/>
        <v>0</v>
      </c>
      <c r="Z194" s="20">
        <f t="shared" si="33"/>
        <v>0</v>
      </c>
      <c r="AA194" s="20">
        <f t="shared" si="34"/>
        <v>190</v>
      </c>
      <c r="AB194" s="20" t="str">
        <f>""</f>
        <v/>
      </c>
      <c r="AC194" s="20" t="str">
        <f>IF(B194="","",Exposures!$F50&amp;"")</f>
        <v/>
      </c>
      <c r="AD194" s="20" t="str">
        <f>IF(B194="","",Exposures!$E50&amp;": Restart")</f>
        <v/>
      </c>
      <c r="AE194" s="20">
        <f t="shared" si="35"/>
        <v>0</v>
      </c>
      <c r="AF194" s="20" t="str">
        <f t="shared" si="36"/>
        <v/>
      </c>
      <c r="AG194" s="20">
        <f t="shared" si="37"/>
        <v>0</v>
      </c>
      <c r="AH194" s="20" t="str">
        <f>""</f>
        <v/>
      </c>
    </row>
    <row r="195" spans="1:34" x14ac:dyDescent="0.2">
      <c r="A195" s="20" t="str">
        <f t="shared" si="27"/>
        <v/>
      </c>
      <c r="B195" s="20" t="str">
        <f>IF(AND(Exposures!$D51&lt;&gt;"",COUNTA(Exposures!$AV51:$BC51)&gt;0),Exposures!$D51&amp;"/RESTART","")</f>
        <v/>
      </c>
      <c r="C195" s="20" t="str">
        <f t="shared" si="40"/>
        <v/>
      </c>
      <c r="D195" s="20" t="str">
        <f>IF(B195="","",Exposures!$A51&amp;"")</f>
        <v/>
      </c>
      <c r="E195" s="20" t="str">
        <f>IF(B195="","",Exposures!$B51&amp;"")</f>
        <v/>
      </c>
      <c r="F195" s="20" t="str">
        <f t="shared" si="28"/>
        <v/>
      </c>
      <c r="G195" s="20" t="str">
        <f>IF(B195="","",Exposures!$D51&amp;"")</f>
        <v/>
      </c>
      <c r="H195" s="20" t="str">
        <f>IF(B195="","",Exposures!$AV51&amp;"")</f>
        <v/>
      </c>
      <c r="I195" s="20" t="str">
        <f>IF(B195="","",Exposures!$AY51&amp;"")</f>
        <v/>
      </c>
      <c r="J195" s="20" t="str">
        <f>IF(B195="","",Exposures!$BE51&amp;"")</f>
        <v/>
      </c>
      <c r="K195" s="20">
        <f>IF(B195="",0,Exposures!$BF51)</f>
        <v>0</v>
      </c>
      <c r="L195" s="20">
        <f>IF(B195="",0,Exposures!$BG51)</f>
        <v>0</v>
      </c>
      <c r="M195" s="20" t="str">
        <f>IF(B195="","",Exposures!$BJ51)</f>
        <v/>
      </c>
      <c r="N195" s="20" t="str">
        <f>IF(B195="","",Exposures!$BK51)</f>
        <v/>
      </c>
      <c r="O195" s="27" t="str">
        <f>IF(B195="","",Exposures!$BH51)</f>
        <v/>
      </c>
      <c r="P195" s="27" t="str">
        <f>IF(B195="","",Exposures!$BI51)</f>
        <v/>
      </c>
      <c r="Q195" s="20" t="str">
        <f t="shared" si="29"/>
        <v/>
      </c>
      <c r="R195" s="20" t="str">
        <f>IF(A195="","",IF(J195&lt;&gt;"",J195,IF(H195="TIMESTAMP",DAY(INT(M195/1440))&amp;" "&amp;INDEX(nLIST_Months,MONTH(INT(M195/1440)))&amp;" "&amp;YEAR(INT(M195/1440))&amp;" "&amp;RIGHT("0"&amp;INT(MOD(M195,1440)/60),2)&amp;":"&amp;RIGHT("0"&amp;MOD(M195,60),2)&amp;IF(L195=1," (UTC"&amp;I195&amp;")"," (offset unknown)"),IF(H195="DATE",DAY(O195)&amp;" "&amp;INDEX(nLIST_Months,MONTH(O195))&amp;" "&amp;YEAR(O195),IF(H195="MONTH",INDEX(nLIST_Months,MONTH(O195))&amp;" "&amp;YEAR(O195)&amp;" ("&amp;DAY(O195)&amp;" "&amp;INDEX(nLIST_Months,MONTH(O195))&amp;" "&amp;YEAR(O195)&amp;" to "&amp;DAY(P195)&amp;" "&amp;INDEX(nLIST_Months,MONTH(P195))&amp;" "&amp;YEAR(P195)&amp;")",IF(H195="YEAR",YEAR(O195)&amp;" (1 January to 31 December)",DAY(O195)&amp;" "&amp;INDEX(nLIST_Months,MONTH(O195))&amp;" "&amp;YEAR(O195)&amp;" to "&amp;DAY(P195)&amp;" "&amp;INDEX(nLIST_Months,MONTH(P195))&amp;" "&amp;YEAR(P195)&amp;IF(H195="LAB"," (laboratory-defined)","")))))))</f>
        <v/>
      </c>
      <c r="S195" s="20" t="str">
        <f>IF(B195="","",Exposures!$AU51&amp;"")</f>
        <v/>
      </c>
      <c r="T195" s="20" t="str">
        <f>IF(B195="","",Exposures!$BD51&amp;"")</f>
        <v/>
      </c>
      <c r="U195" s="20" t="str">
        <f>IF(B195="","","Exposures row "&amp;ROW(Exposures!$A51)&amp;", Restart")</f>
        <v/>
      </c>
      <c r="V195" s="20">
        <f>IF(A195="",0,COUNTIF(nTP_Key,A195))</f>
        <v>0</v>
      </c>
      <c r="W195" s="20">
        <f t="shared" si="30"/>
        <v>0</v>
      </c>
      <c r="X195" s="20">
        <f t="shared" si="31"/>
        <v>0</v>
      </c>
      <c r="Y195" s="20">
        <f t="shared" si="32"/>
        <v>0</v>
      </c>
      <c r="Z195" s="20">
        <f t="shared" si="33"/>
        <v>0</v>
      </c>
      <c r="AA195" s="20">
        <f t="shared" si="34"/>
        <v>191</v>
      </c>
      <c r="AB195" s="20" t="str">
        <f>""</f>
        <v/>
      </c>
      <c r="AC195" s="20" t="str">
        <f>IF(B195="","",Exposures!$F51&amp;"")</f>
        <v/>
      </c>
      <c r="AD195" s="20" t="str">
        <f>IF(B195="","",Exposures!$E51&amp;": Restart")</f>
        <v/>
      </c>
      <c r="AE195" s="20">
        <f t="shared" si="35"/>
        <v>0</v>
      </c>
      <c r="AF195" s="20" t="str">
        <f t="shared" si="36"/>
        <v/>
      </c>
      <c r="AG195" s="20">
        <f t="shared" si="37"/>
        <v>0</v>
      </c>
      <c r="AH195" s="20" t="str">
        <f>""</f>
        <v/>
      </c>
    </row>
    <row r="196" spans="1:34" x14ac:dyDescent="0.2">
      <c r="A196" s="20" t="str">
        <f t="shared" si="27"/>
        <v/>
      </c>
      <c r="B196" s="20" t="str">
        <f>IF(AND(Exposures!$D52&lt;&gt;"",COUNTA(Exposures!$AV52:$BC52)&gt;0),Exposures!$D52&amp;"/RESTART","")</f>
        <v/>
      </c>
      <c r="C196" s="20" t="str">
        <f t="shared" si="40"/>
        <v/>
      </c>
      <c r="D196" s="20" t="str">
        <f>IF(B196="","",Exposures!$A52&amp;"")</f>
        <v/>
      </c>
      <c r="E196" s="20" t="str">
        <f>IF(B196="","",Exposures!$B52&amp;"")</f>
        <v/>
      </c>
      <c r="F196" s="20" t="str">
        <f t="shared" si="28"/>
        <v/>
      </c>
      <c r="G196" s="20" t="str">
        <f>IF(B196="","",Exposures!$D52&amp;"")</f>
        <v/>
      </c>
      <c r="H196" s="20" t="str">
        <f>IF(B196="","",Exposures!$AV52&amp;"")</f>
        <v/>
      </c>
      <c r="I196" s="20" t="str">
        <f>IF(B196="","",Exposures!$AY52&amp;"")</f>
        <v/>
      </c>
      <c r="J196" s="20" t="str">
        <f>IF(B196="","",Exposures!$BE52&amp;"")</f>
        <v/>
      </c>
      <c r="K196" s="20">
        <f>IF(B196="",0,Exposures!$BF52)</f>
        <v>0</v>
      </c>
      <c r="L196" s="20">
        <f>IF(B196="",0,Exposures!$BG52)</f>
        <v>0</v>
      </c>
      <c r="M196" s="20" t="str">
        <f>IF(B196="","",Exposures!$BJ52)</f>
        <v/>
      </c>
      <c r="N196" s="20" t="str">
        <f>IF(B196="","",Exposures!$BK52)</f>
        <v/>
      </c>
      <c r="O196" s="27" t="str">
        <f>IF(B196="","",Exposures!$BH52)</f>
        <v/>
      </c>
      <c r="P196" s="27" t="str">
        <f>IF(B196="","",Exposures!$BI52)</f>
        <v/>
      </c>
      <c r="Q196" s="20" t="str">
        <f t="shared" si="29"/>
        <v/>
      </c>
      <c r="R196" s="20" t="str">
        <f>IF(A196="","",IF(J196&lt;&gt;"",J196,IF(H196="TIMESTAMP",DAY(INT(M196/1440))&amp;" "&amp;INDEX(nLIST_Months,MONTH(INT(M196/1440)))&amp;" "&amp;YEAR(INT(M196/1440))&amp;" "&amp;RIGHT("0"&amp;INT(MOD(M196,1440)/60),2)&amp;":"&amp;RIGHT("0"&amp;MOD(M196,60),2)&amp;IF(L196=1," (UTC"&amp;I196&amp;")"," (offset unknown)"),IF(H196="DATE",DAY(O196)&amp;" "&amp;INDEX(nLIST_Months,MONTH(O196))&amp;" "&amp;YEAR(O196),IF(H196="MONTH",INDEX(nLIST_Months,MONTH(O196))&amp;" "&amp;YEAR(O196)&amp;" ("&amp;DAY(O196)&amp;" "&amp;INDEX(nLIST_Months,MONTH(O196))&amp;" "&amp;YEAR(O196)&amp;" to "&amp;DAY(P196)&amp;" "&amp;INDEX(nLIST_Months,MONTH(P196))&amp;" "&amp;YEAR(P196)&amp;")",IF(H196="YEAR",YEAR(O196)&amp;" (1 January to 31 December)",DAY(O196)&amp;" "&amp;INDEX(nLIST_Months,MONTH(O196))&amp;" "&amp;YEAR(O196)&amp;" to "&amp;DAY(P196)&amp;" "&amp;INDEX(nLIST_Months,MONTH(P196))&amp;" "&amp;YEAR(P196)&amp;IF(H196="LAB"," (laboratory-defined)","")))))))</f>
        <v/>
      </c>
      <c r="S196" s="20" t="str">
        <f>IF(B196="","",Exposures!$AU52&amp;"")</f>
        <v/>
      </c>
      <c r="T196" s="20" t="str">
        <f>IF(B196="","",Exposures!$BD52&amp;"")</f>
        <v/>
      </c>
      <c r="U196" s="20" t="str">
        <f>IF(B196="","","Exposures row "&amp;ROW(Exposures!$A52)&amp;", Restart")</f>
        <v/>
      </c>
      <c r="V196" s="20">
        <f>IF(A196="",0,COUNTIF(nTP_Key,A196))</f>
        <v>0</v>
      </c>
      <c r="W196" s="20">
        <f t="shared" si="30"/>
        <v>0</v>
      </c>
      <c r="X196" s="20">
        <f t="shared" si="31"/>
        <v>0</v>
      </c>
      <c r="Y196" s="20">
        <f t="shared" si="32"/>
        <v>0</v>
      </c>
      <c r="Z196" s="20">
        <f t="shared" si="33"/>
        <v>0</v>
      </c>
      <c r="AA196" s="20">
        <f t="shared" si="34"/>
        <v>192</v>
      </c>
      <c r="AB196" s="20" t="str">
        <f>""</f>
        <v/>
      </c>
      <c r="AC196" s="20" t="str">
        <f>IF(B196="","",Exposures!$F52&amp;"")</f>
        <v/>
      </c>
      <c r="AD196" s="20" t="str">
        <f>IF(B196="","",Exposures!$E52&amp;": Restart")</f>
        <v/>
      </c>
      <c r="AE196" s="20">
        <f t="shared" si="35"/>
        <v>0</v>
      </c>
      <c r="AF196" s="20" t="str">
        <f t="shared" si="36"/>
        <v/>
      </c>
      <c r="AG196" s="20">
        <f t="shared" si="37"/>
        <v>0</v>
      </c>
      <c r="AH196" s="20" t="str">
        <f>""</f>
        <v/>
      </c>
    </row>
    <row r="197" spans="1:34" x14ac:dyDescent="0.2">
      <c r="A197" s="20" t="str">
        <f t="shared" ref="A197:A260" si="41">IF(B197="","",F197&amp;"|"&amp;B197)</f>
        <v/>
      </c>
      <c r="B197" s="20" t="str">
        <f>IF(AND(Exposures!$D53&lt;&gt;"",COUNTA(Exposures!$AV53:$BC53)&gt;0),Exposures!$D53&amp;"/RESTART","")</f>
        <v/>
      </c>
      <c r="C197" s="20" t="str">
        <f t="shared" si="40"/>
        <v/>
      </c>
      <c r="D197" s="20" t="str">
        <f>IF(B197="","",Exposures!$A53&amp;"")</f>
        <v/>
      </c>
      <c r="E197" s="20" t="str">
        <f>IF(B197="","",Exposures!$B53&amp;"")</f>
        <v/>
      </c>
      <c r="F197" s="20" t="str">
        <f t="shared" ref="F197:F260" si="42">IF(B197="","",D197&amp;"|"&amp;E197)</f>
        <v/>
      </c>
      <c r="G197" s="20" t="str">
        <f>IF(B197="","",Exposures!$D53&amp;"")</f>
        <v/>
      </c>
      <c r="H197" s="20" t="str">
        <f>IF(B197="","",Exposures!$AV53&amp;"")</f>
        <v/>
      </c>
      <c r="I197" s="20" t="str">
        <f>IF(B197="","",Exposures!$AY53&amp;"")</f>
        <v/>
      </c>
      <c r="J197" s="20" t="str">
        <f>IF(B197="","",Exposures!$BE53&amp;"")</f>
        <v/>
      </c>
      <c r="K197" s="20">
        <f>IF(B197="",0,Exposures!$BF53)</f>
        <v>0</v>
      </c>
      <c r="L197" s="20">
        <f>IF(B197="",0,Exposures!$BG53)</f>
        <v>0</v>
      </c>
      <c r="M197" s="20" t="str">
        <f>IF(B197="","",Exposures!$BJ53)</f>
        <v/>
      </c>
      <c r="N197" s="20" t="str">
        <f>IF(B197="","",Exposures!$BK53)</f>
        <v/>
      </c>
      <c r="O197" s="27" t="str">
        <f>IF(B197="","",Exposures!$BH53)</f>
        <v/>
      </c>
      <c r="P197" s="27" t="str">
        <f>IF(B197="","",Exposures!$BI53)</f>
        <v/>
      </c>
      <c r="Q197" s="20" t="str">
        <f t="shared" ref="Q197:Q260" si="43">IF(OR(A197="",J197&lt;&gt;""),"",IF(H197="TIMESTAMP",YEAR(INT(M197/1440))&amp;"-"&amp;RIGHT("0"&amp;MONTH(INT(M197/1440)),2)&amp;"-"&amp;RIGHT("0"&amp;DAY(INT(M197/1440)),2)&amp;"T"&amp;RIGHT("0"&amp;INT(MOD(M197,1440)/60),2)&amp;":"&amp;RIGHT("0"&amp;MOD(M197,60),2)&amp;IF(L197=1,I197,""),IF(H197="DATE",YEAR(O197)&amp;"-"&amp;RIGHT("0"&amp;MONTH(O197),2)&amp;"-"&amp;RIGHT("0"&amp;DAY(O197),2),IF(H197="MONTH",YEAR(O197)&amp;"-"&amp;RIGHT("0"&amp;MONTH(O197),2),IF(H197="YEAR",YEAR(O197)&amp;"",YEAR(O197)&amp;"-"&amp;RIGHT("0"&amp;MONTH(O197),2)&amp;"-"&amp;RIGHT("0"&amp;DAY(O197),2)&amp;"/"&amp;YEAR(P197)&amp;"-"&amp;RIGHT("0"&amp;MONTH(P197),2)&amp;"-"&amp;RIGHT("0"&amp;DAY(P197),2))))))</f>
        <v/>
      </c>
      <c r="R197" s="20" t="str">
        <f>IF(A197="","",IF(J197&lt;&gt;"",J197,IF(H197="TIMESTAMP",DAY(INT(M197/1440))&amp;" "&amp;INDEX(nLIST_Months,MONTH(INT(M197/1440)))&amp;" "&amp;YEAR(INT(M197/1440))&amp;" "&amp;RIGHT("0"&amp;INT(MOD(M197,1440)/60),2)&amp;":"&amp;RIGHT("0"&amp;MOD(M197,60),2)&amp;IF(L197=1," (UTC"&amp;I197&amp;")"," (offset unknown)"),IF(H197="DATE",DAY(O197)&amp;" "&amp;INDEX(nLIST_Months,MONTH(O197))&amp;" "&amp;YEAR(O197),IF(H197="MONTH",INDEX(nLIST_Months,MONTH(O197))&amp;" "&amp;YEAR(O197)&amp;" ("&amp;DAY(O197)&amp;" "&amp;INDEX(nLIST_Months,MONTH(O197))&amp;" "&amp;YEAR(O197)&amp;" to "&amp;DAY(P197)&amp;" "&amp;INDEX(nLIST_Months,MONTH(P197))&amp;" "&amp;YEAR(P197)&amp;")",IF(H197="YEAR",YEAR(O197)&amp;" (1 January to 31 December)",DAY(O197)&amp;" "&amp;INDEX(nLIST_Months,MONTH(O197))&amp;" "&amp;YEAR(O197)&amp;" to "&amp;DAY(P197)&amp;" "&amp;INDEX(nLIST_Months,MONTH(P197))&amp;" "&amp;YEAR(P197)&amp;IF(H197="LAB"," (laboratory-defined)","")))))))</f>
        <v/>
      </c>
      <c r="S197" s="20" t="str">
        <f>IF(B197="","",Exposures!$AU53&amp;"")</f>
        <v/>
      </c>
      <c r="T197" s="20" t="str">
        <f>IF(B197="","",Exposures!$BD53&amp;"")</f>
        <v/>
      </c>
      <c r="U197" s="20" t="str">
        <f>IF(B197="","","Exposures row "&amp;ROW(Exposures!$A53)&amp;", Restart")</f>
        <v/>
      </c>
      <c r="V197" s="20">
        <f>IF(A197="",0,COUNTIF(nTP_Key,A197))</f>
        <v>0</v>
      </c>
      <c r="W197" s="20">
        <f t="shared" ref="W197:W260" si="44">IF(M197="",0,M197)</f>
        <v>0</v>
      </c>
      <c r="X197" s="20">
        <f t="shared" ref="X197:X260" si="45">IF(N197="",0,N197)</f>
        <v>0</v>
      </c>
      <c r="Y197" s="20">
        <f t="shared" ref="Y197:Y260" si="46">IF(O197="",0,O197)</f>
        <v>0</v>
      </c>
      <c r="Z197" s="20">
        <f t="shared" ref="Z197:Z260" si="47">IF(P197="",0,P197)</f>
        <v>0</v>
      </c>
      <c r="AA197" s="20">
        <f t="shared" ref="AA197:AA260" si="48">ROW()-4</f>
        <v>193</v>
      </c>
      <c r="AB197" s="20" t="str">
        <f>""</f>
        <v/>
      </c>
      <c r="AC197" s="20" t="str">
        <f>IF(B197="","",Exposures!$F53&amp;"")</f>
        <v/>
      </c>
      <c r="AD197" s="20" t="str">
        <f>IF(B197="","",Exposures!$E53&amp;": Restart")</f>
        <v/>
      </c>
      <c r="AE197" s="20">
        <f t="shared" ref="AE197:AE260" si="49">IF(AND(A197&lt;&gt;"",OR(C197="EXPOSURE_START",C197="EXPOSURE_RESTART",AND(C197="ADMINISTRATION",AB197&lt;&gt;"INFUSION_SEGMENT"))),1,0)</f>
        <v>0</v>
      </c>
      <c r="AF197" s="20" t="str">
        <f t="shared" ref="AF197:AF260" si="50">IF(AE197=1,F197&amp;"|"&amp;G197,"")</f>
        <v/>
      </c>
      <c r="AG197" s="20">
        <f t="shared" ref="AG197:AG260" si="51">IF(AND(A197&lt;&gt;"",J197="",OR(H197="TIMESTAMP",H197="DATE")),1,0)</f>
        <v>0</v>
      </c>
      <c r="AH197" s="20" t="str">
        <f>""</f>
        <v/>
      </c>
    </row>
    <row r="198" spans="1:34" x14ac:dyDescent="0.2">
      <c r="A198" s="20" t="str">
        <f t="shared" si="41"/>
        <v/>
      </c>
      <c r="B198" s="20" t="str">
        <f>IF(AND(Exposures!$D54&lt;&gt;"",COUNTA(Exposures!$AV54:$BC54)&gt;0),Exposures!$D54&amp;"/RESTART","")</f>
        <v/>
      </c>
      <c r="C198" s="20" t="str">
        <f t="shared" si="40"/>
        <v/>
      </c>
      <c r="D198" s="20" t="str">
        <f>IF(B198="","",Exposures!$A54&amp;"")</f>
        <v/>
      </c>
      <c r="E198" s="20" t="str">
        <f>IF(B198="","",Exposures!$B54&amp;"")</f>
        <v/>
      </c>
      <c r="F198" s="20" t="str">
        <f t="shared" si="42"/>
        <v/>
      </c>
      <c r="G198" s="20" t="str">
        <f>IF(B198="","",Exposures!$D54&amp;"")</f>
        <v/>
      </c>
      <c r="H198" s="20" t="str">
        <f>IF(B198="","",Exposures!$AV54&amp;"")</f>
        <v/>
      </c>
      <c r="I198" s="20" t="str">
        <f>IF(B198="","",Exposures!$AY54&amp;"")</f>
        <v/>
      </c>
      <c r="J198" s="20" t="str">
        <f>IF(B198="","",Exposures!$BE54&amp;"")</f>
        <v/>
      </c>
      <c r="K198" s="20">
        <f>IF(B198="",0,Exposures!$BF54)</f>
        <v>0</v>
      </c>
      <c r="L198" s="20">
        <f>IF(B198="",0,Exposures!$BG54)</f>
        <v>0</v>
      </c>
      <c r="M198" s="20" t="str">
        <f>IF(B198="","",Exposures!$BJ54)</f>
        <v/>
      </c>
      <c r="N198" s="20" t="str">
        <f>IF(B198="","",Exposures!$BK54)</f>
        <v/>
      </c>
      <c r="O198" s="27" t="str">
        <f>IF(B198="","",Exposures!$BH54)</f>
        <v/>
      </c>
      <c r="P198" s="27" t="str">
        <f>IF(B198="","",Exposures!$BI54)</f>
        <v/>
      </c>
      <c r="Q198" s="20" t="str">
        <f t="shared" si="43"/>
        <v/>
      </c>
      <c r="R198" s="20" t="str">
        <f>IF(A198="","",IF(J198&lt;&gt;"",J198,IF(H198="TIMESTAMP",DAY(INT(M198/1440))&amp;" "&amp;INDEX(nLIST_Months,MONTH(INT(M198/1440)))&amp;" "&amp;YEAR(INT(M198/1440))&amp;" "&amp;RIGHT("0"&amp;INT(MOD(M198,1440)/60),2)&amp;":"&amp;RIGHT("0"&amp;MOD(M198,60),2)&amp;IF(L198=1," (UTC"&amp;I198&amp;")"," (offset unknown)"),IF(H198="DATE",DAY(O198)&amp;" "&amp;INDEX(nLIST_Months,MONTH(O198))&amp;" "&amp;YEAR(O198),IF(H198="MONTH",INDEX(nLIST_Months,MONTH(O198))&amp;" "&amp;YEAR(O198)&amp;" ("&amp;DAY(O198)&amp;" "&amp;INDEX(nLIST_Months,MONTH(O198))&amp;" "&amp;YEAR(O198)&amp;" to "&amp;DAY(P198)&amp;" "&amp;INDEX(nLIST_Months,MONTH(P198))&amp;" "&amp;YEAR(P198)&amp;")",IF(H198="YEAR",YEAR(O198)&amp;" (1 January to 31 December)",DAY(O198)&amp;" "&amp;INDEX(nLIST_Months,MONTH(O198))&amp;" "&amp;YEAR(O198)&amp;" to "&amp;DAY(P198)&amp;" "&amp;INDEX(nLIST_Months,MONTH(P198))&amp;" "&amp;YEAR(P198)&amp;IF(H198="LAB"," (laboratory-defined)","")))))))</f>
        <v/>
      </c>
      <c r="S198" s="20" t="str">
        <f>IF(B198="","",Exposures!$AU54&amp;"")</f>
        <v/>
      </c>
      <c r="T198" s="20" t="str">
        <f>IF(B198="","",Exposures!$BD54&amp;"")</f>
        <v/>
      </c>
      <c r="U198" s="20" t="str">
        <f>IF(B198="","","Exposures row "&amp;ROW(Exposures!$A54)&amp;", Restart")</f>
        <v/>
      </c>
      <c r="V198" s="20">
        <f>IF(A198="",0,COUNTIF(nTP_Key,A198))</f>
        <v>0</v>
      </c>
      <c r="W198" s="20">
        <f t="shared" si="44"/>
        <v>0</v>
      </c>
      <c r="X198" s="20">
        <f t="shared" si="45"/>
        <v>0</v>
      </c>
      <c r="Y198" s="20">
        <f t="shared" si="46"/>
        <v>0</v>
      </c>
      <c r="Z198" s="20">
        <f t="shared" si="47"/>
        <v>0</v>
      </c>
      <c r="AA198" s="20">
        <f t="shared" si="48"/>
        <v>194</v>
      </c>
      <c r="AB198" s="20" t="str">
        <f>""</f>
        <v/>
      </c>
      <c r="AC198" s="20" t="str">
        <f>IF(B198="","",Exposures!$F54&amp;"")</f>
        <v/>
      </c>
      <c r="AD198" s="20" t="str">
        <f>IF(B198="","",Exposures!$E54&amp;": Restart")</f>
        <v/>
      </c>
      <c r="AE198" s="20">
        <f t="shared" si="49"/>
        <v>0</v>
      </c>
      <c r="AF198" s="20" t="str">
        <f t="shared" si="50"/>
        <v/>
      </c>
      <c r="AG198" s="20">
        <f t="shared" si="51"/>
        <v>0</v>
      </c>
      <c r="AH198" s="20" t="str">
        <f>""</f>
        <v/>
      </c>
    </row>
    <row r="199" spans="1:34" x14ac:dyDescent="0.2">
      <c r="A199" s="20" t="str">
        <f t="shared" si="41"/>
        <v>VEC-V08|1|EX1/RESTART</v>
      </c>
      <c r="B199" s="20" t="str">
        <f>IF(AND(Exposures!$D55&lt;&gt;"",COUNTA(Exposures!$AV55:$BC55)&gt;0),Exposures!$D55&amp;"/RESTART","")</f>
        <v>EX1/RESTART</v>
      </c>
      <c r="C199" s="20" t="str">
        <f t="shared" si="40"/>
        <v>EXPOSURE_RESTART</v>
      </c>
      <c r="D199" s="20" t="str">
        <f>IF(B199="","",Exposures!$A55&amp;"")</f>
        <v>VEC-V08</v>
      </c>
      <c r="E199" s="20" t="str">
        <f>IF(B199="","",Exposures!$B55&amp;"")</f>
        <v>1</v>
      </c>
      <c r="F199" s="20" t="str">
        <f t="shared" si="42"/>
        <v>VEC-V08|1</v>
      </c>
      <c r="G199" s="20" t="str">
        <f>IF(B199="","",Exposures!$D55&amp;"")</f>
        <v>EX1</v>
      </c>
      <c r="H199" s="20" t="str">
        <f>IF(B199="","",Exposures!$AV55&amp;"")</f>
        <v>DATE</v>
      </c>
      <c r="I199" s="20" t="str">
        <f>IF(B199="","",Exposures!$AY55&amp;"")</f>
        <v/>
      </c>
      <c r="J199" s="20" t="str">
        <f>IF(B199="","",Exposures!$BE55&amp;"")</f>
        <v/>
      </c>
      <c r="K199" s="20">
        <f>IF(B199="",0,Exposures!$BF55)</f>
        <v>0</v>
      </c>
      <c r="L199" s="20">
        <f>IF(B199="",0,Exposures!$BG55)</f>
        <v>0</v>
      </c>
      <c r="M199" s="20" t="str">
        <f>IF(B199="","",Exposures!$BJ55)</f>
        <v/>
      </c>
      <c r="N199" s="20" t="str">
        <f>IF(B199="","",Exposures!$BK55)</f>
        <v/>
      </c>
      <c r="O199" s="27">
        <f>IF(B199="","",Exposures!$BH55)</f>
        <v>46063</v>
      </c>
      <c r="P199" s="27">
        <f>IF(B199="","",Exposures!$BI55)</f>
        <v>46063</v>
      </c>
      <c r="Q199" s="20" t="str">
        <f t="shared" si="43"/>
        <v>2026-02-10</v>
      </c>
      <c r="R199" s="20" t="str">
        <f>IF(A199="","",IF(J199&lt;&gt;"",J199,IF(H199="TIMESTAMP",DAY(INT(M199/1440))&amp;" "&amp;INDEX(nLIST_Months,MONTH(INT(M199/1440)))&amp;" "&amp;YEAR(INT(M199/1440))&amp;" "&amp;RIGHT("0"&amp;INT(MOD(M199,1440)/60),2)&amp;":"&amp;RIGHT("0"&amp;MOD(M199,60),2)&amp;IF(L199=1," (UTC"&amp;I199&amp;")"," (offset unknown)"),IF(H199="DATE",DAY(O199)&amp;" "&amp;INDEX(nLIST_Months,MONTH(O199))&amp;" "&amp;YEAR(O199),IF(H199="MONTH",INDEX(nLIST_Months,MONTH(O199))&amp;" "&amp;YEAR(O199)&amp;" ("&amp;DAY(O199)&amp;" "&amp;INDEX(nLIST_Months,MONTH(O199))&amp;" "&amp;YEAR(O199)&amp;" to "&amp;DAY(P199)&amp;" "&amp;INDEX(nLIST_Months,MONTH(P199))&amp;" "&amp;YEAR(P199)&amp;")",IF(H199="YEAR",YEAR(O199)&amp;" (1 January to 31 December)",DAY(O199)&amp;" "&amp;INDEX(nLIST_Months,MONTH(O199))&amp;" "&amp;YEAR(O199)&amp;" to "&amp;DAY(P199)&amp;" "&amp;INDEX(nLIST_Months,MONTH(P199))&amp;" "&amp;YEAR(P199)&amp;IF(H199="LAB"," (laboratory-defined)","")))))))</f>
        <v>10 February 2026</v>
      </c>
      <c r="S199" s="20" t="str">
        <f>IF(B199="","",Exposures!$AU55&amp;"")</f>
        <v>restart</v>
      </c>
      <c r="T199" s="20" t="str">
        <f>IF(B199="","",Exposures!$BD55&amp;"")</f>
        <v>tto_calc_test_vectors_v1.1.json V08</v>
      </c>
      <c r="U199" s="20" t="str">
        <f>IF(B199="","","Exposures row "&amp;ROW(Exposures!$A55)&amp;", Restart")</f>
        <v>Exposures row 55, Restart</v>
      </c>
      <c r="V199" s="20">
        <f>IF(A199="",0,COUNTIF(nTP_Key,A199))</f>
        <v>1</v>
      </c>
      <c r="W199" s="20">
        <f t="shared" si="44"/>
        <v>0</v>
      </c>
      <c r="X199" s="20">
        <f t="shared" si="45"/>
        <v>0</v>
      </c>
      <c r="Y199" s="20">
        <f t="shared" si="46"/>
        <v>46063</v>
      </c>
      <c r="Z199" s="20">
        <f t="shared" si="47"/>
        <v>46063</v>
      </c>
      <c r="AA199" s="20">
        <f t="shared" si="48"/>
        <v>195</v>
      </c>
      <c r="AB199" s="20" t="str">
        <f>""</f>
        <v/>
      </c>
      <c r="AC199" s="20" t="str">
        <f>IF(B199="","",Exposures!$F55&amp;"")</f>
        <v/>
      </c>
      <c r="AD199" s="20" t="str">
        <f>IF(B199="","",Exposures!$E55&amp;": Restart")</f>
        <v>Vector drug: Restart</v>
      </c>
      <c r="AE199" s="20">
        <f t="shared" si="49"/>
        <v>1</v>
      </c>
      <c r="AF199" s="20" t="str">
        <f t="shared" si="50"/>
        <v>VEC-V08|1|EX1</v>
      </c>
      <c r="AG199" s="20">
        <f t="shared" si="51"/>
        <v>1</v>
      </c>
      <c r="AH199" s="20" t="str">
        <f>""</f>
        <v/>
      </c>
    </row>
    <row r="200" spans="1:34" x14ac:dyDescent="0.2">
      <c r="A200" s="20" t="str">
        <f t="shared" si="41"/>
        <v/>
      </c>
      <c r="B200" s="20" t="str">
        <f>IF(AND(Exposures!$D56&lt;&gt;"",COUNTA(Exposures!$AV56:$BC56)&gt;0),Exposures!$D56&amp;"/RESTART","")</f>
        <v/>
      </c>
      <c r="C200" s="20" t="str">
        <f t="shared" si="40"/>
        <v/>
      </c>
      <c r="D200" s="20" t="str">
        <f>IF(B200="","",Exposures!$A56&amp;"")</f>
        <v/>
      </c>
      <c r="E200" s="20" t="str">
        <f>IF(B200="","",Exposures!$B56&amp;"")</f>
        <v/>
      </c>
      <c r="F200" s="20" t="str">
        <f t="shared" si="42"/>
        <v/>
      </c>
      <c r="G200" s="20" t="str">
        <f>IF(B200="","",Exposures!$D56&amp;"")</f>
        <v/>
      </c>
      <c r="H200" s="20" t="str">
        <f>IF(B200="","",Exposures!$AV56&amp;"")</f>
        <v/>
      </c>
      <c r="I200" s="20" t="str">
        <f>IF(B200="","",Exposures!$AY56&amp;"")</f>
        <v/>
      </c>
      <c r="J200" s="20" t="str">
        <f>IF(B200="","",Exposures!$BE56&amp;"")</f>
        <v/>
      </c>
      <c r="K200" s="20">
        <f>IF(B200="",0,Exposures!$BF56)</f>
        <v>0</v>
      </c>
      <c r="L200" s="20">
        <f>IF(B200="",0,Exposures!$BG56)</f>
        <v>0</v>
      </c>
      <c r="M200" s="20" t="str">
        <f>IF(B200="","",Exposures!$BJ56)</f>
        <v/>
      </c>
      <c r="N200" s="20" t="str">
        <f>IF(B200="","",Exposures!$BK56)</f>
        <v/>
      </c>
      <c r="O200" s="27" t="str">
        <f>IF(B200="","",Exposures!$BH56)</f>
        <v/>
      </c>
      <c r="P200" s="27" t="str">
        <f>IF(B200="","",Exposures!$BI56)</f>
        <v/>
      </c>
      <c r="Q200" s="20" t="str">
        <f t="shared" si="43"/>
        <v/>
      </c>
      <c r="R200" s="20" t="str">
        <f>IF(A200="","",IF(J200&lt;&gt;"",J200,IF(H200="TIMESTAMP",DAY(INT(M200/1440))&amp;" "&amp;INDEX(nLIST_Months,MONTH(INT(M200/1440)))&amp;" "&amp;YEAR(INT(M200/1440))&amp;" "&amp;RIGHT("0"&amp;INT(MOD(M200,1440)/60),2)&amp;":"&amp;RIGHT("0"&amp;MOD(M200,60),2)&amp;IF(L200=1," (UTC"&amp;I200&amp;")"," (offset unknown)"),IF(H200="DATE",DAY(O200)&amp;" "&amp;INDEX(nLIST_Months,MONTH(O200))&amp;" "&amp;YEAR(O200),IF(H200="MONTH",INDEX(nLIST_Months,MONTH(O200))&amp;" "&amp;YEAR(O200)&amp;" ("&amp;DAY(O200)&amp;" "&amp;INDEX(nLIST_Months,MONTH(O200))&amp;" "&amp;YEAR(O200)&amp;" to "&amp;DAY(P200)&amp;" "&amp;INDEX(nLIST_Months,MONTH(P200))&amp;" "&amp;YEAR(P200)&amp;")",IF(H200="YEAR",YEAR(O200)&amp;" (1 January to 31 December)",DAY(O200)&amp;" "&amp;INDEX(nLIST_Months,MONTH(O200))&amp;" "&amp;YEAR(O200)&amp;" to "&amp;DAY(P200)&amp;" "&amp;INDEX(nLIST_Months,MONTH(P200))&amp;" "&amp;YEAR(P200)&amp;IF(H200="LAB"," (laboratory-defined)","")))))))</f>
        <v/>
      </c>
      <c r="S200" s="20" t="str">
        <f>IF(B200="","",Exposures!$AU56&amp;"")</f>
        <v/>
      </c>
      <c r="T200" s="20" t="str">
        <f>IF(B200="","",Exposures!$BD56&amp;"")</f>
        <v/>
      </c>
      <c r="U200" s="20" t="str">
        <f>IF(B200="","","Exposures row "&amp;ROW(Exposures!$A56)&amp;", Restart")</f>
        <v/>
      </c>
      <c r="V200" s="20">
        <f>IF(A200="",0,COUNTIF(nTP_Key,A200))</f>
        <v>0</v>
      </c>
      <c r="W200" s="20">
        <f t="shared" si="44"/>
        <v>0</v>
      </c>
      <c r="X200" s="20">
        <f t="shared" si="45"/>
        <v>0</v>
      </c>
      <c r="Y200" s="20">
        <f t="shared" si="46"/>
        <v>0</v>
      </c>
      <c r="Z200" s="20">
        <f t="shared" si="47"/>
        <v>0</v>
      </c>
      <c r="AA200" s="20">
        <f t="shared" si="48"/>
        <v>196</v>
      </c>
      <c r="AB200" s="20" t="str">
        <f>""</f>
        <v/>
      </c>
      <c r="AC200" s="20" t="str">
        <f>IF(B200="","",Exposures!$F56&amp;"")</f>
        <v/>
      </c>
      <c r="AD200" s="20" t="str">
        <f>IF(B200="","",Exposures!$E56&amp;": Restart")</f>
        <v/>
      </c>
      <c r="AE200" s="20">
        <f t="shared" si="49"/>
        <v>0</v>
      </c>
      <c r="AF200" s="20" t="str">
        <f t="shared" si="50"/>
        <v/>
      </c>
      <c r="AG200" s="20">
        <f t="shared" si="51"/>
        <v>0</v>
      </c>
      <c r="AH200" s="20" t="str">
        <f>""</f>
        <v/>
      </c>
    </row>
    <row r="201" spans="1:34" x14ac:dyDescent="0.2">
      <c r="A201" s="20" t="str">
        <f t="shared" si="41"/>
        <v/>
      </c>
      <c r="B201" s="20" t="str">
        <f>IF(AND(Exposures!$D57&lt;&gt;"",COUNTA(Exposures!$AV57:$BC57)&gt;0),Exposures!$D57&amp;"/RESTART","")</f>
        <v/>
      </c>
      <c r="C201" s="20" t="str">
        <f t="shared" si="40"/>
        <v/>
      </c>
      <c r="D201" s="20" t="str">
        <f>IF(B201="","",Exposures!$A57&amp;"")</f>
        <v/>
      </c>
      <c r="E201" s="20" t="str">
        <f>IF(B201="","",Exposures!$B57&amp;"")</f>
        <v/>
      </c>
      <c r="F201" s="20" t="str">
        <f t="shared" si="42"/>
        <v/>
      </c>
      <c r="G201" s="20" t="str">
        <f>IF(B201="","",Exposures!$D57&amp;"")</f>
        <v/>
      </c>
      <c r="H201" s="20" t="str">
        <f>IF(B201="","",Exposures!$AV57&amp;"")</f>
        <v/>
      </c>
      <c r="I201" s="20" t="str">
        <f>IF(B201="","",Exposures!$AY57&amp;"")</f>
        <v/>
      </c>
      <c r="J201" s="20" t="str">
        <f>IF(B201="","",Exposures!$BE57&amp;"")</f>
        <v/>
      </c>
      <c r="K201" s="20">
        <f>IF(B201="",0,Exposures!$BF57)</f>
        <v>0</v>
      </c>
      <c r="L201" s="20">
        <f>IF(B201="",0,Exposures!$BG57)</f>
        <v>0</v>
      </c>
      <c r="M201" s="20" t="str">
        <f>IF(B201="","",Exposures!$BJ57)</f>
        <v/>
      </c>
      <c r="N201" s="20" t="str">
        <f>IF(B201="","",Exposures!$BK57)</f>
        <v/>
      </c>
      <c r="O201" s="27" t="str">
        <f>IF(B201="","",Exposures!$BH57)</f>
        <v/>
      </c>
      <c r="P201" s="27" t="str">
        <f>IF(B201="","",Exposures!$BI57)</f>
        <v/>
      </c>
      <c r="Q201" s="20" t="str">
        <f t="shared" si="43"/>
        <v/>
      </c>
      <c r="R201" s="20" t="str">
        <f>IF(A201="","",IF(J201&lt;&gt;"",J201,IF(H201="TIMESTAMP",DAY(INT(M201/1440))&amp;" "&amp;INDEX(nLIST_Months,MONTH(INT(M201/1440)))&amp;" "&amp;YEAR(INT(M201/1440))&amp;" "&amp;RIGHT("0"&amp;INT(MOD(M201,1440)/60),2)&amp;":"&amp;RIGHT("0"&amp;MOD(M201,60),2)&amp;IF(L201=1," (UTC"&amp;I201&amp;")"," (offset unknown)"),IF(H201="DATE",DAY(O201)&amp;" "&amp;INDEX(nLIST_Months,MONTH(O201))&amp;" "&amp;YEAR(O201),IF(H201="MONTH",INDEX(nLIST_Months,MONTH(O201))&amp;" "&amp;YEAR(O201)&amp;" ("&amp;DAY(O201)&amp;" "&amp;INDEX(nLIST_Months,MONTH(O201))&amp;" "&amp;YEAR(O201)&amp;" to "&amp;DAY(P201)&amp;" "&amp;INDEX(nLIST_Months,MONTH(P201))&amp;" "&amp;YEAR(P201)&amp;")",IF(H201="YEAR",YEAR(O201)&amp;" (1 January to 31 December)",DAY(O201)&amp;" "&amp;INDEX(nLIST_Months,MONTH(O201))&amp;" "&amp;YEAR(O201)&amp;" to "&amp;DAY(P201)&amp;" "&amp;INDEX(nLIST_Months,MONTH(P201))&amp;" "&amp;YEAR(P201)&amp;IF(H201="LAB"," (laboratory-defined)","")))))))</f>
        <v/>
      </c>
      <c r="S201" s="20" t="str">
        <f>IF(B201="","",Exposures!$AU57&amp;"")</f>
        <v/>
      </c>
      <c r="T201" s="20" t="str">
        <f>IF(B201="","",Exposures!$BD57&amp;"")</f>
        <v/>
      </c>
      <c r="U201" s="20" t="str">
        <f>IF(B201="","","Exposures row "&amp;ROW(Exposures!$A57)&amp;", Restart")</f>
        <v/>
      </c>
      <c r="V201" s="20">
        <f>IF(A201="",0,COUNTIF(nTP_Key,A201))</f>
        <v>0</v>
      </c>
      <c r="W201" s="20">
        <f t="shared" si="44"/>
        <v>0</v>
      </c>
      <c r="X201" s="20">
        <f t="shared" si="45"/>
        <v>0</v>
      </c>
      <c r="Y201" s="20">
        <f t="shared" si="46"/>
        <v>0</v>
      </c>
      <c r="Z201" s="20">
        <f t="shared" si="47"/>
        <v>0</v>
      </c>
      <c r="AA201" s="20">
        <f t="shared" si="48"/>
        <v>197</v>
      </c>
      <c r="AB201" s="20" t="str">
        <f>""</f>
        <v/>
      </c>
      <c r="AC201" s="20" t="str">
        <f>IF(B201="","",Exposures!$F57&amp;"")</f>
        <v/>
      </c>
      <c r="AD201" s="20" t="str">
        <f>IF(B201="","",Exposures!$E57&amp;": Restart")</f>
        <v/>
      </c>
      <c r="AE201" s="20">
        <f t="shared" si="49"/>
        <v>0</v>
      </c>
      <c r="AF201" s="20" t="str">
        <f t="shared" si="50"/>
        <v/>
      </c>
      <c r="AG201" s="20">
        <f t="shared" si="51"/>
        <v>0</v>
      </c>
      <c r="AH201" s="20" t="str">
        <f>""</f>
        <v/>
      </c>
    </row>
    <row r="202" spans="1:34" x14ac:dyDescent="0.2">
      <c r="A202" s="20" t="str">
        <f t="shared" si="41"/>
        <v/>
      </c>
      <c r="B202" s="20" t="str">
        <f>IF(AND(Exposures!$D58&lt;&gt;"",COUNTA(Exposures!$AV58:$BC58)&gt;0),Exposures!$D58&amp;"/RESTART","")</f>
        <v/>
      </c>
      <c r="C202" s="20" t="str">
        <f t="shared" si="40"/>
        <v/>
      </c>
      <c r="D202" s="20" t="str">
        <f>IF(B202="","",Exposures!$A58&amp;"")</f>
        <v/>
      </c>
      <c r="E202" s="20" t="str">
        <f>IF(B202="","",Exposures!$B58&amp;"")</f>
        <v/>
      </c>
      <c r="F202" s="20" t="str">
        <f t="shared" si="42"/>
        <v/>
      </c>
      <c r="G202" s="20" t="str">
        <f>IF(B202="","",Exposures!$D58&amp;"")</f>
        <v/>
      </c>
      <c r="H202" s="20" t="str">
        <f>IF(B202="","",Exposures!$AV58&amp;"")</f>
        <v/>
      </c>
      <c r="I202" s="20" t="str">
        <f>IF(B202="","",Exposures!$AY58&amp;"")</f>
        <v/>
      </c>
      <c r="J202" s="20" t="str">
        <f>IF(B202="","",Exposures!$BE58&amp;"")</f>
        <v/>
      </c>
      <c r="K202" s="20">
        <f>IF(B202="",0,Exposures!$BF58)</f>
        <v>0</v>
      </c>
      <c r="L202" s="20">
        <f>IF(B202="",0,Exposures!$BG58)</f>
        <v>0</v>
      </c>
      <c r="M202" s="20" t="str">
        <f>IF(B202="","",Exposures!$BJ58)</f>
        <v/>
      </c>
      <c r="N202" s="20" t="str">
        <f>IF(B202="","",Exposures!$BK58)</f>
        <v/>
      </c>
      <c r="O202" s="27" t="str">
        <f>IF(B202="","",Exposures!$BH58)</f>
        <v/>
      </c>
      <c r="P202" s="27" t="str">
        <f>IF(B202="","",Exposures!$BI58)</f>
        <v/>
      </c>
      <c r="Q202" s="20" t="str">
        <f t="shared" si="43"/>
        <v/>
      </c>
      <c r="R202" s="20" t="str">
        <f>IF(A202="","",IF(J202&lt;&gt;"",J202,IF(H202="TIMESTAMP",DAY(INT(M202/1440))&amp;" "&amp;INDEX(nLIST_Months,MONTH(INT(M202/1440)))&amp;" "&amp;YEAR(INT(M202/1440))&amp;" "&amp;RIGHT("0"&amp;INT(MOD(M202,1440)/60),2)&amp;":"&amp;RIGHT("0"&amp;MOD(M202,60),2)&amp;IF(L202=1," (UTC"&amp;I202&amp;")"," (offset unknown)"),IF(H202="DATE",DAY(O202)&amp;" "&amp;INDEX(nLIST_Months,MONTH(O202))&amp;" "&amp;YEAR(O202),IF(H202="MONTH",INDEX(nLIST_Months,MONTH(O202))&amp;" "&amp;YEAR(O202)&amp;" ("&amp;DAY(O202)&amp;" "&amp;INDEX(nLIST_Months,MONTH(O202))&amp;" "&amp;YEAR(O202)&amp;" to "&amp;DAY(P202)&amp;" "&amp;INDEX(nLIST_Months,MONTH(P202))&amp;" "&amp;YEAR(P202)&amp;")",IF(H202="YEAR",YEAR(O202)&amp;" (1 January to 31 December)",DAY(O202)&amp;" "&amp;INDEX(nLIST_Months,MONTH(O202))&amp;" "&amp;YEAR(O202)&amp;" to "&amp;DAY(P202)&amp;" "&amp;INDEX(nLIST_Months,MONTH(P202))&amp;" "&amp;YEAR(P202)&amp;IF(H202="LAB"," (laboratory-defined)","")))))))</f>
        <v/>
      </c>
      <c r="S202" s="20" t="str">
        <f>IF(B202="","",Exposures!$AU58&amp;"")</f>
        <v/>
      </c>
      <c r="T202" s="20" t="str">
        <f>IF(B202="","",Exposures!$BD58&amp;"")</f>
        <v/>
      </c>
      <c r="U202" s="20" t="str">
        <f>IF(B202="","","Exposures row "&amp;ROW(Exposures!$A58)&amp;", Restart")</f>
        <v/>
      </c>
      <c r="V202" s="20">
        <f>IF(A202="",0,COUNTIF(nTP_Key,A202))</f>
        <v>0</v>
      </c>
      <c r="W202" s="20">
        <f t="shared" si="44"/>
        <v>0</v>
      </c>
      <c r="X202" s="20">
        <f t="shared" si="45"/>
        <v>0</v>
      </c>
      <c r="Y202" s="20">
        <f t="shared" si="46"/>
        <v>0</v>
      </c>
      <c r="Z202" s="20">
        <f t="shared" si="47"/>
        <v>0</v>
      </c>
      <c r="AA202" s="20">
        <f t="shared" si="48"/>
        <v>198</v>
      </c>
      <c r="AB202" s="20" t="str">
        <f>""</f>
        <v/>
      </c>
      <c r="AC202" s="20" t="str">
        <f>IF(B202="","",Exposures!$F58&amp;"")</f>
        <v/>
      </c>
      <c r="AD202" s="20" t="str">
        <f>IF(B202="","",Exposures!$E58&amp;": Restart")</f>
        <v/>
      </c>
      <c r="AE202" s="20">
        <f t="shared" si="49"/>
        <v>0</v>
      </c>
      <c r="AF202" s="20" t="str">
        <f t="shared" si="50"/>
        <v/>
      </c>
      <c r="AG202" s="20">
        <f t="shared" si="51"/>
        <v>0</v>
      </c>
      <c r="AH202" s="20" t="str">
        <f>""</f>
        <v/>
      </c>
    </row>
    <row r="203" spans="1:34" x14ac:dyDescent="0.2">
      <c r="A203" s="20" t="str">
        <f t="shared" si="41"/>
        <v/>
      </c>
      <c r="B203" s="20" t="str">
        <f>IF(AND(Exposures!$D59&lt;&gt;"",COUNTA(Exposures!$AV59:$BC59)&gt;0),Exposures!$D59&amp;"/RESTART","")</f>
        <v/>
      </c>
      <c r="C203" s="20" t="str">
        <f t="shared" si="40"/>
        <v/>
      </c>
      <c r="D203" s="20" t="str">
        <f>IF(B203="","",Exposures!$A59&amp;"")</f>
        <v/>
      </c>
      <c r="E203" s="20" t="str">
        <f>IF(B203="","",Exposures!$B59&amp;"")</f>
        <v/>
      </c>
      <c r="F203" s="20" t="str">
        <f t="shared" si="42"/>
        <v/>
      </c>
      <c r="G203" s="20" t="str">
        <f>IF(B203="","",Exposures!$D59&amp;"")</f>
        <v/>
      </c>
      <c r="H203" s="20" t="str">
        <f>IF(B203="","",Exposures!$AV59&amp;"")</f>
        <v/>
      </c>
      <c r="I203" s="20" t="str">
        <f>IF(B203="","",Exposures!$AY59&amp;"")</f>
        <v/>
      </c>
      <c r="J203" s="20" t="str">
        <f>IF(B203="","",Exposures!$BE59&amp;"")</f>
        <v/>
      </c>
      <c r="K203" s="20">
        <f>IF(B203="",0,Exposures!$BF59)</f>
        <v>0</v>
      </c>
      <c r="L203" s="20">
        <f>IF(B203="",0,Exposures!$BG59)</f>
        <v>0</v>
      </c>
      <c r="M203" s="20" t="str">
        <f>IF(B203="","",Exposures!$BJ59)</f>
        <v/>
      </c>
      <c r="N203" s="20" t="str">
        <f>IF(B203="","",Exposures!$BK59)</f>
        <v/>
      </c>
      <c r="O203" s="27" t="str">
        <f>IF(B203="","",Exposures!$BH59)</f>
        <v/>
      </c>
      <c r="P203" s="27" t="str">
        <f>IF(B203="","",Exposures!$BI59)</f>
        <v/>
      </c>
      <c r="Q203" s="20" t="str">
        <f t="shared" si="43"/>
        <v/>
      </c>
      <c r="R203" s="20" t="str">
        <f>IF(A203="","",IF(J203&lt;&gt;"",J203,IF(H203="TIMESTAMP",DAY(INT(M203/1440))&amp;" "&amp;INDEX(nLIST_Months,MONTH(INT(M203/1440)))&amp;" "&amp;YEAR(INT(M203/1440))&amp;" "&amp;RIGHT("0"&amp;INT(MOD(M203,1440)/60),2)&amp;":"&amp;RIGHT("0"&amp;MOD(M203,60),2)&amp;IF(L203=1," (UTC"&amp;I203&amp;")"," (offset unknown)"),IF(H203="DATE",DAY(O203)&amp;" "&amp;INDEX(nLIST_Months,MONTH(O203))&amp;" "&amp;YEAR(O203),IF(H203="MONTH",INDEX(nLIST_Months,MONTH(O203))&amp;" "&amp;YEAR(O203)&amp;" ("&amp;DAY(O203)&amp;" "&amp;INDEX(nLIST_Months,MONTH(O203))&amp;" "&amp;YEAR(O203)&amp;" to "&amp;DAY(P203)&amp;" "&amp;INDEX(nLIST_Months,MONTH(P203))&amp;" "&amp;YEAR(P203)&amp;")",IF(H203="YEAR",YEAR(O203)&amp;" (1 January to 31 December)",DAY(O203)&amp;" "&amp;INDEX(nLIST_Months,MONTH(O203))&amp;" "&amp;YEAR(O203)&amp;" to "&amp;DAY(P203)&amp;" "&amp;INDEX(nLIST_Months,MONTH(P203))&amp;" "&amp;YEAR(P203)&amp;IF(H203="LAB"," (laboratory-defined)","")))))))</f>
        <v/>
      </c>
      <c r="S203" s="20" t="str">
        <f>IF(B203="","",Exposures!$AU59&amp;"")</f>
        <v/>
      </c>
      <c r="T203" s="20" t="str">
        <f>IF(B203="","",Exposures!$BD59&amp;"")</f>
        <v/>
      </c>
      <c r="U203" s="20" t="str">
        <f>IF(B203="","","Exposures row "&amp;ROW(Exposures!$A59)&amp;", Restart")</f>
        <v/>
      </c>
      <c r="V203" s="20">
        <f>IF(A203="",0,COUNTIF(nTP_Key,A203))</f>
        <v>0</v>
      </c>
      <c r="W203" s="20">
        <f t="shared" si="44"/>
        <v>0</v>
      </c>
      <c r="X203" s="20">
        <f t="shared" si="45"/>
        <v>0</v>
      </c>
      <c r="Y203" s="20">
        <f t="shared" si="46"/>
        <v>0</v>
      </c>
      <c r="Z203" s="20">
        <f t="shared" si="47"/>
        <v>0</v>
      </c>
      <c r="AA203" s="20">
        <f t="shared" si="48"/>
        <v>199</v>
      </c>
      <c r="AB203" s="20" t="str">
        <f>""</f>
        <v/>
      </c>
      <c r="AC203" s="20" t="str">
        <f>IF(B203="","",Exposures!$F59&amp;"")</f>
        <v/>
      </c>
      <c r="AD203" s="20" t="str">
        <f>IF(B203="","",Exposures!$E59&amp;": Restart")</f>
        <v/>
      </c>
      <c r="AE203" s="20">
        <f t="shared" si="49"/>
        <v>0</v>
      </c>
      <c r="AF203" s="20" t="str">
        <f t="shared" si="50"/>
        <v/>
      </c>
      <c r="AG203" s="20">
        <f t="shared" si="51"/>
        <v>0</v>
      </c>
      <c r="AH203" s="20" t="str">
        <f>""</f>
        <v/>
      </c>
    </row>
    <row r="204" spans="1:34" x14ac:dyDescent="0.2">
      <c r="A204" s="20" t="str">
        <f t="shared" si="41"/>
        <v/>
      </c>
      <c r="B204" s="20" t="str">
        <f>IF(AND(Exposures!$D60&lt;&gt;"",COUNTA(Exposures!$AV60:$BC60)&gt;0),Exposures!$D60&amp;"/RESTART","")</f>
        <v/>
      </c>
      <c r="C204" s="20" t="str">
        <f t="shared" si="40"/>
        <v/>
      </c>
      <c r="D204" s="20" t="str">
        <f>IF(B204="","",Exposures!$A60&amp;"")</f>
        <v/>
      </c>
      <c r="E204" s="20" t="str">
        <f>IF(B204="","",Exposures!$B60&amp;"")</f>
        <v/>
      </c>
      <c r="F204" s="20" t="str">
        <f t="shared" si="42"/>
        <v/>
      </c>
      <c r="G204" s="20" t="str">
        <f>IF(B204="","",Exposures!$D60&amp;"")</f>
        <v/>
      </c>
      <c r="H204" s="20" t="str">
        <f>IF(B204="","",Exposures!$AV60&amp;"")</f>
        <v/>
      </c>
      <c r="I204" s="20" t="str">
        <f>IF(B204="","",Exposures!$AY60&amp;"")</f>
        <v/>
      </c>
      <c r="J204" s="20" t="str">
        <f>IF(B204="","",Exposures!$BE60&amp;"")</f>
        <v/>
      </c>
      <c r="K204" s="20">
        <f>IF(B204="",0,Exposures!$BF60)</f>
        <v>0</v>
      </c>
      <c r="L204" s="20">
        <f>IF(B204="",0,Exposures!$BG60)</f>
        <v>0</v>
      </c>
      <c r="M204" s="20" t="str">
        <f>IF(B204="","",Exposures!$BJ60)</f>
        <v/>
      </c>
      <c r="N204" s="20" t="str">
        <f>IF(B204="","",Exposures!$BK60)</f>
        <v/>
      </c>
      <c r="O204" s="27" t="str">
        <f>IF(B204="","",Exposures!$BH60)</f>
        <v/>
      </c>
      <c r="P204" s="27" t="str">
        <f>IF(B204="","",Exposures!$BI60)</f>
        <v/>
      </c>
      <c r="Q204" s="20" t="str">
        <f t="shared" si="43"/>
        <v/>
      </c>
      <c r="R204" s="20" t="str">
        <f>IF(A204="","",IF(J204&lt;&gt;"",J204,IF(H204="TIMESTAMP",DAY(INT(M204/1440))&amp;" "&amp;INDEX(nLIST_Months,MONTH(INT(M204/1440)))&amp;" "&amp;YEAR(INT(M204/1440))&amp;" "&amp;RIGHT("0"&amp;INT(MOD(M204,1440)/60),2)&amp;":"&amp;RIGHT("0"&amp;MOD(M204,60),2)&amp;IF(L204=1," (UTC"&amp;I204&amp;")"," (offset unknown)"),IF(H204="DATE",DAY(O204)&amp;" "&amp;INDEX(nLIST_Months,MONTH(O204))&amp;" "&amp;YEAR(O204),IF(H204="MONTH",INDEX(nLIST_Months,MONTH(O204))&amp;" "&amp;YEAR(O204)&amp;" ("&amp;DAY(O204)&amp;" "&amp;INDEX(nLIST_Months,MONTH(O204))&amp;" "&amp;YEAR(O204)&amp;" to "&amp;DAY(P204)&amp;" "&amp;INDEX(nLIST_Months,MONTH(P204))&amp;" "&amp;YEAR(P204)&amp;")",IF(H204="YEAR",YEAR(O204)&amp;" (1 January to 31 December)",DAY(O204)&amp;" "&amp;INDEX(nLIST_Months,MONTH(O204))&amp;" "&amp;YEAR(O204)&amp;" to "&amp;DAY(P204)&amp;" "&amp;INDEX(nLIST_Months,MONTH(P204))&amp;" "&amp;YEAR(P204)&amp;IF(H204="LAB"," (laboratory-defined)","")))))))</f>
        <v/>
      </c>
      <c r="S204" s="20" t="str">
        <f>IF(B204="","",Exposures!$AU60&amp;"")</f>
        <v/>
      </c>
      <c r="T204" s="20" t="str">
        <f>IF(B204="","",Exposures!$BD60&amp;"")</f>
        <v/>
      </c>
      <c r="U204" s="20" t="str">
        <f>IF(B204="","","Exposures row "&amp;ROW(Exposures!$A60)&amp;", Restart")</f>
        <v/>
      </c>
      <c r="V204" s="20">
        <f>IF(A204="",0,COUNTIF(nTP_Key,A204))</f>
        <v>0</v>
      </c>
      <c r="W204" s="20">
        <f t="shared" si="44"/>
        <v>0</v>
      </c>
      <c r="X204" s="20">
        <f t="shared" si="45"/>
        <v>0</v>
      </c>
      <c r="Y204" s="20">
        <f t="shared" si="46"/>
        <v>0</v>
      </c>
      <c r="Z204" s="20">
        <f t="shared" si="47"/>
        <v>0</v>
      </c>
      <c r="AA204" s="20">
        <f t="shared" si="48"/>
        <v>200</v>
      </c>
      <c r="AB204" s="20" t="str">
        <f>""</f>
        <v/>
      </c>
      <c r="AC204" s="20" t="str">
        <f>IF(B204="","",Exposures!$F60&amp;"")</f>
        <v/>
      </c>
      <c r="AD204" s="20" t="str">
        <f>IF(B204="","",Exposures!$E60&amp;": Restart")</f>
        <v/>
      </c>
      <c r="AE204" s="20">
        <f t="shared" si="49"/>
        <v>0</v>
      </c>
      <c r="AF204" s="20" t="str">
        <f t="shared" si="50"/>
        <v/>
      </c>
      <c r="AG204" s="20">
        <f t="shared" si="51"/>
        <v>0</v>
      </c>
      <c r="AH204" s="20" t="str">
        <f>""</f>
        <v/>
      </c>
    </row>
    <row r="205" spans="1:34" x14ac:dyDescent="0.2">
      <c r="A205" s="20" t="str">
        <f t="shared" si="41"/>
        <v/>
      </c>
      <c r="B205" s="20" t="str">
        <f>IF(AND(Exposures!$D61&lt;&gt;"",COUNTA(Exposures!$AV61:$BC61)&gt;0),Exposures!$D61&amp;"/RESTART","")</f>
        <v/>
      </c>
      <c r="C205" s="20" t="str">
        <f t="shared" si="40"/>
        <v/>
      </c>
      <c r="D205" s="20" t="str">
        <f>IF(B205="","",Exposures!$A61&amp;"")</f>
        <v/>
      </c>
      <c r="E205" s="20" t="str">
        <f>IF(B205="","",Exposures!$B61&amp;"")</f>
        <v/>
      </c>
      <c r="F205" s="20" t="str">
        <f t="shared" si="42"/>
        <v/>
      </c>
      <c r="G205" s="20" t="str">
        <f>IF(B205="","",Exposures!$D61&amp;"")</f>
        <v/>
      </c>
      <c r="H205" s="20" t="str">
        <f>IF(B205="","",Exposures!$AV61&amp;"")</f>
        <v/>
      </c>
      <c r="I205" s="20" t="str">
        <f>IF(B205="","",Exposures!$AY61&amp;"")</f>
        <v/>
      </c>
      <c r="J205" s="20" t="str">
        <f>IF(B205="","",Exposures!$BE61&amp;"")</f>
        <v/>
      </c>
      <c r="K205" s="20">
        <f>IF(B205="",0,Exposures!$BF61)</f>
        <v>0</v>
      </c>
      <c r="L205" s="20">
        <f>IF(B205="",0,Exposures!$BG61)</f>
        <v>0</v>
      </c>
      <c r="M205" s="20" t="str">
        <f>IF(B205="","",Exposures!$BJ61)</f>
        <v/>
      </c>
      <c r="N205" s="20" t="str">
        <f>IF(B205="","",Exposures!$BK61)</f>
        <v/>
      </c>
      <c r="O205" s="27" t="str">
        <f>IF(B205="","",Exposures!$BH61)</f>
        <v/>
      </c>
      <c r="P205" s="27" t="str">
        <f>IF(B205="","",Exposures!$BI61)</f>
        <v/>
      </c>
      <c r="Q205" s="20" t="str">
        <f t="shared" si="43"/>
        <v/>
      </c>
      <c r="R205" s="20" t="str">
        <f>IF(A205="","",IF(J205&lt;&gt;"",J205,IF(H205="TIMESTAMP",DAY(INT(M205/1440))&amp;" "&amp;INDEX(nLIST_Months,MONTH(INT(M205/1440)))&amp;" "&amp;YEAR(INT(M205/1440))&amp;" "&amp;RIGHT("0"&amp;INT(MOD(M205,1440)/60),2)&amp;":"&amp;RIGHT("0"&amp;MOD(M205,60),2)&amp;IF(L205=1," (UTC"&amp;I205&amp;")"," (offset unknown)"),IF(H205="DATE",DAY(O205)&amp;" "&amp;INDEX(nLIST_Months,MONTH(O205))&amp;" "&amp;YEAR(O205),IF(H205="MONTH",INDEX(nLIST_Months,MONTH(O205))&amp;" "&amp;YEAR(O205)&amp;" ("&amp;DAY(O205)&amp;" "&amp;INDEX(nLIST_Months,MONTH(O205))&amp;" "&amp;YEAR(O205)&amp;" to "&amp;DAY(P205)&amp;" "&amp;INDEX(nLIST_Months,MONTH(P205))&amp;" "&amp;YEAR(P205)&amp;")",IF(H205="YEAR",YEAR(O205)&amp;" (1 January to 31 December)",DAY(O205)&amp;" "&amp;INDEX(nLIST_Months,MONTH(O205))&amp;" "&amp;YEAR(O205)&amp;" to "&amp;DAY(P205)&amp;" "&amp;INDEX(nLIST_Months,MONTH(P205))&amp;" "&amp;YEAR(P205)&amp;IF(H205="LAB"," (laboratory-defined)","")))))))</f>
        <v/>
      </c>
      <c r="S205" s="20" t="str">
        <f>IF(B205="","",Exposures!$AU61&amp;"")</f>
        <v/>
      </c>
      <c r="T205" s="20" t="str">
        <f>IF(B205="","",Exposures!$BD61&amp;"")</f>
        <v/>
      </c>
      <c r="U205" s="20" t="str">
        <f>IF(B205="","","Exposures row "&amp;ROW(Exposures!$A61)&amp;", Restart")</f>
        <v/>
      </c>
      <c r="V205" s="20">
        <f>IF(A205="",0,COUNTIF(nTP_Key,A205))</f>
        <v>0</v>
      </c>
      <c r="W205" s="20">
        <f t="shared" si="44"/>
        <v>0</v>
      </c>
      <c r="X205" s="20">
        <f t="shared" si="45"/>
        <v>0</v>
      </c>
      <c r="Y205" s="20">
        <f t="shared" si="46"/>
        <v>0</v>
      </c>
      <c r="Z205" s="20">
        <f t="shared" si="47"/>
        <v>0</v>
      </c>
      <c r="AA205" s="20">
        <f t="shared" si="48"/>
        <v>201</v>
      </c>
      <c r="AB205" s="20" t="str">
        <f>""</f>
        <v/>
      </c>
      <c r="AC205" s="20" t="str">
        <f>IF(B205="","",Exposures!$F61&amp;"")</f>
        <v/>
      </c>
      <c r="AD205" s="20" t="str">
        <f>IF(B205="","",Exposures!$E61&amp;": Restart")</f>
        <v/>
      </c>
      <c r="AE205" s="20">
        <f t="shared" si="49"/>
        <v>0</v>
      </c>
      <c r="AF205" s="20" t="str">
        <f t="shared" si="50"/>
        <v/>
      </c>
      <c r="AG205" s="20">
        <f t="shared" si="51"/>
        <v>0</v>
      </c>
      <c r="AH205" s="20" t="str">
        <f>""</f>
        <v/>
      </c>
    </row>
    <row r="206" spans="1:34" x14ac:dyDescent="0.2">
      <c r="A206" s="20" t="str">
        <f t="shared" si="41"/>
        <v/>
      </c>
      <c r="B206" s="20" t="str">
        <f>IF(AND(Exposures!$D62&lt;&gt;"",COUNTA(Exposures!$AV62:$BC62)&gt;0),Exposures!$D62&amp;"/RESTART","")</f>
        <v/>
      </c>
      <c r="C206" s="20" t="str">
        <f t="shared" si="40"/>
        <v/>
      </c>
      <c r="D206" s="20" t="str">
        <f>IF(B206="","",Exposures!$A62&amp;"")</f>
        <v/>
      </c>
      <c r="E206" s="20" t="str">
        <f>IF(B206="","",Exposures!$B62&amp;"")</f>
        <v/>
      </c>
      <c r="F206" s="20" t="str">
        <f t="shared" si="42"/>
        <v/>
      </c>
      <c r="G206" s="20" t="str">
        <f>IF(B206="","",Exposures!$D62&amp;"")</f>
        <v/>
      </c>
      <c r="H206" s="20" t="str">
        <f>IF(B206="","",Exposures!$AV62&amp;"")</f>
        <v/>
      </c>
      <c r="I206" s="20" t="str">
        <f>IF(B206="","",Exposures!$AY62&amp;"")</f>
        <v/>
      </c>
      <c r="J206" s="20" t="str">
        <f>IF(B206="","",Exposures!$BE62&amp;"")</f>
        <v/>
      </c>
      <c r="K206" s="20">
        <f>IF(B206="",0,Exposures!$BF62)</f>
        <v>0</v>
      </c>
      <c r="L206" s="20">
        <f>IF(B206="",0,Exposures!$BG62)</f>
        <v>0</v>
      </c>
      <c r="M206" s="20" t="str">
        <f>IF(B206="","",Exposures!$BJ62)</f>
        <v/>
      </c>
      <c r="N206" s="20" t="str">
        <f>IF(B206="","",Exposures!$BK62)</f>
        <v/>
      </c>
      <c r="O206" s="27" t="str">
        <f>IF(B206="","",Exposures!$BH62)</f>
        <v/>
      </c>
      <c r="P206" s="27" t="str">
        <f>IF(B206="","",Exposures!$BI62)</f>
        <v/>
      </c>
      <c r="Q206" s="20" t="str">
        <f t="shared" si="43"/>
        <v/>
      </c>
      <c r="R206" s="20" t="str">
        <f>IF(A206="","",IF(J206&lt;&gt;"",J206,IF(H206="TIMESTAMP",DAY(INT(M206/1440))&amp;" "&amp;INDEX(nLIST_Months,MONTH(INT(M206/1440)))&amp;" "&amp;YEAR(INT(M206/1440))&amp;" "&amp;RIGHT("0"&amp;INT(MOD(M206,1440)/60),2)&amp;":"&amp;RIGHT("0"&amp;MOD(M206,60),2)&amp;IF(L206=1," (UTC"&amp;I206&amp;")"," (offset unknown)"),IF(H206="DATE",DAY(O206)&amp;" "&amp;INDEX(nLIST_Months,MONTH(O206))&amp;" "&amp;YEAR(O206),IF(H206="MONTH",INDEX(nLIST_Months,MONTH(O206))&amp;" "&amp;YEAR(O206)&amp;" ("&amp;DAY(O206)&amp;" "&amp;INDEX(nLIST_Months,MONTH(O206))&amp;" "&amp;YEAR(O206)&amp;" to "&amp;DAY(P206)&amp;" "&amp;INDEX(nLIST_Months,MONTH(P206))&amp;" "&amp;YEAR(P206)&amp;")",IF(H206="YEAR",YEAR(O206)&amp;" (1 January to 31 December)",DAY(O206)&amp;" "&amp;INDEX(nLIST_Months,MONTH(O206))&amp;" "&amp;YEAR(O206)&amp;" to "&amp;DAY(P206)&amp;" "&amp;INDEX(nLIST_Months,MONTH(P206))&amp;" "&amp;YEAR(P206)&amp;IF(H206="LAB"," (laboratory-defined)","")))))))</f>
        <v/>
      </c>
      <c r="S206" s="20" t="str">
        <f>IF(B206="","",Exposures!$AU62&amp;"")</f>
        <v/>
      </c>
      <c r="T206" s="20" t="str">
        <f>IF(B206="","",Exposures!$BD62&amp;"")</f>
        <v/>
      </c>
      <c r="U206" s="20" t="str">
        <f>IF(B206="","","Exposures row "&amp;ROW(Exposures!$A62)&amp;", Restart")</f>
        <v/>
      </c>
      <c r="V206" s="20">
        <f>IF(A206="",0,COUNTIF(nTP_Key,A206))</f>
        <v>0</v>
      </c>
      <c r="W206" s="20">
        <f t="shared" si="44"/>
        <v>0</v>
      </c>
      <c r="X206" s="20">
        <f t="shared" si="45"/>
        <v>0</v>
      </c>
      <c r="Y206" s="20">
        <f t="shared" si="46"/>
        <v>0</v>
      </c>
      <c r="Z206" s="20">
        <f t="shared" si="47"/>
        <v>0</v>
      </c>
      <c r="AA206" s="20">
        <f t="shared" si="48"/>
        <v>202</v>
      </c>
      <c r="AB206" s="20" t="str">
        <f>""</f>
        <v/>
      </c>
      <c r="AC206" s="20" t="str">
        <f>IF(B206="","",Exposures!$F62&amp;"")</f>
        <v/>
      </c>
      <c r="AD206" s="20" t="str">
        <f>IF(B206="","",Exposures!$E62&amp;": Restart")</f>
        <v/>
      </c>
      <c r="AE206" s="20">
        <f t="shared" si="49"/>
        <v>0</v>
      </c>
      <c r="AF206" s="20" t="str">
        <f t="shared" si="50"/>
        <v/>
      </c>
      <c r="AG206" s="20">
        <f t="shared" si="51"/>
        <v>0</v>
      </c>
      <c r="AH206" s="20" t="str">
        <f>""</f>
        <v/>
      </c>
    </row>
    <row r="207" spans="1:34" x14ac:dyDescent="0.2">
      <c r="A207" s="20" t="str">
        <f t="shared" si="41"/>
        <v/>
      </c>
      <c r="B207" s="20" t="str">
        <f>IF(AND(Exposures!$D63&lt;&gt;"",COUNTA(Exposures!$AV63:$BC63)&gt;0),Exposures!$D63&amp;"/RESTART","")</f>
        <v/>
      </c>
      <c r="C207" s="20" t="str">
        <f t="shared" si="40"/>
        <v/>
      </c>
      <c r="D207" s="20" t="str">
        <f>IF(B207="","",Exposures!$A63&amp;"")</f>
        <v/>
      </c>
      <c r="E207" s="20" t="str">
        <f>IF(B207="","",Exposures!$B63&amp;"")</f>
        <v/>
      </c>
      <c r="F207" s="20" t="str">
        <f t="shared" si="42"/>
        <v/>
      </c>
      <c r="G207" s="20" t="str">
        <f>IF(B207="","",Exposures!$D63&amp;"")</f>
        <v/>
      </c>
      <c r="H207" s="20" t="str">
        <f>IF(B207="","",Exposures!$AV63&amp;"")</f>
        <v/>
      </c>
      <c r="I207" s="20" t="str">
        <f>IF(B207="","",Exposures!$AY63&amp;"")</f>
        <v/>
      </c>
      <c r="J207" s="20" t="str">
        <f>IF(B207="","",Exposures!$BE63&amp;"")</f>
        <v/>
      </c>
      <c r="K207" s="20">
        <f>IF(B207="",0,Exposures!$BF63)</f>
        <v>0</v>
      </c>
      <c r="L207" s="20">
        <f>IF(B207="",0,Exposures!$BG63)</f>
        <v>0</v>
      </c>
      <c r="M207" s="20" t="str">
        <f>IF(B207="","",Exposures!$BJ63)</f>
        <v/>
      </c>
      <c r="N207" s="20" t="str">
        <f>IF(B207="","",Exposures!$BK63)</f>
        <v/>
      </c>
      <c r="O207" s="27" t="str">
        <f>IF(B207="","",Exposures!$BH63)</f>
        <v/>
      </c>
      <c r="P207" s="27" t="str">
        <f>IF(B207="","",Exposures!$BI63)</f>
        <v/>
      </c>
      <c r="Q207" s="20" t="str">
        <f t="shared" si="43"/>
        <v/>
      </c>
      <c r="R207" s="20" t="str">
        <f>IF(A207="","",IF(J207&lt;&gt;"",J207,IF(H207="TIMESTAMP",DAY(INT(M207/1440))&amp;" "&amp;INDEX(nLIST_Months,MONTH(INT(M207/1440)))&amp;" "&amp;YEAR(INT(M207/1440))&amp;" "&amp;RIGHT("0"&amp;INT(MOD(M207,1440)/60),2)&amp;":"&amp;RIGHT("0"&amp;MOD(M207,60),2)&amp;IF(L207=1," (UTC"&amp;I207&amp;")"," (offset unknown)"),IF(H207="DATE",DAY(O207)&amp;" "&amp;INDEX(nLIST_Months,MONTH(O207))&amp;" "&amp;YEAR(O207),IF(H207="MONTH",INDEX(nLIST_Months,MONTH(O207))&amp;" "&amp;YEAR(O207)&amp;" ("&amp;DAY(O207)&amp;" "&amp;INDEX(nLIST_Months,MONTH(O207))&amp;" "&amp;YEAR(O207)&amp;" to "&amp;DAY(P207)&amp;" "&amp;INDEX(nLIST_Months,MONTH(P207))&amp;" "&amp;YEAR(P207)&amp;")",IF(H207="YEAR",YEAR(O207)&amp;" (1 January to 31 December)",DAY(O207)&amp;" "&amp;INDEX(nLIST_Months,MONTH(O207))&amp;" "&amp;YEAR(O207)&amp;" to "&amp;DAY(P207)&amp;" "&amp;INDEX(nLIST_Months,MONTH(P207))&amp;" "&amp;YEAR(P207)&amp;IF(H207="LAB"," (laboratory-defined)","")))))))</f>
        <v/>
      </c>
      <c r="S207" s="20" t="str">
        <f>IF(B207="","",Exposures!$AU63&amp;"")</f>
        <v/>
      </c>
      <c r="T207" s="20" t="str">
        <f>IF(B207="","",Exposures!$BD63&amp;"")</f>
        <v/>
      </c>
      <c r="U207" s="20" t="str">
        <f>IF(B207="","","Exposures row "&amp;ROW(Exposures!$A63)&amp;", Restart")</f>
        <v/>
      </c>
      <c r="V207" s="20">
        <f>IF(A207="",0,COUNTIF(nTP_Key,A207))</f>
        <v>0</v>
      </c>
      <c r="W207" s="20">
        <f t="shared" si="44"/>
        <v>0</v>
      </c>
      <c r="X207" s="20">
        <f t="shared" si="45"/>
        <v>0</v>
      </c>
      <c r="Y207" s="20">
        <f t="shared" si="46"/>
        <v>0</v>
      </c>
      <c r="Z207" s="20">
        <f t="shared" si="47"/>
        <v>0</v>
      </c>
      <c r="AA207" s="20">
        <f t="shared" si="48"/>
        <v>203</v>
      </c>
      <c r="AB207" s="20" t="str">
        <f>""</f>
        <v/>
      </c>
      <c r="AC207" s="20" t="str">
        <f>IF(B207="","",Exposures!$F63&amp;"")</f>
        <v/>
      </c>
      <c r="AD207" s="20" t="str">
        <f>IF(B207="","",Exposures!$E63&amp;": Restart")</f>
        <v/>
      </c>
      <c r="AE207" s="20">
        <f t="shared" si="49"/>
        <v>0</v>
      </c>
      <c r="AF207" s="20" t="str">
        <f t="shared" si="50"/>
        <v/>
      </c>
      <c r="AG207" s="20">
        <f t="shared" si="51"/>
        <v>0</v>
      </c>
      <c r="AH207" s="20" t="str">
        <f>""</f>
        <v/>
      </c>
    </row>
    <row r="208" spans="1:34" x14ac:dyDescent="0.2">
      <c r="A208" s="20" t="str">
        <f t="shared" si="41"/>
        <v/>
      </c>
      <c r="B208" s="20" t="str">
        <f>IF(AND(Exposures!$D64&lt;&gt;"",COUNTA(Exposures!$AV64:$BC64)&gt;0),Exposures!$D64&amp;"/RESTART","")</f>
        <v/>
      </c>
      <c r="C208" s="20" t="str">
        <f t="shared" si="40"/>
        <v/>
      </c>
      <c r="D208" s="20" t="str">
        <f>IF(B208="","",Exposures!$A64&amp;"")</f>
        <v/>
      </c>
      <c r="E208" s="20" t="str">
        <f>IF(B208="","",Exposures!$B64&amp;"")</f>
        <v/>
      </c>
      <c r="F208" s="20" t="str">
        <f t="shared" si="42"/>
        <v/>
      </c>
      <c r="G208" s="20" t="str">
        <f>IF(B208="","",Exposures!$D64&amp;"")</f>
        <v/>
      </c>
      <c r="H208" s="20" t="str">
        <f>IF(B208="","",Exposures!$AV64&amp;"")</f>
        <v/>
      </c>
      <c r="I208" s="20" t="str">
        <f>IF(B208="","",Exposures!$AY64&amp;"")</f>
        <v/>
      </c>
      <c r="J208" s="20" t="str">
        <f>IF(B208="","",Exposures!$BE64&amp;"")</f>
        <v/>
      </c>
      <c r="K208" s="20">
        <f>IF(B208="",0,Exposures!$BF64)</f>
        <v>0</v>
      </c>
      <c r="L208" s="20">
        <f>IF(B208="",0,Exposures!$BG64)</f>
        <v>0</v>
      </c>
      <c r="M208" s="20" t="str">
        <f>IF(B208="","",Exposures!$BJ64)</f>
        <v/>
      </c>
      <c r="N208" s="20" t="str">
        <f>IF(B208="","",Exposures!$BK64)</f>
        <v/>
      </c>
      <c r="O208" s="27" t="str">
        <f>IF(B208="","",Exposures!$BH64)</f>
        <v/>
      </c>
      <c r="P208" s="27" t="str">
        <f>IF(B208="","",Exposures!$BI64)</f>
        <v/>
      </c>
      <c r="Q208" s="20" t="str">
        <f t="shared" si="43"/>
        <v/>
      </c>
      <c r="R208" s="20" t="str">
        <f>IF(A208="","",IF(J208&lt;&gt;"",J208,IF(H208="TIMESTAMP",DAY(INT(M208/1440))&amp;" "&amp;INDEX(nLIST_Months,MONTH(INT(M208/1440)))&amp;" "&amp;YEAR(INT(M208/1440))&amp;" "&amp;RIGHT("0"&amp;INT(MOD(M208,1440)/60),2)&amp;":"&amp;RIGHT("0"&amp;MOD(M208,60),2)&amp;IF(L208=1," (UTC"&amp;I208&amp;")"," (offset unknown)"),IF(H208="DATE",DAY(O208)&amp;" "&amp;INDEX(nLIST_Months,MONTH(O208))&amp;" "&amp;YEAR(O208),IF(H208="MONTH",INDEX(nLIST_Months,MONTH(O208))&amp;" "&amp;YEAR(O208)&amp;" ("&amp;DAY(O208)&amp;" "&amp;INDEX(nLIST_Months,MONTH(O208))&amp;" "&amp;YEAR(O208)&amp;" to "&amp;DAY(P208)&amp;" "&amp;INDEX(nLIST_Months,MONTH(P208))&amp;" "&amp;YEAR(P208)&amp;")",IF(H208="YEAR",YEAR(O208)&amp;" (1 January to 31 December)",DAY(O208)&amp;" "&amp;INDEX(nLIST_Months,MONTH(O208))&amp;" "&amp;YEAR(O208)&amp;" to "&amp;DAY(P208)&amp;" "&amp;INDEX(nLIST_Months,MONTH(P208))&amp;" "&amp;YEAR(P208)&amp;IF(H208="LAB"," (laboratory-defined)","")))))))</f>
        <v/>
      </c>
      <c r="S208" s="20" t="str">
        <f>IF(B208="","",Exposures!$AU64&amp;"")</f>
        <v/>
      </c>
      <c r="T208" s="20" t="str">
        <f>IF(B208="","",Exposures!$BD64&amp;"")</f>
        <v/>
      </c>
      <c r="U208" s="20" t="str">
        <f>IF(B208="","","Exposures row "&amp;ROW(Exposures!$A64)&amp;", Restart")</f>
        <v/>
      </c>
      <c r="V208" s="20">
        <f>IF(A208="",0,COUNTIF(nTP_Key,A208))</f>
        <v>0</v>
      </c>
      <c r="W208" s="20">
        <f t="shared" si="44"/>
        <v>0</v>
      </c>
      <c r="X208" s="20">
        <f t="shared" si="45"/>
        <v>0</v>
      </c>
      <c r="Y208" s="20">
        <f t="shared" si="46"/>
        <v>0</v>
      </c>
      <c r="Z208" s="20">
        <f t="shared" si="47"/>
        <v>0</v>
      </c>
      <c r="AA208" s="20">
        <f t="shared" si="48"/>
        <v>204</v>
      </c>
      <c r="AB208" s="20" t="str">
        <f>""</f>
        <v/>
      </c>
      <c r="AC208" s="20" t="str">
        <f>IF(B208="","",Exposures!$F64&amp;"")</f>
        <v/>
      </c>
      <c r="AD208" s="20" t="str">
        <f>IF(B208="","",Exposures!$E64&amp;": Restart")</f>
        <v/>
      </c>
      <c r="AE208" s="20">
        <f t="shared" si="49"/>
        <v>0</v>
      </c>
      <c r="AF208" s="20" t="str">
        <f t="shared" si="50"/>
        <v/>
      </c>
      <c r="AG208" s="20">
        <f t="shared" si="51"/>
        <v>0</v>
      </c>
      <c r="AH208" s="20" t="str">
        <f>""</f>
        <v/>
      </c>
    </row>
    <row r="209" spans="1:34" x14ac:dyDescent="0.2">
      <c r="A209" s="20" t="str">
        <f t="shared" si="41"/>
        <v/>
      </c>
      <c r="B209" s="20" t="str">
        <f>IF(AND(Exposures!$D65&lt;&gt;"",COUNTA(Exposures!$AV65:$BC65)&gt;0),Exposures!$D65&amp;"/RESTART","")</f>
        <v/>
      </c>
      <c r="C209" s="20" t="str">
        <f t="shared" si="40"/>
        <v/>
      </c>
      <c r="D209" s="20" t="str">
        <f>IF(B209="","",Exposures!$A65&amp;"")</f>
        <v/>
      </c>
      <c r="E209" s="20" t="str">
        <f>IF(B209="","",Exposures!$B65&amp;"")</f>
        <v/>
      </c>
      <c r="F209" s="20" t="str">
        <f t="shared" si="42"/>
        <v/>
      </c>
      <c r="G209" s="20" t="str">
        <f>IF(B209="","",Exposures!$D65&amp;"")</f>
        <v/>
      </c>
      <c r="H209" s="20" t="str">
        <f>IF(B209="","",Exposures!$AV65&amp;"")</f>
        <v/>
      </c>
      <c r="I209" s="20" t="str">
        <f>IF(B209="","",Exposures!$AY65&amp;"")</f>
        <v/>
      </c>
      <c r="J209" s="20" t="str">
        <f>IF(B209="","",Exposures!$BE65&amp;"")</f>
        <v/>
      </c>
      <c r="K209" s="20">
        <f>IF(B209="",0,Exposures!$BF65)</f>
        <v>0</v>
      </c>
      <c r="L209" s="20">
        <f>IF(B209="",0,Exposures!$BG65)</f>
        <v>0</v>
      </c>
      <c r="M209" s="20" t="str">
        <f>IF(B209="","",Exposures!$BJ65)</f>
        <v/>
      </c>
      <c r="N209" s="20" t="str">
        <f>IF(B209="","",Exposures!$BK65)</f>
        <v/>
      </c>
      <c r="O209" s="27" t="str">
        <f>IF(B209="","",Exposures!$BH65)</f>
        <v/>
      </c>
      <c r="P209" s="27" t="str">
        <f>IF(B209="","",Exposures!$BI65)</f>
        <v/>
      </c>
      <c r="Q209" s="20" t="str">
        <f t="shared" si="43"/>
        <v/>
      </c>
      <c r="R209" s="20" t="str">
        <f>IF(A209="","",IF(J209&lt;&gt;"",J209,IF(H209="TIMESTAMP",DAY(INT(M209/1440))&amp;" "&amp;INDEX(nLIST_Months,MONTH(INT(M209/1440)))&amp;" "&amp;YEAR(INT(M209/1440))&amp;" "&amp;RIGHT("0"&amp;INT(MOD(M209,1440)/60),2)&amp;":"&amp;RIGHT("0"&amp;MOD(M209,60),2)&amp;IF(L209=1," (UTC"&amp;I209&amp;")"," (offset unknown)"),IF(H209="DATE",DAY(O209)&amp;" "&amp;INDEX(nLIST_Months,MONTH(O209))&amp;" "&amp;YEAR(O209),IF(H209="MONTH",INDEX(nLIST_Months,MONTH(O209))&amp;" "&amp;YEAR(O209)&amp;" ("&amp;DAY(O209)&amp;" "&amp;INDEX(nLIST_Months,MONTH(O209))&amp;" "&amp;YEAR(O209)&amp;" to "&amp;DAY(P209)&amp;" "&amp;INDEX(nLIST_Months,MONTH(P209))&amp;" "&amp;YEAR(P209)&amp;")",IF(H209="YEAR",YEAR(O209)&amp;" (1 January to 31 December)",DAY(O209)&amp;" "&amp;INDEX(nLIST_Months,MONTH(O209))&amp;" "&amp;YEAR(O209)&amp;" to "&amp;DAY(P209)&amp;" "&amp;INDEX(nLIST_Months,MONTH(P209))&amp;" "&amp;YEAR(P209)&amp;IF(H209="LAB"," (laboratory-defined)","")))))))</f>
        <v/>
      </c>
      <c r="S209" s="20" t="str">
        <f>IF(B209="","",Exposures!$AU65&amp;"")</f>
        <v/>
      </c>
      <c r="T209" s="20" t="str">
        <f>IF(B209="","",Exposures!$BD65&amp;"")</f>
        <v/>
      </c>
      <c r="U209" s="20" t="str">
        <f>IF(B209="","","Exposures row "&amp;ROW(Exposures!$A65)&amp;", Restart")</f>
        <v/>
      </c>
      <c r="V209" s="20">
        <f>IF(A209="",0,COUNTIF(nTP_Key,A209))</f>
        <v>0</v>
      </c>
      <c r="W209" s="20">
        <f t="shared" si="44"/>
        <v>0</v>
      </c>
      <c r="X209" s="20">
        <f t="shared" si="45"/>
        <v>0</v>
      </c>
      <c r="Y209" s="20">
        <f t="shared" si="46"/>
        <v>0</v>
      </c>
      <c r="Z209" s="20">
        <f t="shared" si="47"/>
        <v>0</v>
      </c>
      <c r="AA209" s="20">
        <f t="shared" si="48"/>
        <v>205</v>
      </c>
      <c r="AB209" s="20" t="str">
        <f>""</f>
        <v/>
      </c>
      <c r="AC209" s="20" t="str">
        <f>IF(B209="","",Exposures!$F65&amp;"")</f>
        <v/>
      </c>
      <c r="AD209" s="20" t="str">
        <f>IF(B209="","",Exposures!$E65&amp;": Restart")</f>
        <v/>
      </c>
      <c r="AE209" s="20">
        <f t="shared" si="49"/>
        <v>0</v>
      </c>
      <c r="AF209" s="20" t="str">
        <f t="shared" si="50"/>
        <v/>
      </c>
      <c r="AG209" s="20">
        <f t="shared" si="51"/>
        <v>0</v>
      </c>
      <c r="AH209" s="20" t="str">
        <f>""</f>
        <v/>
      </c>
    </row>
    <row r="210" spans="1:34" x14ac:dyDescent="0.2">
      <c r="A210" s="20" t="str">
        <f t="shared" si="41"/>
        <v/>
      </c>
      <c r="B210" s="20" t="str">
        <f>IF(AND(Exposures!$D66&lt;&gt;"",COUNTA(Exposures!$AV66:$BC66)&gt;0),Exposures!$D66&amp;"/RESTART","")</f>
        <v/>
      </c>
      <c r="C210" s="20" t="str">
        <f t="shared" si="40"/>
        <v/>
      </c>
      <c r="D210" s="20" t="str">
        <f>IF(B210="","",Exposures!$A66&amp;"")</f>
        <v/>
      </c>
      <c r="E210" s="20" t="str">
        <f>IF(B210="","",Exposures!$B66&amp;"")</f>
        <v/>
      </c>
      <c r="F210" s="20" t="str">
        <f t="shared" si="42"/>
        <v/>
      </c>
      <c r="G210" s="20" t="str">
        <f>IF(B210="","",Exposures!$D66&amp;"")</f>
        <v/>
      </c>
      <c r="H210" s="20" t="str">
        <f>IF(B210="","",Exposures!$AV66&amp;"")</f>
        <v/>
      </c>
      <c r="I210" s="20" t="str">
        <f>IF(B210="","",Exposures!$AY66&amp;"")</f>
        <v/>
      </c>
      <c r="J210" s="20" t="str">
        <f>IF(B210="","",Exposures!$BE66&amp;"")</f>
        <v/>
      </c>
      <c r="K210" s="20">
        <f>IF(B210="",0,Exposures!$BF66)</f>
        <v>0</v>
      </c>
      <c r="L210" s="20">
        <f>IF(B210="",0,Exposures!$BG66)</f>
        <v>0</v>
      </c>
      <c r="M210" s="20" t="str">
        <f>IF(B210="","",Exposures!$BJ66)</f>
        <v/>
      </c>
      <c r="N210" s="20" t="str">
        <f>IF(B210="","",Exposures!$BK66)</f>
        <v/>
      </c>
      <c r="O210" s="27" t="str">
        <f>IF(B210="","",Exposures!$BH66)</f>
        <v/>
      </c>
      <c r="P210" s="27" t="str">
        <f>IF(B210="","",Exposures!$BI66)</f>
        <v/>
      </c>
      <c r="Q210" s="20" t="str">
        <f t="shared" si="43"/>
        <v/>
      </c>
      <c r="R210" s="20" t="str">
        <f>IF(A210="","",IF(J210&lt;&gt;"",J210,IF(H210="TIMESTAMP",DAY(INT(M210/1440))&amp;" "&amp;INDEX(nLIST_Months,MONTH(INT(M210/1440)))&amp;" "&amp;YEAR(INT(M210/1440))&amp;" "&amp;RIGHT("0"&amp;INT(MOD(M210,1440)/60),2)&amp;":"&amp;RIGHT("0"&amp;MOD(M210,60),2)&amp;IF(L210=1," (UTC"&amp;I210&amp;")"," (offset unknown)"),IF(H210="DATE",DAY(O210)&amp;" "&amp;INDEX(nLIST_Months,MONTH(O210))&amp;" "&amp;YEAR(O210),IF(H210="MONTH",INDEX(nLIST_Months,MONTH(O210))&amp;" "&amp;YEAR(O210)&amp;" ("&amp;DAY(O210)&amp;" "&amp;INDEX(nLIST_Months,MONTH(O210))&amp;" "&amp;YEAR(O210)&amp;" to "&amp;DAY(P210)&amp;" "&amp;INDEX(nLIST_Months,MONTH(P210))&amp;" "&amp;YEAR(P210)&amp;")",IF(H210="YEAR",YEAR(O210)&amp;" (1 January to 31 December)",DAY(O210)&amp;" "&amp;INDEX(nLIST_Months,MONTH(O210))&amp;" "&amp;YEAR(O210)&amp;" to "&amp;DAY(P210)&amp;" "&amp;INDEX(nLIST_Months,MONTH(P210))&amp;" "&amp;YEAR(P210)&amp;IF(H210="LAB"," (laboratory-defined)","")))))))</f>
        <v/>
      </c>
      <c r="S210" s="20" t="str">
        <f>IF(B210="","",Exposures!$AU66&amp;"")</f>
        <v/>
      </c>
      <c r="T210" s="20" t="str">
        <f>IF(B210="","",Exposures!$BD66&amp;"")</f>
        <v/>
      </c>
      <c r="U210" s="20" t="str">
        <f>IF(B210="","","Exposures row "&amp;ROW(Exposures!$A66)&amp;", Restart")</f>
        <v/>
      </c>
      <c r="V210" s="20">
        <f>IF(A210="",0,COUNTIF(nTP_Key,A210))</f>
        <v>0</v>
      </c>
      <c r="W210" s="20">
        <f t="shared" si="44"/>
        <v>0</v>
      </c>
      <c r="X210" s="20">
        <f t="shared" si="45"/>
        <v>0</v>
      </c>
      <c r="Y210" s="20">
        <f t="shared" si="46"/>
        <v>0</v>
      </c>
      <c r="Z210" s="20">
        <f t="shared" si="47"/>
        <v>0</v>
      </c>
      <c r="AA210" s="20">
        <f t="shared" si="48"/>
        <v>206</v>
      </c>
      <c r="AB210" s="20" t="str">
        <f>""</f>
        <v/>
      </c>
      <c r="AC210" s="20" t="str">
        <f>IF(B210="","",Exposures!$F66&amp;"")</f>
        <v/>
      </c>
      <c r="AD210" s="20" t="str">
        <f>IF(B210="","",Exposures!$E66&amp;": Restart")</f>
        <v/>
      </c>
      <c r="AE210" s="20">
        <f t="shared" si="49"/>
        <v>0</v>
      </c>
      <c r="AF210" s="20" t="str">
        <f t="shared" si="50"/>
        <v/>
      </c>
      <c r="AG210" s="20">
        <f t="shared" si="51"/>
        <v>0</v>
      </c>
      <c r="AH210" s="20" t="str">
        <f>""</f>
        <v/>
      </c>
    </row>
    <row r="211" spans="1:34" x14ac:dyDescent="0.2">
      <c r="A211" s="20" t="str">
        <f t="shared" si="41"/>
        <v/>
      </c>
      <c r="B211" s="20" t="str">
        <f>IF(AND(Exposures!$D67&lt;&gt;"",COUNTA(Exposures!$AV67:$BC67)&gt;0),Exposures!$D67&amp;"/RESTART","")</f>
        <v/>
      </c>
      <c r="C211" s="20" t="str">
        <f t="shared" si="40"/>
        <v/>
      </c>
      <c r="D211" s="20" t="str">
        <f>IF(B211="","",Exposures!$A67&amp;"")</f>
        <v/>
      </c>
      <c r="E211" s="20" t="str">
        <f>IF(B211="","",Exposures!$B67&amp;"")</f>
        <v/>
      </c>
      <c r="F211" s="20" t="str">
        <f t="shared" si="42"/>
        <v/>
      </c>
      <c r="G211" s="20" t="str">
        <f>IF(B211="","",Exposures!$D67&amp;"")</f>
        <v/>
      </c>
      <c r="H211" s="20" t="str">
        <f>IF(B211="","",Exposures!$AV67&amp;"")</f>
        <v/>
      </c>
      <c r="I211" s="20" t="str">
        <f>IF(B211="","",Exposures!$AY67&amp;"")</f>
        <v/>
      </c>
      <c r="J211" s="20" t="str">
        <f>IF(B211="","",Exposures!$BE67&amp;"")</f>
        <v/>
      </c>
      <c r="K211" s="20">
        <f>IF(B211="",0,Exposures!$BF67)</f>
        <v>0</v>
      </c>
      <c r="L211" s="20">
        <f>IF(B211="",0,Exposures!$BG67)</f>
        <v>0</v>
      </c>
      <c r="M211" s="20" t="str">
        <f>IF(B211="","",Exposures!$BJ67)</f>
        <v/>
      </c>
      <c r="N211" s="20" t="str">
        <f>IF(B211="","",Exposures!$BK67)</f>
        <v/>
      </c>
      <c r="O211" s="27" t="str">
        <f>IF(B211="","",Exposures!$BH67)</f>
        <v/>
      </c>
      <c r="P211" s="27" t="str">
        <f>IF(B211="","",Exposures!$BI67)</f>
        <v/>
      </c>
      <c r="Q211" s="20" t="str">
        <f t="shared" si="43"/>
        <v/>
      </c>
      <c r="R211" s="20" t="str">
        <f>IF(A211="","",IF(J211&lt;&gt;"",J211,IF(H211="TIMESTAMP",DAY(INT(M211/1440))&amp;" "&amp;INDEX(nLIST_Months,MONTH(INT(M211/1440)))&amp;" "&amp;YEAR(INT(M211/1440))&amp;" "&amp;RIGHT("0"&amp;INT(MOD(M211,1440)/60),2)&amp;":"&amp;RIGHT("0"&amp;MOD(M211,60),2)&amp;IF(L211=1," (UTC"&amp;I211&amp;")"," (offset unknown)"),IF(H211="DATE",DAY(O211)&amp;" "&amp;INDEX(nLIST_Months,MONTH(O211))&amp;" "&amp;YEAR(O211),IF(H211="MONTH",INDEX(nLIST_Months,MONTH(O211))&amp;" "&amp;YEAR(O211)&amp;" ("&amp;DAY(O211)&amp;" "&amp;INDEX(nLIST_Months,MONTH(O211))&amp;" "&amp;YEAR(O211)&amp;" to "&amp;DAY(P211)&amp;" "&amp;INDEX(nLIST_Months,MONTH(P211))&amp;" "&amp;YEAR(P211)&amp;")",IF(H211="YEAR",YEAR(O211)&amp;" (1 January to 31 December)",DAY(O211)&amp;" "&amp;INDEX(nLIST_Months,MONTH(O211))&amp;" "&amp;YEAR(O211)&amp;" to "&amp;DAY(P211)&amp;" "&amp;INDEX(nLIST_Months,MONTH(P211))&amp;" "&amp;YEAR(P211)&amp;IF(H211="LAB"," (laboratory-defined)","")))))))</f>
        <v/>
      </c>
      <c r="S211" s="20" t="str">
        <f>IF(B211="","",Exposures!$AU67&amp;"")</f>
        <v/>
      </c>
      <c r="T211" s="20" t="str">
        <f>IF(B211="","",Exposures!$BD67&amp;"")</f>
        <v/>
      </c>
      <c r="U211" s="20" t="str">
        <f>IF(B211="","","Exposures row "&amp;ROW(Exposures!$A67)&amp;", Restart")</f>
        <v/>
      </c>
      <c r="V211" s="20">
        <f>IF(A211="",0,COUNTIF(nTP_Key,A211))</f>
        <v>0</v>
      </c>
      <c r="W211" s="20">
        <f t="shared" si="44"/>
        <v>0</v>
      </c>
      <c r="X211" s="20">
        <f t="shared" si="45"/>
        <v>0</v>
      </c>
      <c r="Y211" s="20">
        <f t="shared" si="46"/>
        <v>0</v>
      </c>
      <c r="Z211" s="20">
        <f t="shared" si="47"/>
        <v>0</v>
      </c>
      <c r="AA211" s="20">
        <f t="shared" si="48"/>
        <v>207</v>
      </c>
      <c r="AB211" s="20" t="str">
        <f>""</f>
        <v/>
      </c>
      <c r="AC211" s="20" t="str">
        <f>IF(B211="","",Exposures!$F67&amp;"")</f>
        <v/>
      </c>
      <c r="AD211" s="20" t="str">
        <f>IF(B211="","",Exposures!$E67&amp;": Restart")</f>
        <v/>
      </c>
      <c r="AE211" s="20">
        <f t="shared" si="49"/>
        <v>0</v>
      </c>
      <c r="AF211" s="20" t="str">
        <f t="shared" si="50"/>
        <v/>
      </c>
      <c r="AG211" s="20">
        <f t="shared" si="51"/>
        <v>0</v>
      </c>
      <c r="AH211" s="20" t="str">
        <f>""</f>
        <v/>
      </c>
    </row>
    <row r="212" spans="1:34" x14ac:dyDescent="0.2">
      <c r="A212" s="20" t="str">
        <f t="shared" si="41"/>
        <v/>
      </c>
      <c r="B212" s="20" t="str">
        <f>IF(AND(Exposures!$D68&lt;&gt;"",COUNTA(Exposures!$AV68:$BC68)&gt;0),Exposures!$D68&amp;"/RESTART","")</f>
        <v/>
      </c>
      <c r="C212" s="20" t="str">
        <f t="shared" si="40"/>
        <v/>
      </c>
      <c r="D212" s="20" t="str">
        <f>IF(B212="","",Exposures!$A68&amp;"")</f>
        <v/>
      </c>
      <c r="E212" s="20" t="str">
        <f>IF(B212="","",Exposures!$B68&amp;"")</f>
        <v/>
      </c>
      <c r="F212" s="20" t="str">
        <f t="shared" si="42"/>
        <v/>
      </c>
      <c r="G212" s="20" t="str">
        <f>IF(B212="","",Exposures!$D68&amp;"")</f>
        <v/>
      </c>
      <c r="H212" s="20" t="str">
        <f>IF(B212="","",Exposures!$AV68&amp;"")</f>
        <v/>
      </c>
      <c r="I212" s="20" t="str">
        <f>IF(B212="","",Exposures!$AY68&amp;"")</f>
        <v/>
      </c>
      <c r="J212" s="20" t="str">
        <f>IF(B212="","",Exposures!$BE68&amp;"")</f>
        <v/>
      </c>
      <c r="K212" s="20">
        <f>IF(B212="",0,Exposures!$BF68)</f>
        <v>0</v>
      </c>
      <c r="L212" s="20">
        <f>IF(B212="",0,Exposures!$BG68)</f>
        <v>0</v>
      </c>
      <c r="M212" s="20" t="str">
        <f>IF(B212="","",Exposures!$BJ68)</f>
        <v/>
      </c>
      <c r="N212" s="20" t="str">
        <f>IF(B212="","",Exposures!$BK68)</f>
        <v/>
      </c>
      <c r="O212" s="27" t="str">
        <f>IF(B212="","",Exposures!$BH68)</f>
        <v/>
      </c>
      <c r="P212" s="27" t="str">
        <f>IF(B212="","",Exposures!$BI68)</f>
        <v/>
      </c>
      <c r="Q212" s="20" t="str">
        <f t="shared" si="43"/>
        <v/>
      </c>
      <c r="R212" s="20" t="str">
        <f>IF(A212="","",IF(J212&lt;&gt;"",J212,IF(H212="TIMESTAMP",DAY(INT(M212/1440))&amp;" "&amp;INDEX(nLIST_Months,MONTH(INT(M212/1440)))&amp;" "&amp;YEAR(INT(M212/1440))&amp;" "&amp;RIGHT("0"&amp;INT(MOD(M212,1440)/60),2)&amp;":"&amp;RIGHT("0"&amp;MOD(M212,60),2)&amp;IF(L212=1," (UTC"&amp;I212&amp;")"," (offset unknown)"),IF(H212="DATE",DAY(O212)&amp;" "&amp;INDEX(nLIST_Months,MONTH(O212))&amp;" "&amp;YEAR(O212),IF(H212="MONTH",INDEX(nLIST_Months,MONTH(O212))&amp;" "&amp;YEAR(O212)&amp;" ("&amp;DAY(O212)&amp;" "&amp;INDEX(nLIST_Months,MONTH(O212))&amp;" "&amp;YEAR(O212)&amp;" to "&amp;DAY(P212)&amp;" "&amp;INDEX(nLIST_Months,MONTH(P212))&amp;" "&amp;YEAR(P212)&amp;")",IF(H212="YEAR",YEAR(O212)&amp;" (1 January to 31 December)",DAY(O212)&amp;" "&amp;INDEX(nLIST_Months,MONTH(O212))&amp;" "&amp;YEAR(O212)&amp;" to "&amp;DAY(P212)&amp;" "&amp;INDEX(nLIST_Months,MONTH(P212))&amp;" "&amp;YEAR(P212)&amp;IF(H212="LAB"," (laboratory-defined)","")))))))</f>
        <v/>
      </c>
      <c r="S212" s="20" t="str">
        <f>IF(B212="","",Exposures!$AU68&amp;"")</f>
        <v/>
      </c>
      <c r="T212" s="20" t="str">
        <f>IF(B212="","",Exposures!$BD68&amp;"")</f>
        <v/>
      </c>
      <c r="U212" s="20" t="str">
        <f>IF(B212="","","Exposures row "&amp;ROW(Exposures!$A68)&amp;", Restart")</f>
        <v/>
      </c>
      <c r="V212" s="20">
        <f>IF(A212="",0,COUNTIF(nTP_Key,A212))</f>
        <v>0</v>
      </c>
      <c r="W212" s="20">
        <f t="shared" si="44"/>
        <v>0</v>
      </c>
      <c r="X212" s="20">
        <f t="shared" si="45"/>
        <v>0</v>
      </c>
      <c r="Y212" s="20">
        <f t="shared" si="46"/>
        <v>0</v>
      </c>
      <c r="Z212" s="20">
        <f t="shared" si="47"/>
        <v>0</v>
      </c>
      <c r="AA212" s="20">
        <f t="shared" si="48"/>
        <v>208</v>
      </c>
      <c r="AB212" s="20" t="str">
        <f>""</f>
        <v/>
      </c>
      <c r="AC212" s="20" t="str">
        <f>IF(B212="","",Exposures!$F68&amp;"")</f>
        <v/>
      </c>
      <c r="AD212" s="20" t="str">
        <f>IF(B212="","",Exposures!$E68&amp;": Restart")</f>
        <v/>
      </c>
      <c r="AE212" s="20">
        <f t="shared" si="49"/>
        <v>0</v>
      </c>
      <c r="AF212" s="20" t="str">
        <f t="shared" si="50"/>
        <v/>
      </c>
      <c r="AG212" s="20">
        <f t="shared" si="51"/>
        <v>0</v>
      </c>
      <c r="AH212" s="20" t="str">
        <f>""</f>
        <v/>
      </c>
    </row>
    <row r="213" spans="1:34" x14ac:dyDescent="0.2">
      <c r="A213" s="20" t="str">
        <f t="shared" si="41"/>
        <v/>
      </c>
      <c r="B213" s="20" t="str">
        <f>IF(AND(Exposures!$D69&lt;&gt;"",COUNTA(Exposures!$AV69:$BC69)&gt;0),Exposures!$D69&amp;"/RESTART","")</f>
        <v/>
      </c>
      <c r="C213" s="20" t="str">
        <f t="shared" ref="C213:C244" si="52">IF(B213="","","EXPOSURE_RESTART")</f>
        <v/>
      </c>
      <c r="D213" s="20" t="str">
        <f>IF(B213="","",Exposures!$A69&amp;"")</f>
        <v/>
      </c>
      <c r="E213" s="20" t="str">
        <f>IF(B213="","",Exposures!$B69&amp;"")</f>
        <v/>
      </c>
      <c r="F213" s="20" t="str">
        <f t="shared" si="42"/>
        <v/>
      </c>
      <c r="G213" s="20" t="str">
        <f>IF(B213="","",Exposures!$D69&amp;"")</f>
        <v/>
      </c>
      <c r="H213" s="20" t="str">
        <f>IF(B213="","",Exposures!$AV69&amp;"")</f>
        <v/>
      </c>
      <c r="I213" s="20" t="str">
        <f>IF(B213="","",Exposures!$AY69&amp;"")</f>
        <v/>
      </c>
      <c r="J213" s="20" t="str">
        <f>IF(B213="","",Exposures!$BE69&amp;"")</f>
        <v/>
      </c>
      <c r="K213" s="20">
        <f>IF(B213="",0,Exposures!$BF69)</f>
        <v>0</v>
      </c>
      <c r="L213" s="20">
        <f>IF(B213="",0,Exposures!$BG69)</f>
        <v>0</v>
      </c>
      <c r="M213" s="20" t="str">
        <f>IF(B213="","",Exposures!$BJ69)</f>
        <v/>
      </c>
      <c r="N213" s="20" t="str">
        <f>IF(B213="","",Exposures!$BK69)</f>
        <v/>
      </c>
      <c r="O213" s="27" t="str">
        <f>IF(B213="","",Exposures!$BH69)</f>
        <v/>
      </c>
      <c r="P213" s="27" t="str">
        <f>IF(B213="","",Exposures!$BI69)</f>
        <v/>
      </c>
      <c r="Q213" s="20" t="str">
        <f t="shared" si="43"/>
        <v/>
      </c>
      <c r="R213" s="20" t="str">
        <f>IF(A213="","",IF(J213&lt;&gt;"",J213,IF(H213="TIMESTAMP",DAY(INT(M213/1440))&amp;" "&amp;INDEX(nLIST_Months,MONTH(INT(M213/1440)))&amp;" "&amp;YEAR(INT(M213/1440))&amp;" "&amp;RIGHT("0"&amp;INT(MOD(M213,1440)/60),2)&amp;":"&amp;RIGHT("0"&amp;MOD(M213,60),2)&amp;IF(L213=1," (UTC"&amp;I213&amp;")"," (offset unknown)"),IF(H213="DATE",DAY(O213)&amp;" "&amp;INDEX(nLIST_Months,MONTH(O213))&amp;" "&amp;YEAR(O213),IF(H213="MONTH",INDEX(nLIST_Months,MONTH(O213))&amp;" "&amp;YEAR(O213)&amp;" ("&amp;DAY(O213)&amp;" "&amp;INDEX(nLIST_Months,MONTH(O213))&amp;" "&amp;YEAR(O213)&amp;" to "&amp;DAY(P213)&amp;" "&amp;INDEX(nLIST_Months,MONTH(P213))&amp;" "&amp;YEAR(P213)&amp;")",IF(H213="YEAR",YEAR(O213)&amp;" (1 January to 31 December)",DAY(O213)&amp;" "&amp;INDEX(nLIST_Months,MONTH(O213))&amp;" "&amp;YEAR(O213)&amp;" to "&amp;DAY(P213)&amp;" "&amp;INDEX(nLIST_Months,MONTH(P213))&amp;" "&amp;YEAR(P213)&amp;IF(H213="LAB"," (laboratory-defined)","")))))))</f>
        <v/>
      </c>
      <c r="S213" s="20" t="str">
        <f>IF(B213="","",Exposures!$AU69&amp;"")</f>
        <v/>
      </c>
      <c r="T213" s="20" t="str">
        <f>IF(B213="","",Exposures!$BD69&amp;"")</f>
        <v/>
      </c>
      <c r="U213" s="20" t="str">
        <f>IF(B213="","","Exposures row "&amp;ROW(Exposures!$A69)&amp;", Restart")</f>
        <v/>
      </c>
      <c r="V213" s="20">
        <f>IF(A213="",0,COUNTIF(nTP_Key,A213))</f>
        <v>0</v>
      </c>
      <c r="W213" s="20">
        <f t="shared" si="44"/>
        <v>0</v>
      </c>
      <c r="X213" s="20">
        <f t="shared" si="45"/>
        <v>0</v>
      </c>
      <c r="Y213" s="20">
        <f t="shared" si="46"/>
        <v>0</v>
      </c>
      <c r="Z213" s="20">
        <f t="shared" si="47"/>
        <v>0</v>
      </c>
      <c r="AA213" s="20">
        <f t="shared" si="48"/>
        <v>209</v>
      </c>
      <c r="AB213" s="20" t="str">
        <f>""</f>
        <v/>
      </c>
      <c r="AC213" s="20" t="str">
        <f>IF(B213="","",Exposures!$F69&amp;"")</f>
        <v/>
      </c>
      <c r="AD213" s="20" t="str">
        <f>IF(B213="","",Exposures!$E69&amp;": Restart")</f>
        <v/>
      </c>
      <c r="AE213" s="20">
        <f t="shared" si="49"/>
        <v>0</v>
      </c>
      <c r="AF213" s="20" t="str">
        <f t="shared" si="50"/>
        <v/>
      </c>
      <c r="AG213" s="20">
        <f t="shared" si="51"/>
        <v>0</v>
      </c>
      <c r="AH213" s="20" t="str">
        <f>""</f>
        <v/>
      </c>
    </row>
    <row r="214" spans="1:34" x14ac:dyDescent="0.2">
      <c r="A214" s="20" t="str">
        <f t="shared" si="41"/>
        <v/>
      </c>
      <c r="B214" s="20" t="str">
        <f>IF(AND(Exposures!$D70&lt;&gt;"",COUNTA(Exposures!$AV70:$BC70)&gt;0),Exposures!$D70&amp;"/RESTART","")</f>
        <v/>
      </c>
      <c r="C214" s="20" t="str">
        <f t="shared" si="52"/>
        <v/>
      </c>
      <c r="D214" s="20" t="str">
        <f>IF(B214="","",Exposures!$A70&amp;"")</f>
        <v/>
      </c>
      <c r="E214" s="20" t="str">
        <f>IF(B214="","",Exposures!$B70&amp;"")</f>
        <v/>
      </c>
      <c r="F214" s="20" t="str">
        <f t="shared" si="42"/>
        <v/>
      </c>
      <c r="G214" s="20" t="str">
        <f>IF(B214="","",Exposures!$D70&amp;"")</f>
        <v/>
      </c>
      <c r="H214" s="20" t="str">
        <f>IF(B214="","",Exposures!$AV70&amp;"")</f>
        <v/>
      </c>
      <c r="I214" s="20" t="str">
        <f>IF(B214="","",Exposures!$AY70&amp;"")</f>
        <v/>
      </c>
      <c r="J214" s="20" t="str">
        <f>IF(B214="","",Exposures!$BE70&amp;"")</f>
        <v/>
      </c>
      <c r="K214" s="20">
        <f>IF(B214="",0,Exposures!$BF70)</f>
        <v>0</v>
      </c>
      <c r="L214" s="20">
        <f>IF(B214="",0,Exposures!$BG70)</f>
        <v>0</v>
      </c>
      <c r="M214" s="20" t="str">
        <f>IF(B214="","",Exposures!$BJ70)</f>
        <v/>
      </c>
      <c r="N214" s="20" t="str">
        <f>IF(B214="","",Exposures!$BK70)</f>
        <v/>
      </c>
      <c r="O214" s="27" t="str">
        <f>IF(B214="","",Exposures!$BH70)</f>
        <v/>
      </c>
      <c r="P214" s="27" t="str">
        <f>IF(B214="","",Exposures!$BI70)</f>
        <v/>
      </c>
      <c r="Q214" s="20" t="str">
        <f t="shared" si="43"/>
        <v/>
      </c>
      <c r="R214" s="20" t="str">
        <f>IF(A214="","",IF(J214&lt;&gt;"",J214,IF(H214="TIMESTAMP",DAY(INT(M214/1440))&amp;" "&amp;INDEX(nLIST_Months,MONTH(INT(M214/1440)))&amp;" "&amp;YEAR(INT(M214/1440))&amp;" "&amp;RIGHT("0"&amp;INT(MOD(M214,1440)/60),2)&amp;":"&amp;RIGHT("0"&amp;MOD(M214,60),2)&amp;IF(L214=1," (UTC"&amp;I214&amp;")"," (offset unknown)"),IF(H214="DATE",DAY(O214)&amp;" "&amp;INDEX(nLIST_Months,MONTH(O214))&amp;" "&amp;YEAR(O214),IF(H214="MONTH",INDEX(nLIST_Months,MONTH(O214))&amp;" "&amp;YEAR(O214)&amp;" ("&amp;DAY(O214)&amp;" "&amp;INDEX(nLIST_Months,MONTH(O214))&amp;" "&amp;YEAR(O214)&amp;" to "&amp;DAY(P214)&amp;" "&amp;INDEX(nLIST_Months,MONTH(P214))&amp;" "&amp;YEAR(P214)&amp;")",IF(H214="YEAR",YEAR(O214)&amp;" (1 January to 31 December)",DAY(O214)&amp;" "&amp;INDEX(nLIST_Months,MONTH(O214))&amp;" "&amp;YEAR(O214)&amp;" to "&amp;DAY(P214)&amp;" "&amp;INDEX(nLIST_Months,MONTH(P214))&amp;" "&amp;YEAR(P214)&amp;IF(H214="LAB"," (laboratory-defined)","")))))))</f>
        <v/>
      </c>
      <c r="S214" s="20" t="str">
        <f>IF(B214="","",Exposures!$AU70&amp;"")</f>
        <v/>
      </c>
      <c r="T214" s="20" t="str">
        <f>IF(B214="","",Exposures!$BD70&amp;"")</f>
        <v/>
      </c>
      <c r="U214" s="20" t="str">
        <f>IF(B214="","","Exposures row "&amp;ROW(Exposures!$A70)&amp;", Restart")</f>
        <v/>
      </c>
      <c r="V214" s="20">
        <f>IF(A214="",0,COUNTIF(nTP_Key,A214))</f>
        <v>0</v>
      </c>
      <c r="W214" s="20">
        <f t="shared" si="44"/>
        <v>0</v>
      </c>
      <c r="X214" s="20">
        <f t="shared" si="45"/>
        <v>0</v>
      </c>
      <c r="Y214" s="20">
        <f t="shared" si="46"/>
        <v>0</v>
      </c>
      <c r="Z214" s="20">
        <f t="shared" si="47"/>
        <v>0</v>
      </c>
      <c r="AA214" s="20">
        <f t="shared" si="48"/>
        <v>210</v>
      </c>
      <c r="AB214" s="20" t="str">
        <f>""</f>
        <v/>
      </c>
      <c r="AC214" s="20" t="str">
        <f>IF(B214="","",Exposures!$F70&amp;"")</f>
        <v/>
      </c>
      <c r="AD214" s="20" t="str">
        <f>IF(B214="","",Exposures!$E70&amp;": Restart")</f>
        <v/>
      </c>
      <c r="AE214" s="20">
        <f t="shared" si="49"/>
        <v>0</v>
      </c>
      <c r="AF214" s="20" t="str">
        <f t="shared" si="50"/>
        <v/>
      </c>
      <c r="AG214" s="20">
        <f t="shared" si="51"/>
        <v>0</v>
      </c>
      <c r="AH214" s="20" t="str">
        <f>""</f>
        <v/>
      </c>
    </row>
    <row r="215" spans="1:34" x14ac:dyDescent="0.2">
      <c r="A215" s="20" t="str">
        <f t="shared" si="41"/>
        <v/>
      </c>
      <c r="B215" s="20" t="str">
        <f>IF(AND(Exposures!$D71&lt;&gt;"",COUNTA(Exposures!$AV71:$BC71)&gt;0),Exposures!$D71&amp;"/RESTART","")</f>
        <v/>
      </c>
      <c r="C215" s="20" t="str">
        <f t="shared" si="52"/>
        <v/>
      </c>
      <c r="D215" s="20" t="str">
        <f>IF(B215="","",Exposures!$A71&amp;"")</f>
        <v/>
      </c>
      <c r="E215" s="20" t="str">
        <f>IF(B215="","",Exposures!$B71&amp;"")</f>
        <v/>
      </c>
      <c r="F215" s="20" t="str">
        <f t="shared" si="42"/>
        <v/>
      </c>
      <c r="G215" s="20" t="str">
        <f>IF(B215="","",Exposures!$D71&amp;"")</f>
        <v/>
      </c>
      <c r="H215" s="20" t="str">
        <f>IF(B215="","",Exposures!$AV71&amp;"")</f>
        <v/>
      </c>
      <c r="I215" s="20" t="str">
        <f>IF(B215="","",Exposures!$AY71&amp;"")</f>
        <v/>
      </c>
      <c r="J215" s="20" t="str">
        <f>IF(B215="","",Exposures!$BE71&amp;"")</f>
        <v/>
      </c>
      <c r="K215" s="20">
        <f>IF(B215="",0,Exposures!$BF71)</f>
        <v>0</v>
      </c>
      <c r="L215" s="20">
        <f>IF(B215="",0,Exposures!$BG71)</f>
        <v>0</v>
      </c>
      <c r="M215" s="20" t="str">
        <f>IF(B215="","",Exposures!$BJ71)</f>
        <v/>
      </c>
      <c r="N215" s="20" t="str">
        <f>IF(B215="","",Exposures!$BK71)</f>
        <v/>
      </c>
      <c r="O215" s="27" t="str">
        <f>IF(B215="","",Exposures!$BH71)</f>
        <v/>
      </c>
      <c r="P215" s="27" t="str">
        <f>IF(B215="","",Exposures!$BI71)</f>
        <v/>
      </c>
      <c r="Q215" s="20" t="str">
        <f t="shared" si="43"/>
        <v/>
      </c>
      <c r="R215" s="20" t="str">
        <f>IF(A215="","",IF(J215&lt;&gt;"",J215,IF(H215="TIMESTAMP",DAY(INT(M215/1440))&amp;" "&amp;INDEX(nLIST_Months,MONTH(INT(M215/1440)))&amp;" "&amp;YEAR(INT(M215/1440))&amp;" "&amp;RIGHT("0"&amp;INT(MOD(M215,1440)/60),2)&amp;":"&amp;RIGHT("0"&amp;MOD(M215,60),2)&amp;IF(L215=1," (UTC"&amp;I215&amp;")"," (offset unknown)"),IF(H215="DATE",DAY(O215)&amp;" "&amp;INDEX(nLIST_Months,MONTH(O215))&amp;" "&amp;YEAR(O215),IF(H215="MONTH",INDEX(nLIST_Months,MONTH(O215))&amp;" "&amp;YEAR(O215)&amp;" ("&amp;DAY(O215)&amp;" "&amp;INDEX(nLIST_Months,MONTH(O215))&amp;" "&amp;YEAR(O215)&amp;" to "&amp;DAY(P215)&amp;" "&amp;INDEX(nLIST_Months,MONTH(P215))&amp;" "&amp;YEAR(P215)&amp;")",IF(H215="YEAR",YEAR(O215)&amp;" (1 January to 31 December)",DAY(O215)&amp;" "&amp;INDEX(nLIST_Months,MONTH(O215))&amp;" "&amp;YEAR(O215)&amp;" to "&amp;DAY(P215)&amp;" "&amp;INDEX(nLIST_Months,MONTH(P215))&amp;" "&amp;YEAR(P215)&amp;IF(H215="LAB"," (laboratory-defined)","")))))))</f>
        <v/>
      </c>
      <c r="S215" s="20" t="str">
        <f>IF(B215="","",Exposures!$AU71&amp;"")</f>
        <v/>
      </c>
      <c r="T215" s="20" t="str">
        <f>IF(B215="","",Exposures!$BD71&amp;"")</f>
        <v/>
      </c>
      <c r="U215" s="20" t="str">
        <f>IF(B215="","","Exposures row "&amp;ROW(Exposures!$A71)&amp;", Restart")</f>
        <v/>
      </c>
      <c r="V215" s="20">
        <f>IF(A215="",0,COUNTIF(nTP_Key,A215))</f>
        <v>0</v>
      </c>
      <c r="W215" s="20">
        <f t="shared" si="44"/>
        <v>0</v>
      </c>
      <c r="X215" s="20">
        <f t="shared" si="45"/>
        <v>0</v>
      </c>
      <c r="Y215" s="20">
        <f t="shared" si="46"/>
        <v>0</v>
      </c>
      <c r="Z215" s="20">
        <f t="shared" si="47"/>
        <v>0</v>
      </c>
      <c r="AA215" s="20">
        <f t="shared" si="48"/>
        <v>211</v>
      </c>
      <c r="AB215" s="20" t="str">
        <f>""</f>
        <v/>
      </c>
      <c r="AC215" s="20" t="str">
        <f>IF(B215="","",Exposures!$F71&amp;"")</f>
        <v/>
      </c>
      <c r="AD215" s="20" t="str">
        <f>IF(B215="","",Exposures!$E71&amp;": Restart")</f>
        <v/>
      </c>
      <c r="AE215" s="20">
        <f t="shared" si="49"/>
        <v>0</v>
      </c>
      <c r="AF215" s="20" t="str">
        <f t="shared" si="50"/>
        <v/>
      </c>
      <c r="AG215" s="20">
        <f t="shared" si="51"/>
        <v>0</v>
      </c>
      <c r="AH215" s="20" t="str">
        <f>""</f>
        <v/>
      </c>
    </row>
    <row r="216" spans="1:34" x14ac:dyDescent="0.2">
      <c r="A216" s="20" t="str">
        <f t="shared" si="41"/>
        <v/>
      </c>
      <c r="B216" s="20" t="str">
        <f>IF(AND(Exposures!$D72&lt;&gt;"",COUNTA(Exposures!$AV72:$BC72)&gt;0),Exposures!$D72&amp;"/RESTART","")</f>
        <v/>
      </c>
      <c r="C216" s="20" t="str">
        <f t="shared" si="52"/>
        <v/>
      </c>
      <c r="D216" s="20" t="str">
        <f>IF(B216="","",Exposures!$A72&amp;"")</f>
        <v/>
      </c>
      <c r="E216" s="20" t="str">
        <f>IF(B216="","",Exposures!$B72&amp;"")</f>
        <v/>
      </c>
      <c r="F216" s="20" t="str">
        <f t="shared" si="42"/>
        <v/>
      </c>
      <c r="G216" s="20" t="str">
        <f>IF(B216="","",Exposures!$D72&amp;"")</f>
        <v/>
      </c>
      <c r="H216" s="20" t="str">
        <f>IF(B216="","",Exposures!$AV72&amp;"")</f>
        <v/>
      </c>
      <c r="I216" s="20" t="str">
        <f>IF(B216="","",Exposures!$AY72&amp;"")</f>
        <v/>
      </c>
      <c r="J216" s="20" t="str">
        <f>IF(B216="","",Exposures!$BE72&amp;"")</f>
        <v/>
      </c>
      <c r="K216" s="20">
        <f>IF(B216="",0,Exposures!$BF72)</f>
        <v>0</v>
      </c>
      <c r="L216" s="20">
        <f>IF(B216="",0,Exposures!$BG72)</f>
        <v>0</v>
      </c>
      <c r="M216" s="20" t="str">
        <f>IF(B216="","",Exposures!$BJ72)</f>
        <v/>
      </c>
      <c r="N216" s="20" t="str">
        <f>IF(B216="","",Exposures!$BK72)</f>
        <v/>
      </c>
      <c r="O216" s="27" t="str">
        <f>IF(B216="","",Exposures!$BH72)</f>
        <v/>
      </c>
      <c r="P216" s="27" t="str">
        <f>IF(B216="","",Exposures!$BI72)</f>
        <v/>
      </c>
      <c r="Q216" s="20" t="str">
        <f t="shared" si="43"/>
        <v/>
      </c>
      <c r="R216" s="20" t="str">
        <f>IF(A216="","",IF(J216&lt;&gt;"",J216,IF(H216="TIMESTAMP",DAY(INT(M216/1440))&amp;" "&amp;INDEX(nLIST_Months,MONTH(INT(M216/1440)))&amp;" "&amp;YEAR(INT(M216/1440))&amp;" "&amp;RIGHT("0"&amp;INT(MOD(M216,1440)/60),2)&amp;":"&amp;RIGHT("0"&amp;MOD(M216,60),2)&amp;IF(L216=1," (UTC"&amp;I216&amp;")"," (offset unknown)"),IF(H216="DATE",DAY(O216)&amp;" "&amp;INDEX(nLIST_Months,MONTH(O216))&amp;" "&amp;YEAR(O216),IF(H216="MONTH",INDEX(nLIST_Months,MONTH(O216))&amp;" "&amp;YEAR(O216)&amp;" ("&amp;DAY(O216)&amp;" "&amp;INDEX(nLIST_Months,MONTH(O216))&amp;" "&amp;YEAR(O216)&amp;" to "&amp;DAY(P216)&amp;" "&amp;INDEX(nLIST_Months,MONTH(P216))&amp;" "&amp;YEAR(P216)&amp;")",IF(H216="YEAR",YEAR(O216)&amp;" (1 January to 31 December)",DAY(O216)&amp;" "&amp;INDEX(nLIST_Months,MONTH(O216))&amp;" "&amp;YEAR(O216)&amp;" to "&amp;DAY(P216)&amp;" "&amp;INDEX(nLIST_Months,MONTH(P216))&amp;" "&amp;YEAR(P216)&amp;IF(H216="LAB"," (laboratory-defined)","")))))))</f>
        <v/>
      </c>
      <c r="S216" s="20" t="str">
        <f>IF(B216="","",Exposures!$AU72&amp;"")</f>
        <v/>
      </c>
      <c r="T216" s="20" t="str">
        <f>IF(B216="","",Exposures!$BD72&amp;"")</f>
        <v/>
      </c>
      <c r="U216" s="20" t="str">
        <f>IF(B216="","","Exposures row "&amp;ROW(Exposures!$A72)&amp;", Restart")</f>
        <v/>
      </c>
      <c r="V216" s="20">
        <f>IF(A216="",0,COUNTIF(nTP_Key,A216))</f>
        <v>0</v>
      </c>
      <c r="W216" s="20">
        <f t="shared" si="44"/>
        <v>0</v>
      </c>
      <c r="X216" s="20">
        <f t="shared" si="45"/>
        <v>0</v>
      </c>
      <c r="Y216" s="20">
        <f t="shared" si="46"/>
        <v>0</v>
      </c>
      <c r="Z216" s="20">
        <f t="shared" si="47"/>
        <v>0</v>
      </c>
      <c r="AA216" s="20">
        <f t="shared" si="48"/>
        <v>212</v>
      </c>
      <c r="AB216" s="20" t="str">
        <f>""</f>
        <v/>
      </c>
      <c r="AC216" s="20" t="str">
        <f>IF(B216="","",Exposures!$F72&amp;"")</f>
        <v/>
      </c>
      <c r="AD216" s="20" t="str">
        <f>IF(B216="","",Exposures!$E72&amp;": Restart")</f>
        <v/>
      </c>
      <c r="AE216" s="20">
        <f t="shared" si="49"/>
        <v>0</v>
      </c>
      <c r="AF216" s="20" t="str">
        <f t="shared" si="50"/>
        <v/>
      </c>
      <c r="AG216" s="20">
        <f t="shared" si="51"/>
        <v>0</v>
      </c>
      <c r="AH216" s="20" t="str">
        <f>""</f>
        <v/>
      </c>
    </row>
    <row r="217" spans="1:34" x14ac:dyDescent="0.2">
      <c r="A217" s="20" t="str">
        <f t="shared" si="41"/>
        <v/>
      </c>
      <c r="B217" s="20" t="str">
        <f>IF(AND(Exposures!$D73&lt;&gt;"",COUNTA(Exposures!$AV73:$BC73)&gt;0),Exposures!$D73&amp;"/RESTART","")</f>
        <v/>
      </c>
      <c r="C217" s="20" t="str">
        <f t="shared" si="52"/>
        <v/>
      </c>
      <c r="D217" s="20" t="str">
        <f>IF(B217="","",Exposures!$A73&amp;"")</f>
        <v/>
      </c>
      <c r="E217" s="20" t="str">
        <f>IF(B217="","",Exposures!$B73&amp;"")</f>
        <v/>
      </c>
      <c r="F217" s="20" t="str">
        <f t="shared" si="42"/>
        <v/>
      </c>
      <c r="G217" s="20" t="str">
        <f>IF(B217="","",Exposures!$D73&amp;"")</f>
        <v/>
      </c>
      <c r="H217" s="20" t="str">
        <f>IF(B217="","",Exposures!$AV73&amp;"")</f>
        <v/>
      </c>
      <c r="I217" s="20" t="str">
        <f>IF(B217="","",Exposures!$AY73&amp;"")</f>
        <v/>
      </c>
      <c r="J217" s="20" t="str">
        <f>IF(B217="","",Exposures!$BE73&amp;"")</f>
        <v/>
      </c>
      <c r="K217" s="20">
        <f>IF(B217="",0,Exposures!$BF73)</f>
        <v>0</v>
      </c>
      <c r="L217" s="20">
        <f>IF(B217="",0,Exposures!$BG73)</f>
        <v>0</v>
      </c>
      <c r="M217" s="20" t="str">
        <f>IF(B217="","",Exposures!$BJ73)</f>
        <v/>
      </c>
      <c r="N217" s="20" t="str">
        <f>IF(B217="","",Exposures!$BK73)</f>
        <v/>
      </c>
      <c r="O217" s="27" t="str">
        <f>IF(B217="","",Exposures!$BH73)</f>
        <v/>
      </c>
      <c r="P217" s="27" t="str">
        <f>IF(B217="","",Exposures!$BI73)</f>
        <v/>
      </c>
      <c r="Q217" s="20" t="str">
        <f t="shared" si="43"/>
        <v/>
      </c>
      <c r="R217" s="20" t="str">
        <f>IF(A217="","",IF(J217&lt;&gt;"",J217,IF(H217="TIMESTAMP",DAY(INT(M217/1440))&amp;" "&amp;INDEX(nLIST_Months,MONTH(INT(M217/1440)))&amp;" "&amp;YEAR(INT(M217/1440))&amp;" "&amp;RIGHT("0"&amp;INT(MOD(M217,1440)/60),2)&amp;":"&amp;RIGHT("0"&amp;MOD(M217,60),2)&amp;IF(L217=1," (UTC"&amp;I217&amp;")"," (offset unknown)"),IF(H217="DATE",DAY(O217)&amp;" "&amp;INDEX(nLIST_Months,MONTH(O217))&amp;" "&amp;YEAR(O217),IF(H217="MONTH",INDEX(nLIST_Months,MONTH(O217))&amp;" "&amp;YEAR(O217)&amp;" ("&amp;DAY(O217)&amp;" "&amp;INDEX(nLIST_Months,MONTH(O217))&amp;" "&amp;YEAR(O217)&amp;" to "&amp;DAY(P217)&amp;" "&amp;INDEX(nLIST_Months,MONTH(P217))&amp;" "&amp;YEAR(P217)&amp;")",IF(H217="YEAR",YEAR(O217)&amp;" (1 January to 31 December)",DAY(O217)&amp;" "&amp;INDEX(nLIST_Months,MONTH(O217))&amp;" "&amp;YEAR(O217)&amp;" to "&amp;DAY(P217)&amp;" "&amp;INDEX(nLIST_Months,MONTH(P217))&amp;" "&amp;YEAR(P217)&amp;IF(H217="LAB"," (laboratory-defined)","")))))))</f>
        <v/>
      </c>
      <c r="S217" s="20" t="str">
        <f>IF(B217="","",Exposures!$AU73&amp;"")</f>
        <v/>
      </c>
      <c r="T217" s="20" t="str">
        <f>IF(B217="","",Exposures!$BD73&amp;"")</f>
        <v/>
      </c>
      <c r="U217" s="20" t="str">
        <f>IF(B217="","","Exposures row "&amp;ROW(Exposures!$A73)&amp;", Restart")</f>
        <v/>
      </c>
      <c r="V217" s="20">
        <f>IF(A217="",0,COUNTIF(nTP_Key,A217))</f>
        <v>0</v>
      </c>
      <c r="W217" s="20">
        <f t="shared" si="44"/>
        <v>0</v>
      </c>
      <c r="X217" s="20">
        <f t="shared" si="45"/>
        <v>0</v>
      </c>
      <c r="Y217" s="20">
        <f t="shared" si="46"/>
        <v>0</v>
      </c>
      <c r="Z217" s="20">
        <f t="shared" si="47"/>
        <v>0</v>
      </c>
      <c r="AA217" s="20">
        <f t="shared" si="48"/>
        <v>213</v>
      </c>
      <c r="AB217" s="20" t="str">
        <f>""</f>
        <v/>
      </c>
      <c r="AC217" s="20" t="str">
        <f>IF(B217="","",Exposures!$F73&amp;"")</f>
        <v/>
      </c>
      <c r="AD217" s="20" t="str">
        <f>IF(B217="","",Exposures!$E73&amp;": Restart")</f>
        <v/>
      </c>
      <c r="AE217" s="20">
        <f t="shared" si="49"/>
        <v>0</v>
      </c>
      <c r="AF217" s="20" t="str">
        <f t="shared" si="50"/>
        <v/>
      </c>
      <c r="AG217" s="20">
        <f t="shared" si="51"/>
        <v>0</v>
      </c>
      <c r="AH217" s="20" t="str">
        <f>""</f>
        <v/>
      </c>
    </row>
    <row r="218" spans="1:34" x14ac:dyDescent="0.2">
      <c r="A218" s="20" t="str">
        <f t="shared" si="41"/>
        <v/>
      </c>
      <c r="B218" s="20" t="str">
        <f>IF(AND(Exposures!$D74&lt;&gt;"",COUNTA(Exposures!$AV74:$BC74)&gt;0),Exposures!$D74&amp;"/RESTART","")</f>
        <v/>
      </c>
      <c r="C218" s="20" t="str">
        <f t="shared" si="52"/>
        <v/>
      </c>
      <c r="D218" s="20" t="str">
        <f>IF(B218="","",Exposures!$A74&amp;"")</f>
        <v/>
      </c>
      <c r="E218" s="20" t="str">
        <f>IF(B218="","",Exposures!$B74&amp;"")</f>
        <v/>
      </c>
      <c r="F218" s="20" t="str">
        <f t="shared" si="42"/>
        <v/>
      </c>
      <c r="G218" s="20" t="str">
        <f>IF(B218="","",Exposures!$D74&amp;"")</f>
        <v/>
      </c>
      <c r="H218" s="20" t="str">
        <f>IF(B218="","",Exposures!$AV74&amp;"")</f>
        <v/>
      </c>
      <c r="I218" s="20" t="str">
        <f>IF(B218="","",Exposures!$AY74&amp;"")</f>
        <v/>
      </c>
      <c r="J218" s="20" t="str">
        <f>IF(B218="","",Exposures!$BE74&amp;"")</f>
        <v/>
      </c>
      <c r="K218" s="20">
        <f>IF(B218="",0,Exposures!$BF74)</f>
        <v>0</v>
      </c>
      <c r="L218" s="20">
        <f>IF(B218="",0,Exposures!$BG74)</f>
        <v>0</v>
      </c>
      <c r="M218" s="20" t="str">
        <f>IF(B218="","",Exposures!$BJ74)</f>
        <v/>
      </c>
      <c r="N218" s="20" t="str">
        <f>IF(B218="","",Exposures!$BK74)</f>
        <v/>
      </c>
      <c r="O218" s="27" t="str">
        <f>IF(B218="","",Exposures!$BH74)</f>
        <v/>
      </c>
      <c r="P218" s="27" t="str">
        <f>IF(B218="","",Exposures!$BI74)</f>
        <v/>
      </c>
      <c r="Q218" s="20" t="str">
        <f t="shared" si="43"/>
        <v/>
      </c>
      <c r="R218" s="20" t="str">
        <f>IF(A218="","",IF(J218&lt;&gt;"",J218,IF(H218="TIMESTAMP",DAY(INT(M218/1440))&amp;" "&amp;INDEX(nLIST_Months,MONTH(INT(M218/1440)))&amp;" "&amp;YEAR(INT(M218/1440))&amp;" "&amp;RIGHT("0"&amp;INT(MOD(M218,1440)/60),2)&amp;":"&amp;RIGHT("0"&amp;MOD(M218,60),2)&amp;IF(L218=1," (UTC"&amp;I218&amp;")"," (offset unknown)"),IF(H218="DATE",DAY(O218)&amp;" "&amp;INDEX(nLIST_Months,MONTH(O218))&amp;" "&amp;YEAR(O218),IF(H218="MONTH",INDEX(nLIST_Months,MONTH(O218))&amp;" "&amp;YEAR(O218)&amp;" ("&amp;DAY(O218)&amp;" "&amp;INDEX(nLIST_Months,MONTH(O218))&amp;" "&amp;YEAR(O218)&amp;" to "&amp;DAY(P218)&amp;" "&amp;INDEX(nLIST_Months,MONTH(P218))&amp;" "&amp;YEAR(P218)&amp;")",IF(H218="YEAR",YEAR(O218)&amp;" (1 January to 31 December)",DAY(O218)&amp;" "&amp;INDEX(nLIST_Months,MONTH(O218))&amp;" "&amp;YEAR(O218)&amp;" to "&amp;DAY(P218)&amp;" "&amp;INDEX(nLIST_Months,MONTH(P218))&amp;" "&amp;YEAR(P218)&amp;IF(H218="LAB"," (laboratory-defined)","")))))))</f>
        <v/>
      </c>
      <c r="S218" s="20" t="str">
        <f>IF(B218="","",Exposures!$AU74&amp;"")</f>
        <v/>
      </c>
      <c r="T218" s="20" t="str">
        <f>IF(B218="","",Exposures!$BD74&amp;"")</f>
        <v/>
      </c>
      <c r="U218" s="20" t="str">
        <f>IF(B218="","","Exposures row "&amp;ROW(Exposures!$A74)&amp;", Restart")</f>
        <v/>
      </c>
      <c r="V218" s="20">
        <f>IF(A218="",0,COUNTIF(nTP_Key,A218))</f>
        <v>0</v>
      </c>
      <c r="W218" s="20">
        <f t="shared" si="44"/>
        <v>0</v>
      </c>
      <c r="X218" s="20">
        <f t="shared" si="45"/>
        <v>0</v>
      </c>
      <c r="Y218" s="20">
        <f t="shared" si="46"/>
        <v>0</v>
      </c>
      <c r="Z218" s="20">
        <f t="shared" si="47"/>
        <v>0</v>
      </c>
      <c r="AA218" s="20">
        <f t="shared" si="48"/>
        <v>214</v>
      </c>
      <c r="AB218" s="20" t="str">
        <f>""</f>
        <v/>
      </c>
      <c r="AC218" s="20" t="str">
        <f>IF(B218="","",Exposures!$F74&amp;"")</f>
        <v/>
      </c>
      <c r="AD218" s="20" t="str">
        <f>IF(B218="","",Exposures!$E74&amp;": Restart")</f>
        <v/>
      </c>
      <c r="AE218" s="20">
        <f t="shared" si="49"/>
        <v>0</v>
      </c>
      <c r="AF218" s="20" t="str">
        <f t="shared" si="50"/>
        <v/>
      </c>
      <c r="AG218" s="20">
        <f t="shared" si="51"/>
        <v>0</v>
      </c>
      <c r="AH218" s="20" t="str">
        <f>""</f>
        <v/>
      </c>
    </row>
    <row r="219" spans="1:34" x14ac:dyDescent="0.2">
      <c r="A219" s="20" t="str">
        <f t="shared" si="41"/>
        <v/>
      </c>
      <c r="B219" s="20" t="str">
        <f>IF(AND(Exposures!$D75&lt;&gt;"",COUNTA(Exposures!$AV75:$BC75)&gt;0),Exposures!$D75&amp;"/RESTART","")</f>
        <v/>
      </c>
      <c r="C219" s="20" t="str">
        <f t="shared" si="52"/>
        <v/>
      </c>
      <c r="D219" s="20" t="str">
        <f>IF(B219="","",Exposures!$A75&amp;"")</f>
        <v/>
      </c>
      <c r="E219" s="20" t="str">
        <f>IF(B219="","",Exposures!$B75&amp;"")</f>
        <v/>
      </c>
      <c r="F219" s="20" t="str">
        <f t="shared" si="42"/>
        <v/>
      </c>
      <c r="G219" s="20" t="str">
        <f>IF(B219="","",Exposures!$D75&amp;"")</f>
        <v/>
      </c>
      <c r="H219" s="20" t="str">
        <f>IF(B219="","",Exposures!$AV75&amp;"")</f>
        <v/>
      </c>
      <c r="I219" s="20" t="str">
        <f>IF(B219="","",Exposures!$AY75&amp;"")</f>
        <v/>
      </c>
      <c r="J219" s="20" t="str">
        <f>IF(B219="","",Exposures!$BE75&amp;"")</f>
        <v/>
      </c>
      <c r="K219" s="20">
        <f>IF(B219="",0,Exposures!$BF75)</f>
        <v>0</v>
      </c>
      <c r="L219" s="20">
        <f>IF(B219="",0,Exposures!$BG75)</f>
        <v>0</v>
      </c>
      <c r="M219" s="20" t="str">
        <f>IF(B219="","",Exposures!$BJ75)</f>
        <v/>
      </c>
      <c r="N219" s="20" t="str">
        <f>IF(B219="","",Exposures!$BK75)</f>
        <v/>
      </c>
      <c r="O219" s="27" t="str">
        <f>IF(B219="","",Exposures!$BH75)</f>
        <v/>
      </c>
      <c r="P219" s="27" t="str">
        <f>IF(B219="","",Exposures!$BI75)</f>
        <v/>
      </c>
      <c r="Q219" s="20" t="str">
        <f t="shared" si="43"/>
        <v/>
      </c>
      <c r="R219" s="20" t="str">
        <f>IF(A219="","",IF(J219&lt;&gt;"",J219,IF(H219="TIMESTAMP",DAY(INT(M219/1440))&amp;" "&amp;INDEX(nLIST_Months,MONTH(INT(M219/1440)))&amp;" "&amp;YEAR(INT(M219/1440))&amp;" "&amp;RIGHT("0"&amp;INT(MOD(M219,1440)/60),2)&amp;":"&amp;RIGHT("0"&amp;MOD(M219,60),2)&amp;IF(L219=1," (UTC"&amp;I219&amp;")"," (offset unknown)"),IF(H219="DATE",DAY(O219)&amp;" "&amp;INDEX(nLIST_Months,MONTH(O219))&amp;" "&amp;YEAR(O219),IF(H219="MONTH",INDEX(nLIST_Months,MONTH(O219))&amp;" "&amp;YEAR(O219)&amp;" ("&amp;DAY(O219)&amp;" "&amp;INDEX(nLIST_Months,MONTH(O219))&amp;" "&amp;YEAR(O219)&amp;" to "&amp;DAY(P219)&amp;" "&amp;INDEX(nLIST_Months,MONTH(P219))&amp;" "&amp;YEAR(P219)&amp;")",IF(H219="YEAR",YEAR(O219)&amp;" (1 January to 31 December)",DAY(O219)&amp;" "&amp;INDEX(nLIST_Months,MONTH(O219))&amp;" "&amp;YEAR(O219)&amp;" to "&amp;DAY(P219)&amp;" "&amp;INDEX(nLIST_Months,MONTH(P219))&amp;" "&amp;YEAR(P219)&amp;IF(H219="LAB"," (laboratory-defined)","")))))))</f>
        <v/>
      </c>
      <c r="S219" s="20" t="str">
        <f>IF(B219="","",Exposures!$AU75&amp;"")</f>
        <v/>
      </c>
      <c r="T219" s="20" t="str">
        <f>IF(B219="","",Exposures!$BD75&amp;"")</f>
        <v/>
      </c>
      <c r="U219" s="20" t="str">
        <f>IF(B219="","","Exposures row "&amp;ROW(Exposures!$A75)&amp;", Restart")</f>
        <v/>
      </c>
      <c r="V219" s="20">
        <f>IF(A219="",0,COUNTIF(nTP_Key,A219))</f>
        <v>0</v>
      </c>
      <c r="W219" s="20">
        <f t="shared" si="44"/>
        <v>0</v>
      </c>
      <c r="X219" s="20">
        <f t="shared" si="45"/>
        <v>0</v>
      </c>
      <c r="Y219" s="20">
        <f t="shared" si="46"/>
        <v>0</v>
      </c>
      <c r="Z219" s="20">
        <f t="shared" si="47"/>
        <v>0</v>
      </c>
      <c r="AA219" s="20">
        <f t="shared" si="48"/>
        <v>215</v>
      </c>
      <c r="AB219" s="20" t="str">
        <f>""</f>
        <v/>
      </c>
      <c r="AC219" s="20" t="str">
        <f>IF(B219="","",Exposures!$F75&amp;"")</f>
        <v/>
      </c>
      <c r="AD219" s="20" t="str">
        <f>IF(B219="","",Exposures!$E75&amp;": Restart")</f>
        <v/>
      </c>
      <c r="AE219" s="20">
        <f t="shared" si="49"/>
        <v>0</v>
      </c>
      <c r="AF219" s="20" t="str">
        <f t="shared" si="50"/>
        <v/>
      </c>
      <c r="AG219" s="20">
        <f t="shared" si="51"/>
        <v>0</v>
      </c>
      <c r="AH219" s="20" t="str">
        <f>""</f>
        <v/>
      </c>
    </row>
    <row r="220" spans="1:34" x14ac:dyDescent="0.2">
      <c r="A220" s="20" t="str">
        <f t="shared" si="41"/>
        <v/>
      </c>
      <c r="B220" s="20" t="str">
        <f>IF(AND(Exposures!$D76&lt;&gt;"",COUNTA(Exposures!$AV76:$BC76)&gt;0),Exposures!$D76&amp;"/RESTART","")</f>
        <v/>
      </c>
      <c r="C220" s="20" t="str">
        <f t="shared" si="52"/>
        <v/>
      </c>
      <c r="D220" s="20" t="str">
        <f>IF(B220="","",Exposures!$A76&amp;"")</f>
        <v/>
      </c>
      <c r="E220" s="20" t="str">
        <f>IF(B220="","",Exposures!$B76&amp;"")</f>
        <v/>
      </c>
      <c r="F220" s="20" t="str">
        <f t="shared" si="42"/>
        <v/>
      </c>
      <c r="G220" s="20" t="str">
        <f>IF(B220="","",Exposures!$D76&amp;"")</f>
        <v/>
      </c>
      <c r="H220" s="20" t="str">
        <f>IF(B220="","",Exposures!$AV76&amp;"")</f>
        <v/>
      </c>
      <c r="I220" s="20" t="str">
        <f>IF(B220="","",Exposures!$AY76&amp;"")</f>
        <v/>
      </c>
      <c r="J220" s="20" t="str">
        <f>IF(B220="","",Exposures!$BE76&amp;"")</f>
        <v/>
      </c>
      <c r="K220" s="20">
        <f>IF(B220="",0,Exposures!$BF76)</f>
        <v>0</v>
      </c>
      <c r="L220" s="20">
        <f>IF(B220="",0,Exposures!$BG76)</f>
        <v>0</v>
      </c>
      <c r="M220" s="20" t="str">
        <f>IF(B220="","",Exposures!$BJ76)</f>
        <v/>
      </c>
      <c r="N220" s="20" t="str">
        <f>IF(B220="","",Exposures!$BK76)</f>
        <v/>
      </c>
      <c r="O220" s="27" t="str">
        <f>IF(B220="","",Exposures!$BH76)</f>
        <v/>
      </c>
      <c r="P220" s="27" t="str">
        <f>IF(B220="","",Exposures!$BI76)</f>
        <v/>
      </c>
      <c r="Q220" s="20" t="str">
        <f t="shared" si="43"/>
        <v/>
      </c>
      <c r="R220" s="20" t="str">
        <f>IF(A220="","",IF(J220&lt;&gt;"",J220,IF(H220="TIMESTAMP",DAY(INT(M220/1440))&amp;" "&amp;INDEX(nLIST_Months,MONTH(INT(M220/1440)))&amp;" "&amp;YEAR(INT(M220/1440))&amp;" "&amp;RIGHT("0"&amp;INT(MOD(M220,1440)/60),2)&amp;":"&amp;RIGHT("0"&amp;MOD(M220,60),2)&amp;IF(L220=1," (UTC"&amp;I220&amp;")"," (offset unknown)"),IF(H220="DATE",DAY(O220)&amp;" "&amp;INDEX(nLIST_Months,MONTH(O220))&amp;" "&amp;YEAR(O220),IF(H220="MONTH",INDEX(nLIST_Months,MONTH(O220))&amp;" "&amp;YEAR(O220)&amp;" ("&amp;DAY(O220)&amp;" "&amp;INDEX(nLIST_Months,MONTH(O220))&amp;" "&amp;YEAR(O220)&amp;" to "&amp;DAY(P220)&amp;" "&amp;INDEX(nLIST_Months,MONTH(P220))&amp;" "&amp;YEAR(P220)&amp;")",IF(H220="YEAR",YEAR(O220)&amp;" (1 January to 31 December)",DAY(O220)&amp;" "&amp;INDEX(nLIST_Months,MONTH(O220))&amp;" "&amp;YEAR(O220)&amp;" to "&amp;DAY(P220)&amp;" "&amp;INDEX(nLIST_Months,MONTH(P220))&amp;" "&amp;YEAR(P220)&amp;IF(H220="LAB"," (laboratory-defined)","")))))))</f>
        <v/>
      </c>
      <c r="S220" s="20" t="str">
        <f>IF(B220="","",Exposures!$AU76&amp;"")</f>
        <v/>
      </c>
      <c r="T220" s="20" t="str">
        <f>IF(B220="","",Exposures!$BD76&amp;"")</f>
        <v/>
      </c>
      <c r="U220" s="20" t="str">
        <f>IF(B220="","","Exposures row "&amp;ROW(Exposures!$A76)&amp;", Restart")</f>
        <v/>
      </c>
      <c r="V220" s="20">
        <f>IF(A220="",0,COUNTIF(nTP_Key,A220))</f>
        <v>0</v>
      </c>
      <c r="W220" s="20">
        <f t="shared" si="44"/>
        <v>0</v>
      </c>
      <c r="X220" s="20">
        <f t="shared" si="45"/>
        <v>0</v>
      </c>
      <c r="Y220" s="20">
        <f t="shared" si="46"/>
        <v>0</v>
      </c>
      <c r="Z220" s="20">
        <f t="shared" si="47"/>
        <v>0</v>
      </c>
      <c r="AA220" s="20">
        <f t="shared" si="48"/>
        <v>216</v>
      </c>
      <c r="AB220" s="20" t="str">
        <f>""</f>
        <v/>
      </c>
      <c r="AC220" s="20" t="str">
        <f>IF(B220="","",Exposures!$F76&amp;"")</f>
        <v/>
      </c>
      <c r="AD220" s="20" t="str">
        <f>IF(B220="","",Exposures!$E76&amp;": Restart")</f>
        <v/>
      </c>
      <c r="AE220" s="20">
        <f t="shared" si="49"/>
        <v>0</v>
      </c>
      <c r="AF220" s="20" t="str">
        <f t="shared" si="50"/>
        <v/>
      </c>
      <c r="AG220" s="20">
        <f t="shared" si="51"/>
        <v>0</v>
      </c>
      <c r="AH220" s="20" t="str">
        <f>""</f>
        <v/>
      </c>
    </row>
    <row r="221" spans="1:34" x14ac:dyDescent="0.2">
      <c r="A221" s="20" t="str">
        <f t="shared" si="41"/>
        <v/>
      </c>
      <c r="B221" s="20" t="str">
        <f>IF(AND(Administrations!$C5&lt;&gt;"",COUNTA(Administrations!$N5:$U5)&gt;0),Administrations!$C5&amp;"","")</f>
        <v/>
      </c>
      <c r="C221" s="20" t="str">
        <f t="shared" ref="C221:C252" si="53">IF(B221="","","ADMINISTRATION")</f>
        <v/>
      </c>
      <c r="D221" s="20" t="str">
        <f>IF(B221="","",Administrations!$A5&amp;"")</f>
        <v/>
      </c>
      <c r="E221" s="20" t="str">
        <f>IF(B221="","",Administrations!$B5&amp;"")</f>
        <v/>
      </c>
      <c r="F221" s="20" t="str">
        <f t="shared" si="42"/>
        <v/>
      </c>
      <c r="G221" s="20" t="str">
        <f>IF(B221="","",Administrations!$D5&amp;"")</f>
        <v/>
      </c>
      <c r="H221" s="20" t="str">
        <f>IF(B221="","",Administrations!$N5&amp;"")</f>
        <v/>
      </c>
      <c r="I221" s="20" t="str">
        <f>IF(B221="","",Administrations!$Q5&amp;"")</f>
        <v/>
      </c>
      <c r="J221" s="20" t="str">
        <f>IF(B221="","",Administrations!$W5&amp;"")</f>
        <v/>
      </c>
      <c r="K221" s="20">
        <f>IF(B221="",0,Administrations!$X5)</f>
        <v>0</v>
      </c>
      <c r="L221" s="20">
        <f>IF(B221="",0,Administrations!$Y5)</f>
        <v>0</v>
      </c>
      <c r="M221" s="20" t="str">
        <f>IF(B221="","",Administrations!$AB5)</f>
        <v/>
      </c>
      <c r="N221" s="20" t="str">
        <f>IF(B221="","",Administrations!$AC5)</f>
        <v/>
      </c>
      <c r="O221" s="27" t="str">
        <f>IF(B221="","",Administrations!$Z5)</f>
        <v/>
      </c>
      <c r="P221" s="27" t="str">
        <f>IF(B221="","",Administrations!$AA5)</f>
        <v/>
      </c>
      <c r="Q221" s="20" t="str">
        <f t="shared" si="43"/>
        <v/>
      </c>
      <c r="R221" s="20" t="str">
        <f>IF(A221="","",IF(J221&lt;&gt;"",J221,IF(H221="TIMESTAMP",DAY(INT(M221/1440))&amp;" "&amp;INDEX(nLIST_Months,MONTH(INT(M221/1440)))&amp;" "&amp;YEAR(INT(M221/1440))&amp;" "&amp;RIGHT("0"&amp;INT(MOD(M221,1440)/60),2)&amp;":"&amp;RIGHT("0"&amp;MOD(M221,60),2)&amp;IF(L221=1," (UTC"&amp;I221&amp;")"," (offset unknown)"),IF(H221="DATE",DAY(O221)&amp;" "&amp;INDEX(nLIST_Months,MONTH(O221))&amp;" "&amp;YEAR(O221),IF(H221="MONTH",INDEX(nLIST_Months,MONTH(O221))&amp;" "&amp;YEAR(O221)&amp;" ("&amp;DAY(O221)&amp;" "&amp;INDEX(nLIST_Months,MONTH(O221))&amp;" "&amp;YEAR(O221)&amp;" to "&amp;DAY(P221)&amp;" "&amp;INDEX(nLIST_Months,MONTH(P221))&amp;" "&amp;YEAR(P221)&amp;")",IF(H221="YEAR",YEAR(O221)&amp;" (1 January to 31 December)",DAY(O221)&amp;" "&amp;INDEX(nLIST_Months,MONTH(O221))&amp;" "&amp;YEAR(O221)&amp;" to "&amp;DAY(P221)&amp;" "&amp;INDEX(nLIST_Months,MONTH(P221))&amp;" "&amp;YEAR(P221)&amp;IF(H221="LAB"," (laboratory-defined)","")))))))</f>
        <v/>
      </c>
      <c r="S221" s="20" t="str">
        <f>IF(B221="","",Administrations!$M5&amp;"")</f>
        <v/>
      </c>
      <c r="T221" s="20" t="str">
        <f>IF(B221="","",Administrations!$V5&amp;"")</f>
        <v/>
      </c>
      <c r="U221" s="20" t="str">
        <f>IF(B221="","","Administrations row "&amp;ROW(Administrations!$A5)&amp;", Administration")</f>
        <v/>
      </c>
      <c r="V221" s="20">
        <f>IF(A221="",0,COUNTIF(nTP_Key,A221))</f>
        <v>0</v>
      </c>
      <c r="W221" s="20">
        <f t="shared" si="44"/>
        <v>0</v>
      </c>
      <c r="X221" s="20">
        <f t="shared" si="45"/>
        <v>0</v>
      </c>
      <c r="Y221" s="20">
        <f t="shared" si="46"/>
        <v>0</v>
      </c>
      <c r="Z221" s="20">
        <f t="shared" si="47"/>
        <v>0</v>
      </c>
      <c r="AA221" s="20">
        <f t="shared" si="48"/>
        <v>217</v>
      </c>
      <c r="AB221" s="20" t="str">
        <f>IF(B221="","",Administrations!$E5&amp;"")</f>
        <v/>
      </c>
      <c r="AC221" s="20" t="str">
        <f>IF(B221="","",IFERROR(INDEX(nEXP_Role,MATCH(Administrations!$A5&amp;"|"&amp;Administrations!$B5&amp;"|"&amp;Administrations!$D5,nEXP_Key,0))&amp;"",""))</f>
        <v/>
      </c>
      <c r="AD221" s="20" t="str">
        <f>IF(B221="","",Administrations!$E5&amp;"")</f>
        <v/>
      </c>
      <c r="AE221" s="20">
        <f t="shared" si="49"/>
        <v>0</v>
      </c>
      <c r="AF221" s="20" t="str">
        <f t="shared" si="50"/>
        <v/>
      </c>
      <c r="AG221" s="20">
        <f t="shared" si="51"/>
        <v>0</v>
      </c>
      <c r="AH221" s="20" t="str">
        <f>""</f>
        <v/>
      </c>
    </row>
    <row r="222" spans="1:34" x14ac:dyDescent="0.2">
      <c r="A222" s="20" t="str">
        <f t="shared" si="41"/>
        <v/>
      </c>
      <c r="B222" s="20" t="str">
        <f>IF(AND(Administrations!$C6&lt;&gt;"",COUNTA(Administrations!$N6:$U6)&gt;0),Administrations!$C6&amp;"","")</f>
        <v/>
      </c>
      <c r="C222" s="20" t="str">
        <f t="shared" si="53"/>
        <v/>
      </c>
      <c r="D222" s="20" t="str">
        <f>IF(B222="","",Administrations!$A6&amp;"")</f>
        <v/>
      </c>
      <c r="E222" s="20" t="str">
        <f>IF(B222="","",Administrations!$B6&amp;"")</f>
        <v/>
      </c>
      <c r="F222" s="20" t="str">
        <f t="shared" si="42"/>
        <v/>
      </c>
      <c r="G222" s="20" t="str">
        <f>IF(B222="","",Administrations!$D6&amp;"")</f>
        <v/>
      </c>
      <c r="H222" s="20" t="str">
        <f>IF(B222="","",Administrations!$N6&amp;"")</f>
        <v/>
      </c>
      <c r="I222" s="20" t="str">
        <f>IF(B222="","",Administrations!$Q6&amp;"")</f>
        <v/>
      </c>
      <c r="J222" s="20" t="str">
        <f>IF(B222="","",Administrations!$W6&amp;"")</f>
        <v/>
      </c>
      <c r="K222" s="20">
        <f>IF(B222="",0,Administrations!$X6)</f>
        <v>0</v>
      </c>
      <c r="L222" s="20">
        <f>IF(B222="",0,Administrations!$Y6)</f>
        <v>0</v>
      </c>
      <c r="M222" s="20" t="str">
        <f>IF(B222="","",Administrations!$AB6)</f>
        <v/>
      </c>
      <c r="N222" s="20" t="str">
        <f>IF(B222="","",Administrations!$AC6)</f>
        <v/>
      </c>
      <c r="O222" s="27" t="str">
        <f>IF(B222="","",Administrations!$Z6)</f>
        <v/>
      </c>
      <c r="P222" s="27" t="str">
        <f>IF(B222="","",Administrations!$AA6)</f>
        <v/>
      </c>
      <c r="Q222" s="20" t="str">
        <f t="shared" si="43"/>
        <v/>
      </c>
      <c r="R222" s="20" t="str">
        <f>IF(A222="","",IF(J222&lt;&gt;"",J222,IF(H222="TIMESTAMP",DAY(INT(M222/1440))&amp;" "&amp;INDEX(nLIST_Months,MONTH(INT(M222/1440)))&amp;" "&amp;YEAR(INT(M222/1440))&amp;" "&amp;RIGHT("0"&amp;INT(MOD(M222,1440)/60),2)&amp;":"&amp;RIGHT("0"&amp;MOD(M222,60),2)&amp;IF(L222=1," (UTC"&amp;I222&amp;")"," (offset unknown)"),IF(H222="DATE",DAY(O222)&amp;" "&amp;INDEX(nLIST_Months,MONTH(O222))&amp;" "&amp;YEAR(O222),IF(H222="MONTH",INDEX(nLIST_Months,MONTH(O222))&amp;" "&amp;YEAR(O222)&amp;" ("&amp;DAY(O222)&amp;" "&amp;INDEX(nLIST_Months,MONTH(O222))&amp;" "&amp;YEAR(O222)&amp;" to "&amp;DAY(P222)&amp;" "&amp;INDEX(nLIST_Months,MONTH(P222))&amp;" "&amp;YEAR(P222)&amp;")",IF(H222="YEAR",YEAR(O222)&amp;" (1 January to 31 December)",DAY(O222)&amp;" "&amp;INDEX(nLIST_Months,MONTH(O222))&amp;" "&amp;YEAR(O222)&amp;" to "&amp;DAY(P222)&amp;" "&amp;INDEX(nLIST_Months,MONTH(P222))&amp;" "&amp;YEAR(P222)&amp;IF(H222="LAB"," (laboratory-defined)","")))))))</f>
        <v/>
      </c>
      <c r="S222" s="20" t="str">
        <f>IF(B222="","",Administrations!$M6&amp;"")</f>
        <v/>
      </c>
      <c r="T222" s="20" t="str">
        <f>IF(B222="","",Administrations!$V6&amp;"")</f>
        <v/>
      </c>
      <c r="U222" s="20" t="str">
        <f>IF(B222="","","Administrations row "&amp;ROW(Administrations!$A6)&amp;", Administration")</f>
        <v/>
      </c>
      <c r="V222" s="20">
        <f>IF(A222="",0,COUNTIF(nTP_Key,A222))</f>
        <v>0</v>
      </c>
      <c r="W222" s="20">
        <f t="shared" si="44"/>
        <v>0</v>
      </c>
      <c r="X222" s="20">
        <f t="shared" si="45"/>
        <v>0</v>
      </c>
      <c r="Y222" s="20">
        <f t="shared" si="46"/>
        <v>0</v>
      </c>
      <c r="Z222" s="20">
        <f t="shared" si="47"/>
        <v>0</v>
      </c>
      <c r="AA222" s="20">
        <f t="shared" si="48"/>
        <v>218</v>
      </c>
      <c r="AB222" s="20" t="str">
        <f>IF(B222="","",Administrations!$E6&amp;"")</f>
        <v/>
      </c>
      <c r="AC222" s="20" t="str">
        <f>IF(B222="","",IFERROR(INDEX(nEXP_Role,MATCH(Administrations!$A6&amp;"|"&amp;Administrations!$B6&amp;"|"&amp;Administrations!$D6,nEXP_Key,0))&amp;"",""))</f>
        <v/>
      </c>
      <c r="AD222" s="20" t="str">
        <f>IF(B222="","",Administrations!$E6&amp;"")</f>
        <v/>
      </c>
      <c r="AE222" s="20">
        <f t="shared" si="49"/>
        <v>0</v>
      </c>
      <c r="AF222" s="20" t="str">
        <f t="shared" si="50"/>
        <v/>
      </c>
      <c r="AG222" s="20">
        <f t="shared" si="51"/>
        <v>0</v>
      </c>
      <c r="AH222" s="20" t="str">
        <f>""</f>
        <v/>
      </c>
    </row>
    <row r="223" spans="1:34" x14ac:dyDescent="0.2">
      <c r="A223" s="20" t="str">
        <f t="shared" si="41"/>
        <v/>
      </c>
      <c r="B223" s="20" t="str">
        <f>IF(AND(Administrations!$C7&lt;&gt;"",COUNTA(Administrations!$N7:$U7)&gt;0),Administrations!$C7&amp;"","")</f>
        <v/>
      </c>
      <c r="C223" s="20" t="str">
        <f t="shared" si="53"/>
        <v/>
      </c>
      <c r="D223" s="20" t="str">
        <f>IF(B223="","",Administrations!$A7&amp;"")</f>
        <v/>
      </c>
      <c r="E223" s="20" t="str">
        <f>IF(B223="","",Administrations!$B7&amp;"")</f>
        <v/>
      </c>
      <c r="F223" s="20" t="str">
        <f t="shared" si="42"/>
        <v/>
      </c>
      <c r="G223" s="20" t="str">
        <f>IF(B223="","",Administrations!$D7&amp;"")</f>
        <v/>
      </c>
      <c r="H223" s="20" t="str">
        <f>IF(B223="","",Administrations!$N7&amp;"")</f>
        <v/>
      </c>
      <c r="I223" s="20" t="str">
        <f>IF(B223="","",Administrations!$Q7&amp;"")</f>
        <v/>
      </c>
      <c r="J223" s="20" t="str">
        <f>IF(B223="","",Administrations!$W7&amp;"")</f>
        <v/>
      </c>
      <c r="K223" s="20">
        <f>IF(B223="",0,Administrations!$X7)</f>
        <v>0</v>
      </c>
      <c r="L223" s="20">
        <f>IF(B223="",0,Administrations!$Y7)</f>
        <v>0</v>
      </c>
      <c r="M223" s="20" t="str">
        <f>IF(B223="","",Administrations!$AB7)</f>
        <v/>
      </c>
      <c r="N223" s="20" t="str">
        <f>IF(B223="","",Administrations!$AC7)</f>
        <v/>
      </c>
      <c r="O223" s="27" t="str">
        <f>IF(B223="","",Administrations!$Z7)</f>
        <v/>
      </c>
      <c r="P223" s="27" t="str">
        <f>IF(B223="","",Administrations!$AA7)</f>
        <v/>
      </c>
      <c r="Q223" s="20" t="str">
        <f t="shared" si="43"/>
        <v/>
      </c>
      <c r="R223" s="20" t="str">
        <f>IF(A223="","",IF(J223&lt;&gt;"",J223,IF(H223="TIMESTAMP",DAY(INT(M223/1440))&amp;" "&amp;INDEX(nLIST_Months,MONTH(INT(M223/1440)))&amp;" "&amp;YEAR(INT(M223/1440))&amp;" "&amp;RIGHT("0"&amp;INT(MOD(M223,1440)/60),2)&amp;":"&amp;RIGHT("0"&amp;MOD(M223,60),2)&amp;IF(L223=1," (UTC"&amp;I223&amp;")"," (offset unknown)"),IF(H223="DATE",DAY(O223)&amp;" "&amp;INDEX(nLIST_Months,MONTH(O223))&amp;" "&amp;YEAR(O223),IF(H223="MONTH",INDEX(nLIST_Months,MONTH(O223))&amp;" "&amp;YEAR(O223)&amp;" ("&amp;DAY(O223)&amp;" "&amp;INDEX(nLIST_Months,MONTH(O223))&amp;" "&amp;YEAR(O223)&amp;" to "&amp;DAY(P223)&amp;" "&amp;INDEX(nLIST_Months,MONTH(P223))&amp;" "&amp;YEAR(P223)&amp;")",IF(H223="YEAR",YEAR(O223)&amp;" (1 January to 31 December)",DAY(O223)&amp;" "&amp;INDEX(nLIST_Months,MONTH(O223))&amp;" "&amp;YEAR(O223)&amp;" to "&amp;DAY(P223)&amp;" "&amp;INDEX(nLIST_Months,MONTH(P223))&amp;" "&amp;YEAR(P223)&amp;IF(H223="LAB"," (laboratory-defined)","")))))))</f>
        <v/>
      </c>
      <c r="S223" s="20" t="str">
        <f>IF(B223="","",Administrations!$M7&amp;"")</f>
        <v/>
      </c>
      <c r="T223" s="20" t="str">
        <f>IF(B223="","",Administrations!$V7&amp;"")</f>
        <v/>
      </c>
      <c r="U223" s="20" t="str">
        <f>IF(B223="","","Administrations row "&amp;ROW(Administrations!$A7)&amp;", Administration")</f>
        <v/>
      </c>
      <c r="V223" s="20">
        <f>IF(A223="",0,COUNTIF(nTP_Key,A223))</f>
        <v>0</v>
      </c>
      <c r="W223" s="20">
        <f t="shared" si="44"/>
        <v>0</v>
      </c>
      <c r="X223" s="20">
        <f t="shared" si="45"/>
        <v>0</v>
      </c>
      <c r="Y223" s="20">
        <f t="shared" si="46"/>
        <v>0</v>
      </c>
      <c r="Z223" s="20">
        <f t="shared" si="47"/>
        <v>0</v>
      </c>
      <c r="AA223" s="20">
        <f t="shared" si="48"/>
        <v>219</v>
      </c>
      <c r="AB223" s="20" t="str">
        <f>IF(B223="","",Administrations!$E7&amp;"")</f>
        <v/>
      </c>
      <c r="AC223" s="20" t="str">
        <f>IF(B223="","",IFERROR(INDEX(nEXP_Role,MATCH(Administrations!$A7&amp;"|"&amp;Administrations!$B7&amp;"|"&amp;Administrations!$D7,nEXP_Key,0))&amp;"",""))</f>
        <v/>
      </c>
      <c r="AD223" s="20" t="str">
        <f>IF(B223="","",Administrations!$E7&amp;"")</f>
        <v/>
      </c>
      <c r="AE223" s="20">
        <f t="shared" si="49"/>
        <v>0</v>
      </c>
      <c r="AF223" s="20" t="str">
        <f t="shared" si="50"/>
        <v/>
      </c>
      <c r="AG223" s="20">
        <f t="shared" si="51"/>
        <v>0</v>
      </c>
      <c r="AH223" s="20" t="str">
        <f>""</f>
        <v/>
      </c>
    </row>
    <row r="224" spans="1:34" x14ac:dyDescent="0.2">
      <c r="A224" s="20" t="str">
        <f t="shared" si="41"/>
        <v/>
      </c>
      <c r="B224" s="20" t="str">
        <f>IF(AND(Administrations!$C8&lt;&gt;"",COUNTA(Administrations!$N8:$U8)&gt;0),Administrations!$C8&amp;"","")</f>
        <v/>
      </c>
      <c r="C224" s="20" t="str">
        <f t="shared" si="53"/>
        <v/>
      </c>
      <c r="D224" s="20" t="str">
        <f>IF(B224="","",Administrations!$A8&amp;"")</f>
        <v/>
      </c>
      <c r="E224" s="20" t="str">
        <f>IF(B224="","",Administrations!$B8&amp;"")</f>
        <v/>
      </c>
      <c r="F224" s="20" t="str">
        <f t="shared" si="42"/>
        <v/>
      </c>
      <c r="G224" s="20" t="str">
        <f>IF(B224="","",Administrations!$D8&amp;"")</f>
        <v/>
      </c>
      <c r="H224" s="20" t="str">
        <f>IF(B224="","",Administrations!$N8&amp;"")</f>
        <v/>
      </c>
      <c r="I224" s="20" t="str">
        <f>IF(B224="","",Administrations!$Q8&amp;"")</f>
        <v/>
      </c>
      <c r="J224" s="20" t="str">
        <f>IF(B224="","",Administrations!$W8&amp;"")</f>
        <v/>
      </c>
      <c r="K224" s="20">
        <f>IF(B224="",0,Administrations!$X8)</f>
        <v>0</v>
      </c>
      <c r="L224" s="20">
        <f>IF(B224="",0,Administrations!$Y8)</f>
        <v>0</v>
      </c>
      <c r="M224" s="20" t="str">
        <f>IF(B224="","",Administrations!$AB8)</f>
        <v/>
      </c>
      <c r="N224" s="20" t="str">
        <f>IF(B224="","",Administrations!$AC8)</f>
        <v/>
      </c>
      <c r="O224" s="27" t="str">
        <f>IF(B224="","",Administrations!$Z8)</f>
        <v/>
      </c>
      <c r="P224" s="27" t="str">
        <f>IF(B224="","",Administrations!$AA8)</f>
        <v/>
      </c>
      <c r="Q224" s="20" t="str">
        <f t="shared" si="43"/>
        <v/>
      </c>
      <c r="R224" s="20" t="str">
        <f>IF(A224="","",IF(J224&lt;&gt;"",J224,IF(H224="TIMESTAMP",DAY(INT(M224/1440))&amp;" "&amp;INDEX(nLIST_Months,MONTH(INT(M224/1440)))&amp;" "&amp;YEAR(INT(M224/1440))&amp;" "&amp;RIGHT("0"&amp;INT(MOD(M224,1440)/60),2)&amp;":"&amp;RIGHT("0"&amp;MOD(M224,60),2)&amp;IF(L224=1," (UTC"&amp;I224&amp;")"," (offset unknown)"),IF(H224="DATE",DAY(O224)&amp;" "&amp;INDEX(nLIST_Months,MONTH(O224))&amp;" "&amp;YEAR(O224),IF(H224="MONTH",INDEX(nLIST_Months,MONTH(O224))&amp;" "&amp;YEAR(O224)&amp;" ("&amp;DAY(O224)&amp;" "&amp;INDEX(nLIST_Months,MONTH(O224))&amp;" "&amp;YEAR(O224)&amp;" to "&amp;DAY(P224)&amp;" "&amp;INDEX(nLIST_Months,MONTH(P224))&amp;" "&amp;YEAR(P224)&amp;")",IF(H224="YEAR",YEAR(O224)&amp;" (1 January to 31 December)",DAY(O224)&amp;" "&amp;INDEX(nLIST_Months,MONTH(O224))&amp;" "&amp;YEAR(O224)&amp;" to "&amp;DAY(P224)&amp;" "&amp;INDEX(nLIST_Months,MONTH(P224))&amp;" "&amp;YEAR(P224)&amp;IF(H224="LAB"," (laboratory-defined)","")))))))</f>
        <v/>
      </c>
      <c r="S224" s="20" t="str">
        <f>IF(B224="","",Administrations!$M8&amp;"")</f>
        <v/>
      </c>
      <c r="T224" s="20" t="str">
        <f>IF(B224="","",Administrations!$V8&amp;"")</f>
        <v/>
      </c>
      <c r="U224" s="20" t="str">
        <f>IF(B224="","","Administrations row "&amp;ROW(Administrations!$A8)&amp;", Administration")</f>
        <v/>
      </c>
      <c r="V224" s="20">
        <f>IF(A224="",0,COUNTIF(nTP_Key,A224))</f>
        <v>0</v>
      </c>
      <c r="W224" s="20">
        <f t="shared" si="44"/>
        <v>0</v>
      </c>
      <c r="X224" s="20">
        <f t="shared" si="45"/>
        <v>0</v>
      </c>
      <c r="Y224" s="20">
        <f t="shared" si="46"/>
        <v>0</v>
      </c>
      <c r="Z224" s="20">
        <f t="shared" si="47"/>
        <v>0</v>
      </c>
      <c r="AA224" s="20">
        <f t="shared" si="48"/>
        <v>220</v>
      </c>
      <c r="AB224" s="20" t="str">
        <f>IF(B224="","",Administrations!$E8&amp;"")</f>
        <v/>
      </c>
      <c r="AC224" s="20" t="str">
        <f>IF(B224="","",IFERROR(INDEX(nEXP_Role,MATCH(Administrations!$A8&amp;"|"&amp;Administrations!$B8&amp;"|"&amp;Administrations!$D8,nEXP_Key,0))&amp;"",""))</f>
        <v/>
      </c>
      <c r="AD224" s="20" t="str">
        <f>IF(B224="","",Administrations!$E8&amp;"")</f>
        <v/>
      </c>
      <c r="AE224" s="20">
        <f t="shared" si="49"/>
        <v>0</v>
      </c>
      <c r="AF224" s="20" t="str">
        <f t="shared" si="50"/>
        <v/>
      </c>
      <c r="AG224" s="20">
        <f t="shared" si="51"/>
        <v>0</v>
      </c>
      <c r="AH224" s="20" t="str">
        <f>""</f>
        <v/>
      </c>
    </row>
    <row r="225" spans="1:34" x14ac:dyDescent="0.2">
      <c r="A225" s="20" t="str">
        <f t="shared" si="41"/>
        <v/>
      </c>
      <c r="B225" s="20" t="str">
        <f>IF(AND(Administrations!$C9&lt;&gt;"",COUNTA(Administrations!$N9:$U9)&gt;0),Administrations!$C9&amp;"","")</f>
        <v/>
      </c>
      <c r="C225" s="20" t="str">
        <f t="shared" si="53"/>
        <v/>
      </c>
      <c r="D225" s="20" t="str">
        <f>IF(B225="","",Administrations!$A9&amp;"")</f>
        <v/>
      </c>
      <c r="E225" s="20" t="str">
        <f>IF(B225="","",Administrations!$B9&amp;"")</f>
        <v/>
      </c>
      <c r="F225" s="20" t="str">
        <f t="shared" si="42"/>
        <v/>
      </c>
      <c r="G225" s="20" t="str">
        <f>IF(B225="","",Administrations!$D9&amp;"")</f>
        <v/>
      </c>
      <c r="H225" s="20" t="str">
        <f>IF(B225="","",Administrations!$N9&amp;"")</f>
        <v/>
      </c>
      <c r="I225" s="20" t="str">
        <f>IF(B225="","",Administrations!$Q9&amp;"")</f>
        <v/>
      </c>
      <c r="J225" s="20" t="str">
        <f>IF(B225="","",Administrations!$W9&amp;"")</f>
        <v/>
      </c>
      <c r="K225" s="20">
        <f>IF(B225="",0,Administrations!$X9)</f>
        <v>0</v>
      </c>
      <c r="L225" s="20">
        <f>IF(B225="",0,Administrations!$Y9)</f>
        <v>0</v>
      </c>
      <c r="M225" s="20" t="str">
        <f>IF(B225="","",Administrations!$AB9)</f>
        <v/>
      </c>
      <c r="N225" s="20" t="str">
        <f>IF(B225="","",Administrations!$AC9)</f>
        <v/>
      </c>
      <c r="O225" s="27" t="str">
        <f>IF(B225="","",Administrations!$Z9)</f>
        <v/>
      </c>
      <c r="P225" s="27" t="str">
        <f>IF(B225="","",Administrations!$AA9)</f>
        <v/>
      </c>
      <c r="Q225" s="20" t="str">
        <f t="shared" si="43"/>
        <v/>
      </c>
      <c r="R225" s="20" t="str">
        <f>IF(A225="","",IF(J225&lt;&gt;"",J225,IF(H225="TIMESTAMP",DAY(INT(M225/1440))&amp;" "&amp;INDEX(nLIST_Months,MONTH(INT(M225/1440)))&amp;" "&amp;YEAR(INT(M225/1440))&amp;" "&amp;RIGHT("0"&amp;INT(MOD(M225,1440)/60),2)&amp;":"&amp;RIGHT("0"&amp;MOD(M225,60),2)&amp;IF(L225=1," (UTC"&amp;I225&amp;")"," (offset unknown)"),IF(H225="DATE",DAY(O225)&amp;" "&amp;INDEX(nLIST_Months,MONTH(O225))&amp;" "&amp;YEAR(O225),IF(H225="MONTH",INDEX(nLIST_Months,MONTH(O225))&amp;" "&amp;YEAR(O225)&amp;" ("&amp;DAY(O225)&amp;" "&amp;INDEX(nLIST_Months,MONTH(O225))&amp;" "&amp;YEAR(O225)&amp;" to "&amp;DAY(P225)&amp;" "&amp;INDEX(nLIST_Months,MONTH(P225))&amp;" "&amp;YEAR(P225)&amp;")",IF(H225="YEAR",YEAR(O225)&amp;" (1 January to 31 December)",DAY(O225)&amp;" "&amp;INDEX(nLIST_Months,MONTH(O225))&amp;" "&amp;YEAR(O225)&amp;" to "&amp;DAY(P225)&amp;" "&amp;INDEX(nLIST_Months,MONTH(P225))&amp;" "&amp;YEAR(P225)&amp;IF(H225="LAB"," (laboratory-defined)","")))))))</f>
        <v/>
      </c>
      <c r="S225" s="20" t="str">
        <f>IF(B225="","",Administrations!$M9&amp;"")</f>
        <v/>
      </c>
      <c r="T225" s="20" t="str">
        <f>IF(B225="","",Administrations!$V9&amp;"")</f>
        <v/>
      </c>
      <c r="U225" s="20" t="str">
        <f>IF(B225="","","Administrations row "&amp;ROW(Administrations!$A9)&amp;", Administration")</f>
        <v/>
      </c>
      <c r="V225" s="20">
        <f>IF(A225="",0,COUNTIF(nTP_Key,A225))</f>
        <v>0</v>
      </c>
      <c r="W225" s="20">
        <f t="shared" si="44"/>
        <v>0</v>
      </c>
      <c r="X225" s="20">
        <f t="shared" si="45"/>
        <v>0</v>
      </c>
      <c r="Y225" s="20">
        <f t="shared" si="46"/>
        <v>0</v>
      </c>
      <c r="Z225" s="20">
        <f t="shared" si="47"/>
        <v>0</v>
      </c>
      <c r="AA225" s="20">
        <f t="shared" si="48"/>
        <v>221</v>
      </c>
      <c r="AB225" s="20" t="str">
        <f>IF(B225="","",Administrations!$E9&amp;"")</f>
        <v/>
      </c>
      <c r="AC225" s="20" t="str">
        <f>IF(B225="","",IFERROR(INDEX(nEXP_Role,MATCH(Administrations!$A9&amp;"|"&amp;Administrations!$B9&amp;"|"&amp;Administrations!$D9,nEXP_Key,0))&amp;"",""))</f>
        <v/>
      </c>
      <c r="AD225" s="20" t="str">
        <f>IF(B225="","",Administrations!$E9&amp;"")</f>
        <v/>
      </c>
      <c r="AE225" s="20">
        <f t="shared" si="49"/>
        <v>0</v>
      </c>
      <c r="AF225" s="20" t="str">
        <f t="shared" si="50"/>
        <v/>
      </c>
      <c r="AG225" s="20">
        <f t="shared" si="51"/>
        <v>0</v>
      </c>
      <c r="AH225" s="20" t="str">
        <f>""</f>
        <v/>
      </c>
    </row>
    <row r="226" spans="1:34" x14ac:dyDescent="0.2">
      <c r="A226" s="20" t="str">
        <f t="shared" si="41"/>
        <v/>
      </c>
      <c r="B226" s="20" t="str">
        <f>IF(AND(Administrations!$C10&lt;&gt;"",COUNTA(Administrations!$N10:$U10)&gt;0),Administrations!$C10&amp;"","")</f>
        <v/>
      </c>
      <c r="C226" s="20" t="str">
        <f t="shared" si="53"/>
        <v/>
      </c>
      <c r="D226" s="20" t="str">
        <f>IF(B226="","",Administrations!$A10&amp;"")</f>
        <v/>
      </c>
      <c r="E226" s="20" t="str">
        <f>IF(B226="","",Administrations!$B10&amp;"")</f>
        <v/>
      </c>
      <c r="F226" s="20" t="str">
        <f t="shared" si="42"/>
        <v/>
      </c>
      <c r="G226" s="20" t="str">
        <f>IF(B226="","",Administrations!$D10&amp;"")</f>
        <v/>
      </c>
      <c r="H226" s="20" t="str">
        <f>IF(B226="","",Administrations!$N10&amp;"")</f>
        <v/>
      </c>
      <c r="I226" s="20" t="str">
        <f>IF(B226="","",Administrations!$Q10&amp;"")</f>
        <v/>
      </c>
      <c r="J226" s="20" t="str">
        <f>IF(B226="","",Administrations!$W10&amp;"")</f>
        <v/>
      </c>
      <c r="K226" s="20">
        <f>IF(B226="",0,Administrations!$X10)</f>
        <v>0</v>
      </c>
      <c r="L226" s="20">
        <f>IF(B226="",0,Administrations!$Y10)</f>
        <v>0</v>
      </c>
      <c r="M226" s="20" t="str">
        <f>IF(B226="","",Administrations!$AB10)</f>
        <v/>
      </c>
      <c r="N226" s="20" t="str">
        <f>IF(B226="","",Administrations!$AC10)</f>
        <v/>
      </c>
      <c r="O226" s="27" t="str">
        <f>IF(B226="","",Administrations!$Z10)</f>
        <v/>
      </c>
      <c r="P226" s="27" t="str">
        <f>IF(B226="","",Administrations!$AA10)</f>
        <v/>
      </c>
      <c r="Q226" s="20" t="str">
        <f t="shared" si="43"/>
        <v/>
      </c>
      <c r="R226" s="20" t="str">
        <f>IF(A226="","",IF(J226&lt;&gt;"",J226,IF(H226="TIMESTAMP",DAY(INT(M226/1440))&amp;" "&amp;INDEX(nLIST_Months,MONTH(INT(M226/1440)))&amp;" "&amp;YEAR(INT(M226/1440))&amp;" "&amp;RIGHT("0"&amp;INT(MOD(M226,1440)/60),2)&amp;":"&amp;RIGHT("0"&amp;MOD(M226,60),2)&amp;IF(L226=1," (UTC"&amp;I226&amp;")"," (offset unknown)"),IF(H226="DATE",DAY(O226)&amp;" "&amp;INDEX(nLIST_Months,MONTH(O226))&amp;" "&amp;YEAR(O226),IF(H226="MONTH",INDEX(nLIST_Months,MONTH(O226))&amp;" "&amp;YEAR(O226)&amp;" ("&amp;DAY(O226)&amp;" "&amp;INDEX(nLIST_Months,MONTH(O226))&amp;" "&amp;YEAR(O226)&amp;" to "&amp;DAY(P226)&amp;" "&amp;INDEX(nLIST_Months,MONTH(P226))&amp;" "&amp;YEAR(P226)&amp;")",IF(H226="YEAR",YEAR(O226)&amp;" (1 January to 31 December)",DAY(O226)&amp;" "&amp;INDEX(nLIST_Months,MONTH(O226))&amp;" "&amp;YEAR(O226)&amp;" to "&amp;DAY(P226)&amp;" "&amp;INDEX(nLIST_Months,MONTH(P226))&amp;" "&amp;YEAR(P226)&amp;IF(H226="LAB"," (laboratory-defined)","")))))))</f>
        <v/>
      </c>
      <c r="S226" s="20" t="str">
        <f>IF(B226="","",Administrations!$M10&amp;"")</f>
        <v/>
      </c>
      <c r="T226" s="20" t="str">
        <f>IF(B226="","",Administrations!$V10&amp;"")</f>
        <v/>
      </c>
      <c r="U226" s="20" t="str">
        <f>IF(B226="","","Administrations row "&amp;ROW(Administrations!$A10)&amp;", Administration")</f>
        <v/>
      </c>
      <c r="V226" s="20">
        <f>IF(A226="",0,COUNTIF(nTP_Key,A226))</f>
        <v>0</v>
      </c>
      <c r="W226" s="20">
        <f t="shared" si="44"/>
        <v>0</v>
      </c>
      <c r="X226" s="20">
        <f t="shared" si="45"/>
        <v>0</v>
      </c>
      <c r="Y226" s="20">
        <f t="shared" si="46"/>
        <v>0</v>
      </c>
      <c r="Z226" s="20">
        <f t="shared" si="47"/>
        <v>0</v>
      </c>
      <c r="AA226" s="20">
        <f t="shared" si="48"/>
        <v>222</v>
      </c>
      <c r="AB226" s="20" t="str">
        <f>IF(B226="","",Administrations!$E10&amp;"")</f>
        <v/>
      </c>
      <c r="AC226" s="20" t="str">
        <f>IF(B226="","",IFERROR(INDEX(nEXP_Role,MATCH(Administrations!$A10&amp;"|"&amp;Administrations!$B10&amp;"|"&amp;Administrations!$D10,nEXP_Key,0))&amp;"",""))</f>
        <v/>
      </c>
      <c r="AD226" s="20" t="str">
        <f>IF(B226="","",Administrations!$E10&amp;"")</f>
        <v/>
      </c>
      <c r="AE226" s="20">
        <f t="shared" si="49"/>
        <v>0</v>
      </c>
      <c r="AF226" s="20" t="str">
        <f t="shared" si="50"/>
        <v/>
      </c>
      <c r="AG226" s="20">
        <f t="shared" si="51"/>
        <v>0</v>
      </c>
      <c r="AH226" s="20" t="str">
        <f>""</f>
        <v/>
      </c>
    </row>
    <row r="227" spans="1:34" x14ac:dyDescent="0.2">
      <c r="A227" s="20" t="str">
        <f t="shared" si="41"/>
        <v/>
      </c>
      <c r="B227" s="20" t="str">
        <f>IF(AND(Administrations!$C11&lt;&gt;"",COUNTA(Administrations!$N11:$U11)&gt;0),Administrations!$C11&amp;"","")</f>
        <v/>
      </c>
      <c r="C227" s="20" t="str">
        <f t="shared" si="53"/>
        <v/>
      </c>
      <c r="D227" s="20" t="str">
        <f>IF(B227="","",Administrations!$A11&amp;"")</f>
        <v/>
      </c>
      <c r="E227" s="20" t="str">
        <f>IF(B227="","",Administrations!$B11&amp;"")</f>
        <v/>
      </c>
      <c r="F227" s="20" t="str">
        <f t="shared" si="42"/>
        <v/>
      </c>
      <c r="G227" s="20" t="str">
        <f>IF(B227="","",Administrations!$D11&amp;"")</f>
        <v/>
      </c>
      <c r="H227" s="20" t="str">
        <f>IF(B227="","",Administrations!$N11&amp;"")</f>
        <v/>
      </c>
      <c r="I227" s="20" t="str">
        <f>IF(B227="","",Administrations!$Q11&amp;"")</f>
        <v/>
      </c>
      <c r="J227" s="20" t="str">
        <f>IF(B227="","",Administrations!$W11&amp;"")</f>
        <v/>
      </c>
      <c r="K227" s="20">
        <f>IF(B227="",0,Administrations!$X11)</f>
        <v>0</v>
      </c>
      <c r="L227" s="20">
        <f>IF(B227="",0,Administrations!$Y11)</f>
        <v>0</v>
      </c>
      <c r="M227" s="20" t="str">
        <f>IF(B227="","",Administrations!$AB11)</f>
        <v/>
      </c>
      <c r="N227" s="20" t="str">
        <f>IF(B227="","",Administrations!$AC11)</f>
        <v/>
      </c>
      <c r="O227" s="27" t="str">
        <f>IF(B227="","",Administrations!$Z11)</f>
        <v/>
      </c>
      <c r="P227" s="27" t="str">
        <f>IF(B227="","",Administrations!$AA11)</f>
        <v/>
      </c>
      <c r="Q227" s="20" t="str">
        <f t="shared" si="43"/>
        <v/>
      </c>
      <c r="R227" s="20" t="str">
        <f>IF(A227="","",IF(J227&lt;&gt;"",J227,IF(H227="TIMESTAMP",DAY(INT(M227/1440))&amp;" "&amp;INDEX(nLIST_Months,MONTH(INT(M227/1440)))&amp;" "&amp;YEAR(INT(M227/1440))&amp;" "&amp;RIGHT("0"&amp;INT(MOD(M227,1440)/60),2)&amp;":"&amp;RIGHT("0"&amp;MOD(M227,60),2)&amp;IF(L227=1," (UTC"&amp;I227&amp;")"," (offset unknown)"),IF(H227="DATE",DAY(O227)&amp;" "&amp;INDEX(nLIST_Months,MONTH(O227))&amp;" "&amp;YEAR(O227),IF(H227="MONTH",INDEX(nLIST_Months,MONTH(O227))&amp;" "&amp;YEAR(O227)&amp;" ("&amp;DAY(O227)&amp;" "&amp;INDEX(nLIST_Months,MONTH(O227))&amp;" "&amp;YEAR(O227)&amp;" to "&amp;DAY(P227)&amp;" "&amp;INDEX(nLIST_Months,MONTH(P227))&amp;" "&amp;YEAR(P227)&amp;")",IF(H227="YEAR",YEAR(O227)&amp;" (1 January to 31 December)",DAY(O227)&amp;" "&amp;INDEX(nLIST_Months,MONTH(O227))&amp;" "&amp;YEAR(O227)&amp;" to "&amp;DAY(P227)&amp;" "&amp;INDEX(nLIST_Months,MONTH(P227))&amp;" "&amp;YEAR(P227)&amp;IF(H227="LAB"," (laboratory-defined)","")))))))</f>
        <v/>
      </c>
      <c r="S227" s="20" t="str">
        <f>IF(B227="","",Administrations!$M11&amp;"")</f>
        <v/>
      </c>
      <c r="T227" s="20" t="str">
        <f>IF(B227="","",Administrations!$V11&amp;"")</f>
        <v/>
      </c>
      <c r="U227" s="20" t="str">
        <f>IF(B227="","","Administrations row "&amp;ROW(Administrations!$A11)&amp;", Administration")</f>
        <v/>
      </c>
      <c r="V227" s="20">
        <f>IF(A227="",0,COUNTIF(nTP_Key,A227))</f>
        <v>0</v>
      </c>
      <c r="W227" s="20">
        <f t="shared" si="44"/>
        <v>0</v>
      </c>
      <c r="X227" s="20">
        <f t="shared" si="45"/>
        <v>0</v>
      </c>
      <c r="Y227" s="20">
        <f t="shared" si="46"/>
        <v>0</v>
      </c>
      <c r="Z227" s="20">
        <f t="shared" si="47"/>
        <v>0</v>
      </c>
      <c r="AA227" s="20">
        <f t="shared" si="48"/>
        <v>223</v>
      </c>
      <c r="AB227" s="20" t="str">
        <f>IF(B227="","",Administrations!$E11&amp;"")</f>
        <v/>
      </c>
      <c r="AC227" s="20" t="str">
        <f>IF(B227="","",IFERROR(INDEX(nEXP_Role,MATCH(Administrations!$A11&amp;"|"&amp;Administrations!$B11&amp;"|"&amp;Administrations!$D11,nEXP_Key,0))&amp;"",""))</f>
        <v/>
      </c>
      <c r="AD227" s="20" t="str">
        <f>IF(B227="","",Administrations!$E11&amp;"")</f>
        <v/>
      </c>
      <c r="AE227" s="20">
        <f t="shared" si="49"/>
        <v>0</v>
      </c>
      <c r="AF227" s="20" t="str">
        <f t="shared" si="50"/>
        <v/>
      </c>
      <c r="AG227" s="20">
        <f t="shared" si="51"/>
        <v>0</v>
      </c>
      <c r="AH227" s="20" t="str">
        <f>""</f>
        <v/>
      </c>
    </row>
    <row r="228" spans="1:34" x14ac:dyDescent="0.2">
      <c r="A228" s="20" t="str">
        <f t="shared" si="41"/>
        <v/>
      </c>
      <c r="B228" s="20" t="str">
        <f>IF(AND(Administrations!$C12&lt;&gt;"",COUNTA(Administrations!$N12:$U12)&gt;0),Administrations!$C12&amp;"","")</f>
        <v/>
      </c>
      <c r="C228" s="20" t="str">
        <f t="shared" si="53"/>
        <v/>
      </c>
      <c r="D228" s="20" t="str">
        <f>IF(B228="","",Administrations!$A12&amp;"")</f>
        <v/>
      </c>
      <c r="E228" s="20" t="str">
        <f>IF(B228="","",Administrations!$B12&amp;"")</f>
        <v/>
      </c>
      <c r="F228" s="20" t="str">
        <f t="shared" si="42"/>
        <v/>
      </c>
      <c r="G228" s="20" t="str">
        <f>IF(B228="","",Administrations!$D12&amp;"")</f>
        <v/>
      </c>
      <c r="H228" s="20" t="str">
        <f>IF(B228="","",Administrations!$N12&amp;"")</f>
        <v/>
      </c>
      <c r="I228" s="20" t="str">
        <f>IF(B228="","",Administrations!$Q12&amp;"")</f>
        <v/>
      </c>
      <c r="J228" s="20" t="str">
        <f>IF(B228="","",Administrations!$W12&amp;"")</f>
        <v/>
      </c>
      <c r="K228" s="20">
        <f>IF(B228="",0,Administrations!$X12)</f>
        <v>0</v>
      </c>
      <c r="L228" s="20">
        <f>IF(B228="",0,Administrations!$Y12)</f>
        <v>0</v>
      </c>
      <c r="M228" s="20" t="str">
        <f>IF(B228="","",Administrations!$AB12)</f>
        <v/>
      </c>
      <c r="N228" s="20" t="str">
        <f>IF(B228="","",Administrations!$AC12)</f>
        <v/>
      </c>
      <c r="O228" s="27" t="str">
        <f>IF(B228="","",Administrations!$Z12)</f>
        <v/>
      </c>
      <c r="P228" s="27" t="str">
        <f>IF(B228="","",Administrations!$AA12)</f>
        <v/>
      </c>
      <c r="Q228" s="20" t="str">
        <f t="shared" si="43"/>
        <v/>
      </c>
      <c r="R228" s="20" t="str">
        <f>IF(A228="","",IF(J228&lt;&gt;"",J228,IF(H228="TIMESTAMP",DAY(INT(M228/1440))&amp;" "&amp;INDEX(nLIST_Months,MONTH(INT(M228/1440)))&amp;" "&amp;YEAR(INT(M228/1440))&amp;" "&amp;RIGHT("0"&amp;INT(MOD(M228,1440)/60),2)&amp;":"&amp;RIGHT("0"&amp;MOD(M228,60),2)&amp;IF(L228=1," (UTC"&amp;I228&amp;")"," (offset unknown)"),IF(H228="DATE",DAY(O228)&amp;" "&amp;INDEX(nLIST_Months,MONTH(O228))&amp;" "&amp;YEAR(O228),IF(H228="MONTH",INDEX(nLIST_Months,MONTH(O228))&amp;" "&amp;YEAR(O228)&amp;" ("&amp;DAY(O228)&amp;" "&amp;INDEX(nLIST_Months,MONTH(O228))&amp;" "&amp;YEAR(O228)&amp;" to "&amp;DAY(P228)&amp;" "&amp;INDEX(nLIST_Months,MONTH(P228))&amp;" "&amp;YEAR(P228)&amp;")",IF(H228="YEAR",YEAR(O228)&amp;" (1 January to 31 December)",DAY(O228)&amp;" "&amp;INDEX(nLIST_Months,MONTH(O228))&amp;" "&amp;YEAR(O228)&amp;" to "&amp;DAY(P228)&amp;" "&amp;INDEX(nLIST_Months,MONTH(P228))&amp;" "&amp;YEAR(P228)&amp;IF(H228="LAB"," (laboratory-defined)","")))))))</f>
        <v/>
      </c>
      <c r="S228" s="20" t="str">
        <f>IF(B228="","",Administrations!$M12&amp;"")</f>
        <v/>
      </c>
      <c r="T228" s="20" t="str">
        <f>IF(B228="","",Administrations!$V12&amp;"")</f>
        <v/>
      </c>
      <c r="U228" s="20" t="str">
        <f>IF(B228="","","Administrations row "&amp;ROW(Administrations!$A12)&amp;", Administration")</f>
        <v/>
      </c>
      <c r="V228" s="20">
        <f>IF(A228="",0,COUNTIF(nTP_Key,A228))</f>
        <v>0</v>
      </c>
      <c r="W228" s="20">
        <f t="shared" si="44"/>
        <v>0</v>
      </c>
      <c r="X228" s="20">
        <f t="shared" si="45"/>
        <v>0</v>
      </c>
      <c r="Y228" s="20">
        <f t="shared" si="46"/>
        <v>0</v>
      </c>
      <c r="Z228" s="20">
        <f t="shared" si="47"/>
        <v>0</v>
      </c>
      <c r="AA228" s="20">
        <f t="shared" si="48"/>
        <v>224</v>
      </c>
      <c r="AB228" s="20" t="str">
        <f>IF(B228="","",Administrations!$E12&amp;"")</f>
        <v/>
      </c>
      <c r="AC228" s="20" t="str">
        <f>IF(B228="","",IFERROR(INDEX(nEXP_Role,MATCH(Administrations!$A12&amp;"|"&amp;Administrations!$B12&amp;"|"&amp;Administrations!$D12,nEXP_Key,0))&amp;"",""))</f>
        <v/>
      </c>
      <c r="AD228" s="20" t="str">
        <f>IF(B228="","",Administrations!$E12&amp;"")</f>
        <v/>
      </c>
      <c r="AE228" s="20">
        <f t="shared" si="49"/>
        <v>0</v>
      </c>
      <c r="AF228" s="20" t="str">
        <f t="shared" si="50"/>
        <v/>
      </c>
      <c r="AG228" s="20">
        <f t="shared" si="51"/>
        <v>0</v>
      </c>
      <c r="AH228" s="20" t="str">
        <f>""</f>
        <v/>
      </c>
    </row>
    <row r="229" spans="1:34" x14ac:dyDescent="0.2">
      <c r="A229" s="20" t="str">
        <f t="shared" si="41"/>
        <v/>
      </c>
      <c r="B229" s="20" t="str">
        <f>IF(AND(Administrations!$C13&lt;&gt;"",COUNTA(Administrations!$N13:$U13)&gt;0),Administrations!$C13&amp;"","")</f>
        <v/>
      </c>
      <c r="C229" s="20" t="str">
        <f t="shared" si="53"/>
        <v/>
      </c>
      <c r="D229" s="20" t="str">
        <f>IF(B229="","",Administrations!$A13&amp;"")</f>
        <v/>
      </c>
      <c r="E229" s="20" t="str">
        <f>IF(B229="","",Administrations!$B13&amp;"")</f>
        <v/>
      </c>
      <c r="F229" s="20" t="str">
        <f t="shared" si="42"/>
        <v/>
      </c>
      <c r="G229" s="20" t="str">
        <f>IF(B229="","",Administrations!$D13&amp;"")</f>
        <v/>
      </c>
      <c r="H229" s="20" t="str">
        <f>IF(B229="","",Administrations!$N13&amp;"")</f>
        <v/>
      </c>
      <c r="I229" s="20" t="str">
        <f>IF(B229="","",Administrations!$Q13&amp;"")</f>
        <v/>
      </c>
      <c r="J229" s="20" t="str">
        <f>IF(B229="","",Administrations!$W13&amp;"")</f>
        <v/>
      </c>
      <c r="K229" s="20">
        <f>IF(B229="",0,Administrations!$X13)</f>
        <v>0</v>
      </c>
      <c r="L229" s="20">
        <f>IF(B229="",0,Administrations!$Y13)</f>
        <v>0</v>
      </c>
      <c r="M229" s="20" t="str">
        <f>IF(B229="","",Administrations!$AB13)</f>
        <v/>
      </c>
      <c r="N229" s="20" t="str">
        <f>IF(B229="","",Administrations!$AC13)</f>
        <v/>
      </c>
      <c r="O229" s="27" t="str">
        <f>IF(B229="","",Administrations!$Z13)</f>
        <v/>
      </c>
      <c r="P229" s="27" t="str">
        <f>IF(B229="","",Administrations!$AA13)</f>
        <v/>
      </c>
      <c r="Q229" s="20" t="str">
        <f t="shared" si="43"/>
        <v/>
      </c>
      <c r="R229" s="20" t="str">
        <f>IF(A229="","",IF(J229&lt;&gt;"",J229,IF(H229="TIMESTAMP",DAY(INT(M229/1440))&amp;" "&amp;INDEX(nLIST_Months,MONTH(INT(M229/1440)))&amp;" "&amp;YEAR(INT(M229/1440))&amp;" "&amp;RIGHT("0"&amp;INT(MOD(M229,1440)/60),2)&amp;":"&amp;RIGHT("0"&amp;MOD(M229,60),2)&amp;IF(L229=1," (UTC"&amp;I229&amp;")"," (offset unknown)"),IF(H229="DATE",DAY(O229)&amp;" "&amp;INDEX(nLIST_Months,MONTH(O229))&amp;" "&amp;YEAR(O229),IF(H229="MONTH",INDEX(nLIST_Months,MONTH(O229))&amp;" "&amp;YEAR(O229)&amp;" ("&amp;DAY(O229)&amp;" "&amp;INDEX(nLIST_Months,MONTH(O229))&amp;" "&amp;YEAR(O229)&amp;" to "&amp;DAY(P229)&amp;" "&amp;INDEX(nLIST_Months,MONTH(P229))&amp;" "&amp;YEAR(P229)&amp;")",IF(H229="YEAR",YEAR(O229)&amp;" (1 January to 31 December)",DAY(O229)&amp;" "&amp;INDEX(nLIST_Months,MONTH(O229))&amp;" "&amp;YEAR(O229)&amp;" to "&amp;DAY(P229)&amp;" "&amp;INDEX(nLIST_Months,MONTH(P229))&amp;" "&amp;YEAR(P229)&amp;IF(H229="LAB"," (laboratory-defined)","")))))))</f>
        <v/>
      </c>
      <c r="S229" s="20" t="str">
        <f>IF(B229="","",Administrations!$M13&amp;"")</f>
        <v/>
      </c>
      <c r="T229" s="20" t="str">
        <f>IF(B229="","",Administrations!$V13&amp;"")</f>
        <v/>
      </c>
      <c r="U229" s="20" t="str">
        <f>IF(B229="","","Administrations row "&amp;ROW(Administrations!$A13)&amp;", Administration")</f>
        <v/>
      </c>
      <c r="V229" s="20">
        <f>IF(A229="",0,COUNTIF(nTP_Key,A229))</f>
        <v>0</v>
      </c>
      <c r="W229" s="20">
        <f t="shared" si="44"/>
        <v>0</v>
      </c>
      <c r="X229" s="20">
        <f t="shared" si="45"/>
        <v>0</v>
      </c>
      <c r="Y229" s="20">
        <f t="shared" si="46"/>
        <v>0</v>
      </c>
      <c r="Z229" s="20">
        <f t="shared" si="47"/>
        <v>0</v>
      </c>
      <c r="AA229" s="20">
        <f t="shared" si="48"/>
        <v>225</v>
      </c>
      <c r="AB229" s="20" t="str">
        <f>IF(B229="","",Administrations!$E13&amp;"")</f>
        <v/>
      </c>
      <c r="AC229" s="20" t="str">
        <f>IF(B229="","",IFERROR(INDEX(nEXP_Role,MATCH(Administrations!$A13&amp;"|"&amp;Administrations!$B13&amp;"|"&amp;Administrations!$D13,nEXP_Key,0))&amp;"",""))</f>
        <v/>
      </c>
      <c r="AD229" s="20" t="str">
        <f>IF(B229="","",Administrations!$E13&amp;"")</f>
        <v/>
      </c>
      <c r="AE229" s="20">
        <f t="shared" si="49"/>
        <v>0</v>
      </c>
      <c r="AF229" s="20" t="str">
        <f t="shared" si="50"/>
        <v/>
      </c>
      <c r="AG229" s="20">
        <f t="shared" si="51"/>
        <v>0</v>
      </c>
      <c r="AH229" s="20" t="str">
        <f>""</f>
        <v/>
      </c>
    </row>
    <row r="230" spans="1:34" x14ac:dyDescent="0.2">
      <c r="A230" s="20" t="str">
        <f t="shared" si="41"/>
        <v/>
      </c>
      <c r="B230" s="20" t="str">
        <f>IF(AND(Administrations!$C14&lt;&gt;"",COUNTA(Administrations!$N14:$U14)&gt;0),Administrations!$C14&amp;"","")</f>
        <v/>
      </c>
      <c r="C230" s="20" t="str">
        <f t="shared" si="53"/>
        <v/>
      </c>
      <c r="D230" s="20" t="str">
        <f>IF(B230="","",Administrations!$A14&amp;"")</f>
        <v/>
      </c>
      <c r="E230" s="20" t="str">
        <f>IF(B230="","",Administrations!$B14&amp;"")</f>
        <v/>
      </c>
      <c r="F230" s="20" t="str">
        <f t="shared" si="42"/>
        <v/>
      </c>
      <c r="G230" s="20" t="str">
        <f>IF(B230="","",Administrations!$D14&amp;"")</f>
        <v/>
      </c>
      <c r="H230" s="20" t="str">
        <f>IF(B230="","",Administrations!$N14&amp;"")</f>
        <v/>
      </c>
      <c r="I230" s="20" t="str">
        <f>IF(B230="","",Administrations!$Q14&amp;"")</f>
        <v/>
      </c>
      <c r="J230" s="20" t="str">
        <f>IF(B230="","",Administrations!$W14&amp;"")</f>
        <v/>
      </c>
      <c r="K230" s="20">
        <f>IF(B230="",0,Administrations!$X14)</f>
        <v>0</v>
      </c>
      <c r="L230" s="20">
        <f>IF(B230="",0,Administrations!$Y14)</f>
        <v>0</v>
      </c>
      <c r="M230" s="20" t="str">
        <f>IF(B230="","",Administrations!$AB14)</f>
        <v/>
      </c>
      <c r="N230" s="20" t="str">
        <f>IF(B230="","",Administrations!$AC14)</f>
        <v/>
      </c>
      <c r="O230" s="27" t="str">
        <f>IF(B230="","",Administrations!$Z14)</f>
        <v/>
      </c>
      <c r="P230" s="27" t="str">
        <f>IF(B230="","",Administrations!$AA14)</f>
        <v/>
      </c>
      <c r="Q230" s="20" t="str">
        <f t="shared" si="43"/>
        <v/>
      </c>
      <c r="R230" s="20" t="str">
        <f>IF(A230="","",IF(J230&lt;&gt;"",J230,IF(H230="TIMESTAMP",DAY(INT(M230/1440))&amp;" "&amp;INDEX(nLIST_Months,MONTH(INT(M230/1440)))&amp;" "&amp;YEAR(INT(M230/1440))&amp;" "&amp;RIGHT("0"&amp;INT(MOD(M230,1440)/60),2)&amp;":"&amp;RIGHT("0"&amp;MOD(M230,60),2)&amp;IF(L230=1," (UTC"&amp;I230&amp;")"," (offset unknown)"),IF(H230="DATE",DAY(O230)&amp;" "&amp;INDEX(nLIST_Months,MONTH(O230))&amp;" "&amp;YEAR(O230),IF(H230="MONTH",INDEX(nLIST_Months,MONTH(O230))&amp;" "&amp;YEAR(O230)&amp;" ("&amp;DAY(O230)&amp;" "&amp;INDEX(nLIST_Months,MONTH(O230))&amp;" "&amp;YEAR(O230)&amp;" to "&amp;DAY(P230)&amp;" "&amp;INDEX(nLIST_Months,MONTH(P230))&amp;" "&amp;YEAR(P230)&amp;")",IF(H230="YEAR",YEAR(O230)&amp;" (1 January to 31 December)",DAY(O230)&amp;" "&amp;INDEX(nLIST_Months,MONTH(O230))&amp;" "&amp;YEAR(O230)&amp;" to "&amp;DAY(P230)&amp;" "&amp;INDEX(nLIST_Months,MONTH(P230))&amp;" "&amp;YEAR(P230)&amp;IF(H230="LAB"," (laboratory-defined)","")))))))</f>
        <v/>
      </c>
      <c r="S230" s="20" t="str">
        <f>IF(B230="","",Administrations!$M14&amp;"")</f>
        <v/>
      </c>
      <c r="T230" s="20" t="str">
        <f>IF(B230="","",Administrations!$V14&amp;"")</f>
        <v/>
      </c>
      <c r="U230" s="20" t="str">
        <f>IF(B230="","","Administrations row "&amp;ROW(Administrations!$A14)&amp;", Administration")</f>
        <v/>
      </c>
      <c r="V230" s="20">
        <f>IF(A230="",0,COUNTIF(nTP_Key,A230))</f>
        <v>0</v>
      </c>
      <c r="W230" s="20">
        <f t="shared" si="44"/>
        <v>0</v>
      </c>
      <c r="X230" s="20">
        <f t="shared" si="45"/>
        <v>0</v>
      </c>
      <c r="Y230" s="20">
        <f t="shared" si="46"/>
        <v>0</v>
      </c>
      <c r="Z230" s="20">
        <f t="shared" si="47"/>
        <v>0</v>
      </c>
      <c r="AA230" s="20">
        <f t="shared" si="48"/>
        <v>226</v>
      </c>
      <c r="AB230" s="20" t="str">
        <f>IF(B230="","",Administrations!$E14&amp;"")</f>
        <v/>
      </c>
      <c r="AC230" s="20" t="str">
        <f>IF(B230="","",IFERROR(INDEX(nEXP_Role,MATCH(Administrations!$A14&amp;"|"&amp;Administrations!$B14&amp;"|"&amp;Administrations!$D14,nEXP_Key,0))&amp;"",""))</f>
        <v/>
      </c>
      <c r="AD230" s="20" t="str">
        <f>IF(B230="","",Administrations!$E14&amp;"")</f>
        <v/>
      </c>
      <c r="AE230" s="20">
        <f t="shared" si="49"/>
        <v>0</v>
      </c>
      <c r="AF230" s="20" t="str">
        <f t="shared" si="50"/>
        <v/>
      </c>
      <c r="AG230" s="20">
        <f t="shared" si="51"/>
        <v>0</v>
      </c>
      <c r="AH230" s="20" t="str">
        <f>""</f>
        <v/>
      </c>
    </row>
    <row r="231" spans="1:34" x14ac:dyDescent="0.2">
      <c r="A231" s="20" t="str">
        <f t="shared" si="41"/>
        <v/>
      </c>
      <c r="B231" s="20" t="str">
        <f>IF(AND(Administrations!$C15&lt;&gt;"",COUNTA(Administrations!$N15:$U15)&gt;0),Administrations!$C15&amp;"","")</f>
        <v/>
      </c>
      <c r="C231" s="20" t="str">
        <f t="shared" si="53"/>
        <v/>
      </c>
      <c r="D231" s="20" t="str">
        <f>IF(B231="","",Administrations!$A15&amp;"")</f>
        <v/>
      </c>
      <c r="E231" s="20" t="str">
        <f>IF(B231="","",Administrations!$B15&amp;"")</f>
        <v/>
      </c>
      <c r="F231" s="20" t="str">
        <f t="shared" si="42"/>
        <v/>
      </c>
      <c r="G231" s="20" t="str">
        <f>IF(B231="","",Administrations!$D15&amp;"")</f>
        <v/>
      </c>
      <c r="H231" s="20" t="str">
        <f>IF(B231="","",Administrations!$N15&amp;"")</f>
        <v/>
      </c>
      <c r="I231" s="20" t="str">
        <f>IF(B231="","",Administrations!$Q15&amp;"")</f>
        <v/>
      </c>
      <c r="J231" s="20" t="str">
        <f>IF(B231="","",Administrations!$W15&amp;"")</f>
        <v/>
      </c>
      <c r="K231" s="20">
        <f>IF(B231="",0,Administrations!$X15)</f>
        <v>0</v>
      </c>
      <c r="L231" s="20">
        <f>IF(B231="",0,Administrations!$Y15)</f>
        <v>0</v>
      </c>
      <c r="M231" s="20" t="str">
        <f>IF(B231="","",Administrations!$AB15)</f>
        <v/>
      </c>
      <c r="N231" s="20" t="str">
        <f>IF(B231="","",Administrations!$AC15)</f>
        <v/>
      </c>
      <c r="O231" s="27" t="str">
        <f>IF(B231="","",Administrations!$Z15)</f>
        <v/>
      </c>
      <c r="P231" s="27" t="str">
        <f>IF(B231="","",Administrations!$AA15)</f>
        <v/>
      </c>
      <c r="Q231" s="20" t="str">
        <f t="shared" si="43"/>
        <v/>
      </c>
      <c r="R231" s="20" t="str">
        <f>IF(A231="","",IF(J231&lt;&gt;"",J231,IF(H231="TIMESTAMP",DAY(INT(M231/1440))&amp;" "&amp;INDEX(nLIST_Months,MONTH(INT(M231/1440)))&amp;" "&amp;YEAR(INT(M231/1440))&amp;" "&amp;RIGHT("0"&amp;INT(MOD(M231,1440)/60),2)&amp;":"&amp;RIGHT("0"&amp;MOD(M231,60),2)&amp;IF(L231=1," (UTC"&amp;I231&amp;")"," (offset unknown)"),IF(H231="DATE",DAY(O231)&amp;" "&amp;INDEX(nLIST_Months,MONTH(O231))&amp;" "&amp;YEAR(O231),IF(H231="MONTH",INDEX(nLIST_Months,MONTH(O231))&amp;" "&amp;YEAR(O231)&amp;" ("&amp;DAY(O231)&amp;" "&amp;INDEX(nLIST_Months,MONTH(O231))&amp;" "&amp;YEAR(O231)&amp;" to "&amp;DAY(P231)&amp;" "&amp;INDEX(nLIST_Months,MONTH(P231))&amp;" "&amp;YEAR(P231)&amp;")",IF(H231="YEAR",YEAR(O231)&amp;" (1 January to 31 December)",DAY(O231)&amp;" "&amp;INDEX(nLIST_Months,MONTH(O231))&amp;" "&amp;YEAR(O231)&amp;" to "&amp;DAY(P231)&amp;" "&amp;INDEX(nLIST_Months,MONTH(P231))&amp;" "&amp;YEAR(P231)&amp;IF(H231="LAB"," (laboratory-defined)","")))))))</f>
        <v/>
      </c>
      <c r="S231" s="20" t="str">
        <f>IF(B231="","",Administrations!$M15&amp;"")</f>
        <v/>
      </c>
      <c r="T231" s="20" t="str">
        <f>IF(B231="","",Administrations!$V15&amp;"")</f>
        <v/>
      </c>
      <c r="U231" s="20" t="str">
        <f>IF(B231="","","Administrations row "&amp;ROW(Administrations!$A15)&amp;", Administration")</f>
        <v/>
      </c>
      <c r="V231" s="20">
        <f>IF(A231="",0,COUNTIF(nTP_Key,A231))</f>
        <v>0</v>
      </c>
      <c r="W231" s="20">
        <f t="shared" si="44"/>
        <v>0</v>
      </c>
      <c r="X231" s="20">
        <f t="shared" si="45"/>
        <v>0</v>
      </c>
      <c r="Y231" s="20">
        <f t="shared" si="46"/>
        <v>0</v>
      </c>
      <c r="Z231" s="20">
        <f t="shared" si="47"/>
        <v>0</v>
      </c>
      <c r="AA231" s="20">
        <f t="shared" si="48"/>
        <v>227</v>
      </c>
      <c r="AB231" s="20" t="str">
        <f>IF(B231="","",Administrations!$E15&amp;"")</f>
        <v/>
      </c>
      <c r="AC231" s="20" t="str">
        <f>IF(B231="","",IFERROR(INDEX(nEXP_Role,MATCH(Administrations!$A15&amp;"|"&amp;Administrations!$B15&amp;"|"&amp;Administrations!$D15,nEXP_Key,0))&amp;"",""))</f>
        <v/>
      </c>
      <c r="AD231" s="20" t="str">
        <f>IF(B231="","",Administrations!$E15&amp;"")</f>
        <v/>
      </c>
      <c r="AE231" s="20">
        <f t="shared" si="49"/>
        <v>0</v>
      </c>
      <c r="AF231" s="20" t="str">
        <f t="shared" si="50"/>
        <v/>
      </c>
      <c r="AG231" s="20">
        <f t="shared" si="51"/>
        <v>0</v>
      </c>
      <c r="AH231" s="20" t="str">
        <f>""</f>
        <v/>
      </c>
    </row>
    <row r="232" spans="1:34" x14ac:dyDescent="0.2">
      <c r="A232" s="20" t="str">
        <f t="shared" si="41"/>
        <v/>
      </c>
      <c r="B232" s="20" t="str">
        <f>IF(AND(Administrations!$C16&lt;&gt;"",COUNTA(Administrations!$N16:$U16)&gt;0),Administrations!$C16&amp;"","")</f>
        <v/>
      </c>
      <c r="C232" s="20" t="str">
        <f t="shared" si="53"/>
        <v/>
      </c>
      <c r="D232" s="20" t="str">
        <f>IF(B232="","",Administrations!$A16&amp;"")</f>
        <v/>
      </c>
      <c r="E232" s="20" t="str">
        <f>IF(B232="","",Administrations!$B16&amp;"")</f>
        <v/>
      </c>
      <c r="F232" s="20" t="str">
        <f t="shared" si="42"/>
        <v/>
      </c>
      <c r="G232" s="20" t="str">
        <f>IF(B232="","",Administrations!$D16&amp;"")</f>
        <v/>
      </c>
      <c r="H232" s="20" t="str">
        <f>IF(B232="","",Administrations!$N16&amp;"")</f>
        <v/>
      </c>
      <c r="I232" s="20" t="str">
        <f>IF(B232="","",Administrations!$Q16&amp;"")</f>
        <v/>
      </c>
      <c r="J232" s="20" t="str">
        <f>IF(B232="","",Administrations!$W16&amp;"")</f>
        <v/>
      </c>
      <c r="K232" s="20">
        <f>IF(B232="",0,Administrations!$X16)</f>
        <v>0</v>
      </c>
      <c r="L232" s="20">
        <f>IF(B232="",0,Administrations!$Y16)</f>
        <v>0</v>
      </c>
      <c r="M232" s="20" t="str">
        <f>IF(B232="","",Administrations!$AB16)</f>
        <v/>
      </c>
      <c r="N232" s="20" t="str">
        <f>IF(B232="","",Administrations!$AC16)</f>
        <v/>
      </c>
      <c r="O232" s="27" t="str">
        <f>IF(B232="","",Administrations!$Z16)</f>
        <v/>
      </c>
      <c r="P232" s="27" t="str">
        <f>IF(B232="","",Administrations!$AA16)</f>
        <v/>
      </c>
      <c r="Q232" s="20" t="str">
        <f t="shared" si="43"/>
        <v/>
      </c>
      <c r="R232" s="20" t="str">
        <f>IF(A232="","",IF(J232&lt;&gt;"",J232,IF(H232="TIMESTAMP",DAY(INT(M232/1440))&amp;" "&amp;INDEX(nLIST_Months,MONTH(INT(M232/1440)))&amp;" "&amp;YEAR(INT(M232/1440))&amp;" "&amp;RIGHT("0"&amp;INT(MOD(M232,1440)/60),2)&amp;":"&amp;RIGHT("0"&amp;MOD(M232,60),2)&amp;IF(L232=1," (UTC"&amp;I232&amp;")"," (offset unknown)"),IF(H232="DATE",DAY(O232)&amp;" "&amp;INDEX(nLIST_Months,MONTH(O232))&amp;" "&amp;YEAR(O232),IF(H232="MONTH",INDEX(nLIST_Months,MONTH(O232))&amp;" "&amp;YEAR(O232)&amp;" ("&amp;DAY(O232)&amp;" "&amp;INDEX(nLIST_Months,MONTH(O232))&amp;" "&amp;YEAR(O232)&amp;" to "&amp;DAY(P232)&amp;" "&amp;INDEX(nLIST_Months,MONTH(P232))&amp;" "&amp;YEAR(P232)&amp;")",IF(H232="YEAR",YEAR(O232)&amp;" (1 January to 31 December)",DAY(O232)&amp;" "&amp;INDEX(nLIST_Months,MONTH(O232))&amp;" "&amp;YEAR(O232)&amp;" to "&amp;DAY(P232)&amp;" "&amp;INDEX(nLIST_Months,MONTH(P232))&amp;" "&amp;YEAR(P232)&amp;IF(H232="LAB"," (laboratory-defined)","")))))))</f>
        <v/>
      </c>
      <c r="S232" s="20" t="str">
        <f>IF(B232="","",Administrations!$M16&amp;"")</f>
        <v/>
      </c>
      <c r="T232" s="20" t="str">
        <f>IF(B232="","",Administrations!$V16&amp;"")</f>
        <v/>
      </c>
      <c r="U232" s="20" t="str">
        <f>IF(B232="","","Administrations row "&amp;ROW(Administrations!$A16)&amp;", Administration")</f>
        <v/>
      </c>
      <c r="V232" s="20">
        <f>IF(A232="",0,COUNTIF(nTP_Key,A232))</f>
        <v>0</v>
      </c>
      <c r="W232" s="20">
        <f t="shared" si="44"/>
        <v>0</v>
      </c>
      <c r="X232" s="20">
        <f t="shared" si="45"/>
        <v>0</v>
      </c>
      <c r="Y232" s="20">
        <f t="shared" si="46"/>
        <v>0</v>
      </c>
      <c r="Z232" s="20">
        <f t="shared" si="47"/>
        <v>0</v>
      </c>
      <c r="AA232" s="20">
        <f t="shared" si="48"/>
        <v>228</v>
      </c>
      <c r="AB232" s="20" t="str">
        <f>IF(B232="","",Administrations!$E16&amp;"")</f>
        <v/>
      </c>
      <c r="AC232" s="20" t="str">
        <f>IF(B232="","",IFERROR(INDEX(nEXP_Role,MATCH(Administrations!$A16&amp;"|"&amp;Administrations!$B16&amp;"|"&amp;Administrations!$D16,nEXP_Key,0))&amp;"",""))</f>
        <v/>
      </c>
      <c r="AD232" s="20" t="str">
        <f>IF(B232="","",Administrations!$E16&amp;"")</f>
        <v/>
      </c>
      <c r="AE232" s="20">
        <f t="shared" si="49"/>
        <v>0</v>
      </c>
      <c r="AF232" s="20" t="str">
        <f t="shared" si="50"/>
        <v/>
      </c>
      <c r="AG232" s="20">
        <f t="shared" si="51"/>
        <v>0</v>
      </c>
      <c r="AH232" s="20" t="str">
        <f>""</f>
        <v/>
      </c>
    </row>
    <row r="233" spans="1:34" x14ac:dyDescent="0.2">
      <c r="A233" s="20" t="str">
        <f t="shared" si="41"/>
        <v/>
      </c>
      <c r="B233" s="20" t="str">
        <f>IF(AND(Administrations!$C17&lt;&gt;"",COUNTA(Administrations!$N17:$U17)&gt;0),Administrations!$C17&amp;"","")</f>
        <v/>
      </c>
      <c r="C233" s="20" t="str">
        <f t="shared" si="53"/>
        <v/>
      </c>
      <c r="D233" s="20" t="str">
        <f>IF(B233="","",Administrations!$A17&amp;"")</f>
        <v/>
      </c>
      <c r="E233" s="20" t="str">
        <f>IF(B233="","",Administrations!$B17&amp;"")</f>
        <v/>
      </c>
      <c r="F233" s="20" t="str">
        <f t="shared" si="42"/>
        <v/>
      </c>
      <c r="G233" s="20" t="str">
        <f>IF(B233="","",Administrations!$D17&amp;"")</f>
        <v/>
      </c>
      <c r="H233" s="20" t="str">
        <f>IF(B233="","",Administrations!$N17&amp;"")</f>
        <v/>
      </c>
      <c r="I233" s="20" t="str">
        <f>IF(B233="","",Administrations!$Q17&amp;"")</f>
        <v/>
      </c>
      <c r="J233" s="20" t="str">
        <f>IF(B233="","",Administrations!$W17&amp;"")</f>
        <v/>
      </c>
      <c r="K233" s="20">
        <f>IF(B233="",0,Administrations!$X17)</f>
        <v>0</v>
      </c>
      <c r="L233" s="20">
        <f>IF(B233="",0,Administrations!$Y17)</f>
        <v>0</v>
      </c>
      <c r="M233" s="20" t="str">
        <f>IF(B233="","",Administrations!$AB17)</f>
        <v/>
      </c>
      <c r="N233" s="20" t="str">
        <f>IF(B233="","",Administrations!$AC17)</f>
        <v/>
      </c>
      <c r="O233" s="27" t="str">
        <f>IF(B233="","",Administrations!$Z17)</f>
        <v/>
      </c>
      <c r="P233" s="27" t="str">
        <f>IF(B233="","",Administrations!$AA17)</f>
        <v/>
      </c>
      <c r="Q233" s="20" t="str">
        <f t="shared" si="43"/>
        <v/>
      </c>
      <c r="R233" s="20" t="str">
        <f>IF(A233="","",IF(J233&lt;&gt;"",J233,IF(H233="TIMESTAMP",DAY(INT(M233/1440))&amp;" "&amp;INDEX(nLIST_Months,MONTH(INT(M233/1440)))&amp;" "&amp;YEAR(INT(M233/1440))&amp;" "&amp;RIGHT("0"&amp;INT(MOD(M233,1440)/60),2)&amp;":"&amp;RIGHT("0"&amp;MOD(M233,60),2)&amp;IF(L233=1," (UTC"&amp;I233&amp;")"," (offset unknown)"),IF(H233="DATE",DAY(O233)&amp;" "&amp;INDEX(nLIST_Months,MONTH(O233))&amp;" "&amp;YEAR(O233),IF(H233="MONTH",INDEX(nLIST_Months,MONTH(O233))&amp;" "&amp;YEAR(O233)&amp;" ("&amp;DAY(O233)&amp;" "&amp;INDEX(nLIST_Months,MONTH(O233))&amp;" "&amp;YEAR(O233)&amp;" to "&amp;DAY(P233)&amp;" "&amp;INDEX(nLIST_Months,MONTH(P233))&amp;" "&amp;YEAR(P233)&amp;")",IF(H233="YEAR",YEAR(O233)&amp;" (1 January to 31 December)",DAY(O233)&amp;" "&amp;INDEX(nLIST_Months,MONTH(O233))&amp;" "&amp;YEAR(O233)&amp;" to "&amp;DAY(P233)&amp;" "&amp;INDEX(nLIST_Months,MONTH(P233))&amp;" "&amp;YEAR(P233)&amp;IF(H233="LAB"," (laboratory-defined)","")))))))</f>
        <v/>
      </c>
      <c r="S233" s="20" t="str">
        <f>IF(B233="","",Administrations!$M17&amp;"")</f>
        <v/>
      </c>
      <c r="T233" s="20" t="str">
        <f>IF(B233="","",Administrations!$V17&amp;"")</f>
        <v/>
      </c>
      <c r="U233" s="20" t="str">
        <f>IF(B233="","","Administrations row "&amp;ROW(Administrations!$A17)&amp;", Administration")</f>
        <v/>
      </c>
      <c r="V233" s="20">
        <f>IF(A233="",0,COUNTIF(nTP_Key,A233))</f>
        <v>0</v>
      </c>
      <c r="W233" s="20">
        <f t="shared" si="44"/>
        <v>0</v>
      </c>
      <c r="X233" s="20">
        <f t="shared" si="45"/>
        <v>0</v>
      </c>
      <c r="Y233" s="20">
        <f t="shared" si="46"/>
        <v>0</v>
      </c>
      <c r="Z233" s="20">
        <f t="shared" si="47"/>
        <v>0</v>
      </c>
      <c r="AA233" s="20">
        <f t="shared" si="48"/>
        <v>229</v>
      </c>
      <c r="AB233" s="20" t="str">
        <f>IF(B233="","",Administrations!$E17&amp;"")</f>
        <v/>
      </c>
      <c r="AC233" s="20" t="str">
        <f>IF(B233="","",IFERROR(INDEX(nEXP_Role,MATCH(Administrations!$A17&amp;"|"&amp;Administrations!$B17&amp;"|"&amp;Administrations!$D17,nEXP_Key,0))&amp;"",""))</f>
        <v/>
      </c>
      <c r="AD233" s="20" t="str">
        <f>IF(B233="","",Administrations!$E17&amp;"")</f>
        <v/>
      </c>
      <c r="AE233" s="20">
        <f t="shared" si="49"/>
        <v>0</v>
      </c>
      <c r="AF233" s="20" t="str">
        <f t="shared" si="50"/>
        <v/>
      </c>
      <c r="AG233" s="20">
        <f t="shared" si="51"/>
        <v>0</v>
      </c>
      <c r="AH233" s="20" t="str">
        <f>""</f>
        <v/>
      </c>
    </row>
    <row r="234" spans="1:34" x14ac:dyDescent="0.2">
      <c r="A234" s="20" t="str">
        <f t="shared" si="41"/>
        <v/>
      </c>
      <c r="B234" s="20" t="str">
        <f>IF(AND(Administrations!$C18&lt;&gt;"",COUNTA(Administrations!$N18:$U18)&gt;0),Administrations!$C18&amp;"","")</f>
        <v/>
      </c>
      <c r="C234" s="20" t="str">
        <f t="shared" si="53"/>
        <v/>
      </c>
      <c r="D234" s="20" t="str">
        <f>IF(B234="","",Administrations!$A18&amp;"")</f>
        <v/>
      </c>
      <c r="E234" s="20" t="str">
        <f>IF(B234="","",Administrations!$B18&amp;"")</f>
        <v/>
      </c>
      <c r="F234" s="20" t="str">
        <f t="shared" si="42"/>
        <v/>
      </c>
      <c r="G234" s="20" t="str">
        <f>IF(B234="","",Administrations!$D18&amp;"")</f>
        <v/>
      </c>
      <c r="H234" s="20" t="str">
        <f>IF(B234="","",Administrations!$N18&amp;"")</f>
        <v/>
      </c>
      <c r="I234" s="20" t="str">
        <f>IF(B234="","",Administrations!$Q18&amp;"")</f>
        <v/>
      </c>
      <c r="J234" s="20" t="str">
        <f>IF(B234="","",Administrations!$W18&amp;"")</f>
        <v/>
      </c>
      <c r="K234" s="20">
        <f>IF(B234="",0,Administrations!$X18)</f>
        <v>0</v>
      </c>
      <c r="L234" s="20">
        <f>IF(B234="",0,Administrations!$Y18)</f>
        <v>0</v>
      </c>
      <c r="M234" s="20" t="str">
        <f>IF(B234="","",Administrations!$AB18)</f>
        <v/>
      </c>
      <c r="N234" s="20" t="str">
        <f>IF(B234="","",Administrations!$AC18)</f>
        <v/>
      </c>
      <c r="O234" s="27" t="str">
        <f>IF(B234="","",Administrations!$Z18)</f>
        <v/>
      </c>
      <c r="P234" s="27" t="str">
        <f>IF(B234="","",Administrations!$AA18)</f>
        <v/>
      </c>
      <c r="Q234" s="20" t="str">
        <f t="shared" si="43"/>
        <v/>
      </c>
      <c r="R234" s="20" t="str">
        <f>IF(A234="","",IF(J234&lt;&gt;"",J234,IF(H234="TIMESTAMP",DAY(INT(M234/1440))&amp;" "&amp;INDEX(nLIST_Months,MONTH(INT(M234/1440)))&amp;" "&amp;YEAR(INT(M234/1440))&amp;" "&amp;RIGHT("0"&amp;INT(MOD(M234,1440)/60),2)&amp;":"&amp;RIGHT("0"&amp;MOD(M234,60),2)&amp;IF(L234=1," (UTC"&amp;I234&amp;")"," (offset unknown)"),IF(H234="DATE",DAY(O234)&amp;" "&amp;INDEX(nLIST_Months,MONTH(O234))&amp;" "&amp;YEAR(O234),IF(H234="MONTH",INDEX(nLIST_Months,MONTH(O234))&amp;" "&amp;YEAR(O234)&amp;" ("&amp;DAY(O234)&amp;" "&amp;INDEX(nLIST_Months,MONTH(O234))&amp;" "&amp;YEAR(O234)&amp;" to "&amp;DAY(P234)&amp;" "&amp;INDEX(nLIST_Months,MONTH(P234))&amp;" "&amp;YEAR(P234)&amp;")",IF(H234="YEAR",YEAR(O234)&amp;" (1 January to 31 December)",DAY(O234)&amp;" "&amp;INDEX(nLIST_Months,MONTH(O234))&amp;" "&amp;YEAR(O234)&amp;" to "&amp;DAY(P234)&amp;" "&amp;INDEX(nLIST_Months,MONTH(P234))&amp;" "&amp;YEAR(P234)&amp;IF(H234="LAB"," (laboratory-defined)","")))))))</f>
        <v/>
      </c>
      <c r="S234" s="20" t="str">
        <f>IF(B234="","",Administrations!$M18&amp;"")</f>
        <v/>
      </c>
      <c r="T234" s="20" t="str">
        <f>IF(B234="","",Administrations!$V18&amp;"")</f>
        <v/>
      </c>
      <c r="U234" s="20" t="str">
        <f>IF(B234="","","Administrations row "&amp;ROW(Administrations!$A18)&amp;", Administration")</f>
        <v/>
      </c>
      <c r="V234" s="20">
        <f>IF(A234="",0,COUNTIF(nTP_Key,A234))</f>
        <v>0</v>
      </c>
      <c r="W234" s="20">
        <f t="shared" si="44"/>
        <v>0</v>
      </c>
      <c r="X234" s="20">
        <f t="shared" si="45"/>
        <v>0</v>
      </c>
      <c r="Y234" s="20">
        <f t="shared" si="46"/>
        <v>0</v>
      </c>
      <c r="Z234" s="20">
        <f t="shared" si="47"/>
        <v>0</v>
      </c>
      <c r="AA234" s="20">
        <f t="shared" si="48"/>
        <v>230</v>
      </c>
      <c r="AB234" s="20" t="str">
        <f>IF(B234="","",Administrations!$E18&amp;"")</f>
        <v/>
      </c>
      <c r="AC234" s="20" t="str">
        <f>IF(B234="","",IFERROR(INDEX(nEXP_Role,MATCH(Administrations!$A18&amp;"|"&amp;Administrations!$B18&amp;"|"&amp;Administrations!$D18,nEXP_Key,0))&amp;"",""))</f>
        <v/>
      </c>
      <c r="AD234" s="20" t="str">
        <f>IF(B234="","",Administrations!$E18&amp;"")</f>
        <v/>
      </c>
      <c r="AE234" s="20">
        <f t="shared" si="49"/>
        <v>0</v>
      </c>
      <c r="AF234" s="20" t="str">
        <f t="shared" si="50"/>
        <v/>
      </c>
      <c r="AG234" s="20">
        <f t="shared" si="51"/>
        <v>0</v>
      </c>
      <c r="AH234" s="20" t="str">
        <f>""</f>
        <v/>
      </c>
    </row>
    <row r="235" spans="1:34" x14ac:dyDescent="0.2">
      <c r="A235" s="20" t="str">
        <f t="shared" si="41"/>
        <v/>
      </c>
      <c r="B235" s="20" t="str">
        <f>IF(AND(Administrations!$C19&lt;&gt;"",COUNTA(Administrations!$N19:$U19)&gt;0),Administrations!$C19&amp;"","")</f>
        <v/>
      </c>
      <c r="C235" s="20" t="str">
        <f t="shared" si="53"/>
        <v/>
      </c>
      <c r="D235" s="20" t="str">
        <f>IF(B235="","",Administrations!$A19&amp;"")</f>
        <v/>
      </c>
      <c r="E235" s="20" t="str">
        <f>IF(B235="","",Administrations!$B19&amp;"")</f>
        <v/>
      </c>
      <c r="F235" s="20" t="str">
        <f t="shared" si="42"/>
        <v/>
      </c>
      <c r="G235" s="20" t="str">
        <f>IF(B235="","",Administrations!$D19&amp;"")</f>
        <v/>
      </c>
      <c r="H235" s="20" t="str">
        <f>IF(B235="","",Administrations!$N19&amp;"")</f>
        <v/>
      </c>
      <c r="I235" s="20" t="str">
        <f>IF(B235="","",Administrations!$Q19&amp;"")</f>
        <v/>
      </c>
      <c r="J235" s="20" t="str">
        <f>IF(B235="","",Administrations!$W19&amp;"")</f>
        <v/>
      </c>
      <c r="K235" s="20">
        <f>IF(B235="",0,Administrations!$X19)</f>
        <v>0</v>
      </c>
      <c r="L235" s="20">
        <f>IF(B235="",0,Administrations!$Y19)</f>
        <v>0</v>
      </c>
      <c r="M235" s="20" t="str">
        <f>IF(B235="","",Administrations!$AB19)</f>
        <v/>
      </c>
      <c r="N235" s="20" t="str">
        <f>IF(B235="","",Administrations!$AC19)</f>
        <v/>
      </c>
      <c r="O235" s="27" t="str">
        <f>IF(B235="","",Administrations!$Z19)</f>
        <v/>
      </c>
      <c r="P235" s="27" t="str">
        <f>IF(B235="","",Administrations!$AA19)</f>
        <v/>
      </c>
      <c r="Q235" s="20" t="str">
        <f t="shared" si="43"/>
        <v/>
      </c>
      <c r="R235" s="20" t="str">
        <f>IF(A235="","",IF(J235&lt;&gt;"",J235,IF(H235="TIMESTAMP",DAY(INT(M235/1440))&amp;" "&amp;INDEX(nLIST_Months,MONTH(INT(M235/1440)))&amp;" "&amp;YEAR(INT(M235/1440))&amp;" "&amp;RIGHT("0"&amp;INT(MOD(M235,1440)/60),2)&amp;":"&amp;RIGHT("0"&amp;MOD(M235,60),2)&amp;IF(L235=1," (UTC"&amp;I235&amp;")"," (offset unknown)"),IF(H235="DATE",DAY(O235)&amp;" "&amp;INDEX(nLIST_Months,MONTH(O235))&amp;" "&amp;YEAR(O235),IF(H235="MONTH",INDEX(nLIST_Months,MONTH(O235))&amp;" "&amp;YEAR(O235)&amp;" ("&amp;DAY(O235)&amp;" "&amp;INDEX(nLIST_Months,MONTH(O235))&amp;" "&amp;YEAR(O235)&amp;" to "&amp;DAY(P235)&amp;" "&amp;INDEX(nLIST_Months,MONTH(P235))&amp;" "&amp;YEAR(P235)&amp;")",IF(H235="YEAR",YEAR(O235)&amp;" (1 January to 31 December)",DAY(O235)&amp;" "&amp;INDEX(nLIST_Months,MONTH(O235))&amp;" "&amp;YEAR(O235)&amp;" to "&amp;DAY(P235)&amp;" "&amp;INDEX(nLIST_Months,MONTH(P235))&amp;" "&amp;YEAR(P235)&amp;IF(H235="LAB"," (laboratory-defined)","")))))))</f>
        <v/>
      </c>
      <c r="S235" s="20" t="str">
        <f>IF(B235="","",Administrations!$M19&amp;"")</f>
        <v/>
      </c>
      <c r="T235" s="20" t="str">
        <f>IF(B235="","",Administrations!$V19&amp;"")</f>
        <v/>
      </c>
      <c r="U235" s="20" t="str">
        <f>IF(B235="","","Administrations row "&amp;ROW(Administrations!$A19)&amp;", Administration")</f>
        <v/>
      </c>
      <c r="V235" s="20">
        <f>IF(A235="",0,COUNTIF(nTP_Key,A235))</f>
        <v>0</v>
      </c>
      <c r="W235" s="20">
        <f t="shared" si="44"/>
        <v>0</v>
      </c>
      <c r="X235" s="20">
        <f t="shared" si="45"/>
        <v>0</v>
      </c>
      <c r="Y235" s="20">
        <f t="shared" si="46"/>
        <v>0</v>
      </c>
      <c r="Z235" s="20">
        <f t="shared" si="47"/>
        <v>0</v>
      </c>
      <c r="AA235" s="20">
        <f t="shared" si="48"/>
        <v>231</v>
      </c>
      <c r="AB235" s="20" t="str">
        <f>IF(B235="","",Administrations!$E19&amp;"")</f>
        <v/>
      </c>
      <c r="AC235" s="20" t="str">
        <f>IF(B235="","",IFERROR(INDEX(nEXP_Role,MATCH(Administrations!$A19&amp;"|"&amp;Administrations!$B19&amp;"|"&amp;Administrations!$D19,nEXP_Key,0))&amp;"",""))</f>
        <v/>
      </c>
      <c r="AD235" s="20" t="str">
        <f>IF(B235="","",Administrations!$E19&amp;"")</f>
        <v/>
      </c>
      <c r="AE235" s="20">
        <f t="shared" si="49"/>
        <v>0</v>
      </c>
      <c r="AF235" s="20" t="str">
        <f t="shared" si="50"/>
        <v/>
      </c>
      <c r="AG235" s="20">
        <f t="shared" si="51"/>
        <v>0</v>
      </c>
      <c r="AH235" s="20" t="str">
        <f>""</f>
        <v/>
      </c>
    </row>
    <row r="236" spans="1:34" x14ac:dyDescent="0.2">
      <c r="A236" s="20" t="str">
        <f t="shared" si="41"/>
        <v/>
      </c>
      <c r="B236" s="20" t="str">
        <f>IF(AND(Administrations!$C20&lt;&gt;"",COUNTA(Administrations!$N20:$U20)&gt;0),Administrations!$C20&amp;"","")</f>
        <v/>
      </c>
      <c r="C236" s="20" t="str">
        <f t="shared" si="53"/>
        <v/>
      </c>
      <c r="D236" s="20" t="str">
        <f>IF(B236="","",Administrations!$A20&amp;"")</f>
        <v/>
      </c>
      <c r="E236" s="20" t="str">
        <f>IF(B236="","",Administrations!$B20&amp;"")</f>
        <v/>
      </c>
      <c r="F236" s="20" t="str">
        <f t="shared" si="42"/>
        <v/>
      </c>
      <c r="G236" s="20" t="str">
        <f>IF(B236="","",Administrations!$D20&amp;"")</f>
        <v/>
      </c>
      <c r="H236" s="20" t="str">
        <f>IF(B236="","",Administrations!$N20&amp;"")</f>
        <v/>
      </c>
      <c r="I236" s="20" t="str">
        <f>IF(B236="","",Administrations!$Q20&amp;"")</f>
        <v/>
      </c>
      <c r="J236" s="20" t="str">
        <f>IF(B236="","",Administrations!$W20&amp;"")</f>
        <v/>
      </c>
      <c r="K236" s="20">
        <f>IF(B236="",0,Administrations!$X20)</f>
        <v>0</v>
      </c>
      <c r="L236" s="20">
        <f>IF(B236="",0,Administrations!$Y20)</f>
        <v>0</v>
      </c>
      <c r="M236" s="20" t="str">
        <f>IF(B236="","",Administrations!$AB20)</f>
        <v/>
      </c>
      <c r="N236" s="20" t="str">
        <f>IF(B236="","",Administrations!$AC20)</f>
        <v/>
      </c>
      <c r="O236" s="27" t="str">
        <f>IF(B236="","",Administrations!$Z20)</f>
        <v/>
      </c>
      <c r="P236" s="27" t="str">
        <f>IF(B236="","",Administrations!$AA20)</f>
        <v/>
      </c>
      <c r="Q236" s="20" t="str">
        <f t="shared" si="43"/>
        <v/>
      </c>
      <c r="R236" s="20" t="str">
        <f>IF(A236="","",IF(J236&lt;&gt;"",J236,IF(H236="TIMESTAMP",DAY(INT(M236/1440))&amp;" "&amp;INDEX(nLIST_Months,MONTH(INT(M236/1440)))&amp;" "&amp;YEAR(INT(M236/1440))&amp;" "&amp;RIGHT("0"&amp;INT(MOD(M236,1440)/60),2)&amp;":"&amp;RIGHT("0"&amp;MOD(M236,60),2)&amp;IF(L236=1," (UTC"&amp;I236&amp;")"," (offset unknown)"),IF(H236="DATE",DAY(O236)&amp;" "&amp;INDEX(nLIST_Months,MONTH(O236))&amp;" "&amp;YEAR(O236),IF(H236="MONTH",INDEX(nLIST_Months,MONTH(O236))&amp;" "&amp;YEAR(O236)&amp;" ("&amp;DAY(O236)&amp;" "&amp;INDEX(nLIST_Months,MONTH(O236))&amp;" "&amp;YEAR(O236)&amp;" to "&amp;DAY(P236)&amp;" "&amp;INDEX(nLIST_Months,MONTH(P236))&amp;" "&amp;YEAR(P236)&amp;")",IF(H236="YEAR",YEAR(O236)&amp;" (1 January to 31 December)",DAY(O236)&amp;" "&amp;INDEX(nLIST_Months,MONTH(O236))&amp;" "&amp;YEAR(O236)&amp;" to "&amp;DAY(P236)&amp;" "&amp;INDEX(nLIST_Months,MONTH(P236))&amp;" "&amp;YEAR(P236)&amp;IF(H236="LAB"," (laboratory-defined)","")))))))</f>
        <v/>
      </c>
      <c r="S236" s="20" t="str">
        <f>IF(B236="","",Administrations!$M20&amp;"")</f>
        <v/>
      </c>
      <c r="T236" s="20" t="str">
        <f>IF(B236="","",Administrations!$V20&amp;"")</f>
        <v/>
      </c>
      <c r="U236" s="20" t="str">
        <f>IF(B236="","","Administrations row "&amp;ROW(Administrations!$A20)&amp;", Administration")</f>
        <v/>
      </c>
      <c r="V236" s="20">
        <f>IF(A236="",0,COUNTIF(nTP_Key,A236))</f>
        <v>0</v>
      </c>
      <c r="W236" s="20">
        <f t="shared" si="44"/>
        <v>0</v>
      </c>
      <c r="X236" s="20">
        <f t="shared" si="45"/>
        <v>0</v>
      </c>
      <c r="Y236" s="20">
        <f t="shared" si="46"/>
        <v>0</v>
      </c>
      <c r="Z236" s="20">
        <f t="shared" si="47"/>
        <v>0</v>
      </c>
      <c r="AA236" s="20">
        <f t="shared" si="48"/>
        <v>232</v>
      </c>
      <c r="AB236" s="20" t="str">
        <f>IF(B236="","",Administrations!$E20&amp;"")</f>
        <v/>
      </c>
      <c r="AC236" s="20" t="str">
        <f>IF(B236="","",IFERROR(INDEX(nEXP_Role,MATCH(Administrations!$A20&amp;"|"&amp;Administrations!$B20&amp;"|"&amp;Administrations!$D20,nEXP_Key,0))&amp;"",""))</f>
        <v/>
      </c>
      <c r="AD236" s="20" t="str">
        <f>IF(B236="","",Administrations!$E20&amp;"")</f>
        <v/>
      </c>
      <c r="AE236" s="20">
        <f t="shared" si="49"/>
        <v>0</v>
      </c>
      <c r="AF236" s="20" t="str">
        <f t="shared" si="50"/>
        <v/>
      </c>
      <c r="AG236" s="20">
        <f t="shared" si="51"/>
        <v>0</v>
      </c>
      <c r="AH236" s="20" t="str">
        <f>""</f>
        <v/>
      </c>
    </row>
    <row r="237" spans="1:34" x14ac:dyDescent="0.2">
      <c r="A237" s="20" t="str">
        <f t="shared" si="41"/>
        <v/>
      </c>
      <c r="B237" s="20" t="str">
        <f>IF(AND(Administrations!$C21&lt;&gt;"",COUNTA(Administrations!$N21:$U21)&gt;0),Administrations!$C21&amp;"","")</f>
        <v/>
      </c>
      <c r="C237" s="20" t="str">
        <f t="shared" si="53"/>
        <v/>
      </c>
      <c r="D237" s="20" t="str">
        <f>IF(B237="","",Administrations!$A21&amp;"")</f>
        <v/>
      </c>
      <c r="E237" s="20" t="str">
        <f>IF(B237="","",Administrations!$B21&amp;"")</f>
        <v/>
      </c>
      <c r="F237" s="20" t="str">
        <f t="shared" si="42"/>
        <v/>
      </c>
      <c r="G237" s="20" t="str">
        <f>IF(B237="","",Administrations!$D21&amp;"")</f>
        <v/>
      </c>
      <c r="H237" s="20" t="str">
        <f>IF(B237="","",Administrations!$N21&amp;"")</f>
        <v/>
      </c>
      <c r="I237" s="20" t="str">
        <f>IF(B237="","",Administrations!$Q21&amp;"")</f>
        <v/>
      </c>
      <c r="J237" s="20" t="str">
        <f>IF(B237="","",Administrations!$W21&amp;"")</f>
        <v/>
      </c>
      <c r="K237" s="20">
        <f>IF(B237="",0,Administrations!$X21)</f>
        <v>0</v>
      </c>
      <c r="L237" s="20">
        <f>IF(B237="",0,Administrations!$Y21)</f>
        <v>0</v>
      </c>
      <c r="M237" s="20" t="str">
        <f>IF(B237="","",Administrations!$AB21)</f>
        <v/>
      </c>
      <c r="N237" s="20" t="str">
        <f>IF(B237="","",Administrations!$AC21)</f>
        <v/>
      </c>
      <c r="O237" s="27" t="str">
        <f>IF(B237="","",Administrations!$Z21)</f>
        <v/>
      </c>
      <c r="P237" s="27" t="str">
        <f>IF(B237="","",Administrations!$AA21)</f>
        <v/>
      </c>
      <c r="Q237" s="20" t="str">
        <f t="shared" si="43"/>
        <v/>
      </c>
      <c r="R237" s="20" t="str">
        <f>IF(A237="","",IF(J237&lt;&gt;"",J237,IF(H237="TIMESTAMP",DAY(INT(M237/1440))&amp;" "&amp;INDEX(nLIST_Months,MONTH(INT(M237/1440)))&amp;" "&amp;YEAR(INT(M237/1440))&amp;" "&amp;RIGHT("0"&amp;INT(MOD(M237,1440)/60),2)&amp;":"&amp;RIGHT("0"&amp;MOD(M237,60),2)&amp;IF(L237=1," (UTC"&amp;I237&amp;")"," (offset unknown)"),IF(H237="DATE",DAY(O237)&amp;" "&amp;INDEX(nLIST_Months,MONTH(O237))&amp;" "&amp;YEAR(O237),IF(H237="MONTH",INDEX(nLIST_Months,MONTH(O237))&amp;" "&amp;YEAR(O237)&amp;" ("&amp;DAY(O237)&amp;" "&amp;INDEX(nLIST_Months,MONTH(O237))&amp;" "&amp;YEAR(O237)&amp;" to "&amp;DAY(P237)&amp;" "&amp;INDEX(nLIST_Months,MONTH(P237))&amp;" "&amp;YEAR(P237)&amp;")",IF(H237="YEAR",YEAR(O237)&amp;" (1 January to 31 December)",DAY(O237)&amp;" "&amp;INDEX(nLIST_Months,MONTH(O237))&amp;" "&amp;YEAR(O237)&amp;" to "&amp;DAY(P237)&amp;" "&amp;INDEX(nLIST_Months,MONTH(P237))&amp;" "&amp;YEAR(P237)&amp;IF(H237="LAB"," (laboratory-defined)","")))))))</f>
        <v/>
      </c>
      <c r="S237" s="20" t="str">
        <f>IF(B237="","",Administrations!$M21&amp;"")</f>
        <v/>
      </c>
      <c r="T237" s="20" t="str">
        <f>IF(B237="","",Administrations!$V21&amp;"")</f>
        <v/>
      </c>
      <c r="U237" s="20" t="str">
        <f>IF(B237="","","Administrations row "&amp;ROW(Administrations!$A21)&amp;", Administration")</f>
        <v/>
      </c>
      <c r="V237" s="20">
        <f>IF(A237="",0,COUNTIF(nTP_Key,A237))</f>
        <v>0</v>
      </c>
      <c r="W237" s="20">
        <f t="shared" si="44"/>
        <v>0</v>
      </c>
      <c r="X237" s="20">
        <f t="shared" si="45"/>
        <v>0</v>
      </c>
      <c r="Y237" s="20">
        <f t="shared" si="46"/>
        <v>0</v>
      </c>
      <c r="Z237" s="20">
        <f t="shared" si="47"/>
        <v>0</v>
      </c>
      <c r="AA237" s="20">
        <f t="shared" si="48"/>
        <v>233</v>
      </c>
      <c r="AB237" s="20" t="str">
        <f>IF(B237="","",Administrations!$E21&amp;"")</f>
        <v/>
      </c>
      <c r="AC237" s="20" t="str">
        <f>IF(B237="","",IFERROR(INDEX(nEXP_Role,MATCH(Administrations!$A21&amp;"|"&amp;Administrations!$B21&amp;"|"&amp;Administrations!$D21,nEXP_Key,0))&amp;"",""))</f>
        <v/>
      </c>
      <c r="AD237" s="20" t="str">
        <f>IF(B237="","",Administrations!$E21&amp;"")</f>
        <v/>
      </c>
      <c r="AE237" s="20">
        <f t="shared" si="49"/>
        <v>0</v>
      </c>
      <c r="AF237" s="20" t="str">
        <f t="shared" si="50"/>
        <v/>
      </c>
      <c r="AG237" s="20">
        <f t="shared" si="51"/>
        <v>0</v>
      </c>
      <c r="AH237" s="20" t="str">
        <f>""</f>
        <v/>
      </c>
    </row>
    <row r="238" spans="1:34" x14ac:dyDescent="0.2">
      <c r="A238" s="20" t="str">
        <f t="shared" si="41"/>
        <v/>
      </c>
      <c r="B238" s="20" t="str">
        <f>IF(AND(Administrations!$C22&lt;&gt;"",COUNTA(Administrations!$N22:$U22)&gt;0),Administrations!$C22&amp;"","")</f>
        <v/>
      </c>
      <c r="C238" s="20" t="str">
        <f t="shared" si="53"/>
        <v/>
      </c>
      <c r="D238" s="20" t="str">
        <f>IF(B238="","",Administrations!$A22&amp;"")</f>
        <v/>
      </c>
      <c r="E238" s="20" t="str">
        <f>IF(B238="","",Administrations!$B22&amp;"")</f>
        <v/>
      </c>
      <c r="F238" s="20" t="str">
        <f t="shared" si="42"/>
        <v/>
      </c>
      <c r="G238" s="20" t="str">
        <f>IF(B238="","",Administrations!$D22&amp;"")</f>
        <v/>
      </c>
      <c r="H238" s="20" t="str">
        <f>IF(B238="","",Administrations!$N22&amp;"")</f>
        <v/>
      </c>
      <c r="I238" s="20" t="str">
        <f>IF(B238="","",Administrations!$Q22&amp;"")</f>
        <v/>
      </c>
      <c r="J238" s="20" t="str">
        <f>IF(B238="","",Administrations!$W22&amp;"")</f>
        <v/>
      </c>
      <c r="K238" s="20">
        <f>IF(B238="",0,Administrations!$X22)</f>
        <v>0</v>
      </c>
      <c r="L238" s="20">
        <f>IF(B238="",0,Administrations!$Y22)</f>
        <v>0</v>
      </c>
      <c r="M238" s="20" t="str">
        <f>IF(B238="","",Administrations!$AB22)</f>
        <v/>
      </c>
      <c r="N238" s="20" t="str">
        <f>IF(B238="","",Administrations!$AC22)</f>
        <v/>
      </c>
      <c r="O238" s="27" t="str">
        <f>IF(B238="","",Administrations!$Z22)</f>
        <v/>
      </c>
      <c r="P238" s="27" t="str">
        <f>IF(B238="","",Administrations!$AA22)</f>
        <v/>
      </c>
      <c r="Q238" s="20" t="str">
        <f t="shared" si="43"/>
        <v/>
      </c>
      <c r="R238" s="20" t="str">
        <f>IF(A238="","",IF(J238&lt;&gt;"",J238,IF(H238="TIMESTAMP",DAY(INT(M238/1440))&amp;" "&amp;INDEX(nLIST_Months,MONTH(INT(M238/1440)))&amp;" "&amp;YEAR(INT(M238/1440))&amp;" "&amp;RIGHT("0"&amp;INT(MOD(M238,1440)/60),2)&amp;":"&amp;RIGHT("0"&amp;MOD(M238,60),2)&amp;IF(L238=1," (UTC"&amp;I238&amp;")"," (offset unknown)"),IF(H238="DATE",DAY(O238)&amp;" "&amp;INDEX(nLIST_Months,MONTH(O238))&amp;" "&amp;YEAR(O238),IF(H238="MONTH",INDEX(nLIST_Months,MONTH(O238))&amp;" "&amp;YEAR(O238)&amp;" ("&amp;DAY(O238)&amp;" "&amp;INDEX(nLIST_Months,MONTH(O238))&amp;" "&amp;YEAR(O238)&amp;" to "&amp;DAY(P238)&amp;" "&amp;INDEX(nLIST_Months,MONTH(P238))&amp;" "&amp;YEAR(P238)&amp;")",IF(H238="YEAR",YEAR(O238)&amp;" (1 January to 31 December)",DAY(O238)&amp;" "&amp;INDEX(nLIST_Months,MONTH(O238))&amp;" "&amp;YEAR(O238)&amp;" to "&amp;DAY(P238)&amp;" "&amp;INDEX(nLIST_Months,MONTH(P238))&amp;" "&amp;YEAR(P238)&amp;IF(H238="LAB"," (laboratory-defined)","")))))))</f>
        <v/>
      </c>
      <c r="S238" s="20" t="str">
        <f>IF(B238="","",Administrations!$M22&amp;"")</f>
        <v/>
      </c>
      <c r="T238" s="20" t="str">
        <f>IF(B238="","",Administrations!$V22&amp;"")</f>
        <v/>
      </c>
      <c r="U238" s="20" t="str">
        <f>IF(B238="","","Administrations row "&amp;ROW(Administrations!$A22)&amp;", Administration")</f>
        <v/>
      </c>
      <c r="V238" s="20">
        <f>IF(A238="",0,COUNTIF(nTP_Key,A238))</f>
        <v>0</v>
      </c>
      <c r="W238" s="20">
        <f t="shared" si="44"/>
        <v>0</v>
      </c>
      <c r="X238" s="20">
        <f t="shared" si="45"/>
        <v>0</v>
      </c>
      <c r="Y238" s="20">
        <f t="shared" si="46"/>
        <v>0</v>
      </c>
      <c r="Z238" s="20">
        <f t="shared" si="47"/>
        <v>0</v>
      </c>
      <c r="AA238" s="20">
        <f t="shared" si="48"/>
        <v>234</v>
      </c>
      <c r="AB238" s="20" t="str">
        <f>IF(B238="","",Administrations!$E22&amp;"")</f>
        <v/>
      </c>
      <c r="AC238" s="20" t="str">
        <f>IF(B238="","",IFERROR(INDEX(nEXP_Role,MATCH(Administrations!$A22&amp;"|"&amp;Administrations!$B22&amp;"|"&amp;Administrations!$D22,nEXP_Key,0))&amp;"",""))</f>
        <v/>
      </c>
      <c r="AD238" s="20" t="str">
        <f>IF(B238="","",Administrations!$E22&amp;"")</f>
        <v/>
      </c>
      <c r="AE238" s="20">
        <f t="shared" si="49"/>
        <v>0</v>
      </c>
      <c r="AF238" s="20" t="str">
        <f t="shared" si="50"/>
        <v/>
      </c>
      <c r="AG238" s="20">
        <f t="shared" si="51"/>
        <v>0</v>
      </c>
      <c r="AH238" s="20" t="str">
        <f>""</f>
        <v/>
      </c>
    </row>
    <row r="239" spans="1:34" x14ac:dyDescent="0.2">
      <c r="A239" s="20" t="str">
        <f t="shared" si="41"/>
        <v/>
      </c>
      <c r="B239" s="20" t="str">
        <f>IF(AND(Administrations!$C23&lt;&gt;"",COUNTA(Administrations!$N23:$U23)&gt;0),Administrations!$C23&amp;"","")</f>
        <v/>
      </c>
      <c r="C239" s="20" t="str">
        <f t="shared" si="53"/>
        <v/>
      </c>
      <c r="D239" s="20" t="str">
        <f>IF(B239="","",Administrations!$A23&amp;"")</f>
        <v/>
      </c>
      <c r="E239" s="20" t="str">
        <f>IF(B239="","",Administrations!$B23&amp;"")</f>
        <v/>
      </c>
      <c r="F239" s="20" t="str">
        <f t="shared" si="42"/>
        <v/>
      </c>
      <c r="G239" s="20" t="str">
        <f>IF(B239="","",Administrations!$D23&amp;"")</f>
        <v/>
      </c>
      <c r="H239" s="20" t="str">
        <f>IF(B239="","",Administrations!$N23&amp;"")</f>
        <v/>
      </c>
      <c r="I239" s="20" t="str">
        <f>IF(B239="","",Administrations!$Q23&amp;"")</f>
        <v/>
      </c>
      <c r="J239" s="20" t="str">
        <f>IF(B239="","",Administrations!$W23&amp;"")</f>
        <v/>
      </c>
      <c r="K239" s="20">
        <f>IF(B239="",0,Administrations!$X23)</f>
        <v>0</v>
      </c>
      <c r="L239" s="20">
        <f>IF(B239="",0,Administrations!$Y23)</f>
        <v>0</v>
      </c>
      <c r="M239" s="20" t="str">
        <f>IF(B239="","",Administrations!$AB23)</f>
        <v/>
      </c>
      <c r="N239" s="20" t="str">
        <f>IF(B239="","",Administrations!$AC23)</f>
        <v/>
      </c>
      <c r="O239" s="27" t="str">
        <f>IF(B239="","",Administrations!$Z23)</f>
        <v/>
      </c>
      <c r="P239" s="27" t="str">
        <f>IF(B239="","",Administrations!$AA23)</f>
        <v/>
      </c>
      <c r="Q239" s="20" t="str">
        <f t="shared" si="43"/>
        <v/>
      </c>
      <c r="R239" s="20" t="str">
        <f>IF(A239="","",IF(J239&lt;&gt;"",J239,IF(H239="TIMESTAMP",DAY(INT(M239/1440))&amp;" "&amp;INDEX(nLIST_Months,MONTH(INT(M239/1440)))&amp;" "&amp;YEAR(INT(M239/1440))&amp;" "&amp;RIGHT("0"&amp;INT(MOD(M239,1440)/60),2)&amp;":"&amp;RIGHT("0"&amp;MOD(M239,60),2)&amp;IF(L239=1," (UTC"&amp;I239&amp;")"," (offset unknown)"),IF(H239="DATE",DAY(O239)&amp;" "&amp;INDEX(nLIST_Months,MONTH(O239))&amp;" "&amp;YEAR(O239),IF(H239="MONTH",INDEX(nLIST_Months,MONTH(O239))&amp;" "&amp;YEAR(O239)&amp;" ("&amp;DAY(O239)&amp;" "&amp;INDEX(nLIST_Months,MONTH(O239))&amp;" "&amp;YEAR(O239)&amp;" to "&amp;DAY(P239)&amp;" "&amp;INDEX(nLIST_Months,MONTH(P239))&amp;" "&amp;YEAR(P239)&amp;")",IF(H239="YEAR",YEAR(O239)&amp;" (1 January to 31 December)",DAY(O239)&amp;" "&amp;INDEX(nLIST_Months,MONTH(O239))&amp;" "&amp;YEAR(O239)&amp;" to "&amp;DAY(P239)&amp;" "&amp;INDEX(nLIST_Months,MONTH(P239))&amp;" "&amp;YEAR(P239)&amp;IF(H239="LAB"," (laboratory-defined)","")))))))</f>
        <v/>
      </c>
      <c r="S239" s="20" t="str">
        <f>IF(B239="","",Administrations!$M23&amp;"")</f>
        <v/>
      </c>
      <c r="T239" s="20" t="str">
        <f>IF(B239="","",Administrations!$V23&amp;"")</f>
        <v/>
      </c>
      <c r="U239" s="20" t="str">
        <f>IF(B239="","","Administrations row "&amp;ROW(Administrations!$A23)&amp;", Administration")</f>
        <v/>
      </c>
      <c r="V239" s="20">
        <f>IF(A239="",0,COUNTIF(nTP_Key,A239))</f>
        <v>0</v>
      </c>
      <c r="W239" s="20">
        <f t="shared" si="44"/>
        <v>0</v>
      </c>
      <c r="X239" s="20">
        <f t="shared" si="45"/>
        <v>0</v>
      </c>
      <c r="Y239" s="20">
        <f t="shared" si="46"/>
        <v>0</v>
      </c>
      <c r="Z239" s="20">
        <f t="shared" si="47"/>
        <v>0</v>
      </c>
      <c r="AA239" s="20">
        <f t="shared" si="48"/>
        <v>235</v>
      </c>
      <c r="AB239" s="20" t="str">
        <f>IF(B239="","",Administrations!$E23&amp;"")</f>
        <v/>
      </c>
      <c r="AC239" s="20" t="str">
        <f>IF(B239="","",IFERROR(INDEX(nEXP_Role,MATCH(Administrations!$A23&amp;"|"&amp;Administrations!$B23&amp;"|"&amp;Administrations!$D23,nEXP_Key,0))&amp;"",""))</f>
        <v/>
      </c>
      <c r="AD239" s="20" t="str">
        <f>IF(B239="","",Administrations!$E23&amp;"")</f>
        <v/>
      </c>
      <c r="AE239" s="20">
        <f t="shared" si="49"/>
        <v>0</v>
      </c>
      <c r="AF239" s="20" t="str">
        <f t="shared" si="50"/>
        <v/>
      </c>
      <c r="AG239" s="20">
        <f t="shared" si="51"/>
        <v>0</v>
      </c>
      <c r="AH239" s="20" t="str">
        <f>""</f>
        <v/>
      </c>
    </row>
    <row r="240" spans="1:34" x14ac:dyDescent="0.2">
      <c r="A240" s="20" t="str">
        <f t="shared" si="41"/>
        <v/>
      </c>
      <c r="B240" s="20" t="str">
        <f>IF(AND(Administrations!$C24&lt;&gt;"",COUNTA(Administrations!$N24:$U24)&gt;0),Administrations!$C24&amp;"","")</f>
        <v/>
      </c>
      <c r="C240" s="20" t="str">
        <f t="shared" si="53"/>
        <v/>
      </c>
      <c r="D240" s="20" t="str">
        <f>IF(B240="","",Administrations!$A24&amp;"")</f>
        <v/>
      </c>
      <c r="E240" s="20" t="str">
        <f>IF(B240="","",Administrations!$B24&amp;"")</f>
        <v/>
      </c>
      <c r="F240" s="20" t="str">
        <f t="shared" si="42"/>
        <v/>
      </c>
      <c r="G240" s="20" t="str">
        <f>IF(B240="","",Administrations!$D24&amp;"")</f>
        <v/>
      </c>
      <c r="H240" s="20" t="str">
        <f>IF(B240="","",Administrations!$N24&amp;"")</f>
        <v/>
      </c>
      <c r="I240" s="20" t="str">
        <f>IF(B240="","",Administrations!$Q24&amp;"")</f>
        <v/>
      </c>
      <c r="J240" s="20" t="str">
        <f>IF(B240="","",Administrations!$W24&amp;"")</f>
        <v/>
      </c>
      <c r="K240" s="20">
        <f>IF(B240="",0,Administrations!$X24)</f>
        <v>0</v>
      </c>
      <c r="L240" s="20">
        <f>IF(B240="",0,Administrations!$Y24)</f>
        <v>0</v>
      </c>
      <c r="M240" s="20" t="str">
        <f>IF(B240="","",Administrations!$AB24)</f>
        <v/>
      </c>
      <c r="N240" s="20" t="str">
        <f>IF(B240="","",Administrations!$AC24)</f>
        <v/>
      </c>
      <c r="O240" s="27" t="str">
        <f>IF(B240="","",Administrations!$Z24)</f>
        <v/>
      </c>
      <c r="P240" s="27" t="str">
        <f>IF(B240="","",Administrations!$AA24)</f>
        <v/>
      </c>
      <c r="Q240" s="20" t="str">
        <f t="shared" si="43"/>
        <v/>
      </c>
      <c r="R240" s="20" t="str">
        <f>IF(A240="","",IF(J240&lt;&gt;"",J240,IF(H240="TIMESTAMP",DAY(INT(M240/1440))&amp;" "&amp;INDEX(nLIST_Months,MONTH(INT(M240/1440)))&amp;" "&amp;YEAR(INT(M240/1440))&amp;" "&amp;RIGHT("0"&amp;INT(MOD(M240,1440)/60),2)&amp;":"&amp;RIGHT("0"&amp;MOD(M240,60),2)&amp;IF(L240=1," (UTC"&amp;I240&amp;")"," (offset unknown)"),IF(H240="DATE",DAY(O240)&amp;" "&amp;INDEX(nLIST_Months,MONTH(O240))&amp;" "&amp;YEAR(O240),IF(H240="MONTH",INDEX(nLIST_Months,MONTH(O240))&amp;" "&amp;YEAR(O240)&amp;" ("&amp;DAY(O240)&amp;" "&amp;INDEX(nLIST_Months,MONTH(O240))&amp;" "&amp;YEAR(O240)&amp;" to "&amp;DAY(P240)&amp;" "&amp;INDEX(nLIST_Months,MONTH(P240))&amp;" "&amp;YEAR(P240)&amp;")",IF(H240="YEAR",YEAR(O240)&amp;" (1 January to 31 December)",DAY(O240)&amp;" "&amp;INDEX(nLIST_Months,MONTH(O240))&amp;" "&amp;YEAR(O240)&amp;" to "&amp;DAY(P240)&amp;" "&amp;INDEX(nLIST_Months,MONTH(P240))&amp;" "&amp;YEAR(P240)&amp;IF(H240="LAB"," (laboratory-defined)","")))))))</f>
        <v/>
      </c>
      <c r="S240" s="20" t="str">
        <f>IF(B240="","",Administrations!$M24&amp;"")</f>
        <v/>
      </c>
      <c r="T240" s="20" t="str">
        <f>IF(B240="","",Administrations!$V24&amp;"")</f>
        <v/>
      </c>
      <c r="U240" s="20" t="str">
        <f>IF(B240="","","Administrations row "&amp;ROW(Administrations!$A24)&amp;", Administration")</f>
        <v/>
      </c>
      <c r="V240" s="20">
        <f>IF(A240="",0,COUNTIF(nTP_Key,A240))</f>
        <v>0</v>
      </c>
      <c r="W240" s="20">
        <f t="shared" si="44"/>
        <v>0</v>
      </c>
      <c r="X240" s="20">
        <f t="shared" si="45"/>
        <v>0</v>
      </c>
      <c r="Y240" s="20">
        <f t="shared" si="46"/>
        <v>0</v>
      </c>
      <c r="Z240" s="20">
        <f t="shared" si="47"/>
        <v>0</v>
      </c>
      <c r="AA240" s="20">
        <f t="shared" si="48"/>
        <v>236</v>
      </c>
      <c r="AB240" s="20" t="str">
        <f>IF(B240="","",Administrations!$E24&amp;"")</f>
        <v/>
      </c>
      <c r="AC240" s="20" t="str">
        <f>IF(B240="","",IFERROR(INDEX(nEXP_Role,MATCH(Administrations!$A24&amp;"|"&amp;Administrations!$B24&amp;"|"&amp;Administrations!$D24,nEXP_Key,0))&amp;"",""))</f>
        <v/>
      </c>
      <c r="AD240" s="20" t="str">
        <f>IF(B240="","",Administrations!$E24&amp;"")</f>
        <v/>
      </c>
      <c r="AE240" s="20">
        <f t="shared" si="49"/>
        <v>0</v>
      </c>
      <c r="AF240" s="20" t="str">
        <f t="shared" si="50"/>
        <v/>
      </c>
      <c r="AG240" s="20">
        <f t="shared" si="51"/>
        <v>0</v>
      </c>
      <c r="AH240" s="20" t="str">
        <f>""</f>
        <v/>
      </c>
    </row>
    <row r="241" spans="1:34" x14ac:dyDescent="0.2">
      <c r="A241" s="20" t="str">
        <f t="shared" si="41"/>
        <v/>
      </c>
      <c r="B241" s="20" t="str">
        <f>IF(AND(Administrations!$C25&lt;&gt;"",COUNTA(Administrations!$N25:$U25)&gt;0),Administrations!$C25&amp;"","")</f>
        <v/>
      </c>
      <c r="C241" s="20" t="str">
        <f t="shared" si="53"/>
        <v/>
      </c>
      <c r="D241" s="20" t="str">
        <f>IF(B241="","",Administrations!$A25&amp;"")</f>
        <v/>
      </c>
      <c r="E241" s="20" t="str">
        <f>IF(B241="","",Administrations!$B25&amp;"")</f>
        <v/>
      </c>
      <c r="F241" s="20" t="str">
        <f t="shared" si="42"/>
        <v/>
      </c>
      <c r="G241" s="20" t="str">
        <f>IF(B241="","",Administrations!$D25&amp;"")</f>
        <v/>
      </c>
      <c r="H241" s="20" t="str">
        <f>IF(B241="","",Administrations!$N25&amp;"")</f>
        <v/>
      </c>
      <c r="I241" s="20" t="str">
        <f>IF(B241="","",Administrations!$Q25&amp;"")</f>
        <v/>
      </c>
      <c r="J241" s="20" t="str">
        <f>IF(B241="","",Administrations!$W25&amp;"")</f>
        <v/>
      </c>
      <c r="K241" s="20">
        <f>IF(B241="",0,Administrations!$X25)</f>
        <v>0</v>
      </c>
      <c r="L241" s="20">
        <f>IF(B241="",0,Administrations!$Y25)</f>
        <v>0</v>
      </c>
      <c r="M241" s="20" t="str">
        <f>IF(B241="","",Administrations!$AB25)</f>
        <v/>
      </c>
      <c r="N241" s="20" t="str">
        <f>IF(B241="","",Administrations!$AC25)</f>
        <v/>
      </c>
      <c r="O241" s="27" t="str">
        <f>IF(B241="","",Administrations!$Z25)</f>
        <v/>
      </c>
      <c r="P241" s="27" t="str">
        <f>IF(B241="","",Administrations!$AA25)</f>
        <v/>
      </c>
      <c r="Q241" s="20" t="str">
        <f t="shared" si="43"/>
        <v/>
      </c>
      <c r="R241" s="20" t="str">
        <f>IF(A241="","",IF(J241&lt;&gt;"",J241,IF(H241="TIMESTAMP",DAY(INT(M241/1440))&amp;" "&amp;INDEX(nLIST_Months,MONTH(INT(M241/1440)))&amp;" "&amp;YEAR(INT(M241/1440))&amp;" "&amp;RIGHT("0"&amp;INT(MOD(M241,1440)/60),2)&amp;":"&amp;RIGHT("0"&amp;MOD(M241,60),2)&amp;IF(L241=1," (UTC"&amp;I241&amp;")"," (offset unknown)"),IF(H241="DATE",DAY(O241)&amp;" "&amp;INDEX(nLIST_Months,MONTH(O241))&amp;" "&amp;YEAR(O241),IF(H241="MONTH",INDEX(nLIST_Months,MONTH(O241))&amp;" "&amp;YEAR(O241)&amp;" ("&amp;DAY(O241)&amp;" "&amp;INDEX(nLIST_Months,MONTH(O241))&amp;" "&amp;YEAR(O241)&amp;" to "&amp;DAY(P241)&amp;" "&amp;INDEX(nLIST_Months,MONTH(P241))&amp;" "&amp;YEAR(P241)&amp;")",IF(H241="YEAR",YEAR(O241)&amp;" (1 January to 31 December)",DAY(O241)&amp;" "&amp;INDEX(nLIST_Months,MONTH(O241))&amp;" "&amp;YEAR(O241)&amp;" to "&amp;DAY(P241)&amp;" "&amp;INDEX(nLIST_Months,MONTH(P241))&amp;" "&amp;YEAR(P241)&amp;IF(H241="LAB"," (laboratory-defined)","")))))))</f>
        <v/>
      </c>
      <c r="S241" s="20" t="str">
        <f>IF(B241="","",Administrations!$M25&amp;"")</f>
        <v/>
      </c>
      <c r="T241" s="20" t="str">
        <f>IF(B241="","",Administrations!$V25&amp;"")</f>
        <v/>
      </c>
      <c r="U241" s="20" t="str">
        <f>IF(B241="","","Administrations row "&amp;ROW(Administrations!$A25)&amp;", Administration")</f>
        <v/>
      </c>
      <c r="V241" s="20">
        <f>IF(A241="",0,COUNTIF(nTP_Key,A241))</f>
        <v>0</v>
      </c>
      <c r="W241" s="20">
        <f t="shared" si="44"/>
        <v>0</v>
      </c>
      <c r="X241" s="20">
        <f t="shared" si="45"/>
        <v>0</v>
      </c>
      <c r="Y241" s="20">
        <f t="shared" si="46"/>
        <v>0</v>
      </c>
      <c r="Z241" s="20">
        <f t="shared" si="47"/>
        <v>0</v>
      </c>
      <c r="AA241" s="20">
        <f t="shared" si="48"/>
        <v>237</v>
      </c>
      <c r="AB241" s="20" t="str">
        <f>IF(B241="","",Administrations!$E25&amp;"")</f>
        <v/>
      </c>
      <c r="AC241" s="20" t="str">
        <f>IF(B241="","",IFERROR(INDEX(nEXP_Role,MATCH(Administrations!$A25&amp;"|"&amp;Administrations!$B25&amp;"|"&amp;Administrations!$D25,nEXP_Key,0))&amp;"",""))</f>
        <v/>
      </c>
      <c r="AD241" s="20" t="str">
        <f>IF(B241="","",Administrations!$E25&amp;"")</f>
        <v/>
      </c>
      <c r="AE241" s="20">
        <f t="shared" si="49"/>
        <v>0</v>
      </c>
      <c r="AF241" s="20" t="str">
        <f t="shared" si="50"/>
        <v/>
      </c>
      <c r="AG241" s="20">
        <f t="shared" si="51"/>
        <v>0</v>
      </c>
      <c r="AH241" s="20" t="str">
        <f>""</f>
        <v/>
      </c>
    </row>
    <row r="242" spans="1:34" x14ac:dyDescent="0.2">
      <c r="A242" s="20" t="str">
        <f t="shared" si="41"/>
        <v/>
      </c>
      <c r="B242" s="20" t="str">
        <f>IF(AND(Administrations!$C26&lt;&gt;"",COUNTA(Administrations!$N26:$U26)&gt;0),Administrations!$C26&amp;"","")</f>
        <v/>
      </c>
      <c r="C242" s="20" t="str">
        <f t="shared" si="53"/>
        <v/>
      </c>
      <c r="D242" s="20" t="str">
        <f>IF(B242="","",Administrations!$A26&amp;"")</f>
        <v/>
      </c>
      <c r="E242" s="20" t="str">
        <f>IF(B242="","",Administrations!$B26&amp;"")</f>
        <v/>
      </c>
      <c r="F242" s="20" t="str">
        <f t="shared" si="42"/>
        <v/>
      </c>
      <c r="G242" s="20" t="str">
        <f>IF(B242="","",Administrations!$D26&amp;"")</f>
        <v/>
      </c>
      <c r="H242" s="20" t="str">
        <f>IF(B242="","",Administrations!$N26&amp;"")</f>
        <v/>
      </c>
      <c r="I242" s="20" t="str">
        <f>IF(B242="","",Administrations!$Q26&amp;"")</f>
        <v/>
      </c>
      <c r="J242" s="20" t="str">
        <f>IF(B242="","",Administrations!$W26&amp;"")</f>
        <v/>
      </c>
      <c r="K242" s="20">
        <f>IF(B242="",0,Administrations!$X26)</f>
        <v>0</v>
      </c>
      <c r="L242" s="20">
        <f>IF(B242="",0,Administrations!$Y26)</f>
        <v>0</v>
      </c>
      <c r="M242" s="20" t="str">
        <f>IF(B242="","",Administrations!$AB26)</f>
        <v/>
      </c>
      <c r="N242" s="20" t="str">
        <f>IF(B242="","",Administrations!$AC26)</f>
        <v/>
      </c>
      <c r="O242" s="27" t="str">
        <f>IF(B242="","",Administrations!$Z26)</f>
        <v/>
      </c>
      <c r="P242" s="27" t="str">
        <f>IF(B242="","",Administrations!$AA26)</f>
        <v/>
      </c>
      <c r="Q242" s="20" t="str">
        <f t="shared" si="43"/>
        <v/>
      </c>
      <c r="R242" s="20" t="str">
        <f>IF(A242="","",IF(J242&lt;&gt;"",J242,IF(H242="TIMESTAMP",DAY(INT(M242/1440))&amp;" "&amp;INDEX(nLIST_Months,MONTH(INT(M242/1440)))&amp;" "&amp;YEAR(INT(M242/1440))&amp;" "&amp;RIGHT("0"&amp;INT(MOD(M242,1440)/60),2)&amp;":"&amp;RIGHT("0"&amp;MOD(M242,60),2)&amp;IF(L242=1," (UTC"&amp;I242&amp;")"," (offset unknown)"),IF(H242="DATE",DAY(O242)&amp;" "&amp;INDEX(nLIST_Months,MONTH(O242))&amp;" "&amp;YEAR(O242),IF(H242="MONTH",INDEX(nLIST_Months,MONTH(O242))&amp;" "&amp;YEAR(O242)&amp;" ("&amp;DAY(O242)&amp;" "&amp;INDEX(nLIST_Months,MONTH(O242))&amp;" "&amp;YEAR(O242)&amp;" to "&amp;DAY(P242)&amp;" "&amp;INDEX(nLIST_Months,MONTH(P242))&amp;" "&amp;YEAR(P242)&amp;")",IF(H242="YEAR",YEAR(O242)&amp;" (1 January to 31 December)",DAY(O242)&amp;" "&amp;INDEX(nLIST_Months,MONTH(O242))&amp;" "&amp;YEAR(O242)&amp;" to "&amp;DAY(P242)&amp;" "&amp;INDEX(nLIST_Months,MONTH(P242))&amp;" "&amp;YEAR(P242)&amp;IF(H242="LAB"," (laboratory-defined)","")))))))</f>
        <v/>
      </c>
      <c r="S242" s="20" t="str">
        <f>IF(B242="","",Administrations!$M26&amp;"")</f>
        <v/>
      </c>
      <c r="T242" s="20" t="str">
        <f>IF(B242="","",Administrations!$V26&amp;"")</f>
        <v/>
      </c>
      <c r="U242" s="20" t="str">
        <f>IF(B242="","","Administrations row "&amp;ROW(Administrations!$A26)&amp;", Administration")</f>
        <v/>
      </c>
      <c r="V242" s="20">
        <f>IF(A242="",0,COUNTIF(nTP_Key,A242))</f>
        <v>0</v>
      </c>
      <c r="W242" s="20">
        <f t="shared" si="44"/>
        <v>0</v>
      </c>
      <c r="X242" s="20">
        <f t="shared" si="45"/>
        <v>0</v>
      </c>
      <c r="Y242" s="20">
        <f t="shared" si="46"/>
        <v>0</v>
      </c>
      <c r="Z242" s="20">
        <f t="shared" si="47"/>
        <v>0</v>
      </c>
      <c r="AA242" s="20">
        <f t="shared" si="48"/>
        <v>238</v>
      </c>
      <c r="AB242" s="20" t="str">
        <f>IF(B242="","",Administrations!$E26&amp;"")</f>
        <v/>
      </c>
      <c r="AC242" s="20" t="str">
        <f>IF(B242="","",IFERROR(INDEX(nEXP_Role,MATCH(Administrations!$A26&amp;"|"&amp;Administrations!$B26&amp;"|"&amp;Administrations!$D26,nEXP_Key,0))&amp;"",""))</f>
        <v/>
      </c>
      <c r="AD242" s="20" t="str">
        <f>IF(B242="","",Administrations!$E26&amp;"")</f>
        <v/>
      </c>
      <c r="AE242" s="20">
        <f t="shared" si="49"/>
        <v>0</v>
      </c>
      <c r="AF242" s="20" t="str">
        <f t="shared" si="50"/>
        <v/>
      </c>
      <c r="AG242" s="20">
        <f t="shared" si="51"/>
        <v>0</v>
      </c>
      <c r="AH242" s="20" t="str">
        <f>""</f>
        <v/>
      </c>
    </row>
    <row r="243" spans="1:34" x14ac:dyDescent="0.2">
      <c r="A243" s="20" t="str">
        <f t="shared" si="41"/>
        <v/>
      </c>
      <c r="B243" s="20" t="str">
        <f>IF(AND(Administrations!$C27&lt;&gt;"",COUNTA(Administrations!$N27:$U27)&gt;0),Administrations!$C27&amp;"","")</f>
        <v/>
      </c>
      <c r="C243" s="20" t="str">
        <f t="shared" si="53"/>
        <v/>
      </c>
      <c r="D243" s="20" t="str">
        <f>IF(B243="","",Administrations!$A27&amp;"")</f>
        <v/>
      </c>
      <c r="E243" s="20" t="str">
        <f>IF(B243="","",Administrations!$B27&amp;"")</f>
        <v/>
      </c>
      <c r="F243" s="20" t="str">
        <f t="shared" si="42"/>
        <v/>
      </c>
      <c r="G243" s="20" t="str">
        <f>IF(B243="","",Administrations!$D27&amp;"")</f>
        <v/>
      </c>
      <c r="H243" s="20" t="str">
        <f>IF(B243="","",Administrations!$N27&amp;"")</f>
        <v/>
      </c>
      <c r="I243" s="20" t="str">
        <f>IF(B243="","",Administrations!$Q27&amp;"")</f>
        <v/>
      </c>
      <c r="J243" s="20" t="str">
        <f>IF(B243="","",Administrations!$W27&amp;"")</f>
        <v/>
      </c>
      <c r="K243" s="20">
        <f>IF(B243="",0,Administrations!$X27)</f>
        <v>0</v>
      </c>
      <c r="L243" s="20">
        <f>IF(B243="",0,Administrations!$Y27)</f>
        <v>0</v>
      </c>
      <c r="M243" s="20" t="str">
        <f>IF(B243="","",Administrations!$AB27)</f>
        <v/>
      </c>
      <c r="N243" s="20" t="str">
        <f>IF(B243="","",Administrations!$AC27)</f>
        <v/>
      </c>
      <c r="O243" s="27" t="str">
        <f>IF(B243="","",Administrations!$Z27)</f>
        <v/>
      </c>
      <c r="P243" s="27" t="str">
        <f>IF(B243="","",Administrations!$AA27)</f>
        <v/>
      </c>
      <c r="Q243" s="20" t="str">
        <f t="shared" si="43"/>
        <v/>
      </c>
      <c r="R243" s="20" t="str">
        <f>IF(A243="","",IF(J243&lt;&gt;"",J243,IF(H243="TIMESTAMP",DAY(INT(M243/1440))&amp;" "&amp;INDEX(nLIST_Months,MONTH(INT(M243/1440)))&amp;" "&amp;YEAR(INT(M243/1440))&amp;" "&amp;RIGHT("0"&amp;INT(MOD(M243,1440)/60),2)&amp;":"&amp;RIGHT("0"&amp;MOD(M243,60),2)&amp;IF(L243=1," (UTC"&amp;I243&amp;")"," (offset unknown)"),IF(H243="DATE",DAY(O243)&amp;" "&amp;INDEX(nLIST_Months,MONTH(O243))&amp;" "&amp;YEAR(O243),IF(H243="MONTH",INDEX(nLIST_Months,MONTH(O243))&amp;" "&amp;YEAR(O243)&amp;" ("&amp;DAY(O243)&amp;" "&amp;INDEX(nLIST_Months,MONTH(O243))&amp;" "&amp;YEAR(O243)&amp;" to "&amp;DAY(P243)&amp;" "&amp;INDEX(nLIST_Months,MONTH(P243))&amp;" "&amp;YEAR(P243)&amp;")",IF(H243="YEAR",YEAR(O243)&amp;" (1 January to 31 December)",DAY(O243)&amp;" "&amp;INDEX(nLIST_Months,MONTH(O243))&amp;" "&amp;YEAR(O243)&amp;" to "&amp;DAY(P243)&amp;" "&amp;INDEX(nLIST_Months,MONTH(P243))&amp;" "&amp;YEAR(P243)&amp;IF(H243="LAB"," (laboratory-defined)","")))))))</f>
        <v/>
      </c>
      <c r="S243" s="20" t="str">
        <f>IF(B243="","",Administrations!$M27&amp;"")</f>
        <v/>
      </c>
      <c r="T243" s="20" t="str">
        <f>IF(B243="","",Administrations!$V27&amp;"")</f>
        <v/>
      </c>
      <c r="U243" s="20" t="str">
        <f>IF(B243="","","Administrations row "&amp;ROW(Administrations!$A27)&amp;", Administration")</f>
        <v/>
      </c>
      <c r="V243" s="20">
        <f>IF(A243="",0,COUNTIF(nTP_Key,A243))</f>
        <v>0</v>
      </c>
      <c r="W243" s="20">
        <f t="shared" si="44"/>
        <v>0</v>
      </c>
      <c r="X243" s="20">
        <f t="shared" si="45"/>
        <v>0</v>
      </c>
      <c r="Y243" s="20">
        <f t="shared" si="46"/>
        <v>0</v>
      </c>
      <c r="Z243" s="20">
        <f t="shared" si="47"/>
        <v>0</v>
      </c>
      <c r="AA243" s="20">
        <f t="shared" si="48"/>
        <v>239</v>
      </c>
      <c r="AB243" s="20" t="str">
        <f>IF(B243="","",Administrations!$E27&amp;"")</f>
        <v/>
      </c>
      <c r="AC243" s="20" t="str">
        <f>IF(B243="","",IFERROR(INDEX(nEXP_Role,MATCH(Administrations!$A27&amp;"|"&amp;Administrations!$B27&amp;"|"&amp;Administrations!$D27,nEXP_Key,0))&amp;"",""))</f>
        <v/>
      </c>
      <c r="AD243" s="20" t="str">
        <f>IF(B243="","",Administrations!$E27&amp;"")</f>
        <v/>
      </c>
      <c r="AE243" s="20">
        <f t="shared" si="49"/>
        <v>0</v>
      </c>
      <c r="AF243" s="20" t="str">
        <f t="shared" si="50"/>
        <v/>
      </c>
      <c r="AG243" s="20">
        <f t="shared" si="51"/>
        <v>0</v>
      </c>
      <c r="AH243" s="20" t="str">
        <f>""</f>
        <v/>
      </c>
    </row>
    <row r="244" spans="1:34" x14ac:dyDescent="0.2">
      <c r="A244" s="20" t="str">
        <f t="shared" si="41"/>
        <v/>
      </c>
      <c r="B244" s="20" t="str">
        <f>IF(AND(Administrations!$C28&lt;&gt;"",COUNTA(Administrations!$N28:$U28)&gt;0),Administrations!$C28&amp;"","")</f>
        <v/>
      </c>
      <c r="C244" s="20" t="str">
        <f t="shared" si="53"/>
        <v/>
      </c>
      <c r="D244" s="20" t="str">
        <f>IF(B244="","",Administrations!$A28&amp;"")</f>
        <v/>
      </c>
      <c r="E244" s="20" t="str">
        <f>IF(B244="","",Administrations!$B28&amp;"")</f>
        <v/>
      </c>
      <c r="F244" s="20" t="str">
        <f t="shared" si="42"/>
        <v/>
      </c>
      <c r="G244" s="20" t="str">
        <f>IF(B244="","",Administrations!$D28&amp;"")</f>
        <v/>
      </c>
      <c r="H244" s="20" t="str">
        <f>IF(B244="","",Administrations!$N28&amp;"")</f>
        <v/>
      </c>
      <c r="I244" s="20" t="str">
        <f>IF(B244="","",Administrations!$Q28&amp;"")</f>
        <v/>
      </c>
      <c r="J244" s="20" t="str">
        <f>IF(B244="","",Administrations!$W28&amp;"")</f>
        <v/>
      </c>
      <c r="K244" s="20">
        <f>IF(B244="",0,Administrations!$X28)</f>
        <v>0</v>
      </c>
      <c r="L244" s="20">
        <f>IF(B244="",0,Administrations!$Y28)</f>
        <v>0</v>
      </c>
      <c r="M244" s="20" t="str">
        <f>IF(B244="","",Administrations!$AB28)</f>
        <v/>
      </c>
      <c r="N244" s="20" t="str">
        <f>IF(B244="","",Administrations!$AC28)</f>
        <v/>
      </c>
      <c r="O244" s="27" t="str">
        <f>IF(B244="","",Administrations!$Z28)</f>
        <v/>
      </c>
      <c r="P244" s="27" t="str">
        <f>IF(B244="","",Administrations!$AA28)</f>
        <v/>
      </c>
      <c r="Q244" s="20" t="str">
        <f t="shared" si="43"/>
        <v/>
      </c>
      <c r="R244" s="20" t="str">
        <f>IF(A244="","",IF(J244&lt;&gt;"",J244,IF(H244="TIMESTAMP",DAY(INT(M244/1440))&amp;" "&amp;INDEX(nLIST_Months,MONTH(INT(M244/1440)))&amp;" "&amp;YEAR(INT(M244/1440))&amp;" "&amp;RIGHT("0"&amp;INT(MOD(M244,1440)/60),2)&amp;":"&amp;RIGHT("0"&amp;MOD(M244,60),2)&amp;IF(L244=1," (UTC"&amp;I244&amp;")"," (offset unknown)"),IF(H244="DATE",DAY(O244)&amp;" "&amp;INDEX(nLIST_Months,MONTH(O244))&amp;" "&amp;YEAR(O244),IF(H244="MONTH",INDEX(nLIST_Months,MONTH(O244))&amp;" "&amp;YEAR(O244)&amp;" ("&amp;DAY(O244)&amp;" "&amp;INDEX(nLIST_Months,MONTH(O244))&amp;" "&amp;YEAR(O244)&amp;" to "&amp;DAY(P244)&amp;" "&amp;INDEX(nLIST_Months,MONTH(P244))&amp;" "&amp;YEAR(P244)&amp;")",IF(H244="YEAR",YEAR(O244)&amp;" (1 January to 31 December)",DAY(O244)&amp;" "&amp;INDEX(nLIST_Months,MONTH(O244))&amp;" "&amp;YEAR(O244)&amp;" to "&amp;DAY(P244)&amp;" "&amp;INDEX(nLIST_Months,MONTH(P244))&amp;" "&amp;YEAR(P244)&amp;IF(H244="LAB"," (laboratory-defined)","")))))))</f>
        <v/>
      </c>
      <c r="S244" s="20" t="str">
        <f>IF(B244="","",Administrations!$M28&amp;"")</f>
        <v/>
      </c>
      <c r="T244" s="20" t="str">
        <f>IF(B244="","",Administrations!$V28&amp;"")</f>
        <v/>
      </c>
      <c r="U244" s="20" t="str">
        <f>IF(B244="","","Administrations row "&amp;ROW(Administrations!$A28)&amp;", Administration")</f>
        <v/>
      </c>
      <c r="V244" s="20">
        <f>IF(A244="",0,COUNTIF(nTP_Key,A244))</f>
        <v>0</v>
      </c>
      <c r="W244" s="20">
        <f t="shared" si="44"/>
        <v>0</v>
      </c>
      <c r="X244" s="20">
        <f t="shared" si="45"/>
        <v>0</v>
      </c>
      <c r="Y244" s="20">
        <f t="shared" si="46"/>
        <v>0</v>
      </c>
      <c r="Z244" s="20">
        <f t="shared" si="47"/>
        <v>0</v>
      </c>
      <c r="AA244" s="20">
        <f t="shared" si="48"/>
        <v>240</v>
      </c>
      <c r="AB244" s="20" t="str">
        <f>IF(B244="","",Administrations!$E28&amp;"")</f>
        <v/>
      </c>
      <c r="AC244" s="20" t="str">
        <f>IF(B244="","",IFERROR(INDEX(nEXP_Role,MATCH(Administrations!$A28&amp;"|"&amp;Administrations!$B28&amp;"|"&amp;Administrations!$D28,nEXP_Key,0))&amp;"",""))</f>
        <v/>
      </c>
      <c r="AD244" s="20" t="str">
        <f>IF(B244="","",Administrations!$E28&amp;"")</f>
        <v/>
      </c>
      <c r="AE244" s="20">
        <f t="shared" si="49"/>
        <v>0</v>
      </c>
      <c r="AF244" s="20" t="str">
        <f t="shared" si="50"/>
        <v/>
      </c>
      <c r="AG244" s="20">
        <f t="shared" si="51"/>
        <v>0</v>
      </c>
      <c r="AH244" s="20" t="str">
        <f>""</f>
        <v/>
      </c>
    </row>
    <row r="245" spans="1:34" x14ac:dyDescent="0.2">
      <c r="A245" s="20" t="str">
        <f t="shared" si="41"/>
        <v/>
      </c>
      <c r="B245" s="20" t="str">
        <f>IF(AND(Administrations!$C29&lt;&gt;"",COUNTA(Administrations!$N29:$U29)&gt;0),Administrations!$C29&amp;"","")</f>
        <v/>
      </c>
      <c r="C245" s="20" t="str">
        <f t="shared" si="53"/>
        <v/>
      </c>
      <c r="D245" s="20" t="str">
        <f>IF(B245="","",Administrations!$A29&amp;"")</f>
        <v/>
      </c>
      <c r="E245" s="20" t="str">
        <f>IF(B245="","",Administrations!$B29&amp;"")</f>
        <v/>
      </c>
      <c r="F245" s="20" t="str">
        <f t="shared" si="42"/>
        <v/>
      </c>
      <c r="G245" s="20" t="str">
        <f>IF(B245="","",Administrations!$D29&amp;"")</f>
        <v/>
      </c>
      <c r="H245" s="20" t="str">
        <f>IF(B245="","",Administrations!$N29&amp;"")</f>
        <v/>
      </c>
      <c r="I245" s="20" t="str">
        <f>IF(B245="","",Administrations!$Q29&amp;"")</f>
        <v/>
      </c>
      <c r="J245" s="20" t="str">
        <f>IF(B245="","",Administrations!$W29&amp;"")</f>
        <v/>
      </c>
      <c r="K245" s="20">
        <f>IF(B245="",0,Administrations!$X29)</f>
        <v>0</v>
      </c>
      <c r="L245" s="20">
        <f>IF(B245="",0,Administrations!$Y29)</f>
        <v>0</v>
      </c>
      <c r="M245" s="20" t="str">
        <f>IF(B245="","",Administrations!$AB29)</f>
        <v/>
      </c>
      <c r="N245" s="20" t="str">
        <f>IF(B245="","",Administrations!$AC29)</f>
        <v/>
      </c>
      <c r="O245" s="27" t="str">
        <f>IF(B245="","",Administrations!$Z29)</f>
        <v/>
      </c>
      <c r="P245" s="27" t="str">
        <f>IF(B245="","",Administrations!$AA29)</f>
        <v/>
      </c>
      <c r="Q245" s="20" t="str">
        <f t="shared" si="43"/>
        <v/>
      </c>
      <c r="R245" s="20" t="str">
        <f>IF(A245="","",IF(J245&lt;&gt;"",J245,IF(H245="TIMESTAMP",DAY(INT(M245/1440))&amp;" "&amp;INDEX(nLIST_Months,MONTH(INT(M245/1440)))&amp;" "&amp;YEAR(INT(M245/1440))&amp;" "&amp;RIGHT("0"&amp;INT(MOD(M245,1440)/60),2)&amp;":"&amp;RIGHT("0"&amp;MOD(M245,60),2)&amp;IF(L245=1," (UTC"&amp;I245&amp;")"," (offset unknown)"),IF(H245="DATE",DAY(O245)&amp;" "&amp;INDEX(nLIST_Months,MONTH(O245))&amp;" "&amp;YEAR(O245),IF(H245="MONTH",INDEX(nLIST_Months,MONTH(O245))&amp;" "&amp;YEAR(O245)&amp;" ("&amp;DAY(O245)&amp;" "&amp;INDEX(nLIST_Months,MONTH(O245))&amp;" "&amp;YEAR(O245)&amp;" to "&amp;DAY(P245)&amp;" "&amp;INDEX(nLIST_Months,MONTH(P245))&amp;" "&amp;YEAR(P245)&amp;")",IF(H245="YEAR",YEAR(O245)&amp;" (1 January to 31 December)",DAY(O245)&amp;" "&amp;INDEX(nLIST_Months,MONTH(O245))&amp;" "&amp;YEAR(O245)&amp;" to "&amp;DAY(P245)&amp;" "&amp;INDEX(nLIST_Months,MONTH(P245))&amp;" "&amp;YEAR(P245)&amp;IF(H245="LAB"," (laboratory-defined)","")))))))</f>
        <v/>
      </c>
      <c r="S245" s="20" t="str">
        <f>IF(B245="","",Administrations!$M29&amp;"")</f>
        <v/>
      </c>
      <c r="T245" s="20" t="str">
        <f>IF(B245="","",Administrations!$V29&amp;"")</f>
        <v/>
      </c>
      <c r="U245" s="20" t="str">
        <f>IF(B245="","","Administrations row "&amp;ROW(Administrations!$A29)&amp;", Administration")</f>
        <v/>
      </c>
      <c r="V245" s="20">
        <f>IF(A245="",0,COUNTIF(nTP_Key,A245))</f>
        <v>0</v>
      </c>
      <c r="W245" s="20">
        <f t="shared" si="44"/>
        <v>0</v>
      </c>
      <c r="X245" s="20">
        <f t="shared" si="45"/>
        <v>0</v>
      </c>
      <c r="Y245" s="20">
        <f t="shared" si="46"/>
        <v>0</v>
      </c>
      <c r="Z245" s="20">
        <f t="shared" si="47"/>
        <v>0</v>
      </c>
      <c r="AA245" s="20">
        <f t="shared" si="48"/>
        <v>241</v>
      </c>
      <c r="AB245" s="20" t="str">
        <f>IF(B245="","",Administrations!$E29&amp;"")</f>
        <v/>
      </c>
      <c r="AC245" s="20" t="str">
        <f>IF(B245="","",IFERROR(INDEX(nEXP_Role,MATCH(Administrations!$A29&amp;"|"&amp;Administrations!$B29&amp;"|"&amp;Administrations!$D29,nEXP_Key,0))&amp;"",""))</f>
        <v/>
      </c>
      <c r="AD245" s="20" t="str">
        <f>IF(B245="","",Administrations!$E29&amp;"")</f>
        <v/>
      </c>
      <c r="AE245" s="20">
        <f t="shared" si="49"/>
        <v>0</v>
      </c>
      <c r="AF245" s="20" t="str">
        <f t="shared" si="50"/>
        <v/>
      </c>
      <c r="AG245" s="20">
        <f t="shared" si="51"/>
        <v>0</v>
      </c>
      <c r="AH245" s="20" t="str">
        <f>""</f>
        <v/>
      </c>
    </row>
    <row r="246" spans="1:34" x14ac:dyDescent="0.2">
      <c r="A246" s="20" t="str">
        <f t="shared" si="41"/>
        <v/>
      </c>
      <c r="B246" s="20" t="str">
        <f>IF(AND(Administrations!$C30&lt;&gt;"",COUNTA(Administrations!$N30:$U30)&gt;0),Administrations!$C30&amp;"","")</f>
        <v/>
      </c>
      <c r="C246" s="20" t="str">
        <f t="shared" si="53"/>
        <v/>
      </c>
      <c r="D246" s="20" t="str">
        <f>IF(B246="","",Administrations!$A30&amp;"")</f>
        <v/>
      </c>
      <c r="E246" s="20" t="str">
        <f>IF(B246="","",Administrations!$B30&amp;"")</f>
        <v/>
      </c>
      <c r="F246" s="20" t="str">
        <f t="shared" si="42"/>
        <v/>
      </c>
      <c r="G246" s="20" t="str">
        <f>IF(B246="","",Administrations!$D30&amp;"")</f>
        <v/>
      </c>
      <c r="H246" s="20" t="str">
        <f>IF(B246="","",Administrations!$N30&amp;"")</f>
        <v/>
      </c>
      <c r="I246" s="20" t="str">
        <f>IF(B246="","",Administrations!$Q30&amp;"")</f>
        <v/>
      </c>
      <c r="J246" s="20" t="str">
        <f>IF(B246="","",Administrations!$W30&amp;"")</f>
        <v/>
      </c>
      <c r="K246" s="20">
        <f>IF(B246="",0,Administrations!$X30)</f>
        <v>0</v>
      </c>
      <c r="L246" s="20">
        <f>IF(B246="",0,Administrations!$Y30)</f>
        <v>0</v>
      </c>
      <c r="M246" s="20" t="str">
        <f>IF(B246="","",Administrations!$AB30)</f>
        <v/>
      </c>
      <c r="N246" s="20" t="str">
        <f>IF(B246="","",Administrations!$AC30)</f>
        <v/>
      </c>
      <c r="O246" s="27" t="str">
        <f>IF(B246="","",Administrations!$Z30)</f>
        <v/>
      </c>
      <c r="P246" s="27" t="str">
        <f>IF(B246="","",Administrations!$AA30)</f>
        <v/>
      </c>
      <c r="Q246" s="20" t="str">
        <f t="shared" si="43"/>
        <v/>
      </c>
      <c r="R246" s="20" t="str">
        <f>IF(A246="","",IF(J246&lt;&gt;"",J246,IF(H246="TIMESTAMP",DAY(INT(M246/1440))&amp;" "&amp;INDEX(nLIST_Months,MONTH(INT(M246/1440)))&amp;" "&amp;YEAR(INT(M246/1440))&amp;" "&amp;RIGHT("0"&amp;INT(MOD(M246,1440)/60),2)&amp;":"&amp;RIGHT("0"&amp;MOD(M246,60),2)&amp;IF(L246=1," (UTC"&amp;I246&amp;")"," (offset unknown)"),IF(H246="DATE",DAY(O246)&amp;" "&amp;INDEX(nLIST_Months,MONTH(O246))&amp;" "&amp;YEAR(O246),IF(H246="MONTH",INDEX(nLIST_Months,MONTH(O246))&amp;" "&amp;YEAR(O246)&amp;" ("&amp;DAY(O246)&amp;" "&amp;INDEX(nLIST_Months,MONTH(O246))&amp;" "&amp;YEAR(O246)&amp;" to "&amp;DAY(P246)&amp;" "&amp;INDEX(nLIST_Months,MONTH(P246))&amp;" "&amp;YEAR(P246)&amp;")",IF(H246="YEAR",YEAR(O246)&amp;" (1 January to 31 December)",DAY(O246)&amp;" "&amp;INDEX(nLIST_Months,MONTH(O246))&amp;" "&amp;YEAR(O246)&amp;" to "&amp;DAY(P246)&amp;" "&amp;INDEX(nLIST_Months,MONTH(P246))&amp;" "&amp;YEAR(P246)&amp;IF(H246="LAB"," (laboratory-defined)","")))))))</f>
        <v/>
      </c>
      <c r="S246" s="20" t="str">
        <f>IF(B246="","",Administrations!$M30&amp;"")</f>
        <v/>
      </c>
      <c r="T246" s="20" t="str">
        <f>IF(B246="","",Administrations!$V30&amp;"")</f>
        <v/>
      </c>
      <c r="U246" s="20" t="str">
        <f>IF(B246="","","Administrations row "&amp;ROW(Administrations!$A30)&amp;", Administration")</f>
        <v/>
      </c>
      <c r="V246" s="20">
        <f>IF(A246="",0,COUNTIF(nTP_Key,A246))</f>
        <v>0</v>
      </c>
      <c r="W246" s="20">
        <f t="shared" si="44"/>
        <v>0</v>
      </c>
      <c r="X246" s="20">
        <f t="shared" si="45"/>
        <v>0</v>
      </c>
      <c r="Y246" s="20">
        <f t="shared" si="46"/>
        <v>0</v>
      </c>
      <c r="Z246" s="20">
        <f t="shared" si="47"/>
        <v>0</v>
      </c>
      <c r="AA246" s="20">
        <f t="shared" si="48"/>
        <v>242</v>
      </c>
      <c r="AB246" s="20" t="str">
        <f>IF(B246="","",Administrations!$E30&amp;"")</f>
        <v/>
      </c>
      <c r="AC246" s="20" t="str">
        <f>IF(B246="","",IFERROR(INDEX(nEXP_Role,MATCH(Administrations!$A30&amp;"|"&amp;Administrations!$B30&amp;"|"&amp;Administrations!$D30,nEXP_Key,0))&amp;"",""))</f>
        <v/>
      </c>
      <c r="AD246" s="20" t="str">
        <f>IF(B246="","",Administrations!$E30&amp;"")</f>
        <v/>
      </c>
      <c r="AE246" s="20">
        <f t="shared" si="49"/>
        <v>0</v>
      </c>
      <c r="AF246" s="20" t="str">
        <f t="shared" si="50"/>
        <v/>
      </c>
      <c r="AG246" s="20">
        <f t="shared" si="51"/>
        <v>0</v>
      </c>
      <c r="AH246" s="20" t="str">
        <f>""</f>
        <v/>
      </c>
    </row>
    <row r="247" spans="1:34" x14ac:dyDescent="0.2">
      <c r="A247" s="20" t="str">
        <f t="shared" si="41"/>
        <v/>
      </c>
      <c r="B247" s="20" t="str">
        <f>IF(AND(Administrations!$C31&lt;&gt;"",COUNTA(Administrations!$N31:$U31)&gt;0),Administrations!$C31&amp;"","")</f>
        <v/>
      </c>
      <c r="C247" s="20" t="str">
        <f t="shared" si="53"/>
        <v/>
      </c>
      <c r="D247" s="20" t="str">
        <f>IF(B247="","",Administrations!$A31&amp;"")</f>
        <v/>
      </c>
      <c r="E247" s="20" t="str">
        <f>IF(B247="","",Administrations!$B31&amp;"")</f>
        <v/>
      </c>
      <c r="F247" s="20" t="str">
        <f t="shared" si="42"/>
        <v/>
      </c>
      <c r="G247" s="20" t="str">
        <f>IF(B247="","",Administrations!$D31&amp;"")</f>
        <v/>
      </c>
      <c r="H247" s="20" t="str">
        <f>IF(B247="","",Administrations!$N31&amp;"")</f>
        <v/>
      </c>
      <c r="I247" s="20" t="str">
        <f>IF(B247="","",Administrations!$Q31&amp;"")</f>
        <v/>
      </c>
      <c r="J247" s="20" t="str">
        <f>IF(B247="","",Administrations!$W31&amp;"")</f>
        <v/>
      </c>
      <c r="K247" s="20">
        <f>IF(B247="",0,Administrations!$X31)</f>
        <v>0</v>
      </c>
      <c r="L247" s="20">
        <f>IF(B247="",0,Administrations!$Y31)</f>
        <v>0</v>
      </c>
      <c r="M247" s="20" t="str">
        <f>IF(B247="","",Administrations!$AB31)</f>
        <v/>
      </c>
      <c r="N247" s="20" t="str">
        <f>IF(B247="","",Administrations!$AC31)</f>
        <v/>
      </c>
      <c r="O247" s="27" t="str">
        <f>IF(B247="","",Administrations!$Z31)</f>
        <v/>
      </c>
      <c r="P247" s="27" t="str">
        <f>IF(B247="","",Administrations!$AA31)</f>
        <v/>
      </c>
      <c r="Q247" s="20" t="str">
        <f t="shared" si="43"/>
        <v/>
      </c>
      <c r="R247" s="20" t="str">
        <f>IF(A247="","",IF(J247&lt;&gt;"",J247,IF(H247="TIMESTAMP",DAY(INT(M247/1440))&amp;" "&amp;INDEX(nLIST_Months,MONTH(INT(M247/1440)))&amp;" "&amp;YEAR(INT(M247/1440))&amp;" "&amp;RIGHT("0"&amp;INT(MOD(M247,1440)/60),2)&amp;":"&amp;RIGHT("0"&amp;MOD(M247,60),2)&amp;IF(L247=1," (UTC"&amp;I247&amp;")"," (offset unknown)"),IF(H247="DATE",DAY(O247)&amp;" "&amp;INDEX(nLIST_Months,MONTH(O247))&amp;" "&amp;YEAR(O247),IF(H247="MONTH",INDEX(nLIST_Months,MONTH(O247))&amp;" "&amp;YEAR(O247)&amp;" ("&amp;DAY(O247)&amp;" "&amp;INDEX(nLIST_Months,MONTH(O247))&amp;" "&amp;YEAR(O247)&amp;" to "&amp;DAY(P247)&amp;" "&amp;INDEX(nLIST_Months,MONTH(P247))&amp;" "&amp;YEAR(P247)&amp;")",IF(H247="YEAR",YEAR(O247)&amp;" (1 January to 31 December)",DAY(O247)&amp;" "&amp;INDEX(nLIST_Months,MONTH(O247))&amp;" "&amp;YEAR(O247)&amp;" to "&amp;DAY(P247)&amp;" "&amp;INDEX(nLIST_Months,MONTH(P247))&amp;" "&amp;YEAR(P247)&amp;IF(H247="LAB"," (laboratory-defined)","")))))))</f>
        <v/>
      </c>
      <c r="S247" s="20" t="str">
        <f>IF(B247="","",Administrations!$M31&amp;"")</f>
        <v/>
      </c>
      <c r="T247" s="20" t="str">
        <f>IF(B247="","",Administrations!$V31&amp;"")</f>
        <v/>
      </c>
      <c r="U247" s="20" t="str">
        <f>IF(B247="","","Administrations row "&amp;ROW(Administrations!$A31)&amp;", Administration")</f>
        <v/>
      </c>
      <c r="V247" s="20">
        <f>IF(A247="",0,COUNTIF(nTP_Key,A247))</f>
        <v>0</v>
      </c>
      <c r="W247" s="20">
        <f t="shared" si="44"/>
        <v>0</v>
      </c>
      <c r="X247" s="20">
        <f t="shared" si="45"/>
        <v>0</v>
      </c>
      <c r="Y247" s="20">
        <f t="shared" si="46"/>
        <v>0</v>
      </c>
      <c r="Z247" s="20">
        <f t="shared" si="47"/>
        <v>0</v>
      </c>
      <c r="AA247" s="20">
        <f t="shared" si="48"/>
        <v>243</v>
      </c>
      <c r="AB247" s="20" t="str">
        <f>IF(B247="","",Administrations!$E31&amp;"")</f>
        <v/>
      </c>
      <c r="AC247" s="20" t="str">
        <f>IF(B247="","",IFERROR(INDEX(nEXP_Role,MATCH(Administrations!$A31&amp;"|"&amp;Administrations!$B31&amp;"|"&amp;Administrations!$D31,nEXP_Key,0))&amp;"",""))</f>
        <v/>
      </c>
      <c r="AD247" s="20" t="str">
        <f>IF(B247="","",Administrations!$E31&amp;"")</f>
        <v/>
      </c>
      <c r="AE247" s="20">
        <f t="shared" si="49"/>
        <v>0</v>
      </c>
      <c r="AF247" s="20" t="str">
        <f t="shared" si="50"/>
        <v/>
      </c>
      <c r="AG247" s="20">
        <f t="shared" si="51"/>
        <v>0</v>
      </c>
      <c r="AH247" s="20" t="str">
        <f>""</f>
        <v/>
      </c>
    </row>
    <row r="248" spans="1:34" x14ac:dyDescent="0.2">
      <c r="A248" s="20" t="str">
        <f t="shared" si="41"/>
        <v/>
      </c>
      <c r="B248" s="20" t="str">
        <f>IF(AND(Administrations!$C32&lt;&gt;"",COUNTA(Administrations!$N32:$U32)&gt;0),Administrations!$C32&amp;"","")</f>
        <v/>
      </c>
      <c r="C248" s="20" t="str">
        <f t="shared" si="53"/>
        <v/>
      </c>
      <c r="D248" s="20" t="str">
        <f>IF(B248="","",Administrations!$A32&amp;"")</f>
        <v/>
      </c>
      <c r="E248" s="20" t="str">
        <f>IF(B248="","",Administrations!$B32&amp;"")</f>
        <v/>
      </c>
      <c r="F248" s="20" t="str">
        <f t="shared" si="42"/>
        <v/>
      </c>
      <c r="G248" s="20" t="str">
        <f>IF(B248="","",Administrations!$D32&amp;"")</f>
        <v/>
      </c>
      <c r="H248" s="20" t="str">
        <f>IF(B248="","",Administrations!$N32&amp;"")</f>
        <v/>
      </c>
      <c r="I248" s="20" t="str">
        <f>IF(B248="","",Administrations!$Q32&amp;"")</f>
        <v/>
      </c>
      <c r="J248" s="20" t="str">
        <f>IF(B248="","",Administrations!$W32&amp;"")</f>
        <v/>
      </c>
      <c r="K248" s="20">
        <f>IF(B248="",0,Administrations!$X32)</f>
        <v>0</v>
      </c>
      <c r="L248" s="20">
        <f>IF(B248="",0,Administrations!$Y32)</f>
        <v>0</v>
      </c>
      <c r="M248" s="20" t="str">
        <f>IF(B248="","",Administrations!$AB32)</f>
        <v/>
      </c>
      <c r="N248" s="20" t="str">
        <f>IF(B248="","",Administrations!$AC32)</f>
        <v/>
      </c>
      <c r="O248" s="27" t="str">
        <f>IF(B248="","",Administrations!$Z32)</f>
        <v/>
      </c>
      <c r="P248" s="27" t="str">
        <f>IF(B248="","",Administrations!$AA32)</f>
        <v/>
      </c>
      <c r="Q248" s="20" t="str">
        <f t="shared" si="43"/>
        <v/>
      </c>
      <c r="R248" s="20" t="str">
        <f>IF(A248="","",IF(J248&lt;&gt;"",J248,IF(H248="TIMESTAMP",DAY(INT(M248/1440))&amp;" "&amp;INDEX(nLIST_Months,MONTH(INT(M248/1440)))&amp;" "&amp;YEAR(INT(M248/1440))&amp;" "&amp;RIGHT("0"&amp;INT(MOD(M248,1440)/60),2)&amp;":"&amp;RIGHT("0"&amp;MOD(M248,60),2)&amp;IF(L248=1," (UTC"&amp;I248&amp;")"," (offset unknown)"),IF(H248="DATE",DAY(O248)&amp;" "&amp;INDEX(nLIST_Months,MONTH(O248))&amp;" "&amp;YEAR(O248),IF(H248="MONTH",INDEX(nLIST_Months,MONTH(O248))&amp;" "&amp;YEAR(O248)&amp;" ("&amp;DAY(O248)&amp;" "&amp;INDEX(nLIST_Months,MONTH(O248))&amp;" "&amp;YEAR(O248)&amp;" to "&amp;DAY(P248)&amp;" "&amp;INDEX(nLIST_Months,MONTH(P248))&amp;" "&amp;YEAR(P248)&amp;")",IF(H248="YEAR",YEAR(O248)&amp;" (1 January to 31 December)",DAY(O248)&amp;" "&amp;INDEX(nLIST_Months,MONTH(O248))&amp;" "&amp;YEAR(O248)&amp;" to "&amp;DAY(P248)&amp;" "&amp;INDEX(nLIST_Months,MONTH(P248))&amp;" "&amp;YEAR(P248)&amp;IF(H248="LAB"," (laboratory-defined)","")))))))</f>
        <v/>
      </c>
      <c r="S248" s="20" t="str">
        <f>IF(B248="","",Administrations!$M32&amp;"")</f>
        <v/>
      </c>
      <c r="T248" s="20" t="str">
        <f>IF(B248="","",Administrations!$V32&amp;"")</f>
        <v/>
      </c>
      <c r="U248" s="20" t="str">
        <f>IF(B248="","","Administrations row "&amp;ROW(Administrations!$A32)&amp;", Administration")</f>
        <v/>
      </c>
      <c r="V248" s="20">
        <f>IF(A248="",0,COUNTIF(nTP_Key,A248))</f>
        <v>0</v>
      </c>
      <c r="W248" s="20">
        <f t="shared" si="44"/>
        <v>0</v>
      </c>
      <c r="X248" s="20">
        <f t="shared" si="45"/>
        <v>0</v>
      </c>
      <c r="Y248" s="20">
        <f t="shared" si="46"/>
        <v>0</v>
      </c>
      <c r="Z248" s="20">
        <f t="shared" si="47"/>
        <v>0</v>
      </c>
      <c r="AA248" s="20">
        <f t="shared" si="48"/>
        <v>244</v>
      </c>
      <c r="AB248" s="20" t="str">
        <f>IF(B248="","",Administrations!$E32&amp;"")</f>
        <v/>
      </c>
      <c r="AC248" s="20" t="str">
        <f>IF(B248="","",IFERROR(INDEX(nEXP_Role,MATCH(Administrations!$A32&amp;"|"&amp;Administrations!$B32&amp;"|"&amp;Administrations!$D32,nEXP_Key,0))&amp;"",""))</f>
        <v/>
      </c>
      <c r="AD248" s="20" t="str">
        <f>IF(B248="","",Administrations!$E32&amp;"")</f>
        <v/>
      </c>
      <c r="AE248" s="20">
        <f t="shared" si="49"/>
        <v>0</v>
      </c>
      <c r="AF248" s="20" t="str">
        <f t="shared" si="50"/>
        <v/>
      </c>
      <c r="AG248" s="20">
        <f t="shared" si="51"/>
        <v>0</v>
      </c>
      <c r="AH248" s="20" t="str">
        <f>""</f>
        <v/>
      </c>
    </row>
    <row r="249" spans="1:34" x14ac:dyDescent="0.2">
      <c r="A249" s="20" t="str">
        <f t="shared" si="41"/>
        <v/>
      </c>
      <c r="B249" s="20" t="str">
        <f>IF(AND(Administrations!$C33&lt;&gt;"",COUNTA(Administrations!$N33:$U33)&gt;0),Administrations!$C33&amp;"","")</f>
        <v/>
      </c>
      <c r="C249" s="20" t="str">
        <f t="shared" si="53"/>
        <v/>
      </c>
      <c r="D249" s="20" t="str">
        <f>IF(B249="","",Administrations!$A33&amp;"")</f>
        <v/>
      </c>
      <c r="E249" s="20" t="str">
        <f>IF(B249="","",Administrations!$B33&amp;"")</f>
        <v/>
      </c>
      <c r="F249" s="20" t="str">
        <f t="shared" si="42"/>
        <v/>
      </c>
      <c r="G249" s="20" t="str">
        <f>IF(B249="","",Administrations!$D33&amp;"")</f>
        <v/>
      </c>
      <c r="H249" s="20" t="str">
        <f>IF(B249="","",Administrations!$N33&amp;"")</f>
        <v/>
      </c>
      <c r="I249" s="20" t="str">
        <f>IF(B249="","",Administrations!$Q33&amp;"")</f>
        <v/>
      </c>
      <c r="J249" s="20" t="str">
        <f>IF(B249="","",Administrations!$W33&amp;"")</f>
        <v/>
      </c>
      <c r="K249" s="20">
        <f>IF(B249="",0,Administrations!$X33)</f>
        <v>0</v>
      </c>
      <c r="L249" s="20">
        <f>IF(B249="",0,Administrations!$Y33)</f>
        <v>0</v>
      </c>
      <c r="M249" s="20" t="str">
        <f>IF(B249="","",Administrations!$AB33)</f>
        <v/>
      </c>
      <c r="N249" s="20" t="str">
        <f>IF(B249="","",Administrations!$AC33)</f>
        <v/>
      </c>
      <c r="O249" s="27" t="str">
        <f>IF(B249="","",Administrations!$Z33)</f>
        <v/>
      </c>
      <c r="P249" s="27" t="str">
        <f>IF(B249="","",Administrations!$AA33)</f>
        <v/>
      </c>
      <c r="Q249" s="20" t="str">
        <f t="shared" si="43"/>
        <v/>
      </c>
      <c r="R249" s="20" t="str">
        <f>IF(A249="","",IF(J249&lt;&gt;"",J249,IF(H249="TIMESTAMP",DAY(INT(M249/1440))&amp;" "&amp;INDEX(nLIST_Months,MONTH(INT(M249/1440)))&amp;" "&amp;YEAR(INT(M249/1440))&amp;" "&amp;RIGHT("0"&amp;INT(MOD(M249,1440)/60),2)&amp;":"&amp;RIGHT("0"&amp;MOD(M249,60),2)&amp;IF(L249=1," (UTC"&amp;I249&amp;")"," (offset unknown)"),IF(H249="DATE",DAY(O249)&amp;" "&amp;INDEX(nLIST_Months,MONTH(O249))&amp;" "&amp;YEAR(O249),IF(H249="MONTH",INDEX(nLIST_Months,MONTH(O249))&amp;" "&amp;YEAR(O249)&amp;" ("&amp;DAY(O249)&amp;" "&amp;INDEX(nLIST_Months,MONTH(O249))&amp;" "&amp;YEAR(O249)&amp;" to "&amp;DAY(P249)&amp;" "&amp;INDEX(nLIST_Months,MONTH(P249))&amp;" "&amp;YEAR(P249)&amp;")",IF(H249="YEAR",YEAR(O249)&amp;" (1 January to 31 December)",DAY(O249)&amp;" "&amp;INDEX(nLIST_Months,MONTH(O249))&amp;" "&amp;YEAR(O249)&amp;" to "&amp;DAY(P249)&amp;" "&amp;INDEX(nLIST_Months,MONTH(P249))&amp;" "&amp;YEAR(P249)&amp;IF(H249="LAB"," (laboratory-defined)","")))))))</f>
        <v/>
      </c>
      <c r="S249" s="20" t="str">
        <f>IF(B249="","",Administrations!$M33&amp;"")</f>
        <v/>
      </c>
      <c r="T249" s="20" t="str">
        <f>IF(B249="","",Administrations!$V33&amp;"")</f>
        <v/>
      </c>
      <c r="U249" s="20" t="str">
        <f>IF(B249="","","Administrations row "&amp;ROW(Administrations!$A33)&amp;", Administration")</f>
        <v/>
      </c>
      <c r="V249" s="20">
        <f>IF(A249="",0,COUNTIF(nTP_Key,A249))</f>
        <v>0</v>
      </c>
      <c r="W249" s="20">
        <f t="shared" si="44"/>
        <v>0</v>
      </c>
      <c r="X249" s="20">
        <f t="shared" si="45"/>
        <v>0</v>
      </c>
      <c r="Y249" s="20">
        <f t="shared" si="46"/>
        <v>0</v>
      </c>
      <c r="Z249" s="20">
        <f t="shared" si="47"/>
        <v>0</v>
      </c>
      <c r="AA249" s="20">
        <f t="shared" si="48"/>
        <v>245</v>
      </c>
      <c r="AB249" s="20" t="str">
        <f>IF(B249="","",Administrations!$E33&amp;"")</f>
        <v/>
      </c>
      <c r="AC249" s="20" t="str">
        <f>IF(B249="","",IFERROR(INDEX(nEXP_Role,MATCH(Administrations!$A33&amp;"|"&amp;Administrations!$B33&amp;"|"&amp;Administrations!$D33,nEXP_Key,0))&amp;"",""))</f>
        <v/>
      </c>
      <c r="AD249" s="20" t="str">
        <f>IF(B249="","",Administrations!$E33&amp;"")</f>
        <v/>
      </c>
      <c r="AE249" s="20">
        <f t="shared" si="49"/>
        <v>0</v>
      </c>
      <c r="AF249" s="20" t="str">
        <f t="shared" si="50"/>
        <v/>
      </c>
      <c r="AG249" s="20">
        <f t="shared" si="51"/>
        <v>0</v>
      </c>
      <c r="AH249" s="20" t="str">
        <f>""</f>
        <v/>
      </c>
    </row>
    <row r="250" spans="1:34" x14ac:dyDescent="0.2">
      <c r="A250" s="20" t="str">
        <f t="shared" si="41"/>
        <v/>
      </c>
      <c r="B250" s="20" t="str">
        <f>IF(AND(Administrations!$C34&lt;&gt;"",COUNTA(Administrations!$N34:$U34)&gt;0),Administrations!$C34&amp;"","")</f>
        <v/>
      </c>
      <c r="C250" s="20" t="str">
        <f t="shared" si="53"/>
        <v/>
      </c>
      <c r="D250" s="20" t="str">
        <f>IF(B250="","",Administrations!$A34&amp;"")</f>
        <v/>
      </c>
      <c r="E250" s="20" t="str">
        <f>IF(B250="","",Administrations!$B34&amp;"")</f>
        <v/>
      </c>
      <c r="F250" s="20" t="str">
        <f t="shared" si="42"/>
        <v/>
      </c>
      <c r="G250" s="20" t="str">
        <f>IF(B250="","",Administrations!$D34&amp;"")</f>
        <v/>
      </c>
      <c r="H250" s="20" t="str">
        <f>IF(B250="","",Administrations!$N34&amp;"")</f>
        <v/>
      </c>
      <c r="I250" s="20" t="str">
        <f>IF(B250="","",Administrations!$Q34&amp;"")</f>
        <v/>
      </c>
      <c r="J250" s="20" t="str">
        <f>IF(B250="","",Administrations!$W34&amp;"")</f>
        <v/>
      </c>
      <c r="K250" s="20">
        <f>IF(B250="",0,Administrations!$X34)</f>
        <v>0</v>
      </c>
      <c r="L250" s="20">
        <f>IF(B250="",0,Administrations!$Y34)</f>
        <v>0</v>
      </c>
      <c r="M250" s="20" t="str">
        <f>IF(B250="","",Administrations!$AB34)</f>
        <v/>
      </c>
      <c r="N250" s="20" t="str">
        <f>IF(B250="","",Administrations!$AC34)</f>
        <v/>
      </c>
      <c r="O250" s="27" t="str">
        <f>IF(B250="","",Administrations!$Z34)</f>
        <v/>
      </c>
      <c r="P250" s="27" t="str">
        <f>IF(B250="","",Administrations!$AA34)</f>
        <v/>
      </c>
      <c r="Q250" s="20" t="str">
        <f t="shared" si="43"/>
        <v/>
      </c>
      <c r="R250" s="20" t="str">
        <f>IF(A250="","",IF(J250&lt;&gt;"",J250,IF(H250="TIMESTAMP",DAY(INT(M250/1440))&amp;" "&amp;INDEX(nLIST_Months,MONTH(INT(M250/1440)))&amp;" "&amp;YEAR(INT(M250/1440))&amp;" "&amp;RIGHT("0"&amp;INT(MOD(M250,1440)/60),2)&amp;":"&amp;RIGHT("0"&amp;MOD(M250,60),2)&amp;IF(L250=1," (UTC"&amp;I250&amp;")"," (offset unknown)"),IF(H250="DATE",DAY(O250)&amp;" "&amp;INDEX(nLIST_Months,MONTH(O250))&amp;" "&amp;YEAR(O250),IF(H250="MONTH",INDEX(nLIST_Months,MONTH(O250))&amp;" "&amp;YEAR(O250)&amp;" ("&amp;DAY(O250)&amp;" "&amp;INDEX(nLIST_Months,MONTH(O250))&amp;" "&amp;YEAR(O250)&amp;" to "&amp;DAY(P250)&amp;" "&amp;INDEX(nLIST_Months,MONTH(P250))&amp;" "&amp;YEAR(P250)&amp;")",IF(H250="YEAR",YEAR(O250)&amp;" (1 January to 31 December)",DAY(O250)&amp;" "&amp;INDEX(nLIST_Months,MONTH(O250))&amp;" "&amp;YEAR(O250)&amp;" to "&amp;DAY(P250)&amp;" "&amp;INDEX(nLIST_Months,MONTH(P250))&amp;" "&amp;YEAR(P250)&amp;IF(H250="LAB"," (laboratory-defined)","")))))))</f>
        <v/>
      </c>
      <c r="S250" s="20" t="str">
        <f>IF(B250="","",Administrations!$M34&amp;"")</f>
        <v/>
      </c>
      <c r="T250" s="20" t="str">
        <f>IF(B250="","",Administrations!$V34&amp;"")</f>
        <v/>
      </c>
      <c r="U250" s="20" t="str">
        <f>IF(B250="","","Administrations row "&amp;ROW(Administrations!$A34)&amp;", Administration")</f>
        <v/>
      </c>
      <c r="V250" s="20">
        <f>IF(A250="",0,COUNTIF(nTP_Key,A250))</f>
        <v>0</v>
      </c>
      <c r="W250" s="20">
        <f t="shared" si="44"/>
        <v>0</v>
      </c>
      <c r="X250" s="20">
        <f t="shared" si="45"/>
        <v>0</v>
      </c>
      <c r="Y250" s="20">
        <f t="shared" si="46"/>
        <v>0</v>
      </c>
      <c r="Z250" s="20">
        <f t="shared" si="47"/>
        <v>0</v>
      </c>
      <c r="AA250" s="20">
        <f t="shared" si="48"/>
        <v>246</v>
      </c>
      <c r="AB250" s="20" t="str">
        <f>IF(B250="","",Administrations!$E34&amp;"")</f>
        <v/>
      </c>
      <c r="AC250" s="20" t="str">
        <f>IF(B250="","",IFERROR(INDEX(nEXP_Role,MATCH(Administrations!$A34&amp;"|"&amp;Administrations!$B34&amp;"|"&amp;Administrations!$D34,nEXP_Key,0))&amp;"",""))</f>
        <v/>
      </c>
      <c r="AD250" s="20" t="str">
        <f>IF(B250="","",Administrations!$E34&amp;"")</f>
        <v/>
      </c>
      <c r="AE250" s="20">
        <f t="shared" si="49"/>
        <v>0</v>
      </c>
      <c r="AF250" s="20" t="str">
        <f t="shared" si="50"/>
        <v/>
      </c>
      <c r="AG250" s="20">
        <f t="shared" si="51"/>
        <v>0</v>
      </c>
      <c r="AH250" s="20" t="str">
        <f>""</f>
        <v/>
      </c>
    </row>
    <row r="251" spans="1:34" x14ac:dyDescent="0.2">
      <c r="A251" s="20" t="str">
        <f t="shared" si="41"/>
        <v/>
      </c>
      <c r="B251" s="20" t="str">
        <f>IF(AND(Administrations!$C35&lt;&gt;"",COUNTA(Administrations!$N35:$U35)&gt;0),Administrations!$C35&amp;"","")</f>
        <v/>
      </c>
      <c r="C251" s="20" t="str">
        <f t="shared" si="53"/>
        <v/>
      </c>
      <c r="D251" s="20" t="str">
        <f>IF(B251="","",Administrations!$A35&amp;"")</f>
        <v/>
      </c>
      <c r="E251" s="20" t="str">
        <f>IF(B251="","",Administrations!$B35&amp;"")</f>
        <v/>
      </c>
      <c r="F251" s="20" t="str">
        <f t="shared" si="42"/>
        <v/>
      </c>
      <c r="G251" s="20" t="str">
        <f>IF(B251="","",Administrations!$D35&amp;"")</f>
        <v/>
      </c>
      <c r="H251" s="20" t="str">
        <f>IF(B251="","",Administrations!$N35&amp;"")</f>
        <v/>
      </c>
      <c r="I251" s="20" t="str">
        <f>IF(B251="","",Administrations!$Q35&amp;"")</f>
        <v/>
      </c>
      <c r="J251" s="20" t="str">
        <f>IF(B251="","",Administrations!$W35&amp;"")</f>
        <v/>
      </c>
      <c r="K251" s="20">
        <f>IF(B251="",0,Administrations!$X35)</f>
        <v>0</v>
      </c>
      <c r="L251" s="20">
        <f>IF(B251="",0,Administrations!$Y35)</f>
        <v>0</v>
      </c>
      <c r="M251" s="20" t="str">
        <f>IF(B251="","",Administrations!$AB35)</f>
        <v/>
      </c>
      <c r="N251" s="20" t="str">
        <f>IF(B251="","",Administrations!$AC35)</f>
        <v/>
      </c>
      <c r="O251" s="27" t="str">
        <f>IF(B251="","",Administrations!$Z35)</f>
        <v/>
      </c>
      <c r="P251" s="27" t="str">
        <f>IF(B251="","",Administrations!$AA35)</f>
        <v/>
      </c>
      <c r="Q251" s="20" t="str">
        <f t="shared" si="43"/>
        <v/>
      </c>
      <c r="R251" s="20" t="str">
        <f>IF(A251="","",IF(J251&lt;&gt;"",J251,IF(H251="TIMESTAMP",DAY(INT(M251/1440))&amp;" "&amp;INDEX(nLIST_Months,MONTH(INT(M251/1440)))&amp;" "&amp;YEAR(INT(M251/1440))&amp;" "&amp;RIGHT("0"&amp;INT(MOD(M251,1440)/60),2)&amp;":"&amp;RIGHT("0"&amp;MOD(M251,60),2)&amp;IF(L251=1," (UTC"&amp;I251&amp;")"," (offset unknown)"),IF(H251="DATE",DAY(O251)&amp;" "&amp;INDEX(nLIST_Months,MONTH(O251))&amp;" "&amp;YEAR(O251),IF(H251="MONTH",INDEX(nLIST_Months,MONTH(O251))&amp;" "&amp;YEAR(O251)&amp;" ("&amp;DAY(O251)&amp;" "&amp;INDEX(nLIST_Months,MONTH(O251))&amp;" "&amp;YEAR(O251)&amp;" to "&amp;DAY(P251)&amp;" "&amp;INDEX(nLIST_Months,MONTH(P251))&amp;" "&amp;YEAR(P251)&amp;")",IF(H251="YEAR",YEAR(O251)&amp;" (1 January to 31 December)",DAY(O251)&amp;" "&amp;INDEX(nLIST_Months,MONTH(O251))&amp;" "&amp;YEAR(O251)&amp;" to "&amp;DAY(P251)&amp;" "&amp;INDEX(nLIST_Months,MONTH(P251))&amp;" "&amp;YEAR(P251)&amp;IF(H251="LAB"," (laboratory-defined)","")))))))</f>
        <v/>
      </c>
      <c r="S251" s="20" t="str">
        <f>IF(B251="","",Administrations!$M35&amp;"")</f>
        <v/>
      </c>
      <c r="T251" s="20" t="str">
        <f>IF(B251="","",Administrations!$V35&amp;"")</f>
        <v/>
      </c>
      <c r="U251" s="20" t="str">
        <f>IF(B251="","","Administrations row "&amp;ROW(Administrations!$A35)&amp;", Administration")</f>
        <v/>
      </c>
      <c r="V251" s="20">
        <f>IF(A251="",0,COUNTIF(nTP_Key,A251))</f>
        <v>0</v>
      </c>
      <c r="W251" s="20">
        <f t="shared" si="44"/>
        <v>0</v>
      </c>
      <c r="X251" s="20">
        <f t="shared" si="45"/>
        <v>0</v>
      </c>
      <c r="Y251" s="20">
        <f t="shared" si="46"/>
        <v>0</v>
      </c>
      <c r="Z251" s="20">
        <f t="shared" si="47"/>
        <v>0</v>
      </c>
      <c r="AA251" s="20">
        <f t="shared" si="48"/>
        <v>247</v>
      </c>
      <c r="AB251" s="20" t="str">
        <f>IF(B251="","",Administrations!$E35&amp;"")</f>
        <v/>
      </c>
      <c r="AC251" s="20" t="str">
        <f>IF(B251="","",IFERROR(INDEX(nEXP_Role,MATCH(Administrations!$A35&amp;"|"&amp;Administrations!$B35&amp;"|"&amp;Administrations!$D35,nEXP_Key,0))&amp;"",""))</f>
        <v/>
      </c>
      <c r="AD251" s="20" t="str">
        <f>IF(B251="","",Administrations!$E35&amp;"")</f>
        <v/>
      </c>
      <c r="AE251" s="20">
        <f t="shared" si="49"/>
        <v>0</v>
      </c>
      <c r="AF251" s="20" t="str">
        <f t="shared" si="50"/>
        <v/>
      </c>
      <c r="AG251" s="20">
        <f t="shared" si="51"/>
        <v>0</v>
      </c>
      <c r="AH251" s="20" t="str">
        <f>""</f>
        <v/>
      </c>
    </row>
    <row r="252" spans="1:34" x14ac:dyDescent="0.2">
      <c r="A252" s="20" t="str">
        <f t="shared" si="41"/>
        <v/>
      </c>
      <c r="B252" s="20" t="str">
        <f>IF(AND(Administrations!$C36&lt;&gt;"",COUNTA(Administrations!$N36:$U36)&gt;0),Administrations!$C36&amp;"","")</f>
        <v/>
      </c>
      <c r="C252" s="20" t="str">
        <f t="shared" si="53"/>
        <v/>
      </c>
      <c r="D252" s="20" t="str">
        <f>IF(B252="","",Administrations!$A36&amp;"")</f>
        <v/>
      </c>
      <c r="E252" s="20" t="str">
        <f>IF(B252="","",Administrations!$B36&amp;"")</f>
        <v/>
      </c>
      <c r="F252" s="20" t="str">
        <f t="shared" si="42"/>
        <v/>
      </c>
      <c r="G252" s="20" t="str">
        <f>IF(B252="","",Administrations!$D36&amp;"")</f>
        <v/>
      </c>
      <c r="H252" s="20" t="str">
        <f>IF(B252="","",Administrations!$N36&amp;"")</f>
        <v/>
      </c>
      <c r="I252" s="20" t="str">
        <f>IF(B252="","",Administrations!$Q36&amp;"")</f>
        <v/>
      </c>
      <c r="J252" s="20" t="str">
        <f>IF(B252="","",Administrations!$W36&amp;"")</f>
        <v/>
      </c>
      <c r="K252" s="20">
        <f>IF(B252="",0,Administrations!$X36)</f>
        <v>0</v>
      </c>
      <c r="L252" s="20">
        <f>IF(B252="",0,Administrations!$Y36)</f>
        <v>0</v>
      </c>
      <c r="M252" s="20" t="str">
        <f>IF(B252="","",Administrations!$AB36)</f>
        <v/>
      </c>
      <c r="N252" s="20" t="str">
        <f>IF(B252="","",Administrations!$AC36)</f>
        <v/>
      </c>
      <c r="O252" s="27" t="str">
        <f>IF(B252="","",Administrations!$Z36)</f>
        <v/>
      </c>
      <c r="P252" s="27" t="str">
        <f>IF(B252="","",Administrations!$AA36)</f>
        <v/>
      </c>
      <c r="Q252" s="20" t="str">
        <f t="shared" si="43"/>
        <v/>
      </c>
      <c r="R252" s="20" t="str">
        <f>IF(A252="","",IF(J252&lt;&gt;"",J252,IF(H252="TIMESTAMP",DAY(INT(M252/1440))&amp;" "&amp;INDEX(nLIST_Months,MONTH(INT(M252/1440)))&amp;" "&amp;YEAR(INT(M252/1440))&amp;" "&amp;RIGHT("0"&amp;INT(MOD(M252,1440)/60),2)&amp;":"&amp;RIGHT("0"&amp;MOD(M252,60),2)&amp;IF(L252=1," (UTC"&amp;I252&amp;")"," (offset unknown)"),IF(H252="DATE",DAY(O252)&amp;" "&amp;INDEX(nLIST_Months,MONTH(O252))&amp;" "&amp;YEAR(O252),IF(H252="MONTH",INDEX(nLIST_Months,MONTH(O252))&amp;" "&amp;YEAR(O252)&amp;" ("&amp;DAY(O252)&amp;" "&amp;INDEX(nLIST_Months,MONTH(O252))&amp;" "&amp;YEAR(O252)&amp;" to "&amp;DAY(P252)&amp;" "&amp;INDEX(nLIST_Months,MONTH(P252))&amp;" "&amp;YEAR(P252)&amp;")",IF(H252="YEAR",YEAR(O252)&amp;" (1 January to 31 December)",DAY(O252)&amp;" "&amp;INDEX(nLIST_Months,MONTH(O252))&amp;" "&amp;YEAR(O252)&amp;" to "&amp;DAY(P252)&amp;" "&amp;INDEX(nLIST_Months,MONTH(P252))&amp;" "&amp;YEAR(P252)&amp;IF(H252="LAB"," (laboratory-defined)","")))))))</f>
        <v/>
      </c>
      <c r="S252" s="20" t="str">
        <f>IF(B252="","",Administrations!$M36&amp;"")</f>
        <v/>
      </c>
      <c r="T252" s="20" t="str">
        <f>IF(B252="","",Administrations!$V36&amp;"")</f>
        <v/>
      </c>
      <c r="U252" s="20" t="str">
        <f>IF(B252="","","Administrations row "&amp;ROW(Administrations!$A36)&amp;", Administration")</f>
        <v/>
      </c>
      <c r="V252" s="20">
        <f>IF(A252="",0,COUNTIF(nTP_Key,A252))</f>
        <v>0</v>
      </c>
      <c r="W252" s="20">
        <f t="shared" si="44"/>
        <v>0</v>
      </c>
      <c r="X252" s="20">
        <f t="shared" si="45"/>
        <v>0</v>
      </c>
      <c r="Y252" s="20">
        <f t="shared" si="46"/>
        <v>0</v>
      </c>
      <c r="Z252" s="20">
        <f t="shared" si="47"/>
        <v>0</v>
      </c>
      <c r="AA252" s="20">
        <f t="shared" si="48"/>
        <v>248</v>
      </c>
      <c r="AB252" s="20" t="str">
        <f>IF(B252="","",Administrations!$E36&amp;"")</f>
        <v/>
      </c>
      <c r="AC252" s="20" t="str">
        <f>IF(B252="","",IFERROR(INDEX(nEXP_Role,MATCH(Administrations!$A36&amp;"|"&amp;Administrations!$B36&amp;"|"&amp;Administrations!$D36,nEXP_Key,0))&amp;"",""))</f>
        <v/>
      </c>
      <c r="AD252" s="20" t="str">
        <f>IF(B252="","",Administrations!$E36&amp;"")</f>
        <v/>
      </c>
      <c r="AE252" s="20">
        <f t="shared" si="49"/>
        <v>0</v>
      </c>
      <c r="AF252" s="20" t="str">
        <f t="shared" si="50"/>
        <v/>
      </c>
      <c r="AG252" s="20">
        <f t="shared" si="51"/>
        <v>0</v>
      </c>
      <c r="AH252" s="20" t="str">
        <f>""</f>
        <v/>
      </c>
    </row>
    <row r="253" spans="1:34" x14ac:dyDescent="0.2">
      <c r="A253" s="20" t="str">
        <f t="shared" si="41"/>
        <v/>
      </c>
      <c r="B253" s="20" t="str">
        <f>IF(AND(Administrations!$C37&lt;&gt;"",COUNTA(Administrations!$N37:$U37)&gt;0),Administrations!$C37&amp;"","")</f>
        <v/>
      </c>
      <c r="C253" s="20" t="str">
        <f t="shared" ref="C253:C284" si="54">IF(B253="","","ADMINISTRATION")</f>
        <v/>
      </c>
      <c r="D253" s="20" t="str">
        <f>IF(B253="","",Administrations!$A37&amp;"")</f>
        <v/>
      </c>
      <c r="E253" s="20" t="str">
        <f>IF(B253="","",Administrations!$B37&amp;"")</f>
        <v/>
      </c>
      <c r="F253" s="20" t="str">
        <f t="shared" si="42"/>
        <v/>
      </c>
      <c r="G253" s="20" t="str">
        <f>IF(B253="","",Administrations!$D37&amp;"")</f>
        <v/>
      </c>
      <c r="H253" s="20" t="str">
        <f>IF(B253="","",Administrations!$N37&amp;"")</f>
        <v/>
      </c>
      <c r="I253" s="20" t="str">
        <f>IF(B253="","",Administrations!$Q37&amp;"")</f>
        <v/>
      </c>
      <c r="J253" s="20" t="str">
        <f>IF(B253="","",Administrations!$W37&amp;"")</f>
        <v/>
      </c>
      <c r="K253" s="20">
        <f>IF(B253="",0,Administrations!$X37)</f>
        <v>0</v>
      </c>
      <c r="L253" s="20">
        <f>IF(B253="",0,Administrations!$Y37)</f>
        <v>0</v>
      </c>
      <c r="M253" s="20" t="str">
        <f>IF(B253="","",Administrations!$AB37)</f>
        <v/>
      </c>
      <c r="N253" s="20" t="str">
        <f>IF(B253="","",Administrations!$AC37)</f>
        <v/>
      </c>
      <c r="O253" s="27" t="str">
        <f>IF(B253="","",Administrations!$Z37)</f>
        <v/>
      </c>
      <c r="P253" s="27" t="str">
        <f>IF(B253="","",Administrations!$AA37)</f>
        <v/>
      </c>
      <c r="Q253" s="20" t="str">
        <f t="shared" si="43"/>
        <v/>
      </c>
      <c r="R253" s="20" t="str">
        <f>IF(A253="","",IF(J253&lt;&gt;"",J253,IF(H253="TIMESTAMP",DAY(INT(M253/1440))&amp;" "&amp;INDEX(nLIST_Months,MONTH(INT(M253/1440)))&amp;" "&amp;YEAR(INT(M253/1440))&amp;" "&amp;RIGHT("0"&amp;INT(MOD(M253,1440)/60),2)&amp;":"&amp;RIGHT("0"&amp;MOD(M253,60),2)&amp;IF(L253=1," (UTC"&amp;I253&amp;")"," (offset unknown)"),IF(H253="DATE",DAY(O253)&amp;" "&amp;INDEX(nLIST_Months,MONTH(O253))&amp;" "&amp;YEAR(O253),IF(H253="MONTH",INDEX(nLIST_Months,MONTH(O253))&amp;" "&amp;YEAR(O253)&amp;" ("&amp;DAY(O253)&amp;" "&amp;INDEX(nLIST_Months,MONTH(O253))&amp;" "&amp;YEAR(O253)&amp;" to "&amp;DAY(P253)&amp;" "&amp;INDEX(nLIST_Months,MONTH(P253))&amp;" "&amp;YEAR(P253)&amp;")",IF(H253="YEAR",YEAR(O253)&amp;" (1 January to 31 December)",DAY(O253)&amp;" "&amp;INDEX(nLIST_Months,MONTH(O253))&amp;" "&amp;YEAR(O253)&amp;" to "&amp;DAY(P253)&amp;" "&amp;INDEX(nLIST_Months,MONTH(P253))&amp;" "&amp;YEAR(P253)&amp;IF(H253="LAB"," (laboratory-defined)","")))))))</f>
        <v/>
      </c>
      <c r="S253" s="20" t="str">
        <f>IF(B253="","",Administrations!$M37&amp;"")</f>
        <v/>
      </c>
      <c r="T253" s="20" t="str">
        <f>IF(B253="","",Administrations!$V37&amp;"")</f>
        <v/>
      </c>
      <c r="U253" s="20" t="str">
        <f>IF(B253="","","Administrations row "&amp;ROW(Administrations!$A37)&amp;", Administration")</f>
        <v/>
      </c>
      <c r="V253" s="20">
        <f>IF(A253="",0,COUNTIF(nTP_Key,A253))</f>
        <v>0</v>
      </c>
      <c r="W253" s="20">
        <f t="shared" si="44"/>
        <v>0</v>
      </c>
      <c r="X253" s="20">
        <f t="shared" si="45"/>
        <v>0</v>
      </c>
      <c r="Y253" s="20">
        <f t="shared" si="46"/>
        <v>0</v>
      </c>
      <c r="Z253" s="20">
        <f t="shared" si="47"/>
        <v>0</v>
      </c>
      <c r="AA253" s="20">
        <f t="shared" si="48"/>
        <v>249</v>
      </c>
      <c r="AB253" s="20" t="str">
        <f>IF(B253="","",Administrations!$E37&amp;"")</f>
        <v/>
      </c>
      <c r="AC253" s="20" t="str">
        <f>IF(B253="","",IFERROR(INDEX(nEXP_Role,MATCH(Administrations!$A37&amp;"|"&amp;Administrations!$B37&amp;"|"&amp;Administrations!$D37,nEXP_Key,0))&amp;"",""))</f>
        <v/>
      </c>
      <c r="AD253" s="20" t="str">
        <f>IF(B253="","",Administrations!$E37&amp;"")</f>
        <v/>
      </c>
      <c r="AE253" s="20">
        <f t="shared" si="49"/>
        <v>0</v>
      </c>
      <c r="AF253" s="20" t="str">
        <f t="shared" si="50"/>
        <v/>
      </c>
      <c r="AG253" s="20">
        <f t="shared" si="51"/>
        <v>0</v>
      </c>
      <c r="AH253" s="20" t="str">
        <f>""</f>
        <v/>
      </c>
    </row>
    <row r="254" spans="1:34" x14ac:dyDescent="0.2">
      <c r="A254" s="20" t="str">
        <f t="shared" si="41"/>
        <v/>
      </c>
      <c r="B254" s="20" t="str">
        <f>IF(AND(Administrations!$C38&lt;&gt;"",COUNTA(Administrations!$N38:$U38)&gt;0),Administrations!$C38&amp;"","")</f>
        <v/>
      </c>
      <c r="C254" s="20" t="str">
        <f t="shared" si="54"/>
        <v/>
      </c>
      <c r="D254" s="20" t="str">
        <f>IF(B254="","",Administrations!$A38&amp;"")</f>
        <v/>
      </c>
      <c r="E254" s="20" t="str">
        <f>IF(B254="","",Administrations!$B38&amp;"")</f>
        <v/>
      </c>
      <c r="F254" s="20" t="str">
        <f t="shared" si="42"/>
        <v/>
      </c>
      <c r="G254" s="20" t="str">
        <f>IF(B254="","",Administrations!$D38&amp;"")</f>
        <v/>
      </c>
      <c r="H254" s="20" t="str">
        <f>IF(B254="","",Administrations!$N38&amp;"")</f>
        <v/>
      </c>
      <c r="I254" s="20" t="str">
        <f>IF(B254="","",Administrations!$Q38&amp;"")</f>
        <v/>
      </c>
      <c r="J254" s="20" t="str">
        <f>IF(B254="","",Administrations!$W38&amp;"")</f>
        <v/>
      </c>
      <c r="K254" s="20">
        <f>IF(B254="",0,Administrations!$X38)</f>
        <v>0</v>
      </c>
      <c r="L254" s="20">
        <f>IF(B254="",0,Administrations!$Y38)</f>
        <v>0</v>
      </c>
      <c r="M254" s="20" t="str">
        <f>IF(B254="","",Administrations!$AB38)</f>
        <v/>
      </c>
      <c r="N254" s="20" t="str">
        <f>IF(B254="","",Administrations!$AC38)</f>
        <v/>
      </c>
      <c r="O254" s="27" t="str">
        <f>IF(B254="","",Administrations!$Z38)</f>
        <v/>
      </c>
      <c r="P254" s="27" t="str">
        <f>IF(B254="","",Administrations!$AA38)</f>
        <v/>
      </c>
      <c r="Q254" s="20" t="str">
        <f t="shared" si="43"/>
        <v/>
      </c>
      <c r="R254" s="20" t="str">
        <f>IF(A254="","",IF(J254&lt;&gt;"",J254,IF(H254="TIMESTAMP",DAY(INT(M254/1440))&amp;" "&amp;INDEX(nLIST_Months,MONTH(INT(M254/1440)))&amp;" "&amp;YEAR(INT(M254/1440))&amp;" "&amp;RIGHT("0"&amp;INT(MOD(M254,1440)/60),2)&amp;":"&amp;RIGHT("0"&amp;MOD(M254,60),2)&amp;IF(L254=1," (UTC"&amp;I254&amp;")"," (offset unknown)"),IF(H254="DATE",DAY(O254)&amp;" "&amp;INDEX(nLIST_Months,MONTH(O254))&amp;" "&amp;YEAR(O254),IF(H254="MONTH",INDEX(nLIST_Months,MONTH(O254))&amp;" "&amp;YEAR(O254)&amp;" ("&amp;DAY(O254)&amp;" "&amp;INDEX(nLIST_Months,MONTH(O254))&amp;" "&amp;YEAR(O254)&amp;" to "&amp;DAY(P254)&amp;" "&amp;INDEX(nLIST_Months,MONTH(P254))&amp;" "&amp;YEAR(P254)&amp;")",IF(H254="YEAR",YEAR(O254)&amp;" (1 January to 31 December)",DAY(O254)&amp;" "&amp;INDEX(nLIST_Months,MONTH(O254))&amp;" "&amp;YEAR(O254)&amp;" to "&amp;DAY(P254)&amp;" "&amp;INDEX(nLIST_Months,MONTH(P254))&amp;" "&amp;YEAR(P254)&amp;IF(H254="LAB"," (laboratory-defined)","")))))))</f>
        <v/>
      </c>
      <c r="S254" s="20" t="str">
        <f>IF(B254="","",Administrations!$M38&amp;"")</f>
        <v/>
      </c>
      <c r="T254" s="20" t="str">
        <f>IF(B254="","",Administrations!$V38&amp;"")</f>
        <v/>
      </c>
      <c r="U254" s="20" t="str">
        <f>IF(B254="","","Administrations row "&amp;ROW(Administrations!$A38)&amp;", Administration")</f>
        <v/>
      </c>
      <c r="V254" s="20">
        <f>IF(A254="",0,COUNTIF(nTP_Key,A254))</f>
        <v>0</v>
      </c>
      <c r="W254" s="20">
        <f t="shared" si="44"/>
        <v>0</v>
      </c>
      <c r="X254" s="20">
        <f t="shared" si="45"/>
        <v>0</v>
      </c>
      <c r="Y254" s="20">
        <f t="shared" si="46"/>
        <v>0</v>
      </c>
      <c r="Z254" s="20">
        <f t="shared" si="47"/>
        <v>0</v>
      </c>
      <c r="AA254" s="20">
        <f t="shared" si="48"/>
        <v>250</v>
      </c>
      <c r="AB254" s="20" t="str">
        <f>IF(B254="","",Administrations!$E38&amp;"")</f>
        <v/>
      </c>
      <c r="AC254" s="20" t="str">
        <f>IF(B254="","",IFERROR(INDEX(nEXP_Role,MATCH(Administrations!$A38&amp;"|"&amp;Administrations!$B38&amp;"|"&amp;Administrations!$D38,nEXP_Key,0))&amp;"",""))</f>
        <v/>
      </c>
      <c r="AD254" s="20" t="str">
        <f>IF(B254="","",Administrations!$E38&amp;"")</f>
        <v/>
      </c>
      <c r="AE254" s="20">
        <f t="shared" si="49"/>
        <v>0</v>
      </c>
      <c r="AF254" s="20" t="str">
        <f t="shared" si="50"/>
        <v/>
      </c>
      <c r="AG254" s="20">
        <f t="shared" si="51"/>
        <v>0</v>
      </c>
      <c r="AH254" s="20" t="str">
        <f>""</f>
        <v/>
      </c>
    </row>
    <row r="255" spans="1:34" x14ac:dyDescent="0.2">
      <c r="A255" s="20" t="str">
        <f t="shared" si="41"/>
        <v/>
      </c>
      <c r="B255" s="20" t="str">
        <f>IF(AND(Administrations!$C39&lt;&gt;"",COUNTA(Administrations!$N39:$U39)&gt;0),Administrations!$C39&amp;"","")</f>
        <v/>
      </c>
      <c r="C255" s="20" t="str">
        <f t="shared" si="54"/>
        <v/>
      </c>
      <c r="D255" s="20" t="str">
        <f>IF(B255="","",Administrations!$A39&amp;"")</f>
        <v/>
      </c>
      <c r="E255" s="20" t="str">
        <f>IF(B255="","",Administrations!$B39&amp;"")</f>
        <v/>
      </c>
      <c r="F255" s="20" t="str">
        <f t="shared" si="42"/>
        <v/>
      </c>
      <c r="G255" s="20" t="str">
        <f>IF(B255="","",Administrations!$D39&amp;"")</f>
        <v/>
      </c>
      <c r="H255" s="20" t="str">
        <f>IF(B255="","",Administrations!$N39&amp;"")</f>
        <v/>
      </c>
      <c r="I255" s="20" t="str">
        <f>IF(B255="","",Administrations!$Q39&amp;"")</f>
        <v/>
      </c>
      <c r="J255" s="20" t="str">
        <f>IF(B255="","",Administrations!$W39&amp;"")</f>
        <v/>
      </c>
      <c r="K255" s="20">
        <f>IF(B255="",0,Administrations!$X39)</f>
        <v>0</v>
      </c>
      <c r="L255" s="20">
        <f>IF(B255="",0,Administrations!$Y39)</f>
        <v>0</v>
      </c>
      <c r="M255" s="20" t="str">
        <f>IF(B255="","",Administrations!$AB39)</f>
        <v/>
      </c>
      <c r="N255" s="20" t="str">
        <f>IF(B255="","",Administrations!$AC39)</f>
        <v/>
      </c>
      <c r="O255" s="27" t="str">
        <f>IF(B255="","",Administrations!$Z39)</f>
        <v/>
      </c>
      <c r="P255" s="27" t="str">
        <f>IF(B255="","",Administrations!$AA39)</f>
        <v/>
      </c>
      <c r="Q255" s="20" t="str">
        <f t="shared" si="43"/>
        <v/>
      </c>
      <c r="R255" s="20" t="str">
        <f>IF(A255="","",IF(J255&lt;&gt;"",J255,IF(H255="TIMESTAMP",DAY(INT(M255/1440))&amp;" "&amp;INDEX(nLIST_Months,MONTH(INT(M255/1440)))&amp;" "&amp;YEAR(INT(M255/1440))&amp;" "&amp;RIGHT("0"&amp;INT(MOD(M255,1440)/60),2)&amp;":"&amp;RIGHT("0"&amp;MOD(M255,60),2)&amp;IF(L255=1," (UTC"&amp;I255&amp;")"," (offset unknown)"),IF(H255="DATE",DAY(O255)&amp;" "&amp;INDEX(nLIST_Months,MONTH(O255))&amp;" "&amp;YEAR(O255),IF(H255="MONTH",INDEX(nLIST_Months,MONTH(O255))&amp;" "&amp;YEAR(O255)&amp;" ("&amp;DAY(O255)&amp;" "&amp;INDEX(nLIST_Months,MONTH(O255))&amp;" "&amp;YEAR(O255)&amp;" to "&amp;DAY(P255)&amp;" "&amp;INDEX(nLIST_Months,MONTH(P255))&amp;" "&amp;YEAR(P255)&amp;")",IF(H255="YEAR",YEAR(O255)&amp;" (1 January to 31 December)",DAY(O255)&amp;" "&amp;INDEX(nLIST_Months,MONTH(O255))&amp;" "&amp;YEAR(O255)&amp;" to "&amp;DAY(P255)&amp;" "&amp;INDEX(nLIST_Months,MONTH(P255))&amp;" "&amp;YEAR(P255)&amp;IF(H255="LAB"," (laboratory-defined)","")))))))</f>
        <v/>
      </c>
      <c r="S255" s="20" t="str">
        <f>IF(B255="","",Administrations!$M39&amp;"")</f>
        <v/>
      </c>
      <c r="T255" s="20" t="str">
        <f>IF(B255="","",Administrations!$V39&amp;"")</f>
        <v/>
      </c>
      <c r="U255" s="20" t="str">
        <f>IF(B255="","","Administrations row "&amp;ROW(Administrations!$A39)&amp;", Administration")</f>
        <v/>
      </c>
      <c r="V255" s="20">
        <f>IF(A255="",0,COUNTIF(nTP_Key,A255))</f>
        <v>0</v>
      </c>
      <c r="W255" s="20">
        <f t="shared" si="44"/>
        <v>0</v>
      </c>
      <c r="X255" s="20">
        <f t="shared" si="45"/>
        <v>0</v>
      </c>
      <c r="Y255" s="20">
        <f t="shared" si="46"/>
        <v>0</v>
      </c>
      <c r="Z255" s="20">
        <f t="shared" si="47"/>
        <v>0</v>
      </c>
      <c r="AA255" s="20">
        <f t="shared" si="48"/>
        <v>251</v>
      </c>
      <c r="AB255" s="20" t="str">
        <f>IF(B255="","",Administrations!$E39&amp;"")</f>
        <v/>
      </c>
      <c r="AC255" s="20" t="str">
        <f>IF(B255="","",IFERROR(INDEX(nEXP_Role,MATCH(Administrations!$A39&amp;"|"&amp;Administrations!$B39&amp;"|"&amp;Administrations!$D39,nEXP_Key,0))&amp;"",""))</f>
        <v/>
      </c>
      <c r="AD255" s="20" t="str">
        <f>IF(B255="","",Administrations!$E39&amp;"")</f>
        <v/>
      </c>
      <c r="AE255" s="20">
        <f t="shared" si="49"/>
        <v>0</v>
      </c>
      <c r="AF255" s="20" t="str">
        <f t="shared" si="50"/>
        <v/>
      </c>
      <c r="AG255" s="20">
        <f t="shared" si="51"/>
        <v>0</v>
      </c>
      <c r="AH255" s="20" t="str">
        <f>""</f>
        <v/>
      </c>
    </row>
    <row r="256" spans="1:34" x14ac:dyDescent="0.2">
      <c r="A256" s="20" t="str">
        <f t="shared" si="41"/>
        <v/>
      </c>
      <c r="B256" s="20" t="str">
        <f>IF(AND(Administrations!$C40&lt;&gt;"",COUNTA(Administrations!$N40:$U40)&gt;0),Administrations!$C40&amp;"","")</f>
        <v/>
      </c>
      <c r="C256" s="20" t="str">
        <f t="shared" si="54"/>
        <v/>
      </c>
      <c r="D256" s="20" t="str">
        <f>IF(B256="","",Administrations!$A40&amp;"")</f>
        <v/>
      </c>
      <c r="E256" s="20" t="str">
        <f>IF(B256="","",Administrations!$B40&amp;"")</f>
        <v/>
      </c>
      <c r="F256" s="20" t="str">
        <f t="shared" si="42"/>
        <v/>
      </c>
      <c r="G256" s="20" t="str">
        <f>IF(B256="","",Administrations!$D40&amp;"")</f>
        <v/>
      </c>
      <c r="H256" s="20" t="str">
        <f>IF(B256="","",Administrations!$N40&amp;"")</f>
        <v/>
      </c>
      <c r="I256" s="20" t="str">
        <f>IF(B256="","",Administrations!$Q40&amp;"")</f>
        <v/>
      </c>
      <c r="J256" s="20" t="str">
        <f>IF(B256="","",Administrations!$W40&amp;"")</f>
        <v/>
      </c>
      <c r="K256" s="20">
        <f>IF(B256="",0,Administrations!$X40)</f>
        <v>0</v>
      </c>
      <c r="L256" s="20">
        <f>IF(B256="",0,Administrations!$Y40)</f>
        <v>0</v>
      </c>
      <c r="M256" s="20" t="str">
        <f>IF(B256="","",Administrations!$AB40)</f>
        <v/>
      </c>
      <c r="N256" s="20" t="str">
        <f>IF(B256="","",Administrations!$AC40)</f>
        <v/>
      </c>
      <c r="O256" s="27" t="str">
        <f>IF(B256="","",Administrations!$Z40)</f>
        <v/>
      </c>
      <c r="P256" s="27" t="str">
        <f>IF(B256="","",Administrations!$AA40)</f>
        <v/>
      </c>
      <c r="Q256" s="20" t="str">
        <f t="shared" si="43"/>
        <v/>
      </c>
      <c r="R256" s="20" t="str">
        <f>IF(A256="","",IF(J256&lt;&gt;"",J256,IF(H256="TIMESTAMP",DAY(INT(M256/1440))&amp;" "&amp;INDEX(nLIST_Months,MONTH(INT(M256/1440)))&amp;" "&amp;YEAR(INT(M256/1440))&amp;" "&amp;RIGHT("0"&amp;INT(MOD(M256,1440)/60),2)&amp;":"&amp;RIGHT("0"&amp;MOD(M256,60),2)&amp;IF(L256=1," (UTC"&amp;I256&amp;")"," (offset unknown)"),IF(H256="DATE",DAY(O256)&amp;" "&amp;INDEX(nLIST_Months,MONTH(O256))&amp;" "&amp;YEAR(O256),IF(H256="MONTH",INDEX(nLIST_Months,MONTH(O256))&amp;" "&amp;YEAR(O256)&amp;" ("&amp;DAY(O256)&amp;" "&amp;INDEX(nLIST_Months,MONTH(O256))&amp;" "&amp;YEAR(O256)&amp;" to "&amp;DAY(P256)&amp;" "&amp;INDEX(nLIST_Months,MONTH(P256))&amp;" "&amp;YEAR(P256)&amp;")",IF(H256="YEAR",YEAR(O256)&amp;" (1 January to 31 December)",DAY(O256)&amp;" "&amp;INDEX(nLIST_Months,MONTH(O256))&amp;" "&amp;YEAR(O256)&amp;" to "&amp;DAY(P256)&amp;" "&amp;INDEX(nLIST_Months,MONTH(P256))&amp;" "&amp;YEAR(P256)&amp;IF(H256="LAB"," (laboratory-defined)","")))))))</f>
        <v/>
      </c>
      <c r="S256" s="20" t="str">
        <f>IF(B256="","",Administrations!$M40&amp;"")</f>
        <v/>
      </c>
      <c r="T256" s="20" t="str">
        <f>IF(B256="","",Administrations!$V40&amp;"")</f>
        <v/>
      </c>
      <c r="U256" s="20" t="str">
        <f>IF(B256="","","Administrations row "&amp;ROW(Administrations!$A40)&amp;", Administration")</f>
        <v/>
      </c>
      <c r="V256" s="20">
        <f>IF(A256="",0,COUNTIF(nTP_Key,A256))</f>
        <v>0</v>
      </c>
      <c r="W256" s="20">
        <f t="shared" si="44"/>
        <v>0</v>
      </c>
      <c r="X256" s="20">
        <f t="shared" si="45"/>
        <v>0</v>
      </c>
      <c r="Y256" s="20">
        <f t="shared" si="46"/>
        <v>0</v>
      </c>
      <c r="Z256" s="20">
        <f t="shared" si="47"/>
        <v>0</v>
      </c>
      <c r="AA256" s="20">
        <f t="shared" si="48"/>
        <v>252</v>
      </c>
      <c r="AB256" s="20" t="str">
        <f>IF(B256="","",Administrations!$E40&amp;"")</f>
        <v/>
      </c>
      <c r="AC256" s="20" t="str">
        <f>IF(B256="","",IFERROR(INDEX(nEXP_Role,MATCH(Administrations!$A40&amp;"|"&amp;Administrations!$B40&amp;"|"&amp;Administrations!$D40,nEXP_Key,0))&amp;"",""))</f>
        <v/>
      </c>
      <c r="AD256" s="20" t="str">
        <f>IF(B256="","",Administrations!$E40&amp;"")</f>
        <v/>
      </c>
      <c r="AE256" s="20">
        <f t="shared" si="49"/>
        <v>0</v>
      </c>
      <c r="AF256" s="20" t="str">
        <f t="shared" si="50"/>
        <v/>
      </c>
      <c r="AG256" s="20">
        <f t="shared" si="51"/>
        <v>0</v>
      </c>
      <c r="AH256" s="20" t="str">
        <f>""</f>
        <v/>
      </c>
    </row>
    <row r="257" spans="1:34" x14ac:dyDescent="0.2">
      <c r="A257" s="20" t="str">
        <f t="shared" si="41"/>
        <v/>
      </c>
      <c r="B257" s="20" t="str">
        <f>IF(AND(Administrations!$C41&lt;&gt;"",COUNTA(Administrations!$N41:$U41)&gt;0),Administrations!$C41&amp;"","")</f>
        <v/>
      </c>
      <c r="C257" s="20" t="str">
        <f t="shared" si="54"/>
        <v/>
      </c>
      <c r="D257" s="20" t="str">
        <f>IF(B257="","",Administrations!$A41&amp;"")</f>
        <v/>
      </c>
      <c r="E257" s="20" t="str">
        <f>IF(B257="","",Administrations!$B41&amp;"")</f>
        <v/>
      </c>
      <c r="F257" s="20" t="str">
        <f t="shared" si="42"/>
        <v/>
      </c>
      <c r="G257" s="20" t="str">
        <f>IF(B257="","",Administrations!$D41&amp;"")</f>
        <v/>
      </c>
      <c r="H257" s="20" t="str">
        <f>IF(B257="","",Administrations!$N41&amp;"")</f>
        <v/>
      </c>
      <c r="I257" s="20" t="str">
        <f>IF(B257="","",Administrations!$Q41&amp;"")</f>
        <v/>
      </c>
      <c r="J257" s="20" t="str">
        <f>IF(B257="","",Administrations!$W41&amp;"")</f>
        <v/>
      </c>
      <c r="K257" s="20">
        <f>IF(B257="",0,Administrations!$X41)</f>
        <v>0</v>
      </c>
      <c r="L257" s="20">
        <f>IF(B257="",0,Administrations!$Y41)</f>
        <v>0</v>
      </c>
      <c r="M257" s="20" t="str">
        <f>IF(B257="","",Administrations!$AB41)</f>
        <v/>
      </c>
      <c r="N257" s="20" t="str">
        <f>IF(B257="","",Administrations!$AC41)</f>
        <v/>
      </c>
      <c r="O257" s="27" t="str">
        <f>IF(B257="","",Administrations!$Z41)</f>
        <v/>
      </c>
      <c r="P257" s="27" t="str">
        <f>IF(B257="","",Administrations!$AA41)</f>
        <v/>
      </c>
      <c r="Q257" s="20" t="str">
        <f t="shared" si="43"/>
        <v/>
      </c>
      <c r="R257" s="20" t="str">
        <f>IF(A257="","",IF(J257&lt;&gt;"",J257,IF(H257="TIMESTAMP",DAY(INT(M257/1440))&amp;" "&amp;INDEX(nLIST_Months,MONTH(INT(M257/1440)))&amp;" "&amp;YEAR(INT(M257/1440))&amp;" "&amp;RIGHT("0"&amp;INT(MOD(M257,1440)/60),2)&amp;":"&amp;RIGHT("0"&amp;MOD(M257,60),2)&amp;IF(L257=1," (UTC"&amp;I257&amp;")"," (offset unknown)"),IF(H257="DATE",DAY(O257)&amp;" "&amp;INDEX(nLIST_Months,MONTH(O257))&amp;" "&amp;YEAR(O257),IF(H257="MONTH",INDEX(nLIST_Months,MONTH(O257))&amp;" "&amp;YEAR(O257)&amp;" ("&amp;DAY(O257)&amp;" "&amp;INDEX(nLIST_Months,MONTH(O257))&amp;" "&amp;YEAR(O257)&amp;" to "&amp;DAY(P257)&amp;" "&amp;INDEX(nLIST_Months,MONTH(P257))&amp;" "&amp;YEAR(P257)&amp;")",IF(H257="YEAR",YEAR(O257)&amp;" (1 January to 31 December)",DAY(O257)&amp;" "&amp;INDEX(nLIST_Months,MONTH(O257))&amp;" "&amp;YEAR(O257)&amp;" to "&amp;DAY(P257)&amp;" "&amp;INDEX(nLIST_Months,MONTH(P257))&amp;" "&amp;YEAR(P257)&amp;IF(H257="LAB"," (laboratory-defined)","")))))))</f>
        <v/>
      </c>
      <c r="S257" s="20" t="str">
        <f>IF(B257="","",Administrations!$M41&amp;"")</f>
        <v/>
      </c>
      <c r="T257" s="20" t="str">
        <f>IF(B257="","",Administrations!$V41&amp;"")</f>
        <v/>
      </c>
      <c r="U257" s="20" t="str">
        <f>IF(B257="","","Administrations row "&amp;ROW(Administrations!$A41)&amp;", Administration")</f>
        <v/>
      </c>
      <c r="V257" s="20">
        <f>IF(A257="",0,COUNTIF(nTP_Key,A257))</f>
        <v>0</v>
      </c>
      <c r="W257" s="20">
        <f t="shared" si="44"/>
        <v>0</v>
      </c>
      <c r="X257" s="20">
        <f t="shared" si="45"/>
        <v>0</v>
      </c>
      <c r="Y257" s="20">
        <f t="shared" si="46"/>
        <v>0</v>
      </c>
      <c r="Z257" s="20">
        <f t="shared" si="47"/>
        <v>0</v>
      </c>
      <c r="AA257" s="20">
        <f t="shared" si="48"/>
        <v>253</v>
      </c>
      <c r="AB257" s="20" t="str">
        <f>IF(B257="","",Administrations!$E41&amp;"")</f>
        <v/>
      </c>
      <c r="AC257" s="20" t="str">
        <f>IF(B257="","",IFERROR(INDEX(nEXP_Role,MATCH(Administrations!$A41&amp;"|"&amp;Administrations!$B41&amp;"|"&amp;Administrations!$D41,nEXP_Key,0))&amp;"",""))</f>
        <v/>
      </c>
      <c r="AD257" s="20" t="str">
        <f>IF(B257="","",Administrations!$E41&amp;"")</f>
        <v/>
      </c>
      <c r="AE257" s="20">
        <f t="shared" si="49"/>
        <v>0</v>
      </c>
      <c r="AF257" s="20" t="str">
        <f t="shared" si="50"/>
        <v/>
      </c>
      <c r="AG257" s="20">
        <f t="shared" si="51"/>
        <v>0</v>
      </c>
      <c r="AH257" s="20" t="str">
        <f>""</f>
        <v/>
      </c>
    </row>
    <row r="258" spans="1:34" x14ac:dyDescent="0.2">
      <c r="A258" s="20" t="str">
        <f t="shared" si="41"/>
        <v/>
      </c>
      <c r="B258" s="20" t="str">
        <f>IF(AND(Administrations!$C42&lt;&gt;"",COUNTA(Administrations!$N42:$U42)&gt;0),Administrations!$C42&amp;"","")</f>
        <v/>
      </c>
      <c r="C258" s="20" t="str">
        <f t="shared" si="54"/>
        <v/>
      </c>
      <c r="D258" s="20" t="str">
        <f>IF(B258="","",Administrations!$A42&amp;"")</f>
        <v/>
      </c>
      <c r="E258" s="20" t="str">
        <f>IF(B258="","",Administrations!$B42&amp;"")</f>
        <v/>
      </c>
      <c r="F258" s="20" t="str">
        <f t="shared" si="42"/>
        <v/>
      </c>
      <c r="G258" s="20" t="str">
        <f>IF(B258="","",Administrations!$D42&amp;"")</f>
        <v/>
      </c>
      <c r="H258" s="20" t="str">
        <f>IF(B258="","",Administrations!$N42&amp;"")</f>
        <v/>
      </c>
      <c r="I258" s="20" t="str">
        <f>IF(B258="","",Administrations!$Q42&amp;"")</f>
        <v/>
      </c>
      <c r="J258" s="20" t="str">
        <f>IF(B258="","",Administrations!$W42&amp;"")</f>
        <v/>
      </c>
      <c r="K258" s="20">
        <f>IF(B258="",0,Administrations!$X42)</f>
        <v>0</v>
      </c>
      <c r="L258" s="20">
        <f>IF(B258="",0,Administrations!$Y42)</f>
        <v>0</v>
      </c>
      <c r="M258" s="20" t="str">
        <f>IF(B258="","",Administrations!$AB42)</f>
        <v/>
      </c>
      <c r="N258" s="20" t="str">
        <f>IF(B258="","",Administrations!$AC42)</f>
        <v/>
      </c>
      <c r="O258" s="27" t="str">
        <f>IF(B258="","",Administrations!$Z42)</f>
        <v/>
      </c>
      <c r="P258" s="27" t="str">
        <f>IF(B258="","",Administrations!$AA42)</f>
        <v/>
      </c>
      <c r="Q258" s="20" t="str">
        <f t="shared" si="43"/>
        <v/>
      </c>
      <c r="R258" s="20" t="str">
        <f>IF(A258="","",IF(J258&lt;&gt;"",J258,IF(H258="TIMESTAMP",DAY(INT(M258/1440))&amp;" "&amp;INDEX(nLIST_Months,MONTH(INT(M258/1440)))&amp;" "&amp;YEAR(INT(M258/1440))&amp;" "&amp;RIGHT("0"&amp;INT(MOD(M258,1440)/60),2)&amp;":"&amp;RIGHT("0"&amp;MOD(M258,60),2)&amp;IF(L258=1," (UTC"&amp;I258&amp;")"," (offset unknown)"),IF(H258="DATE",DAY(O258)&amp;" "&amp;INDEX(nLIST_Months,MONTH(O258))&amp;" "&amp;YEAR(O258),IF(H258="MONTH",INDEX(nLIST_Months,MONTH(O258))&amp;" "&amp;YEAR(O258)&amp;" ("&amp;DAY(O258)&amp;" "&amp;INDEX(nLIST_Months,MONTH(O258))&amp;" "&amp;YEAR(O258)&amp;" to "&amp;DAY(P258)&amp;" "&amp;INDEX(nLIST_Months,MONTH(P258))&amp;" "&amp;YEAR(P258)&amp;")",IF(H258="YEAR",YEAR(O258)&amp;" (1 January to 31 December)",DAY(O258)&amp;" "&amp;INDEX(nLIST_Months,MONTH(O258))&amp;" "&amp;YEAR(O258)&amp;" to "&amp;DAY(P258)&amp;" "&amp;INDEX(nLIST_Months,MONTH(P258))&amp;" "&amp;YEAR(P258)&amp;IF(H258="LAB"," (laboratory-defined)","")))))))</f>
        <v/>
      </c>
      <c r="S258" s="20" t="str">
        <f>IF(B258="","",Administrations!$M42&amp;"")</f>
        <v/>
      </c>
      <c r="T258" s="20" t="str">
        <f>IF(B258="","",Administrations!$V42&amp;"")</f>
        <v/>
      </c>
      <c r="U258" s="20" t="str">
        <f>IF(B258="","","Administrations row "&amp;ROW(Administrations!$A42)&amp;", Administration")</f>
        <v/>
      </c>
      <c r="V258" s="20">
        <f>IF(A258="",0,COUNTIF(nTP_Key,A258))</f>
        <v>0</v>
      </c>
      <c r="W258" s="20">
        <f t="shared" si="44"/>
        <v>0</v>
      </c>
      <c r="X258" s="20">
        <f t="shared" si="45"/>
        <v>0</v>
      </c>
      <c r="Y258" s="20">
        <f t="shared" si="46"/>
        <v>0</v>
      </c>
      <c r="Z258" s="20">
        <f t="shared" si="47"/>
        <v>0</v>
      </c>
      <c r="AA258" s="20">
        <f t="shared" si="48"/>
        <v>254</v>
      </c>
      <c r="AB258" s="20" t="str">
        <f>IF(B258="","",Administrations!$E42&amp;"")</f>
        <v/>
      </c>
      <c r="AC258" s="20" t="str">
        <f>IF(B258="","",IFERROR(INDEX(nEXP_Role,MATCH(Administrations!$A42&amp;"|"&amp;Administrations!$B42&amp;"|"&amp;Administrations!$D42,nEXP_Key,0))&amp;"",""))</f>
        <v/>
      </c>
      <c r="AD258" s="20" t="str">
        <f>IF(B258="","",Administrations!$E42&amp;"")</f>
        <v/>
      </c>
      <c r="AE258" s="20">
        <f t="shared" si="49"/>
        <v>0</v>
      </c>
      <c r="AF258" s="20" t="str">
        <f t="shared" si="50"/>
        <v/>
      </c>
      <c r="AG258" s="20">
        <f t="shared" si="51"/>
        <v>0</v>
      </c>
      <c r="AH258" s="20" t="str">
        <f>""</f>
        <v/>
      </c>
    </row>
    <row r="259" spans="1:34" x14ac:dyDescent="0.2">
      <c r="A259" s="20" t="str">
        <f t="shared" si="41"/>
        <v/>
      </c>
      <c r="B259" s="20" t="str">
        <f>IF(AND(Administrations!$C43&lt;&gt;"",COUNTA(Administrations!$N43:$U43)&gt;0),Administrations!$C43&amp;"","")</f>
        <v/>
      </c>
      <c r="C259" s="20" t="str">
        <f t="shared" si="54"/>
        <v/>
      </c>
      <c r="D259" s="20" t="str">
        <f>IF(B259="","",Administrations!$A43&amp;"")</f>
        <v/>
      </c>
      <c r="E259" s="20" t="str">
        <f>IF(B259="","",Administrations!$B43&amp;"")</f>
        <v/>
      </c>
      <c r="F259" s="20" t="str">
        <f t="shared" si="42"/>
        <v/>
      </c>
      <c r="G259" s="20" t="str">
        <f>IF(B259="","",Administrations!$D43&amp;"")</f>
        <v/>
      </c>
      <c r="H259" s="20" t="str">
        <f>IF(B259="","",Administrations!$N43&amp;"")</f>
        <v/>
      </c>
      <c r="I259" s="20" t="str">
        <f>IF(B259="","",Administrations!$Q43&amp;"")</f>
        <v/>
      </c>
      <c r="J259" s="20" t="str">
        <f>IF(B259="","",Administrations!$W43&amp;"")</f>
        <v/>
      </c>
      <c r="K259" s="20">
        <f>IF(B259="",0,Administrations!$X43)</f>
        <v>0</v>
      </c>
      <c r="L259" s="20">
        <f>IF(B259="",0,Administrations!$Y43)</f>
        <v>0</v>
      </c>
      <c r="M259" s="20" t="str">
        <f>IF(B259="","",Administrations!$AB43)</f>
        <v/>
      </c>
      <c r="N259" s="20" t="str">
        <f>IF(B259="","",Administrations!$AC43)</f>
        <v/>
      </c>
      <c r="O259" s="27" t="str">
        <f>IF(B259="","",Administrations!$Z43)</f>
        <v/>
      </c>
      <c r="P259" s="27" t="str">
        <f>IF(B259="","",Administrations!$AA43)</f>
        <v/>
      </c>
      <c r="Q259" s="20" t="str">
        <f t="shared" si="43"/>
        <v/>
      </c>
      <c r="R259" s="20" t="str">
        <f>IF(A259="","",IF(J259&lt;&gt;"",J259,IF(H259="TIMESTAMP",DAY(INT(M259/1440))&amp;" "&amp;INDEX(nLIST_Months,MONTH(INT(M259/1440)))&amp;" "&amp;YEAR(INT(M259/1440))&amp;" "&amp;RIGHT("0"&amp;INT(MOD(M259,1440)/60),2)&amp;":"&amp;RIGHT("0"&amp;MOD(M259,60),2)&amp;IF(L259=1," (UTC"&amp;I259&amp;")"," (offset unknown)"),IF(H259="DATE",DAY(O259)&amp;" "&amp;INDEX(nLIST_Months,MONTH(O259))&amp;" "&amp;YEAR(O259),IF(H259="MONTH",INDEX(nLIST_Months,MONTH(O259))&amp;" "&amp;YEAR(O259)&amp;" ("&amp;DAY(O259)&amp;" "&amp;INDEX(nLIST_Months,MONTH(O259))&amp;" "&amp;YEAR(O259)&amp;" to "&amp;DAY(P259)&amp;" "&amp;INDEX(nLIST_Months,MONTH(P259))&amp;" "&amp;YEAR(P259)&amp;")",IF(H259="YEAR",YEAR(O259)&amp;" (1 January to 31 December)",DAY(O259)&amp;" "&amp;INDEX(nLIST_Months,MONTH(O259))&amp;" "&amp;YEAR(O259)&amp;" to "&amp;DAY(P259)&amp;" "&amp;INDEX(nLIST_Months,MONTH(P259))&amp;" "&amp;YEAR(P259)&amp;IF(H259="LAB"," (laboratory-defined)","")))))))</f>
        <v/>
      </c>
      <c r="S259" s="20" t="str">
        <f>IF(B259="","",Administrations!$M43&amp;"")</f>
        <v/>
      </c>
      <c r="T259" s="20" t="str">
        <f>IF(B259="","",Administrations!$V43&amp;"")</f>
        <v/>
      </c>
      <c r="U259" s="20" t="str">
        <f>IF(B259="","","Administrations row "&amp;ROW(Administrations!$A43)&amp;", Administration")</f>
        <v/>
      </c>
      <c r="V259" s="20">
        <f>IF(A259="",0,COUNTIF(nTP_Key,A259))</f>
        <v>0</v>
      </c>
      <c r="W259" s="20">
        <f t="shared" si="44"/>
        <v>0</v>
      </c>
      <c r="X259" s="20">
        <f t="shared" si="45"/>
        <v>0</v>
      </c>
      <c r="Y259" s="20">
        <f t="shared" si="46"/>
        <v>0</v>
      </c>
      <c r="Z259" s="20">
        <f t="shared" si="47"/>
        <v>0</v>
      </c>
      <c r="AA259" s="20">
        <f t="shared" si="48"/>
        <v>255</v>
      </c>
      <c r="AB259" s="20" t="str">
        <f>IF(B259="","",Administrations!$E43&amp;"")</f>
        <v/>
      </c>
      <c r="AC259" s="20" t="str">
        <f>IF(B259="","",IFERROR(INDEX(nEXP_Role,MATCH(Administrations!$A43&amp;"|"&amp;Administrations!$B43&amp;"|"&amp;Administrations!$D43,nEXP_Key,0))&amp;"",""))</f>
        <v/>
      </c>
      <c r="AD259" s="20" t="str">
        <f>IF(B259="","",Administrations!$E43&amp;"")</f>
        <v/>
      </c>
      <c r="AE259" s="20">
        <f t="shared" si="49"/>
        <v>0</v>
      </c>
      <c r="AF259" s="20" t="str">
        <f t="shared" si="50"/>
        <v/>
      </c>
      <c r="AG259" s="20">
        <f t="shared" si="51"/>
        <v>0</v>
      </c>
      <c r="AH259" s="20" t="str">
        <f>""</f>
        <v/>
      </c>
    </row>
    <row r="260" spans="1:34" x14ac:dyDescent="0.2">
      <c r="A260" s="20" t="str">
        <f t="shared" si="41"/>
        <v/>
      </c>
      <c r="B260" s="20" t="str">
        <f>IF(AND(Administrations!$C44&lt;&gt;"",COUNTA(Administrations!$N44:$U44)&gt;0),Administrations!$C44&amp;"","")</f>
        <v/>
      </c>
      <c r="C260" s="20" t="str">
        <f t="shared" si="54"/>
        <v/>
      </c>
      <c r="D260" s="20" t="str">
        <f>IF(B260="","",Administrations!$A44&amp;"")</f>
        <v/>
      </c>
      <c r="E260" s="20" t="str">
        <f>IF(B260="","",Administrations!$B44&amp;"")</f>
        <v/>
      </c>
      <c r="F260" s="20" t="str">
        <f t="shared" si="42"/>
        <v/>
      </c>
      <c r="G260" s="20" t="str">
        <f>IF(B260="","",Administrations!$D44&amp;"")</f>
        <v/>
      </c>
      <c r="H260" s="20" t="str">
        <f>IF(B260="","",Administrations!$N44&amp;"")</f>
        <v/>
      </c>
      <c r="I260" s="20" t="str">
        <f>IF(B260="","",Administrations!$Q44&amp;"")</f>
        <v/>
      </c>
      <c r="J260" s="20" t="str">
        <f>IF(B260="","",Administrations!$W44&amp;"")</f>
        <v/>
      </c>
      <c r="K260" s="20">
        <f>IF(B260="",0,Administrations!$X44)</f>
        <v>0</v>
      </c>
      <c r="L260" s="20">
        <f>IF(B260="",0,Administrations!$Y44)</f>
        <v>0</v>
      </c>
      <c r="M260" s="20" t="str">
        <f>IF(B260="","",Administrations!$AB44)</f>
        <v/>
      </c>
      <c r="N260" s="20" t="str">
        <f>IF(B260="","",Administrations!$AC44)</f>
        <v/>
      </c>
      <c r="O260" s="27" t="str">
        <f>IF(B260="","",Administrations!$Z44)</f>
        <v/>
      </c>
      <c r="P260" s="27" t="str">
        <f>IF(B260="","",Administrations!$AA44)</f>
        <v/>
      </c>
      <c r="Q260" s="20" t="str">
        <f t="shared" si="43"/>
        <v/>
      </c>
      <c r="R260" s="20" t="str">
        <f>IF(A260="","",IF(J260&lt;&gt;"",J260,IF(H260="TIMESTAMP",DAY(INT(M260/1440))&amp;" "&amp;INDEX(nLIST_Months,MONTH(INT(M260/1440)))&amp;" "&amp;YEAR(INT(M260/1440))&amp;" "&amp;RIGHT("0"&amp;INT(MOD(M260,1440)/60),2)&amp;":"&amp;RIGHT("0"&amp;MOD(M260,60),2)&amp;IF(L260=1," (UTC"&amp;I260&amp;")"," (offset unknown)"),IF(H260="DATE",DAY(O260)&amp;" "&amp;INDEX(nLIST_Months,MONTH(O260))&amp;" "&amp;YEAR(O260),IF(H260="MONTH",INDEX(nLIST_Months,MONTH(O260))&amp;" "&amp;YEAR(O260)&amp;" ("&amp;DAY(O260)&amp;" "&amp;INDEX(nLIST_Months,MONTH(O260))&amp;" "&amp;YEAR(O260)&amp;" to "&amp;DAY(P260)&amp;" "&amp;INDEX(nLIST_Months,MONTH(P260))&amp;" "&amp;YEAR(P260)&amp;")",IF(H260="YEAR",YEAR(O260)&amp;" (1 January to 31 December)",DAY(O260)&amp;" "&amp;INDEX(nLIST_Months,MONTH(O260))&amp;" "&amp;YEAR(O260)&amp;" to "&amp;DAY(P260)&amp;" "&amp;INDEX(nLIST_Months,MONTH(P260))&amp;" "&amp;YEAR(P260)&amp;IF(H260="LAB"," (laboratory-defined)","")))))))</f>
        <v/>
      </c>
      <c r="S260" s="20" t="str">
        <f>IF(B260="","",Administrations!$M44&amp;"")</f>
        <v/>
      </c>
      <c r="T260" s="20" t="str">
        <f>IF(B260="","",Administrations!$V44&amp;"")</f>
        <v/>
      </c>
      <c r="U260" s="20" t="str">
        <f>IF(B260="","","Administrations row "&amp;ROW(Administrations!$A44)&amp;", Administration")</f>
        <v/>
      </c>
      <c r="V260" s="20">
        <f>IF(A260="",0,COUNTIF(nTP_Key,A260))</f>
        <v>0</v>
      </c>
      <c r="W260" s="20">
        <f t="shared" si="44"/>
        <v>0</v>
      </c>
      <c r="X260" s="20">
        <f t="shared" si="45"/>
        <v>0</v>
      </c>
      <c r="Y260" s="20">
        <f t="shared" si="46"/>
        <v>0</v>
      </c>
      <c r="Z260" s="20">
        <f t="shared" si="47"/>
        <v>0</v>
      </c>
      <c r="AA260" s="20">
        <f t="shared" si="48"/>
        <v>256</v>
      </c>
      <c r="AB260" s="20" t="str">
        <f>IF(B260="","",Administrations!$E44&amp;"")</f>
        <v/>
      </c>
      <c r="AC260" s="20" t="str">
        <f>IF(B260="","",IFERROR(INDEX(nEXP_Role,MATCH(Administrations!$A44&amp;"|"&amp;Administrations!$B44&amp;"|"&amp;Administrations!$D44,nEXP_Key,0))&amp;"",""))</f>
        <v/>
      </c>
      <c r="AD260" s="20" t="str">
        <f>IF(B260="","",Administrations!$E44&amp;"")</f>
        <v/>
      </c>
      <c r="AE260" s="20">
        <f t="shared" si="49"/>
        <v>0</v>
      </c>
      <c r="AF260" s="20" t="str">
        <f t="shared" si="50"/>
        <v/>
      </c>
      <c r="AG260" s="20">
        <f t="shared" si="51"/>
        <v>0</v>
      </c>
      <c r="AH260" s="20" t="str">
        <f>""</f>
        <v/>
      </c>
    </row>
    <row r="261" spans="1:34" x14ac:dyDescent="0.2">
      <c r="A261" s="20" t="str">
        <f t="shared" ref="A261:A324" si="55">IF(B261="","",F261&amp;"|"&amp;B261)</f>
        <v/>
      </c>
      <c r="B261" s="20" t="str">
        <f>IF(AND(Administrations!$C45&lt;&gt;"",COUNTA(Administrations!$N45:$U45)&gt;0),Administrations!$C45&amp;"","")</f>
        <v/>
      </c>
      <c r="C261" s="20" t="str">
        <f t="shared" si="54"/>
        <v/>
      </c>
      <c r="D261" s="20" t="str">
        <f>IF(B261="","",Administrations!$A45&amp;"")</f>
        <v/>
      </c>
      <c r="E261" s="20" t="str">
        <f>IF(B261="","",Administrations!$B45&amp;"")</f>
        <v/>
      </c>
      <c r="F261" s="20" t="str">
        <f t="shared" ref="F261:F324" si="56">IF(B261="","",D261&amp;"|"&amp;E261)</f>
        <v/>
      </c>
      <c r="G261" s="20" t="str">
        <f>IF(B261="","",Administrations!$D45&amp;"")</f>
        <v/>
      </c>
      <c r="H261" s="20" t="str">
        <f>IF(B261="","",Administrations!$N45&amp;"")</f>
        <v/>
      </c>
      <c r="I261" s="20" t="str">
        <f>IF(B261="","",Administrations!$Q45&amp;"")</f>
        <v/>
      </c>
      <c r="J261" s="20" t="str">
        <f>IF(B261="","",Administrations!$W45&amp;"")</f>
        <v/>
      </c>
      <c r="K261" s="20">
        <f>IF(B261="",0,Administrations!$X45)</f>
        <v>0</v>
      </c>
      <c r="L261" s="20">
        <f>IF(B261="",0,Administrations!$Y45)</f>
        <v>0</v>
      </c>
      <c r="M261" s="20" t="str">
        <f>IF(B261="","",Administrations!$AB45)</f>
        <v/>
      </c>
      <c r="N261" s="20" t="str">
        <f>IF(B261="","",Administrations!$AC45)</f>
        <v/>
      </c>
      <c r="O261" s="27" t="str">
        <f>IF(B261="","",Administrations!$Z45)</f>
        <v/>
      </c>
      <c r="P261" s="27" t="str">
        <f>IF(B261="","",Administrations!$AA45)</f>
        <v/>
      </c>
      <c r="Q261" s="20" t="str">
        <f t="shared" ref="Q261:Q324" si="57">IF(OR(A261="",J261&lt;&gt;""),"",IF(H261="TIMESTAMP",YEAR(INT(M261/1440))&amp;"-"&amp;RIGHT("0"&amp;MONTH(INT(M261/1440)),2)&amp;"-"&amp;RIGHT("0"&amp;DAY(INT(M261/1440)),2)&amp;"T"&amp;RIGHT("0"&amp;INT(MOD(M261,1440)/60),2)&amp;":"&amp;RIGHT("0"&amp;MOD(M261,60),2)&amp;IF(L261=1,I261,""),IF(H261="DATE",YEAR(O261)&amp;"-"&amp;RIGHT("0"&amp;MONTH(O261),2)&amp;"-"&amp;RIGHT("0"&amp;DAY(O261),2),IF(H261="MONTH",YEAR(O261)&amp;"-"&amp;RIGHT("0"&amp;MONTH(O261),2),IF(H261="YEAR",YEAR(O261)&amp;"",YEAR(O261)&amp;"-"&amp;RIGHT("0"&amp;MONTH(O261),2)&amp;"-"&amp;RIGHT("0"&amp;DAY(O261),2)&amp;"/"&amp;YEAR(P261)&amp;"-"&amp;RIGHT("0"&amp;MONTH(P261),2)&amp;"-"&amp;RIGHT("0"&amp;DAY(P261),2))))))</f>
        <v/>
      </c>
      <c r="R261" s="20" t="str">
        <f>IF(A261="","",IF(J261&lt;&gt;"",J261,IF(H261="TIMESTAMP",DAY(INT(M261/1440))&amp;" "&amp;INDEX(nLIST_Months,MONTH(INT(M261/1440)))&amp;" "&amp;YEAR(INT(M261/1440))&amp;" "&amp;RIGHT("0"&amp;INT(MOD(M261,1440)/60),2)&amp;":"&amp;RIGHT("0"&amp;MOD(M261,60),2)&amp;IF(L261=1," (UTC"&amp;I261&amp;")"," (offset unknown)"),IF(H261="DATE",DAY(O261)&amp;" "&amp;INDEX(nLIST_Months,MONTH(O261))&amp;" "&amp;YEAR(O261),IF(H261="MONTH",INDEX(nLIST_Months,MONTH(O261))&amp;" "&amp;YEAR(O261)&amp;" ("&amp;DAY(O261)&amp;" "&amp;INDEX(nLIST_Months,MONTH(O261))&amp;" "&amp;YEAR(O261)&amp;" to "&amp;DAY(P261)&amp;" "&amp;INDEX(nLIST_Months,MONTH(P261))&amp;" "&amp;YEAR(P261)&amp;")",IF(H261="YEAR",YEAR(O261)&amp;" (1 January to 31 December)",DAY(O261)&amp;" "&amp;INDEX(nLIST_Months,MONTH(O261))&amp;" "&amp;YEAR(O261)&amp;" to "&amp;DAY(P261)&amp;" "&amp;INDEX(nLIST_Months,MONTH(P261))&amp;" "&amp;YEAR(P261)&amp;IF(H261="LAB"," (laboratory-defined)","")))))))</f>
        <v/>
      </c>
      <c r="S261" s="20" t="str">
        <f>IF(B261="","",Administrations!$M45&amp;"")</f>
        <v/>
      </c>
      <c r="T261" s="20" t="str">
        <f>IF(B261="","",Administrations!$V45&amp;"")</f>
        <v/>
      </c>
      <c r="U261" s="20" t="str">
        <f>IF(B261="","","Administrations row "&amp;ROW(Administrations!$A45)&amp;", Administration")</f>
        <v/>
      </c>
      <c r="V261" s="20">
        <f>IF(A261="",0,COUNTIF(nTP_Key,A261))</f>
        <v>0</v>
      </c>
      <c r="W261" s="20">
        <f t="shared" ref="W261:W324" si="58">IF(M261="",0,M261)</f>
        <v>0</v>
      </c>
      <c r="X261" s="20">
        <f t="shared" ref="X261:X324" si="59">IF(N261="",0,N261)</f>
        <v>0</v>
      </c>
      <c r="Y261" s="20">
        <f t="shared" ref="Y261:Y324" si="60">IF(O261="",0,O261)</f>
        <v>0</v>
      </c>
      <c r="Z261" s="20">
        <f t="shared" ref="Z261:Z324" si="61">IF(P261="",0,P261)</f>
        <v>0</v>
      </c>
      <c r="AA261" s="20">
        <f t="shared" ref="AA261:AA324" si="62">ROW()-4</f>
        <v>257</v>
      </c>
      <c r="AB261" s="20" t="str">
        <f>IF(B261="","",Administrations!$E45&amp;"")</f>
        <v/>
      </c>
      <c r="AC261" s="20" t="str">
        <f>IF(B261="","",IFERROR(INDEX(nEXP_Role,MATCH(Administrations!$A45&amp;"|"&amp;Administrations!$B45&amp;"|"&amp;Administrations!$D45,nEXP_Key,0))&amp;"",""))</f>
        <v/>
      </c>
      <c r="AD261" s="20" t="str">
        <f>IF(B261="","",Administrations!$E45&amp;"")</f>
        <v/>
      </c>
      <c r="AE261" s="20">
        <f t="shared" ref="AE261:AE324" si="63">IF(AND(A261&lt;&gt;"",OR(C261="EXPOSURE_START",C261="EXPOSURE_RESTART",AND(C261="ADMINISTRATION",AB261&lt;&gt;"INFUSION_SEGMENT"))),1,0)</f>
        <v>0</v>
      </c>
      <c r="AF261" s="20" t="str">
        <f t="shared" ref="AF261:AF324" si="64">IF(AE261=1,F261&amp;"|"&amp;G261,"")</f>
        <v/>
      </c>
      <c r="AG261" s="20">
        <f t="shared" ref="AG261:AG324" si="65">IF(AND(A261&lt;&gt;"",J261="",OR(H261="TIMESTAMP",H261="DATE")),1,0)</f>
        <v>0</v>
      </c>
      <c r="AH261" s="20" t="str">
        <f>""</f>
        <v/>
      </c>
    </row>
    <row r="262" spans="1:34" x14ac:dyDescent="0.2">
      <c r="A262" s="20" t="str">
        <f t="shared" si="55"/>
        <v/>
      </c>
      <c r="B262" s="20" t="str">
        <f>IF(AND(Administrations!$C46&lt;&gt;"",COUNTA(Administrations!$N46:$U46)&gt;0),Administrations!$C46&amp;"","")</f>
        <v/>
      </c>
      <c r="C262" s="20" t="str">
        <f t="shared" si="54"/>
        <v/>
      </c>
      <c r="D262" s="20" t="str">
        <f>IF(B262="","",Administrations!$A46&amp;"")</f>
        <v/>
      </c>
      <c r="E262" s="20" t="str">
        <f>IF(B262="","",Administrations!$B46&amp;"")</f>
        <v/>
      </c>
      <c r="F262" s="20" t="str">
        <f t="shared" si="56"/>
        <v/>
      </c>
      <c r="G262" s="20" t="str">
        <f>IF(B262="","",Administrations!$D46&amp;"")</f>
        <v/>
      </c>
      <c r="H262" s="20" t="str">
        <f>IF(B262="","",Administrations!$N46&amp;"")</f>
        <v/>
      </c>
      <c r="I262" s="20" t="str">
        <f>IF(B262="","",Administrations!$Q46&amp;"")</f>
        <v/>
      </c>
      <c r="J262" s="20" t="str">
        <f>IF(B262="","",Administrations!$W46&amp;"")</f>
        <v/>
      </c>
      <c r="K262" s="20">
        <f>IF(B262="",0,Administrations!$X46)</f>
        <v>0</v>
      </c>
      <c r="L262" s="20">
        <f>IF(B262="",0,Administrations!$Y46)</f>
        <v>0</v>
      </c>
      <c r="M262" s="20" t="str">
        <f>IF(B262="","",Administrations!$AB46)</f>
        <v/>
      </c>
      <c r="N262" s="20" t="str">
        <f>IF(B262="","",Administrations!$AC46)</f>
        <v/>
      </c>
      <c r="O262" s="27" t="str">
        <f>IF(B262="","",Administrations!$Z46)</f>
        <v/>
      </c>
      <c r="P262" s="27" t="str">
        <f>IF(B262="","",Administrations!$AA46)</f>
        <v/>
      </c>
      <c r="Q262" s="20" t="str">
        <f t="shared" si="57"/>
        <v/>
      </c>
      <c r="R262" s="20" t="str">
        <f>IF(A262="","",IF(J262&lt;&gt;"",J262,IF(H262="TIMESTAMP",DAY(INT(M262/1440))&amp;" "&amp;INDEX(nLIST_Months,MONTH(INT(M262/1440)))&amp;" "&amp;YEAR(INT(M262/1440))&amp;" "&amp;RIGHT("0"&amp;INT(MOD(M262,1440)/60),2)&amp;":"&amp;RIGHT("0"&amp;MOD(M262,60),2)&amp;IF(L262=1," (UTC"&amp;I262&amp;")"," (offset unknown)"),IF(H262="DATE",DAY(O262)&amp;" "&amp;INDEX(nLIST_Months,MONTH(O262))&amp;" "&amp;YEAR(O262),IF(H262="MONTH",INDEX(nLIST_Months,MONTH(O262))&amp;" "&amp;YEAR(O262)&amp;" ("&amp;DAY(O262)&amp;" "&amp;INDEX(nLIST_Months,MONTH(O262))&amp;" "&amp;YEAR(O262)&amp;" to "&amp;DAY(P262)&amp;" "&amp;INDEX(nLIST_Months,MONTH(P262))&amp;" "&amp;YEAR(P262)&amp;")",IF(H262="YEAR",YEAR(O262)&amp;" (1 January to 31 December)",DAY(O262)&amp;" "&amp;INDEX(nLIST_Months,MONTH(O262))&amp;" "&amp;YEAR(O262)&amp;" to "&amp;DAY(P262)&amp;" "&amp;INDEX(nLIST_Months,MONTH(P262))&amp;" "&amp;YEAR(P262)&amp;IF(H262="LAB"," (laboratory-defined)","")))))))</f>
        <v/>
      </c>
      <c r="S262" s="20" t="str">
        <f>IF(B262="","",Administrations!$M46&amp;"")</f>
        <v/>
      </c>
      <c r="T262" s="20" t="str">
        <f>IF(B262="","",Administrations!$V46&amp;"")</f>
        <v/>
      </c>
      <c r="U262" s="20" t="str">
        <f>IF(B262="","","Administrations row "&amp;ROW(Administrations!$A46)&amp;", Administration")</f>
        <v/>
      </c>
      <c r="V262" s="20">
        <f>IF(A262="",0,COUNTIF(nTP_Key,A262))</f>
        <v>0</v>
      </c>
      <c r="W262" s="20">
        <f t="shared" si="58"/>
        <v>0</v>
      </c>
      <c r="X262" s="20">
        <f t="shared" si="59"/>
        <v>0</v>
      </c>
      <c r="Y262" s="20">
        <f t="shared" si="60"/>
        <v>0</v>
      </c>
      <c r="Z262" s="20">
        <f t="shared" si="61"/>
        <v>0</v>
      </c>
      <c r="AA262" s="20">
        <f t="shared" si="62"/>
        <v>258</v>
      </c>
      <c r="AB262" s="20" t="str">
        <f>IF(B262="","",Administrations!$E46&amp;"")</f>
        <v/>
      </c>
      <c r="AC262" s="20" t="str">
        <f>IF(B262="","",IFERROR(INDEX(nEXP_Role,MATCH(Administrations!$A46&amp;"|"&amp;Administrations!$B46&amp;"|"&amp;Administrations!$D46,nEXP_Key,0))&amp;"",""))</f>
        <v/>
      </c>
      <c r="AD262" s="20" t="str">
        <f>IF(B262="","",Administrations!$E46&amp;"")</f>
        <v/>
      </c>
      <c r="AE262" s="20">
        <f t="shared" si="63"/>
        <v>0</v>
      </c>
      <c r="AF262" s="20" t="str">
        <f t="shared" si="64"/>
        <v/>
      </c>
      <c r="AG262" s="20">
        <f t="shared" si="65"/>
        <v>0</v>
      </c>
      <c r="AH262" s="20" t="str">
        <f>""</f>
        <v/>
      </c>
    </row>
    <row r="263" spans="1:34" x14ac:dyDescent="0.2">
      <c r="A263" s="20" t="str">
        <f t="shared" si="55"/>
        <v/>
      </c>
      <c r="B263" s="20" t="str">
        <f>IF(AND(Administrations!$C47&lt;&gt;"",COUNTA(Administrations!$N47:$U47)&gt;0),Administrations!$C47&amp;"","")</f>
        <v/>
      </c>
      <c r="C263" s="20" t="str">
        <f t="shared" si="54"/>
        <v/>
      </c>
      <c r="D263" s="20" t="str">
        <f>IF(B263="","",Administrations!$A47&amp;"")</f>
        <v/>
      </c>
      <c r="E263" s="20" t="str">
        <f>IF(B263="","",Administrations!$B47&amp;"")</f>
        <v/>
      </c>
      <c r="F263" s="20" t="str">
        <f t="shared" si="56"/>
        <v/>
      </c>
      <c r="G263" s="20" t="str">
        <f>IF(B263="","",Administrations!$D47&amp;"")</f>
        <v/>
      </c>
      <c r="H263" s="20" t="str">
        <f>IF(B263="","",Administrations!$N47&amp;"")</f>
        <v/>
      </c>
      <c r="I263" s="20" t="str">
        <f>IF(B263="","",Administrations!$Q47&amp;"")</f>
        <v/>
      </c>
      <c r="J263" s="20" t="str">
        <f>IF(B263="","",Administrations!$W47&amp;"")</f>
        <v/>
      </c>
      <c r="K263" s="20">
        <f>IF(B263="",0,Administrations!$X47)</f>
        <v>0</v>
      </c>
      <c r="L263" s="20">
        <f>IF(B263="",0,Administrations!$Y47)</f>
        <v>0</v>
      </c>
      <c r="M263" s="20" t="str">
        <f>IF(B263="","",Administrations!$AB47)</f>
        <v/>
      </c>
      <c r="N263" s="20" t="str">
        <f>IF(B263="","",Administrations!$AC47)</f>
        <v/>
      </c>
      <c r="O263" s="27" t="str">
        <f>IF(B263="","",Administrations!$Z47)</f>
        <v/>
      </c>
      <c r="P263" s="27" t="str">
        <f>IF(B263="","",Administrations!$AA47)</f>
        <v/>
      </c>
      <c r="Q263" s="20" t="str">
        <f t="shared" si="57"/>
        <v/>
      </c>
      <c r="R263" s="20" t="str">
        <f>IF(A263="","",IF(J263&lt;&gt;"",J263,IF(H263="TIMESTAMP",DAY(INT(M263/1440))&amp;" "&amp;INDEX(nLIST_Months,MONTH(INT(M263/1440)))&amp;" "&amp;YEAR(INT(M263/1440))&amp;" "&amp;RIGHT("0"&amp;INT(MOD(M263,1440)/60),2)&amp;":"&amp;RIGHT("0"&amp;MOD(M263,60),2)&amp;IF(L263=1," (UTC"&amp;I263&amp;")"," (offset unknown)"),IF(H263="DATE",DAY(O263)&amp;" "&amp;INDEX(nLIST_Months,MONTH(O263))&amp;" "&amp;YEAR(O263),IF(H263="MONTH",INDEX(nLIST_Months,MONTH(O263))&amp;" "&amp;YEAR(O263)&amp;" ("&amp;DAY(O263)&amp;" "&amp;INDEX(nLIST_Months,MONTH(O263))&amp;" "&amp;YEAR(O263)&amp;" to "&amp;DAY(P263)&amp;" "&amp;INDEX(nLIST_Months,MONTH(P263))&amp;" "&amp;YEAR(P263)&amp;")",IF(H263="YEAR",YEAR(O263)&amp;" (1 January to 31 December)",DAY(O263)&amp;" "&amp;INDEX(nLIST_Months,MONTH(O263))&amp;" "&amp;YEAR(O263)&amp;" to "&amp;DAY(P263)&amp;" "&amp;INDEX(nLIST_Months,MONTH(P263))&amp;" "&amp;YEAR(P263)&amp;IF(H263="LAB"," (laboratory-defined)","")))))))</f>
        <v/>
      </c>
      <c r="S263" s="20" t="str">
        <f>IF(B263="","",Administrations!$M47&amp;"")</f>
        <v/>
      </c>
      <c r="T263" s="20" t="str">
        <f>IF(B263="","",Administrations!$V47&amp;"")</f>
        <v/>
      </c>
      <c r="U263" s="20" t="str">
        <f>IF(B263="","","Administrations row "&amp;ROW(Administrations!$A47)&amp;", Administration")</f>
        <v/>
      </c>
      <c r="V263" s="20">
        <f>IF(A263="",0,COUNTIF(nTP_Key,A263))</f>
        <v>0</v>
      </c>
      <c r="W263" s="20">
        <f t="shared" si="58"/>
        <v>0</v>
      </c>
      <c r="X263" s="20">
        <f t="shared" si="59"/>
        <v>0</v>
      </c>
      <c r="Y263" s="20">
        <f t="shared" si="60"/>
        <v>0</v>
      </c>
      <c r="Z263" s="20">
        <f t="shared" si="61"/>
        <v>0</v>
      </c>
      <c r="AA263" s="20">
        <f t="shared" si="62"/>
        <v>259</v>
      </c>
      <c r="AB263" s="20" t="str">
        <f>IF(B263="","",Administrations!$E47&amp;"")</f>
        <v/>
      </c>
      <c r="AC263" s="20" t="str">
        <f>IF(B263="","",IFERROR(INDEX(nEXP_Role,MATCH(Administrations!$A47&amp;"|"&amp;Administrations!$B47&amp;"|"&amp;Administrations!$D47,nEXP_Key,0))&amp;"",""))</f>
        <v/>
      </c>
      <c r="AD263" s="20" t="str">
        <f>IF(B263="","",Administrations!$E47&amp;"")</f>
        <v/>
      </c>
      <c r="AE263" s="20">
        <f t="shared" si="63"/>
        <v>0</v>
      </c>
      <c r="AF263" s="20" t="str">
        <f t="shared" si="64"/>
        <v/>
      </c>
      <c r="AG263" s="20">
        <f t="shared" si="65"/>
        <v>0</v>
      </c>
      <c r="AH263" s="20" t="str">
        <f>""</f>
        <v/>
      </c>
    </row>
    <row r="264" spans="1:34" x14ac:dyDescent="0.2">
      <c r="A264" s="20" t="str">
        <f t="shared" si="55"/>
        <v/>
      </c>
      <c r="B264" s="20" t="str">
        <f>IF(AND(Administrations!$C48&lt;&gt;"",COUNTA(Administrations!$N48:$U48)&gt;0),Administrations!$C48&amp;"","")</f>
        <v/>
      </c>
      <c r="C264" s="20" t="str">
        <f t="shared" si="54"/>
        <v/>
      </c>
      <c r="D264" s="20" t="str">
        <f>IF(B264="","",Administrations!$A48&amp;"")</f>
        <v/>
      </c>
      <c r="E264" s="20" t="str">
        <f>IF(B264="","",Administrations!$B48&amp;"")</f>
        <v/>
      </c>
      <c r="F264" s="20" t="str">
        <f t="shared" si="56"/>
        <v/>
      </c>
      <c r="G264" s="20" t="str">
        <f>IF(B264="","",Administrations!$D48&amp;"")</f>
        <v/>
      </c>
      <c r="H264" s="20" t="str">
        <f>IF(B264="","",Administrations!$N48&amp;"")</f>
        <v/>
      </c>
      <c r="I264" s="20" t="str">
        <f>IF(B264="","",Administrations!$Q48&amp;"")</f>
        <v/>
      </c>
      <c r="J264" s="20" t="str">
        <f>IF(B264="","",Administrations!$W48&amp;"")</f>
        <v/>
      </c>
      <c r="K264" s="20">
        <f>IF(B264="",0,Administrations!$X48)</f>
        <v>0</v>
      </c>
      <c r="L264" s="20">
        <f>IF(B264="",0,Administrations!$Y48)</f>
        <v>0</v>
      </c>
      <c r="M264" s="20" t="str">
        <f>IF(B264="","",Administrations!$AB48)</f>
        <v/>
      </c>
      <c r="N264" s="20" t="str">
        <f>IF(B264="","",Administrations!$AC48)</f>
        <v/>
      </c>
      <c r="O264" s="27" t="str">
        <f>IF(B264="","",Administrations!$Z48)</f>
        <v/>
      </c>
      <c r="P264" s="27" t="str">
        <f>IF(B264="","",Administrations!$AA48)</f>
        <v/>
      </c>
      <c r="Q264" s="20" t="str">
        <f t="shared" si="57"/>
        <v/>
      </c>
      <c r="R264" s="20" t="str">
        <f>IF(A264="","",IF(J264&lt;&gt;"",J264,IF(H264="TIMESTAMP",DAY(INT(M264/1440))&amp;" "&amp;INDEX(nLIST_Months,MONTH(INT(M264/1440)))&amp;" "&amp;YEAR(INT(M264/1440))&amp;" "&amp;RIGHT("0"&amp;INT(MOD(M264,1440)/60),2)&amp;":"&amp;RIGHT("0"&amp;MOD(M264,60),2)&amp;IF(L264=1," (UTC"&amp;I264&amp;")"," (offset unknown)"),IF(H264="DATE",DAY(O264)&amp;" "&amp;INDEX(nLIST_Months,MONTH(O264))&amp;" "&amp;YEAR(O264),IF(H264="MONTH",INDEX(nLIST_Months,MONTH(O264))&amp;" "&amp;YEAR(O264)&amp;" ("&amp;DAY(O264)&amp;" "&amp;INDEX(nLIST_Months,MONTH(O264))&amp;" "&amp;YEAR(O264)&amp;" to "&amp;DAY(P264)&amp;" "&amp;INDEX(nLIST_Months,MONTH(P264))&amp;" "&amp;YEAR(P264)&amp;")",IF(H264="YEAR",YEAR(O264)&amp;" (1 January to 31 December)",DAY(O264)&amp;" "&amp;INDEX(nLIST_Months,MONTH(O264))&amp;" "&amp;YEAR(O264)&amp;" to "&amp;DAY(P264)&amp;" "&amp;INDEX(nLIST_Months,MONTH(P264))&amp;" "&amp;YEAR(P264)&amp;IF(H264="LAB"," (laboratory-defined)","")))))))</f>
        <v/>
      </c>
      <c r="S264" s="20" t="str">
        <f>IF(B264="","",Administrations!$M48&amp;"")</f>
        <v/>
      </c>
      <c r="T264" s="20" t="str">
        <f>IF(B264="","",Administrations!$V48&amp;"")</f>
        <v/>
      </c>
      <c r="U264" s="20" t="str">
        <f>IF(B264="","","Administrations row "&amp;ROW(Administrations!$A48)&amp;", Administration")</f>
        <v/>
      </c>
      <c r="V264" s="20">
        <f>IF(A264="",0,COUNTIF(nTP_Key,A264))</f>
        <v>0</v>
      </c>
      <c r="W264" s="20">
        <f t="shared" si="58"/>
        <v>0</v>
      </c>
      <c r="X264" s="20">
        <f t="shared" si="59"/>
        <v>0</v>
      </c>
      <c r="Y264" s="20">
        <f t="shared" si="60"/>
        <v>0</v>
      </c>
      <c r="Z264" s="20">
        <f t="shared" si="61"/>
        <v>0</v>
      </c>
      <c r="AA264" s="20">
        <f t="shared" si="62"/>
        <v>260</v>
      </c>
      <c r="AB264" s="20" t="str">
        <f>IF(B264="","",Administrations!$E48&amp;"")</f>
        <v/>
      </c>
      <c r="AC264" s="20" t="str">
        <f>IF(B264="","",IFERROR(INDEX(nEXP_Role,MATCH(Administrations!$A48&amp;"|"&amp;Administrations!$B48&amp;"|"&amp;Administrations!$D48,nEXP_Key,0))&amp;"",""))</f>
        <v/>
      </c>
      <c r="AD264" s="20" t="str">
        <f>IF(B264="","",Administrations!$E48&amp;"")</f>
        <v/>
      </c>
      <c r="AE264" s="20">
        <f t="shared" si="63"/>
        <v>0</v>
      </c>
      <c r="AF264" s="20" t="str">
        <f t="shared" si="64"/>
        <v/>
      </c>
      <c r="AG264" s="20">
        <f t="shared" si="65"/>
        <v>0</v>
      </c>
      <c r="AH264" s="20" t="str">
        <f>""</f>
        <v/>
      </c>
    </row>
    <row r="265" spans="1:34" x14ac:dyDescent="0.2">
      <c r="A265" s="20" t="str">
        <f t="shared" si="55"/>
        <v/>
      </c>
      <c r="B265" s="20" t="str">
        <f>IF(AND(Administrations!$C49&lt;&gt;"",COUNTA(Administrations!$N49:$U49)&gt;0),Administrations!$C49&amp;"","")</f>
        <v/>
      </c>
      <c r="C265" s="20" t="str">
        <f t="shared" si="54"/>
        <v/>
      </c>
      <c r="D265" s="20" t="str">
        <f>IF(B265="","",Administrations!$A49&amp;"")</f>
        <v/>
      </c>
      <c r="E265" s="20" t="str">
        <f>IF(B265="","",Administrations!$B49&amp;"")</f>
        <v/>
      </c>
      <c r="F265" s="20" t="str">
        <f t="shared" si="56"/>
        <v/>
      </c>
      <c r="G265" s="20" t="str">
        <f>IF(B265="","",Administrations!$D49&amp;"")</f>
        <v/>
      </c>
      <c r="H265" s="20" t="str">
        <f>IF(B265="","",Administrations!$N49&amp;"")</f>
        <v/>
      </c>
      <c r="I265" s="20" t="str">
        <f>IF(B265="","",Administrations!$Q49&amp;"")</f>
        <v/>
      </c>
      <c r="J265" s="20" t="str">
        <f>IF(B265="","",Administrations!$W49&amp;"")</f>
        <v/>
      </c>
      <c r="K265" s="20">
        <f>IF(B265="",0,Administrations!$X49)</f>
        <v>0</v>
      </c>
      <c r="L265" s="20">
        <f>IF(B265="",0,Administrations!$Y49)</f>
        <v>0</v>
      </c>
      <c r="M265" s="20" t="str">
        <f>IF(B265="","",Administrations!$AB49)</f>
        <v/>
      </c>
      <c r="N265" s="20" t="str">
        <f>IF(B265="","",Administrations!$AC49)</f>
        <v/>
      </c>
      <c r="O265" s="27" t="str">
        <f>IF(B265="","",Administrations!$Z49)</f>
        <v/>
      </c>
      <c r="P265" s="27" t="str">
        <f>IF(B265="","",Administrations!$AA49)</f>
        <v/>
      </c>
      <c r="Q265" s="20" t="str">
        <f t="shared" si="57"/>
        <v/>
      </c>
      <c r="R265" s="20" t="str">
        <f>IF(A265="","",IF(J265&lt;&gt;"",J265,IF(H265="TIMESTAMP",DAY(INT(M265/1440))&amp;" "&amp;INDEX(nLIST_Months,MONTH(INT(M265/1440)))&amp;" "&amp;YEAR(INT(M265/1440))&amp;" "&amp;RIGHT("0"&amp;INT(MOD(M265,1440)/60),2)&amp;":"&amp;RIGHT("0"&amp;MOD(M265,60),2)&amp;IF(L265=1," (UTC"&amp;I265&amp;")"," (offset unknown)"),IF(H265="DATE",DAY(O265)&amp;" "&amp;INDEX(nLIST_Months,MONTH(O265))&amp;" "&amp;YEAR(O265),IF(H265="MONTH",INDEX(nLIST_Months,MONTH(O265))&amp;" "&amp;YEAR(O265)&amp;" ("&amp;DAY(O265)&amp;" "&amp;INDEX(nLIST_Months,MONTH(O265))&amp;" "&amp;YEAR(O265)&amp;" to "&amp;DAY(P265)&amp;" "&amp;INDEX(nLIST_Months,MONTH(P265))&amp;" "&amp;YEAR(P265)&amp;")",IF(H265="YEAR",YEAR(O265)&amp;" (1 January to 31 December)",DAY(O265)&amp;" "&amp;INDEX(nLIST_Months,MONTH(O265))&amp;" "&amp;YEAR(O265)&amp;" to "&amp;DAY(P265)&amp;" "&amp;INDEX(nLIST_Months,MONTH(P265))&amp;" "&amp;YEAR(P265)&amp;IF(H265="LAB"," (laboratory-defined)","")))))))</f>
        <v/>
      </c>
      <c r="S265" s="20" t="str">
        <f>IF(B265="","",Administrations!$M49&amp;"")</f>
        <v/>
      </c>
      <c r="T265" s="20" t="str">
        <f>IF(B265="","",Administrations!$V49&amp;"")</f>
        <v/>
      </c>
      <c r="U265" s="20" t="str">
        <f>IF(B265="","","Administrations row "&amp;ROW(Administrations!$A49)&amp;", Administration")</f>
        <v/>
      </c>
      <c r="V265" s="20">
        <f>IF(A265="",0,COUNTIF(nTP_Key,A265))</f>
        <v>0</v>
      </c>
      <c r="W265" s="20">
        <f t="shared" si="58"/>
        <v>0</v>
      </c>
      <c r="X265" s="20">
        <f t="shared" si="59"/>
        <v>0</v>
      </c>
      <c r="Y265" s="20">
        <f t="shared" si="60"/>
        <v>0</v>
      </c>
      <c r="Z265" s="20">
        <f t="shared" si="61"/>
        <v>0</v>
      </c>
      <c r="AA265" s="20">
        <f t="shared" si="62"/>
        <v>261</v>
      </c>
      <c r="AB265" s="20" t="str">
        <f>IF(B265="","",Administrations!$E49&amp;"")</f>
        <v/>
      </c>
      <c r="AC265" s="20" t="str">
        <f>IF(B265="","",IFERROR(INDEX(nEXP_Role,MATCH(Administrations!$A49&amp;"|"&amp;Administrations!$B49&amp;"|"&amp;Administrations!$D49,nEXP_Key,0))&amp;"",""))</f>
        <v/>
      </c>
      <c r="AD265" s="20" t="str">
        <f>IF(B265="","",Administrations!$E49&amp;"")</f>
        <v/>
      </c>
      <c r="AE265" s="20">
        <f t="shared" si="63"/>
        <v>0</v>
      </c>
      <c r="AF265" s="20" t="str">
        <f t="shared" si="64"/>
        <v/>
      </c>
      <c r="AG265" s="20">
        <f t="shared" si="65"/>
        <v>0</v>
      </c>
      <c r="AH265" s="20" t="str">
        <f>""</f>
        <v/>
      </c>
    </row>
    <row r="266" spans="1:34" x14ac:dyDescent="0.2">
      <c r="A266" s="20" t="str">
        <f t="shared" si="55"/>
        <v/>
      </c>
      <c r="B266" s="20" t="str">
        <f>IF(AND(Administrations!$C50&lt;&gt;"",COUNTA(Administrations!$N50:$U50)&gt;0),Administrations!$C50&amp;"","")</f>
        <v/>
      </c>
      <c r="C266" s="20" t="str">
        <f t="shared" si="54"/>
        <v/>
      </c>
      <c r="D266" s="20" t="str">
        <f>IF(B266="","",Administrations!$A50&amp;"")</f>
        <v/>
      </c>
      <c r="E266" s="20" t="str">
        <f>IF(B266="","",Administrations!$B50&amp;"")</f>
        <v/>
      </c>
      <c r="F266" s="20" t="str">
        <f t="shared" si="56"/>
        <v/>
      </c>
      <c r="G266" s="20" t="str">
        <f>IF(B266="","",Administrations!$D50&amp;"")</f>
        <v/>
      </c>
      <c r="H266" s="20" t="str">
        <f>IF(B266="","",Administrations!$N50&amp;"")</f>
        <v/>
      </c>
      <c r="I266" s="20" t="str">
        <f>IF(B266="","",Administrations!$Q50&amp;"")</f>
        <v/>
      </c>
      <c r="J266" s="20" t="str">
        <f>IF(B266="","",Administrations!$W50&amp;"")</f>
        <v/>
      </c>
      <c r="K266" s="20">
        <f>IF(B266="",0,Administrations!$X50)</f>
        <v>0</v>
      </c>
      <c r="L266" s="20">
        <f>IF(B266="",0,Administrations!$Y50)</f>
        <v>0</v>
      </c>
      <c r="M266" s="20" t="str">
        <f>IF(B266="","",Administrations!$AB50)</f>
        <v/>
      </c>
      <c r="N266" s="20" t="str">
        <f>IF(B266="","",Administrations!$AC50)</f>
        <v/>
      </c>
      <c r="O266" s="27" t="str">
        <f>IF(B266="","",Administrations!$Z50)</f>
        <v/>
      </c>
      <c r="P266" s="27" t="str">
        <f>IF(B266="","",Administrations!$AA50)</f>
        <v/>
      </c>
      <c r="Q266" s="20" t="str">
        <f t="shared" si="57"/>
        <v/>
      </c>
      <c r="R266" s="20" t="str">
        <f>IF(A266="","",IF(J266&lt;&gt;"",J266,IF(H266="TIMESTAMP",DAY(INT(M266/1440))&amp;" "&amp;INDEX(nLIST_Months,MONTH(INT(M266/1440)))&amp;" "&amp;YEAR(INT(M266/1440))&amp;" "&amp;RIGHT("0"&amp;INT(MOD(M266,1440)/60),2)&amp;":"&amp;RIGHT("0"&amp;MOD(M266,60),2)&amp;IF(L266=1," (UTC"&amp;I266&amp;")"," (offset unknown)"),IF(H266="DATE",DAY(O266)&amp;" "&amp;INDEX(nLIST_Months,MONTH(O266))&amp;" "&amp;YEAR(O266),IF(H266="MONTH",INDEX(nLIST_Months,MONTH(O266))&amp;" "&amp;YEAR(O266)&amp;" ("&amp;DAY(O266)&amp;" "&amp;INDEX(nLIST_Months,MONTH(O266))&amp;" "&amp;YEAR(O266)&amp;" to "&amp;DAY(P266)&amp;" "&amp;INDEX(nLIST_Months,MONTH(P266))&amp;" "&amp;YEAR(P266)&amp;")",IF(H266="YEAR",YEAR(O266)&amp;" (1 January to 31 December)",DAY(O266)&amp;" "&amp;INDEX(nLIST_Months,MONTH(O266))&amp;" "&amp;YEAR(O266)&amp;" to "&amp;DAY(P266)&amp;" "&amp;INDEX(nLIST_Months,MONTH(P266))&amp;" "&amp;YEAR(P266)&amp;IF(H266="LAB"," (laboratory-defined)","")))))))</f>
        <v/>
      </c>
      <c r="S266" s="20" t="str">
        <f>IF(B266="","",Administrations!$M50&amp;"")</f>
        <v/>
      </c>
      <c r="T266" s="20" t="str">
        <f>IF(B266="","",Administrations!$V50&amp;"")</f>
        <v/>
      </c>
      <c r="U266" s="20" t="str">
        <f>IF(B266="","","Administrations row "&amp;ROW(Administrations!$A50)&amp;", Administration")</f>
        <v/>
      </c>
      <c r="V266" s="20">
        <f>IF(A266="",0,COUNTIF(nTP_Key,A266))</f>
        <v>0</v>
      </c>
      <c r="W266" s="20">
        <f t="shared" si="58"/>
        <v>0</v>
      </c>
      <c r="X266" s="20">
        <f t="shared" si="59"/>
        <v>0</v>
      </c>
      <c r="Y266" s="20">
        <f t="shared" si="60"/>
        <v>0</v>
      </c>
      <c r="Z266" s="20">
        <f t="shared" si="61"/>
        <v>0</v>
      </c>
      <c r="AA266" s="20">
        <f t="shared" si="62"/>
        <v>262</v>
      </c>
      <c r="AB266" s="20" t="str">
        <f>IF(B266="","",Administrations!$E50&amp;"")</f>
        <v/>
      </c>
      <c r="AC266" s="20" t="str">
        <f>IF(B266="","",IFERROR(INDEX(nEXP_Role,MATCH(Administrations!$A50&amp;"|"&amp;Administrations!$B50&amp;"|"&amp;Administrations!$D50,nEXP_Key,0))&amp;"",""))</f>
        <v/>
      </c>
      <c r="AD266" s="20" t="str">
        <f>IF(B266="","",Administrations!$E50&amp;"")</f>
        <v/>
      </c>
      <c r="AE266" s="20">
        <f t="shared" si="63"/>
        <v>0</v>
      </c>
      <c r="AF266" s="20" t="str">
        <f t="shared" si="64"/>
        <v/>
      </c>
      <c r="AG266" s="20">
        <f t="shared" si="65"/>
        <v>0</v>
      </c>
      <c r="AH266" s="20" t="str">
        <f>""</f>
        <v/>
      </c>
    </row>
    <row r="267" spans="1:34" x14ac:dyDescent="0.2">
      <c r="A267" s="20" t="str">
        <f t="shared" si="55"/>
        <v/>
      </c>
      <c r="B267" s="20" t="str">
        <f>IF(AND(Administrations!$C51&lt;&gt;"",COUNTA(Administrations!$N51:$U51)&gt;0),Administrations!$C51&amp;"","")</f>
        <v/>
      </c>
      <c r="C267" s="20" t="str">
        <f t="shared" si="54"/>
        <v/>
      </c>
      <c r="D267" s="20" t="str">
        <f>IF(B267="","",Administrations!$A51&amp;"")</f>
        <v/>
      </c>
      <c r="E267" s="20" t="str">
        <f>IF(B267="","",Administrations!$B51&amp;"")</f>
        <v/>
      </c>
      <c r="F267" s="20" t="str">
        <f t="shared" si="56"/>
        <v/>
      </c>
      <c r="G267" s="20" t="str">
        <f>IF(B267="","",Administrations!$D51&amp;"")</f>
        <v/>
      </c>
      <c r="H267" s="20" t="str">
        <f>IF(B267="","",Administrations!$N51&amp;"")</f>
        <v/>
      </c>
      <c r="I267" s="20" t="str">
        <f>IF(B267="","",Administrations!$Q51&amp;"")</f>
        <v/>
      </c>
      <c r="J267" s="20" t="str">
        <f>IF(B267="","",Administrations!$W51&amp;"")</f>
        <v/>
      </c>
      <c r="K267" s="20">
        <f>IF(B267="",0,Administrations!$X51)</f>
        <v>0</v>
      </c>
      <c r="L267" s="20">
        <f>IF(B267="",0,Administrations!$Y51)</f>
        <v>0</v>
      </c>
      <c r="M267" s="20" t="str">
        <f>IF(B267="","",Administrations!$AB51)</f>
        <v/>
      </c>
      <c r="N267" s="20" t="str">
        <f>IF(B267="","",Administrations!$AC51)</f>
        <v/>
      </c>
      <c r="O267" s="27" t="str">
        <f>IF(B267="","",Administrations!$Z51)</f>
        <v/>
      </c>
      <c r="P267" s="27" t="str">
        <f>IF(B267="","",Administrations!$AA51)</f>
        <v/>
      </c>
      <c r="Q267" s="20" t="str">
        <f t="shared" si="57"/>
        <v/>
      </c>
      <c r="R267" s="20" t="str">
        <f>IF(A267="","",IF(J267&lt;&gt;"",J267,IF(H267="TIMESTAMP",DAY(INT(M267/1440))&amp;" "&amp;INDEX(nLIST_Months,MONTH(INT(M267/1440)))&amp;" "&amp;YEAR(INT(M267/1440))&amp;" "&amp;RIGHT("0"&amp;INT(MOD(M267,1440)/60),2)&amp;":"&amp;RIGHT("0"&amp;MOD(M267,60),2)&amp;IF(L267=1," (UTC"&amp;I267&amp;")"," (offset unknown)"),IF(H267="DATE",DAY(O267)&amp;" "&amp;INDEX(nLIST_Months,MONTH(O267))&amp;" "&amp;YEAR(O267),IF(H267="MONTH",INDEX(nLIST_Months,MONTH(O267))&amp;" "&amp;YEAR(O267)&amp;" ("&amp;DAY(O267)&amp;" "&amp;INDEX(nLIST_Months,MONTH(O267))&amp;" "&amp;YEAR(O267)&amp;" to "&amp;DAY(P267)&amp;" "&amp;INDEX(nLIST_Months,MONTH(P267))&amp;" "&amp;YEAR(P267)&amp;")",IF(H267="YEAR",YEAR(O267)&amp;" (1 January to 31 December)",DAY(O267)&amp;" "&amp;INDEX(nLIST_Months,MONTH(O267))&amp;" "&amp;YEAR(O267)&amp;" to "&amp;DAY(P267)&amp;" "&amp;INDEX(nLIST_Months,MONTH(P267))&amp;" "&amp;YEAR(P267)&amp;IF(H267="LAB"," (laboratory-defined)","")))))))</f>
        <v/>
      </c>
      <c r="S267" s="20" t="str">
        <f>IF(B267="","",Administrations!$M51&amp;"")</f>
        <v/>
      </c>
      <c r="T267" s="20" t="str">
        <f>IF(B267="","",Administrations!$V51&amp;"")</f>
        <v/>
      </c>
      <c r="U267" s="20" t="str">
        <f>IF(B267="","","Administrations row "&amp;ROW(Administrations!$A51)&amp;", Administration")</f>
        <v/>
      </c>
      <c r="V267" s="20">
        <f>IF(A267="",0,COUNTIF(nTP_Key,A267))</f>
        <v>0</v>
      </c>
      <c r="W267" s="20">
        <f t="shared" si="58"/>
        <v>0</v>
      </c>
      <c r="X267" s="20">
        <f t="shared" si="59"/>
        <v>0</v>
      </c>
      <c r="Y267" s="20">
        <f t="shared" si="60"/>
        <v>0</v>
      </c>
      <c r="Z267" s="20">
        <f t="shared" si="61"/>
        <v>0</v>
      </c>
      <c r="AA267" s="20">
        <f t="shared" si="62"/>
        <v>263</v>
      </c>
      <c r="AB267" s="20" t="str">
        <f>IF(B267="","",Administrations!$E51&amp;"")</f>
        <v/>
      </c>
      <c r="AC267" s="20" t="str">
        <f>IF(B267="","",IFERROR(INDEX(nEXP_Role,MATCH(Administrations!$A51&amp;"|"&amp;Administrations!$B51&amp;"|"&amp;Administrations!$D51,nEXP_Key,0))&amp;"",""))</f>
        <v/>
      </c>
      <c r="AD267" s="20" t="str">
        <f>IF(B267="","",Administrations!$E51&amp;"")</f>
        <v/>
      </c>
      <c r="AE267" s="20">
        <f t="shared" si="63"/>
        <v>0</v>
      </c>
      <c r="AF267" s="20" t="str">
        <f t="shared" si="64"/>
        <v/>
      </c>
      <c r="AG267" s="20">
        <f t="shared" si="65"/>
        <v>0</v>
      </c>
      <c r="AH267" s="20" t="str">
        <f>""</f>
        <v/>
      </c>
    </row>
    <row r="268" spans="1:34" x14ac:dyDescent="0.2">
      <c r="A268" s="20" t="str">
        <f t="shared" si="55"/>
        <v/>
      </c>
      <c r="B268" s="20" t="str">
        <f>IF(AND(Administrations!$C52&lt;&gt;"",COUNTA(Administrations!$N52:$U52)&gt;0),Administrations!$C52&amp;"","")</f>
        <v/>
      </c>
      <c r="C268" s="20" t="str">
        <f t="shared" si="54"/>
        <v/>
      </c>
      <c r="D268" s="20" t="str">
        <f>IF(B268="","",Administrations!$A52&amp;"")</f>
        <v/>
      </c>
      <c r="E268" s="20" t="str">
        <f>IF(B268="","",Administrations!$B52&amp;"")</f>
        <v/>
      </c>
      <c r="F268" s="20" t="str">
        <f t="shared" si="56"/>
        <v/>
      </c>
      <c r="G268" s="20" t="str">
        <f>IF(B268="","",Administrations!$D52&amp;"")</f>
        <v/>
      </c>
      <c r="H268" s="20" t="str">
        <f>IF(B268="","",Administrations!$N52&amp;"")</f>
        <v/>
      </c>
      <c r="I268" s="20" t="str">
        <f>IF(B268="","",Administrations!$Q52&amp;"")</f>
        <v/>
      </c>
      <c r="J268" s="20" t="str">
        <f>IF(B268="","",Administrations!$W52&amp;"")</f>
        <v/>
      </c>
      <c r="K268" s="20">
        <f>IF(B268="",0,Administrations!$X52)</f>
        <v>0</v>
      </c>
      <c r="L268" s="20">
        <f>IF(B268="",0,Administrations!$Y52)</f>
        <v>0</v>
      </c>
      <c r="M268" s="20" t="str">
        <f>IF(B268="","",Administrations!$AB52)</f>
        <v/>
      </c>
      <c r="N268" s="20" t="str">
        <f>IF(B268="","",Administrations!$AC52)</f>
        <v/>
      </c>
      <c r="O268" s="27" t="str">
        <f>IF(B268="","",Administrations!$Z52)</f>
        <v/>
      </c>
      <c r="P268" s="27" t="str">
        <f>IF(B268="","",Administrations!$AA52)</f>
        <v/>
      </c>
      <c r="Q268" s="20" t="str">
        <f t="shared" si="57"/>
        <v/>
      </c>
      <c r="R268" s="20" t="str">
        <f>IF(A268="","",IF(J268&lt;&gt;"",J268,IF(H268="TIMESTAMP",DAY(INT(M268/1440))&amp;" "&amp;INDEX(nLIST_Months,MONTH(INT(M268/1440)))&amp;" "&amp;YEAR(INT(M268/1440))&amp;" "&amp;RIGHT("0"&amp;INT(MOD(M268,1440)/60),2)&amp;":"&amp;RIGHT("0"&amp;MOD(M268,60),2)&amp;IF(L268=1," (UTC"&amp;I268&amp;")"," (offset unknown)"),IF(H268="DATE",DAY(O268)&amp;" "&amp;INDEX(nLIST_Months,MONTH(O268))&amp;" "&amp;YEAR(O268),IF(H268="MONTH",INDEX(nLIST_Months,MONTH(O268))&amp;" "&amp;YEAR(O268)&amp;" ("&amp;DAY(O268)&amp;" "&amp;INDEX(nLIST_Months,MONTH(O268))&amp;" "&amp;YEAR(O268)&amp;" to "&amp;DAY(P268)&amp;" "&amp;INDEX(nLIST_Months,MONTH(P268))&amp;" "&amp;YEAR(P268)&amp;")",IF(H268="YEAR",YEAR(O268)&amp;" (1 January to 31 December)",DAY(O268)&amp;" "&amp;INDEX(nLIST_Months,MONTH(O268))&amp;" "&amp;YEAR(O268)&amp;" to "&amp;DAY(P268)&amp;" "&amp;INDEX(nLIST_Months,MONTH(P268))&amp;" "&amp;YEAR(P268)&amp;IF(H268="LAB"," (laboratory-defined)","")))))))</f>
        <v/>
      </c>
      <c r="S268" s="20" t="str">
        <f>IF(B268="","",Administrations!$M52&amp;"")</f>
        <v/>
      </c>
      <c r="T268" s="20" t="str">
        <f>IF(B268="","",Administrations!$V52&amp;"")</f>
        <v/>
      </c>
      <c r="U268" s="20" t="str">
        <f>IF(B268="","","Administrations row "&amp;ROW(Administrations!$A52)&amp;", Administration")</f>
        <v/>
      </c>
      <c r="V268" s="20">
        <f>IF(A268="",0,COUNTIF(nTP_Key,A268))</f>
        <v>0</v>
      </c>
      <c r="W268" s="20">
        <f t="shared" si="58"/>
        <v>0</v>
      </c>
      <c r="X268" s="20">
        <f t="shared" si="59"/>
        <v>0</v>
      </c>
      <c r="Y268" s="20">
        <f t="shared" si="60"/>
        <v>0</v>
      </c>
      <c r="Z268" s="20">
        <f t="shared" si="61"/>
        <v>0</v>
      </c>
      <c r="AA268" s="20">
        <f t="shared" si="62"/>
        <v>264</v>
      </c>
      <c r="AB268" s="20" t="str">
        <f>IF(B268="","",Administrations!$E52&amp;"")</f>
        <v/>
      </c>
      <c r="AC268" s="20" t="str">
        <f>IF(B268="","",IFERROR(INDEX(nEXP_Role,MATCH(Administrations!$A52&amp;"|"&amp;Administrations!$B52&amp;"|"&amp;Administrations!$D52,nEXP_Key,0))&amp;"",""))</f>
        <v/>
      </c>
      <c r="AD268" s="20" t="str">
        <f>IF(B268="","",Administrations!$E52&amp;"")</f>
        <v/>
      </c>
      <c r="AE268" s="20">
        <f t="shared" si="63"/>
        <v>0</v>
      </c>
      <c r="AF268" s="20" t="str">
        <f t="shared" si="64"/>
        <v/>
      </c>
      <c r="AG268" s="20">
        <f t="shared" si="65"/>
        <v>0</v>
      </c>
      <c r="AH268" s="20" t="str">
        <f>""</f>
        <v/>
      </c>
    </row>
    <row r="269" spans="1:34" x14ac:dyDescent="0.2">
      <c r="A269" s="20" t="str">
        <f t="shared" si="55"/>
        <v/>
      </c>
      <c r="B269" s="20" t="str">
        <f>IF(AND(Administrations!$C53&lt;&gt;"",COUNTA(Administrations!$N53:$U53)&gt;0),Administrations!$C53&amp;"","")</f>
        <v/>
      </c>
      <c r="C269" s="20" t="str">
        <f t="shared" si="54"/>
        <v/>
      </c>
      <c r="D269" s="20" t="str">
        <f>IF(B269="","",Administrations!$A53&amp;"")</f>
        <v/>
      </c>
      <c r="E269" s="20" t="str">
        <f>IF(B269="","",Administrations!$B53&amp;"")</f>
        <v/>
      </c>
      <c r="F269" s="20" t="str">
        <f t="shared" si="56"/>
        <v/>
      </c>
      <c r="G269" s="20" t="str">
        <f>IF(B269="","",Administrations!$D53&amp;"")</f>
        <v/>
      </c>
      <c r="H269" s="20" t="str">
        <f>IF(B269="","",Administrations!$N53&amp;"")</f>
        <v/>
      </c>
      <c r="I269" s="20" t="str">
        <f>IF(B269="","",Administrations!$Q53&amp;"")</f>
        <v/>
      </c>
      <c r="J269" s="20" t="str">
        <f>IF(B269="","",Administrations!$W53&amp;"")</f>
        <v/>
      </c>
      <c r="K269" s="20">
        <f>IF(B269="",0,Administrations!$X53)</f>
        <v>0</v>
      </c>
      <c r="L269" s="20">
        <f>IF(B269="",0,Administrations!$Y53)</f>
        <v>0</v>
      </c>
      <c r="M269" s="20" t="str">
        <f>IF(B269="","",Administrations!$AB53)</f>
        <v/>
      </c>
      <c r="N269" s="20" t="str">
        <f>IF(B269="","",Administrations!$AC53)</f>
        <v/>
      </c>
      <c r="O269" s="27" t="str">
        <f>IF(B269="","",Administrations!$Z53)</f>
        <v/>
      </c>
      <c r="P269" s="27" t="str">
        <f>IF(B269="","",Administrations!$AA53)</f>
        <v/>
      </c>
      <c r="Q269" s="20" t="str">
        <f t="shared" si="57"/>
        <v/>
      </c>
      <c r="R269" s="20" t="str">
        <f>IF(A269="","",IF(J269&lt;&gt;"",J269,IF(H269="TIMESTAMP",DAY(INT(M269/1440))&amp;" "&amp;INDEX(nLIST_Months,MONTH(INT(M269/1440)))&amp;" "&amp;YEAR(INT(M269/1440))&amp;" "&amp;RIGHT("0"&amp;INT(MOD(M269,1440)/60),2)&amp;":"&amp;RIGHT("0"&amp;MOD(M269,60),2)&amp;IF(L269=1," (UTC"&amp;I269&amp;")"," (offset unknown)"),IF(H269="DATE",DAY(O269)&amp;" "&amp;INDEX(nLIST_Months,MONTH(O269))&amp;" "&amp;YEAR(O269),IF(H269="MONTH",INDEX(nLIST_Months,MONTH(O269))&amp;" "&amp;YEAR(O269)&amp;" ("&amp;DAY(O269)&amp;" "&amp;INDEX(nLIST_Months,MONTH(O269))&amp;" "&amp;YEAR(O269)&amp;" to "&amp;DAY(P269)&amp;" "&amp;INDEX(nLIST_Months,MONTH(P269))&amp;" "&amp;YEAR(P269)&amp;")",IF(H269="YEAR",YEAR(O269)&amp;" (1 January to 31 December)",DAY(O269)&amp;" "&amp;INDEX(nLIST_Months,MONTH(O269))&amp;" "&amp;YEAR(O269)&amp;" to "&amp;DAY(P269)&amp;" "&amp;INDEX(nLIST_Months,MONTH(P269))&amp;" "&amp;YEAR(P269)&amp;IF(H269="LAB"," (laboratory-defined)","")))))))</f>
        <v/>
      </c>
      <c r="S269" s="20" t="str">
        <f>IF(B269="","",Administrations!$M53&amp;"")</f>
        <v/>
      </c>
      <c r="T269" s="20" t="str">
        <f>IF(B269="","",Administrations!$V53&amp;"")</f>
        <v/>
      </c>
      <c r="U269" s="20" t="str">
        <f>IF(B269="","","Administrations row "&amp;ROW(Administrations!$A53)&amp;", Administration")</f>
        <v/>
      </c>
      <c r="V269" s="20">
        <f>IF(A269="",0,COUNTIF(nTP_Key,A269))</f>
        <v>0</v>
      </c>
      <c r="W269" s="20">
        <f t="shared" si="58"/>
        <v>0</v>
      </c>
      <c r="X269" s="20">
        <f t="shared" si="59"/>
        <v>0</v>
      </c>
      <c r="Y269" s="20">
        <f t="shared" si="60"/>
        <v>0</v>
      </c>
      <c r="Z269" s="20">
        <f t="shared" si="61"/>
        <v>0</v>
      </c>
      <c r="AA269" s="20">
        <f t="shared" si="62"/>
        <v>265</v>
      </c>
      <c r="AB269" s="20" t="str">
        <f>IF(B269="","",Administrations!$E53&amp;"")</f>
        <v/>
      </c>
      <c r="AC269" s="20" t="str">
        <f>IF(B269="","",IFERROR(INDEX(nEXP_Role,MATCH(Administrations!$A53&amp;"|"&amp;Administrations!$B53&amp;"|"&amp;Administrations!$D53,nEXP_Key,0))&amp;"",""))</f>
        <v/>
      </c>
      <c r="AD269" s="20" t="str">
        <f>IF(B269="","",Administrations!$E53&amp;"")</f>
        <v/>
      </c>
      <c r="AE269" s="20">
        <f t="shared" si="63"/>
        <v>0</v>
      </c>
      <c r="AF269" s="20" t="str">
        <f t="shared" si="64"/>
        <v/>
      </c>
      <c r="AG269" s="20">
        <f t="shared" si="65"/>
        <v>0</v>
      </c>
      <c r="AH269" s="20" t="str">
        <f>""</f>
        <v/>
      </c>
    </row>
    <row r="270" spans="1:34" x14ac:dyDescent="0.2">
      <c r="A270" s="20" t="str">
        <f t="shared" si="55"/>
        <v/>
      </c>
      <c r="B270" s="20" t="str">
        <f>IF(AND(Administrations!$C54&lt;&gt;"",COUNTA(Administrations!$N54:$U54)&gt;0),Administrations!$C54&amp;"","")</f>
        <v/>
      </c>
      <c r="C270" s="20" t="str">
        <f t="shared" si="54"/>
        <v/>
      </c>
      <c r="D270" s="20" t="str">
        <f>IF(B270="","",Administrations!$A54&amp;"")</f>
        <v/>
      </c>
      <c r="E270" s="20" t="str">
        <f>IF(B270="","",Administrations!$B54&amp;"")</f>
        <v/>
      </c>
      <c r="F270" s="20" t="str">
        <f t="shared" si="56"/>
        <v/>
      </c>
      <c r="G270" s="20" t="str">
        <f>IF(B270="","",Administrations!$D54&amp;"")</f>
        <v/>
      </c>
      <c r="H270" s="20" t="str">
        <f>IF(B270="","",Administrations!$N54&amp;"")</f>
        <v/>
      </c>
      <c r="I270" s="20" t="str">
        <f>IF(B270="","",Administrations!$Q54&amp;"")</f>
        <v/>
      </c>
      <c r="J270" s="20" t="str">
        <f>IF(B270="","",Administrations!$W54&amp;"")</f>
        <v/>
      </c>
      <c r="K270" s="20">
        <f>IF(B270="",0,Administrations!$X54)</f>
        <v>0</v>
      </c>
      <c r="L270" s="20">
        <f>IF(B270="",0,Administrations!$Y54)</f>
        <v>0</v>
      </c>
      <c r="M270" s="20" t="str">
        <f>IF(B270="","",Administrations!$AB54)</f>
        <v/>
      </c>
      <c r="N270" s="20" t="str">
        <f>IF(B270="","",Administrations!$AC54)</f>
        <v/>
      </c>
      <c r="O270" s="27" t="str">
        <f>IF(B270="","",Administrations!$Z54)</f>
        <v/>
      </c>
      <c r="P270" s="27" t="str">
        <f>IF(B270="","",Administrations!$AA54)</f>
        <v/>
      </c>
      <c r="Q270" s="20" t="str">
        <f t="shared" si="57"/>
        <v/>
      </c>
      <c r="R270" s="20" t="str">
        <f>IF(A270="","",IF(J270&lt;&gt;"",J270,IF(H270="TIMESTAMP",DAY(INT(M270/1440))&amp;" "&amp;INDEX(nLIST_Months,MONTH(INT(M270/1440)))&amp;" "&amp;YEAR(INT(M270/1440))&amp;" "&amp;RIGHT("0"&amp;INT(MOD(M270,1440)/60),2)&amp;":"&amp;RIGHT("0"&amp;MOD(M270,60),2)&amp;IF(L270=1," (UTC"&amp;I270&amp;")"," (offset unknown)"),IF(H270="DATE",DAY(O270)&amp;" "&amp;INDEX(nLIST_Months,MONTH(O270))&amp;" "&amp;YEAR(O270),IF(H270="MONTH",INDEX(nLIST_Months,MONTH(O270))&amp;" "&amp;YEAR(O270)&amp;" ("&amp;DAY(O270)&amp;" "&amp;INDEX(nLIST_Months,MONTH(O270))&amp;" "&amp;YEAR(O270)&amp;" to "&amp;DAY(P270)&amp;" "&amp;INDEX(nLIST_Months,MONTH(P270))&amp;" "&amp;YEAR(P270)&amp;")",IF(H270="YEAR",YEAR(O270)&amp;" (1 January to 31 December)",DAY(O270)&amp;" "&amp;INDEX(nLIST_Months,MONTH(O270))&amp;" "&amp;YEAR(O270)&amp;" to "&amp;DAY(P270)&amp;" "&amp;INDEX(nLIST_Months,MONTH(P270))&amp;" "&amp;YEAR(P270)&amp;IF(H270="LAB"," (laboratory-defined)","")))))))</f>
        <v/>
      </c>
      <c r="S270" s="20" t="str">
        <f>IF(B270="","",Administrations!$M54&amp;"")</f>
        <v/>
      </c>
      <c r="T270" s="20" t="str">
        <f>IF(B270="","",Administrations!$V54&amp;"")</f>
        <v/>
      </c>
      <c r="U270" s="20" t="str">
        <f>IF(B270="","","Administrations row "&amp;ROW(Administrations!$A54)&amp;", Administration")</f>
        <v/>
      </c>
      <c r="V270" s="20">
        <f>IF(A270="",0,COUNTIF(nTP_Key,A270))</f>
        <v>0</v>
      </c>
      <c r="W270" s="20">
        <f t="shared" si="58"/>
        <v>0</v>
      </c>
      <c r="X270" s="20">
        <f t="shared" si="59"/>
        <v>0</v>
      </c>
      <c r="Y270" s="20">
        <f t="shared" si="60"/>
        <v>0</v>
      </c>
      <c r="Z270" s="20">
        <f t="shared" si="61"/>
        <v>0</v>
      </c>
      <c r="AA270" s="20">
        <f t="shared" si="62"/>
        <v>266</v>
      </c>
      <c r="AB270" s="20" t="str">
        <f>IF(B270="","",Administrations!$E54&amp;"")</f>
        <v/>
      </c>
      <c r="AC270" s="20" t="str">
        <f>IF(B270="","",IFERROR(INDEX(nEXP_Role,MATCH(Administrations!$A54&amp;"|"&amp;Administrations!$B54&amp;"|"&amp;Administrations!$D54,nEXP_Key,0))&amp;"",""))</f>
        <v/>
      </c>
      <c r="AD270" s="20" t="str">
        <f>IF(B270="","",Administrations!$E54&amp;"")</f>
        <v/>
      </c>
      <c r="AE270" s="20">
        <f t="shared" si="63"/>
        <v>0</v>
      </c>
      <c r="AF270" s="20" t="str">
        <f t="shared" si="64"/>
        <v/>
      </c>
      <c r="AG270" s="20">
        <f t="shared" si="65"/>
        <v>0</v>
      </c>
      <c r="AH270" s="20" t="str">
        <f>""</f>
        <v/>
      </c>
    </row>
    <row r="271" spans="1:34" x14ac:dyDescent="0.2">
      <c r="A271" s="20" t="str">
        <f t="shared" si="55"/>
        <v/>
      </c>
      <c r="B271" s="20" t="str">
        <f>IF(AND(Administrations!$C55&lt;&gt;"",COUNTA(Administrations!$N55:$U55)&gt;0),Administrations!$C55&amp;"","")</f>
        <v/>
      </c>
      <c r="C271" s="20" t="str">
        <f t="shared" si="54"/>
        <v/>
      </c>
      <c r="D271" s="20" t="str">
        <f>IF(B271="","",Administrations!$A55&amp;"")</f>
        <v/>
      </c>
      <c r="E271" s="20" t="str">
        <f>IF(B271="","",Administrations!$B55&amp;"")</f>
        <v/>
      </c>
      <c r="F271" s="20" t="str">
        <f t="shared" si="56"/>
        <v/>
      </c>
      <c r="G271" s="20" t="str">
        <f>IF(B271="","",Administrations!$D55&amp;"")</f>
        <v/>
      </c>
      <c r="H271" s="20" t="str">
        <f>IF(B271="","",Administrations!$N55&amp;"")</f>
        <v/>
      </c>
      <c r="I271" s="20" t="str">
        <f>IF(B271="","",Administrations!$Q55&amp;"")</f>
        <v/>
      </c>
      <c r="J271" s="20" t="str">
        <f>IF(B271="","",Administrations!$W55&amp;"")</f>
        <v/>
      </c>
      <c r="K271" s="20">
        <f>IF(B271="",0,Administrations!$X55)</f>
        <v>0</v>
      </c>
      <c r="L271" s="20">
        <f>IF(B271="",0,Administrations!$Y55)</f>
        <v>0</v>
      </c>
      <c r="M271" s="20" t="str">
        <f>IF(B271="","",Administrations!$AB55)</f>
        <v/>
      </c>
      <c r="N271" s="20" t="str">
        <f>IF(B271="","",Administrations!$AC55)</f>
        <v/>
      </c>
      <c r="O271" s="27" t="str">
        <f>IF(B271="","",Administrations!$Z55)</f>
        <v/>
      </c>
      <c r="P271" s="27" t="str">
        <f>IF(B271="","",Administrations!$AA55)</f>
        <v/>
      </c>
      <c r="Q271" s="20" t="str">
        <f t="shared" si="57"/>
        <v/>
      </c>
      <c r="R271" s="20" t="str">
        <f>IF(A271="","",IF(J271&lt;&gt;"",J271,IF(H271="TIMESTAMP",DAY(INT(M271/1440))&amp;" "&amp;INDEX(nLIST_Months,MONTH(INT(M271/1440)))&amp;" "&amp;YEAR(INT(M271/1440))&amp;" "&amp;RIGHT("0"&amp;INT(MOD(M271,1440)/60),2)&amp;":"&amp;RIGHT("0"&amp;MOD(M271,60),2)&amp;IF(L271=1," (UTC"&amp;I271&amp;")"," (offset unknown)"),IF(H271="DATE",DAY(O271)&amp;" "&amp;INDEX(nLIST_Months,MONTH(O271))&amp;" "&amp;YEAR(O271),IF(H271="MONTH",INDEX(nLIST_Months,MONTH(O271))&amp;" "&amp;YEAR(O271)&amp;" ("&amp;DAY(O271)&amp;" "&amp;INDEX(nLIST_Months,MONTH(O271))&amp;" "&amp;YEAR(O271)&amp;" to "&amp;DAY(P271)&amp;" "&amp;INDEX(nLIST_Months,MONTH(P271))&amp;" "&amp;YEAR(P271)&amp;")",IF(H271="YEAR",YEAR(O271)&amp;" (1 January to 31 December)",DAY(O271)&amp;" "&amp;INDEX(nLIST_Months,MONTH(O271))&amp;" "&amp;YEAR(O271)&amp;" to "&amp;DAY(P271)&amp;" "&amp;INDEX(nLIST_Months,MONTH(P271))&amp;" "&amp;YEAR(P271)&amp;IF(H271="LAB"," (laboratory-defined)","")))))))</f>
        <v/>
      </c>
      <c r="S271" s="20" t="str">
        <f>IF(B271="","",Administrations!$M55&amp;"")</f>
        <v/>
      </c>
      <c r="T271" s="20" t="str">
        <f>IF(B271="","",Administrations!$V55&amp;"")</f>
        <v/>
      </c>
      <c r="U271" s="20" t="str">
        <f>IF(B271="","","Administrations row "&amp;ROW(Administrations!$A55)&amp;", Administration")</f>
        <v/>
      </c>
      <c r="V271" s="20">
        <f>IF(A271="",0,COUNTIF(nTP_Key,A271))</f>
        <v>0</v>
      </c>
      <c r="W271" s="20">
        <f t="shared" si="58"/>
        <v>0</v>
      </c>
      <c r="X271" s="20">
        <f t="shared" si="59"/>
        <v>0</v>
      </c>
      <c r="Y271" s="20">
        <f t="shared" si="60"/>
        <v>0</v>
      </c>
      <c r="Z271" s="20">
        <f t="shared" si="61"/>
        <v>0</v>
      </c>
      <c r="AA271" s="20">
        <f t="shared" si="62"/>
        <v>267</v>
      </c>
      <c r="AB271" s="20" t="str">
        <f>IF(B271="","",Administrations!$E55&amp;"")</f>
        <v/>
      </c>
      <c r="AC271" s="20" t="str">
        <f>IF(B271="","",IFERROR(INDEX(nEXP_Role,MATCH(Administrations!$A55&amp;"|"&amp;Administrations!$B55&amp;"|"&amp;Administrations!$D55,nEXP_Key,0))&amp;"",""))</f>
        <v/>
      </c>
      <c r="AD271" s="20" t="str">
        <f>IF(B271="","",Administrations!$E55&amp;"")</f>
        <v/>
      </c>
      <c r="AE271" s="20">
        <f t="shared" si="63"/>
        <v>0</v>
      </c>
      <c r="AF271" s="20" t="str">
        <f t="shared" si="64"/>
        <v/>
      </c>
      <c r="AG271" s="20">
        <f t="shared" si="65"/>
        <v>0</v>
      </c>
      <c r="AH271" s="20" t="str">
        <f>""</f>
        <v/>
      </c>
    </row>
    <row r="272" spans="1:34" x14ac:dyDescent="0.2">
      <c r="A272" s="20" t="str">
        <f t="shared" si="55"/>
        <v/>
      </c>
      <c r="B272" s="20" t="str">
        <f>IF(AND(Administrations!$C56&lt;&gt;"",COUNTA(Administrations!$N56:$U56)&gt;0),Administrations!$C56&amp;"","")</f>
        <v/>
      </c>
      <c r="C272" s="20" t="str">
        <f t="shared" si="54"/>
        <v/>
      </c>
      <c r="D272" s="20" t="str">
        <f>IF(B272="","",Administrations!$A56&amp;"")</f>
        <v/>
      </c>
      <c r="E272" s="20" t="str">
        <f>IF(B272="","",Administrations!$B56&amp;"")</f>
        <v/>
      </c>
      <c r="F272" s="20" t="str">
        <f t="shared" si="56"/>
        <v/>
      </c>
      <c r="G272" s="20" t="str">
        <f>IF(B272="","",Administrations!$D56&amp;"")</f>
        <v/>
      </c>
      <c r="H272" s="20" t="str">
        <f>IF(B272="","",Administrations!$N56&amp;"")</f>
        <v/>
      </c>
      <c r="I272" s="20" t="str">
        <f>IF(B272="","",Administrations!$Q56&amp;"")</f>
        <v/>
      </c>
      <c r="J272" s="20" t="str">
        <f>IF(B272="","",Administrations!$W56&amp;"")</f>
        <v/>
      </c>
      <c r="K272" s="20">
        <f>IF(B272="",0,Administrations!$X56)</f>
        <v>0</v>
      </c>
      <c r="L272" s="20">
        <f>IF(B272="",0,Administrations!$Y56)</f>
        <v>0</v>
      </c>
      <c r="M272" s="20" t="str">
        <f>IF(B272="","",Administrations!$AB56)</f>
        <v/>
      </c>
      <c r="N272" s="20" t="str">
        <f>IF(B272="","",Administrations!$AC56)</f>
        <v/>
      </c>
      <c r="O272" s="27" t="str">
        <f>IF(B272="","",Administrations!$Z56)</f>
        <v/>
      </c>
      <c r="P272" s="27" t="str">
        <f>IF(B272="","",Administrations!$AA56)</f>
        <v/>
      </c>
      <c r="Q272" s="20" t="str">
        <f t="shared" si="57"/>
        <v/>
      </c>
      <c r="R272" s="20" t="str">
        <f>IF(A272="","",IF(J272&lt;&gt;"",J272,IF(H272="TIMESTAMP",DAY(INT(M272/1440))&amp;" "&amp;INDEX(nLIST_Months,MONTH(INT(M272/1440)))&amp;" "&amp;YEAR(INT(M272/1440))&amp;" "&amp;RIGHT("0"&amp;INT(MOD(M272,1440)/60),2)&amp;":"&amp;RIGHT("0"&amp;MOD(M272,60),2)&amp;IF(L272=1," (UTC"&amp;I272&amp;")"," (offset unknown)"),IF(H272="DATE",DAY(O272)&amp;" "&amp;INDEX(nLIST_Months,MONTH(O272))&amp;" "&amp;YEAR(O272),IF(H272="MONTH",INDEX(nLIST_Months,MONTH(O272))&amp;" "&amp;YEAR(O272)&amp;" ("&amp;DAY(O272)&amp;" "&amp;INDEX(nLIST_Months,MONTH(O272))&amp;" "&amp;YEAR(O272)&amp;" to "&amp;DAY(P272)&amp;" "&amp;INDEX(nLIST_Months,MONTH(P272))&amp;" "&amp;YEAR(P272)&amp;")",IF(H272="YEAR",YEAR(O272)&amp;" (1 January to 31 December)",DAY(O272)&amp;" "&amp;INDEX(nLIST_Months,MONTH(O272))&amp;" "&amp;YEAR(O272)&amp;" to "&amp;DAY(P272)&amp;" "&amp;INDEX(nLIST_Months,MONTH(P272))&amp;" "&amp;YEAR(P272)&amp;IF(H272="LAB"," (laboratory-defined)","")))))))</f>
        <v/>
      </c>
      <c r="S272" s="20" t="str">
        <f>IF(B272="","",Administrations!$M56&amp;"")</f>
        <v/>
      </c>
      <c r="T272" s="20" t="str">
        <f>IF(B272="","",Administrations!$V56&amp;"")</f>
        <v/>
      </c>
      <c r="U272" s="20" t="str">
        <f>IF(B272="","","Administrations row "&amp;ROW(Administrations!$A56)&amp;", Administration")</f>
        <v/>
      </c>
      <c r="V272" s="20">
        <f>IF(A272="",0,COUNTIF(nTP_Key,A272))</f>
        <v>0</v>
      </c>
      <c r="W272" s="20">
        <f t="shared" si="58"/>
        <v>0</v>
      </c>
      <c r="X272" s="20">
        <f t="shared" si="59"/>
        <v>0</v>
      </c>
      <c r="Y272" s="20">
        <f t="shared" si="60"/>
        <v>0</v>
      </c>
      <c r="Z272" s="20">
        <f t="shared" si="61"/>
        <v>0</v>
      </c>
      <c r="AA272" s="20">
        <f t="shared" si="62"/>
        <v>268</v>
      </c>
      <c r="AB272" s="20" t="str">
        <f>IF(B272="","",Administrations!$E56&amp;"")</f>
        <v/>
      </c>
      <c r="AC272" s="20" t="str">
        <f>IF(B272="","",IFERROR(INDEX(nEXP_Role,MATCH(Administrations!$A56&amp;"|"&amp;Administrations!$B56&amp;"|"&amp;Administrations!$D56,nEXP_Key,0))&amp;"",""))</f>
        <v/>
      </c>
      <c r="AD272" s="20" t="str">
        <f>IF(B272="","",Administrations!$E56&amp;"")</f>
        <v/>
      </c>
      <c r="AE272" s="20">
        <f t="shared" si="63"/>
        <v>0</v>
      </c>
      <c r="AF272" s="20" t="str">
        <f t="shared" si="64"/>
        <v/>
      </c>
      <c r="AG272" s="20">
        <f t="shared" si="65"/>
        <v>0</v>
      </c>
      <c r="AH272" s="20" t="str">
        <f>""</f>
        <v/>
      </c>
    </row>
    <row r="273" spans="1:34" x14ac:dyDescent="0.2">
      <c r="A273" s="20" t="str">
        <f t="shared" si="55"/>
        <v/>
      </c>
      <c r="B273" s="20" t="str">
        <f>IF(AND(Administrations!$C57&lt;&gt;"",COUNTA(Administrations!$N57:$U57)&gt;0),Administrations!$C57&amp;"","")</f>
        <v/>
      </c>
      <c r="C273" s="20" t="str">
        <f t="shared" si="54"/>
        <v/>
      </c>
      <c r="D273" s="20" t="str">
        <f>IF(B273="","",Administrations!$A57&amp;"")</f>
        <v/>
      </c>
      <c r="E273" s="20" t="str">
        <f>IF(B273="","",Administrations!$B57&amp;"")</f>
        <v/>
      </c>
      <c r="F273" s="20" t="str">
        <f t="shared" si="56"/>
        <v/>
      </c>
      <c r="G273" s="20" t="str">
        <f>IF(B273="","",Administrations!$D57&amp;"")</f>
        <v/>
      </c>
      <c r="H273" s="20" t="str">
        <f>IF(B273="","",Administrations!$N57&amp;"")</f>
        <v/>
      </c>
      <c r="I273" s="20" t="str">
        <f>IF(B273="","",Administrations!$Q57&amp;"")</f>
        <v/>
      </c>
      <c r="J273" s="20" t="str">
        <f>IF(B273="","",Administrations!$W57&amp;"")</f>
        <v/>
      </c>
      <c r="K273" s="20">
        <f>IF(B273="",0,Administrations!$X57)</f>
        <v>0</v>
      </c>
      <c r="L273" s="20">
        <f>IF(B273="",0,Administrations!$Y57)</f>
        <v>0</v>
      </c>
      <c r="M273" s="20" t="str">
        <f>IF(B273="","",Administrations!$AB57)</f>
        <v/>
      </c>
      <c r="N273" s="20" t="str">
        <f>IF(B273="","",Administrations!$AC57)</f>
        <v/>
      </c>
      <c r="O273" s="27" t="str">
        <f>IF(B273="","",Administrations!$Z57)</f>
        <v/>
      </c>
      <c r="P273" s="27" t="str">
        <f>IF(B273="","",Administrations!$AA57)</f>
        <v/>
      </c>
      <c r="Q273" s="20" t="str">
        <f t="shared" si="57"/>
        <v/>
      </c>
      <c r="R273" s="20" t="str">
        <f>IF(A273="","",IF(J273&lt;&gt;"",J273,IF(H273="TIMESTAMP",DAY(INT(M273/1440))&amp;" "&amp;INDEX(nLIST_Months,MONTH(INT(M273/1440)))&amp;" "&amp;YEAR(INT(M273/1440))&amp;" "&amp;RIGHT("0"&amp;INT(MOD(M273,1440)/60),2)&amp;":"&amp;RIGHT("0"&amp;MOD(M273,60),2)&amp;IF(L273=1," (UTC"&amp;I273&amp;")"," (offset unknown)"),IF(H273="DATE",DAY(O273)&amp;" "&amp;INDEX(nLIST_Months,MONTH(O273))&amp;" "&amp;YEAR(O273),IF(H273="MONTH",INDEX(nLIST_Months,MONTH(O273))&amp;" "&amp;YEAR(O273)&amp;" ("&amp;DAY(O273)&amp;" "&amp;INDEX(nLIST_Months,MONTH(O273))&amp;" "&amp;YEAR(O273)&amp;" to "&amp;DAY(P273)&amp;" "&amp;INDEX(nLIST_Months,MONTH(P273))&amp;" "&amp;YEAR(P273)&amp;")",IF(H273="YEAR",YEAR(O273)&amp;" (1 January to 31 December)",DAY(O273)&amp;" "&amp;INDEX(nLIST_Months,MONTH(O273))&amp;" "&amp;YEAR(O273)&amp;" to "&amp;DAY(P273)&amp;" "&amp;INDEX(nLIST_Months,MONTH(P273))&amp;" "&amp;YEAR(P273)&amp;IF(H273="LAB"," (laboratory-defined)","")))))))</f>
        <v/>
      </c>
      <c r="S273" s="20" t="str">
        <f>IF(B273="","",Administrations!$M57&amp;"")</f>
        <v/>
      </c>
      <c r="T273" s="20" t="str">
        <f>IF(B273="","",Administrations!$V57&amp;"")</f>
        <v/>
      </c>
      <c r="U273" s="20" t="str">
        <f>IF(B273="","","Administrations row "&amp;ROW(Administrations!$A57)&amp;", Administration")</f>
        <v/>
      </c>
      <c r="V273" s="20">
        <f>IF(A273="",0,COUNTIF(nTP_Key,A273))</f>
        <v>0</v>
      </c>
      <c r="W273" s="20">
        <f t="shared" si="58"/>
        <v>0</v>
      </c>
      <c r="X273" s="20">
        <f t="shared" si="59"/>
        <v>0</v>
      </c>
      <c r="Y273" s="20">
        <f t="shared" si="60"/>
        <v>0</v>
      </c>
      <c r="Z273" s="20">
        <f t="shared" si="61"/>
        <v>0</v>
      </c>
      <c r="AA273" s="20">
        <f t="shared" si="62"/>
        <v>269</v>
      </c>
      <c r="AB273" s="20" t="str">
        <f>IF(B273="","",Administrations!$E57&amp;"")</f>
        <v/>
      </c>
      <c r="AC273" s="20" t="str">
        <f>IF(B273="","",IFERROR(INDEX(nEXP_Role,MATCH(Administrations!$A57&amp;"|"&amp;Administrations!$B57&amp;"|"&amp;Administrations!$D57,nEXP_Key,0))&amp;"",""))</f>
        <v/>
      </c>
      <c r="AD273" s="20" t="str">
        <f>IF(B273="","",Administrations!$E57&amp;"")</f>
        <v/>
      </c>
      <c r="AE273" s="20">
        <f t="shared" si="63"/>
        <v>0</v>
      </c>
      <c r="AF273" s="20" t="str">
        <f t="shared" si="64"/>
        <v/>
      </c>
      <c r="AG273" s="20">
        <f t="shared" si="65"/>
        <v>0</v>
      </c>
      <c r="AH273" s="20" t="str">
        <f>""</f>
        <v/>
      </c>
    </row>
    <row r="274" spans="1:34" x14ac:dyDescent="0.2">
      <c r="A274" s="20" t="str">
        <f t="shared" si="55"/>
        <v/>
      </c>
      <c r="B274" s="20" t="str">
        <f>IF(AND(Administrations!$C58&lt;&gt;"",COUNTA(Administrations!$N58:$U58)&gt;0),Administrations!$C58&amp;"","")</f>
        <v/>
      </c>
      <c r="C274" s="20" t="str">
        <f t="shared" si="54"/>
        <v/>
      </c>
      <c r="D274" s="20" t="str">
        <f>IF(B274="","",Administrations!$A58&amp;"")</f>
        <v/>
      </c>
      <c r="E274" s="20" t="str">
        <f>IF(B274="","",Administrations!$B58&amp;"")</f>
        <v/>
      </c>
      <c r="F274" s="20" t="str">
        <f t="shared" si="56"/>
        <v/>
      </c>
      <c r="G274" s="20" t="str">
        <f>IF(B274="","",Administrations!$D58&amp;"")</f>
        <v/>
      </c>
      <c r="H274" s="20" t="str">
        <f>IF(B274="","",Administrations!$N58&amp;"")</f>
        <v/>
      </c>
      <c r="I274" s="20" t="str">
        <f>IF(B274="","",Administrations!$Q58&amp;"")</f>
        <v/>
      </c>
      <c r="J274" s="20" t="str">
        <f>IF(B274="","",Administrations!$W58&amp;"")</f>
        <v/>
      </c>
      <c r="K274" s="20">
        <f>IF(B274="",0,Administrations!$X58)</f>
        <v>0</v>
      </c>
      <c r="L274" s="20">
        <f>IF(B274="",0,Administrations!$Y58)</f>
        <v>0</v>
      </c>
      <c r="M274" s="20" t="str">
        <f>IF(B274="","",Administrations!$AB58)</f>
        <v/>
      </c>
      <c r="N274" s="20" t="str">
        <f>IF(B274="","",Administrations!$AC58)</f>
        <v/>
      </c>
      <c r="O274" s="27" t="str">
        <f>IF(B274="","",Administrations!$Z58)</f>
        <v/>
      </c>
      <c r="P274" s="27" t="str">
        <f>IF(B274="","",Administrations!$AA58)</f>
        <v/>
      </c>
      <c r="Q274" s="20" t="str">
        <f t="shared" si="57"/>
        <v/>
      </c>
      <c r="R274" s="20" t="str">
        <f>IF(A274="","",IF(J274&lt;&gt;"",J274,IF(H274="TIMESTAMP",DAY(INT(M274/1440))&amp;" "&amp;INDEX(nLIST_Months,MONTH(INT(M274/1440)))&amp;" "&amp;YEAR(INT(M274/1440))&amp;" "&amp;RIGHT("0"&amp;INT(MOD(M274,1440)/60),2)&amp;":"&amp;RIGHT("0"&amp;MOD(M274,60),2)&amp;IF(L274=1," (UTC"&amp;I274&amp;")"," (offset unknown)"),IF(H274="DATE",DAY(O274)&amp;" "&amp;INDEX(nLIST_Months,MONTH(O274))&amp;" "&amp;YEAR(O274),IF(H274="MONTH",INDEX(nLIST_Months,MONTH(O274))&amp;" "&amp;YEAR(O274)&amp;" ("&amp;DAY(O274)&amp;" "&amp;INDEX(nLIST_Months,MONTH(O274))&amp;" "&amp;YEAR(O274)&amp;" to "&amp;DAY(P274)&amp;" "&amp;INDEX(nLIST_Months,MONTH(P274))&amp;" "&amp;YEAR(P274)&amp;")",IF(H274="YEAR",YEAR(O274)&amp;" (1 January to 31 December)",DAY(O274)&amp;" "&amp;INDEX(nLIST_Months,MONTH(O274))&amp;" "&amp;YEAR(O274)&amp;" to "&amp;DAY(P274)&amp;" "&amp;INDEX(nLIST_Months,MONTH(P274))&amp;" "&amp;YEAR(P274)&amp;IF(H274="LAB"," (laboratory-defined)","")))))))</f>
        <v/>
      </c>
      <c r="S274" s="20" t="str">
        <f>IF(B274="","",Administrations!$M58&amp;"")</f>
        <v/>
      </c>
      <c r="T274" s="20" t="str">
        <f>IF(B274="","",Administrations!$V58&amp;"")</f>
        <v/>
      </c>
      <c r="U274" s="20" t="str">
        <f>IF(B274="","","Administrations row "&amp;ROW(Administrations!$A58)&amp;", Administration")</f>
        <v/>
      </c>
      <c r="V274" s="20">
        <f>IF(A274="",0,COUNTIF(nTP_Key,A274))</f>
        <v>0</v>
      </c>
      <c r="W274" s="20">
        <f t="shared" si="58"/>
        <v>0</v>
      </c>
      <c r="X274" s="20">
        <f t="shared" si="59"/>
        <v>0</v>
      </c>
      <c r="Y274" s="20">
        <f t="shared" si="60"/>
        <v>0</v>
      </c>
      <c r="Z274" s="20">
        <f t="shared" si="61"/>
        <v>0</v>
      </c>
      <c r="AA274" s="20">
        <f t="shared" si="62"/>
        <v>270</v>
      </c>
      <c r="AB274" s="20" t="str">
        <f>IF(B274="","",Administrations!$E58&amp;"")</f>
        <v/>
      </c>
      <c r="AC274" s="20" t="str">
        <f>IF(B274="","",IFERROR(INDEX(nEXP_Role,MATCH(Administrations!$A58&amp;"|"&amp;Administrations!$B58&amp;"|"&amp;Administrations!$D58,nEXP_Key,0))&amp;"",""))</f>
        <v/>
      </c>
      <c r="AD274" s="20" t="str">
        <f>IF(B274="","",Administrations!$E58&amp;"")</f>
        <v/>
      </c>
      <c r="AE274" s="20">
        <f t="shared" si="63"/>
        <v>0</v>
      </c>
      <c r="AF274" s="20" t="str">
        <f t="shared" si="64"/>
        <v/>
      </c>
      <c r="AG274" s="20">
        <f t="shared" si="65"/>
        <v>0</v>
      </c>
      <c r="AH274" s="20" t="str">
        <f>""</f>
        <v/>
      </c>
    </row>
    <row r="275" spans="1:34" x14ac:dyDescent="0.2">
      <c r="A275" s="20" t="str">
        <f t="shared" si="55"/>
        <v/>
      </c>
      <c r="B275" s="20" t="str">
        <f>IF(AND(Administrations!$C59&lt;&gt;"",COUNTA(Administrations!$N59:$U59)&gt;0),Administrations!$C59&amp;"","")</f>
        <v/>
      </c>
      <c r="C275" s="20" t="str">
        <f t="shared" si="54"/>
        <v/>
      </c>
      <c r="D275" s="20" t="str">
        <f>IF(B275="","",Administrations!$A59&amp;"")</f>
        <v/>
      </c>
      <c r="E275" s="20" t="str">
        <f>IF(B275="","",Administrations!$B59&amp;"")</f>
        <v/>
      </c>
      <c r="F275" s="20" t="str">
        <f t="shared" si="56"/>
        <v/>
      </c>
      <c r="G275" s="20" t="str">
        <f>IF(B275="","",Administrations!$D59&amp;"")</f>
        <v/>
      </c>
      <c r="H275" s="20" t="str">
        <f>IF(B275="","",Administrations!$N59&amp;"")</f>
        <v/>
      </c>
      <c r="I275" s="20" t="str">
        <f>IF(B275="","",Administrations!$Q59&amp;"")</f>
        <v/>
      </c>
      <c r="J275" s="20" t="str">
        <f>IF(B275="","",Administrations!$W59&amp;"")</f>
        <v/>
      </c>
      <c r="K275" s="20">
        <f>IF(B275="",0,Administrations!$X59)</f>
        <v>0</v>
      </c>
      <c r="L275" s="20">
        <f>IF(B275="",0,Administrations!$Y59)</f>
        <v>0</v>
      </c>
      <c r="M275" s="20" t="str">
        <f>IF(B275="","",Administrations!$AB59)</f>
        <v/>
      </c>
      <c r="N275" s="20" t="str">
        <f>IF(B275="","",Administrations!$AC59)</f>
        <v/>
      </c>
      <c r="O275" s="27" t="str">
        <f>IF(B275="","",Administrations!$Z59)</f>
        <v/>
      </c>
      <c r="P275" s="27" t="str">
        <f>IF(B275="","",Administrations!$AA59)</f>
        <v/>
      </c>
      <c r="Q275" s="20" t="str">
        <f t="shared" si="57"/>
        <v/>
      </c>
      <c r="R275" s="20" t="str">
        <f>IF(A275="","",IF(J275&lt;&gt;"",J275,IF(H275="TIMESTAMP",DAY(INT(M275/1440))&amp;" "&amp;INDEX(nLIST_Months,MONTH(INT(M275/1440)))&amp;" "&amp;YEAR(INT(M275/1440))&amp;" "&amp;RIGHT("0"&amp;INT(MOD(M275,1440)/60),2)&amp;":"&amp;RIGHT("0"&amp;MOD(M275,60),2)&amp;IF(L275=1," (UTC"&amp;I275&amp;")"," (offset unknown)"),IF(H275="DATE",DAY(O275)&amp;" "&amp;INDEX(nLIST_Months,MONTH(O275))&amp;" "&amp;YEAR(O275),IF(H275="MONTH",INDEX(nLIST_Months,MONTH(O275))&amp;" "&amp;YEAR(O275)&amp;" ("&amp;DAY(O275)&amp;" "&amp;INDEX(nLIST_Months,MONTH(O275))&amp;" "&amp;YEAR(O275)&amp;" to "&amp;DAY(P275)&amp;" "&amp;INDEX(nLIST_Months,MONTH(P275))&amp;" "&amp;YEAR(P275)&amp;")",IF(H275="YEAR",YEAR(O275)&amp;" (1 January to 31 December)",DAY(O275)&amp;" "&amp;INDEX(nLIST_Months,MONTH(O275))&amp;" "&amp;YEAR(O275)&amp;" to "&amp;DAY(P275)&amp;" "&amp;INDEX(nLIST_Months,MONTH(P275))&amp;" "&amp;YEAR(P275)&amp;IF(H275="LAB"," (laboratory-defined)","")))))))</f>
        <v/>
      </c>
      <c r="S275" s="20" t="str">
        <f>IF(B275="","",Administrations!$M59&amp;"")</f>
        <v/>
      </c>
      <c r="T275" s="20" t="str">
        <f>IF(B275="","",Administrations!$V59&amp;"")</f>
        <v/>
      </c>
      <c r="U275" s="20" t="str">
        <f>IF(B275="","","Administrations row "&amp;ROW(Administrations!$A59)&amp;", Administration")</f>
        <v/>
      </c>
      <c r="V275" s="20">
        <f>IF(A275="",0,COUNTIF(nTP_Key,A275))</f>
        <v>0</v>
      </c>
      <c r="W275" s="20">
        <f t="shared" si="58"/>
        <v>0</v>
      </c>
      <c r="X275" s="20">
        <f t="shared" si="59"/>
        <v>0</v>
      </c>
      <c r="Y275" s="20">
        <f t="shared" si="60"/>
        <v>0</v>
      </c>
      <c r="Z275" s="20">
        <f t="shared" si="61"/>
        <v>0</v>
      </c>
      <c r="AA275" s="20">
        <f t="shared" si="62"/>
        <v>271</v>
      </c>
      <c r="AB275" s="20" t="str">
        <f>IF(B275="","",Administrations!$E59&amp;"")</f>
        <v/>
      </c>
      <c r="AC275" s="20" t="str">
        <f>IF(B275="","",IFERROR(INDEX(nEXP_Role,MATCH(Administrations!$A59&amp;"|"&amp;Administrations!$B59&amp;"|"&amp;Administrations!$D59,nEXP_Key,0))&amp;"",""))</f>
        <v/>
      </c>
      <c r="AD275" s="20" t="str">
        <f>IF(B275="","",Administrations!$E59&amp;"")</f>
        <v/>
      </c>
      <c r="AE275" s="20">
        <f t="shared" si="63"/>
        <v>0</v>
      </c>
      <c r="AF275" s="20" t="str">
        <f t="shared" si="64"/>
        <v/>
      </c>
      <c r="AG275" s="20">
        <f t="shared" si="65"/>
        <v>0</v>
      </c>
      <c r="AH275" s="20" t="str">
        <f>""</f>
        <v/>
      </c>
    </row>
    <row r="276" spans="1:34" x14ac:dyDescent="0.2">
      <c r="A276" s="20" t="str">
        <f t="shared" si="55"/>
        <v/>
      </c>
      <c r="B276" s="20" t="str">
        <f>IF(AND(Administrations!$C60&lt;&gt;"",COUNTA(Administrations!$N60:$U60)&gt;0),Administrations!$C60&amp;"","")</f>
        <v/>
      </c>
      <c r="C276" s="20" t="str">
        <f t="shared" si="54"/>
        <v/>
      </c>
      <c r="D276" s="20" t="str">
        <f>IF(B276="","",Administrations!$A60&amp;"")</f>
        <v/>
      </c>
      <c r="E276" s="20" t="str">
        <f>IF(B276="","",Administrations!$B60&amp;"")</f>
        <v/>
      </c>
      <c r="F276" s="20" t="str">
        <f t="shared" si="56"/>
        <v/>
      </c>
      <c r="G276" s="20" t="str">
        <f>IF(B276="","",Administrations!$D60&amp;"")</f>
        <v/>
      </c>
      <c r="H276" s="20" t="str">
        <f>IF(B276="","",Administrations!$N60&amp;"")</f>
        <v/>
      </c>
      <c r="I276" s="20" t="str">
        <f>IF(B276="","",Administrations!$Q60&amp;"")</f>
        <v/>
      </c>
      <c r="J276" s="20" t="str">
        <f>IF(B276="","",Administrations!$W60&amp;"")</f>
        <v/>
      </c>
      <c r="K276" s="20">
        <f>IF(B276="",0,Administrations!$X60)</f>
        <v>0</v>
      </c>
      <c r="L276" s="20">
        <f>IF(B276="",0,Administrations!$Y60)</f>
        <v>0</v>
      </c>
      <c r="M276" s="20" t="str">
        <f>IF(B276="","",Administrations!$AB60)</f>
        <v/>
      </c>
      <c r="N276" s="20" t="str">
        <f>IF(B276="","",Administrations!$AC60)</f>
        <v/>
      </c>
      <c r="O276" s="27" t="str">
        <f>IF(B276="","",Administrations!$Z60)</f>
        <v/>
      </c>
      <c r="P276" s="27" t="str">
        <f>IF(B276="","",Administrations!$AA60)</f>
        <v/>
      </c>
      <c r="Q276" s="20" t="str">
        <f t="shared" si="57"/>
        <v/>
      </c>
      <c r="R276" s="20" t="str">
        <f>IF(A276="","",IF(J276&lt;&gt;"",J276,IF(H276="TIMESTAMP",DAY(INT(M276/1440))&amp;" "&amp;INDEX(nLIST_Months,MONTH(INT(M276/1440)))&amp;" "&amp;YEAR(INT(M276/1440))&amp;" "&amp;RIGHT("0"&amp;INT(MOD(M276,1440)/60),2)&amp;":"&amp;RIGHT("0"&amp;MOD(M276,60),2)&amp;IF(L276=1," (UTC"&amp;I276&amp;")"," (offset unknown)"),IF(H276="DATE",DAY(O276)&amp;" "&amp;INDEX(nLIST_Months,MONTH(O276))&amp;" "&amp;YEAR(O276),IF(H276="MONTH",INDEX(nLIST_Months,MONTH(O276))&amp;" "&amp;YEAR(O276)&amp;" ("&amp;DAY(O276)&amp;" "&amp;INDEX(nLIST_Months,MONTH(O276))&amp;" "&amp;YEAR(O276)&amp;" to "&amp;DAY(P276)&amp;" "&amp;INDEX(nLIST_Months,MONTH(P276))&amp;" "&amp;YEAR(P276)&amp;")",IF(H276="YEAR",YEAR(O276)&amp;" (1 January to 31 December)",DAY(O276)&amp;" "&amp;INDEX(nLIST_Months,MONTH(O276))&amp;" "&amp;YEAR(O276)&amp;" to "&amp;DAY(P276)&amp;" "&amp;INDEX(nLIST_Months,MONTH(P276))&amp;" "&amp;YEAR(P276)&amp;IF(H276="LAB"," (laboratory-defined)","")))))))</f>
        <v/>
      </c>
      <c r="S276" s="20" t="str">
        <f>IF(B276="","",Administrations!$M60&amp;"")</f>
        <v/>
      </c>
      <c r="T276" s="20" t="str">
        <f>IF(B276="","",Administrations!$V60&amp;"")</f>
        <v/>
      </c>
      <c r="U276" s="20" t="str">
        <f>IF(B276="","","Administrations row "&amp;ROW(Administrations!$A60)&amp;", Administration")</f>
        <v/>
      </c>
      <c r="V276" s="20">
        <f>IF(A276="",0,COUNTIF(nTP_Key,A276))</f>
        <v>0</v>
      </c>
      <c r="W276" s="20">
        <f t="shared" si="58"/>
        <v>0</v>
      </c>
      <c r="X276" s="20">
        <f t="shared" si="59"/>
        <v>0</v>
      </c>
      <c r="Y276" s="20">
        <f t="shared" si="60"/>
        <v>0</v>
      </c>
      <c r="Z276" s="20">
        <f t="shared" si="61"/>
        <v>0</v>
      </c>
      <c r="AA276" s="20">
        <f t="shared" si="62"/>
        <v>272</v>
      </c>
      <c r="AB276" s="20" t="str">
        <f>IF(B276="","",Administrations!$E60&amp;"")</f>
        <v/>
      </c>
      <c r="AC276" s="20" t="str">
        <f>IF(B276="","",IFERROR(INDEX(nEXP_Role,MATCH(Administrations!$A60&amp;"|"&amp;Administrations!$B60&amp;"|"&amp;Administrations!$D60,nEXP_Key,0))&amp;"",""))</f>
        <v/>
      </c>
      <c r="AD276" s="20" t="str">
        <f>IF(B276="","",Administrations!$E60&amp;"")</f>
        <v/>
      </c>
      <c r="AE276" s="20">
        <f t="shared" si="63"/>
        <v>0</v>
      </c>
      <c r="AF276" s="20" t="str">
        <f t="shared" si="64"/>
        <v/>
      </c>
      <c r="AG276" s="20">
        <f t="shared" si="65"/>
        <v>0</v>
      </c>
      <c r="AH276" s="20" t="str">
        <f>""</f>
        <v/>
      </c>
    </row>
    <row r="277" spans="1:34" x14ac:dyDescent="0.2">
      <c r="A277" s="20" t="str">
        <f t="shared" si="55"/>
        <v/>
      </c>
      <c r="B277" s="20" t="str">
        <f>IF(AND(Administrations!$C61&lt;&gt;"",COUNTA(Administrations!$N61:$U61)&gt;0),Administrations!$C61&amp;"","")</f>
        <v/>
      </c>
      <c r="C277" s="20" t="str">
        <f t="shared" si="54"/>
        <v/>
      </c>
      <c r="D277" s="20" t="str">
        <f>IF(B277="","",Administrations!$A61&amp;"")</f>
        <v/>
      </c>
      <c r="E277" s="20" t="str">
        <f>IF(B277="","",Administrations!$B61&amp;"")</f>
        <v/>
      </c>
      <c r="F277" s="20" t="str">
        <f t="shared" si="56"/>
        <v/>
      </c>
      <c r="G277" s="20" t="str">
        <f>IF(B277="","",Administrations!$D61&amp;"")</f>
        <v/>
      </c>
      <c r="H277" s="20" t="str">
        <f>IF(B277="","",Administrations!$N61&amp;"")</f>
        <v/>
      </c>
      <c r="I277" s="20" t="str">
        <f>IF(B277="","",Administrations!$Q61&amp;"")</f>
        <v/>
      </c>
      <c r="J277" s="20" t="str">
        <f>IF(B277="","",Administrations!$W61&amp;"")</f>
        <v/>
      </c>
      <c r="K277" s="20">
        <f>IF(B277="",0,Administrations!$X61)</f>
        <v>0</v>
      </c>
      <c r="L277" s="20">
        <f>IF(B277="",0,Administrations!$Y61)</f>
        <v>0</v>
      </c>
      <c r="M277" s="20" t="str">
        <f>IF(B277="","",Administrations!$AB61)</f>
        <v/>
      </c>
      <c r="N277" s="20" t="str">
        <f>IF(B277="","",Administrations!$AC61)</f>
        <v/>
      </c>
      <c r="O277" s="27" t="str">
        <f>IF(B277="","",Administrations!$Z61)</f>
        <v/>
      </c>
      <c r="P277" s="27" t="str">
        <f>IF(B277="","",Administrations!$AA61)</f>
        <v/>
      </c>
      <c r="Q277" s="20" t="str">
        <f t="shared" si="57"/>
        <v/>
      </c>
      <c r="R277" s="20" t="str">
        <f>IF(A277="","",IF(J277&lt;&gt;"",J277,IF(H277="TIMESTAMP",DAY(INT(M277/1440))&amp;" "&amp;INDEX(nLIST_Months,MONTH(INT(M277/1440)))&amp;" "&amp;YEAR(INT(M277/1440))&amp;" "&amp;RIGHT("0"&amp;INT(MOD(M277,1440)/60),2)&amp;":"&amp;RIGHT("0"&amp;MOD(M277,60),2)&amp;IF(L277=1," (UTC"&amp;I277&amp;")"," (offset unknown)"),IF(H277="DATE",DAY(O277)&amp;" "&amp;INDEX(nLIST_Months,MONTH(O277))&amp;" "&amp;YEAR(O277),IF(H277="MONTH",INDEX(nLIST_Months,MONTH(O277))&amp;" "&amp;YEAR(O277)&amp;" ("&amp;DAY(O277)&amp;" "&amp;INDEX(nLIST_Months,MONTH(O277))&amp;" "&amp;YEAR(O277)&amp;" to "&amp;DAY(P277)&amp;" "&amp;INDEX(nLIST_Months,MONTH(P277))&amp;" "&amp;YEAR(P277)&amp;")",IF(H277="YEAR",YEAR(O277)&amp;" (1 January to 31 December)",DAY(O277)&amp;" "&amp;INDEX(nLIST_Months,MONTH(O277))&amp;" "&amp;YEAR(O277)&amp;" to "&amp;DAY(P277)&amp;" "&amp;INDEX(nLIST_Months,MONTH(P277))&amp;" "&amp;YEAR(P277)&amp;IF(H277="LAB"," (laboratory-defined)","")))))))</f>
        <v/>
      </c>
      <c r="S277" s="20" t="str">
        <f>IF(B277="","",Administrations!$M61&amp;"")</f>
        <v/>
      </c>
      <c r="T277" s="20" t="str">
        <f>IF(B277="","",Administrations!$V61&amp;"")</f>
        <v/>
      </c>
      <c r="U277" s="20" t="str">
        <f>IF(B277="","","Administrations row "&amp;ROW(Administrations!$A61)&amp;", Administration")</f>
        <v/>
      </c>
      <c r="V277" s="20">
        <f>IF(A277="",0,COUNTIF(nTP_Key,A277))</f>
        <v>0</v>
      </c>
      <c r="W277" s="20">
        <f t="shared" si="58"/>
        <v>0</v>
      </c>
      <c r="X277" s="20">
        <f t="shared" si="59"/>
        <v>0</v>
      </c>
      <c r="Y277" s="20">
        <f t="shared" si="60"/>
        <v>0</v>
      </c>
      <c r="Z277" s="20">
        <f t="shared" si="61"/>
        <v>0</v>
      </c>
      <c r="AA277" s="20">
        <f t="shared" si="62"/>
        <v>273</v>
      </c>
      <c r="AB277" s="20" t="str">
        <f>IF(B277="","",Administrations!$E61&amp;"")</f>
        <v/>
      </c>
      <c r="AC277" s="20" t="str">
        <f>IF(B277="","",IFERROR(INDEX(nEXP_Role,MATCH(Administrations!$A61&amp;"|"&amp;Administrations!$B61&amp;"|"&amp;Administrations!$D61,nEXP_Key,0))&amp;"",""))</f>
        <v/>
      </c>
      <c r="AD277" s="20" t="str">
        <f>IF(B277="","",Administrations!$E61&amp;"")</f>
        <v/>
      </c>
      <c r="AE277" s="20">
        <f t="shared" si="63"/>
        <v>0</v>
      </c>
      <c r="AF277" s="20" t="str">
        <f t="shared" si="64"/>
        <v/>
      </c>
      <c r="AG277" s="20">
        <f t="shared" si="65"/>
        <v>0</v>
      </c>
      <c r="AH277" s="20" t="str">
        <f>""</f>
        <v/>
      </c>
    </row>
    <row r="278" spans="1:34" x14ac:dyDescent="0.2">
      <c r="A278" s="20" t="str">
        <f t="shared" si="55"/>
        <v/>
      </c>
      <c r="B278" s="20" t="str">
        <f>IF(AND(Administrations!$C62&lt;&gt;"",COUNTA(Administrations!$N62:$U62)&gt;0),Administrations!$C62&amp;"","")</f>
        <v/>
      </c>
      <c r="C278" s="20" t="str">
        <f t="shared" si="54"/>
        <v/>
      </c>
      <c r="D278" s="20" t="str">
        <f>IF(B278="","",Administrations!$A62&amp;"")</f>
        <v/>
      </c>
      <c r="E278" s="20" t="str">
        <f>IF(B278="","",Administrations!$B62&amp;"")</f>
        <v/>
      </c>
      <c r="F278" s="20" t="str">
        <f t="shared" si="56"/>
        <v/>
      </c>
      <c r="G278" s="20" t="str">
        <f>IF(B278="","",Administrations!$D62&amp;"")</f>
        <v/>
      </c>
      <c r="H278" s="20" t="str">
        <f>IF(B278="","",Administrations!$N62&amp;"")</f>
        <v/>
      </c>
      <c r="I278" s="20" t="str">
        <f>IF(B278="","",Administrations!$Q62&amp;"")</f>
        <v/>
      </c>
      <c r="J278" s="20" t="str">
        <f>IF(B278="","",Administrations!$W62&amp;"")</f>
        <v/>
      </c>
      <c r="K278" s="20">
        <f>IF(B278="",0,Administrations!$X62)</f>
        <v>0</v>
      </c>
      <c r="L278" s="20">
        <f>IF(B278="",0,Administrations!$Y62)</f>
        <v>0</v>
      </c>
      <c r="M278" s="20" t="str">
        <f>IF(B278="","",Administrations!$AB62)</f>
        <v/>
      </c>
      <c r="N278" s="20" t="str">
        <f>IF(B278="","",Administrations!$AC62)</f>
        <v/>
      </c>
      <c r="O278" s="27" t="str">
        <f>IF(B278="","",Administrations!$Z62)</f>
        <v/>
      </c>
      <c r="P278" s="27" t="str">
        <f>IF(B278="","",Administrations!$AA62)</f>
        <v/>
      </c>
      <c r="Q278" s="20" t="str">
        <f t="shared" si="57"/>
        <v/>
      </c>
      <c r="R278" s="20" t="str">
        <f>IF(A278="","",IF(J278&lt;&gt;"",J278,IF(H278="TIMESTAMP",DAY(INT(M278/1440))&amp;" "&amp;INDEX(nLIST_Months,MONTH(INT(M278/1440)))&amp;" "&amp;YEAR(INT(M278/1440))&amp;" "&amp;RIGHT("0"&amp;INT(MOD(M278,1440)/60),2)&amp;":"&amp;RIGHT("0"&amp;MOD(M278,60),2)&amp;IF(L278=1," (UTC"&amp;I278&amp;")"," (offset unknown)"),IF(H278="DATE",DAY(O278)&amp;" "&amp;INDEX(nLIST_Months,MONTH(O278))&amp;" "&amp;YEAR(O278),IF(H278="MONTH",INDEX(nLIST_Months,MONTH(O278))&amp;" "&amp;YEAR(O278)&amp;" ("&amp;DAY(O278)&amp;" "&amp;INDEX(nLIST_Months,MONTH(O278))&amp;" "&amp;YEAR(O278)&amp;" to "&amp;DAY(P278)&amp;" "&amp;INDEX(nLIST_Months,MONTH(P278))&amp;" "&amp;YEAR(P278)&amp;")",IF(H278="YEAR",YEAR(O278)&amp;" (1 January to 31 December)",DAY(O278)&amp;" "&amp;INDEX(nLIST_Months,MONTH(O278))&amp;" "&amp;YEAR(O278)&amp;" to "&amp;DAY(P278)&amp;" "&amp;INDEX(nLIST_Months,MONTH(P278))&amp;" "&amp;YEAR(P278)&amp;IF(H278="LAB"," (laboratory-defined)","")))))))</f>
        <v/>
      </c>
      <c r="S278" s="20" t="str">
        <f>IF(B278="","",Administrations!$M62&amp;"")</f>
        <v/>
      </c>
      <c r="T278" s="20" t="str">
        <f>IF(B278="","",Administrations!$V62&amp;"")</f>
        <v/>
      </c>
      <c r="U278" s="20" t="str">
        <f>IF(B278="","","Administrations row "&amp;ROW(Administrations!$A62)&amp;", Administration")</f>
        <v/>
      </c>
      <c r="V278" s="20">
        <f>IF(A278="",0,COUNTIF(nTP_Key,A278))</f>
        <v>0</v>
      </c>
      <c r="W278" s="20">
        <f t="shared" si="58"/>
        <v>0</v>
      </c>
      <c r="X278" s="20">
        <f t="shared" si="59"/>
        <v>0</v>
      </c>
      <c r="Y278" s="20">
        <f t="shared" si="60"/>
        <v>0</v>
      </c>
      <c r="Z278" s="20">
        <f t="shared" si="61"/>
        <v>0</v>
      </c>
      <c r="AA278" s="20">
        <f t="shared" si="62"/>
        <v>274</v>
      </c>
      <c r="AB278" s="20" t="str">
        <f>IF(B278="","",Administrations!$E62&amp;"")</f>
        <v/>
      </c>
      <c r="AC278" s="20" t="str">
        <f>IF(B278="","",IFERROR(INDEX(nEXP_Role,MATCH(Administrations!$A62&amp;"|"&amp;Administrations!$B62&amp;"|"&amp;Administrations!$D62,nEXP_Key,0))&amp;"",""))</f>
        <v/>
      </c>
      <c r="AD278" s="20" t="str">
        <f>IF(B278="","",Administrations!$E62&amp;"")</f>
        <v/>
      </c>
      <c r="AE278" s="20">
        <f t="shared" si="63"/>
        <v>0</v>
      </c>
      <c r="AF278" s="20" t="str">
        <f t="shared" si="64"/>
        <v/>
      </c>
      <c r="AG278" s="20">
        <f t="shared" si="65"/>
        <v>0</v>
      </c>
      <c r="AH278" s="20" t="str">
        <f>""</f>
        <v/>
      </c>
    </row>
    <row r="279" spans="1:34" x14ac:dyDescent="0.2">
      <c r="A279" s="20" t="str">
        <f t="shared" si="55"/>
        <v/>
      </c>
      <c r="B279" s="20" t="str">
        <f>IF(AND(Administrations!$C63&lt;&gt;"",COUNTA(Administrations!$N63:$U63)&gt;0),Administrations!$C63&amp;"","")</f>
        <v/>
      </c>
      <c r="C279" s="20" t="str">
        <f t="shared" si="54"/>
        <v/>
      </c>
      <c r="D279" s="20" t="str">
        <f>IF(B279="","",Administrations!$A63&amp;"")</f>
        <v/>
      </c>
      <c r="E279" s="20" t="str">
        <f>IF(B279="","",Administrations!$B63&amp;"")</f>
        <v/>
      </c>
      <c r="F279" s="20" t="str">
        <f t="shared" si="56"/>
        <v/>
      </c>
      <c r="G279" s="20" t="str">
        <f>IF(B279="","",Administrations!$D63&amp;"")</f>
        <v/>
      </c>
      <c r="H279" s="20" t="str">
        <f>IF(B279="","",Administrations!$N63&amp;"")</f>
        <v/>
      </c>
      <c r="I279" s="20" t="str">
        <f>IF(B279="","",Administrations!$Q63&amp;"")</f>
        <v/>
      </c>
      <c r="J279" s="20" t="str">
        <f>IF(B279="","",Administrations!$W63&amp;"")</f>
        <v/>
      </c>
      <c r="K279" s="20">
        <f>IF(B279="",0,Administrations!$X63)</f>
        <v>0</v>
      </c>
      <c r="L279" s="20">
        <f>IF(B279="",0,Administrations!$Y63)</f>
        <v>0</v>
      </c>
      <c r="M279" s="20" t="str">
        <f>IF(B279="","",Administrations!$AB63)</f>
        <v/>
      </c>
      <c r="N279" s="20" t="str">
        <f>IF(B279="","",Administrations!$AC63)</f>
        <v/>
      </c>
      <c r="O279" s="27" t="str">
        <f>IF(B279="","",Administrations!$Z63)</f>
        <v/>
      </c>
      <c r="P279" s="27" t="str">
        <f>IF(B279="","",Administrations!$AA63)</f>
        <v/>
      </c>
      <c r="Q279" s="20" t="str">
        <f t="shared" si="57"/>
        <v/>
      </c>
      <c r="R279" s="20" t="str">
        <f>IF(A279="","",IF(J279&lt;&gt;"",J279,IF(H279="TIMESTAMP",DAY(INT(M279/1440))&amp;" "&amp;INDEX(nLIST_Months,MONTH(INT(M279/1440)))&amp;" "&amp;YEAR(INT(M279/1440))&amp;" "&amp;RIGHT("0"&amp;INT(MOD(M279,1440)/60),2)&amp;":"&amp;RIGHT("0"&amp;MOD(M279,60),2)&amp;IF(L279=1," (UTC"&amp;I279&amp;")"," (offset unknown)"),IF(H279="DATE",DAY(O279)&amp;" "&amp;INDEX(nLIST_Months,MONTH(O279))&amp;" "&amp;YEAR(O279),IF(H279="MONTH",INDEX(nLIST_Months,MONTH(O279))&amp;" "&amp;YEAR(O279)&amp;" ("&amp;DAY(O279)&amp;" "&amp;INDEX(nLIST_Months,MONTH(O279))&amp;" "&amp;YEAR(O279)&amp;" to "&amp;DAY(P279)&amp;" "&amp;INDEX(nLIST_Months,MONTH(P279))&amp;" "&amp;YEAR(P279)&amp;")",IF(H279="YEAR",YEAR(O279)&amp;" (1 January to 31 December)",DAY(O279)&amp;" "&amp;INDEX(nLIST_Months,MONTH(O279))&amp;" "&amp;YEAR(O279)&amp;" to "&amp;DAY(P279)&amp;" "&amp;INDEX(nLIST_Months,MONTH(P279))&amp;" "&amp;YEAR(P279)&amp;IF(H279="LAB"," (laboratory-defined)","")))))))</f>
        <v/>
      </c>
      <c r="S279" s="20" t="str">
        <f>IF(B279="","",Administrations!$M63&amp;"")</f>
        <v/>
      </c>
      <c r="T279" s="20" t="str">
        <f>IF(B279="","",Administrations!$V63&amp;"")</f>
        <v/>
      </c>
      <c r="U279" s="20" t="str">
        <f>IF(B279="","","Administrations row "&amp;ROW(Administrations!$A63)&amp;", Administration")</f>
        <v/>
      </c>
      <c r="V279" s="20">
        <f>IF(A279="",0,COUNTIF(nTP_Key,A279))</f>
        <v>0</v>
      </c>
      <c r="W279" s="20">
        <f t="shared" si="58"/>
        <v>0</v>
      </c>
      <c r="X279" s="20">
        <f t="shared" si="59"/>
        <v>0</v>
      </c>
      <c r="Y279" s="20">
        <f t="shared" si="60"/>
        <v>0</v>
      </c>
      <c r="Z279" s="20">
        <f t="shared" si="61"/>
        <v>0</v>
      </c>
      <c r="AA279" s="20">
        <f t="shared" si="62"/>
        <v>275</v>
      </c>
      <c r="AB279" s="20" t="str">
        <f>IF(B279="","",Administrations!$E63&amp;"")</f>
        <v/>
      </c>
      <c r="AC279" s="20" t="str">
        <f>IF(B279="","",IFERROR(INDEX(nEXP_Role,MATCH(Administrations!$A63&amp;"|"&amp;Administrations!$B63&amp;"|"&amp;Administrations!$D63,nEXP_Key,0))&amp;"",""))</f>
        <v/>
      </c>
      <c r="AD279" s="20" t="str">
        <f>IF(B279="","",Administrations!$E63&amp;"")</f>
        <v/>
      </c>
      <c r="AE279" s="20">
        <f t="shared" si="63"/>
        <v>0</v>
      </c>
      <c r="AF279" s="20" t="str">
        <f t="shared" si="64"/>
        <v/>
      </c>
      <c r="AG279" s="20">
        <f t="shared" si="65"/>
        <v>0</v>
      </c>
      <c r="AH279" s="20" t="str">
        <f>""</f>
        <v/>
      </c>
    </row>
    <row r="280" spans="1:34" x14ac:dyDescent="0.2">
      <c r="A280" s="20" t="str">
        <f t="shared" si="55"/>
        <v/>
      </c>
      <c r="B280" s="20" t="str">
        <f>IF(AND(Administrations!$C64&lt;&gt;"",COUNTA(Administrations!$N64:$U64)&gt;0),Administrations!$C64&amp;"","")</f>
        <v/>
      </c>
      <c r="C280" s="20" t="str">
        <f t="shared" si="54"/>
        <v/>
      </c>
      <c r="D280" s="20" t="str">
        <f>IF(B280="","",Administrations!$A64&amp;"")</f>
        <v/>
      </c>
      <c r="E280" s="20" t="str">
        <f>IF(B280="","",Administrations!$B64&amp;"")</f>
        <v/>
      </c>
      <c r="F280" s="20" t="str">
        <f t="shared" si="56"/>
        <v/>
      </c>
      <c r="G280" s="20" t="str">
        <f>IF(B280="","",Administrations!$D64&amp;"")</f>
        <v/>
      </c>
      <c r="H280" s="20" t="str">
        <f>IF(B280="","",Administrations!$N64&amp;"")</f>
        <v/>
      </c>
      <c r="I280" s="20" t="str">
        <f>IF(B280="","",Administrations!$Q64&amp;"")</f>
        <v/>
      </c>
      <c r="J280" s="20" t="str">
        <f>IF(B280="","",Administrations!$W64&amp;"")</f>
        <v/>
      </c>
      <c r="K280" s="20">
        <f>IF(B280="",0,Administrations!$X64)</f>
        <v>0</v>
      </c>
      <c r="L280" s="20">
        <f>IF(B280="",0,Administrations!$Y64)</f>
        <v>0</v>
      </c>
      <c r="M280" s="20" t="str">
        <f>IF(B280="","",Administrations!$AB64)</f>
        <v/>
      </c>
      <c r="N280" s="20" t="str">
        <f>IF(B280="","",Administrations!$AC64)</f>
        <v/>
      </c>
      <c r="O280" s="27" t="str">
        <f>IF(B280="","",Administrations!$Z64)</f>
        <v/>
      </c>
      <c r="P280" s="27" t="str">
        <f>IF(B280="","",Administrations!$AA64)</f>
        <v/>
      </c>
      <c r="Q280" s="20" t="str">
        <f t="shared" si="57"/>
        <v/>
      </c>
      <c r="R280" s="20" t="str">
        <f>IF(A280="","",IF(J280&lt;&gt;"",J280,IF(H280="TIMESTAMP",DAY(INT(M280/1440))&amp;" "&amp;INDEX(nLIST_Months,MONTH(INT(M280/1440)))&amp;" "&amp;YEAR(INT(M280/1440))&amp;" "&amp;RIGHT("0"&amp;INT(MOD(M280,1440)/60),2)&amp;":"&amp;RIGHT("0"&amp;MOD(M280,60),2)&amp;IF(L280=1," (UTC"&amp;I280&amp;")"," (offset unknown)"),IF(H280="DATE",DAY(O280)&amp;" "&amp;INDEX(nLIST_Months,MONTH(O280))&amp;" "&amp;YEAR(O280),IF(H280="MONTH",INDEX(nLIST_Months,MONTH(O280))&amp;" "&amp;YEAR(O280)&amp;" ("&amp;DAY(O280)&amp;" "&amp;INDEX(nLIST_Months,MONTH(O280))&amp;" "&amp;YEAR(O280)&amp;" to "&amp;DAY(P280)&amp;" "&amp;INDEX(nLIST_Months,MONTH(P280))&amp;" "&amp;YEAR(P280)&amp;")",IF(H280="YEAR",YEAR(O280)&amp;" (1 January to 31 December)",DAY(O280)&amp;" "&amp;INDEX(nLIST_Months,MONTH(O280))&amp;" "&amp;YEAR(O280)&amp;" to "&amp;DAY(P280)&amp;" "&amp;INDEX(nLIST_Months,MONTH(P280))&amp;" "&amp;YEAR(P280)&amp;IF(H280="LAB"," (laboratory-defined)","")))))))</f>
        <v/>
      </c>
      <c r="S280" s="20" t="str">
        <f>IF(B280="","",Administrations!$M64&amp;"")</f>
        <v/>
      </c>
      <c r="T280" s="20" t="str">
        <f>IF(B280="","",Administrations!$V64&amp;"")</f>
        <v/>
      </c>
      <c r="U280" s="20" t="str">
        <f>IF(B280="","","Administrations row "&amp;ROW(Administrations!$A64)&amp;", Administration")</f>
        <v/>
      </c>
      <c r="V280" s="20">
        <f>IF(A280="",0,COUNTIF(nTP_Key,A280))</f>
        <v>0</v>
      </c>
      <c r="W280" s="20">
        <f t="shared" si="58"/>
        <v>0</v>
      </c>
      <c r="X280" s="20">
        <f t="shared" si="59"/>
        <v>0</v>
      </c>
      <c r="Y280" s="20">
        <f t="shared" si="60"/>
        <v>0</v>
      </c>
      <c r="Z280" s="20">
        <f t="shared" si="61"/>
        <v>0</v>
      </c>
      <c r="AA280" s="20">
        <f t="shared" si="62"/>
        <v>276</v>
      </c>
      <c r="AB280" s="20" t="str">
        <f>IF(B280="","",Administrations!$E64&amp;"")</f>
        <v/>
      </c>
      <c r="AC280" s="20" t="str">
        <f>IF(B280="","",IFERROR(INDEX(nEXP_Role,MATCH(Administrations!$A64&amp;"|"&amp;Administrations!$B64&amp;"|"&amp;Administrations!$D64,nEXP_Key,0))&amp;"",""))</f>
        <v/>
      </c>
      <c r="AD280" s="20" t="str">
        <f>IF(B280="","",Administrations!$E64&amp;"")</f>
        <v/>
      </c>
      <c r="AE280" s="20">
        <f t="shared" si="63"/>
        <v>0</v>
      </c>
      <c r="AF280" s="20" t="str">
        <f t="shared" si="64"/>
        <v/>
      </c>
      <c r="AG280" s="20">
        <f t="shared" si="65"/>
        <v>0</v>
      </c>
      <c r="AH280" s="20" t="str">
        <f>""</f>
        <v/>
      </c>
    </row>
    <row r="281" spans="1:34" x14ac:dyDescent="0.2">
      <c r="A281" s="20" t="str">
        <f t="shared" si="55"/>
        <v/>
      </c>
      <c r="B281" s="20" t="str">
        <f>IF(AND(Administrations!$C65&lt;&gt;"",COUNTA(Administrations!$N65:$U65)&gt;0),Administrations!$C65&amp;"","")</f>
        <v/>
      </c>
      <c r="C281" s="20" t="str">
        <f t="shared" si="54"/>
        <v/>
      </c>
      <c r="D281" s="20" t="str">
        <f>IF(B281="","",Administrations!$A65&amp;"")</f>
        <v/>
      </c>
      <c r="E281" s="20" t="str">
        <f>IF(B281="","",Administrations!$B65&amp;"")</f>
        <v/>
      </c>
      <c r="F281" s="20" t="str">
        <f t="shared" si="56"/>
        <v/>
      </c>
      <c r="G281" s="20" t="str">
        <f>IF(B281="","",Administrations!$D65&amp;"")</f>
        <v/>
      </c>
      <c r="H281" s="20" t="str">
        <f>IF(B281="","",Administrations!$N65&amp;"")</f>
        <v/>
      </c>
      <c r="I281" s="20" t="str">
        <f>IF(B281="","",Administrations!$Q65&amp;"")</f>
        <v/>
      </c>
      <c r="J281" s="20" t="str">
        <f>IF(B281="","",Administrations!$W65&amp;"")</f>
        <v/>
      </c>
      <c r="K281" s="20">
        <f>IF(B281="",0,Administrations!$X65)</f>
        <v>0</v>
      </c>
      <c r="L281" s="20">
        <f>IF(B281="",0,Administrations!$Y65)</f>
        <v>0</v>
      </c>
      <c r="M281" s="20" t="str">
        <f>IF(B281="","",Administrations!$AB65)</f>
        <v/>
      </c>
      <c r="N281" s="20" t="str">
        <f>IF(B281="","",Administrations!$AC65)</f>
        <v/>
      </c>
      <c r="O281" s="27" t="str">
        <f>IF(B281="","",Administrations!$Z65)</f>
        <v/>
      </c>
      <c r="P281" s="27" t="str">
        <f>IF(B281="","",Administrations!$AA65)</f>
        <v/>
      </c>
      <c r="Q281" s="20" t="str">
        <f t="shared" si="57"/>
        <v/>
      </c>
      <c r="R281" s="20" t="str">
        <f>IF(A281="","",IF(J281&lt;&gt;"",J281,IF(H281="TIMESTAMP",DAY(INT(M281/1440))&amp;" "&amp;INDEX(nLIST_Months,MONTH(INT(M281/1440)))&amp;" "&amp;YEAR(INT(M281/1440))&amp;" "&amp;RIGHT("0"&amp;INT(MOD(M281,1440)/60),2)&amp;":"&amp;RIGHT("0"&amp;MOD(M281,60),2)&amp;IF(L281=1," (UTC"&amp;I281&amp;")"," (offset unknown)"),IF(H281="DATE",DAY(O281)&amp;" "&amp;INDEX(nLIST_Months,MONTH(O281))&amp;" "&amp;YEAR(O281),IF(H281="MONTH",INDEX(nLIST_Months,MONTH(O281))&amp;" "&amp;YEAR(O281)&amp;" ("&amp;DAY(O281)&amp;" "&amp;INDEX(nLIST_Months,MONTH(O281))&amp;" "&amp;YEAR(O281)&amp;" to "&amp;DAY(P281)&amp;" "&amp;INDEX(nLIST_Months,MONTH(P281))&amp;" "&amp;YEAR(P281)&amp;")",IF(H281="YEAR",YEAR(O281)&amp;" (1 January to 31 December)",DAY(O281)&amp;" "&amp;INDEX(nLIST_Months,MONTH(O281))&amp;" "&amp;YEAR(O281)&amp;" to "&amp;DAY(P281)&amp;" "&amp;INDEX(nLIST_Months,MONTH(P281))&amp;" "&amp;YEAR(P281)&amp;IF(H281="LAB"," (laboratory-defined)","")))))))</f>
        <v/>
      </c>
      <c r="S281" s="20" t="str">
        <f>IF(B281="","",Administrations!$M65&amp;"")</f>
        <v/>
      </c>
      <c r="T281" s="20" t="str">
        <f>IF(B281="","",Administrations!$V65&amp;"")</f>
        <v/>
      </c>
      <c r="U281" s="20" t="str">
        <f>IF(B281="","","Administrations row "&amp;ROW(Administrations!$A65)&amp;", Administration")</f>
        <v/>
      </c>
      <c r="V281" s="20">
        <f>IF(A281="",0,COUNTIF(nTP_Key,A281))</f>
        <v>0</v>
      </c>
      <c r="W281" s="20">
        <f t="shared" si="58"/>
        <v>0</v>
      </c>
      <c r="X281" s="20">
        <f t="shared" si="59"/>
        <v>0</v>
      </c>
      <c r="Y281" s="20">
        <f t="shared" si="60"/>
        <v>0</v>
      </c>
      <c r="Z281" s="20">
        <f t="shared" si="61"/>
        <v>0</v>
      </c>
      <c r="AA281" s="20">
        <f t="shared" si="62"/>
        <v>277</v>
      </c>
      <c r="AB281" s="20" t="str">
        <f>IF(B281="","",Administrations!$E65&amp;"")</f>
        <v/>
      </c>
      <c r="AC281" s="20" t="str">
        <f>IF(B281="","",IFERROR(INDEX(nEXP_Role,MATCH(Administrations!$A65&amp;"|"&amp;Administrations!$B65&amp;"|"&amp;Administrations!$D65,nEXP_Key,0))&amp;"",""))</f>
        <v/>
      </c>
      <c r="AD281" s="20" t="str">
        <f>IF(B281="","",Administrations!$E65&amp;"")</f>
        <v/>
      </c>
      <c r="AE281" s="20">
        <f t="shared" si="63"/>
        <v>0</v>
      </c>
      <c r="AF281" s="20" t="str">
        <f t="shared" si="64"/>
        <v/>
      </c>
      <c r="AG281" s="20">
        <f t="shared" si="65"/>
        <v>0</v>
      </c>
      <c r="AH281" s="20" t="str">
        <f>""</f>
        <v/>
      </c>
    </row>
    <row r="282" spans="1:34" x14ac:dyDescent="0.2">
      <c r="A282" s="20" t="str">
        <f t="shared" si="55"/>
        <v>EX-C01|2|ADM-A1</v>
      </c>
      <c r="B282" s="20" t="str">
        <f>IF(AND(Administrations!$C66&lt;&gt;"",COUNTA(Administrations!$N66:$U66)&gt;0),Administrations!$C66&amp;"","")</f>
        <v>ADM-A1</v>
      </c>
      <c r="C282" s="20" t="str">
        <f t="shared" si="54"/>
        <v>ADMINISTRATION</v>
      </c>
      <c r="D282" s="20" t="str">
        <f>IF(B282="","",Administrations!$A66&amp;"")</f>
        <v>EX-C01</v>
      </c>
      <c r="E282" s="20" t="str">
        <f>IF(B282="","",Administrations!$B66&amp;"")</f>
        <v>2</v>
      </c>
      <c r="F282" s="20" t="str">
        <f t="shared" si="56"/>
        <v>EX-C01|2</v>
      </c>
      <c r="G282" s="20" t="str">
        <f>IF(B282="","",Administrations!$D66&amp;"")</f>
        <v>EX-A</v>
      </c>
      <c r="H282" s="20" t="str">
        <f>IF(B282="","",Administrations!$N66&amp;"")</f>
        <v>TIMESTAMP</v>
      </c>
      <c r="I282" s="20" t="str">
        <f>IF(B282="","",Administrations!$Q66&amp;"")</f>
        <v>-05:00</v>
      </c>
      <c r="J282" s="20" t="str">
        <f>IF(B282="","",Administrations!$W66&amp;"")</f>
        <v/>
      </c>
      <c r="K282" s="20">
        <f>IF(B282="",0,Administrations!$X66)</f>
        <v>1</v>
      </c>
      <c r="L282" s="20">
        <f>IF(B282="",0,Administrations!$Y66)</f>
        <v>1</v>
      </c>
      <c r="M282" s="20">
        <f>IF(B282="","",Administrations!$AB66)</f>
        <v>66286620</v>
      </c>
      <c r="N282" s="20">
        <f>IF(B282="","",Administrations!$AC66)</f>
        <v>66286920</v>
      </c>
      <c r="O282" s="27">
        <f>IF(B282="","",Administrations!$Z66)</f>
        <v>46032</v>
      </c>
      <c r="P282" s="27">
        <f>IF(B282="","",Administrations!$AA66)</f>
        <v>46032</v>
      </c>
      <c r="Q282" s="20" t="str">
        <f t="shared" si="57"/>
        <v>2026-01-10T09:00-05:00</v>
      </c>
      <c r="R282" s="20" t="str">
        <f>IF(A282="","",IF(J282&lt;&gt;"",J282,IF(H282="TIMESTAMP",DAY(INT(M282/1440))&amp;" "&amp;INDEX(nLIST_Months,MONTH(INT(M282/1440)))&amp;" "&amp;YEAR(INT(M282/1440))&amp;" "&amp;RIGHT("0"&amp;INT(MOD(M282,1440)/60),2)&amp;":"&amp;RIGHT("0"&amp;MOD(M282,60),2)&amp;IF(L282=1," (UTC"&amp;I282&amp;")"," (offset unknown)"),IF(H282="DATE",DAY(O282)&amp;" "&amp;INDEX(nLIST_Months,MONTH(O282))&amp;" "&amp;YEAR(O282),IF(H282="MONTH",INDEX(nLIST_Months,MONTH(O282))&amp;" "&amp;YEAR(O282)&amp;" ("&amp;DAY(O282)&amp;" "&amp;INDEX(nLIST_Months,MONTH(O282))&amp;" "&amp;YEAR(O282)&amp;" to "&amp;DAY(P282)&amp;" "&amp;INDEX(nLIST_Months,MONTH(P282))&amp;" "&amp;YEAR(P282)&amp;")",IF(H282="YEAR",YEAR(O282)&amp;" (1 January to 31 December)",DAY(O282)&amp;" "&amp;INDEX(nLIST_Months,MONTH(O282))&amp;" "&amp;YEAR(O282)&amp;" to "&amp;DAY(P282)&amp;" "&amp;INDEX(nLIST_Months,MONTH(P282))&amp;" "&amp;YEAR(P282)&amp;IF(H282="LAB"," (laboratory-defined)","")))))))</f>
        <v>10 January 2026 09:00 (UTC-05:00)</v>
      </c>
      <c r="S282" s="20" t="str">
        <f>IF(B282="","",Administrations!$M66&amp;"")</f>
        <v>Drug A IV, started 09:00</v>
      </c>
      <c r="T282" s="20" t="str">
        <f>IF(B282="","",Administrations!$V66&amp;"")</f>
        <v>Medication administration record</v>
      </c>
      <c r="U282" s="20" t="str">
        <f>IF(B282="","","Administrations row "&amp;ROW(Administrations!$A66)&amp;", Administration")</f>
        <v>Administrations row 66, Administration</v>
      </c>
      <c r="V282" s="20">
        <f>IF(A282="",0,COUNTIF(nTP_Key,A282))</f>
        <v>1</v>
      </c>
      <c r="W282" s="20">
        <f t="shared" si="58"/>
        <v>66286620</v>
      </c>
      <c r="X282" s="20">
        <f t="shared" si="59"/>
        <v>66286920</v>
      </c>
      <c r="Y282" s="20">
        <f t="shared" si="60"/>
        <v>46032</v>
      </c>
      <c r="Z282" s="20">
        <f t="shared" si="61"/>
        <v>46032</v>
      </c>
      <c r="AA282" s="20">
        <f t="shared" si="62"/>
        <v>278</v>
      </c>
      <c r="AB282" s="20" t="str">
        <f>IF(B282="","",Administrations!$E66&amp;"")</f>
        <v>INFUSION_SEGMENT</v>
      </c>
      <c r="AC282" s="20" t="str">
        <f>IF(B282="","",IFERROR(INDEX(nEXP_Role,MATCH(Administrations!$A66&amp;"|"&amp;Administrations!$B66&amp;"|"&amp;Administrations!$D66,nEXP_Key,0))&amp;"",""))</f>
        <v>suspect</v>
      </c>
      <c r="AD282" s="20" t="str">
        <f>IF(B282="","",Administrations!$E66&amp;"")</f>
        <v>INFUSION_SEGMENT</v>
      </c>
      <c r="AE282" s="20">
        <f t="shared" si="63"/>
        <v>0</v>
      </c>
      <c r="AF282" s="20" t="str">
        <f t="shared" si="64"/>
        <v/>
      </c>
      <c r="AG282" s="20">
        <f t="shared" si="65"/>
        <v>1</v>
      </c>
      <c r="AH282" s="20" t="str">
        <f>""</f>
        <v/>
      </c>
    </row>
    <row r="283" spans="1:34" x14ac:dyDescent="0.2">
      <c r="A283" s="20" t="str">
        <f t="shared" si="55"/>
        <v>EX-C04|2|ADM-DIG-LAST</v>
      </c>
      <c r="B283" s="20" t="str">
        <f>IF(AND(Administrations!$C67&lt;&gt;"",COUNTA(Administrations!$N67:$U67)&gt;0),Administrations!$C67&amp;"","")</f>
        <v>ADM-DIG-LAST</v>
      </c>
      <c r="C283" s="20" t="str">
        <f t="shared" si="54"/>
        <v>ADMINISTRATION</v>
      </c>
      <c r="D283" s="20" t="str">
        <f>IF(B283="","",Administrations!$A67&amp;"")</f>
        <v>EX-C04</v>
      </c>
      <c r="E283" s="20" t="str">
        <f>IF(B283="","",Administrations!$B67&amp;"")</f>
        <v>2</v>
      </c>
      <c r="F283" s="20" t="str">
        <f t="shared" si="56"/>
        <v>EX-C04|2</v>
      </c>
      <c r="G283" s="20" t="str">
        <f>IF(B283="","",Administrations!$D67&amp;"")</f>
        <v>EX-DIG</v>
      </c>
      <c r="H283" s="20" t="str">
        <f>IF(B283="","",Administrations!$N67&amp;"")</f>
        <v>TIMESTAMP</v>
      </c>
      <c r="I283" s="20" t="str">
        <f>IF(B283="","",Administrations!$Q67&amp;"")</f>
        <v>unknown</v>
      </c>
      <c r="J283" s="20" t="str">
        <f>IF(B283="","",Administrations!$W67&amp;"")</f>
        <v/>
      </c>
      <c r="K283" s="20">
        <f>IF(B283="",0,Administrations!$X67)</f>
        <v>1</v>
      </c>
      <c r="L283" s="20">
        <f>IF(B283="",0,Administrations!$Y67)</f>
        <v>0</v>
      </c>
      <c r="M283" s="20">
        <f>IF(B283="","",Administrations!$AB67)</f>
        <v>66538560</v>
      </c>
      <c r="N283" s="20" t="str">
        <f>IF(B283="","",Administrations!$AC67)</f>
        <v/>
      </c>
      <c r="O283" s="27">
        <f>IF(B283="","",Administrations!$Z67)</f>
        <v>46207</v>
      </c>
      <c r="P283" s="27">
        <f>IF(B283="","",Administrations!$AA67)</f>
        <v>46207</v>
      </c>
      <c r="Q283" s="20" t="str">
        <f t="shared" si="57"/>
        <v>2026-07-04T08:00</v>
      </c>
      <c r="R283" s="20" t="str">
        <f>IF(A283="","",IF(J283&lt;&gt;"",J283,IF(H283="TIMESTAMP",DAY(INT(M283/1440))&amp;" "&amp;INDEX(nLIST_Months,MONTH(INT(M283/1440)))&amp;" "&amp;YEAR(INT(M283/1440))&amp;" "&amp;RIGHT("0"&amp;INT(MOD(M283,1440)/60),2)&amp;":"&amp;RIGHT("0"&amp;MOD(M283,60),2)&amp;IF(L283=1," (UTC"&amp;I283&amp;")"," (offset unknown)"),IF(H283="DATE",DAY(O283)&amp;" "&amp;INDEX(nLIST_Months,MONTH(O283))&amp;" "&amp;YEAR(O283),IF(H283="MONTH",INDEX(nLIST_Months,MONTH(O283))&amp;" "&amp;YEAR(O283)&amp;" ("&amp;DAY(O283)&amp;" "&amp;INDEX(nLIST_Months,MONTH(O283))&amp;" "&amp;YEAR(O283)&amp;" to "&amp;DAY(P283)&amp;" "&amp;INDEX(nLIST_Months,MONTH(P283))&amp;" "&amp;YEAR(P283)&amp;")",IF(H283="YEAR",YEAR(O283)&amp;" (1 January to 31 December)",DAY(O283)&amp;" "&amp;INDEX(nLIST_Months,MONTH(O283))&amp;" "&amp;YEAR(O283)&amp;" to "&amp;DAY(P283)&amp;" "&amp;INDEX(nLIST_Months,MONTH(P283))&amp;" "&amp;YEAR(P283)&amp;IF(H283="LAB"," (laboratory-defined)","")))))))</f>
        <v>4 July 2026 08:00 (offset unknown)</v>
      </c>
      <c r="S283" s="20" t="str">
        <f>IF(B283="","",Administrations!$M67&amp;"")</f>
        <v>Took last digoxin yesterday morning, about 08:00</v>
      </c>
      <c r="T283" s="20" t="str">
        <f>IF(B283="","",Administrations!$V67&amp;"")</f>
        <v>Emergency department note, 5 July 2026</v>
      </c>
      <c r="U283" s="20" t="str">
        <f>IF(B283="","","Administrations row "&amp;ROW(Administrations!$A67)&amp;", Administration")</f>
        <v>Administrations row 67, Administration</v>
      </c>
      <c r="V283" s="20">
        <f>IF(A283="",0,COUNTIF(nTP_Key,A283))</f>
        <v>1</v>
      </c>
      <c r="W283" s="20">
        <f t="shared" si="58"/>
        <v>66538560</v>
      </c>
      <c r="X283" s="20">
        <f t="shared" si="59"/>
        <v>0</v>
      </c>
      <c r="Y283" s="20">
        <f t="shared" si="60"/>
        <v>46207</v>
      </c>
      <c r="Z283" s="20">
        <f t="shared" si="61"/>
        <v>46207</v>
      </c>
      <c r="AA283" s="20">
        <f t="shared" si="62"/>
        <v>279</v>
      </c>
      <c r="AB283" s="20" t="str">
        <f>IF(B283="","",Administrations!$E67&amp;"")</f>
        <v>DOSE</v>
      </c>
      <c r="AC283" s="20" t="str">
        <f>IF(B283="","",IFERROR(INDEX(nEXP_Role,MATCH(Administrations!$A67&amp;"|"&amp;Administrations!$B67&amp;"|"&amp;Administrations!$D67,nEXP_Key,0))&amp;"",""))</f>
        <v>suspect</v>
      </c>
      <c r="AD283" s="20" t="str">
        <f>IF(B283="","",Administrations!$E67&amp;"")</f>
        <v>DOSE</v>
      </c>
      <c r="AE283" s="20">
        <f t="shared" si="63"/>
        <v>1</v>
      </c>
      <c r="AF283" s="20" t="str">
        <f t="shared" si="64"/>
        <v>EX-C04|2|EX-DIG</v>
      </c>
      <c r="AG283" s="20">
        <f t="shared" si="65"/>
        <v>1</v>
      </c>
      <c r="AH283" s="20" t="str">
        <f>""</f>
        <v/>
      </c>
    </row>
    <row r="284" spans="1:34" x14ac:dyDescent="0.2">
      <c r="A284" s="20" t="str">
        <f t="shared" si="55"/>
        <v>EX-C28|2|ADM-RTX-1</v>
      </c>
      <c r="B284" s="20" t="str">
        <f>IF(AND(Administrations!$C68&lt;&gt;"",COUNTA(Administrations!$N68:$U68)&gt;0),Administrations!$C68&amp;"","")</f>
        <v>ADM-RTX-1</v>
      </c>
      <c r="C284" s="20" t="str">
        <f t="shared" si="54"/>
        <v>ADMINISTRATION</v>
      </c>
      <c r="D284" s="20" t="str">
        <f>IF(B284="","",Administrations!$A68&amp;"")</f>
        <v>EX-C28</v>
      </c>
      <c r="E284" s="20" t="str">
        <f>IF(B284="","",Administrations!$B68&amp;"")</f>
        <v>2</v>
      </c>
      <c r="F284" s="20" t="str">
        <f t="shared" si="56"/>
        <v>EX-C28|2</v>
      </c>
      <c r="G284" s="20" t="str">
        <f>IF(B284="","",Administrations!$D68&amp;"")</f>
        <v>EX-RTX</v>
      </c>
      <c r="H284" s="20" t="str">
        <f>IF(B284="","",Administrations!$N68&amp;"")</f>
        <v>DATE</v>
      </c>
      <c r="I284" s="20" t="str">
        <f>IF(B284="","",Administrations!$Q68&amp;"")</f>
        <v/>
      </c>
      <c r="J284" s="20" t="str">
        <f>IF(B284="","",Administrations!$W68&amp;"")</f>
        <v/>
      </c>
      <c r="K284" s="20">
        <f>IF(B284="",0,Administrations!$X68)</f>
        <v>0</v>
      </c>
      <c r="L284" s="20">
        <f>IF(B284="",0,Administrations!$Y68)</f>
        <v>0</v>
      </c>
      <c r="M284" s="20" t="str">
        <f>IF(B284="","",Administrations!$AB68)</f>
        <v/>
      </c>
      <c r="N284" s="20" t="str">
        <f>IF(B284="","",Administrations!$AC68)</f>
        <v/>
      </c>
      <c r="O284" s="27">
        <f>IF(B284="","",Administrations!$Z68)</f>
        <v>45614</v>
      </c>
      <c r="P284" s="27">
        <f>IF(B284="","",Administrations!$AA68)</f>
        <v>45614</v>
      </c>
      <c r="Q284" s="20" t="str">
        <f t="shared" si="57"/>
        <v>2024-11-18</v>
      </c>
      <c r="R284" s="20" t="str">
        <f>IF(A284="","",IF(J284&lt;&gt;"",J284,IF(H284="TIMESTAMP",DAY(INT(M284/1440))&amp;" "&amp;INDEX(nLIST_Months,MONTH(INT(M284/1440)))&amp;" "&amp;YEAR(INT(M284/1440))&amp;" "&amp;RIGHT("0"&amp;INT(MOD(M284,1440)/60),2)&amp;":"&amp;RIGHT("0"&amp;MOD(M284,60),2)&amp;IF(L284=1," (UTC"&amp;I284&amp;")"," (offset unknown)"),IF(H284="DATE",DAY(O284)&amp;" "&amp;INDEX(nLIST_Months,MONTH(O284))&amp;" "&amp;YEAR(O284),IF(H284="MONTH",INDEX(nLIST_Months,MONTH(O284))&amp;" "&amp;YEAR(O284)&amp;" ("&amp;DAY(O284)&amp;" "&amp;INDEX(nLIST_Months,MONTH(O284))&amp;" "&amp;YEAR(O284)&amp;" to "&amp;DAY(P284)&amp;" "&amp;INDEX(nLIST_Months,MONTH(P284))&amp;" "&amp;YEAR(P284)&amp;")",IF(H284="YEAR",YEAR(O284)&amp;" (1 January to 31 December)",DAY(O284)&amp;" "&amp;INDEX(nLIST_Months,MONTH(O284))&amp;" "&amp;YEAR(O284)&amp;" to "&amp;DAY(P284)&amp;" "&amp;INDEX(nLIST_Months,MONTH(P284))&amp;" "&amp;YEAR(P284)&amp;IF(H284="LAB"," (laboratory-defined)","")))))))</f>
        <v>18 November 2024</v>
      </c>
      <c r="S284" s="20" t="str">
        <f>IF(B284="","",Administrations!$M68&amp;"")</f>
        <v>first infusion 18/11/2024</v>
      </c>
      <c r="T284" s="20" t="str">
        <f>IF(B284="","",Administrations!$V68&amp;"")</f>
        <v>Hematology summary</v>
      </c>
      <c r="U284" s="20" t="str">
        <f>IF(B284="","","Administrations row "&amp;ROW(Administrations!$A68)&amp;", Administration")</f>
        <v>Administrations row 68, Administration</v>
      </c>
      <c r="V284" s="20">
        <f>IF(A284="",0,COUNTIF(nTP_Key,A284))</f>
        <v>1</v>
      </c>
      <c r="W284" s="20">
        <f t="shared" si="58"/>
        <v>0</v>
      </c>
      <c r="X284" s="20">
        <f t="shared" si="59"/>
        <v>0</v>
      </c>
      <c r="Y284" s="20">
        <f t="shared" si="60"/>
        <v>45614</v>
      </c>
      <c r="Z284" s="20">
        <f t="shared" si="61"/>
        <v>45614</v>
      </c>
      <c r="AA284" s="20">
        <f t="shared" si="62"/>
        <v>280</v>
      </c>
      <c r="AB284" s="20" t="str">
        <f>IF(B284="","",Administrations!$E68&amp;"")</f>
        <v>DOSE</v>
      </c>
      <c r="AC284" s="20" t="str">
        <f>IF(B284="","",IFERROR(INDEX(nEXP_Role,MATCH(Administrations!$A68&amp;"|"&amp;Administrations!$B68&amp;"|"&amp;Administrations!$D68,nEXP_Key,0))&amp;"",""))</f>
        <v>suspect</v>
      </c>
      <c r="AD284" s="20" t="str">
        <f>IF(B284="","",Administrations!$E68&amp;"")</f>
        <v>DOSE</v>
      </c>
      <c r="AE284" s="20">
        <f t="shared" si="63"/>
        <v>1</v>
      </c>
      <c r="AF284" s="20" t="str">
        <f t="shared" si="64"/>
        <v>EX-C28|2|EX-RTX</v>
      </c>
      <c r="AG284" s="20">
        <f t="shared" si="65"/>
        <v>1</v>
      </c>
      <c r="AH284" s="20" t="str">
        <f>""</f>
        <v/>
      </c>
    </row>
    <row r="285" spans="1:34" x14ac:dyDescent="0.2">
      <c r="A285" s="20" t="str">
        <f t="shared" si="55"/>
        <v>EX-C28|2|ADM-RTX-6</v>
      </c>
      <c r="B285" s="20" t="str">
        <f>IF(AND(Administrations!$C69&lt;&gt;"",COUNTA(Administrations!$N69:$U69)&gt;0),Administrations!$C69&amp;"","")</f>
        <v>ADM-RTX-6</v>
      </c>
      <c r="C285" s="20" t="str">
        <f t="shared" ref="C285:C316" si="66">IF(B285="","","ADMINISTRATION")</f>
        <v>ADMINISTRATION</v>
      </c>
      <c r="D285" s="20" t="str">
        <f>IF(B285="","",Administrations!$A69&amp;"")</f>
        <v>EX-C28</v>
      </c>
      <c r="E285" s="20" t="str">
        <f>IF(B285="","",Administrations!$B69&amp;"")</f>
        <v>2</v>
      </c>
      <c r="F285" s="20" t="str">
        <f t="shared" si="56"/>
        <v>EX-C28|2</v>
      </c>
      <c r="G285" s="20" t="str">
        <f>IF(B285="","",Administrations!$D69&amp;"")</f>
        <v>EX-RTX</v>
      </c>
      <c r="H285" s="20" t="str">
        <f>IF(B285="","",Administrations!$N69&amp;"")</f>
        <v>DATE</v>
      </c>
      <c r="I285" s="20" t="str">
        <f>IF(B285="","",Administrations!$Q69&amp;"")</f>
        <v/>
      </c>
      <c r="J285" s="20" t="str">
        <f>IF(B285="","",Administrations!$W69&amp;"")</f>
        <v/>
      </c>
      <c r="K285" s="20">
        <f>IF(B285="",0,Administrations!$X69)</f>
        <v>0</v>
      </c>
      <c r="L285" s="20">
        <f>IF(B285="",0,Administrations!$Y69)</f>
        <v>0</v>
      </c>
      <c r="M285" s="20" t="str">
        <f>IF(B285="","",Administrations!$AB69)</f>
        <v/>
      </c>
      <c r="N285" s="20" t="str">
        <f>IF(B285="","",Administrations!$AC69)</f>
        <v/>
      </c>
      <c r="O285" s="27">
        <f>IF(B285="","",Administrations!$Z69)</f>
        <v>45719</v>
      </c>
      <c r="P285" s="27">
        <f>IF(B285="","",Administrations!$AA69)</f>
        <v>45719</v>
      </c>
      <c r="Q285" s="20" t="str">
        <f t="shared" si="57"/>
        <v>2025-03-03</v>
      </c>
      <c r="R285" s="20" t="str">
        <f>IF(A285="","",IF(J285&lt;&gt;"",J285,IF(H285="TIMESTAMP",DAY(INT(M285/1440))&amp;" "&amp;INDEX(nLIST_Months,MONTH(INT(M285/1440)))&amp;" "&amp;YEAR(INT(M285/1440))&amp;" "&amp;RIGHT("0"&amp;INT(MOD(M285,1440)/60),2)&amp;":"&amp;RIGHT("0"&amp;MOD(M285,60),2)&amp;IF(L285=1," (UTC"&amp;I285&amp;")"," (offset unknown)"),IF(H285="DATE",DAY(O285)&amp;" "&amp;INDEX(nLIST_Months,MONTH(O285))&amp;" "&amp;YEAR(O285),IF(H285="MONTH",INDEX(nLIST_Months,MONTH(O285))&amp;" "&amp;YEAR(O285)&amp;" ("&amp;DAY(O285)&amp;" "&amp;INDEX(nLIST_Months,MONTH(O285))&amp;" "&amp;YEAR(O285)&amp;" to "&amp;DAY(P285)&amp;" "&amp;INDEX(nLIST_Months,MONTH(P285))&amp;" "&amp;YEAR(P285)&amp;")",IF(H285="YEAR",YEAR(O285)&amp;" (1 January to 31 December)",DAY(O285)&amp;" "&amp;INDEX(nLIST_Months,MONTH(O285))&amp;" "&amp;YEAR(O285)&amp;" to "&amp;DAY(P285)&amp;" "&amp;INDEX(nLIST_Months,MONTH(P285))&amp;" "&amp;YEAR(P285)&amp;IF(H285="LAB"," (laboratory-defined)","")))))))</f>
        <v>3 March 2025</v>
      </c>
      <c r="S285" s="20" t="str">
        <f>IF(B285="","",Administrations!$M69&amp;"")</f>
        <v>last infusion 03/03/2025</v>
      </c>
      <c r="T285" s="20" t="str">
        <f>IF(B285="","",Administrations!$V69&amp;"")</f>
        <v>Hematology summary</v>
      </c>
      <c r="U285" s="20" t="str">
        <f>IF(B285="","","Administrations row "&amp;ROW(Administrations!$A69)&amp;", Administration")</f>
        <v>Administrations row 69, Administration</v>
      </c>
      <c r="V285" s="20">
        <f>IF(A285="",0,COUNTIF(nTP_Key,A285))</f>
        <v>1</v>
      </c>
      <c r="W285" s="20">
        <f t="shared" si="58"/>
        <v>0</v>
      </c>
      <c r="X285" s="20">
        <f t="shared" si="59"/>
        <v>0</v>
      </c>
      <c r="Y285" s="20">
        <f t="shared" si="60"/>
        <v>45719</v>
      </c>
      <c r="Z285" s="20">
        <f t="shared" si="61"/>
        <v>45719</v>
      </c>
      <c r="AA285" s="20">
        <f t="shared" si="62"/>
        <v>281</v>
      </c>
      <c r="AB285" s="20" t="str">
        <f>IF(B285="","",Administrations!$E69&amp;"")</f>
        <v>DOSE</v>
      </c>
      <c r="AC285" s="20" t="str">
        <f>IF(B285="","",IFERROR(INDEX(nEXP_Role,MATCH(Administrations!$A69&amp;"|"&amp;Administrations!$B69&amp;"|"&amp;Administrations!$D69,nEXP_Key,0))&amp;"",""))</f>
        <v>suspect</v>
      </c>
      <c r="AD285" s="20" t="str">
        <f>IF(B285="","",Administrations!$E69&amp;"")</f>
        <v>DOSE</v>
      </c>
      <c r="AE285" s="20">
        <f t="shared" si="63"/>
        <v>1</v>
      </c>
      <c r="AF285" s="20" t="str">
        <f t="shared" si="64"/>
        <v>EX-C28|2|EX-RTX</v>
      </c>
      <c r="AG285" s="20">
        <f t="shared" si="65"/>
        <v>1</v>
      </c>
      <c r="AH285" s="20" t="str">
        <f>""</f>
        <v/>
      </c>
    </row>
    <row r="286" spans="1:34" x14ac:dyDescent="0.2">
      <c r="A286" s="20" t="str">
        <f t="shared" si="55"/>
        <v/>
      </c>
      <c r="B286" s="20" t="str">
        <f>IF(AND(Administrations!$C70&lt;&gt;"",COUNTA(Administrations!$N70:$U70)&gt;0),Administrations!$C70&amp;"","")</f>
        <v/>
      </c>
      <c r="C286" s="20" t="str">
        <f t="shared" si="66"/>
        <v/>
      </c>
      <c r="D286" s="20" t="str">
        <f>IF(B286="","",Administrations!$A70&amp;"")</f>
        <v/>
      </c>
      <c r="E286" s="20" t="str">
        <f>IF(B286="","",Administrations!$B70&amp;"")</f>
        <v/>
      </c>
      <c r="F286" s="20" t="str">
        <f t="shared" si="56"/>
        <v/>
      </c>
      <c r="G286" s="20" t="str">
        <f>IF(B286="","",Administrations!$D70&amp;"")</f>
        <v/>
      </c>
      <c r="H286" s="20" t="str">
        <f>IF(B286="","",Administrations!$N70&amp;"")</f>
        <v/>
      </c>
      <c r="I286" s="20" t="str">
        <f>IF(B286="","",Administrations!$Q70&amp;"")</f>
        <v/>
      </c>
      <c r="J286" s="20" t="str">
        <f>IF(B286="","",Administrations!$W70&amp;"")</f>
        <v/>
      </c>
      <c r="K286" s="20">
        <f>IF(B286="",0,Administrations!$X70)</f>
        <v>0</v>
      </c>
      <c r="L286" s="20">
        <f>IF(B286="",0,Administrations!$Y70)</f>
        <v>0</v>
      </c>
      <c r="M286" s="20" t="str">
        <f>IF(B286="","",Administrations!$AB70)</f>
        <v/>
      </c>
      <c r="N286" s="20" t="str">
        <f>IF(B286="","",Administrations!$AC70)</f>
        <v/>
      </c>
      <c r="O286" s="27" t="str">
        <f>IF(B286="","",Administrations!$Z70)</f>
        <v/>
      </c>
      <c r="P286" s="27" t="str">
        <f>IF(B286="","",Administrations!$AA70)</f>
        <v/>
      </c>
      <c r="Q286" s="20" t="str">
        <f t="shared" si="57"/>
        <v/>
      </c>
      <c r="R286" s="20" t="str">
        <f>IF(A286="","",IF(J286&lt;&gt;"",J286,IF(H286="TIMESTAMP",DAY(INT(M286/1440))&amp;" "&amp;INDEX(nLIST_Months,MONTH(INT(M286/1440)))&amp;" "&amp;YEAR(INT(M286/1440))&amp;" "&amp;RIGHT("0"&amp;INT(MOD(M286,1440)/60),2)&amp;":"&amp;RIGHT("0"&amp;MOD(M286,60),2)&amp;IF(L286=1," (UTC"&amp;I286&amp;")"," (offset unknown)"),IF(H286="DATE",DAY(O286)&amp;" "&amp;INDEX(nLIST_Months,MONTH(O286))&amp;" "&amp;YEAR(O286),IF(H286="MONTH",INDEX(nLIST_Months,MONTH(O286))&amp;" "&amp;YEAR(O286)&amp;" ("&amp;DAY(O286)&amp;" "&amp;INDEX(nLIST_Months,MONTH(O286))&amp;" "&amp;YEAR(O286)&amp;" to "&amp;DAY(P286)&amp;" "&amp;INDEX(nLIST_Months,MONTH(P286))&amp;" "&amp;YEAR(P286)&amp;")",IF(H286="YEAR",YEAR(O286)&amp;" (1 January to 31 December)",DAY(O286)&amp;" "&amp;INDEX(nLIST_Months,MONTH(O286))&amp;" "&amp;YEAR(O286)&amp;" to "&amp;DAY(P286)&amp;" "&amp;INDEX(nLIST_Months,MONTH(P286))&amp;" "&amp;YEAR(P286)&amp;IF(H286="LAB"," (laboratory-defined)","")))))))</f>
        <v/>
      </c>
      <c r="S286" s="20" t="str">
        <f>IF(B286="","",Administrations!$M70&amp;"")</f>
        <v/>
      </c>
      <c r="T286" s="20" t="str">
        <f>IF(B286="","",Administrations!$V70&amp;"")</f>
        <v/>
      </c>
      <c r="U286" s="20" t="str">
        <f>IF(B286="","","Administrations row "&amp;ROW(Administrations!$A70)&amp;", Administration")</f>
        <v/>
      </c>
      <c r="V286" s="20">
        <f>IF(A286="",0,COUNTIF(nTP_Key,A286))</f>
        <v>0</v>
      </c>
      <c r="W286" s="20">
        <f t="shared" si="58"/>
        <v>0</v>
      </c>
      <c r="X286" s="20">
        <f t="shared" si="59"/>
        <v>0</v>
      </c>
      <c r="Y286" s="20">
        <f t="shared" si="60"/>
        <v>0</v>
      </c>
      <c r="Z286" s="20">
        <f t="shared" si="61"/>
        <v>0</v>
      </c>
      <c r="AA286" s="20">
        <f t="shared" si="62"/>
        <v>282</v>
      </c>
      <c r="AB286" s="20" t="str">
        <f>IF(B286="","",Administrations!$E70&amp;"")</f>
        <v/>
      </c>
      <c r="AC286" s="20" t="str">
        <f>IF(B286="","",IFERROR(INDEX(nEXP_Role,MATCH(Administrations!$A70&amp;"|"&amp;Administrations!$B70&amp;"|"&amp;Administrations!$D70,nEXP_Key,0))&amp;"",""))</f>
        <v/>
      </c>
      <c r="AD286" s="20" t="str">
        <f>IF(B286="","",Administrations!$E70&amp;"")</f>
        <v/>
      </c>
      <c r="AE286" s="20">
        <f t="shared" si="63"/>
        <v>0</v>
      </c>
      <c r="AF286" s="20" t="str">
        <f t="shared" si="64"/>
        <v/>
      </c>
      <c r="AG286" s="20">
        <f t="shared" si="65"/>
        <v>0</v>
      </c>
      <c r="AH286" s="20" t="str">
        <f>""</f>
        <v/>
      </c>
    </row>
    <row r="287" spans="1:34" x14ac:dyDescent="0.2">
      <c r="A287" s="20" t="str">
        <f t="shared" si="55"/>
        <v>VEC-V07|1|A1</v>
      </c>
      <c r="B287" s="20" t="str">
        <f>IF(AND(Administrations!$C71&lt;&gt;"",COUNTA(Administrations!$N71:$U71)&gt;0),Administrations!$C71&amp;"","")</f>
        <v>A1</v>
      </c>
      <c r="C287" s="20" t="str">
        <f t="shared" si="66"/>
        <v>ADMINISTRATION</v>
      </c>
      <c r="D287" s="20" t="str">
        <f>IF(B287="","",Administrations!$A71&amp;"")</f>
        <v>VEC-V07</v>
      </c>
      <c r="E287" s="20" t="str">
        <f>IF(B287="","",Administrations!$B71&amp;"")</f>
        <v>1</v>
      </c>
      <c r="F287" s="20" t="str">
        <f t="shared" si="56"/>
        <v>VEC-V07|1</v>
      </c>
      <c r="G287" s="20" t="str">
        <f>IF(B287="","",Administrations!$D71&amp;"")</f>
        <v>EX1</v>
      </c>
      <c r="H287" s="20" t="str">
        <f>IF(B287="","",Administrations!$N71&amp;"")</f>
        <v>TIMESTAMP</v>
      </c>
      <c r="I287" s="20" t="str">
        <f>IF(B287="","",Administrations!$Q71&amp;"")</f>
        <v>-05:00</v>
      </c>
      <c r="J287" s="20" t="str">
        <f>IF(B287="","",Administrations!$W71&amp;"")</f>
        <v/>
      </c>
      <c r="K287" s="20">
        <f>IF(B287="",0,Administrations!$X71)</f>
        <v>1</v>
      </c>
      <c r="L287" s="20">
        <f>IF(B287="",0,Administrations!$Y71)</f>
        <v>1</v>
      </c>
      <c r="M287" s="20">
        <f>IF(B287="","",Administrations!$AB71)</f>
        <v>66358560</v>
      </c>
      <c r="N287" s="20">
        <f>IF(B287="","",Administrations!$AC71)</f>
        <v>66358860</v>
      </c>
      <c r="O287" s="27">
        <f>IF(B287="","",Administrations!$Z71)</f>
        <v>46082</v>
      </c>
      <c r="P287" s="27">
        <f>IF(B287="","",Administrations!$AA71)</f>
        <v>46082</v>
      </c>
      <c r="Q287" s="20" t="str">
        <f t="shared" si="57"/>
        <v>2026-03-01T08:00-05:00</v>
      </c>
      <c r="R287" s="20" t="str">
        <f>IF(A287="","",IF(J287&lt;&gt;"",J287,IF(H287="TIMESTAMP",DAY(INT(M287/1440))&amp;" "&amp;INDEX(nLIST_Months,MONTH(INT(M287/1440)))&amp;" "&amp;YEAR(INT(M287/1440))&amp;" "&amp;RIGHT("0"&amp;INT(MOD(M287,1440)/60),2)&amp;":"&amp;RIGHT("0"&amp;MOD(M287,60),2)&amp;IF(L287=1," (UTC"&amp;I287&amp;")"," (offset unknown)"),IF(H287="DATE",DAY(O287)&amp;" "&amp;INDEX(nLIST_Months,MONTH(O287))&amp;" "&amp;YEAR(O287),IF(H287="MONTH",INDEX(nLIST_Months,MONTH(O287))&amp;" "&amp;YEAR(O287)&amp;" ("&amp;DAY(O287)&amp;" "&amp;INDEX(nLIST_Months,MONTH(O287))&amp;" "&amp;YEAR(O287)&amp;" to "&amp;DAY(P287)&amp;" "&amp;INDEX(nLIST_Months,MONTH(P287))&amp;" "&amp;YEAR(P287)&amp;")",IF(H287="YEAR",YEAR(O287)&amp;" (1 January to 31 December)",DAY(O287)&amp;" "&amp;INDEX(nLIST_Months,MONTH(O287))&amp;" "&amp;YEAR(O287)&amp;" to "&amp;DAY(P287)&amp;" "&amp;INDEX(nLIST_Months,MONTH(P287))&amp;" "&amp;YEAR(P287)&amp;IF(H287="LAB"," (laboratory-defined)","")))))))</f>
        <v>1 March 2026 08:00 (UTC-05:00)</v>
      </c>
      <c r="S287" s="20" t="str">
        <f>IF(B287="","",Administrations!$M71&amp;"")</f>
        <v>2026-03-01T08:00-05:00</v>
      </c>
      <c r="T287" s="20" t="str">
        <f>IF(B287="","",Administrations!$V71&amp;"")</f>
        <v>tto_calc_test_vectors_v1.1.json V07</v>
      </c>
      <c r="U287" s="20" t="str">
        <f>IF(B287="","","Administrations row "&amp;ROW(Administrations!$A71)&amp;", Administration")</f>
        <v>Administrations row 71, Administration</v>
      </c>
      <c r="V287" s="20">
        <f>IF(A287="",0,COUNTIF(nTP_Key,A287))</f>
        <v>1</v>
      </c>
      <c r="W287" s="20">
        <f t="shared" si="58"/>
        <v>66358560</v>
      </c>
      <c r="X287" s="20">
        <f t="shared" si="59"/>
        <v>66358860</v>
      </c>
      <c r="Y287" s="20">
        <f t="shared" si="60"/>
        <v>46082</v>
      </c>
      <c r="Z287" s="20">
        <f t="shared" si="61"/>
        <v>46082</v>
      </c>
      <c r="AA287" s="20">
        <f t="shared" si="62"/>
        <v>283</v>
      </c>
      <c r="AB287" s="20" t="str">
        <f>IF(B287="","",Administrations!$E71&amp;"")</f>
        <v>DOSE</v>
      </c>
      <c r="AC287" s="20" t="str">
        <f>IF(B287="","",IFERROR(INDEX(nEXP_Role,MATCH(Administrations!$A71&amp;"|"&amp;Administrations!$B71&amp;"|"&amp;Administrations!$D71,nEXP_Key,0))&amp;"",""))</f>
        <v/>
      </c>
      <c r="AD287" s="20" t="str">
        <f>IF(B287="","",Administrations!$E71&amp;"")</f>
        <v>DOSE</v>
      </c>
      <c r="AE287" s="20">
        <f t="shared" si="63"/>
        <v>1</v>
      </c>
      <c r="AF287" s="20" t="str">
        <f t="shared" si="64"/>
        <v>VEC-V07|1|EX1</v>
      </c>
      <c r="AG287" s="20">
        <f t="shared" si="65"/>
        <v>1</v>
      </c>
      <c r="AH287" s="20" t="str">
        <f>""</f>
        <v/>
      </c>
    </row>
    <row r="288" spans="1:34" x14ac:dyDescent="0.2">
      <c r="A288" s="20" t="str">
        <f t="shared" si="55"/>
        <v>VEC-V07|1|A2</v>
      </c>
      <c r="B288" s="20" t="str">
        <f>IF(AND(Administrations!$C72&lt;&gt;"",COUNTA(Administrations!$N72:$U72)&gt;0),Administrations!$C72&amp;"","")</f>
        <v>A2</v>
      </c>
      <c r="C288" s="20" t="str">
        <f t="shared" si="66"/>
        <v>ADMINISTRATION</v>
      </c>
      <c r="D288" s="20" t="str">
        <f>IF(B288="","",Administrations!$A72&amp;"")</f>
        <v>VEC-V07</v>
      </c>
      <c r="E288" s="20" t="str">
        <f>IF(B288="","",Administrations!$B72&amp;"")</f>
        <v>1</v>
      </c>
      <c r="F288" s="20" t="str">
        <f t="shared" si="56"/>
        <v>VEC-V07|1</v>
      </c>
      <c r="G288" s="20" t="str">
        <f>IF(B288="","",Administrations!$D72&amp;"")</f>
        <v>EX1</v>
      </c>
      <c r="H288" s="20" t="str">
        <f>IF(B288="","",Administrations!$N72&amp;"")</f>
        <v>TIMESTAMP</v>
      </c>
      <c r="I288" s="20" t="str">
        <f>IF(B288="","",Administrations!$Q72&amp;"")</f>
        <v>-05:00</v>
      </c>
      <c r="J288" s="20" t="str">
        <f>IF(B288="","",Administrations!$W72&amp;"")</f>
        <v/>
      </c>
      <c r="K288" s="20">
        <f>IF(B288="",0,Administrations!$X72)</f>
        <v>1</v>
      </c>
      <c r="L288" s="20">
        <f>IF(B288="",0,Administrations!$Y72)</f>
        <v>1</v>
      </c>
      <c r="M288" s="20">
        <f>IF(B288="","",Administrations!$AB72)</f>
        <v>66360000</v>
      </c>
      <c r="N288" s="20">
        <f>IF(B288="","",Administrations!$AC72)</f>
        <v>66360300</v>
      </c>
      <c r="O288" s="27">
        <f>IF(B288="","",Administrations!$Z72)</f>
        <v>46083</v>
      </c>
      <c r="P288" s="27">
        <f>IF(B288="","",Administrations!$AA72)</f>
        <v>46083</v>
      </c>
      <c r="Q288" s="20" t="str">
        <f t="shared" si="57"/>
        <v>2026-03-02T08:00-05:00</v>
      </c>
      <c r="R288" s="20" t="str">
        <f>IF(A288="","",IF(J288&lt;&gt;"",J288,IF(H288="TIMESTAMP",DAY(INT(M288/1440))&amp;" "&amp;INDEX(nLIST_Months,MONTH(INT(M288/1440)))&amp;" "&amp;YEAR(INT(M288/1440))&amp;" "&amp;RIGHT("0"&amp;INT(MOD(M288,1440)/60),2)&amp;":"&amp;RIGHT("0"&amp;MOD(M288,60),2)&amp;IF(L288=1," (UTC"&amp;I288&amp;")"," (offset unknown)"),IF(H288="DATE",DAY(O288)&amp;" "&amp;INDEX(nLIST_Months,MONTH(O288))&amp;" "&amp;YEAR(O288),IF(H288="MONTH",INDEX(nLIST_Months,MONTH(O288))&amp;" "&amp;YEAR(O288)&amp;" ("&amp;DAY(O288)&amp;" "&amp;INDEX(nLIST_Months,MONTH(O288))&amp;" "&amp;YEAR(O288)&amp;" to "&amp;DAY(P288)&amp;" "&amp;INDEX(nLIST_Months,MONTH(P288))&amp;" "&amp;YEAR(P288)&amp;")",IF(H288="YEAR",YEAR(O288)&amp;" (1 January to 31 December)",DAY(O288)&amp;" "&amp;INDEX(nLIST_Months,MONTH(O288))&amp;" "&amp;YEAR(O288)&amp;" to "&amp;DAY(P288)&amp;" "&amp;INDEX(nLIST_Months,MONTH(P288))&amp;" "&amp;YEAR(P288)&amp;IF(H288="LAB"," (laboratory-defined)","")))))))</f>
        <v>2 March 2026 08:00 (UTC-05:00)</v>
      </c>
      <c r="S288" s="20" t="str">
        <f>IF(B288="","",Administrations!$M72&amp;"")</f>
        <v>2026-03-02T08:00-05:00</v>
      </c>
      <c r="T288" s="20" t="str">
        <f>IF(B288="","",Administrations!$V72&amp;"")</f>
        <v>tto_calc_test_vectors_v1.1.json V07</v>
      </c>
      <c r="U288" s="20" t="str">
        <f>IF(B288="","","Administrations row "&amp;ROW(Administrations!$A72)&amp;", Administration")</f>
        <v>Administrations row 72, Administration</v>
      </c>
      <c r="V288" s="20">
        <f>IF(A288="",0,COUNTIF(nTP_Key,A288))</f>
        <v>1</v>
      </c>
      <c r="W288" s="20">
        <f t="shared" si="58"/>
        <v>66360000</v>
      </c>
      <c r="X288" s="20">
        <f t="shared" si="59"/>
        <v>66360300</v>
      </c>
      <c r="Y288" s="20">
        <f t="shared" si="60"/>
        <v>46083</v>
      </c>
      <c r="Z288" s="20">
        <f t="shared" si="61"/>
        <v>46083</v>
      </c>
      <c r="AA288" s="20">
        <f t="shared" si="62"/>
        <v>284</v>
      </c>
      <c r="AB288" s="20" t="str">
        <f>IF(B288="","",Administrations!$E72&amp;"")</f>
        <v>DOSE</v>
      </c>
      <c r="AC288" s="20" t="str">
        <f>IF(B288="","",IFERROR(INDEX(nEXP_Role,MATCH(Administrations!$A72&amp;"|"&amp;Administrations!$B72&amp;"|"&amp;Administrations!$D72,nEXP_Key,0))&amp;"",""))</f>
        <v/>
      </c>
      <c r="AD288" s="20" t="str">
        <f>IF(B288="","",Administrations!$E72&amp;"")</f>
        <v>DOSE</v>
      </c>
      <c r="AE288" s="20">
        <f t="shared" si="63"/>
        <v>1</v>
      </c>
      <c r="AF288" s="20" t="str">
        <f t="shared" si="64"/>
        <v>VEC-V07|1|EX1</v>
      </c>
      <c r="AG288" s="20">
        <f t="shared" si="65"/>
        <v>1</v>
      </c>
      <c r="AH288" s="20" t="str">
        <f>""</f>
        <v/>
      </c>
    </row>
    <row r="289" spans="1:34" x14ac:dyDescent="0.2">
      <c r="A289" s="20" t="str">
        <f t="shared" si="55"/>
        <v>VEC-V07|1|A3</v>
      </c>
      <c r="B289" s="20" t="str">
        <f>IF(AND(Administrations!$C73&lt;&gt;"",COUNTA(Administrations!$N73:$U73)&gt;0),Administrations!$C73&amp;"","")</f>
        <v>A3</v>
      </c>
      <c r="C289" s="20" t="str">
        <f t="shared" si="66"/>
        <v>ADMINISTRATION</v>
      </c>
      <c r="D289" s="20" t="str">
        <f>IF(B289="","",Administrations!$A73&amp;"")</f>
        <v>VEC-V07</v>
      </c>
      <c r="E289" s="20" t="str">
        <f>IF(B289="","",Administrations!$B73&amp;"")</f>
        <v>1</v>
      </c>
      <c r="F289" s="20" t="str">
        <f t="shared" si="56"/>
        <v>VEC-V07|1</v>
      </c>
      <c r="G289" s="20" t="str">
        <f>IF(B289="","",Administrations!$D73&amp;"")</f>
        <v>EX1</v>
      </c>
      <c r="H289" s="20" t="str">
        <f>IF(B289="","",Administrations!$N73&amp;"")</f>
        <v>TIMESTAMP</v>
      </c>
      <c r="I289" s="20" t="str">
        <f>IF(B289="","",Administrations!$Q73&amp;"")</f>
        <v>-05:00</v>
      </c>
      <c r="J289" s="20" t="str">
        <f>IF(B289="","",Administrations!$W73&amp;"")</f>
        <v/>
      </c>
      <c r="K289" s="20">
        <f>IF(B289="",0,Administrations!$X73)</f>
        <v>1</v>
      </c>
      <c r="L289" s="20">
        <f>IF(B289="",0,Administrations!$Y73)</f>
        <v>1</v>
      </c>
      <c r="M289" s="20">
        <f>IF(B289="","",Administrations!$AB73)</f>
        <v>66361440</v>
      </c>
      <c r="N289" s="20">
        <f>IF(B289="","",Administrations!$AC73)</f>
        <v>66361740</v>
      </c>
      <c r="O289" s="27">
        <f>IF(B289="","",Administrations!$Z73)</f>
        <v>46084</v>
      </c>
      <c r="P289" s="27">
        <f>IF(B289="","",Administrations!$AA73)</f>
        <v>46084</v>
      </c>
      <c r="Q289" s="20" t="str">
        <f t="shared" si="57"/>
        <v>2026-03-03T08:00-05:00</v>
      </c>
      <c r="R289" s="20" t="str">
        <f>IF(A289="","",IF(J289&lt;&gt;"",J289,IF(H289="TIMESTAMP",DAY(INT(M289/1440))&amp;" "&amp;INDEX(nLIST_Months,MONTH(INT(M289/1440)))&amp;" "&amp;YEAR(INT(M289/1440))&amp;" "&amp;RIGHT("0"&amp;INT(MOD(M289,1440)/60),2)&amp;":"&amp;RIGHT("0"&amp;MOD(M289,60),2)&amp;IF(L289=1," (UTC"&amp;I289&amp;")"," (offset unknown)"),IF(H289="DATE",DAY(O289)&amp;" "&amp;INDEX(nLIST_Months,MONTH(O289))&amp;" "&amp;YEAR(O289),IF(H289="MONTH",INDEX(nLIST_Months,MONTH(O289))&amp;" "&amp;YEAR(O289)&amp;" ("&amp;DAY(O289)&amp;" "&amp;INDEX(nLIST_Months,MONTH(O289))&amp;" "&amp;YEAR(O289)&amp;" to "&amp;DAY(P289)&amp;" "&amp;INDEX(nLIST_Months,MONTH(P289))&amp;" "&amp;YEAR(P289)&amp;")",IF(H289="YEAR",YEAR(O289)&amp;" (1 January to 31 December)",DAY(O289)&amp;" "&amp;INDEX(nLIST_Months,MONTH(O289))&amp;" "&amp;YEAR(O289)&amp;" to "&amp;DAY(P289)&amp;" "&amp;INDEX(nLIST_Months,MONTH(P289))&amp;" "&amp;YEAR(P289)&amp;IF(H289="LAB"," (laboratory-defined)","")))))))</f>
        <v>3 March 2026 08:00 (UTC-05:00)</v>
      </c>
      <c r="S289" s="20" t="str">
        <f>IF(B289="","",Administrations!$M73&amp;"")</f>
        <v>2026-03-03T08:00-05:00</v>
      </c>
      <c r="T289" s="20" t="str">
        <f>IF(B289="","",Administrations!$V73&amp;"")</f>
        <v>tto_calc_test_vectors_v1.1.json V07</v>
      </c>
      <c r="U289" s="20" t="str">
        <f>IF(B289="","","Administrations row "&amp;ROW(Administrations!$A73)&amp;", Administration")</f>
        <v>Administrations row 73, Administration</v>
      </c>
      <c r="V289" s="20">
        <f>IF(A289="",0,COUNTIF(nTP_Key,A289))</f>
        <v>1</v>
      </c>
      <c r="W289" s="20">
        <f t="shared" si="58"/>
        <v>66361440</v>
      </c>
      <c r="X289" s="20">
        <f t="shared" si="59"/>
        <v>66361740</v>
      </c>
      <c r="Y289" s="20">
        <f t="shared" si="60"/>
        <v>46084</v>
      </c>
      <c r="Z289" s="20">
        <f t="shared" si="61"/>
        <v>46084</v>
      </c>
      <c r="AA289" s="20">
        <f t="shared" si="62"/>
        <v>285</v>
      </c>
      <c r="AB289" s="20" t="str">
        <f>IF(B289="","",Administrations!$E73&amp;"")</f>
        <v>DOSE</v>
      </c>
      <c r="AC289" s="20" t="str">
        <f>IF(B289="","",IFERROR(INDEX(nEXP_Role,MATCH(Administrations!$A73&amp;"|"&amp;Administrations!$B73&amp;"|"&amp;Administrations!$D73,nEXP_Key,0))&amp;"",""))</f>
        <v/>
      </c>
      <c r="AD289" s="20" t="str">
        <f>IF(B289="","",Administrations!$E73&amp;"")</f>
        <v>DOSE</v>
      </c>
      <c r="AE289" s="20">
        <f t="shared" si="63"/>
        <v>1</v>
      </c>
      <c r="AF289" s="20" t="str">
        <f t="shared" si="64"/>
        <v>VEC-V07|1|EX1</v>
      </c>
      <c r="AG289" s="20">
        <f t="shared" si="65"/>
        <v>1</v>
      </c>
      <c r="AH289" s="20" t="str">
        <f>""</f>
        <v/>
      </c>
    </row>
    <row r="290" spans="1:34" x14ac:dyDescent="0.2">
      <c r="A290" s="20" t="str">
        <f t="shared" si="55"/>
        <v>VEC-V25|1|S1</v>
      </c>
      <c r="B290" s="20" t="str">
        <f>IF(AND(Administrations!$C74&lt;&gt;"",COUNTA(Administrations!$N74:$U74)&gt;0),Administrations!$C74&amp;"","")</f>
        <v>S1</v>
      </c>
      <c r="C290" s="20" t="str">
        <f t="shared" si="66"/>
        <v>ADMINISTRATION</v>
      </c>
      <c r="D290" s="20" t="str">
        <f>IF(B290="","",Administrations!$A74&amp;"")</f>
        <v>VEC-V25</v>
      </c>
      <c r="E290" s="20" t="str">
        <f>IF(B290="","",Administrations!$B74&amp;"")</f>
        <v>1</v>
      </c>
      <c r="F290" s="20" t="str">
        <f t="shared" si="56"/>
        <v>VEC-V25|1</v>
      </c>
      <c r="G290" s="20" t="str">
        <f>IF(B290="","",Administrations!$D74&amp;"")</f>
        <v>EX1</v>
      </c>
      <c r="H290" s="20" t="str">
        <f>IF(B290="","",Administrations!$N74&amp;"")</f>
        <v>TIMESTAMP</v>
      </c>
      <c r="I290" s="20" t="str">
        <f>IF(B290="","",Administrations!$Q74&amp;"")</f>
        <v>-05:00</v>
      </c>
      <c r="J290" s="20" t="str">
        <f>IF(B290="","",Administrations!$W74&amp;"")</f>
        <v/>
      </c>
      <c r="K290" s="20">
        <f>IF(B290="",0,Administrations!$X74)</f>
        <v>1</v>
      </c>
      <c r="L290" s="20">
        <f>IF(B290="",0,Administrations!$Y74)</f>
        <v>1</v>
      </c>
      <c r="M290" s="20">
        <f>IF(B290="","",Administrations!$AB74)</f>
        <v>66286620</v>
      </c>
      <c r="N290" s="20">
        <f>IF(B290="","",Administrations!$AC74)</f>
        <v>66286920</v>
      </c>
      <c r="O290" s="27">
        <f>IF(B290="","",Administrations!$Z74)</f>
        <v>46032</v>
      </c>
      <c r="P290" s="27">
        <f>IF(B290="","",Administrations!$AA74)</f>
        <v>46032</v>
      </c>
      <c r="Q290" s="20" t="str">
        <f t="shared" si="57"/>
        <v>2026-01-10T09:00-05:00</v>
      </c>
      <c r="R290" s="20" t="str">
        <f>IF(A290="","",IF(J290&lt;&gt;"",J290,IF(H290="TIMESTAMP",DAY(INT(M290/1440))&amp;" "&amp;INDEX(nLIST_Months,MONTH(INT(M290/1440)))&amp;" "&amp;YEAR(INT(M290/1440))&amp;" "&amp;RIGHT("0"&amp;INT(MOD(M290,1440)/60),2)&amp;":"&amp;RIGHT("0"&amp;MOD(M290,60),2)&amp;IF(L290=1," (UTC"&amp;I290&amp;")"," (offset unknown)"),IF(H290="DATE",DAY(O290)&amp;" "&amp;INDEX(nLIST_Months,MONTH(O290))&amp;" "&amp;YEAR(O290),IF(H290="MONTH",INDEX(nLIST_Months,MONTH(O290))&amp;" "&amp;YEAR(O290)&amp;" ("&amp;DAY(O290)&amp;" "&amp;INDEX(nLIST_Months,MONTH(O290))&amp;" "&amp;YEAR(O290)&amp;" to "&amp;DAY(P290)&amp;" "&amp;INDEX(nLIST_Months,MONTH(P290))&amp;" "&amp;YEAR(P290)&amp;")",IF(H290="YEAR",YEAR(O290)&amp;" (1 January to 31 December)",DAY(O290)&amp;" "&amp;INDEX(nLIST_Months,MONTH(O290))&amp;" "&amp;YEAR(O290)&amp;" to "&amp;DAY(P290)&amp;" "&amp;INDEX(nLIST_Months,MONTH(P290))&amp;" "&amp;YEAR(P290)&amp;IF(H290="LAB"," (laboratory-defined)","")))))))</f>
        <v>10 January 2026 09:00 (UTC-05:00)</v>
      </c>
      <c r="S290" s="20" t="str">
        <f>IF(B290="","",Administrations!$M74&amp;"")</f>
        <v>segment 1 start</v>
      </c>
      <c r="T290" s="20" t="str">
        <f>IF(B290="","",Administrations!$V74&amp;"")</f>
        <v>tto_calc_test_vectors_v1.1.json V25</v>
      </c>
      <c r="U290" s="20" t="str">
        <f>IF(B290="","","Administrations row "&amp;ROW(Administrations!$A74)&amp;", Administration")</f>
        <v>Administrations row 74, Administration</v>
      </c>
      <c r="V290" s="20">
        <f>IF(A290="",0,COUNTIF(nTP_Key,A290))</f>
        <v>1</v>
      </c>
      <c r="W290" s="20">
        <f t="shared" si="58"/>
        <v>66286620</v>
      </c>
      <c r="X290" s="20">
        <f t="shared" si="59"/>
        <v>66286920</v>
      </c>
      <c r="Y290" s="20">
        <f t="shared" si="60"/>
        <v>46032</v>
      </c>
      <c r="Z290" s="20">
        <f t="shared" si="61"/>
        <v>46032</v>
      </c>
      <c r="AA290" s="20">
        <f t="shared" si="62"/>
        <v>286</v>
      </c>
      <c r="AB290" s="20" t="str">
        <f>IF(B290="","",Administrations!$E74&amp;"")</f>
        <v>INFUSION_SEGMENT</v>
      </c>
      <c r="AC290" s="20" t="str">
        <f>IF(B290="","",IFERROR(INDEX(nEXP_Role,MATCH(Administrations!$A74&amp;"|"&amp;Administrations!$B74&amp;"|"&amp;Administrations!$D74,nEXP_Key,0))&amp;"",""))</f>
        <v/>
      </c>
      <c r="AD290" s="20" t="str">
        <f>IF(B290="","",Administrations!$E74&amp;"")</f>
        <v>INFUSION_SEGMENT</v>
      </c>
      <c r="AE290" s="20">
        <f t="shared" si="63"/>
        <v>0</v>
      </c>
      <c r="AF290" s="20" t="str">
        <f t="shared" si="64"/>
        <v/>
      </c>
      <c r="AG290" s="20">
        <f t="shared" si="65"/>
        <v>1</v>
      </c>
      <c r="AH290" s="20" t="str">
        <f>""</f>
        <v/>
      </c>
    </row>
    <row r="291" spans="1:34" x14ac:dyDescent="0.2">
      <c r="A291" s="20" t="str">
        <f t="shared" si="55"/>
        <v>VEC-V25|1|S2</v>
      </c>
      <c r="B291" s="20" t="str">
        <f>IF(AND(Administrations!$C75&lt;&gt;"",COUNTA(Administrations!$N75:$U75)&gt;0),Administrations!$C75&amp;"","")</f>
        <v>S2</v>
      </c>
      <c r="C291" s="20" t="str">
        <f t="shared" si="66"/>
        <v>ADMINISTRATION</v>
      </c>
      <c r="D291" s="20" t="str">
        <f>IF(B291="","",Administrations!$A75&amp;"")</f>
        <v>VEC-V25</v>
      </c>
      <c r="E291" s="20" t="str">
        <f>IF(B291="","",Administrations!$B75&amp;"")</f>
        <v>1</v>
      </c>
      <c r="F291" s="20" t="str">
        <f t="shared" si="56"/>
        <v>VEC-V25|1</v>
      </c>
      <c r="G291" s="20" t="str">
        <f>IF(B291="","",Administrations!$D75&amp;"")</f>
        <v>EX1</v>
      </c>
      <c r="H291" s="20" t="str">
        <f>IF(B291="","",Administrations!$N75&amp;"")</f>
        <v>TIMESTAMP</v>
      </c>
      <c r="I291" s="20" t="str">
        <f>IF(B291="","",Administrations!$Q75&amp;"")</f>
        <v>-05:00</v>
      </c>
      <c r="J291" s="20" t="str">
        <f>IF(B291="","",Administrations!$W75&amp;"")</f>
        <v/>
      </c>
      <c r="K291" s="20">
        <f>IF(B291="",0,Administrations!$X75)</f>
        <v>1</v>
      </c>
      <c r="L291" s="20">
        <f>IF(B291="",0,Administrations!$Y75)</f>
        <v>1</v>
      </c>
      <c r="M291" s="20">
        <f>IF(B291="","",Administrations!$AB75)</f>
        <v>66286650</v>
      </c>
      <c r="N291" s="20">
        <f>IF(B291="","",Administrations!$AC75)</f>
        <v>66286950</v>
      </c>
      <c r="O291" s="27">
        <f>IF(B291="","",Administrations!$Z75)</f>
        <v>46032</v>
      </c>
      <c r="P291" s="27">
        <f>IF(B291="","",Administrations!$AA75)</f>
        <v>46032</v>
      </c>
      <c r="Q291" s="20" t="str">
        <f t="shared" si="57"/>
        <v>2026-01-10T09:30-05:00</v>
      </c>
      <c r="R291" s="20" t="str">
        <f>IF(A291="","",IF(J291&lt;&gt;"",J291,IF(H291="TIMESTAMP",DAY(INT(M291/1440))&amp;" "&amp;INDEX(nLIST_Months,MONTH(INT(M291/1440)))&amp;" "&amp;YEAR(INT(M291/1440))&amp;" "&amp;RIGHT("0"&amp;INT(MOD(M291,1440)/60),2)&amp;":"&amp;RIGHT("0"&amp;MOD(M291,60),2)&amp;IF(L291=1," (UTC"&amp;I291&amp;")"," (offset unknown)"),IF(H291="DATE",DAY(O291)&amp;" "&amp;INDEX(nLIST_Months,MONTH(O291))&amp;" "&amp;YEAR(O291),IF(H291="MONTH",INDEX(nLIST_Months,MONTH(O291))&amp;" "&amp;YEAR(O291)&amp;" ("&amp;DAY(O291)&amp;" "&amp;INDEX(nLIST_Months,MONTH(O291))&amp;" "&amp;YEAR(O291)&amp;" to "&amp;DAY(P291)&amp;" "&amp;INDEX(nLIST_Months,MONTH(P291))&amp;" "&amp;YEAR(P291)&amp;")",IF(H291="YEAR",YEAR(O291)&amp;" (1 January to 31 December)",DAY(O291)&amp;" "&amp;INDEX(nLIST_Months,MONTH(O291))&amp;" "&amp;YEAR(O291)&amp;" to "&amp;DAY(P291)&amp;" "&amp;INDEX(nLIST_Months,MONTH(P291))&amp;" "&amp;YEAR(P291)&amp;IF(H291="LAB"," (laboratory-defined)","")))))))</f>
        <v>10 January 2026 09:30 (UTC-05:00)</v>
      </c>
      <c r="S291" s="20" t="str">
        <f>IF(B291="","",Administrations!$M75&amp;"")</f>
        <v>segment 2 start</v>
      </c>
      <c r="T291" s="20" t="str">
        <f>IF(B291="","",Administrations!$V75&amp;"")</f>
        <v>tto_calc_test_vectors_v1.1.json V25</v>
      </c>
      <c r="U291" s="20" t="str">
        <f>IF(B291="","","Administrations row "&amp;ROW(Administrations!$A75)&amp;", Administration")</f>
        <v>Administrations row 75, Administration</v>
      </c>
      <c r="V291" s="20">
        <f>IF(A291="",0,COUNTIF(nTP_Key,A291))</f>
        <v>1</v>
      </c>
      <c r="W291" s="20">
        <f t="shared" si="58"/>
        <v>66286650</v>
      </c>
      <c r="X291" s="20">
        <f t="shared" si="59"/>
        <v>66286950</v>
      </c>
      <c r="Y291" s="20">
        <f t="shared" si="60"/>
        <v>46032</v>
      </c>
      <c r="Z291" s="20">
        <f t="shared" si="61"/>
        <v>46032</v>
      </c>
      <c r="AA291" s="20">
        <f t="shared" si="62"/>
        <v>287</v>
      </c>
      <c r="AB291" s="20" t="str">
        <f>IF(B291="","",Administrations!$E75&amp;"")</f>
        <v>INFUSION_SEGMENT</v>
      </c>
      <c r="AC291" s="20" t="str">
        <f>IF(B291="","",IFERROR(INDEX(nEXP_Role,MATCH(Administrations!$A75&amp;"|"&amp;Administrations!$B75&amp;"|"&amp;Administrations!$D75,nEXP_Key,0))&amp;"",""))</f>
        <v/>
      </c>
      <c r="AD291" s="20" t="str">
        <f>IF(B291="","",Administrations!$E75&amp;"")</f>
        <v>INFUSION_SEGMENT</v>
      </c>
      <c r="AE291" s="20">
        <f t="shared" si="63"/>
        <v>0</v>
      </c>
      <c r="AF291" s="20" t="str">
        <f t="shared" si="64"/>
        <v/>
      </c>
      <c r="AG291" s="20">
        <f t="shared" si="65"/>
        <v>1</v>
      </c>
      <c r="AH291" s="20" t="str">
        <f>""</f>
        <v/>
      </c>
    </row>
    <row r="292" spans="1:34" x14ac:dyDescent="0.2">
      <c r="A292" s="20" t="str">
        <f t="shared" si="55"/>
        <v/>
      </c>
      <c r="B292" s="20" t="str">
        <f>IF(AND(Administrations!$C76&lt;&gt;"",COUNTA(Administrations!$N76:$U76)&gt;0),Administrations!$C76&amp;"","")</f>
        <v/>
      </c>
      <c r="C292" s="20" t="str">
        <f t="shared" si="66"/>
        <v/>
      </c>
      <c r="D292" s="20" t="str">
        <f>IF(B292="","",Administrations!$A76&amp;"")</f>
        <v/>
      </c>
      <c r="E292" s="20" t="str">
        <f>IF(B292="","",Administrations!$B76&amp;"")</f>
        <v/>
      </c>
      <c r="F292" s="20" t="str">
        <f t="shared" si="56"/>
        <v/>
      </c>
      <c r="G292" s="20" t="str">
        <f>IF(B292="","",Administrations!$D76&amp;"")</f>
        <v/>
      </c>
      <c r="H292" s="20" t="str">
        <f>IF(B292="","",Administrations!$N76&amp;"")</f>
        <v/>
      </c>
      <c r="I292" s="20" t="str">
        <f>IF(B292="","",Administrations!$Q76&amp;"")</f>
        <v/>
      </c>
      <c r="J292" s="20" t="str">
        <f>IF(B292="","",Administrations!$W76&amp;"")</f>
        <v/>
      </c>
      <c r="K292" s="20">
        <f>IF(B292="",0,Administrations!$X76)</f>
        <v>0</v>
      </c>
      <c r="L292" s="20">
        <f>IF(B292="",0,Administrations!$Y76)</f>
        <v>0</v>
      </c>
      <c r="M292" s="20" t="str">
        <f>IF(B292="","",Administrations!$AB76)</f>
        <v/>
      </c>
      <c r="N292" s="20" t="str">
        <f>IF(B292="","",Administrations!$AC76)</f>
        <v/>
      </c>
      <c r="O292" s="27" t="str">
        <f>IF(B292="","",Administrations!$Z76)</f>
        <v/>
      </c>
      <c r="P292" s="27" t="str">
        <f>IF(B292="","",Administrations!$AA76)</f>
        <v/>
      </c>
      <c r="Q292" s="20" t="str">
        <f t="shared" si="57"/>
        <v/>
      </c>
      <c r="R292" s="20" t="str">
        <f>IF(A292="","",IF(J292&lt;&gt;"",J292,IF(H292="TIMESTAMP",DAY(INT(M292/1440))&amp;" "&amp;INDEX(nLIST_Months,MONTH(INT(M292/1440)))&amp;" "&amp;YEAR(INT(M292/1440))&amp;" "&amp;RIGHT("0"&amp;INT(MOD(M292,1440)/60),2)&amp;":"&amp;RIGHT("0"&amp;MOD(M292,60),2)&amp;IF(L292=1," (UTC"&amp;I292&amp;")"," (offset unknown)"),IF(H292="DATE",DAY(O292)&amp;" "&amp;INDEX(nLIST_Months,MONTH(O292))&amp;" "&amp;YEAR(O292),IF(H292="MONTH",INDEX(nLIST_Months,MONTH(O292))&amp;" "&amp;YEAR(O292)&amp;" ("&amp;DAY(O292)&amp;" "&amp;INDEX(nLIST_Months,MONTH(O292))&amp;" "&amp;YEAR(O292)&amp;" to "&amp;DAY(P292)&amp;" "&amp;INDEX(nLIST_Months,MONTH(P292))&amp;" "&amp;YEAR(P292)&amp;")",IF(H292="YEAR",YEAR(O292)&amp;" (1 January to 31 December)",DAY(O292)&amp;" "&amp;INDEX(nLIST_Months,MONTH(O292))&amp;" "&amp;YEAR(O292)&amp;" to "&amp;DAY(P292)&amp;" "&amp;INDEX(nLIST_Months,MONTH(P292))&amp;" "&amp;YEAR(P292)&amp;IF(H292="LAB"," (laboratory-defined)","")))))))</f>
        <v/>
      </c>
      <c r="S292" s="20" t="str">
        <f>IF(B292="","",Administrations!$M76&amp;"")</f>
        <v/>
      </c>
      <c r="T292" s="20" t="str">
        <f>IF(B292="","",Administrations!$V76&amp;"")</f>
        <v/>
      </c>
      <c r="U292" s="20" t="str">
        <f>IF(B292="","","Administrations row "&amp;ROW(Administrations!$A76)&amp;", Administration")</f>
        <v/>
      </c>
      <c r="V292" s="20">
        <f>IF(A292="",0,COUNTIF(nTP_Key,A292))</f>
        <v>0</v>
      </c>
      <c r="W292" s="20">
        <f t="shared" si="58"/>
        <v>0</v>
      </c>
      <c r="X292" s="20">
        <f t="shared" si="59"/>
        <v>0</v>
      </c>
      <c r="Y292" s="20">
        <f t="shared" si="60"/>
        <v>0</v>
      </c>
      <c r="Z292" s="20">
        <f t="shared" si="61"/>
        <v>0</v>
      </c>
      <c r="AA292" s="20">
        <f t="shared" si="62"/>
        <v>288</v>
      </c>
      <c r="AB292" s="20" t="str">
        <f>IF(B292="","",Administrations!$E76&amp;"")</f>
        <v/>
      </c>
      <c r="AC292" s="20" t="str">
        <f>IF(B292="","",IFERROR(INDEX(nEXP_Role,MATCH(Administrations!$A76&amp;"|"&amp;Administrations!$B76&amp;"|"&amp;Administrations!$D76,nEXP_Key,0))&amp;"",""))</f>
        <v/>
      </c>
      <c r="AD292" s="20" t="str">
        <f>IF(B292="","",Administrations!$E76&amp;"")</f>
        <v/>
      </c>
      <c r="AE292" s="20">
        <f t="shared" si="63"/>
        <v>0</v>
      </c>
      <c r="AF292" s="20" t="str">
        <f t="shared" si="64"/>
        <v/>
      </c>
      <c r="AG292" s="20">
        <f t="shared" si="65"/>
        <v>0</v>
      </c>
      <c r="AH292" s="20" t="str">
        <f>""</f>
        <v/>
      </c>
    </row>
    <row r="293" spans="1:34" x14ac:dyDescent="0.2">
      <c r="A293" s="20" t="str">
        <f t="shared" si="55"/>
        <v/>
      </c>
      <c r="B293" s="20" t="str">
        <f>IF(AND(Administrations!$C77&lt;&gt;"",COUNTA(Administrations!$N77:$U77)&gt;0),Administrations!$C77&amp;"","")</f>
        <v/>
      </c>
      <c r="C293" s="20" t="str">
        <f t="shared" si="66"/>
        <v/>
      </c>
      <c r="D293" s="20" t="str">
        <f>IF(B293="","",Administrations!$A77&amp;"")</f>
        <v/>
      </c>
      <c r="E293" s="20" t="str">
        <f>IF(B293="","",Administrations!$B77&amp;"")</f>
        <v/>
      </c>
      <c r="F293" s="20" t="str">
        <f t="shared" si="56"/>
        <v/>
      </c>
      <c r="G293" s="20" t="str">
        <f>IF(B293="","",Administrations!$D77&amp;"")</f>
        <v/>
      </c>
      <c r="H293" s="20" t="str">
        <f>IF(B293="","",Administrations!$N77&amp;"")</f>
        <v/>
      </c>
      <c r="I293" s="20" t="str">
        <f>IF(B293="","",Administrations!$Q77&amp;"")</f>
        <v/>
      </c>
      <c r="J293" s="20" t="str">
        <f>IF(B293="","",Administrations!$W77&amp;"")</f>
        <v/>
      </c>
      <c r="K293" s="20">
        <f>IF(B293="",0,Administrations!$X77)</f>
        <v>0</v>
      </c>
      <c r="L293" s="20">
        <f>IF(B293="",0,Administrations!$Y77)</f>
        <v>0</v>
      </c>
      <c r="M293" s="20" t="str">
        <f>IF(B293="","",Administrations!$AB77)</f>
        <v/>
      </c>
      <c r="N293" s="20" t="str">
        <f>IF(B293="","",Administrations!$AC77)</f>
        <v/>
      </c>
      <c r="O293" s="27" t="str">
        <f>IF(B293="","",Administrations!$Z77)</f>
        <v/>
      </c>
      <c r="P293" s="27" t="str">
        <f>IF(B293="","",Administrations!$AA77)</f>
        <v/>
      </c>
      <c r="Q293" s="20" t="str">
        <f t="shared" si="57"/>
        <v/>
      </c>
      <c r="R293" s="20" t="str">
        <f>IF(A293="","",IF(J293&lt;&gt;"",J293,IF(H293="TIMESTAMP",DAY(INT(M293/1440))&amp;" "&amp;INDEX(nLIST_Months,MONTH(INT(M293/1440)))&amp;" "&amp;YEAR(INT(M293/1440))&amp;" "&amp;RIGHT("0"&amp;INT(MOD(M293,1440)/60),2)&amp;":"&amp;RIGHT("0"&amp;MOD(M293,60),2)&amp;IF(L293=1," (UTC"&amp;I293&amp;")"," (offset unknown)"),IF(H293="DATE",DAY(O293)&amp;" "&amp;INDEX(nLIST_Months,MONTH(O293))&amp;" "&amp;YEAR(O293),IF(H293="MONTH",INDEX(nLIST_Months,MONTH(O293))&amp;" "&amp;YEAR(O293)&amp;" ("&amp;DAY(O293)&amp;" "&amp;INDEX(nLIST_Months,MONTH(O293))&amp;" "&amp;YEAR(O293)&amp;" to "&amp;DAY(P293)&amp;" "&amp;INDEX(nLIST_Months,MONTH(P293))&amp;" "&amp;YEAR(P293)&amp;")",IF(H293="YEAR",YEAR(O293)&amp;" (1 January to 31 December)",DAY(O293)&amp;" "&amp;INDEX(nLIST_Months,MONTH(O293))&amp;" "&amp;YEAR(O293)&amp;" to "&amp;DAY(P293)&amp;" "&amp;INDEX(nLIST_Months,MONTH(P293))&amp;" "&amp;YEAR(P293)&amp;IF(H293="LAB"," (laboratory-defined)","")))))))</f>
        <v/>
      </c>
      <c r="S293" s="20" t="str">
        <f>IF(B293="","",Administrations!$M77&amp;"")</f>
        <v/>
      </c>
      <c r="T293" s="20" t="str">
        <f>IF(B293="","",Administrations!$V77&amp;"")</f>
        <v/>
      </c>
      <c r="U293" s="20" t="str">
        <f>IF(B293="","","Administrations row "&amp;ROW(Administrations!$A77)&amp;", Administration")</f>
        <v/>
      </c>
      <c r="V293" s="20">
        <f>IF(A293="",0,COUNTIF(nTP_Key,A293))</f>
        <v>0</v>
      </c>
      <c r="W293" s="20">
        <f t="shared" si="58"/>
        <v>0</v>
      </c>
      <c r="X293" s="20">
        <f t="shared" si="59"/>
        <v>0</v>
      </c>
      <c r="Y293" s="20">
        <f t="shared" si="60"/>
        <v>0</v>
      </c>
      <c r="Z293" s="20">
        <f t="shared" si="61"/>
        <v>0</v>
      </c>
      <c r="AA293" s="20">
        <f t="shared" si="62"/>
        <v>289</v>
      </c>
      <c r="AB293" s="20" t="str">
        <f>IF(B293="","",Administrations!$E77&amp;"")</f>
        <v/>
      </c>
      <c r="AC293" s="20" t="str">
        <f>IF(B293="","",IFERROR(INDEX(nEXP_Role,MATCH(Administrations!$A77&amp;"|"&amp;Administrations!$B77&amp;"|"&amp;Administrations!$D77,nEXP_Key,0))&amp;"",""))</f>
        <v/>
      </c>
      <c r="AD293" s="20" t="str">
        <f>IF(B293="","",Administrations!$E77&amp;"")</f>
        <v/>
      </c>
      <c r="AE293" s="20">
        <f t="shared" si="63"/>
        <v>0</v>
      </c>
      <c r="AF293" s="20" t="str">
        <f t="shared" si="64"/>
        <v/>
      </c>
      <c r="AG293" s="20">
        <f t="shared" si="65"/>
        <v>0</v>
      </c>
      <c r="AH293" s="20" t="str">
        <f>""</f>
        <v/>
      </c>
    </row>
    <row r="294" spans="1:34" x14ac:dyDescent="0.2">
      <c r="A294" s="20" t="str">
        <f t="shared" si="55"/>
        <v/>
      </c>
      <c r="B294" s="20" t="str">
        <f>IF(AND(Administrations!$C78&lt;&gt;"",COUNTA(Administrations!$N78:$U78)&gt;0),Administrations!$C78&amp;"","")</f>
        <v/>
      </c>
      <c r="C294" s="20" t="str">
        <f t="shared" si="66"/>
        <v/>
      </c>
      <c r="D294" s="20" t="str">
        <f>IF(B294="","",Administrations!$A78&amp;"")</f>
        <v/>
      </c>
      <c r="E294" s="20" t="str">
        <f>IF(B294="","",Administrations!$B78&amp;"")</f>
        <v/>
      </c>
      <c r="F294" s="20" t="str">
        <f t="shared" si="56"/>
        <v/>
      </c>
      <c r="G294" s="20" t="str">
        <f>IF(B294="","",Administrations!$D78&amp;"")</f>
        <v/>
      </c>
      <c r="H294" s="20" t="str">
        <f>IF(B294="","",Administrations!$N78&amp;"")</f>
        <v/>
      </c>
      <c r="I294" s="20" t="str">
        <f>IF(B294="","",Administrations!$Q78&amp;"")</f>
        <v/>
      </c>
      <c r="J294" s="20" t="str">
        <f>IF(B294="","",Administrations!$W78&amp;"")</f>
        <v/>
      </c>
      <c r="K294" s="20">
        <f>IF(B294="",0,Administrations!$X78)</f>
        <v>0</v>
      </c>
      <c r="L294" s="20">
        <f>IF(B294="",0,Administrations!$Y78)</f>
        <v>0</v>
      </c>
      <c r="M294" s="20" t="str">
        <f>IF(B294="","",Administrations!$AB78)</f>
        <v/>
      </c>
      <c r="N294" s="20" t="str">
        <f>IF(B294="","",Administrations!$AC78)</f>
        <v/>
      </c>
      <c r="O294" s="27" t="str">
        <f>IF(B294="","",Administrations!$Z78)</f>
        <v/>
      </c>
      <c r="P294" s="27" t="str">
        <f>IF(B294="","",Administrations!$AA78)</f>
        <v/>
      </c>
      <c r="Q294" s="20" t="str">
        <f t="shared" si="57"/>
        <v/>
      </c>
      <c r="R294" s="20" t="str">
        <f>IF(A294="","",IF(J294&lt;&gt;"",J294,IF(H294="TIMESTAMP",DAY(INT(M294/1440))&amp;" "&amp;INDEX(nLIST_Months,MONTH(INT(M294/1440)))&amp;" "&amp;YEAR(INT(M294/1440))&amp;" "&amp;RIGHT("0"&amp;INT(MOD(M294,1440)/60),2)&amp;":"&amp;RIGHT("0"&amp;MOD(M294,60),2)&amp;IF(L294=1," (UTC"&amp;I294&amp;")"," (offset unknown)"),IF(H294="DATE",DAY(O294)&amp;" "&amp;INDEX(nLIST_Months,MONTH(O294))&amp;" "&amp;YEAR(O294),IF(H294="MONTH",INDEX(nLIST_Months,MONTH(O294))&amp;" "&amp;YEAR(O294)&amp;" ("&amp;DAY(O294)&amp;" "&amp;INDEX(nLIST_Months,MONTH(O294))&amp;" "&amp;YEAR(O294)&amp;" to "&amp;DAY(P294)&amp;" "&amp;INDEX(nLIST_Months,MONTH(P294))&amp;" "&amp;YEAR(P294)&amp;")",IF(H294="YEAR",YEAR(O294)&amp;" (1 January to 31 December)",DAY(O294)&amp;" "&amp;INDEX(nLIST_Months,MONTH(O294))&amp;" "&amp;YEAR(O294)&amp;" to "&amp;DAY(P294)&amp;" "&amp;INDEX(nLIST_Months,MONTH(P294))&amp;" "&amp;YEAR(P294)&amp;IF(H294="LAB"," (laboratory-defined)","")))))))</f>
        <v/>
      </c>
      <c r="S294" s="20" t="str">
        <f>IF(B294="","",Administrations!$M78&amp;"")</f>
        <v/>
      </c>
      <c r="T294" s="20" t="str">
        <f>IF(B294="","",Administrations!$V78&amp;"")</f>
        <v/>
      </c>
      <c r="U294" s="20" t="str">
        <f>IF(B294="","","Administrations row "&amp;ROW(Administrations!$A78)&amp;", Administration")</f>
        <v/>
      </c>
      <c r="V294" s="20">
        <f>IF(A294="",0,COUNTIF(nTP_Key,A294))</f>
        <v>0</v>
      </c>
      <c r="W294" s="20">
        <f t="shared" si="58"/>
        <v>0</v>
      </c>
      <c r="X294" s="20">
        <f t="shared" si="59"/>
        <v>0</v>
      </c>
      <c r="Y294" s="20">
        <f t="shared" si="60"/>
        <v>0</v>
      </c>
      <c r="Z294" s="20">
        <f t="shared" si="61"/>
        <v>0</v>
      </c>
      <c r="AA294" s="20">
        <f t="shared" si="62"/>
        <v>290</v>
      </c>
      <c r="AB294" s="20" t="str">
        <f>IF(B294="","",Administrations!$E78&amp;"")</f>
        <v/>
      </c>
      <c r="AC294" s="20" t="str">
        <f>IF(B294="","",IFERROR(INDEX(nEXP_Role,MATCH(Administrations!$A78&amp;"|"&amp;Administrations!$B78&amp;"|"&amp;Administrations!$D78,nEXP_Key,0))&amp;"",""))</f>
        <v/>
      </c>
      <c r="AD294" s="20" t="str">
        <f>IF(B294="","",Administrations!$E78&amp;"")</f>
        <v/>
      </c>
      <c r="AE294" s="20">
        <f t="shared" si="63"/>
        <v>0</v>
      </c>
      <c r="AF294" s="20" t="str">
        <f t="shared" si="64"/>
        <v/>
      </c>
      <c r="AG294" s="20">
        <f t="shared" si="65"/>
        <v>0</v>
      </c>
      <c r="AH294" s="20" t="str">
        <f>""</f>
        <v/>
      </c>
    </row>
    <row r="295" spans="1:34" x14ac:dyDescent="0.2">
      <c r="A295" s="20" t="str">
        <f t="shared" si="55"/>
        <v>VEC-V33|1|AD2</v>
      </c>
      <c r="B295" s="20" t="str">
        <f>IF(AND(Administrations!$C79&lt;&gt;"",COUNTA(Administrations!$N79:$U79)&gt;0),Administrations!$C79&amp;"","")</f>
        <v>AD2</v>
      </c>
      <c r="C295" s="20" t="str">
        <f t="shared" si="66"/>
        <v>ADMINISTRATION</v>
      </c>
      <c r="D295" s="20" t="str">
        <f>IF(B295="","",Administrations!$A79&amp;"")</f>
        <v>VEC-V33</v>
      </c>
      <c r="E295" s="20" t="str">
        <f>IF(B295="","",Administrations!$B79&amp;"")</f>
        <v>1</v>
      </c>
      <c r="F295" s="20" t="str">
        <f t="shared" si="56"/>
        <v>VEC-V33|1</v>
      </c>
      <c r="G295" s="20" t="str">
        <f>IF(B295="","",Administrations!$D79&amp;"")</f>
        <v>EX1</v>
      </c>
      <c r="H295" s="20" t="str">
        <f>IF(B295="","",Administrations!$N79&amp;"")</f>
        <v>TIMESTAMP</v>
      </c>
      <c r="I295" s="20" t="str">
        <f>IF(B295="","",Administrations!$Q79&amp;"")</f>
        <v>+01:00</v>
      </c>
      <c r="J295" s="20" t="str">
        <f>IF(B295="","",Administrations!$W79&amp;"")</f>
        <v/>
      </c>
      <c r="K295" s="20">
        <f>IF(B295="",0,Administrations!$X79)</f>
        <v>1</v>
      </c>
      <c r="L295" s="20">
        <f>IF(B295="",0,Administrations!$Y79)</f>
        <v>1</v>
      </c>
      <c r="M295" s="20">
        <f>IF(B295="","",Administrations!$AB79)</f>
        <v>66360060</v>
      </c>
      <c r="N295" s="20">
        <f>IF(B295="","",Administrations!$AC79)</f>
        <v>66360000</v>
      </c>
      <c r="O295" s="27">
        <f>IF(B295="","",Administrations!$Z79)</f>
        <v>46083</v>
      </c>
      <c r="P295" s="27">
        <f>IF(B295="","",Administrations!$AA79)</f>
        <v>46083</v>
      </c>
      <c r="Q295" s="20" t="str">
        <f t="shared" si="57"/>
        <v>2026-03-02T09:00+01:00</v>
      </c>
      <c r="R295" s="20" t="str">
        <f>IF(A295="","",IF(J295&lt;&gt;"",J295,IF(H295="TIMESTAMP",DAY(INT(M295/1440))&amp;" "&amp;INDEX(nLIST_Months,MONTH(INT(M295/1440)))&amp;" "&amp;YEAR(INT(M295/1440))&amp;" "&amp;RIGHT("0"&amp;INT(MOD(M295,1440)/60),2)&amp;":"&amp;RIGHT("0"&amp;MOD(M295,60),2)&amp;IF(L295=1," (UTC"&amp;I295&amp;")"," (offset unknown)"),IF(H295="DATE",DAY(O295)&amp;" "&amp;INDEX(nLIST_Months,MONTH(O295))&amp;" "&amp;YEAR(O295),IF(H295="MONTH",INDEX(nLIST_Months,MONTH(O295))&amp;" "&amp;YEAR(O295)&amp;" ("&amp;DAY(O295)&amp;" "&amp;INDEX(nLIST_Months,MONTH(O295))&amp;" "&amp;YEAR(O295)&amp;" to "&amp;DAY(P295)&amp;" "&amp;INDEX(nLIST_Months,MONTH(P295))&amp;" "&amp;YEAR(P295)&amp;")",IF(H295="YEAR",YEAR(O295)&amp;" (1 January to 31 December)",DAY(O295)&amp;" "&amp;INDEX(nLIST_Months,MONTH(O295))&amp;" "&amp;YEAR(O295)&amp;" to "&amp;DAY(P295)&amp;" "&amp;INDEX(nLIST_Months,MONTH(P295))&amp;" "&amp;YEAR(P295)&amp;IF(H295="LAB"," (laboratory-defined)","")))))))</f>
        <v>2 March 2026 09:00 (UTC+01:00)</v>
      </c>
      <c r="S295" s="20" t="str">
        <f>IF(B295="","",Administrations!$M79&amp;"")</f>
        <v>2026-03-02T09:00+01:00</v>
      </c>
      <c r="T295" s="20" t="str">
        <f>IF(B295="","",Administrations!$V79&amp;"")</f>
        <v>tto_calc_test_vectors_v1.1.json V33</v>
      </c>
      <c r="U295" s="20" t="str">
        <f>IF(B295="","","Administrations row "&amp;ROW(Administrations!$A79)&amp;", Administration")</f>
        <v>Administrations row 79, Administration</v>
      </c>
      <c r="V295" s="20">
        <f>IF(A295="",0,COUNTIF(nTP_Key,A295))</f>
        <v>1</v>
      </c>
      <c r="W295" s="20">
        <f t="shared" si="58"/>
        <v>66360060</v>
      </c>
      <c r="X295" s="20">
        <f t="shared" si="59"/>
        <v>66360000</v>
      </c>
      <c r="Y295" s="20">
        <f t="shared" si="60"/>
        <v>46083</v>
      </c>
      <c r="Z295" s="20">
        <f t="shared" si="61"/>
        <v>46083</v>
      </c>
      <c r="AA295" s="20">
        <f t="shared" si="62"/>
        <v>291</v>
      </c>
      <c r="AB295" s="20" t="str">
        <f>IF(B295="","",Administrations!$E79&amp;"")</f>
        <v>DOSE</v>
      </c>
      <c r="AC295" s="20" t="str">
        <f>IF(B295="","",IFERROR(INDEX(nEXP_Role,MATCH(Administrations!$A79&amp;"|"&amp;Administrations!$B79&amp;"|"&amp;Administrations!$D79,nEXP_Key,0))&amp;"",""))</f>
        <v/>
      </c>
      <c r="AD295" s="20" t="str">
        <f>IF(B295="","",Administrations!$E79&amp;"")</f>
        <v>DOSE</v>
      </c>
      <c r="AE295" s="20">
        <f t="shared" si="63"/>
        <v>1</v>
      </c>
      <c r="AF295" s="20" t="str">
        <f t="shared" si="64"/>
        <v>VEC-V33|1|EX1</v>
      </c>
      <c r="AG295" s="20">
        <f t="shared" si="65"/>
        <v>1</v>
      </c>
      <c r="AH295" s="20" t="str">
        <f>""</f>
        <v/>
      </c>
    </row>
    <row r="296" spans="1:34" x14ac:dyDescent="0.2">
      <c r="A296" s="20" t="str">
        <f t="shared" si="55"/>
        <v>VEC-V34|1|AD2</v>
      </c>
      <c r="B296" s="20" t="str">
        <f>IF(AND(Administrations!$C80&lt;&gt;"",COUNTA(Administrations!$N80:$U80)&gt;0),Administrations!$C80&amp;"","")</f>
        <v>AD2</v>
      </c>
      <c r="C296" s="20" t="str">
        <f t="shared" si="66"/>
        <v>ADMINISTRATION</v>
      </c>
      <c r="D296" s="20" t="str">
        <f>IF(B296="","",Administrations!$A80&amp;"")</f>
        <v>VEC-V34</v>
      </c>
      <c r="E296" s="20" t="str">
        <f>IF(B296="","",Administrations!$B80&amp;"")</f>
        <v>1</v>
      </c>
      <c r="F296" s="20" t="str">
        <f t="shared" si="56"/>
        <v>VEC-V34|1</v>
      </c>
      <c r="G296" s="20" t="str">
        <f>IF(B296="","",Administrations!$D80&amp;"")</f>
        <v>EX1</v>
      </c>
      <c r="H296" s="20" t="str">
        <f>IF(B296="","",Administrations!$N80&amp;"")</f>
        <v>RANGE</v>
      </c>
      <c r="I296" s="20" t="str">
        <f>IF(B296="","",Administrations!$Q80&amp;"")</f>
        <v/>
      </c>
      <c r="J296" s="20" t="str">
        <f>IF(B296="","",Administrations!$W80&amp;"")</f>
        <v/>
      </c>
      <c r="K296" s="20">
        <f>IF(B296="",0,Administrations!$X80)</f>
        <v>0</v>
      </c>
      <c r="L296" s="20">
        <f>IF(B296="",0,Administrations!$Y80)</f>
        <v>0</v>
      </c>
      <c r="M296" s="20" t="str">
        <f>IF(B296="","",Administrations!$AB80)</f>
        <v/>
      </c>
      <c r="N296" s="20" t="str">
        <f>IF(B296="","",Administrations!$AC80)</f>
        <v/>
      </c>
      <c r="O296" s="27">
        <f>IF(B296="","",Administrations!$Z80)</f>
        <v>46082</v>
      </c>
      <c r="P296" s="27">
        <f>IF(B296="","",Administrations!$AA80)</f>
        <v>46091</v>
      </c>
      <c r="Q296" s="20" t="str">
        <f t="shared" si="57"/>
        <v>2026-03-01/2026-03-10</v>
      </c>
      <c r="R296" s="20" t="str">
        <f>IF(A296="","",IF(J296&lt;&gt;"",J296,IF(H296="TIMESTAMP",DAY(INT(M296/1440))&amp;" "&amp;INDEX(nLIST_Months,MONTH(INT(M296/1440)))&amp;" "&amp;YEAR(INT(M296/1440))&amp;" "&amp;RIGHT("0"&amp;INT(MOD(M296,1440)/60),2)&amp;":"&amp;RIGHT("0"&amp;MOD(M296,60),2)&amp;IF(L296=1," (UTC"&amp;I296&amp;")"," (offset unknown)"),IF(H296="DATE",DAY(O296)&amp;" "&amp;INDEX(nLIST_Months,MONTH(O296))&amp;" "&amp;YEAR(O296),IF(H296="MONTH",INDEX(nLIST_Months,MONTH(O296))&amp;" "&amp;YEAR(O296)&amp;" ("&amp;DAY(O296)&amp;" "&amp;INDEX(nLIST_Months,MONTH(O296))&amp;" "&amp;YEAR(O296)&amp;" to "&amp;DAY(P296)&amp;" "&amp;INDEX(nLIST_Months,MONTH(P296))&amp;" "&amp;YEAR(P296)&amp;")",IF(H296="YEAR",YEAR(O296)&amp;" (1 January to 31 December)",DAY(O296)&amp;" "&amp;INDEX(nLIST_Months,MONTH(O296))&amp;" "&amp;YEAR(O296)&amp;" to "&amp;DAY(P296)&amp;" "&amp;INDEX(nLIST_Months,MONTH(P296))&amp;" "&amp;YEAR(P296)&amp;IF(H296="LAB"," (laboratory-defined)","")))))))</f>
        <v>1 March 2026 to 10 March 2026</v>
      </c>
      <c r="S296" s="20" t="str">
        <f>IF(B296="","",Administrations!$M80&amp;"")</f>
        <v>another dose in early March</v>
      </c>
      <c r="T296" s="20" t="str">
        <f>IF(B296="","",Administrations!$V80&amp;"")</f>
        <v>tto_calc_test_vectors_v1.1.json V34</v>
      </c>
      <c r="U296" s="20" t="str">
        <f>IF(B296="","","Administrations row "&amp;ROW(Administrations!$A80)&amp;", Administration")</f>
        <v>Administrations row 80, Administration</v>
      </c>
      <c r="V296" s="20">
        <f>IF(A296="",0,COUNTIF(nTP_Key,A296))</f>
        <v>1</v>
      </c>
      <c r="W296" s="20">
        <f t="shared" si="58"/>
        <v>0</v>
      </c>
      <c r="X296" s="20">
        <f t="shared" si="59"/>
        <v>0</v>
      </c>
      <c r="Y296" s="20">
        <f t="shared" si="60"/>
        <v>46082</v>
      </c>
      <c r="Z296" s="20">
        <f t="shared" si="61"/>
        <v>46091</v>
      </c>
      <c r="AA296" s="20">
        <f t="shared" si="62"/>
        <v>292</v>
      </c>
      <c r="AB296" s="20" t="str">
        <f>IF(B296="","",Administrations!$E80&amp;"")</f>
        <v>DOSE</v>
      </c>
      <c r="AC296" s="20" t="str">
        <f>IF(B296="","",IFERROR(INDEX(nEXP_Role,MATCH(Administrations!$A80&amp;"|"&amp;Administrations!$B80&amp;"|"&amp;Administrations!$D80,nEXP_Key,0))&amp;"",""))</f>
        <v/>
      </c>
      <c r="AD296" s="20" t="str">
        <f>IF(B296="","",Administrations!$E80&amp;"")</f>
        <v>DOSE</v>
      </c>
      <c r="AE296" s="20">
        <f t="shared" si="63"/>
        <v>1</v>
      </c>
      <c r="AF296" s="20" t="str">
        <f t="shared" si="64"/>
        <v>VEC-V34|1|EX1</v>
      </c>
      <c r="AG296" s="20">
        <f t="shared" si="65"/>
        <v>0</v>
      </c>
      <c r="AH296" s="20" t="str">
        <f>""</f>
        <v/>
      </c>
    </row>
    <row r="297" spans="1:34" x14ac:dyDescent="0.2">
      <c r="A297" s="20" t="str">
        <f t="shared" si="55"/>
        <v>VEC-V38|1|D1</v>
      </c>
      <c r="B297" s="20" t="str">
        <f>IF(AND(Administrations!$C81&lt;&gt;"",COUNTA(Administrations!$N81:$U81)&gt;0),Administrations!$C81&amp;"","")</f>
        <v>D1</v>
      </c>
      <c r="C297" s="20" t="str">
        <f t="shared" si="66"/>
        <v>ADMINISTRATION</v>
      </c>
      <c r="D297" s="20" t="str">
        <f>IF(B297="","",Administrations!$A81&amp;"")</f>
        <v>VEC-V38</v>
      </c>
      <c r="E297" s="20" t="str">
        <f>IF(B297="","",Administrations!$B81&amp;"")</f>
        <v>1</v>
      </c>
      <c r="F297" s="20" t="str">
        <f t="shared" si="56"/>
        <v>VEC-V38|1</v>
      </c>
      <c r="G297" s="20" t="str">
        <f>IF(B297="","",Administrations!$D81&amp;"")</f>
        <v>EX1</v>
      </c>
      <c r="H297" s="20" t="str">
        <f>IF(B297="","",Administrations!$N81&amp;"")</f>
        <v>DATE</v>
      </c>
      <c r="I297" s="20" t="str">
        <f>IF(B297="","",Administrations!$Q81&amp;"")</f>
        <v/>
      </c>
      <c r="J297" s="20" t="str">
        <f>IF(B297="","",Administrations!$W81&amp;"")</f>
        <v/>
      </c>
      <c r="K297" s="20">
        <f>IF(B297="",0,Administrations!$X81)</f>
        <v>0</v>
      </c>
      <c r="L297" s="20">
        <f>IF(B297="",0,Administrations!$Y81)</f>
        <v>0</v>
      </c>
      <c r="M297" s="20" t="str">
        <f>IF(B297="","",Administrations!$AB81)</f>
        <v/>
      </c>
      <c r="N297" s="20" t="str">
        <f>IF(B297="","",Administrations!$AC81)</f>
        <v/>
      </c>
      <c r="O297" s="27">
        <f>IF(B297="","",Administrations!$Z81)</f>
        <v>46054</v>
      </c>
      <c r="P297" s="27">
        <f>IF(B297="","",Administrations!$AA81)</f>
        <v>46054</v>
      </c>
      <c r="Q297" s="20" t="str">
        <f t="shared" si="57"/>
        <v>2026-02-01</v>
      </c>
      <c r="R297" s="20" t="str">
        <f>IF(A297="","",IF(J297&lt;&gt;"",J297,IF(H297="TIMESTAMP",DAY(INT(M297/1440))&amp;" "&amp;INDEX(nLIST_Months,MONTH(INT(M297/1440)))&amp;" "&amp;YEAR(INT(M297/1440))&amp;" "&amp;RIGHT("0"&amp;INT(MOD(M297,1440)/60),2)&amp;":"&amp;RIGHT("0"&amp;MOD(M297,60),2)&amp;IF(L297=1," (UTC"&amp;I297&amp;")"," (offset unknown)"),IF(H297="DATE",DAY(O297)&amp;" "&amp;INDEX(nLIST_Months,MONTH(O297))&amp;" "&amp;YEAR(O297),IF(H297="MONTH",INDEX(nLIST_Months,MONTH(O297))&amp;" "&amp;YEAR(O297)&amp;" ("&amp;DAY(O297)&amp;" "&amp;INDEX(nLIST_Months,MONTH(O297))&amp;" "&amp;YEAR(O297)&amp;" to "&amp;DAY(P297)&amp;" "&amp;INDEX(nLIST_Months,MONTH(P297))&amp;" "&amp;YEAR(P297)&amp;")",IF(H297="YEAR",YEAR(O297)&amp;" (1 January to 31 December)",DAY(O297)&amp;" "&amp;INDEX(nLIST_Months,MONTH(O297))&amp;" "&amp;YEAR(O297)&amp;" to "&amp;DAY(P297)&amp;" "&amp;INDEX(nLIST_Months,MONTH(P297))&amp;" "&amp;YEAR(P297)&amp;IF(H297="LAB"," (laboratory-defined)","")))))))</f>
        <v>1 February 2026</v>
      </c>
      <c r="S297" s="20" t="str">
        <f>IF(B297="","",Administrations!$M81&amp;"")</f>
        <v>2026-02-01</v>
      </c>
      <c r="T297" s="20" t="str">
        <f>IF(B297="","",Administrations!$V81&amp;"")</f>
        <v>tto_calc_test_vectors_v1.1.json V38</v>
      </c>
      <c r="U297" s="20" t="str">
        <f>IF(B297="","","Administrations row "&amp;ROW(Administrations!$A81)&amp;", Administration")</f>
        <v>Administrations row 81, Administration</v>
      </c>
      <c r="V297" s="20">
        <f>IF(A297="",0,COUNTIF(nTP_Key,A297))</f>
        <v>1</v>
      </c>
      <c r="W297" s="20">
        <f t="shared" si="58"/>
        <v>0</v>
      </c>
      <c r="X297" s="20">
        <f t="shared" si="59"/>
        <v>0</v>
      </c>
      <c r="Y297" s="20">
        <f t="shared" si="60"/>
        <v>46054</v>
      </c>
      <c r="Z297" s="20">
        <f t="shared" si="61"/>
        <v>46054</v>
      </c>
      <c r="AA297" s="20">
        <f t="shared" si="62"/>
        <v>293</v>
      </c>
      <c r="AB297" s="20" t="str">
        <f>IF(B297="","",Administrations!$E81&amp;"")</f>
        <v>DOSE</v>
      </c>
      <c r="AC297" s="20" t="str">
        <f>IF(B297="","",IFERROR(INDEX(nEXP_Role,MATCH(Administrations!$A81&amp;"|"&amp;Administrations!$B81&amp;"|"&amp;Administrations!$D81,nEXP_Key,0))&amp;"",""))</f>
        <v/>
      </c>
      <c r="AD297" s="20" t="str">
        <f>IF(B297="","",Administrations!$E81&amp;"")</f>
        <v>DOSE</v>
      </c>
      <c r="AE297" s="20">
        <f t="shared" si="63"/>
        <v>1</v>
      </c>
      <c r="AF297" s="20" t="str">
        <f t="shared" si="64"/>
        <v>VEC-V38|1|EX1</v>
      </c>
      <c r="AG297" s="20">
        <f t="shared" si="65"/>
        <v>1</v>
      </c>
      <c r="AH297" s="20" t="str">
        <f>""</f>
        <v/>
      </c>
    </row>
    <row r="298" spans="1:34" x14ac:dyDescent="0.2">
      <c r="A298" s="20" t="str">
        <f t="shared" si="55"/>
        <v>VEC-V38|1|D2</v>
      </c>
      <c r="B298" s="20" t="str">
        <f>IF(AND(Administrations!$C82&lt;&gt;"",COUNTA(Administrations!$N82:$U82)&gt;0),Administrations!$C82&amp;"","")</f>
        <v>D2</v>
      </c>
      <c r="C298" s="20" t="str">
        <f t="shared" si="66"/>
        <v>ADMINISTRATION</v>
      </c>
      <c r="D298" s="20" t="str">
        <f>IF(B298="","",Administrations!$A82&amp;"")</f>
        <v>VEC-V38</v>
      </c>
      <c r="E298" s="20" t="str">
        <f>IF(B298="","",Administrations!$B82&amp;"")</f>
        <v>1</v>
      </c>
      <c r="F298" s="20" t="str">
        <f t="shared" si="56"/>
        <v>VEC-V38|1</v>
      </c>
      <c r="G298" s="20" t="str">
        <f>IF(B298="","",Administrations!$D82&amp;"")</f>
        <v>EX1</v>
      </c>
      <c r="H298" s="20" t="str">
        <f>IF(B298="","",Administrations!$N82&amp;"")</f>
        <v>DATE</v>
      </c>
      <c r="I298" s="20" t="str">
        <f>IF(B298="","",Administrations!$Q82&amp;"")</f>
        <v/>
      </c>
      <c r="J298" s="20" t="str">
        <f>IF(B298="","",Administrations!$W82&amp;"")</f>
        <v/>
      </c>
      <c r="K298" s="20">
        <f>IF(B298="",0,Administrations!$X82)</f>
        <v>0</v>
      </c>
      <c r="L298" s="20">
        <f>IF(B298="",0,Administrations!$Y82)</f>
        <v>0</v>
      </c>
      <c r="M298" s="20" t="str">
        <f>IF(B298="","",Administrations!$AB82)</f>
        <v/>
      </c>
      <c r="N298" s="20" t="str">
        <f>IF(B298="","",Administrations!$AC82)</f>
        <v/>
      </c>
      <c r="O298" s="27">
        <f>IF(B298="","",Administrations!$Z82)</f>
        <v>46023</v>
      </c>
      <c r="P298" s="27">
        <f>IF(B298="","",Administrations!$AA82)</f>
        <v>46023</v>
      </c>
      <c r="Q298" s="20" t="str">
        <f t="shared" si="57"/>
        <v>2026-01-01</v>
      </c>
      <c r="R298" s="20" t="str">
        <f>IF(A298="","",IF(J298&lt;&gt;"",J298,IF(H298="TIMESTAMP",DAY(INT(M298/1440))&amp;" "&amp;INDEX(nLIST_Months,MONTH(INT(M298/1440)))&amp;" "&amp;YEAR(INT(M298/1440))&amp;" "&amp;RIGHT("0"&amp;INT(MOD(M298,1440)/60),2)&amp;":"&amp;RIGHT("0"&amp;MOD(M298,60),2)&amp;IF(L298=1," (UTC"&amp;I298&amp;")"," (offset unknown)"),IF(H298="DATE",DAY(O298)&amp;" "&amp;INDEX(nLIST_Months,MONTH(O298))&amp;" "&amp;YEAR(O298),IF(H298="MONTH",INDEX(nLIST_Months,MONTH(O298))&amp;" "&amp;YEAR(O298)&amp;" ("&amp;DAY(O298)&amp;" "&amp;INDEX(nLIST_Months,MONTH(O298))&amp;" "&amp;YEAR(O298)&amp;" to "&amp;DAY(P298)&amp;" "&amp;INDEX(nLIST_Months,MONTH(P298))&amp;" "&amp;YEAR(P298)&amp;")",IF(H298="YEAR",YEAR(O298)&amp;" (1 January to 31 December)",DAY(O298)&amp;" "&amp;INDEX(nLIST_Months,MONTH(O298))&amp;" "&amp;YEAR(O298)&amp;" to "&amp;DAY(P298)&amp;" "&amp;INDEX(nLIST_Months,MONTH(P298))&amp;" "&amp;YEAR(P298)&amp;IF(H298="LAB"," (laboratory-defined)","")))))))</f>
        <v>1 January 2026</v>
      </c>
      <c r="S298" s="20" t="str">
        <f>IF(B298="","",Administrations!$M82&amp;"")</f>
        <v>2026-01-01</v>
      </c>
      <c r="T298" s="20" t="str">
        <f>IF(B298="","",Administrations!$V82&amp;"")</f>
        <v>tto_calc_test_vectors_v1.1.json V38</v>
      </c>
      <c r="U298" s="20" t="str">
        <f>IF(B298="","","Administrations row "&amp;ROW(Administrations!$A82)&amp;", Administration")</f>
        <v>Administrations row 82, Administration</v>
      </c>
      <c r="V298" s="20">
        <f>IF(A298="",0,COUNTIF(nTP_Key,A298))</f>
        <v>1</v>
      </c>
      <c r="W298" s="20">
        <f t="shared" si="58"/>
        <v>0</v>
      </c>
      <c r="X298" s="20">
        <f t="shared" si="59"/>
        <v>0</v>
      </c>
      <c r="Y298" s="20">
        <f t="shared" si="60"/>
        <v>46023</v>
      </c>
      <c r="Z298" s="20">
        <f t="shared" si="61"/>
        <v>46023</v>
      </c>
      <c r="AA298" s="20">
        <f t="shared" si="62"/>
        <v>294</v>
      </c>
      <c r="AB298" s="20" t="str">
        <f>IF(B298="","",Administrations!$E82&amp;"")</f>
        <v>DOSE</v>
      </c>
      <c r="AC298" s="20" t="str">
        <f>IF(B298="","",IFERROR(INDEX(nEXP_Role,MATCH(Administrations!$A82&amp;"|"&amp;Administrations!$B82&amp;"|"&amp;Administrations!$D82,nEXP_Key,0))&amp;"",""))</f>
        <v/>
      </c>
      <c r="AD298" s="20" t="str">
        <f>IF(B298="","",Administrations!$E82&amp;"")</f>
        <v>DOSE</v>
      </c>
      <c r="AE298" s="20">
        <f t="shared" si="63"/>
        <v>1</v>
      </c>
      <c r="AF298" s="20" t="str">
        <f t="shared" si="64"/>
        <v>VEC-V38|1|EX1</v>
      </c>
      <c r="AG298" s="20">
        <f t="shared" si="65"/>
        <v>1</v>
      </c>
      <c r="AH298" s="20" t="str">
        <f>""</f>
        <v/>
      </c>
    </row>
    <row r="299" spans="1:34" x14ac:dyDescent="0.2">
      <c r="A299" s="20" t="str">
        <f t="shared" si="55"/>
        <v>VEC-V38|1|D3</v>
      </c>
      <c r="B299" s="20" t="str">
        <f>IF(AND(Administrations!$C83&lt;&gt;"",COUNTA(Administrations!$N83:$U83)&gt;0),Administrations!$C83&amp;"","")</f>
        <v>D3</v>
      </c>
      <c r="C299" s="20" t="str">
        <f t="shared" si="66"/>
        <v>ADMINISTRATION</v>
      </c>
      <c r="D299" s="20" t="str">
        <f>IF(B299="","",Administrations!$A83&amp;"")</f>
        <v>VEC-V38</v>
      </c>
      <c r="E299" s="20" t="str">
        <f>IF(B299="","",Administrations!$B83&amp;"")</f>
        <v>1</v>
      </c>
      <c r="F299" s="20" t="str">
        <f t="shared" si="56"/>
        <v>VEC-V38|1</v>
      </c>
      <c r="G299" s="20" t="str">
        <f>IF(B299="","",Administrations!$D83&amp;"")</f>
        <v>EX1</v>
      </c>
      <c r="H299" s="20" t="str">
        <f>IF(B299="","",Administrations!$N83&amp;"")</f>
        <v>DATE</v>
      </c>
      <c r="I299" s="20" t="str">
        <f>IF(B299="","",Administrations!$Q83&amp;"")</f>
        <v/>
      </c>
      <c r="J299" s="20" t="str">
        <f>IF(B299="","",Administrations!$W83&amp;"")</f>
        <v/>
      </c>
      <c r="K299" s="20">
        <f>IF(B299="",0,Administrations!$X83)</f>
        <v>0</v>
      </c>
      <c r="L299" s="20">
        <f>IF(B299="",0,Administrations!$Y83)</f>
        <v>0</v>
      </c>
      <c r="M299" s="20" t="str">
        <f>IF(B299="","",Administrations!$AB83)</f>
        <v/>
      </c>
      <c r="N299" s="20" t="str">
        <f>IF(B299="","",Administrations!$AC83)</f>
        <v/>
      </c>
      <c r="O299" s="27">
        <f>IF(B299="","",Administrations!$Z83)</f>
        <v>46037</v>
      </c>
      <c r="P299" s="27">
        <f>IF(B299="","",Administrations!$AA83)</f>
        <v>46037</v>
      </c>
      <c r="Q299" s="20" t="str">
        <f t="shared" si="57"/>
        <v>2026-01-15</v>
      </c>
      <c r="R299" s="20" t="str">
        <f>IF(A299="","",IF(J299&lt;&gt;"",J299,IF(H299="TIMESTAMP",DAY(INT(M299/1440))&amp;" "&amp;INDEX(nLIST_Months,MONTH(INT(M299/1440)))&amp;" "&amp;YEAR(INT(M299/1440))&amp;" "&amp;RIGHT("0"&amp;INT(MOD(M299,1440)/60),2)&amp;":"&amp;RIGHT("0"&amp;MOD(M299,60),2)&amp;IF(L299=1," (UTC"&amp;I299&amp;")"," (offset unknown)"),IF(H299="DATE",DAY(O299)&amp;" "&amp;INDEX(nLIST_Months,MONTH(O299))&amp;" "&amp;YEAR(O299),IF(H299="MONTH",INDEX(nLIST_Months,MONTH(O299))&amp;" "&amp;YEAR(O299)&amp;" ("&amp;DAY(O299)&amp;" "&amp;INDEX(nLIST_Months,MONTH(O299))&amp;" "&amp;YEAR(O299)&amp;" to "&amp;DAY(P299)&amp;" "&amp;INDEX(nLIST_Months,MONTH(P299))&amp;" "&amp;YEAR(P299)&amp;")",IF(H299="YEAR",YEAR(O299)&amp;" (1 January to 31 December)",DAY(O299)&amp;" "&amp;INDEX(nLIST_Months,MONTH(O299))&amp;" "&amp;YEAR(O299)&amp;" to "&amp;DAY(P299)&amp;" "&amp;INDEX(nLIST_Months,MONTH(P299))&amp;" "&amp;YEAR(P299)&amp;IF(H299="LAB"," (laboratory-defined)","")))))))</f>
        <v>15 January 2026</v>
      </c>
      <c r="S299" s="20" t="str">
        <f>IF(B299="","",Administrations!$M83&amp;"")</f>
        <v>2026-01-15</v>
      </c>
      <c r="T299" s="20" t="str">
        <f>IF(B299="","",Administrations!$V83&amp;"")</f>
        <v>tto_calc_test_vectors_v1.1.json V38</v>
      </c>
      <c r="U299" s="20" t="str">
        <f>IF(B299="","","Administrations row "&amp;ROW(Administrations!$A83)&amp;", Administration")</f>
        <v>Administrations row 83, Administration</v>
      </c>
      <c r="V299" s="20">
        <f>IF(A299="",0,COUNTIF(nTP_Key,A299))</f>
        <v>1</v>
      </c>
      <c r="W299" s="20">
        <f t="shared" si="58"/>
        <v>0</v>
      </c>
      <c r="X299" s="20">
        <f t="shared" si="59"/>
        <v>0</v>
      </c>
      <c r="Y299" s="20">
        <f t="shared" si="60"/>
        <v>46037</v>
      </c>
      <c r="Z299" s="20">
        <f t="shared" si="61"/>
        <v>46037</v>
      </c>
      <c r="AA299" s="20">
        <f t="shared" si="62"/>
        <v>295</v>
      </c>
      <c r="AB299" s="20" t="str">
        <f>IF(B299="","",Administrations!$E83&amp;"")</f>
        <v>DOSE</v>
      </c>
      <c r="AC299" s="20" t="str">
        <f>IF(B299="","",IFERROR(INDEX(nEXP_Role,MATCH(Administrations!$A83&amp;"|"&amp;Administrations!$B83&amp;"|"&amp;Administrations!$D83,nEXP_Key,0))&amp;"",""))</f>
        <v/>
      </c>
      <c r="AD299" s="20" t="str">
        <f>IF(B299="","",Administrations!$E83&amp;"")</f>
        <v>DOSE</v>
      </c>
      <c r="AE299" s="20">
        <f t="shared" si="63"/>
        <v>1</v>
      </c>
      <c r="AF299" s="20" t="str">
        <f t="shared" si="64"/>
        <v>VEC-V38|1|EX1</v>
      </c>
      <c r="AG299" s="20">
        <f t="shared" si="65"/>
        <v>1</v>
      </c>
      <c r="AH299" s="20" t="str">
        <f>""</f>
        <v/>
      </c>
    </row>
    <row r="300" spans="1:34" x14ac:dyDescent="0.2">
      <c r="A300" s="20" t="str">
        <f t="shared" si="55"/>
        <v/>
      </c>
      <c r="B300" s="20" t="str">
        <f>IF(AND(Events!$D5&lt;&gt;"",COUNTA(Events!$J5:$Q5)&gt;0),Events!$D5&amp;"/ONSET","")</f>
        <v/>
      </c>
      <c r="C300" s="20" t="str">
        <f t="shared" ref="C300:C343" si="67">IF(B300="","","EVENT_ONSET")</f>
        <v/>
      </c>
      <c r="D300" s="20" t="str">
        <f>IF(B300="","",Events!$A5&amp;"")</f>
        <v/>
      </c>
      <c r="E300" s="20" t="str">
        <f>IF(B300="","",Events!$B5&amp;"")</f>
        <v/>
      </c>
      <c r="F300" s="20" t="str">
        <f t="shared" si="56"/>
        <v/>
      </c>
      <c r="G300" s="20" t="str">
        <f>IF(B300="","",Events!$D5&amp;"")</f>
        <v/>
      </c>
      <c r="H300" s="20" t="str">
        <f>IF(B300="","",Events!$J5&amp;"")</f>
        <v/>
      </c>
      <c r="I300" s="20" t="str">
        <f>IF(B300="","",Events!$M5&amp;"")</f>
        <v/>
      </c>
      <c r="J300" s="20" t="str">
        <f>IF(B300="","",Events!$U5&amp;"")</f>
        <v/>
      </c>
      <c r="K300" s="20">
        <f>IF(B300="",0,Events!$V5)</f>
        <v>0</v>
      </c>
      <c r="L300" s="20">
        <f>IF(B300="",0,Events!$W5)</f>
        <v>0</v>
      </c>
      <c r="M300" s="20" t="str">
        <f>IF(B300="","",Events!$Z5)</f>
        <v/>
      </c>
      <c r="N300" s="20" t="str">
        <f>IF(B300="","",Events!$AA5)</f>
        <v/>
      </c>
      <c r="O300" s="27" t="str">
        <f>IF(B300="","",Events!$X5)</f>
        <v/>
      </c>
      <c r="P300" s="27" t="str">
        <f>IF(B300="","",Events!$Y5)</f>
        <v/>
      </c>
      <c r="Q300" s="20" t="str">
        <f t="shared" si="57"/>
        <v/>
      </c>
      <c r="R300" s="20" t="str">
        <f>IF(A300="","",IF(J300&lt;&gt;"",J300,IF(H300="TIMESTAMP",DAY(INT(M300/1440))&amp;" "&amp;INDEX(nLIST_Months,MONTH(INT(M300/1440)))&amp;" "&amp;YEAR(INT(M300/1440))&amp;" "&amp;RIGHT("0"&amp;INT(MOD(M300,1440)/60),2)&amp;":"&amp;RIGHT("0"&amp;MOD(M300,60),2)&amp;IF(L300=1," (UTC"&amp;I300&amp;")"," (offset unknown)"),IF(H300="DATE",DAY(O300)&amp;" "&amp;INDEX(nLIST_Months,MONTH(O300))&amp;" "&amp;YEAR(O300),IF(H300="MONTH",INDEX(nLIST_Months,MONTH(O300))&amp;" "&amp;YEAR(O300)&amp;" ("&amp;DAY(O300)&amp;" "&amp;INDEX(nLIST_Months,MONTH(O300))&amp;" "&amp;YEAR(O300)&amp;" to "&amp;DAY(P300)&amp;" "&amp;INDEX(nLIST_Months,MONTH(P300))&amp;" "&amp;YEAR(P300)&amp;")",IF(H300="YEAR",YEAR(O300)&amp;" (1 January to 31 December)",DAY(O300)&amp;" "&amp;INDEX(nLIST_Months,MONTH(O300))&amp;" "&amp;YEAR(O300)&amp;" to "&amp;DAY(P300)&amp;" "&amp;INDEX(nLIST_Months,MONTH(P300))&amp;" "&amp;YEAR(P300)&amp;IF(H300="LAB"," (laboratory-defined)","")))))))</f>
        <v/>
      </c>
      <c r="S300" s="20" t="str">
        <f>IF(B300="","",Events!$I5&amp;"")</f>
        <v/>
      </c>
      <c r="T300" s="20" t="str">
        <f>IF(B300="","",Events!$T5&amp;"")</f>
        <v/>
      </c>
      <c r="U300" s="20" t="str">
        <f>IF(B300="","","Events row "&amp;ROW(Events!$A5)&amp;", Onset")</f>
        <v/>
      </c>
      <c r="V300" s="20">
        <f>IF(A300="",0,COUNTIF(nTP_Key,A300))</f>
        <v>0</v>
      </c>
      <c r="W300" s="20">
        <f t="shared" si="58"/>
        <v>0</v>
      </c>
      <c r="X300" s="20">
        <f t="shared" si="59"/>
        <v>0</v>
      </c>
      <c r="Y300" s="20">
        <f t="shared" si="60"/>
        <v>0</v>
      </c>
      <c r="Z300" s="20">
        <f t="shared" si="61"/>
        <v>0</v>
      </c>
      <c r="AA300" s="20">
        <f t="shared" si="62"/>
        <v>296</v>
      </c>
      <c r="AB300" s="20" t="str">
        <f>""</f>
        <v/>
      </c>
      <c r="AC300" s="20" t="str">
        <f>""</f>
        <v/>
      </c>
      <c r="AD300" s="20" t="str">
        <f>IF(B300="","",Events!$E5&amp;" (onset)")</f>
        <v/>
      </c>
      <c r="AE300" s="20">
        <f t="shared" si="63"/>
        <v>0</v>
      </c>
      <c r="AF300" s="20" t="str">
        <f t="shared" si="64"/>
        <v/>
      </c>
      <c r="AG300" s="20">
        <f t="shared" si="65"/>
        <v>0</v>
      </c>
      <c r="AH300" s="20" t="str">
        <f>IF(B300="","",IF(Events!$J5="LAB","Onset is laboratory-defined (CALC-SPEC 1.1, C4): lower bound = date of the last normal test ("&amp;Events!$R5&amp;"), upper bound = date of the first abnormal test ("&amp;Events!$S5&amp;"). The reviewer decides which results are normal.",""))</f>
        <v/>
      </c>
    </row>
    <row r="301" spans="1:34" x14ac:dyDescent="0.2">
      <c r="A301" s="20" t="str">
        <f t="shared" si="55"/>
        <v/>
      </c>
      <c r="B301" s="20" t="str">
        <f>IF(AND(Events!$D6&lt;&gt;"",COUNTA(Events!$J6:$Q6)&gt;0),Events!$D6&amp;"/ONSET","")</f>
        <v/>
      </c>
      <c r="C301" s="20" t="str">
        <f t="shared" si="67"/>
        <v/>
      </c>
      <c r="D301" s="20" t="str">
        <f>IF(B301="","",Events!$A6&amp;"")</f>
        <v/>
      </c>
      <c r="E301" s="20" t="str">
        <f>IF(B301="","",Events!$B6&amp;"")</f>
        <v/>
      </c>
      <c r="F301" s="20" t="str">
        <f t="shared" si="56"/>
        <v/>
      </c>
      <c r="G301" s="20" t="str">
        <f>IF(B301="","",Events!$D6&amp;"")</f>
        <v/>
      </c>
      <c r="H301" s="20" t="str">
        <f>IF(B301="","",Events!$J6&amp;"")</f>
        <v/>
      </c>
      <c r="I301" s="20" t="str">
        <f>IF(B301="","",Events!$M6&amp;"")</f>
        <v/>
      </c>
      <c r="J301" s="20" t="str">
        <f>IF(B301="","",Events!$U6&amp;"")</f>
        <v/>
      </c>
      <c r="K301" s="20">
        <f>IF(B301="",0,Events!$V6)</f>
        <v>0</v>
      </c>
      <c r="L301" s="20">
        <f>IF(B301="",0,Events!$W6)</f>
        <v>0</v>
      </c>
      <c r="M301" s="20" t="str">
        <f>IF(B301="","",Events!$Z6)</f>
        <v/>
      </c>
      <c r="N301" s="20" t="str">
        <f>IF(B301="","",Events!$AA6)</f>
        <v/>
      </c>
      <c r="O301" s="27" t="str">
        <f>IF(B301="","",Events!$X6)</f>
        <v/>
      </c>
      <c r="P301" s="27" t="str">
        <f>IF(B301="","",Events!$Y6)</f>
        <v/>
      </c>
      <c r="Q301" s="20" t="str">
        <f t="shared" si="57"/>
        <v/>
      </c>
      <c r="R301" s="20" t="str">
        <f>IF(A301="","",IF(J301&lt;&gt;"",J301,IF(H301="TIMESTAMP",DAY(INT(M301/1440))&amp;" "&amp;INDEX(nLIST_Months,MONTH(INT(M301/1440)))&amp;" "&amp;YEAR(INT(M301/1440))&amp;" "&amp;RIGHT("0"&amp;INT(MOD(M301,1440)/60),2)&amp;":"&amp;RIGHT("0"&amp;MOD(M301,60),2)&amp;IF(L301=1," (UTC"&amp;I301&amp;")"," (offset unknown)"),IF(H301="DATE",DAY(O301)&amp;" "&amp;INDEX(nLIST_Months,MONTH(O301))&amp;" "&amp;YEAR(O301),IF(H301="MONTH",INDEX(nLIST_Months,MONTH(O301))&amp;" "&amp;YEAR(O301)&amp;" ("&amp;DAY(O301)&amp;" "&amp;INDEX(nLIST_Months,MONTH(O301))&amp;" "&amp;YEAR(O301)&amp;" to "&amp;DAY(P301)&amp;" "&amp;INDEX(nLIST_Months,MONTH(P301))&amp;" "&amp;YEAR(P301)&amp;")",IF(H301="YEAR",YEAR(O301)&amp;" (1 January to 31 December)",DAY(O301)&amp;" "&amp;INDEX(nLIST_Months,MONTH(O301))&amp;" "&amp;YEAR(O301)&amp;" to "&amp;DAY(P301)&amp;" "&amp;INDEX(nLIST_Months,MONTH(P301))&amp;" "&amp;YEAR(P301)&amp;IF(H301="LAB"," (laboratory-defined)","")))))))</f>
        <v/>
      </c>
      <c r="S301" s="20" t="str">
        <f>IF(B301="","",Events!$I6&amp;"")</f>
        <v/>
      </c>
      <c r="T301" s="20" t="str">
        <f>IF(B301="","",Events!$T6&amp;"")</f>
        <v/>
      </c>
      <c r="U301" s="20" t="str">
        <f>IF(B301="","","Events row "&amp;ROW(Events!$A6)&amp;", Onset")</f>
        <v/>
      </c>
      <c r="V301" s="20">
        <f>IF(A301="",0,COUNTIF(nTP_Key,A301))</f>
        <v>0</v>
      </c>
      <c r="W301" s="20">
        <f t="shared" si="58"/>
        <v>0</v>
      </c>
      <c r="X301" s="20">
        <f t="shared" si="59"/>
        <v>0</v>
      </c>
      <c r="Y301" s="20">
        <f t="shared" si="60"/>
        <v>0</v>
      </c>
      <c r="Z301" s="20">
        <f t="shared" si="61"/>
        <v>0</v>
      </c>
      <c r="AA301" s="20">
        <f t="shared" si="62"/>
        <v>297</v>
      </c>
      <c r="AB301" s="20" t="str">
        <f>""</f>
        <v/>
      </c>
      <c r="AC301" s="20" t="str">
        <f>""</f>
        <v/>
      </c>
      <c r="AD301" s="20" t="str">
        <f>IF(B301="","",Events!$E6&amp;" (onset)")</f>
        <v/>
      </c>
      <c r="AE301" s="20">
        <f t="shared" si="63"/>
        <v>0</v>
      </c>
      <c r="AF301" s="20" t="str">
        <f t="shared" si="64"/>
        <v/>
      </c>
      <c r="AG301" s="20">
        <f t="shared" si="65"/>
        <v>0</v>
      </c>
      <c r="AH301" s="20" t="str">
        <f>IF(B301="","",IF(Events!$J6="LAB","Onset is laboratory-defined (CALC-SPEC 1.1, C4): lower bound = date of the last normal test ("&amp;Events!$R6&amp;"), upper bound = date of the first abnormal test ("&amp;Events!$S6&amp;"). The reviewer decides which results are normal.",""))</f>
        <v/>
      </c>
    </row>
    <row r="302" spans="1:34" x14ac:dyDescent="0.2">
      <c r="A302" s="20" t="str">
        <f t="shared" si="55"/>
        <v/>
      </c>
      <c r="B302" s="20" t="str">
        <f>IF(AND(Events!$D7&lt;&gt;"",COUNTA(Events!$J7:$Q7)&gt;0),Events!$D7&amp;"/ONSET","")</f>
        <v/>
      </c>
      <c r="C302" s="20" t="str">
        <f t="shared" si="67"/>
        <v/>
      </c>
      <c r="D302" s="20" t="str">
        <f>IF(B302="","",Events!$A7&amp;"")</f>
        <v/>
      </c>
      <c r="E302" s="20" t="str">
        <f>IF(B302="","",Events!$B7&amp;"")</f>
        <v/>
      </c>
      <c r="F302" s="20" t="str">
        <f t="shared" si="56"/>
        <v/>
      </c>
      <c r="G302" s="20" t="str">
        <f>IF(B302="","",Events!$D7&amp;"")</f>
        <v/>
      </c>
      <c r="H302" s="20" t="str">
        <f>IF(B302="","",Events!$J7&amp;"")</f>
        <v/>
      </c>
      <c r="I302" s="20" t="str">
        <f>IF(B302="","",Events!$M7&amp;"")</f>
        <v/>
      </c>
      <c r="J302" s="20" t="str">
        <f>IF(B302="","",Events!$U7&amp;"")</f>
        <v/>
      </c>
      <c r="K302" s="20">
        <f>IF(B302="",0,Events!$V7)</f>
        <v>0</v>
      </c>
      <c r="L302" s="20">
        <f>IF(B302="",0,Events!$W7)</f>
        <v>0</v>
      </c>
      <c r="M302" s="20" t="str">
        <f>IF(B302="","",Events!$Z7)</f>
        <v/>
      </c>
      <c r="N302" s="20" t="str">
        <f>IF(B302="","",Events!$AA7)</f>
        <v/>
      </c>
      <c r="O302" s="27" t="str">
        <f>IF(B302="","",Events!$X7)</f>
        <v/>
      </c>
      <c r="P302" s="27" t="str">
        <f>IF(B302="","",Events!$Y7)</f>
        <v/>
      </c>
      <c r="Q302" s="20" t="str">
        <f t="shared" si="57"/>
        <v/>
      </c>
      <c r="R302" s="20" t="str">
        <f>IF(A302="","",IF(J302&lt;&gt;"",J302,IF(H302="TIMESTAMP",DAY(INT(M302/1440))&amp;" "&amp;INDEX(nLIST_Months,MONTH(INT(M302/1440)))&amp;" "&amp;YEAR(INT(M302/1440))&amp;" "&amp;RIGHT("0"&amp;INT(MOD(M302,1440)/60),2)&amp;":"&amp;RIGHT("0"&amp;MOD(M302,60),2)&amp;IF(L302=1," (UTC"&amp;I302&amp;")"," (offset unknown)"),IF(H302="DATE",DAY(O302)&amp;" "&amp;INDEX(nLIST_Months,MONTH(O302))&amp;" "&amp;YEAR(O302),IF(H302="MONTH",INDEX(nLIST_Months,MONTH(O302))&amp;" "&amp;YEAR(O302)&amp;" ("&amp;DAY(O302)&amp;" "&amp;INDEX(nLIST_Months,MONTH(O302))&amp;" "&amp;YEAR(O302)&amp;" to "&amp;DAY(P302)&amp;" "&amp;INDEX(nLIST_Months,MONTH(P302))&amp;" "&amp;YEAR(P302)&amp;")",IF(H302="YEAR",YEAR(O302)&amp;" (1 January to 31 December)",DAY(O302)&amp;" "&amp;INDEX(nLIST_Months,MONTH(O302))&amp;" "&amp;YEAR(O302)&amp;" to "&amp;DAY(P302)&amp;" "&amp;INDEX(nLIST_Months,MONTH(P302))&amp;" "&amp;YEAR(P302)&amp;IF(H302="LAB"," (laboratory-defined)","")))))))</f>
        <v/>
      </c>
      <c r="S302" s="20" t="str">
        <f>IF(B302="","",Events!$I7&amp;"")</f>
        <v/>
      </c>
      <c r="T302" s="20" t="str">
        <f>IF(B302="","",Events!$T7&amp;"")</f>
        <v/>
      </c>
      <c r="U302" s="20" t="str">
        <f>IF(B302="","","Events row "&amp;ROW(Events!$A7)&amp;", Onset")</f>
        <v/>
      </c>
      <c r="V302" s="20">
        <f>IF(A302="",0,COUNTIF(nTP_Key,A302))</f>
        <v>0</v>
      </c>
      <c r="W302" s="20">
        <f t="shared" si="58"/>
        <v>0</v>
      </c>
      <c r="X302" s="20">
        <f t="shared" si="59"/>
        <v>0</v>
      </c>
      <c r="Y302" s="20">
        <f t="shared" si="60"/>
        <v>0</v>
      </c>
      <c r="Z302" s="20">
        <f t="shared" si="61"/>
        <v>0</v>
      </c>
      <c r="AA302" s="20">
        <f t="shared" si="62"/>
        <v>298</v>
      </c>
      <c r="AB302" s="20" t="str">
        <f>""</f>
        <v/>
      </c>
      <c r="AC302" s="20" t="str">
        <f>""</f>
        <v/>
      </c>
      <c r="AD302" s="20" t="str">
        <f>IF(B302="","",Events!$E7&amp;" (onset)")</f>
        <v/>
      </c>
      <c r="AE302" s="20">
        <f t="shared" si="63"/>
        <v>0</v>
      </c>
      <c r="AF302" s="20" t="str">
        <f t="shared" si="64"/>
        <v/>
      </c>
      <c r="AG302" s="20">
        <f t="shared" si="65"/>
        <v>0</v>
      </c>
      <c r="AH302" s="20" t="str">
        <f>IF(B302="","",IF(Events!$J7="LAB","Onset is laboratory-defined (CALC-SPEC 1.1, C4): lower bound = date of the last normal test ("&amp;Events!$R7&amp;"), upper bound = date of the first abnormal test ("&amp;Events!$S7&amp;"). The reviewer decides which results are normal.",""))</f>
        <v/>
      </c>
    </row>
    <row r="303" spans="1:34" x14ac:dyDescent="0.2">
      <c r="A303" s="20" t="str">
        <f t="shared" si="55"/>
        <v/>
      </c>
      <c r="B303" s="20" t="str">
        <f>IF(AND(Events!$D8&lt;&gt;"",COUNTA(Events!$J8:$Q8)&gt;0),Events!$D8&amp;"/ONSET","")</f>
        <v/>
      </c>
      <c r="C303" s="20" t="str">
        <f t="shared" si="67"/>
        <v/>
      </c>
      <c r="D303" s="20" t="str">
        <f>IF(B303="","",Events!$A8&amp;"")</f>
        <v/>
      </c>
      <c r="E303" s="20" t="str">
        <f>IF(B303="","",Events!$B8&amp;"")</f>
        <v/>
      </c>
      <c r="F303" s="20" t="str">
        <f t="shared" si="56"/>
        <v/>
      </c>
      <c r="G303" s="20" t="str">
        <f>IF(B303="","",Events!$D8&amp;"")</f>
        <v/>
      </c>
      <c r="H303" s="20" t="str">
        <f>IF(B303="","",Events!$J8&amp;"")</f>
        <v/>
      </c>
      <c r="I303" s="20" t="str">
        <f>IF(B303="","",Events!$M8&amp;"")</f>
        <v/>
      </c>
      <c r="J303" s="20" t="str">
        <f>IF(B303="","",Events!$U8&amp;"")</f>
        <v/>
      </c>
      <c r="K303" s="20">
        <f>IF(B303="",0,Events!$V8)</f>
        <v>0</v>
      </c>
      <c r="L303" s="20">
        <f>IF(B303="",0,Events!$W8)</f>
        <v>0</v>
      </c>
      <c r="M303" s="20" t="str">
        <f>IF(B303="","",Events!$Z8)</f>
        <v/>
      </c>
      <c r="N303" s="20" t="str">
        <f>IF(B303="","",Events!$AA8)</f>
        <v/>
      </c>
      <c r="O303" s="27" t="str">
        <f>IF(B303="","",Events!$X8)</f>
        <v/>
      </c>
      <c r="P303" s="27" t="str">
        <f>IF(B303="","",Events!$Y8)</f>
        <v/>
      </c>
      <c r="Q303" s="20" t="str">
        <f t="shared" si="57"/>
        <v/>
      </c>
      <c r="R303" s="20" t="str">
        <f>IF(A303="","",IF(J303&lt;&gt;"",J303,IF(H303="TIMESTAMP",DAY(INT(M303/1440))&amp;" "&amp;INDEX(nLIST_Months,MONTH(INT(M303/1440)))&amp;" "&amp;YEAR(INT(M303/1440))&amp;" "&amp;RIGHT("0"&amp;INT(MOD(M303,1440)/60),2)&amp;":"&amp;RIGHT("0"&amp;MOD(M303,60),2)&amp;IF(L303=1," (UTC"&amp;I303&amp;")"," (offset unknown)"),IF(H303="DATE",DAY(O303)&amp;" "&amp;INDEX(nLIST_Months,MONTH(O303))&amp;" "&amp;YEAR(O303),IF(H303="MONTH",INDEX(nLIST_Months,MONTH(O303))&amp;" "&amp;YEAR(O303)&amp;" ("&amp;DAY(O303)&amp;" "&amp;INDEX(nLIST_Months,MONTH(O303))&amp;" "&amp;YEAR(O303)&amp;" to "&amp;DAY(P303)&amp;" "&amp;INDEX(nLIST_Months,MONTH(P303))&amp;" "&amp;YEAR(P303)&amp;")",IF(H303="YEAR",YEAR(O303)&amp;" (1 January to 31 December)",DAY(O303)&amp;" "&amp;INDEX(nLIST_Months,MONTH(O303))&amp;" "&amp;YEAR(O303)&amp;" to "&amp;DAY(P303)&amp;" "&amp;INDEX(nLIST_Months,MONTH(P303))&amp;" "&amp;YEAR(P303)&amp;IF(H303="LAB"," (laboratory-defined)","")))))))</f>
        <v/>
      </c>
      <c r="S303" s="20" t="str">
        <f>IF(B303="","",Events!$I8&amp;"")</f>
        <v/>
      </c>
      <c r="T303" s="20" t="str">
        <f>IF(B303="","",Events!$T8&amp;"")</f>
        <v/>
      </c>
      <c r="U303" s="20" t="str">
        <f>IF(B303="","","Events row "&amp;ROW(Events!$A8)&amp;", Onset")</f>
        <v/>
      </c>
      <c r="V303" s="20">
        <f>IF(A303="",0,COUNTIF(nTP_Key,A303))</f>
        <v>0</v>
      </c>
      <c r="W303" s="20">
        <f t="shared" si="58"/>
        <v>0</v>
      </c>
      <c r="X303" s="20">
        <f t="shared" si="59"/>
        <v>0</v>
      </c>
      <c r="Y303" s="20">
        <f t="shared" si="60"/>
        <v>0</v>
      </c>
      <c r="Z303" s="20">
        <f t="shared" si="61"/>
        <v>0</v>
      </c>
      <c r="AA303" s="20">
        <f t="shared" si="62"/>
        <v>299</v>
      </c>
      <c r="AB303" s="20" t="str">
        <f>""</f>
        <v/>
      </c>
      <c r="AC303" s="20" t="str">
        <f>""</f>
        <v/>
      </c>
      <c r="AD303" s="20" t="str">
        <f>IF(B303="","",Events!$E8&amp;" (onset)")</f>
        <v/>
      </c>
      <c r="AE303" s="20">
        <f t="shared" si="63"/>
        <v>0</v>
      </c>
      <c r="AF303" s="20" t="str">
        <f t="shared" si="64"/>
        <v/>
      </c>
      <c r="AG303" s="20">
        <f t="shared" si="65"/>
        <v>0</v>
      </c>
      <c r="AH303" s="20" t="str">
        <f>IF(B303="","",IF(Events!$J8="LAB","Onset is laboratory-defined (CALC-SPEC 1.1, C4): lower bound = date of the last normal test ("&amp;Events!$R8&amp;"), upper bound = date of the first abnormal test ("&amp;Events!$S8&amp;"). The reviewer decides which results are normal.",""))</f>
        <v/>
      </c>
    </row>
    <row r="304" spans="1:34" x14ac:dyDescent="0.2">
      <c r="A304" s="20" t="str">
        <f t="shared" si="55"/>
        <v/>
      </c>
      <c r="B304" s="20" t="str">
        <f>IF(AND(Events!$D9&lt;&gt;"",COUNTA(Events!$J9:$Q9)&gt;0),Events!$D9&amp;"/ONSET","")</f>
        <v/>
      </c>
      <c r="C304" s="20" t="str">
        <f t="shared" si="67"/>
        <v/>
      </c>
      <c r="D304" s="20" t="str">
        <f>IF(B304="","",Events!$A9&amp;"")</f>
        <v/>
      </c>
      <c r="E304" s="20" t="str">
        <f>IF(B304="","",Events!$B9&amp;"")</f>
        <v/>
      </c>
      <c r="F304" s="20" t="str">
        <f t="shared" si="56"/>
        <v/>
      </c>
      <c r="G304" s="20" t="str">
        <f>IF(B304="","",Events!$D9&amp;"")</f>
        <v/>
      </c>
      <c r="H304" s="20" t="str">
        <f>IF(B304="","",Events!$J9&amp;"")</f>
        <v/>
      </c>
      <c r="I304" s="20" t="str">
        <f>IF(B304="","",Events!$M9&amp;"")</f>
        <v/>
      </c>
      <c r="J304" s="20" t="str">
        <f>IF(B304="","",Events!$U9&amp;"")</f>
        <v/>
      </c>
      <c r="K304" s="20">
        <f>IF(B304="",0,Events!$V9)</f>
        <v>0</v>
      </c>
      <c r="L304" s="20">
        <f>IF(B304="",0,Events!$W9)</f>
        <v>0</v>
      </c>
      <c r="M304" s="20" t="str">
        <f>IF(B304="","",Events!$Z9)</f>
        <v/>
      </c>
      <c r="N304" s="20" t="str">
        <f>IF(B304="","",Events!$AA9)</f>
        <v/>
      </c>
      <c r="O304" s="27" t="str">
        <f>IF(B304="","",Events!$X9)</f>
        <v/>
      </c>
      <c r="P304" s="27" t="str">
        <f>IF(B304="","",Events!$Y9)</f>
        <v/>
      </c>
      <c r="Q304" s="20" t="str">
        <f t="shared" si="57"/>
        <v/>
      </c>
      <c r="R304" s="20" t="str">
        <f>IF(A304="","",IF(J304&lt;&gt;"",J304,IF(H304="TIMESTAMP",DAY(INT(M304/1440))&amp;" "&amp;INDEX(nLIST_Months,MONTH(INT(M304/1440)))&amp;" "&amp;YEAR(INT(M304/1440))&amp;" "&amp;RIGHT("0"&amp;INT(MOD(M304,1440)/60),2)&amp;":"&amp;RIGHT("0"&amp;MOD(M304,60),2)&amp;IF(L304=1," (UTC"&amp;I304&amp;")"," (offset unknown)"),IF(H304="DATE",DAY(O304)&amp;" "&amp;INDEX(nLIST_Months,MONTH(O304))&amp;" "&amp;YEAR(O304),IF(H304="MONTH",INDEX(nLIST_Months,MONTH(O304))&amp;" "&amp;YEAR(O304)&amp;" ("&amp;DAY(O304)&amp;" "&amp;INDEX(nLIST_Months,MONTH(O304))&amp;" "&amp;YEAR(O304)&amp;" to "&amp;DAY(P304)&amp;" "&amp;INDEX(nLIST_Months,MONTH(P304))&amp;" "&amp;YEAR(P304)&amp;")",IF(H304="YEAR",YEAR(O304)&amp;" (1 January to 31 December)",DAY(O304)&amp;" "&amp;INDEX(nLIST_Months,MONTH(O304))&amp;" "&amp;YEAR(O304)&amp;" to "&amp;DAY(P304)&amp;" "&amp;INDEX(nLIST_Months,MONTH(P304))&amp;" "&amp;YEAR(P304)&amp;IF(H304="LAB"," (laboratory-defined)","")))))))</f>
        <v/>
      </c>
      <c r="S304" s="20" t="str">
        <f>IF(B304="","",Events!$I9&amp;"")</f>
        <v/>
      </c>
      <c r="T304" s="20" t="str">
        <f>IF(B304="","",Events!$T9&amp;"")</f>
        <v/>
      </c>
      <c r="U304" s="20" t="str">
        <f>IF(B304="","","Events row "&amp;ROW(Events!$A9)&amp;", Onset")</f>
        <v/>
      </c>
      <c r="V304" s="20">
        <f>IF(A304="",0,COUNTIF(nTP_Key,A304))</f>
        <v>0</v>
      </c>
      <c r="W304" s="20">
        <f t="shared" si="58"/>
        <v>0</v>
      </c>
      <c r="X304" s="20">
        <f t="shared" si="59"/>
        <v>0</v>
      </c>
      <c r="Y304" s="20">
        <f t="shared" si="60"/>
        <v>0</v>
      </c>
      <c r="Z304" s="20">
        <f t="shared" si="61"/>
        <v>0</v>
      </c>
      <c r="AA304" s="20">
        <f t="shared" si="62"/>
        <v>300</v>
      </c>
      <c r="AB304" s="20" t="str">
        <f>""</f>
        <v/>
      </c>
      <c r="AC304" s="20" t="str">
        <f>""</f>
        <v/>
      </c>
      <c r="AD304" s="20" t="str">
        <f>IF(B304="","",Events!$E9&amp;" (onset)")</f>
        <v/>
      </c>
      <c r="AE304" s="20">
        <f t="shared" si="63"/>
        <v>0</v>
      </c>
      <c r="AF304" s="20" t="str">
        <f t="shared" si="64"/>
        <v/>
      </c>
      <c r="AG304" s="20">
        <f t="shared" si="65"/>
        <v>0</v>
      </c>
      <c r="AH304" s="20" t="str">
        <f>IF(B304="","",IF(Events!$J9="LAB","Onset is laboratory-defined (CALC-SPEC 1.1, C4): lower bound = date of the last normal test ("&amp;Events!$R9&amp;"), upper bound = date of the first abnormal test ("&amp;Events!$S9&amp;"). The reviewer decides which results are normal.",""))</f>
        <v/>
      </c>
    </row>
    <row r="305" spans="1:34" x14ac:dyDescent="0.2">
      <c r="A305" s="20" t="str">
        <f t="shared" si="55"/>
        <v/>
      </c>
      <c r="B305" s="20" t="str">
        <f>IF(AND(Events!$D10&lt;&gt;"",COUNTA(Events!$J10:$Q10)&gt;0),Events!$D10&amp;"/ONSET","")</f>
        <v/>
      </c>
      <c r="C305" s="20" t="str">
        <f t="shared" si="67"/>
        <v/>
      </c>
      <c r="D305" s="20" t="str">
        <f>IF(B305="","",Events!$A10&amp;"")</f>
        <v/>
      </c>
      <c r="E305" s="20" t="str">
        <f>IF(B305="","",Events!$B10&amp;"")</f>
        <v/>
      </c>
      <c r="F305" s="20" t="str">
        <f t="shared" si="56"/>
        <v/>
      </c>
      <c r="G305" s="20" t="str">
        <f>IF(B305="","",Events!$D10&amp;"")</f>
        <v/>
      </c>
      <c r="H305" s="20" t="str">
        <f>IF(B305="","",Events!$J10&amp;"")</f>
        <v/>
      </c>
      <c r="I305" s="20" t="str">
        <f>IF(B305="","",Events!$M10&amp;"")</f>
        <v/>
      </c>
      <c r="J305" s="20" t="str">
        <f>IF(B305="","",Events!$U10&amp;"")</f>
        <v/>
      </c>
      <c r="K305" s="20">
        <f>IF(B305="",0,Events!$V10)</f>
        <v>0</v>
      </c>
      <c r="L305" s="20">
        <f>IF(B305="",0,Events!$W10)</f>
        <v>0</v>
      </c>
      <c r="M305" s="20" t="str">
        <f>IF(B305="","",Events!$Z10)</f>
        <v/>
      </c>
      <c r="N305" s="20" t="str">
        <f>IF(B305="","",Events!$AA10)</f>
        <v/>
      </c>
      <c r="O305" s="27" t="str">
        <f>IF(B305="","",Events!$X10)</f>
        <v/>
      </c>
      <c r="P305" s="27" t="str">
        <f>IF(B305="","",Events!$Y10)</f>
        <v/>
      </c>
      <c r="Q305" s="20" t="str">
        <f t="shared" si="57"/>
        <v/>
      </c>
      <c r="R305" s="20" t="str">
        <f>IF(A305="","",IF(J305&lt;&gt;"",J305,IF(H305="TIMESTAMP",DAY(INT(M305/1440))&amp;" "&amp;INDEX(nLIST_Months,MONTH(INT(M305/1440)))&amp;" "&amp;YEAR(INT(M305/1440))&amp;" "&amp;RIGHT("0"&amp;INT(MOD(M305,1440)/60),2)&amp;":"&amp;RIGHT("0"&amp;MOD(M305,60),2)&amp;IF(L305=1," (UTC"&amp;I305&amp;")"," (offset unknown)"),IF(H305="DATE",DAY(O305)&amp;" "&amp;INDEX(nLIST_Months,MONTH(O305))&amp;" "&amp;YEAR(O305),IF(H305="MONTH",INDEX(nLIST_Months,MONTH(O305))&amp;" "&amp;YEAR(O305)&amp;" ("&amp;DAY(O305)&amp;" "&amp;INDEX(nLIST_Months,MONTH(O305))&amp;" "&amp;YEAR(O305)&amp;" to "&amp;DAY(P305)&amp;" "&amp;INDEX(nLIST_Months,MONTH(P305))&amp;" "&amp;YEAR(P305)&amp;")",IF(H305="YEAR",YEAR(O305)&amp;" (1 January to 31 December)",DAY(O305)&amp;" "&amp;INDEX(nLIST_Months,MONTH(O305))&amp;" "&amp;YEAR(O305)&amp;" to "&amp;DAY(P305)&amp;" "&amp;INDEX(nLIST_Months,MONTH(P305))&amp;" "&amp;YEAR(P305)&amp;IF(H305="LAB"," (laboratory-defined)","")))))))</f>
        <v/>
      </c>
      <c r="S305" s="20" t="str">
        <f>IF(B305="","",Events!$I10&amp;"")</f>
        <v/>
      </c>
      <c r="T305" s="20" t="str">
        <f>IF(B305="","",Events!$T10&amp;"")</f>
        <v/>
      </c>
      <c r="U305" s="20" t="str">
        <f>IF(B305="","","Events row "&amp;ROW(Events!$A10)&amp;", Onset")</f>
        <v/>
      </c>
      <c r="V305" s="20">
        <f>IF(A305="",0,COUNTIF(nTP_Key,A305))</f>
        <v>0</v>
      </c>
      <c r="W305" s="20">
        <f t="shared" si="58"/>
        <v>0</v>
      </c>
      <c r="X305" s="20">
        <f t="shared" si="59"/>
        <v>0</v>
      </c>
      <c r="Y305" s="20">
        <f t="shared" si="60"/>
        <v>0</v>
      </c>
      <c r="Z305" s="20">
        <f t="shared" si="61"/>
        <v>0</v>
      </c>
      <c r="AA305" s="20">
        <f t="shared" si="62"/>
        <v>301</v>
      </c>
      <c r="AB305" s="20" t="str">
        <f>""</f>
        <v/>
      </c>
      <c r="AC305" s="20" t="str">
        <f>""</f>
        <v/>
      </c>
      <c r="AD305" s="20" t="str">
        <f>IF(B305="","",Events!$E10&amp;" (onset)")</f>
        <v/>
      </c>
      <c r="AE305" s="20">
        <f t="shared" si="63"/>
        <v>0</v>
      </c>
      <c r="AF305" s="20" t="str">
        <f t="shared" si="64"/>
        <v/>
      </c>
      <c r="AG305" s="20">
        <f t="shared" si="65"/>
        <v>0</v>
      </c>
      <c r="AH305" s="20" t="str">
        <f>IF(B305="","",IF(Events!$J10="LAB","Onset is laboratory-defined (CALC-SPEC 1.1, C4): lower bound = date of the last normal test ("&amp;Events!$R10&amp;"), upper bound = date of the first abnormal test ("&amp;Events!$S10&amp;"). The reviewer decides which results are normal.",""))</f>
        <v/>
      </c>
    </row>
    <row r="306" spans="1:34" x14ac:dyDescent="0.2">
      <c r="A306" s="20" t="str">
        <f t="shared" si="55"/>
        <v/>
      </c>
      <c r="B306" s="20" t="str">
        <f>IF(AND(Events!$D11&lt;&gt;"",COUNTA(Events!$J11:$Q11)&gt;0),Events!$D11&amp;"/ONSET","")</f>
        <v/>
      </c>
      <c r="C306" s="20" t="str">
        <f t="shared" si="67"/>
        <v/>
      </c>
      <c r="D306" s="20" t="str">
        <f>IF(B306="","",Events!$A11&amp;"")</f>
        <v/>
      </c>
      <c r="E306" s="20" t="str">
        <f>IF(B306="","",Events!$B11&amp;"")</f>
        <v/>
      </c>
      <c r="F306" s="20" t="str">
        <f t="shared" si="56"/>
        <v/>
      </c>
      <c r="G306" s="20" t="str">
        <f>IF(B306="","",Events!$D11&amp;"")</f>
        <v/>
      </c>
      <c r="H306" s="20" t="str">
        <f>IF(B306="","",Events!$J11&amp;"")</f>
        <v/>
      </c>
      <c r="I306" s="20" t="str">
        <f>IF(B306="","",Events!$M11&amp;"")</f>
        <v/>
      </c>
      <c r="J306" s="20" t="str">
        <f>IF(B306="","",Events!$U11&amp;"")</f>
        <v/>
      </c>
      <c r="K306" s="20">
        <f>IF(B306="",0,Events!$V11)</f>
        <v>0</v>
      </c>
      <c r="L306" s="20">
        <f>IF(B306="",0,Events!$W11)</f>
        <v>0</v>
      </c>
      <c r="M306" s="20" t="str">
        <f>IF(B306="","",Events!$Z11)</f>
        <v/>
      </c>
      <c r="N306" s="20" t="str">
        <f>IF(B306="","",Events!$AA11)</f>
        <v/>
      </c>
      <c r="O306" s="27" t="str">
        <f>IF(B306="","",Events!$X11)</f>
        <v/>
      </c>
      <c r="P306" s="27" t="str">
        <f>IF(B306="","",Events!$Y11)</f>
        <v/>
      </c>
      <c r="Q306" s="20" t="str">
        <f t="shared" si="57"/>
        <v/>
      </c>
      <c r="R306" s="20" t="str">
        <f>IF(A306="","",IF(J306&lt;&gt;"",J306,IF(H306="TIMESTAMP",DAY(INT(M306/1440))&amp;" "&amp;INDEX(nLIST_Months,MONTH(INT(M306/1440)))&amp;" "&amp;YEAR(INT(M306/1440))&amp;" "&amp;RIGHT("0"&amp;INT(MOD(M306,1440)/60),2)&amp;":"&amp;RIGHT("0"&amp;MOD(M306,60),2)&amp;IF(L306=1," (UTC"&amp;I306&amp;")"," (offset unknown)"),IF(H306="DATE",DAY(O306)&amp;" "&amp;INDEX(nLIST_Months,MONTH(O306))&amp;" "&amp;YEAR(O306),IF(H306="MONTH",INDEX(nLIST_Months,MONTH(O306))&amp;" "&amp;YEAR(O306)&amp;" ("&amp;DAY(O306)&amp;" "&amp;INDEX(nLIST_Months,MONTH(O306))&amp;" "&amp;YEAR(O306)&amp;" to "&amp;DAY(P306)&amp;" "&amp;INDEX(nLIST_Months,MONTH(P306))&amp;" "&amp;YEAR(P306)&amp;")",IF(H306="YEAR",YEAR(O306)&amp;" (1 January to 31 December)",DAY(O306)&amp;" "&amp;INDEX(nLIST_Months,MONTH(O306))&amp;" "&amp;YEAR(O306)&amp;" to "&amp;DAY(P306)&amp;" "&amp;INDEX(nLIST_Months,MONTH(P306))&amp;" "&amp;YEAR(P306)&amp;IF(H306="LAB"," (laboratory-defined)","")))))))</f>
        <v/>
      </c>
      <c r="S306" s="20" t="str">
        <f>IF(B306="","",Events!$I11&amp;"")</f>
        <v/>
      </c>
      <c r="T306" s="20" t="str">
        <f>IF(B306="","",Events!$T11&amp;"")</f>
        <v/>
      </c>
      <c r="U306" s="20" t="str">
        <f>IF(B306="","","Events row "&amp;ROW(Events!$A11)&amp;", Onset")</f>
        <v/>
      </c>
      <c r="V306" s="20">
        <f>IF(A306="",0,COUNTIF(nTP_Key,A306))</f>
        <v>0</v>
      </c>
      <c r="W306" s="20">
        <f t="shared" si="58"/>
        <v>0</v>
      </c>
      <c r="X306" s="20">
        <f t="shared" si="59"/>
        <v>0</v>
      </c>
      <c r="Y306" s="20">
        <f t="shared" si="60"/>
        <v>0</v>
      </c>
      <c r="Z306" s="20">
        <f t="shared" si="61"/>
        <v>0</v>
      </c>
      <c r="AA306" s="20">
        <f t="shared" si="62"/>
        <v>302</v>
      </c>
      <c r="AB306" s="20" t="str">
        <f>""</f>
        <v/>
      </c>
      <c r="AC306" s="20" t="str">
        <f>""</f>
        <v/>
      </c>
      <c r="AD306" s="20" t="str">
        <f>IF(B306="","",Events!$E11&amp;" (onset)")</f>
        <v/>
      </c>
      <c r="AE306" s="20">
        <f t="shared" si="63"/>
        <v>0</v>
      </c>
      <c r="AF306" s="20" t="str">
        <f t="shared" si="64"/>
        <v/>
      </c>
      <c r="AG306" s="20">
        <f t="shared" si="65"/>
        <v>0</v>
      </c>
      <c r="AH306" s="20" t="str">
        <f>IF(B306="","",IF(Events!$J11="LAB","Onset is laboratory-defined (CALC-SPEC 1.1, C4): lower bound = date of the last normal test ("&amp;Events!$R11&amp;"), upper bound = date of the first abnormal test ("&amp;Events!$S11&amp;"). The reviewer decides which results are normal.",""))</f>
        <v/>
      </c>
    </row>
    <row r="307" spans="1:34" x14ac:dyDescent="0.2">
      <c r="A307" s="20" t="str">
        <f t="shared" si="55"/>
        <v/>
      </c>
      <c r="B307" s="20" t="str">
        <f>IF(AND(Events!$D12&lt;&gt;"",COUNTA(Events!$J12:$Q12)&gt;0),Events!$D12&amp;"/ONSET","")</f>
        <v/>
      </c>
      <c r="C307" s="20" t="str">
        <f t="shared" si="67"/>
        <v/>
      </c>
      <c r="D307" s="20" t="str">
        <f>IF(B307="","",Events!$A12&amp;"")</f>
        <v/>
      </c>
      <c r="E307" s="20" t="str">
        <f>IF(B307="","",Events!$B12&amp;"")</f>
        <v/>
      </c>
      <c r="F307" s="20" t="str">
        <f t="shared" si="56"/>
        <v/>
      </c>
      <c r="G307" s="20" t="str">
        <f>IF(B307="","",Events!$D12&amp;"")</f>
        <v/>
      </c>
      <c r="H307" s="20" t="str">
        <f>IF(B307="","",Events!$J12&amp;"")</f>
        <v/>
      </c>
      <c r="I307" s="20" t="str">
        <f>IF(B307="","",Events!$M12&amp;"")</f>
        <v/>
      </c>
      <c r="J307" s="20" t="str">
        <f>IF(B307="","",Events!$U12&amp;"")</f>
        <v/>
      </c>
      <c r="K307" s="20">
        <f>IF(B307="",0,Events!$V12)</f>
        <v>0</v>
      </c>
      <c r="L307" s="20">
        <f>IF(B307="",0,Events!$W12)</f>
        <v>0</v>
      </c>
      <c r="M307" s="20" t="str">
        <f>IF(B307="","",Events!$Z12)</f>
        <v/>
      </c>
      <c r="N307" s="20" t="str">
        <f>IF(B307="","",Events!$AA12)</f>
        <v/>
      </c>
      <c r="O307" s="27" t="str">
        <f>IF(B307="","",Events!$X12)</f>
        <v/>
      </c>
      <c r="P307" s="27" t="str">
        <f>IF(B307="","",Events!$Y12)</f>
        <v/>
      </c>
      <c r="Q307" s="20" t="str">
        <f t="shared" si="57"/>
        <v/>
      </c>
      <c r="R307" s="20" t="str">
        <f>IF(A307="","",IF(J307&lt;&gt;"",J307,IF(H307="TIMESTAMP",DAY(INT(M307/1440))&amp;" "&amp;INDEX(nLIST_Months,MONTH(INT(M307/1440)))&amp;" "&amp;YEAR(INT(M307/1440))&amp;" "&amp;RIGHT("0"&amp;INT(MOD(M307,1440)/60),2)&amp;":"&amp;RIGHT("0"&amp;MOD(M307,60),2)&amp;IF(L307=1," (UTC"&amp;I307&amp;")"," (offset unknown)"),IF(H307="DATE",DAY(O307)&amp;" "&amp;INDEX(nLIST_Months,MONTH(O307))&amp;" "&amp;YEAR(O307),IF(H307="MONTH",INDEX(nLIST_Months,MONTH(O307))&amp;" "&amp;YEAR(O307)&amp;" ("&amp;DAY(O307)&amp;" "&amp;INDEX(nLIST_Months,MONTH(O307))&amp;" "&amp;YEAR(O307)&amp;" to "&amp;DAY(P307)&amp;" "&amp;INDEX(nLIST_Months,MONTH(P307))&amp;" "&amp;YEAR(P307)&amp;")",IF(H307="YEAR",YEAR(O307)&amp;" (1 January to 31 December)",DAY(O307)&amp;" "&amp;INDEX(nLIST_Months,MONTH(O307))&amp;" "&amp;YEAR(O307)&amp;" to "&amp;DAY(P307)&amp;" "&amp;INDEX(nLIST_Months,MONTH(P307))&amp;" "&amp;YEAR(P307)&amp;IF(H307="LAB"," (laboratory-defined)","")))))))</f>
        <v/>
      </c>
      <c r="S307" s="20" t="str">
        <f>IF(B307="","",Events!$I12&amp;"")</f>
        <v/>
      </c>
      <c r="T307" s="20" t="str">
        <f>IF(B307="","",Events!$T12&amp;"")</f>
        <v/>
      </c>
      <c r="U307" s="20" t="str">
        <f>IF(B307="","","Events row "&amp;ROW(Events!$A12)&amp;", Onset")</f>
        <v/>
      </c>
      <c r="V307" s="20">
        <f>IF(A307="",0,COUNTIF(nTP_Key,A307))</f>
        <v>0</v>
      </c>
      <c r="W307" s="20">
        <f t="shared" si="58"/>
        <v>0</v>
      </c>
      <c r="X307" s="20">
        <f t="shared" si="59"/>
        <v>0</v>
      </c>
      <c r="Y307" s="20">
        <f t="shared" si="60"/>
        <v>0</v>
      </c>
      <c r="Z307" s="20">
        <f t="shared" si="61"/>
        <v>0</v>
      </c>
      <c r="AA307" s="20">
        <f t="shared" si="62"/>
        <v>303</v>
      </c>
      <c r="AB307" s="20" t="str">
        <f>""</f>
        <v/>
      </c>
      <c r="AC307" s="20" t="str">
        <f>""</f>
        <v/>
      </c>
      <c r="AD307" s="20" t="str">
        <f>IF(B307="","",Events!$E12&amp;" (onset)")</f>
        <v/>
      </c>
      <c r="AE307" s="20">
        <f t="shared" si="63"/>
        <v>0</v>
      </c>
      <c r="AF307" s="20" t="str">
        <f t="shared" si="64"/>
        <v/>
      </c>
      <c r="AG307" s="20">
        <f t="shared" si="65"/>
        <v>0</v>
      </c>
      <c r="AH307" s="20" t="str">
        <f>IF(B307="","",IF(Events!$J12="LAB","Onset is laboratory-defined (CALC-SPEC 1.1, C4): lower bound = date of the last normal test ("&amp;Events!$R12&amp;"), upper bound = date of the first abnormal test ("&amp;Events!$S12&amp;"). The reviewer decides which results are normal.",""))</f>
        <v/>
      </c>
    </row>
    <row r="308" spans="1:34" x14ac:dyDescent="0.2">
      <c r="A308" s="20" t="str">
        <f t="shared" si="55"/>
        <v/>
      </c>
      <c r="B308" s="20" t="str">
        <f>IF(AND(Events!$D13&lt;&gt;"",COUNTA(Events!$J13:$Q13)&gt;0),Events!$D13&amp;"/ONSET","")</f>
        <v/>
      </c>
      <c r="C308" s="20" t="str">
        <f t="shared" si="67"/>
        <v/>
      </c>
      <c r="D308" s="20" t="str">
        <f>IF(B308="","",Events!$A13&amp;"")</f>
        <v/>
      </c>
      <c r="E308" s="20" t="str">
        <f>IF(B308="","",Events!$B13&amp;"")</f>
        <v/>
      </c>
      <c r="F308" s="20" t="str">
        <f t="shared" si="56"/>
        <v/>
      </c>
      <c r="G308" s="20" t="str">
        <f>IF(B308="","",Events!$D13&amp;"")</f>
        <v/>
      </c>
      <c r="H308" s="20" t="str">
        <f>IF(B308="","",Events!$J13&amp;"")</f>
        <v/>
      </c>
      <c r="I308" s="20" t="str">
        <f>IF(B308="","",Events!$M13&amp;"")</f>
        <v/>
      </c>
      <c r="J308" s="20" t="str">
        <f>IF(B308="","",Events!$U13&amp;"")</f>
        <v/>
      </c>
      <c r="K308" s="20">
        <f>IF(B308="",0,Events!$V13)</f>
        <v>0</v>
      </c>
      <c r="L308" s="20">
        <f>IF(B308="",0,Events!$W13)</f>
        <v>0</v>
      </c>
      <c r="M308" s="20" t="str">
        <f>IF(B308="","",Events!$Z13)</f>
        <v/>
      </c>
      <c r="N308" s="20" t="str">
        <f>IF(B308="","",Events!$AA13)</f>
        <v/>
      </c>
      <c r="O308" s="27" t="str">
        <f>IF(B308="","",Events!$X13)</f>
        <v/>
      </c>
      <c r="P308" s="27" t="str">
        <f>IF(B308="","",Events!$Y13)</f>
        <v/>
      </c>
      <c r="Q308" s="20" t="str">
        <f t="shared" si="57"/>
        <v/>
      </c>
      <c r="R308" s="20" t="str">
        <f>IF(A308="","",IF(J308&lt;&gt;"",J308,IF(H308="TIMESTAMP",DAY(INT(M308/1440))&amp;" "&amp;INDEX(nLIST_Months,MONTH(INT(M308/1440)))&amp;" "&amp;YEAR(INT(M308/1440))&amp;" "&amp;RIGHT("0"&amp;INT(MOD(M308,1440)/60),2)&amp;":"&amp;RIGHT("0"&amp;MOD(M308,60),2)&amp;IF(L308=1," (UTC"&amp;I308&amp;")"," (offset unknown)"),IF(H308="DATE",DAY(O308)&amp;" "&amp;INDEX(nLIST_Months,MONTH(O308))&amp;" "&amp;YEAR(O308),IF(H308="MONTH",INDEX(nLIST_Months,MONTH(O308))&amp;" "&amp;YEAR(O308)&amp;" ("&amp;DAY(O308)&amp;" "&amp;INDEX(nLIST_Months,MONTH(O308))&amp;" "&amp;YEAR(O308)&amp;" to "&amp;DAY(P308)&amp;" "&amp;INDEX(nLIST_Months,MONTH(P308))&amp;" "&amp;YEAR(P308)&amp;")",IF(H308="YEAR",YEAR(O308)&amp;" (1 January to 31 December)",DAY(O308)&amp;" "&amp;INDEX(nLIST_Months,MONTH(O308))&amp;" "&amp;YEAR(O308)&amp;" to "&amp;DAY(P308)&amp;" "&amp;INDEX(nLIST_Months,MONTH(P308))&amp;" "&amp;YEAR(P308)&amp;IF(H308="LAB"," (laboratory-defined)","")))))))</f>
        <v/>
      </c>
      <c r="S308" s="20" t="str">
        <f>IF(B308="","",Events!$I13&amp;"")</f>
        <v/>
      </c>
      <c r="T308" s="20" t="str">
        <f>IF(B308="","",Events!$T13&amp;"")</f>
        <v/>
      </c>
      <c r="U308" s="20" t="str">
        <f>IF(B308="","","Events row "&amp;ROW(Events!$A13)&amp;", Onset")</f>
        <v/>
      </c>
      <c r="V308" s="20">
        <f>IF(A308="",0,COUNTIF(nTP_Key,A308))</f>
        <v>0</v>
      </c>
      <c r="W308" s="20">
        <f t="shared" si="58"/>
        <v>0</v>
      </c>
      <c r="X308" s="20">
        <f t="shared" si="59"/>
        <v>0</v>
      </c>
      <c r="Y308" s="20">
        <f t="shared" si="60"/>
        <v>0</v>
      </c>
      <c r="Z308" s="20">
        <f t="shared" si="61"/>
        <v>0</v>
      </c>
      <c r="AA308" s="20">
        <f t="shared" si="62"/>
        <v>304</v>
      </c>
      <c r="AB308" s="20" t="str">
        <f>""</f>
        <v/>
      </c>
      <c r="AC308" s="20" t="str">
        <f>""</f>
        <v/>
      </c>
      <c r="AD308" s="20" t="str">
        <f>IF(B308="","",Events!$E13&amp;" (onset)")</f>
        <v/>
      </c>
      <c r="AE308" s="20">
        <f t="shared" si="63"/>
        <v>0</v>
      </c>
      <c r="AF308" s="20" t="str">
        <f t="shared" si="64"/>
        <v/>
      </c>
      <c r="AG308" s="20">
        <f t="shared" si="65"/>
        <v>0</v>
      </c>
      <c r="AH308" s="20" t="str">
        <f>IF(B308="","",IF(Events!$J13="LAB","Onset is laboratory-defined (CALC-SPEC 1.1, C4): lower bound = date of the last normal test ("&amp;Events!$R13&amp;"), upper bound = date of the first abnormal test ("&amp;Events!$S13&amp;"). The reviewer decides which results are normal.",""))</f>
        <v/>
      </c>
    </row>
    <row r="309" spans="1:34" x14ac:dyDescent="0.2">
      <c r="A309" s="20" t="str">
        <f t="shared" si="55"/>
        <v/>
      </c>
      <c r="B309" s="20" t="str">
        <f>IF(AND(Events!$D14&lt;&gt;"",COUNTA(Events!$J14:$Q14)&gt;0),Events!$D14&amp;"/ONSET","")</f>
        <v/>
      </c>
      <c r="C309" s="20" t="str">
        <f t="shared" si="67"/>
        <v/>
      </c>
      <c r="D309" s="20" t="str">
        <f>IF(B309="","",Events!$A14&amp;"")</f>
        <v/>
      </c>
      <c r="E309" s="20" t="str">
        <f>IF(B309="","",Events!$B14&amp;"")</f>
        <v/>
      </c>
      <c r="F309" s="20" t="str">
        <f t="shared" si="56"/>
        <v/>
      </c>
      <c r="G309" s="20" t="str">
        <f>IF(B309="","",Events!$D14&amp;"")</f>
        <v/>
      </c>
      <c r="H309" s="20" t="str">
        <f>IF(B309="","",Events!$J14&amp;"")</f>
        <v/>
      </c>
      <c r="I309" s="20" t="str">
        <f>IF(B309="","",Events!$M14&amp;"")</f>
        <v/>
      </c>
      <c r="J309" s="20" t="str">
        <f>IF(B309="","",Events!$U14&amp;"")</f>
        <v/>
      </c>
      <c r="K309" s="20">
        <f>IF(B309="",0,Events!$V14)</f>
        <v>0</v>
      </c>
      <c r="L309" s="20">
        <f>IF(B309="",0,Events!$W14)</f>
        <v>0</v>
      </c>
      <c r="M309" s="20" t="str">
        <f>IF(B309="","",Events!$Z14)</f>
        <v/>
      </c>
      <c r="N309" s="20" t="str">
        <f>IF(B309="","",Events!$AA14)</f>
        <v/>
      </c>
      <c r="O309" s="27" t="str">
        <f>IF(B309="","",Events!$X14)</f>
        <v/>
      </c>
      <c r="P309" s="27" t="str">
        <f>IF(B309="","",Events!$Y14)</f>
        <v/>
      </c>
      <c r="Q309" s="20" t="str">
        <f t="shared" si="57"/>
        <v/>
      </c>
      <c r="R309" s="20" t="str">
        <f>IF(A309="","",IF(J309&lt;&gt;"",J309,IF(H309="TIMESTAMP",DAY(INT(M309/1440))&amp;" "&amp;INDEX(nLIST_Months,MONTH(INT(M309/1440)))&amp;" "&amp;YEAR(INT(M309/1440))&amp;" "&amp;RIGHT("0"&amp;INT(MOD(M309,1440)/60),2)&amp;":"&amp;RIGHT("0"&amp;MOD(M309,60),2)&amp;IF(L309=1," (UTC"&amp;I309&amp;")"," (offset unknown)"),IF(H309="DATE",DAY(O309)&amp;" "&amp;INDEX(nLIST_Months,MONTH(O309))&amp;" "&amp;YEAR(O309),IF(H309="MONTH",INDEX(nLIST_Months,MONTH(O309))&amp;" "&amp;YEAR(O309)&amp;" ("&amp;DAY(O309)&amp;" "&amp;INDEX(nLIST_Months,MONTH(O309))&amp;" "&amp;YEAR(O309)&amp;" to "&amp;DAY(P309)&amp;" "&amp;INDEX(nLIST_Months,MONTH(P309))&amp;" "&amp;YEAR(P309)&amp;")",IF(H309="YEAR",YEAR(O309)&amp;" (1 January to 31 December)",DAY(O309)&amp;" "&amp;INDEX(nLIST_Months,MONTH(O309))&amp;" "&amp;YEAR(O309)&amp;" to "&amp;DAY(P309)&amp;" "&amp;INDEX(nLIST_Months,MONTH(P309))&amp;" "&amp;YEAR(P309)&amp;IF(H309="LAB"," (laboratory-defined)","")))))))</f>
        <v/>
      </c>
      <c r="S309" s="20" t="str">
        <f>IF(B309="","",Events!$I14&amp;"")</f>
        <v/>
      </c>
      <c r="T309" s="20" t="str">
        <f>IF(B309="","",Events!$T14&amp;"")</f>
        <v/>
      </c>
      <c r="U309" s="20" t="str">
        <f>IF(B309="","","Events row "&amp;ROW(Events!$A14)&amp;", Onset")</f>
        <v/>
      </c>
      <c r="V309" s="20">
        <f>IF(A309="",0,COUNTIF(nTP_Key,A309))</f>
        <v>0</v>
      </c>
      <c r="W309" s="20">
        <f t="shared" si="58"/>
        <v>0</v>
      </c>
      <c r="X309" s="20">
        <f t="shared" si="59"/>
        <v>0</v>
      </c>
      <c r="Y309" s="20">
        <f t="shared" si="60"/>
        <v>0</v>
      </c>
      <c r="Z309" s="20">
        <f t="shared" si="61"/>
        <v>0</v>
      </c>
      <c r="AA309" s="20">
        <f t="shared" si="62"/>
        <v>305</v>
      </c>
      <c r="AB309" s="20" t="str">
        <f>""</f>
        <v/>
      </c>
      <c r="AC309" s="20" t="str">
        <f>""</f>
        <v/>
      </c>
      <c r="AD309" s="20" t="str">
        <f>IF(B309="","",Events!$E14&amp;" (onset)")</f>
        <v/>
      </c>
      <c r="AE309" s="20">
        <f t="shared" si="63"/>
        <v>0</v>
      </c>
      <c r="AF309" s="20" t="str">
        <f t="shared" si="64"/>
        <v/>
      </c>
      <c r="AG309" s="20">
        <f t="shared" si="65"/>
        <v>0</v>
      </c>
      <c r="AH309" s="20" t="str">
        <f>IF(B309="","",IF(Events!$J14="LAB","Onset is laboratory-defined (CALC-SPEC 1.1, C4): lower bound = date of the last normal test ("&amp;Events!$R14&amp;"), upper bound = date of the first abnormal test ("&amp;Events!$S14&amp;"). The reviewer decides which results are normal.",""))</f>
        <v/>
      </c>
    </row>
    <row r="310" spans="1:34" x14ac:dyDescent="0.2">
      <c r="A310" s="20" t="str">
        <f t="shared" si="55"/>
        <v/>
      </c>
      <c r="B310" s="20" t="str">
        <f>IF(AND(Events!$D15&lt;&gt;"",COUNTA(Events!$J15:$Q15)&gt;0),Events!$D15&amp;"/ONSET","")</f>
        <v/>
      </c>
      <c r="C310" s="20" t="str">
        <f t="shared" si="67"/>
        <v/>
      </c>
      <c r="D310" s="20" t="str">
        <f>IF(B310="","",Events!$A15&amp;"")</f>
        <v/>
      </c>
      <c r="E310" s="20" t="str">
        <f>IF(B310="","",Events!$B15&amp;"")</f>
        <v/>
      </c>
      <c r="F310" s="20" t="str">
        <f t="shared" si="56"/>
        <v/>
      </c>
      <c r="G310" s="20" t="str">
        <f>IF(B310="","",Events!$D15&amp;"")</f>
        <v/>
      </c>
      <c r="H310" s="20" t="str">
        <f>IF(B310="","",Events!$J15&amp;"")</f>
        <v/>
      </c>
      <c r="I310" s="20" t="str">
        <f>IF(B310="","",Events!$M15&amp;"")</f>
        <v/>
      </c>
      <c r="J310" s="20" t="str">
        <f>IF(B310="","",Events!$U15&amp;"")</f>
        <v/>
      </c>
      <c r="K310" s="20">
        <f>IF(B310="",0,Events!$V15)</f>
        <v>0</v>
      </c>
      <c r="L310" s="20">
        <f>IF(B310="",0,Events!$W15)</f>
        <v>0</v>
      </c>
      <c r="M310" s="20" t="str">
        <f>IF(B310="","",Events!$Z15)</f>
        <v/>
      </c>
      <c r="N310" s="20" t="str">
        <f>IF(B310="","",Events!$AA15)</f>
        <v/>
      </c>
      <c r="O310" s="27" t="str">
        <f>IF(B310="","",Events!$X15)</f>
        <v/>
      </c>
      <c r="P310" s="27" t="str">
        <f>IF(B310="","",Events!$Y15)</f>
        <v/>
      </c>
      <c r="Q310" s="20" t="str">
        <f t="shared" si="57"/>
        <v/>
      </c>
      <c r="R310" s="20" t="str">
        <f>IF(A310="","",IF(J310&lt;&gt;"",J310,IF(H310="TIMESTAMP",DAY(INT(M310/1440))&amp;" "&amp;INDEX(nLIST_Months,MONTH(INT(M310/1440)))&amp;" "&amp;YEAR(INT(M310/1440))&amp;" "&amp;RIGHT("0"&amp;INT(MOD(M310,1440)/60),2)&amp;":"&amp;RIGHT("0"&amp;MOD(M310,60),2)&amp;IF(L310=1," (UTC"&amp;I310&amp;")"," (offset unknown)"),IF(H310="DATE",DAY(O310)&amp;" "&amp;INDEX(nLIST_Months,MONTH(O310))&amp;" "&amp;YEAR(O310),IF(H310="MONTH",INDEX(nLIST_Months,MONTH(O310))&amp;" "&amp;YEAR(O310)&amp;" ("&amp;DAY(O310)&amp;" "&amp;INDEX(nLIST_Months,MONTH(O310))&amp;" "&amp;YEAR(O310)&amp;" to "&amp;DAY(P310)&amp;" "&amp;INDEX(nLIST_Months,MONTH(P310))&amp;" "&amp;YEAR(P310)&amp;")",IF(H310="YEAR",YEAR(O310)&amp;" (1 January to 31 December)",DAY(O310)&amp;" "&amp;INDEX(nLIST_Months,MONTH(O310))&amp;" "&amp;YEAR(O310)&amp;" to "&amp;DAY(P310)&amp;" "&amp;INDEX(nLIST_Months,MONTH(P310))&amp;" "&amp;YEAR(P310)&amp;IF(H310="LAB"," (laboratory-defined)","")))))))</f>
        <v/>
      </c>
      <c r="S310" s="20" t="str">
        <f>IF(B310="","",Events!$I15&amp;"")</f>
        <v/>
      </c>
      <c r="T310" s="20" t="str">
        <f>IF(B310="","",Events!$T15&amp;"")</f>
        <v/>
      </c>
      <c r="U310" s="20" t="str">
        <f>IF(B310="","","Events row "&amp;ROW(Events!$A15)&amp;", Onset")</f>
        <v/>
      </c>
      <c r="V310" s="20">
        <f>IF(A310="",0,COUNTIF(nTP_Key,A310))</f>
        <v>0</v>
      </c>
      <c r="W310" s="20">
        <f t="shared" si="58"/>
        <v>0</v>
      </c>
      <c r="X310" s="20">
        <f t="shared" si="59"/>
        <v>0</v>
      </c>
      <c r="Y310" s="20">
        <f t="shared" si="60"/>
        <v>0</v>
      </c>
      <c r="Z310" s="20">
        <f t="shared" si="61"/>
        <v>0</v>
      </c>
      <c r="AA310" s="20">
        <f t="shared" si="62"/>
        <v>306</v>
      </c>
      <c r="AB310" s="20" t="str">
        <f>""</f>
        <v/>
      </c>
      <c r="AC310" s="20" t="str">
        <f>""</f>
        <v/>
      </c>
      <c r="AD310" s="20" t="str">
        <f>IF(B310="","",Events!$E15&amp;" (onset)")</f>
        <v/>
      </c>
      <c r="AE310" s="20">
        <f t="shared" si="63"/>
        <v>0</v>
      </c>
      <c r="AF310" s="20" t="str">
        <f t="shared" si="64"/>
        <v/>
      </c>
      <c r="AG310" s="20">
        <f t="shared" si="65"/>
        <v>0</v>
      </c>
      <c r="AH310" s="20" t="str">
        <f>IF(B310="","",IF(Events!$J15="LAB","Onset is laboratory-defined (CALC-SPEC 1.1, C4): lower bound = date of the last normal test ("&amp;Events!$R15&amp;"), upper bound = date of the first abnormal test ("&amp;Events!$S15&amp;"). The reviewer decides which results are normal.",""))</f>
        <v/>
      </c>
    </row>
    <row r="311" spans="1:34" x14ac:dyDescent="0.2">
      <c r="A311" s="20" t="str">
        <f t="shared" si="55"/>
        <v/>
      </c>
      <c r="B311" s="20" t="str">
        <f>IF(AND(Events!$D16&lt;&gt;"",COUNTA(Events!$J16:$Q16)&gt;0),Events!$D16&amp;"/ONSET","")</f>
        <v/>
      </c>
      <c r="C311" s="20" t="str">
        <f t="shared" si="67"/>
        <v/>
      </c>
      <c r="D311" s="20" t="str">
        <f>IF(B311="","",Events!$A16&amp;"")</f>
        <v/>
      </c>
      <c r="E311" s="20" t="str">
        <f>IF(B311="","",Events!$B16&amp;"")</f>
        <v/>
      </c>
      <c r="F311" s="20" t="str">
        <f t="shared" si="56"/>
        <v/>
      </c>
      <c r="G311" s="20" t="str">
        <f>IF(B311="","",Events!$D16&amp;"")</f>
        <v/>
      </c>
      <c r="H311" s="20" t="str">
        <f>IF(B311="","",Events!$J16&amp;"")</f>
        <v/>
      </c>
      <c r="I311" s="20" t="str">
        <f>IF(B311="","",Events!$M16&amp;"")</f>
        <v/>
      </c>
      <c r="J311" s="20" t="str">
        <f>IF(B311="","",Events!$U16&amp;"")</f>
        <v/>
      </c>
      <c r="K311" s="20">
        <f>IF(B311="",0,Events!$V16)</f>
        <v>0</v>
      </c>
      <c r="L311" s="20">
        <f>IF(B311="",0,Events!$W16)</f>
        <v>0</v>
      </c>
      <c r="M311" s="20" t="str">
        <f>IF(B311="","",Events!$Z16)</f>
        <v/>
      </c>
      <c r="N311" s="20" t="str">
        <f>IF(B311="","",Events!$AA16)</f>
        <v/>
      </c>
      <c r="O311" s="27" t="str">
        <f>IF(B311="","",Events!$X16)</f>
        <v/>
      </c>
      <c r="P311" s="27" t="str">
        <f>IF(B311="","",Events!$Y16)</f>
        <v/>
      </c>
      <c r="Q311" s="20" t="str">
        <f t="shared" si="57"/>
        <v/>
      </c>
      <c r="R311" s="20" t="str">
        <f>IF(A311="","",IF(J311&lt;&gt;"",J311,IF(H311="TIMESTAMP",DAY(INT(M311/1440))&amp;" "&amp;INDEX(nLIST_Months,MONTH(INT(M311/1440)))&amp;" "&amp;YEAR(INT(M311/1440))&amp;" "&amp;RIGHT("0"&amp;INT(MOD(M311,1440)/60),2)&amp;":"&amp;RIGHT("0"&amp;MOD(M311,60),2)&amp;IF(L311=1," (UTC"&amp;I311&amp;")"," (offset unknown)"),IF(H311="DATE",DAY(O311)&amp;" "&amp;INDEX(nLIST_Months,MONTH(O311))&amp;" "&amp;YEAR(O311),IF(H311="MONTH",INDEX(nLIST_Months,MONTH(O311))&amp;" "&amp;YEAR(O311)&amp;" ("&amp;DAY(O311)&amp;" "&amp;INDEX(nLIST_Months,MONTH(O311))&amp;" "&amp;YEAR(O311)&amp;" to "&amp;DAY(P311)&amp;" "&amp;INDEX(nLIST_Months,MONTH(P311))&amp;" "&amp;YEAR(P311)&amp;")",IF(H311="YEAR",YEAR(O311)&amp;" (1 January to 31 December)",DAY(O311)&amp;" "&amp;INDEX(nLIST_Months,MONTH(O311))&amp;" "&amp;YEAR(O311)&amp;" to "&amp;DAY(P311)&amp;" "&amp;INDEX(nLIST_Months,MONTH(P311))&amp;" "&amp;YEAR(P311)&amp;IF(H311="LAB"," (laboratory-defined)","")))))))</f>
        <v/>
      </c>
      <c r="S311" s="20" t="str">
        <f>IF(B311="","",Events!$I16&amp;"")</f>
        <v/>
      </c>
      <c r="T311" s="20" t="str">
        <f>IF(B311="","",Events!$T16&amp;"")</f>
        <v/>
      </c>
      <c r="U311" s="20" t="str">
        <f>IF(B311="","","Events row "&amp;ROW(Events!$A16)&amp;", Onset")</f>
        <v/>
      </c>
      <c r="V311" s="20">
        <f>IF(A311="",0,COUNTIF(nTP_Key,A311))</f>
        <v>0</v>
      </c>
      <c r="W311" s="20">
        <f t="shared" si="58"/>
        <v>0</v>
      </c>
      <c r="X311" s="20">
        <f t="shared" si="59"/>
        <v>0</v>
      </c>
      <c r="Y311" s="20">
        <f t="shared" si="60"/>
        <v>0</v>
      </c>
      <c r="Z311" s="20">
        <f t="shared" si="61"/>
        <v>0</v>
      </c>
      <c r="AA311" s="20">
        <f t="shared" si="62"/>
        <v>307</v>
      </c>
      <c r="AB311" s="20" t="str">
        <f>""</f>
        <v/>
      </c>
      <c r="AC311" s="20" t="str">
        <f>""</f>
        <v/>
      </c>
      <c r="AD311" s="20" t="str">
        <f>IF(B311="","",Events!$E16&amp;" (onset)")</f>
        <v/>
      </c>
      <c r="AE311" s="20">
        <f t="shared" si="63"/>
        <v>0</v>
      </c>
      <c r="AF311" s="20" t="str">
        <f t="shared" si="64"/>
        <v/>
      </c>
      <c r="AG311" s="20">
        <f t="shared" si="65"/>
        <v>0</v>
      </c>
      <c r="AH311" s="20" t="str">
        <f>IF(B311="","",IF(Events!$J16="LAB","Onset is laboratory-defined (CALC-SPEC 1.1, C4): lower bound = date of the last normal test ("&amp;Events!$R16&amp;"), upper bound = date of the first abnormal test ("&amp;Events!$S16&amp;"). The reviewer decides which results are normal.",""))</f>
        <v/>
      </c>
    </row>
    <row r="312" spans="1:34" x14ac:dyDescent="0.2">
      <c r="A312" s="20" t="str">
        <f t="shared" si="55"/>
        <v/>
      </c>
      <c r="B312" s="20" t="str">
        <f>IF(AND(Events!$D17&lt;&gt;"",COUNTA(Events!$J17:$Q17)&gt;0),Events!$D17&amp;"/ONSET","")</f>
        <v/>
      </c>
      <c r="C312" s="20" t="str">
        <f t="shared" si="67"/>
        <v/>
      </c>
      <c r="D312" s="20" t="str">
        <f>IF(B312="","",Events!$A17&amp;"")</f>
        <v/>
      </c>
      <c r="E312" s="20" t="str">
        <f>IF(B312="","",Events!$B17&amp;"")</f>
        <v/>
      </c>
      <c r="F312" s="20" t="str">
        <f t="shared" si="56"/>
        <v/>
      </c>
      <c r="G312" s="20" t="str">
        <f>IF(B312="","",Events!$D17&amp;"")</f>
        <v/>
      </c>
      <c r="H312" s="20" t="str">
        <f>IF(B312="","",Events!$J17&amp;"")</f>
        <v/>
      </c>
      <c r="I312" s="20" t="str">
        <f>IF(B312="","",Events!$M17&amp;"")</f>
        <v/>
      </c>
      <c r="J312" s="20" t="str">
        <f>IF(B312="","",Events!$U17&amp;"")</f>
        <v/>
      </c>
      <c r="K312" s="20">
        <f>IF(B312="",0,Events!$V17)</f>
        <v>0</v>
      </c>
      <c r="L312" s="20">
        <f>IF(B312="",0,Events!$W17)</f>
        <v>0</v>
      </c>
      <c r="M312" s="20" t="str">
        <f>IF(B312="","",Events!$Z17)</f>
        <v/>
      </c>
      <c r="N312" s="20" t="str">
        <f>IF(B312="","",Events!$AA17)</f>
        <v/>
      </c>
      <c r="O312" s="27" t="str">
        <f>IF(B312="","",Events!$X17)</f>
        <v/>
      </c>
      <c r="P312" s="27" t="str">
        <f>IF(B312="","",Events!$Y17)</f>
        <v/>
      </c>
      <c r="Q312" s="20" t="str">
        <f t="shared" si="57"/>
        <v/>
      </c>
      <c r="R312" s="20" t="str">
        <f>IF(A312="","",IF(J312&lt;&gt;"",J312,IF(H312="TIMESTAMP",DAY(INT(M312/1440))&amp;" "&amp;INDEX(nLIST_Months,MONTH(INT(M312/1440)))&amp;" "&amp;YEAR(INT(M312/1440))&amp;" "&amp;RIGHT("0"&amp;INT(MOD(M312,1440)/60),2)&amp;":"&amp;RIGHT("0"&amp;MOD(M312,60),2)&amp;IF(L312=1," (UTC"&amp;I312&amp;")"," (offset unknown)"),IF(H312="DATE",DAY(O312)&amp;" "&amp;INDEX(nLIST_Months,MONTH(O312))&amp;" "&amp;YEAR(O312),IF(H312="MONTH",INDEX(nLIST_Months,MONTH(O312))&amp;" "&amp;YEAR(O312)&amp;" ("&amp;DAY(O312)&amp;" "&amp;INDEX(nLIST_Months,MONTH(O312))&amp;" "&amp;YEAR(O312)&amp;" to "&amp;DAY(P312)&amp;" "&amp;INDEX(nLIST_Months,MONTH(P312))&amp;" "&amp;YEAR(P312)&amp;")",IF(H312="YEAR",YEAR(O312)&amp;" (1 January to 31 December)",DAY(O312)&amp;" "&amp;INDEX(nLIST_Months,MONTH(O312))&amp;" "&amp;YEAR(O312)&amp;" to "&amp;DAY(P312)&amp;" "&amp;INDEX(nLIST_Months,MONTH(P312))&amp;" "&amp;YEAR(P312)&amp;IF(H312="LAB"," (laboratory-defined)","")))))))</f>
        <v/>
      </c>
      <c r="S312" s="20" t="str">
        <f>IF(B312="","",Events!$I17&amp;"")</f>
        <v/>
      </c>
      <c r="T312" s="20" t="str">
        <f>IF(B312="","",Events!$T17&amp;"")</f>
        <v/>
      </c>
      <c r="U312" s="20" t="str">
        <f>IF(B312="","","Events row "&amp;ROW(Events!$A17)&amp;", Onset")</f>
        <v/>
      </c>
      <c r="V312" s="20">
        <f>IF(A312="",0,COUNTIF(nTP_Key,A312))</f>
        <v>0</v>
      </c>
      <c r="W312" s="20">
        <f t="shared" si="58"/>
        <v>0</v>
      </c>
      <c r="X312" s="20">
        <f t="shared" si="59"/>
        <v>0</v>
      </c>
      <c r="Y312" s="20">
        <f t="shared" si="60"/>
        <v>0</v>
      </c>
      <c r="Z312" s="20">
        <f t="shared" si="61"/>
        <v>0</v>
      </c>
      <c r="AA312" s="20">
        <f t="shared" si="62"/>
        <v>308</v>
      </c>
      <c r="AB312" s="20" t="str">
        <f>""</f>
        <v/>
      </c>
      <c r="AC312" s="20" t="str">
        <f>""</f>
        <v/>
      </c>
      <c r="AD312" s="20" t="str">
        <f>IF(B312="","",Events!$E17&amp;" (onset)")</f>
        <v/>
      </c>
      <c r="AE312" s="20">
        <f t="shared" si="63"/>
        <v>0</v>
      </c>
      <c r="AF312" s="20" t="str">
        <f t="shared" si="64"/>
        <v/>
      </c>
      <c r="AG312" s="20">
        <f t="shared" si="65"/>
        <v>0</v>
      </c>
      <c r="AH312" s="20" t="str">
        <f>IF(B312="","",IF(Events!$J17="LAB","Onset is laboratory-defined (CALC-SPEC 1.1, C4): lower bound = date of the last normal test ("&amp;Events!$R17&amp;"), upper bound = date of the first abnormal test ("&amp;Events!$S17&amp;"). The reviewer decides which results are normal.",""))</f>
        <v/>
      </c>
    </row>
    <row r="313" spans="1:34" x14ac:dyDescent="0.2">
      <c r="A313" s="20" t="str">
        <f t="shared" si="55"/>
        <v/>
      </c>
      <c r="B313" s="20" t="str">
        <f>IF(AND(Events!$D18&lt;&gt;"",COUNTA(Events!$J18:$Q18)&gt;0),Events!$D18&amp;"/ONSET","")</f>
        <v/>
      </c>
      <c r="C313" s="20" t="str">
        <f t="shared" si="67"/>
        <v/>
      </c>
      <c r="D313" s="20" t="str">
        <f>IF(B313="","",Events!$A18&amp;"")</f>
        <v/>
      </c>
      <c r="E313" s="20" t="str">
        <f>IF(B313="","",Events!$B18&amp;"")</f>
        <v/>
      </c>
      <c r="F313" s="20" t="str">
        <f t="shared" si="56"/>
        <v/>
      </c>
      <c r="G313" s="20" t="str">
        <f>IF(B313="","",Events!$D18&amp;"")</f>
        <v/>
      </c>
      <c r="H313" s="20" t="str">
        <f>IF(B313="","",Events!$J18&amp;"")</f>
        <v/>
      </c>
      <c r="I313" s="20" t="str">
        <f>IF(B313="","",Events!$M18&amp;"")</f>
        <v/>
      </c>
      <c r="J313" s="20" t="str">
        <f>IF(B313="","",Events!$U18&amp;"")</f>
        <v/>
      </c>
      <c r="K313" s="20">
        <f>IF(B313="",0,Events!$V18)</f>
        <v>0</v>
      </c>
      <c r="L313" s="20">
        <f>IF(B313="",0,Events!$W18)</f>
        <v>0</v>
      </c>
      <c r="M313" s="20" t="str">
        <f>IF(B313="","",Events!$Z18)</f>
        <v/>
      </c>
      <c r="N313" s="20" t="str">
        <f>IF(B313="","",Events!$AA18)</f>
        <v/>
      </c>
      <c r="O313" s="27" t="str">
        <f>IF(B313="","",Events!$X18)</f>
        <v/>
      </c>
      <c r="P313" s="27" t="str">
        <f>IF(B313="","",Events!$Y18)</f>
        <v/>
      </c>
      <c r="Q313" s="20" t="str">
        <f t="shared" si="57"/>
        <v/>
      </c>
      <c r="R313" s="20" t="str">
        <f>IF(A313="","",IF(J313&lt;&gt;"",J313,IF(H313="TIMESTAMP",DAY(INT(M313/1440))&amp;" "&amp;INDEX(nLIST_Months,MONTH(INT(M313/1440)))&amp;" "&amp;YEAR(INT(M313/1440))&amp;" "&amp;RIGHT("0"&amp;INT(MOD(M313,1440)/60),2)&amp;":"&amp;RIGHT("0"&amp;MOD(M313,60),2)&amp;IF(L313=1," (UTC"&amp;I313&amp;")"," (offset unknown)"),IF(H313="DATE",DAY(O313)&amp;" "&amp;INDEX(nLIST_Months,MONTH(O313))&amp;" "&amp;YEAR(O313),IF(H313="MONTH",INDEX(nLIST_Months,MONTH(O313))&amp;" "&amp;YEAR(O313)&amp;" ("&amp;DAY(O313)&amp;" "&amp;INDEX(nLIST_Months,MONTH(O313))&amp;" "&amp;YEAR(O313)&amp;" to "&amp;DAY(P313)&amp;" "&amp;INDEX(nLIST_Months,MONTH(P313))&amp;" "&amp;YEAR(P313)&amp;")",IF(H313="YEAR",YEAR(O313)&amp;" (1 January to 31 December)",DAY(O313)&amp;" "&amp;INDEX(nLIST_Months,MONTH(O313))&amp;" "&amp;YEAR(O313)&amp;" to "&amp;DAY(P313)&amp;" "&amp;INDEX(nLIST_Months,MONTH(P313))&amp;" "&amp;YEAR(P313)&amp;IF(H313="LAB"," (laboratory-defined)","")))))))</f>
        <v/>
      </c>
      <c r="S313" s="20" t="str">
        <f>IF(B313="","",Events!$I18&amp;"")</f>
        <v/>
      </c>
      <c r="T313" s="20" t="str">
        <f>IF(B313="","",Events!$T18&amp;"")</f>
        <v/>
      </c>
      <c r="U313" s="20" t="str">
        <f>IF(B313="","","Events row "&amp;ROW(Events!$A18)&amp;", Onset")</f>
        <v/>
      </c>
      <c r="V313" s="20">
        <f>IF(A313="",0,COUNTIF(nTP_Key,A313))</f>
        <v>0</v>
      </c>
      <c r="W313" s="20">
        <f t="shared" si="58"/>
        <v>0</v>
      </c>
      <c r="X313" s="20">
        <f t="shared" si="59"/>
        <v>0</v>
      </c>
      <c r="Y313" s="20">
        <f t="shared" si="60"/>
        <v>0</v>
      </c>
      <c r="Z313" s="20">
        <f t="shared" si="61"/>
        <v>0</v>
      </c>
      <c r="AA313" s="20">
        <f t="shared" si="62"/>
        <v>309</v>
      </c>
      <c r="AB313" s="20" t="str">
        <f>""</f>
        <v/>
      </c>
      <c r="AC313" s="20" t="str">
        <f>""</f>
        <v/>
      </c>
      <c r="AD313" s="20" t="str">
        <f>IF(B313="","",Events!$E18&amp;" (onset)")</f>
        <v/>
      </c>
      <c r="AE313" s="20">
        <f t="shared" si="63"/>
        <v>0</v>
      </c>
      <c r="AF313" s="20" t="str">
        <f t="shared" si="64"/>
        <v/>
      </c>
      <c r="AG313" s="20">
        <f t="shared" si="65"/>
        <v>0</v>
      </c>
      <c r="AH313" s="20" t="str">
        <f>IF(B313="","",IF(Events!$J18="LAB","Onset is laboratory-defined (CALC-SPEC 1.1, C4): lower bound = date of the last normal test ("&amp;Events!$R18&amp;"), upper bound = date of the first abnormal test ("&amp;Events!$S18&amp;"). The reviewer decides which results are normal.",""))</f>
        <v/>
      </c>
    </row>
    <row r="314" spans="1:34" x14ac:dyDescent="0.2">
      <c r="A314" s="20" t="str">
        <f t="shared" si="55"/>
        <v/>
      </c>
      <c r="B314" s="20" t="str">
        <f>IF(AND(Events!$D19&lt;&gt;"",COUNTA(Events!$J19:$Q19)&gt;0),Events!$D19&amp;"/ONSET","")</f>
        <v/>
      </c>
      <c r="C314" s="20" t="str">
        <f t="shared" si="67"/>
        <v/>
      </c>
      <c r="D314" s="20" t="str">
        <f>IF(B314="","",Events!$A19&amp;"")</f>
        <v/>
      </c>
      <c r="E314" s="20" t="str">
        <f>IF(B314="","",Events!$B19&amp;"")</f>
        <v/>
      </c>
      <c r="F314" s="20" t="str">
        <f t="shared" si="56"/>
        <v/>
      </c>
      <c r="G314" s="20" t="str">
        <f>IF(B314="","",Events!$D19&amp;"")</f>
        <v/>
      </c>
      <c r="H314" s="20" t="str">
        <f>IF(B314="","",Events!$J19&amp;"")</f>
        <v/>
      </c>
      <c r="I314" s="20" t="str">
        <f>IF(B314="","",Events!$M19&amp;"")</f>
        <v/>
      </c>
      <c r="J314" s="20" t="str">
        <f>IF(B314="","",Events!$U19&amp;"")</f>
        <v/>
      </c>
      <c r="K314" s="20">
        <f>IF(B314="",0,Events!$V19)</f>
        <v>0</v>
      </c>
      <c r="L314" s="20">
        <f>IF(B314="",0,Events!$W19)</f>
        <v>0</v>
      </c>
      <c r="M314" s="20" t="str">
        <f>IF(B314="","",Events!$Z19)</f>
        <v/>
      </c>
      <c r="N314" s="20" t="str">
        <f>IF(B314="","",Events!$AA19)</f>
        <v/>
      </c>
      <c r="O314" s="27" t="str">
        <f>IF(B314="","",Events!$X19)</f>
        <v/>
      </c>
      <c r="P314" s="27" t="str">
        <f>IF(B314="","",Events!$Y19)</f>
        <v/>
      </c>
      <c r="Q314" s="20" t="str">
        <f t="shared" si="57"/>
        <v/>
      </c>
      <c r="R314" s="20" t="str">
        <f>IF(A314="","",IF(J314&lt;&gt;"",J314,IF(H314="TIMESTAMP",DAY(INT(M314/1440))&amp;" "&amp;INDEX(nLIST_Months,MONTH(INT(M314/1440)))&amp;" "&amp;YEAR(INT(M314/1440))&amp;" "&amp;RIGHT("0"&amp;INT(MOD(M314,1440)/60),2)&amp;":"&amp;RIGHT("0"&amp;MOD(M314,60),2)&amp;IF(L314=1," (UTC"&amp;I314&amp;")"," (offset unknown)"),IF(H314="DATE",DAY(O314)&amp;" "&amp;INDEX(nLIST_Months,MONTH(O314))&amp;" "&amp;YEAR(O314),IF(H314="MONTH",INDEX(nLIST_Months,MONTH(O314))&amp;" "&amp;YEAR(O314)&amp;" ("&amp;DAY(O314)&amp;" "&amp;INDEX(nLIST_Months,MONTH(O314))&amp;" "&amp;YEAR(O314)&amp;" to "&amp;DAY(P314)&amp;" "&amp;INDEX(nLIST_Months,MONTH(P314))&amp;" "&amp;YEAR(P314)&amp;")",IF(H314="YEAR",YEAR(O314)&amp;" (1 January to 31 December)",DAY(O314)&amp;" "&amp;INDEX(nLIST_Months,MONTH(O314))&amp;" "&amp;YEAR(O314)&amp;" to "&amp;DAY(P314)&amp;" "&amp;INDEX(nLIST_Months,MONTH(P314))&amp;" "&amp;YEAR(P314)&amp;IF(H314="LAB"," (laboratory-defined)","")))))))</f>
        <v/>
      </c>
      <c r="S314" s="20" t="str">
        <f>IF(B314="","",Events!$I19&amp;"")</f>
        <v/>
      </c>
      <c r="T314" s="20" t="str">
        <f>IF(B314="","",Events!$T19&amp;"")</f>
        <v/>
      </c>
      <c r="U314" s="20" t="str">
        <f>IF(B314="","","Events row "&amp;ROW(Events!$A19)&amp;", Onset")</f>
        <v/>
      </c>
      <c r="V314" s="20">
        <f>IF(A314="",0,COUNTIF(nTP_Key,A314))</f>
        <v>0</v>
      </c>
      <c r="W314" s="20">
        <f t="shared" si="58"/>
        <v>0</v>
      </c>
      <c r="X314" s="20">
        <f t="shared" si="59"/>
        <v>0</v>
      </c>
      <c r="Y314" s="20">
        <f t="shared" si="60"/>
        <v>0</v>
      </c>
      <c r="Z314" s="20">
        <f t="shared" si="61"/>
        <v>0</v>
      </c>
      <c r="AA314" s="20">
        <f t="shared" si="62"/>
        <v>310</v>
      </c>
      <c r="AB314" s="20" t="str">
        <f>""</f>
        <v/>
      </c>
      <c r="AC314" s="20" t="str">
        <f>""</f>
        <v/>
      </c>
      <c r="AD314" s="20" t="str">
        <f>IF(B314="","",Events!$E19&amp;" (onset)")</f>
        <v/>
      </c>
      <c r="AE314" s="20">
        <f t="shared" si="63"/>
        <v>0</v>
      </c>
      <c r="AF314" s="20" t="str">
        <f t="shared" si="64"/>
        <v/>
      </c>
      <c r="AG314" s="20">
        <f t="shared" si="65"/>
        <v>0</v>
      </c>
      <c r="AH314" s="20" t="str">
        <f>IF(B314="","",IF(Events!$J19="LAB","Onset is laboratory-defined (CALC-SPEC 1.1, C4): lower bound = date of the last normal test ("&amp;Events!$R19&amp;"), upper bound = date of the first abnormal test ("&amp;Events!$S19&amp;"). The reviewer decides which results are normal.",""))</f>
        <v/>
      </c>
    </row>
    <row r="315" spans="1:34" x14ac:dyDescent="0.2">
      <c r="A315" s="20" t="str">
        <f t="shared" si="55"/>
        <v/>
      </c>
      <c r="B315" s="20" t="str">
        <f>IF(AND(Events!$D20&lt;&gt;"",COUNTA(Events!$J20:$Q20)&gt;0),Events!$D20&amp;"/ONSET","")</f>
        <v/>
      </c>
      <c r="C315" s="20" t="str">
        <f t="shared" si="67"/>
        <v/>
      </c>
      <c r="D315" s="20" t="str">
        <f>IF(B315="","",Events!$A20&amp;"")</f>
        <v/>
      </c>
      <c r="E315" s="20" t="str">
        <f>IF(B315="","",Events!$B20&amp;"")</f>
        <v/>
      </c>
      <c r="F315" s="20" t="str">
        <f t="shared" si="56"/>
        <v/>
      </c>
      <c r="G315" s="20" t="str">
        <f>IF(B315="","",Events!$D20&amp;"")</f>
        <v/>
      </c>
      <c r="H315" s="20" t="str">
        <f>IF(B315="","",Events!$J20&amp;"")</f>
        <v/>
      </c>
      <c r="I315" s="20" t="str">
        <f>IF(B315="","",Events!$M20&amp;"")</f>
        <v/>
      </c>
      <c r="J315" s="20" t="str">
        <f>IF(B315="","",Events!$U20&amp;"")</f>
        <v/>
      </c>
      <c r="K315" s="20">
        <f>IF(B315="",0,Events!$V20)</f>
        <v>0</v>
      </c>
      <c r="L315" s="20">
        <f>IF(B315="",0,Events!$W20)</f>
        <v>0</v>
      </c>
      <c r="M315" s="20" t="str">
        <f>IF(B315="","",Events!$Z20)</f>
        <v/>
      </c>
      <c r="N315" s="20" t="str">
        <f>IF(B315="","",Events!$AA20)</f>
        <v/>
      </c>
      <c r="O315" s="27" t="str">
        <f>IF(B315="","",Events!$X20)</f>
        <v/>
      </c>
      <c r="P315" s="27" t="str">
        <f>IF(B315="","",Events!$Y20)</f>
        <v/>
      </c>
      <c r="Q315" s="20" t="str">
        <f t="shared" si="57"/>
        <v/>
      </c>
      <c r="R315" s="20" t="str">
        <f>IF(A315="","",IF(J315&lt;&gt;"",J315,IF(H315="TIMESTAMP",DAY(INT(M315/1440))&amp;" "&amp;INDEX(nLIST_Months,MONTH(INT(M315/1440)))&amp;" "&amp;YEAR(INT(M315/1440))&amp;" "&amp;RIGHT("0"&amp;INT(MOD(M315,1440)/60),2)&amp;":"&amp;RIGHT("0"&amp;MOD(M315,60),2)&amp;IF(L315=1," (UTC"&amp;I315&amp;")"," (offset unknown)"),IF(H315="DATE",DAY(O315)&amp;" "&amp;INDEX(nLIST_Months,MONTH(O315))&amp;" "&amp;YEAR(O315),IF(H315="MONTH",INDEX(nLIST_Months,MONTH(O315))&amp;" "&amp;YEAR(O315)&amp;" ("&amp;DAY(O315)&amp;" "&amp;INDEX(nLIST_Months,MONTH(O315))&amp;" "&amp;YEAR(O315)&amp;" to "&amp;DAY(P315)&amp;" "&amp;INDEX(nLIST_Months,MONTH(P315))&amp;" "&amp;YEAR(P315)&amp;")",IF(H315="YEAR",YEAR(O315)&amp;" (1 January to 31 December)",DAY(O315)&amp;" "&amp;INDEX(nLIST_Months,MONTH(O315))&amp;" "&amp;YEAR(O315)&amp;" to "&amp;DAY(P315)&amp;" "&amp;INDEX(nLIST_Months,MONTH(P315))&amp;" "&amp;YEAR(P315)&amp;IF(H315="LAB"," (laboratory-defined)","")))))))</f>
        <v/>
      </c>
      <c r="S315" s="20" t="str">
        <f>IF(B315="","",Events!$I20&amp;"")</f>
        <v/>
      </c>
      <c r="T315" s="20" t="str">
        <f>IF(B315="","",Events!$T20&amp;"")</f>
        <v/>
      </c>
      <c r="U315" s="20" t="str">
        <f>IF(B315="","","Events row "&amp;ROW(Events!$A20)&amp;", Onset")</f>
        <v/>
      </c>
      <c r="V315" s="20">
        <f>IF(A315="",0,COUNTIF(nTP_Key,A315))</f>
        <v>0</v>
      </c>
      <c r="W315" s="20">
        <f t="shared" si="58"/>
        <v>0</v>
      </c>
      <c r="X315" s="20">
        <f t="shared" si="59"/>
        <v>0</v>
      </c>
      <c r="Y315" s="20">
        <f t="shared" si="60"/>
        <v>0</v>
      </c>
      <c r="Z315" s="20">
        <f t="shared" si="61"/>
        <v>0</v>
      </c>
      <c r="AA315" s="20">
        <f t="shared" si="62"/>
        <v>311</v>
      </c>
      <c r="AB315" s="20" t="str">
        <f>""</f>
        <v/>
      </c>
      <c r="AC315" s="20" t="str">
        <f>""</f>
        <v/>
      </c>
      <c r="AD315" s="20" t="str">
        <f>IF(B315="","",Events!$E20&amp;" (onset)")</f>
        <v/>
      </c>
      <c r="AE315" s="20">
        <f t="shared" si="63"/>
        <v>0</v>
      </c>
      <c r="AF315" s="20" t="str">
        <f t="shared" si="64"/>
        <v/>
      </c>
      <c r="AG315" s="20">
        <f t="shared" si="65"/>
        <v>0</v>
      </c>
      <c r="AH315" s="20" t="str">
        <f>IF(B315="","",IF(Events!$J20="LAB","Onset is laboratory-defined (CALC-SPEC 1.1, C4): lower bound = date of the last normal test ("&amp;Events!$R20&amp;"), upper bound = date of the first abnormal test ("&amp;Events!$S20&amp;"). The reviewer decides which results are normal.",""))</f>
        <v/>
      </c>
    </row>
    <row r="316" spans="1:34" x14ac:dyDescent="0.2">
      <c r="A316" s="20" t="str">
        <f t="shared" si="55"/>
        <v>EX-C01|2|EV-1/ONSET</v>
      </c>
      <c r="B316" s="20" t="str">
        <f>IF(AND(Events!$D21&lt;&gt;"",COUNTA(Events!$J21:$Q21)&gt;0),Events!$D21&amp;"/ONSET","")</f>
        <v>EV-1/ONSET</v>
      </c>
      <c r="C316" s="20" t="str">
        <f t="shared" si="67"/>
        <v>EVENT_ONSET</v>
      </c>
      <c r="D316" s="20" t="str">
        <f>IF(B316="","",Events!$A21&amp;"")</f>
        <v>EX-C01</v>
      </c>
      <c r="E316" s="20" t="str">
        <f>IF(B316="","",Events!$B21&amp;"")</f>
        <v>2</v>
      </c>
      <c r="F316" s="20" t="str">
        <f t="shared" si="56"/>
        <v>EX-C01|2</v>
      </c>
      <c r="G316" s="20" t="str">
        <f>IF(B316="","",Events!$D21&amp;"")</f>
        <v>EV-1</v>
      </c>
      <c r="H316" s="20" t="str">
        <f>IF(B316="","",Events!$J21&amp;"")</f>
        <v>TIMESTAMP</v>
      </c>
      <c r="I316" s="20" t="str">
        <f>IF(B316="","",Events!$M21&amp;"")</f>
        <v>-05:00</v>
      </c>
      <c r="J316" s="20" t="str">
        <f>IF(B316="","",Events!$U21&amp;"")</f>
        <v/>
      </c>
      <c r="K316" s="20">
        <f>IF(B316="",0,Events!$V21)</f>
        <v>1</v>
      </c>
      <c r="L316" s="20">
        <f>IF(B316="",0,Events!$W21)</f>
        <v>1</v>
      </c>
      <c r="M316" s="20">
        <f>IF(B316="","",Events!$Z21)</f>
        <v>66286635</v>
      </c>
      <c r="N316" s="20">
        <f>IF(B316="","",Events!$AA21)</f>
        <v>66286935</v>
      </c>
      <c r="O316" s="27">
        <f>IF(B316="","",Events!$X21)</f>
        <v>46032</v>
      </c>
      <c r="P316" s="27">
        <f>IF(B316="","",Events!$Y21)</f>
        <v>46032</v>
      </c>
      <c r="Q316" s="20" t="str">
        <f t="shared" si="57"/>
        <v>2026-01-10T09:15-05:00</v>
      </c>
      <c r="R316" s="20" t="str">
        <f>IF(A316="","",IF(J316&lt;&gt;"",J316,IF(H316="TIMESTAMP",DAY(INT(M316/1440))&amp;" "&amp;INDEX(nLIST_Months,MONTH(INT(M316/1440)))&amp;" "&amp;YEAR(INT(M316/1440))&amp;" "&amp;RIGHT("0"&amp;INT(MOD(M316,1440)/60),2)&amp;":"&amp;RIGHT("0"&amp;MOD(M316,60),2)&amp;IF(L316=1," (UTC"&amp;I316&amp;")"," (offset unknown)"),IF(H316="DATE",DAY(O316)&amp;" "&amp;INDEX(nLIST_Months,MONTH(O316))&amp;" "&amp;YEAR(O316),IF(H316="MONTH",INDEX(nLIST_Months,MONTH(O316))&amp;" "&amp;YEAR(O316)&amp;" ("&amp;DAY(O316)&amp;" "&amp;INDEX(nLIST_Months,MONTH(O316))&amp;" "&amp;YEAR(O316)&amp;" to "&amp;DAY(P316)&amp;" "&amp;INDEX(nLIST_Months,MONTH(P316))&amp;" "&amp;YEAR(P316)&amp;")",IF(H316="YEAR",YEAR(O316)&amp;" (1 January to 31 December)",DAY(O316)&amp;" "&amp;INDEX(nLIST_Months,MONTH(O316))&amp;" "&amp;YEAR(O316)&amp;" to "&amp;DAY(P316)&amp;" "&amp;INDEX(nLIST_Months,MONTH(P316))&amp;" "&amp;YEAR(P316)&amp;IF(H316="LAB"," (laboratory-defined)","")))))))</f>
        <v>10 January 2026 09:15 (UTC-05:00)</v>
      </c>
      <c r="S316" s="20" t="str">
        <f>IF(B316="","",Events!$I21&amp;"")</f>
        <v>09:15 pt reports itching; urticaria chest and arms; audible wheeze; BP 84/52</v>
      </c>
      <c r="T316" s="20" t="str">
        <f>IF(B316="","",Events!$T21&amp;"")</f>
        <v>Nursing observation chart</v>
      </c>
      <c r="U316" s="20" t="str">
        <f>IF(B316="","","Events row "&amp;ROW(Events!$A21)&amp;", Onset")</f>
        <v>Events row 21, Onset</v>
      </c>
      <c r="V316" s="20">
        <f>IF(A316="",0,COUNTIF(nTP_Key,A316))</f>
        <v>1</v>
      </c>
      <c r="W316" s="20">
        <f t="shared" si="58"/>
        <v>66286635</v>
      </c>
      <c r="X316" s="20">
        <f t="shared" si="59"/>
        <v>66286935</v>
      </c>
      <c r="Y316" s="20">
        <f t="shared" si="60"/>
        <v>46032</v>
      </c>
      <c r="Z316" s="20">
        <f t="shared" si="61"/>
        <v>46032</v>
      </c>
      <c r="AA316" s="20">
        <f t="shared" si="62"/>
        <v>312</v>
      </c>
      <c r="AB316" s="20" t="str">
        <f>""</f>
        <v/>
      </c>
      <c r="AC316" s="20" t="str">
        <f>""</f>
        <v/>
      </c>
      <c r="AD316" s="20" t="str">
        <f>IF(B316="","",Events!$E21&amp;" (onset)")</f>
        <v>Urticaria, wheeze and hypotension (acute infusion-associated reaction) (onset)</v>
      </c>
      <c r="AE316" s="20">
        <f t="shared" si="63"/>
        <v>0</v>
      </c>
      <c r="AF316" s="20" t="str">
        <f t="shared" si="64"/>
        <v/>
      </c>
      <c r="AG316" s="20">
        <f t="shared" si="65"/>
        <v>1</v>
      </c>
      <c r="AH316" s="20" t="str">
        <f>IF(B316="","",IF(Events!$J21="LAB","Onset is laboratory-defined (CALC-SPEC 1.1, C4): lower bound = date of the last normal test ("&amp;Events!$R21&amp;"), upper bound = date of the first abnormal test ("&amp;Events!$S21&amp;"). The reviewer decides which results are normal.",""))</f>
        <v/>
      </c>
    </row>
    <row r="317" spans="1:34" x14ac:dyDescent="0.2">
      <c r="A317" s="20" t="str">
        <f t="shared" si="55"/>
        <v>EX-C04|2|EV-1/ONSET</v>
      </c>
      <c r="B317" s="20" t="str">
        <f>IF(AND(Events!$D22&lt;&gt;"",COUNTA(Events!$J22:$Q22)&gt;0),Events!$D22&amp;"/ONSET","")</f>
        <v>EV-1/ONSET</v>
      </c>
      <c r="C317" s="20" t="str">
        <f t="shared" si="67"/>
        <v>EVENT_ONSET</v>
      </c>
      <c r="D317" s="20" t="str">
        <f>IF(B317="","",Events!$A22&amp;"")</f>
        <v>EX-C04</v>
      </c>
      <c r="E317" s="20" t="str">
        <f>IF(B317="","",Events!$B22&amp;"")</f>
        <v>2</v>
      </c>
      <c r="F317" s="20" t="str">
        <f t="shared" si="56"/>
        <v>EX-C04|2</v>
      </c>
      <c r="G317" s="20" t="str">
        <f>IF(B317="","",Events!$D22&amp;"")</f>
        <v>EV-1</v>
      </c>
      <c r="H317" s="20" t="str">
        <f>IF(B317="","",Events!$J22&amp;"")</f>
        <v>DATE</v>
      </c>
      <c r="I317" s="20" t="str">
        <f>IF(B317="","",Events!$M22&amp;"")</f>
        <v/>
      </c>
      <c r="J317" s="20" t="str">
        <f>IF(B317="","",Events!$U22&amp;"")</f>
        <v/>
      </c>
      <c r="K317" s="20">
        <f>IF(B317="",0,Events!$V22)</f>
        <v>0</v>
      </c>
      <c r="L317" s="20">
        <f>IF(B317="",0,Events!$W22)</f>
        <v>0</v>
      </c>
      <c r="M317" s="20" t="str">
        <f>IF(B317="","",Events!$Z22)</f>
        <v/>
      </c>
      <c r="N317" s="20" t="str">
        <f>IF(B317="","",Events!$AA22)</f>
        <v/>
      </c>
      <c r="O317" s="27">
        <f>IF(B317="","",Events!$X22)</f>
        <v>46208</v>
      </c>
      <c r="P317" s="27">
        <f>IF(B317="","",Events!$Y22)</f>
        <v>46208</v>
      </c>
      <c r="Q317" s="20" t="str">
        <f t="shared" si="57"/>
        <v>2026-07-05</v>
      </c>
      <c r="R317" s="20" t="str">
        <f>IF(A317="","",IF(J317&lt;&gt;"",J317,IF(H317="TIMESTAMP",DAY(INT(M317/1440))&amp;" "&amp;INDEX(nLIST_Months,MONTH(INT(M317/1440)))&amp;" "&amp;YEAR(INT(M317/1440))&amp;" "&amp;RIGHT("0"&amp;INT(MOD(M317,1440)/60),2)&amp;":"&amp;RIGHT("0"&amp;MOD(M317,60),2)&amp;IF(L317=1," (UTC"&amp;I317&amp;")"," (offset unknown)"),IF(H317="DATE",DAY(O317)&amp;" "&amp;INDEX(nLIST_Months,MONTH(O317))&amp;" "&amp;YEAR(O317),IF(H317="MONTH",INDEX(nLIST_Months,MONTH(O317))&amp;" "&amp;YEAR(O317)&amp;" ("&amp;DAY(O317)&amp;" "&amp;INDEX(nLIST_Months,MONTH(O317))&amp;" "&amp;YEAR(O317)&amp;" to "&amp;DAY(P317)&amp;" "&amp;INDEX(nLIST_Months,MONTH(P317))&amp;" "&amp;YEAR(P317)&amp;")",IF(H317="YEAR",YEAR(O317)&amp;" (1 January to 31 December)",DAY(O317)&amp;" "&amp;INDEX(nLIST_Months,MONTH(O317))&amp;" "&amp;YEAR(O317)&amp;" to "&amp;DAY(P317)&amp;" "&amp;INDEX(nLIST_Months,MONTH(P317))&amp;" "&amp;YEAR(P317)&amp;IF(H317="LAB"," (laboratory-defined)","")))))))</f>
        <v>5 July 2026</v>
      </c>
      <c r="S317" s="20" t="str">
        <f>IF(B317="","",Events!$I22&amp;"")</f>
        <v>Nausea since this morning, dizzy, pulse 38</v>
      </c>
      <c r="T317" s="20" t="str">
        <f>IF(B317="","",Events!$T22&amp;"")</f>
        <v>Emergency department note</v>
      </c>
      <c r="U317" s="20" t="str">
        <f>IF(B317="","","Events row "&amp;ROW(Events!$A22)&amp;", Onset")</f>
        <v>Events row 22, Onset</v>
      </c>
      <c r="V317" s="20">
        <f>IF(A317="",0,COUNTIF(nTP_Key,A317))</f>
        <v>1</v>
      </c>
      <c r="W317" s="20">
        <f t="shared" si="58"/>
        <v>0</v>
      </c>
      <c r="X317" s="20">
        <f t="shared" si="59"/>
        <v>0</v>
      </c>
      <c r="Y317" s="20">
        <f t="shared" si="60"/>
        <v>46208</v>
      </c>
      <c r="Z317" s="20">
        <f t="shared" si="61"/>
        <v>46208</v>
      </c>
      <c r="AA317" s="20">
        <f t="shared" si="62"/>
        <v>313</v>
      </c>
      <c r="AB317" s="20" t="str">
        <f>""</f>
        <v/>
      </c>
      <c r="AC317" s="20" t="str">
        <f>""</f>
        <v/>
      </c>
      <c r="AD317" s="20" t="str">
        <f>IF(B317="","",Events!$E22&amp;" (onset)")</f>
        <v>Nausea and symptomatic bradycardia (onset)</v>
      </c>
      <c r="AE317" s="20">
        <f t="shared" si="63"/>
        <v>0</v>
      </c>
      <c r="AF317" s="20" t="str">
        <f t="shared" si="64"/>
        <v/>
      </c>
      <c r="AG317" s="20">
        <f t="shared" si="65"/>
        <v>1</v>
      </c>
      <c r="AH317" s="20" t="str">
        <f>IF(B317="","",IF(Events!$J22="LAB","Onset is laboratory-defined (CALC-SPEC 1.1, C4): lower bound = date of the last normal test ("&amp;Events!$R22&amp;"), upper bound = date of the first abnormal test ("&amp;Events!$S22&amp;"). The reviewer decides which results are normal.",""))</f>
        <v/>
      </c>
    </row>
    <row r="318" spans="1:34" x14ac:dyDescent="0.2">
      <c r="A318" s="20" t="str">
        <f t="shared" si="55"/>
        <v>EX-C28|2|EV-HBV/ONSET</v>
      </c>
      <c r="B318" s="20" t="str">
        <f>IF(AND(Events!$D23&lt;&gt;"",COUNTA(Events!$J23:$Q23)&gt;0),Events!$D23&amp;"/ONSET","")</f>
        <v>EV-HBV/ONSET</v>
      </c>
      <c r="C318" s="20" t="str">
        <f t="shared" si="67"/>
        <v>EVENT_ONSET</v>
      </c>
      <c r="D318" s="20" t="str">
        <f>IF(B318="","",Events!$A23&amp;"")</f>
        <v>EX-C28</v>
      </c>
      <c r="E318" s="20" t="str">
        <f>IF(B318="","",Events!$B23&amp;"")</f>
        <v>2</v>
      </c>
      <c r="F318" s="20" t="str">
        <f t="shared" si="56"/>
        <v>EX-C28|2</v>
      </c>
      <c r="G318" s="20" t="str">
        <f>IF(B318="","",Events!$D23&amp;"")</f>
        <v>EV-HBV</v>
      </c>
      <c r="H318" s="20" t="str">
        <f>IF(B318="","",Events!$J23&amp;"")</f>
        <v>LAB</v>
      </c>
      <c r="I318" s="20" t="str">
        <f>IF(B318="","",Events!$M23&amp;"")</f>
        <v/>
      </c>
      <c r="J318" s="20" t="str">
        <f>IF(B318="","",Events!$U23&amp;"")</f>
        <v/>
      </c>
      <c r="K318" s="20">
        <f>IF(B318="",0,Events!$V23)</f>
        <v>0</v>
      </c>
      <c r="L318" s="20">
        <f>IF(B318="",0,Events!$W23)</f>
        <v>0</v>
      </c>
      <c r="M318" s="20" t="str">
        <f>IF(B318="","",Events!$Z23)</f>
        <v/>
      </c>
      <c r="N318" s="20" t="str">
        <f>IF(B318="","",Events!$AA23)</f>
        <v/>
      </c>
      <c r="O318" s="27">
        <f>IF(B318="","",Events!$X23)</f>
        <v>46062</v>
      </c>
      <c r="P318" s="27">
        <f>IF(B318="","",Events!$Y23)</f>
        <v>46154</v>
      </c>
      <c r="Q318" s="20" t="str">
        <f t="shared" si="57"/>
        <v>2026-02-09/2026-05-12</v>
      </c>
      <c r="R318" s="20" t="str">
        <f>IF(A318="","",IF(J318&lt;&gt;"",J318,IF(H318="TIMESTAMP",DAY(INT(M318/1440))&amp;" "&amp;INDEX(nLIST_Months,MONTH(INT(M318/1440)))&amp;" "&amp;YEAR(INT(M318/1440))&amp;" "&amp;RIGHT("0"&amp;INT(MOD(M318,1440)/60),2)&amp;":"&amp;RIGHT("0"&amp;MOD(M318,60),2)&amp;IF(L318=1," (UTC"&amp;I318&amp;")"," (offset unknown)"),IF(H318="DATE",DAY(O318)&amp;" "&amp;INDEX(nLIST_Months,MONTH(O318))&amp;" "&amp;YEAR(O318),IF(H318="MONTH",INDEX(nLIST_Months,MONTH(O318))&amp;" "&amp;YEAR(O318)&amp;" ("&amp;DAY(O318)&amp;" "&amp;INDEX(nLIST_Months,MONTH(O318))&amp;" "&amp;YEAR(O318)&amp;" to "&amp;DAY(P318)&amp;" "&amp;INDEX(nLIST_Months,MONTH(P318))&amp;" "&amp;YEAR(P318)&amp;")",IF(H318="YEAR",YEAR(O318)&amp;" (1 January to 31 December)",DAY(O318)&amp;" "&amp;INDEX(nLIST_Months,MONTH(O318))&amp;" "&amp;YEAR(O318)&amp;" to "&amp;DAY(P318)&amp;" "&amp;INDEX(nLIST_Months,MONTH(P318))&amp;" "&amp;YEAR(P318)&amp;IF(H318="LAB"," (laboratory-defined)","")))))))</f>
        <v>9 February 2026 to 12 May 2026 (laboratory-defined)</v>
      </c>
      <c r="S318" s="20" t="str">
        <f>IF(B318="","",Events!$I23&amp;"")</f>
        <v>Between the last undetectable HBV DNA (9 February 2026) and the first positive result (12 May 2026)</v>
      </c>
      <c r="T318" s="20" t="str">
        <f>IF(B318="","",Events!$T23&amp;"")</f>
        <v>Laboratory-defined onset (CALC-SPEC 1.1 C4): test records M-HBV3 (last normal) and M-HBV4 (first abnormal)</v>
      </c>
      <c r="U318" s="20" t="str">
        <f>IF(B318="","","Events row "&amp;ROW(Events!$A23)&amp;", Onset")</f>
        <v>Events row 23, Onset</v>
      </c>
      <c r="V318" s="20">
        <f>IF(A318="",0,COUNTIF(nTP_Key,A318))</f>
        <v>1</v>
      </c>
      <c r="W318" s="20">
        <f t="shared" si="58"/>
        <v>0</v>
      </c>
      <c r="X318" s="20">
        <f t="shared" si="59"/>
        <v>0</v>
      </c>
      <c r="Y318" s="20">
        <f t="shared" si="60"/>
        <v>46062</v>
      </c>
      <c r="Z318" s="20">
        <f t="shared" si="61"/>
        <v>46154</v>
      </c>
      <c r="AA318" s="20">
        <f t="shared" si="62"/>
        <v>314</v>
      </c>
      <c r="AB318" s="20" t="str">
        <f>""</f>
        <v/>
      </c>
      <c r="AC318" s="20" t="str">
        <f>""</f>
        <v/>
      </c>
      <c r="AD318" s="20" t="str">
        <f>IF(B318="","",Events!$E23&amp;" (onset)")</f>
        <v>Hepatitis B virus reactivation (onset)</v>
      </c>
      <c r="AE318" s="20">
        <f t="shared" si="63"/>
        <v>0</v>
      </c>
      <c r="AF318" s="20" t="str">
        <f t="shared" si="64"/>
        <v/>
      </c>
      <c r="AG318" s="20">
        <f t="shared" si="65"/>
        <v>0</v>
      </c>
      <c r="AH318" s="20" t="str">
        <f>IF(B318="","",IF(Events!$J23="LAB","Onset is laboratory-defined (CALC-SPEC 1.1, C4): lower bound = date of the last normal test ("&amp;Events!$R23&amp;"), upper bound = date of the first abnormal test ("&amp;Events!$S23&amp;"). The reviewer decides which results are normal.",""))</f>
        <v>Onset is laboratory-defined (CALC-SPEC 1.1, C4): lower bound = date of the last normal test (M-HBV3), upper bound = date of the first abnormal test (M-HBV4). The reviewer decides which results are normal.</v>
      </c>
    </row>
    <row r="319" spans="1:34" x14ac:dyDescent="0.2">
      <c r="A319" s="20" t="str">
        <f t="shared" si="55"/>
        <v/>
      </c>
      <c r="B319" s="20" t="str">
        <f>IF(AND(Events!$D24&lt;&gt;"",COUNTA(Events!$J24:$Q24)&gt;0),Events!$D24&amp;"/ONSET","")</f>
        <v/>
      </c>
      <c r="C319" s="20" t="str">
        <f t="shared" si="67"/>
        <v/>
      </c>
      <c r="D319" s="20" t="str">
        <f>IF(B319="","",Events!$A24&amp;"")</f>
        <v/>
      </c>
      <c r="E319" s="20" t="str">
        <f>IF(B319="","",Events!$B24&amp;"")</f>
        <v/>
      </c>
      <c r="F319" s="20" t="str">
        <f t="shared" si="56"/>
        <v/>
      </c>
      <c r="G319" s="20" t="str">
        <f>IF(B319="","",Events!$D24&amp;"")</f>
        <v/>
      </c>
      <c r="H319" s="20" t="str">
        <f>IF(B319="","",Events!$J24&amp;"")</f>
        <v/>
      </c>
      <c r="I319" s="20" t="str">
        <f>IF(B319="","",Events!$M24&amp;"")</f>
        <v/>
      </c>
      <c r="J319" s="20" t="str">
        <f>IF(B319="","",Events!$U24&amp;"")</f>
        <v/>
      </c>
      <c r="K319" s="20">
        <f>IF(B319="",0,Events!$V24)</f>
        <v>0</v>
      </c>
      <c r="L319" s="20">
        <f>IF(B319="",0,Events!$W24)</f>
        <v>0</v>
      </c>
      <c r="M319" s="20" t="str">
        <f>IF(B319="","",Events!$Z24)</f>
        <v/>
      </c>
      <c r="N319" s="20" t="str">
        <f>IF(B319="","",Events!$AA24)</f>
        <v/>
      </c>
      <c r="O319" s="27" t="str">
        <f>IF(B319="","",Events!$X24)</f>
        <v/>
      </c>
      <c r="P319" s="27" t="str">
        <f>IF(B319="","",Events!$Y24)</f>
        <v/>
      </c>
      <c r="Q319" s="20" t="str">
        <f t="shared" si="57"/>
        <v/>
      </c>
      <c r="R319" s="20" t="str">
        <f>IF(A319="","",IF(J319&lt;&gt;"",J319,IF(H319="TIMESTAMP",DAY(INT(M319/1440))&amp;" "&amp;INDEX(nLIST_Months,MONTH(INT(M319/1440)))&amp;" "&amp;YEAR(INT(M319/1440))&amp;" "&amp;RIGHT("0"&amp;INT(MOD(M319,1440)/60),2)&amp;":"&amp;RIGHT("0"&amp;MOD(M319,60),2)&amp;IF(L319=1," (UTC"&amp;I319&amp;")"," (offset unknown)"),IF(H319="DATE",DAY(O319)&amp;" "&amp;INDEX(nLIST_Months,MONTH(O319))&amp;" "&amp;YEAR(O319),IF(H319="MONTH",INDEX(nLIST_Months,MONTH(O319))&amp;" "&amp;YEAR(O319)&amp;" ("&amp;DAY(O319)&amp;" "&amp;INDEX(nLIST_Months,MONTH(O319))&amp;" "&amp;YEAR(O319)&amp;" to "&amp;DAY(P319)&amp;" "&amp;INDEX(nLIST_Months,MONTH(P319))&amp;" "&amp;YEAR(P319)&amp;")",IF(H319="YEAR",YEAR(O319)&amp;" (1 January to 31 December)",DAY(O319)&amp;" "&amp;INDEX(nLIST_Months,MONTH(O319))&amp;" "&amp;YEAR(O319)&amp;" to "&amp;DAY(P319)&amp;" "&amp;INDEX(nLIST_Months,MONTH(P319))&amp;" "&amp;YEAR(P319)&amp;IF(H319="LAB"," (laboratory-defined)","")))))))</f>
        <v/>
      </c>
      <c r="S319" s="20" t="str">
        <f>IF(B319="","",Events!$I24&amp;"")</f>
        <v/>
      </c>
      <c r="T319" s="20" t="str">
        <f>IF(B319="","",Events!$T24&amp;"")</f>
        <v/>
      </c>
      <c r="U319" s="20" t="str">
        <f>IF(B319="","","Events row "&amp;ROW(Events!$A24)&amp;", Onset")</f>
        <v/>
      </c>
      <c r="V319" s="20">
        <f>IF(A319="",0,COUNTIF(nTP_Key,A319))</f>
        <v>0</v>
      </c>
      <c r="W319" s="20">
        <f t="shared" si="58"/>
        <v>0</v>
      </c>
      <c r="X319" s="20">
        <f t="shared" si="59"/>
        <v>0</v>
      </c>
      <c r="Y319" s="20">
        <f t="shared" si="60"/>
        <v>0</v>
      </c>
      <c r="Z319" s="20">
        <f t="shared" si="61"/>
        <v>0</v>
      </c>
      <c r="AA319" s="20">
        <f t="shared" si="62"/>
        <v>315</v>
      </c>
      <c r="AB319" s="20" t="str">
        <f>""</f>
        <v/>
      </c>
      <c r="AC319" s="20" t="str">
        <f>""</f>
        <v/>
      </c>
      <c r="AD319" s="20" t="str">
        <f>IF(B319="","",Events!$E24&amp;" (onset)")</f>
        <v/>
      </c>
      <c r="AE319" s="20">
        <f t="shared" si="63"/>
        <v>0</v>
      </c>
      <c r="AF319" s="20" t="str">
        <f t="shared" si="64"/>
        <v/>
      </c>
      <c r="AG319" s="20">
        <f t="shared" si="65"/>
        <v>0</v>
      </c>
      <c r="AH319" s="20" t="str">
        <f>IF(B319="","",IF(Events!$J24="LAB","Onset is laboratory-defined (CALC-SPEC 1.1, C4): lower bound = date of the last normal test ("&amp;Events!$R24&amp;"), upper bound = date of the first abnormal test ("&amp;Events!$S24&amp;"). The reviewer decides which results are normal.",""))</f>
        <v/>
      </c>
    </row>
    <row r="320" spans="1:34" x14ac:dyDescent="0.2">
      <c r="A320" s="20" t="str">
        <f t="shared" si="55"/>
        <v>VEC-V01|1|EV1/ONSET</v>
      </c>
      <c r="B320" s="20" t="str">
        <f>IF(AND(Events!$D25&lt;&gt;"",COUNTA(Events!$J25:$Q25)&gt;0),Events!$D25&amp;"/ONSET","")</f>
        <v>EV1/ONSET</v>
      </c>
      <c r="C320" s="20" t="str">
        <f t="shared" si="67"/>
        <v>EVENT_ONSET</v>
      </c>
      <c r="D320" s="20" t="str">
        <f>IF(B320="","",Events!$A25&amp;"")</f>
        <v>VEC-V01</v>
      </c>
      <c r="E320" s="20" t="str">
        <f>IF(B320="","",Events!$B25&amp;"")</f>
        <v>1</v>
      </c>
      <c r="F320" s="20" t="str">
        <f t="shared" si="56"/>
        <v>VEC-V01|1</v>
      </c>
      <c r="G320" s="20" t="str">
        <f>IF(B320="","",Events!$D25&amp;"")</f>
        <v>EV1</v>
      </c>
      <c r="H320" s="20" t="str">
        <f>IF(B320="","",Events!$J25&amp;"")</f>
        <v>TIMESTAMP</v>
      </c>
      <c r="I320" s="20" t="str">
        <f>IF(B320="","",Events!$M25&amp;"")</f>
        <v>-05:00</v>
      </c>
      <c r="J320" s="20" t="str">
        <f>IF(B320="","",Events!$U25&amp;"")</f>
        <v/>
      </c>
      <c r="K320" s="20">
        <f>IF(B320="",0,Events!$V25)</f>
        <v>1</v>
      </c>
      <c r="L320" s="20">
        <f>IF(B320="",0,Events!$W25)</f>
        <v>1</v>
      </c>
      <c r="M320" s="20">
        <f>IF(B320="","",Events!$Z25)</f>
        <v>66286635</v>
      </c>
      <c r="N320" s="20">
        <f>IF(B320="","",Events!$AA25)</f>
        <v>66286935</v>
      </c>
      <c r="O320" s="27">
        <f>IF(B320="","",Events!$X25)</f>
        <v>46032</v>
      </c>
      <c r="P320" s="27">
        <f>IF(B320="","",Events!$Y25)</f>
        <v>46032</v>
      </c>
      <c r="Q320" s="20" t="str">
        <f t="shared" si="57"/>
        <v>2026-01-10T09:15-05:00</v>
      </c>
      <c r="R320" s="20" t="str">
        <f>IF(A320="","",IF(J320&lt;&gt;"",J320,IF(H320="TIMESTAMP",DAY(INT(M320/1440))&amp;" "&amp;INDEX(nLIST_Months,MONTH(INT(M320/1440)))&amp;" "&amp;YEAR(INT(M320/1440))&amp;" "&amp;RIGHT("0"&amp;INT(MOD(M320,1440)/60),2)&amp;":"&amp;RIGHT("0"&amp;MOD(M320,60),2)&amp;IF(L320=1," (UTC"&amp;I320&amp;")"," (offset unknown)"),IF(H320="DATE",DAY(O320)&amp;" "&amp;INDEX(nLIST_Months,MONTH(O320))&amp;" "&amp;YEAR(O320),IF(H320="MONTH",INDEX(nLIST_Months,MONTH(O320))&amp;" "&amp;YEAR(O320)&amp;" ("&amp;DAY(O320)&amp;" "&amp;INDEX(nLIST_Months,MONTH(O320))&amp;" "&amp;YEAR(O320)&amp;" to "&amp;DAY(P320)&amp;" "&amp;INDEX(nLIST_Months,MONTH(P320))&amp;" "&amp;YEAR(P320)&amp;")",IF(H320="YEAR",YEAR(O320)&amp;" (1 January to 31 December)",DAY(O320)&amp;" "&amp;INDEX(nLIST_Months,MONTH(O320))&amp;" "&amp;YEAR(O320)&amp;" to "&amp;DAY(P320)&amp;" "&amp;INDEX(nLIST_Months,MONTH(P320))&amp;" "&amp;YEAR(P320)&amp;IF(H320="LAB"," (laboratory-defined)","")))))))</f>
        <v>10 January 2026 09:15 (UTC-05:00)</v>
      </c>
      <c r="S320" s="20" t="str">
        <f>IF(B320="","",Events!$I25&amp;"")</f>
        <v>2026-01-10T09:15-05:00</v>
      </c>
      <c r="T320" s="20" t="str">
        <f>IF(B320="","",Events!$T25&amp;"")</f>
        <v>tto_calc_test_vectors_v1.1.json V01</v>
      </c>
      <c r="U320" s="20" t="str">
        <f>IF(B320="","","Events row "&amp;ROW(Events!$A25)&amp;", Onset")</f>
        <v>Events row 25, Onset</v>
      </c>
      <c r="V320" s="20">
        <f>IF(A320="",0,COUNTIF(nTP_Key,A320))</f>
        <v>1</v>
      </c>
      <c r="W320" s="20">
        <f t="shared" si="58"/>
        <v>66286635</v>
      </c>
      <c r="X320" s="20">
        <f t="shared" si="59"/>
        <v>66286935</v>
      </c>
      <c r="Y320" s="20">
        <f t="shared" si="60"/>
        <v>46032</v>
      </c>
      <c r="Z320" s="20">
        <f t="shared" si="61"/>
        <v>46032</v>
      </c>
      <c r="AA320" s="20">
        <f t="shared" si="62"/>
        <v>316</v>
      </c>
      <c r="AB320" s="20" t="str">
        <f>""</f>
        <v/>
      </c>
      <c r="AC320" s="20" t="str">
        <f>""</f>
        <v/>
      </c>
      <c r="AD320" s="20" t="str">
        <f>IF(B320="","",Events!$E25&amp;" (onset)")</f>
        <v>Vector event (onset)</v>
      </c>
      <c r="AE320" s="20">
        <f t="shared" si="63"/>
        <v>0</v>
      </c>
      <c r="AF320" s="20" t="str">
        <f t="shared" si="64"/>
        <v/>
      </c>
      <c r="AG320" s="20">
        <f t="shared" si="65"/>
        <v>1</v>
      </c>
      <c r="AH320" s="20" t="str">
        <f>IF(B320="","",IF(Events!$J25="LAB","Onset is laboratory-defined (CALC-SPEC 1.1, C4): lower bound = date of the last normal test ("&amp;Events!$R25&amp;"), upper bound = date of the first abnormal test ("&amp;Events!$S25&amp;"). The reviewer decides which results are normal.",""))</f>
        <v/>
      </c>
    </row>
    <row r="321" spans="1:34" x14ac:dyDescent="0.2">
      <c r="A321" s="20" t="str">
        <f t="shared" si="55"/>
        <v>VEC-V02|1|EV1/ONSET</v>
      </c>
      <c r="B321" s="20" t="str">
        <f>IF(AND(Events!$D26&lt;&gt;"",COUNTA(Events!$J26:$Q26)&gt;0),Events!$D26&amp;"/ONSET","")</f>
        <v>EV1/ONSET</v>
      </c>
      <c r="C321" s="20" t="str">
        <f t="shared" si="67"/>
        <v>EVENT_ONSET</v>
      </c>
      <c r="D321" s="20" t="str">
        <f>IF(B321="","",Events!$A26&amp;"")</f>
        <v>VEC-V02</v>
      </c>
      <c r="E321" s="20" t="str">
        <f>IF(B321="","",Events!$B26&amp;"")</f>
        <v>1</v>
      </c>
      <c r="F321" s="20" t="str">
        <f t="shared" si="56"/>
        <v>VEC-V02|1</v>
      </c>
      <c r="G321" s="20" t="str">
        <f>IF(B321="","",Events!$D26&amp;"")</f>
        <v>EV1</v>
      </c>
      <c r="H321" s="20" t="str">
        <f>IF(B321="","",Events!$J26&amp;"")</f>
        <v>DATE</v>
      </c>
      <c r="I321" s="20" t="str">
        <f>IF(B321="","",Events!$M26&amp;"")</f>
        <v/>
      </c>
      <c r="J321" s="20" t="str">
        <f>IF(B321="","",Events!$U26&amp;"")</f>
        <v/>
      </c>
      <c r="K321" s="20">
        <f>IF(B321="",0,Events!$V26)</f>
        <v>0</v>
      </c>
      <c r="L321" s="20">
        <f>IF(B321="",0,Events!$W26)</f>
        <v>0</v>
      </c>
      <c r="M321" s="20" t="str">
        <f>IF(B321="","",Events!$Z26)</f>
        <v/>
      </c>
      <c r="N321" s="20" t="str">
        <f>IF(B321="","",Events!$AA26)</f>
        <v/>
      </c>
      <c r="O321" s="27">
        <f>IF(B321="","",Events!$X26)</f>
        <v>46028</v>
      </c>
      <c r="P321" s="27">
        <f>IF(B321="","",Events!$Y26)</f>
        <v>46028</v>
      </c>
      <c r="Q321" s="20" t="str">
        <f t="shared" si="57"/>
        <v>2026-01-06</v>
      </c>
      <c r="R321" s="20" t="str">
        <f>IF(A321="","",IF(J321&lt;&gt;"",J321,IF(H321="TIMESTAMP",DAY(INT(M321/1440))&amp;" "&amp;INDEX(nLIST_Months,MONTH(INT(M321/1440)))&amp;" "&amp;YEAR(INT(M321/1440))&amp;" "&amp;RIGHT("0"&amp;INT(MOD(M321,1440)/60),2)&amp;":"&amp;RIGHT("0"&amp;MOD(M321,60),2)&amp;IF(L321=1," (UTC"&amp;I321&amp;")"," (offset unknown)"),IF(H321="DATE",DAY(O321)&amp;" "&amp;INDEX(nLIST_Months,MONTH(O321))&amp;" "&amp;YEAR(O321),IF(H321="MONTH",INDEX(nLIST_Months,MONTH(O321))&amp;" "&amp;YEAR(O321)&amp;" ("&amp;DAY(O321)&amp;" "&amp;INDEX(nLIST_Months,MONTH(O321))&amp;" "&amp;YEAR(O321)&amp;" to "&amp;DAY(P321)&amp;" "&amp;INDEX(nLIST_Months,MONTH(P321))&amp;" "&amp;YEAR(P321)&amp;")",IF(H321="YEAR",YEAR(O321)&amp;" (1 January to 31 December)",DAY(O321)&amp;" "&amp;INDEX(nLIST_Months,MONTH(O321))&amp;" "&amp;YEAR(O321)&amp;" to "&amp;DAY(P321)&amp;" "&amp;INDEX(nLIST_Months,MONTH(P321))&amp;" "&amp;YEAR(P321)&amp;IF(H321="LAB"," (laboratory-defined)","")))))))</f>
        <v>6 January 2026</v>
      </c>
      <c r="S321" s="20" t="str">
        <f>IF(B321="","",Events!$I26&amp;"")</f>
        <v>2026-01-06</v>
      </c>
      <c r="T321" s="20" t="str">
        <f>IF(B321="","",Events!$T26&amp;"")</f>
        <v>tto_calc_test_vectors_v1.1.json V02</v>
      </c>
      <c r="U321" s="20" t="str">
        <f>IF(B321="","","Events row "&amp;ROW(Events!$A26)&amp;", Onset")</f>
        <v>Events row 26, Onset</v>
      </c>
      <c r="V321" s="20">
        <f>IF(A321="",0,COUNTIF(nTP_Key,A321))</f>
        <v>1</v>
      </c>
      <c r="W321" s="20">
        <f t="shared" si="58"/>
        <v>0</v>
      </c>
      <c r="X321" s="20">
        <f t="shared" si="59"/>
        <v>0</v>
      </c>
      <c r="Y321" s="20">
        <f t="shared" si="60"/>
        <v>46028</v>
      </c>
      <c r="Z321" s="20">
        <f t="shared" si="61"/>
        <v>46028</v>
      </c>
      <c r="AA321" s="20">
        <f t="shared" si="62"/>
        <v>317</v>
      </c>
      <c r="AB321" s="20" t="str">
        <f>""</f>
        <v/>
      </c>
      <c r="AC321" s="20" t="str">
        <f>""</f>
        <v/>
      </c>
      <c r="AD321" s="20" t="str">
        <f>IF(B321="","",Events!$E26&amp;" (onset)")</f>
        <v>Vector event (onset)</v>
      </c>
      <c r="AE321" s="20">
        <f t="shared" si="63"/>
        <v>0</v>
      </c>
      <c r="AF321" s="20" t="str">
        <f t="shared" si="64"/>
        <v/>
      </c>
      <c r="AG321" s="20">
        <f t="shared" si="65"/>
        <v>1</v>
      </c>
      <c r="AH321" s="20" t="str">
        <f>IF(B321="","",IF(Events!$J26="LAB","Onset is laboratory-defined (CALC-SPEC 1.1, C4): lower bound = date of the last normal test ("&amp;Events!$R26&amp;"), upper bound = date of the first abnormal test ("&amp;Events!$S26&amp;"). The reviewer decides which results are normal.",""))</f>
        <v/>
      </c>
    </row>
    <row r="322" spans="1:34" x14ac:dyDescent="0.2">
      <c r="A322" s="20" t="str">
        <f t="shared" si="55"/>
        <v>VEC-V03|1|EV1/ONSET</v>
      </c>
      <c r="B322" s="20" t="str">
        <f>IF(AND(Events!$D27&lt;&gt;"",COUNTA(Events!$J27:$Q27)&gt;0),Events!$D27&amp;"/ONSET","")</f>
        <v>EV1/ONSET</v>
      </c>
      <c r="C322" s="20" t="str">
        <f t="shared" si="67"/>
        <v>EVENT_ONSET</v>
      </c>
      <c r="D322" s="20" t="str">
        <f>IF(B322="","",Events!$A27&amp;"")</f>
        <v>VEC-V03</v>
      </c>
      <c r="E322" s="20" t="str">
        <f>IF(B322="","",Events!$B27&amp;"")</f>
        <v>1</v>
      </c>
      <c r="F322" s="20" t="str">
        <f t="shared" si="56"/>
        <v>VEC-V03|1</v>
      </c>
      <c r="G322" s="20" t="str">
        <f>IF(B322="","",Events!$D27&amp;"")</f>
        <v>EV1</v>
      </c>
      <c r="H322" s="20" t="str">
        <f>IF(B322="","",Events!$J27&amp;"")</f>
        <v>DATE</v>
      </c>
      <c r="I322" s="20" t="str">
        <f>IF(B322="","",Events!$M27&amp;"")</f>
        <v/>
      </c>
      <c r="J322" s="20" t="str">
        <f>IF(B322="","",Events!$U27&amp;"")</f>
        <v/>
      </c>
      <c r="K322" s="20">
        <f>IF(B322="",0,Events!$V27)</f>
        <v>0</v>
      </c>
      <c r="L322" s="20">
        <f>IF(B322="",0,Events!$W27)</f>
        <v>0</v>
      </c>
      <c r="M322" s="20" t="str">
        <f>IF(B322="","",Events!$Z27)</f>
        <v/>
      </c>
      <c r="N322" s="20" t="str">
        <f>IF(B322="","",Events!$AA27)</f>
        <v/>
      </c>
      <c r="O322" s="27">
        <f>IF(B322="","",Events!$X27)</f>
        <v>46027</v>
      </c>
      <c r="P322" s="27">
        <f>IF(B322="","",Events!$Y27)</f>
        <v>46027</v>
      </c>
      <c r="Q322" s="20" t="str">
        <f t="shared" si="57"/>
        <v>2026-01-05</v>
      </c>
      <c r="R322" s="20" t="str">
        <f>IF(A322="","",IF(J322&lt;&gt;"",J322,IF(H322="TIMESTAMP",DAY(INT(M322/1440))&amp;" "&amp;INDEX(nLIST_Months,MONTH(INT(M322/1440)))&amp;" "&amp;YEAR(INT(M322/1440))&amp;" "&amp;RIGHT("0"&amp;INT(MOD(M322,1440)/60),2)&amp;":"&amp;RIGHT("0"&amp;MOD(M322,60),2)&amp;IF(L322=1," (UTC"&amp;I322&amp;")"," (offset unknown)"),IF(H322="DATE",DAY(O322)&amp;" "&amp;INDEX(nLIST_Months,MONTH(O322))&amp;" "&amp;YEAR(O322),IF(H322="MONTH",INDEX(nLIST_Months,MONTH(O322))&amp;" "&amp;YEAR(O322)&amp;" ("&amp;DAY(O322)&amp;" "&amp;INDEX(nLIST_Months,MONTH(O322))&amp;" "&amp;YEAR(O322)&amp;" to "&amp;DAY(P322)&amp;" "&amp;INDEX(nLIST_Months,MONTH(P322))&amp;" "&amp;YEAR(P322)&amp;")",IF(H322="YEAR",YEAR(O322)&amp;" (1 January to 31 December)",DAY(O322)&amp;" "&amp;INDEX(nLIST_Months,MONTH(O322))&amp;" "&amp;YEAR(O322)&amp;" to "&amp;DAY(P322)&amp;" "&amp;INDEX(nLIST_Months,MONTH(P322))&amp;" "&amp;YEAR(P322)&amp;IF(H322="LAB"," (laboratory-defined)","")))))))</f>
        <v>5 January 2026</v>
      </c>
      <c r="S322" s="20" t="str">
        <f>IF(B322="","",Events!$I27&amp;"")</f>
        <v>2026-01-05</v>
      </c>
      <c r="T322" s="20" t="str">
        <f>IF(B322="","",Events!$T27&amp;"")</f>
        <v>tto_calc_test_vectors_v1.1.json V03</v>
      </c>
      <c r="U322" s="20" t="str">
        <f>IF(B322="","","Events row "&amp;ROW(Events!$A27)&amp;", Onset")</f>
        <v>Events row 27, Onset</v>
      </c>
      <c r="V322" s="20">
        <f>IF(A322="",0,COUNTIF(nTP_Key,A322))</f>
        <v>1</v>
      </c>
      <c r="W322" s="20">
        <f t="shared" si="58"/>
        <v>0</v>
      </c>
      <c r="X322" s="20">
        <f t="shared" si="59"/>
        <v>0</v>
      </c>
      <c r="Y322" s="20">
        <f t="shared" si="60"/>
        <v>46027</v>
      </c>
      <c r="Z322" s="20">
        <f t="shared" si="61"/>
        <v>46027</v>
      </c>
      <c r="AA322" s="20">
        <f t="shared" si="62"/>
        <v>318</v>
      </c>
      <c r="AB322" s="20" t="str">
        <f>""</f>
        <v/>
      </c>
      <c r="AC322" s="20" t="str">
        <f>""</f>
        <v/>
      </c>
      <c r="AD322" s="20" t="str">
        <f>IF(B322="","",Events!$E27&amp;" (onset)")</f>
        <v>Vector event (onset)</v>
      </c>
      <c r="AE322" s="20">
        <f t="shared" si="63"/>
        <v>0</v>
      </c>
      <c r="AF322" s="20" t="str">
        <f t="shared" si="64"/>
        <v/>
      </c>
      <c r="AG322" s="20">
        <f t="shared" si="65"/>
        <v>1</v>
      </c>
      <c r="AH322" s="20" t="str">
        <f>IF(B322="","",IF(Events!$J27="LAB","Onset is laboratory-defined (CALC-SPEC 1.1, C4): lower bound = date of the last normal test ("&amp;Events!$R27&amp;"), upper bound = date of the first abnormal test ("&amp;Events!$S27&amp;"). The reviewer decides which results are normal.",""))</f>
        <v/>
      </c>
    </row>
    <row r="323" spans="1:34" x14ac:dyDescent="0.2">
      <c r="A323" s="20" t="str">
        <f t="shared" si="55"/>
        <v>VEC-V04|1|EV1/ONSET</v>
      </c>
      <c r="B323" s="20" t="str">
        <f>IF(AND(Events!$D28&lt;&gt;"",COUNTA(Events!$J28:$Q28)&gt;0),Events!$D28&amp;"/ONSET","")</f>
        <v>EV1/ONSET</v>
      </c>
      <c r="C323" s="20" t="str">
        <f t="shared" si="67"/>
        <v>EVENT_ONSET</v>
      </c>
      <c r="D323" s="20" t="str">
        <f>IF(B323="","",Events!$A28&amp;"")</f>
        <v>VEC-V04</v>
      </c>
      <c r="E323" s="20" t="str">
        <f>IF(B323="","",Events!$B28&amp;"")</f>
        <v>1</v>
      </c>
      <c r="F323" s="20" t="str">
        <f t="shared" si="56"/>
        <v>VEC-V04|1</v>
      </c>
      <c r="G323" s="20" t="str">
        <f>IF(B323="","",Events!$D28&amp;"")</f>
        <v>EV1</v>
      </c>
      <c r="H323" s="20" t="str">
        <f>IF(B323="","",Events!$J28&amp;"")</f>
        <v>DATE</v>
      </c>
      <c r="I323" s="20" t="str">
        <f>IF(B323="","",Events!$M28&amp;"")</f>
        <v/>
      </c>
      <c r="J323" s="20" t="str">
        <f>IF(B323="","",Events!$U28&amp;"")</f>
        <v/>
      </c>
      <c r="K323" s="20">
        <f>IF(B323="",0,Events!$V28)</f>
        <v>0</v>
      </c>
      <c r="L323" s="20">
        <f>IF(B323="",0,Events!$W28)</f>
        <v>0</v>
      </c>
      <c r="M323" s="20" t="str">
        <f>IF(B323="","",Events!$Z28)</f>
        <v/>
      </c>
      <c r="N323" s="20" t="str">
        <f>IF(B323="","",Events!$AA28)</f>
        <v/>
      </c>
      <c r="O323" s="27">
        <f>IF(B323="","",Events!$X28)</f>
        <v>45352</v>
      </c>
      <c r="P323" s="27">
        <f>IF(B323="","",Events!$Y28)</f>
        <v>45352</v>
      </c>
      <c r="Q323" s="20" t="str">
        <f t="shared" si="57"/>
        <v>2024-03-01</v>
      </c>
      <c r="R323" s="20" t="str">
        <f>IF(A323="","",IF(J323&lt;&gt;"",J323,IF(H323="TIMESTAMP",DAY(INT(M323/1440))&amp;" "&amp;INDEX(nLIST_Months,MONTH(INT(M323/1440)))&amp;" "&amp;YEAR(INT(M323/1440))&amp;" "&amp;RIGHT("0"&amp;INT(MOD(M323,1440)/60),2)&amp;":"&amp;RIGHT("0"&amp;MOD(M323,60),2)&amp;IF(L323=1," (UTC"&amp;I323&amp;")"," (offset unknown)"),IF(H323="DATE",DAY(O323)&amp;" "&amp;INDEX(nLIST_Months,MONTH(O323))&amp;" "&amp;YEAR(O323),IF(H323="MONTH",INDEX(nLIST_Months,MONTH(O323))&amp;" "&amp;YEAR(O323)&amp;" ("&amp;DAY(O323)&amp;" "&amp;INDEX(nLIST_Months,MONTH(O323))&amp;" "&amp;YEAR(O323)&amp;" to "&amp;DAY(P323)&amp;" "&amp;INDEX(nLIST_Months,MONTH(P323))&amp;" "&amp;YEAR(P323)&amp;")",IF(H323="YEAR",YEAR(O323)&amp;" (1 January to 31 December)",DAY(O323)&amp;" "&amp;INDEX(nLIST_Months,MONTH(O323))&amp;" "&amp;YEAR(O323)&amp;" to "&amp;DAY(P323)&amp;" "&amp;INDEX(nLIST_Months,MONTH(P323))&amp;" "&amp;YEAR(P323)&amp;IF(H323="LAB"," (laboratory-defined)","")))))))</f>
        <v>1 March 2024</v>
      </c>
      <c r="S323" s="20" t="str">
        <f>IF(B323="","",Events!$I28&amp;"")</f>
        <v>2024-03-01</v>
      </c>
      <c r="T323" s="20" t="str">
        <f>IF(B323="","",Events!$T28&amp;"")</f>
        <v>tto_calc_test_vectors_v1.1.json V04</v>
      </c>
      <c r="U323" s="20" t="str">
        <f>IF(B323="","","Events row "&amp;ROW(Events!$A28)&amp;", Onset")</f>
        <v>Events row 28, Onset</v>
      </c>
      <c r="V323" s="20">
        <f>IF(A323="",0,COUNTIF(nTP_Key,A323))</f>
        <v>1</v>
      </c>
      <c r="W323" s="20">
        <f t="shared" si="58"/>
        <v>0</v>
      </c>
      <c r="X323" s="20">
        <f t="shared" si="59"/>
        <v>0</v>
      </c>
      <c r="Y323" s="20">
        <f t="shared" si="60"/>
        <v>45352</v>
      </c>
      <c r="Z323" s="20">
        <f t="shared" si="61"/>
        <v>45352</v>
      </c>
      <c r="AA323" s="20">
        <f t="shared" si="62"/>
        <v>319</v>
      </c>
      <c r="AB323" s="20" t="str">
        <f>""</f>
        <v/>
      </c>
      <c r="AC323" s="20" t="str">
        <f>""</f>
        <v/>
      </c>
      <c r="AD323" s="20" t="str">
        <f>IF(B323="","",Events!$E28&amp;" (onset)")</f>
        <v>Vector event (onset)</v>
      </c>
      <c r="AE323" s="20">
        <f t="shared" si="63"/>
        <v>0</v>
      </c>
      <c r="AF323" s="20" t="str">
        <f t="shared" si="64"/>
        <v/>
      </c>
      <c r="AG323" s="20">
        <f t="shared" si="65"/>
        <v>1</v>
      </c>
      <c r="AH323" s="20" t="str">
        <f>IF(B323="","",IF(Events!$J28="LAB","Onset is laboratory-defined (CALC-SPEC 1.1, C4): lower bound = date of the last normal test ("&amp;Events!$R28&amp;"), upper bound = date of the first abnormal test ("&amp;Events!$S28&amp;"). The reviewer decides which results are normal.",""))</f>
        <v/>
      </c>
    </row>
    <row r="324" spans="1:34" x14ac:dyDescent="0.2">
      <c r="A324" s="20" t="str">
        <f t="shared" si="55"/>
        <v>VEC-V05|1|EV1/ONSET</v>
      </c>
      <c r="B324" s="20" t="str">
        <f>IF(AND(Events!$D29&lt;&gt;"",COUNTA(Events!$J29:$Q29)&gt;0),Events!$D29&amp;"/ONSET","")</f>
        <v>EV1/ONSET</v>
      </c>
      <c r="C324" s="20" t="str">
        <f t="shared" si="67"/>
        <v>EVENT_ONSET</v>
      </c>
      <c r="D324" s="20" t="str">
        <f>IF(B324="","",Events!$A29&amp;"")</f>
        <v>VEC-V05</v>
      </c>
      <c r="E324" s="20" t="str">
        <f>IF(B324="","",Events!$B29&amp;"")</f>
        <v>1</v>
      </c>
      <c r="F324" s="20" t="str">
        <f t="shared" si="56"/>
        <v>VEC-V05|1</v>
      </c>
      <c r="G324" s="20" t="str">
        <f>IF(B324="","",Events!$D29&amp;"")</f>
        <v>EV1</v>
      </c>
      <c r="H324" s="20" t="str">
        <f>IF(B324="","",Events!$J29&amp;"")</f>
        <v>DATE</v>
      </c>
      <c r="I324" s="20" t="str">
        <f>IF(B324="","",Events!$M29&amp;"")</f>
        <v/>
      </c>
      <c r="J324" s="20" t="str">
        <f>IF(B324="","",Events!$U29&amp;"")</f>
        <v/>
      </c>
      <c r="K324" s="20">
        <f>IF(B324="",0,Events!$V29)</f>
        <v>0</v>
      </c>
      <c r="L324" s="20">
        <f>IF(B324="",0,Events!$W29)</f>
        <v>0</v>
      </c>
      <c r="M324" s="20" t="str">
        <f>IF(B324="","",Events!$Z29)</f>
        <v/>
      </c>
      <c r="N324" s="20" t="str">
        <f>IF(B324="","",Events!$AA29)</f>
        <v/>
      </c>
      <c r="O324" s="27">
        <f>IF(B324="","",Events!$X29)</f>
        <v>46037</v>
      </c>
      <c r="P324" s="27">
        <f>IF(B324="","",Events!$Y29)</f>
        <v>46037</v>
      </c>
      <c r="Q324" s="20" t="str">
        <f t="shared" si="57"/>
        <v>2026-01-15</v>
      </c>
      <c r="R324" s="20" t="str">
        <f>IF(A324="","",IF(J324&lt;&gt;"",J324,IF(H324="TIMESTAMP",DAY(INT(M324/1440))&amp;" "&amp;INDEX(nLIST_Months,MONTH(INT(M324/1440)))&amp;" "&amp;YEAR(INT(M324/1440))&amp;" "&amp;RIGHT("0"&amp;INT(MOD(M324,1440)/60),2)&amp;":"&amp;RIGHT("0"&amp;MOD(M324,60),2)&amp;IF(L324=1," (UTC"&amp;I324&amp;")"," (offset unknown)"),IF(H324="DATE",DAY(O324)&amp;" "&amp;INDEX(nLIST_Months,MONTH(O324))&amp;" "&amp;YEAR(O324),IF(H324="MONTH",INDEX(nLIST_Months,MONTH(O324))&amp;" "&amp;YEAR(O324)&amp;" ("&amp;DAY(O324)&amp;" "&amp;INDEX(nLIST_Months,MONTH(O324))&amp;" "&amp;YEAR(O324)&amp;" to "&amp;DAY(P324)&amp;" "&amp;INDEX(nLIST_Months,MONTH(P324))&amp;" "&amp;YEAR(P324)&amp;")",IF(H324="YEAR",YEAR(O324)&amp;" (1 January to 31 December)",DAY(O324)&amp;" "&amp;INDEX(nLIST_Months,MONTH(O324))&amp;" "&amp;YEAR(O324)&amp;" to "&amp;DAY(P324)&amp;" "&amp;INDEX(nLIST_Months,MONTH(P324))&amp;" "&amp;YEAR(P324)&amp;IF(H324="LAB"," (laboratory-defined)","")))))))</f>
        <v>15 January 2026</v>
      </c>
      <c r="S324" s="20" t="str">
        <f>IF(B324="","",Events!$I29&amp;"")</f>
        <v>2026-01-15</v>
      </c>
      <c r="T324" s="20" t="str">
        <f>IF(B324="","",Events!$T29&amp;"")</f>
        <v>tto_calc_test_vectors_v1.1.json V05</v>
      </c>
      <c r="U324" s="20" t="str">
        <f>IF(B324="","","Events row "&amp;ROW(Events!$A29)&amp;", Onset")</f>
        <v>Events row 29, Onset</v>
      </c>
      <c r="V324" s="20">
        <f>IF(A324="",0,COUNTIF(nTP_Key,A324))</f>
        <v>1</v>
      </c>
      <c r="W324" s="20">
        <f t="shared" si="58"/>
        <v>0</v>
      </c>
      <c r="X324" s="20">
        <f t="shared" si="59"/>
        <v>0</v>
      </c>
      <c r="Y324" s="20">
        <f t="shared" si="60"/>
        <v>46037</v>
      </c>
      <c r="Z324" s="20">
        <f t="shared" si="61"/>
        <v>46037</v>
      </c>
      <c r="AA324" s="20">
        <f t="shared" si="62"/>
        <v>320</v>
      </c>
      <c r="AB324" s="20" t="str">
        <f>""</f>
        <v/>
      </c>
      <c r="AC324" s="20" t="str">
        <f>""</f>
        <v/>
      </c>
      <c r="AD324" s="20" t="str">
        <f>IF(B324="","",Events!$E29&amp;" (onset)")</f>
        <v>Vector event (onset)</v>
      </c>
      <c r="AE324" s="20">
        <f t="shared" si="63"/>
        <v>0</v>
      </c>
      <c r="AF324" s="20" t="str">
        <f t="shared" si="64"/>
        <v/>
      </c>
      <c r="AG324" s="20">
        <f t="shared" si="65"/>
        <v>1</v>
      </c>
      <c r="AH324" s="20" t="str">
        <f>IF(B324="","",IF(Events!$J29="LAB","Onset is laboratory-defined (CALC-SPEC 1.1, C4): lower bound = date of the last normal test ("&amp;Events!$R29&amp;"), upper bound = date of the first abnormal test ("&amp;Events!$S29&amp;"). The reviewer decides which results are normal.",""))</f>
        <v/>
      </c>
    </row>
    <row r="325" spans="1:34" x14ac:dyDescent="0.2">
      <c r="A325" s="20" t="str">
        <f t="shared" ref="A325:A388" si="68">IF(B325="","",F325&amp;"|"&amp;B325)</f>
        <v>VEC-V06|1|EV1/ONSET</v>
      </c>
      <c r="B325" s="20" t="str">
        <f>IF(AND(Events!$D30&lt;&gt;"",COUNTA(Events!$J30:$Q30)&gt;0),Events!$D30&amp;"/ONSET","")</f>
        <v>EV1/ONSET</v>
      </c>
      <c r="C325" s="20" t="str">
        <f t="shared" si="67"/>
        <v>EVENT_ONSET</v>
      </c>
      <c r="D325" s="20" t="str">
        <f>IF(B325="","",Events!$A30&amp;"")</f>
        <v>VEC-V06</v>
      </c>
      <c r="E325" s="20" t="str">
        <f>IF(B325="","",Events!$B30&amp;"")</f>
        <v>1</v>
      </c>
      <c r="F325" s="20" t="str">
        <f t="shared" ref="F325:F388" si="69">IF(B325="","",D325&amp;"|"&amp;E325)</f>
        <v>VEC-V06|1</v>
      </c>
      <c r="G325" s="20" t="str">
        <f>IF(B325="","",Events!$D30&amp;"")</f>
        <v>EV1</v>
      </c>
      <c r="H325" s="20" t="str">
        <f>IF(B325="","",Events!$J30&amp;"")</f>
        <v>DATE</v>
      </c>
      <c r="I325" s="20" t="str">
        <f>IF(B325="","",Events!$M30&amp;"")</f>
        <v/>
      </c>
      <c r="J325" s="20" t="str">
        <f>IF(B325="","",Events!$U30&amp;"")</f>
        <v/>
      </c>
      <c r="K325" s="20">
        <f>IF(B325="",0,Events!$V30)</f>
        <v>0</v>
      </c>
      <c r="L325" s="20">
        <f>IF(B325="",0,Events!$W30)</f>
        <v>0</v>
      </c>
      <c r="M325" s="20" t="str">
        <f>IF(B325="","",Events!$Z30)</f>
        <v/>
      </c>
      <c r="N325" s="20" t="str">
        <f>IF(B325="","",Events!$AA30)</f>
        <v/>
      </c>
      <c r="O325" s="27">
        <f>IF(B325="","",Events!$X30)</f>
        <v>46027</v>
      </c>
      <c r="P325" s="27">
        <f>IF(B325="","",Events!$Y30)</f>
        <v>46027</v>
      </c>
      <c r="Q325" s="20" t="str">
        <f t="shared" ref="Q325:Q388" si="70">IF(OR(A325="",J325&lt;&gt;""),"",IF(H325="TIMESTAMP",YEAR(INT(M325/1440))&amp;"-"&amp;RIGHT("0"&amp;MONTH(INT(M325/1440)),2)&amp;"-"&amp;RIGHT("0"&amp;DAY(INT(M325/1440)),2)&amp;"T"&amp;RIGHT("0"&amp;INT(MOD(M325,1440)/60),2)&amp;":"&amp;RIGHT("0"&amp;MOD(M325,60),2)&amp;IF(L325=1,I325,""),IF(H325="DATE",YEAR(O325)&amp;"-"&amp;RIGHT("0"&amp;MONTH(O325),2)&amp;"-"&amp;RIGHT("0"&amp;DAY(O325),2),IF(H325="MONTH",YEAR(O325)&amp;"-"&amp;RIGHT("0"&amp;MONTH(O325),2),IF(H325="YEAR",YEAR(O325)&amp;"",YEAR(O325)&amp;"-"&amp;RIGHT("0"&amp;MONTH(O325),2)&amp;"-"&amp;RIGHT("0"&amp;DAY(O325),2)&amp;"/"&amp;YEAR(P325)&amp;"-"&amp;RIGHT("0"&amp;MONTH(P325),2)&amp;"-"&amp;RIGHT("0"&amp;DAY(P325),2))))))</f>
        <v>2026-01-05</v>
      </c>
      <c r="R325" s="20" t="str">
        <f>IF(A325="","",IF(J325&lt;&gt;"",J325,IF(H325="TIMESTAMP",DAY(INT(M325/1440))&amp;" "&amp;INDEX(nLIST_Months,MONTH(INT(M325/1440)))&amp;" "&amp;YEAR(INT(M325/1440))&amp;" "&amp;RIGHT("0"&amp;INT(MOD(M325,1440)/60),2)&amp;":"&amp;RIGHT("0"&amp;MOD(M325,60),2)&amp;IF(L325=1," (UTC"&amp;I325&amp;")"," (offset unknown)"),IF(H325="DATE",DAY(O325)&amp;" "&amp;INDEX(nLIST_Months,MONTH(O325))&amp;" "&amp;YEAR(O325),IF(H325="MONTH",INDEX(nLIST_Months,MONTH(O325))&amp;" "&amp;YEAR(O325)&amp;" ("&amp;DAY(O325)&amp;" "&amp;INDEX(nLIST_Months,MONTH(O325))&amp;" "&amp;YEAR(O325)&amp;" to "&amp;DAY(P325)&amp;" "&amp;INDEX(nLIST_Months,MONTH(P325))&amp;" "&amp;YEAR(P325)&amp;")",IF(H325="YEAR",YEAR(O325)&amp;" (1 January to 31 December)",DAY(O325)&amp;" "&amp;INDEX(nLIST_Months,MONTH(O325))&amp;" "&amp;YEAR(O325)&amp;" to "&amp;DAY(P325)&amp;" "&amp;INDEX(nLIST_Months,MONTH(P325))&amp;" "&amp;YEAR(P325)&amp;IF(H325="LAB"," (laboratory-defined)","")))))))</f>
        <v>5 January 2026</v>
      </c>
      <c r="S325" s="20" t="str">
        <f>IF(B325="","",Events!$I30&amp;"")</f>
        <v>2026-01-05</v>
      </c>
      <c r="T325" s="20" t="str">
        <f>IF(B325="","",Events!$T30&amp;"")</f>
        <v>tto_calc_test_vectors_v1.1.json V06</v>
      </c>
      <c r="U325" s="20" t="str">
        <f>IF(B325="","","Events row "&amp;ROW(Events!$A30)&amp;", Onset")</f>
        <v>Events row 30, Onset</v>
      </c>
      <c r="V325" s="20">
        <f>IF(A325="",0,COUNTIF(nTP_Key,A325))</f>
        <v>1</v>
      </c>
      <c r="W325" s="20">
        <f t="shared" ref="W325:W388" si="71">IF(M325="",0,M325)</f>
        <v>0</v>
      </c>
      <c r="X325" s="20">
        <f t="shared" ref="X325:X388" si="72">IF(N325="",0,N325)</f>
        <v>0</v>
      </c>
      <c r="Y325" s="20">
        <f t="shared" ref="Y325:Y388" si="73">IF(O325="",0,O325)</f>
        <v>46027</v>
      </c>
      <c r="Z325" s="20">
        <f t="shared" ref="Z325:Z388" si="74">IF(P325="",0,P325)</f>
        <v>46027</v>
      </c>
      <c r="AA325" s="20">
        <f t="shared" ref="AA325:AA388" si="75">ROW()-4</f>
        <v>321</v>
      </c>
      <c r="AB325" s="20" t="str">
        <f>""</f>
        <v/>
      </c>
      <c r="AC325" s="20" t="str">
        <f>""</f>
        <v/>
      </c>
      <c r="AD325" s="20" t="str">
        <f>IF(B325="","",Events!$E30&amp;" (onset)")</f>
        <v>Vector event (onset)</v>
      </c>
      <c r="AE325" s="20">
        <f t="shared" ref="AE325:AE388" si="76">IF(AND(A325&lt;&gt;"",OR(C325="EXPOSURE_START",C325="EXPOSURE_RESTART",AND(C325="ADMINISTRATION",AB325&lt;&gt;"INFUSION_SEGMENT"))),1,0)</f>
        <v>0</v>
      </c>
      <c r="AF325" s="20" t="str">
        <f t="shared" ref="AF325:AF388" si="77">IF(AE325=1,F325&amp;"|"&amp;G325,"")</f>
        <v/>
      </c>
      <c r="AG325" s="20">
        <f t="shared" ref="AG325:AG388" si="78">IF(AND(A325&lt;&gt;"",J325="",OR(H325="TIMESTAMP",H325="DATE")),1,0)</f>
        <v>1</v>
      </c>
      <c r="AH325" s="20" t="str">
        <f>IF(B325="","",IF(Events!$J30="LAB","Onset is laboratory-defined (CALC-SPEC 1.1, C4): lower bound = date of the last normal test ("&amp;Events!$R30&amp;"), upper bound = date of the first abnormal test ("&amp;Events!$S30&amp;"). The reviewer decides which results are normal.",""))</f>
        <v/>
      </c>
    </row>
    <row r="326" spans="1:34" x14ac:dyDescent="0.2">
      <c r="A326" s="20" t="str">
        <f t="shared" si="68"/>
        <v>VEC-V07|1|EV1/ONSET</v>
      </c>
      <c r="B326" s="20" t="str">
        <f>IF(AND(Events!$D31&lt;&gt;"",COUNTA(Events!$J31:$Q31)&gt;0),Events!$D31&amp;"/ONSET","")</f>
        <v>EV1/ONSET</v>
      </c>
      <c r="C326" s="20" t="str">
        <f t="shared" si="67"/>
        <v>EVENT_ONSET</v>
      </c>
      <c r="D326" s="20" t="str">
        <f>IF(B326="","",Events!$A31&amp;"")</f>
        <v>VEC-V07</v>
      </c>
      <c r="E326" s="20" t="str">
        <f>IF(B326="","",Events!$B31&amp;"")</f>
        <v>1</v>
      </c>
      <c r="F326" s="20" t="str">
        <f t="shared" si="69"/>
        <v>VEC-V07|1</v>
      </c>
      <c r="G326" s="20" t="str">
        <f>IF(B326="","",Events!$D31&amp;"")</f>
        <v>EV1</v>
      </c>
      <c r="H326" s="20" t="str">
        <f>IF(B326="","",Events!$J31&amp;"")</f>
        <v>TIMESTAMP</v>
      </c>
      <c r="I326" s="20" t="str">
        <f>IF(B326="","",Events!$M31&amp;"")</f>
        <v>-05:00</v>
      </c>
      <c r="J326" s="20" t="str">
        <f>IF(B326="","",Events!$U31&amp;"")</f>
        <v/>
      </c>
      <c r="K326" s="20">
        <f>IF(B326="",0,Events!$V31)</f>
        <v>1</v>
      </c>
      <c r="L326" s="20">
        <f>IF(B326="",0,Events!$W31)</f>
        <v>1</v>
      </c>
      <c r="M326" s="20">
        <f>IF(B326="","",Events!$Z31)</f>
        <v>66360720</v>
      </c>
      <c r="N326" s="20">
        <f>IF(B326="","",Events!$AA31)</f>
        <v>66361020</v>
      </c>
      <c r="O326" s="27">
        <f>IF(B326="","",Events!$X31)</f>
        <v>46083</v>
      </c>
      <c r="P326" s="27">
        <f>IF(B326="","",Events!$Y31)</f>
        <v>46083</v>
      </c>
      <c r="Q326" s="20" t="str">
        <f t="shared" si="70"/>
        <v>2026-03-02T20:00-05:00</v>
      </c>
      <c r="R326" s="20" t="str">
        <f>IF(A326="","",IF(J326&lt;&gt;"",J326,IF(H326="TIMESTAMP",DAY(INT(M326/1440))&amp;" "&amp;INDEX(nLIST_Months,MONTH(INT(M326/1440)))&amp;" "&amp;YEAR(INT(M326/1440))&amp;" "&amp;RIGHT("0"&amp;INT(MOD(M326,1440)/60),2)&amp;":"&amp;RIGHT("0"&amp;MOD(M326,60),2)&amp;IF(L326=1," (UTC"&amp;I326&amp;")"," (offset unknown)"),IF(H326="DATE",DAY(O326)&amp;" "&amp;INDEX(nLIST_Months,MONTH(O326))&amp;" "&amp;YEAR(O326),IF(H326="MONTH",INDEX(nLIST_Months,MONTH(O326))&amp;" "&amp;YEAR(O326)&amp;" ("&amp;DAY(O326)&amp;" "&amp;INDEX(nLIST_Months,MONTH(O326))&amp;" "&amp;YEAR(O326)&amp;" to "&amp;DAY(P326)&amp;" "&amp;INDEX(nLIST_Months,MONTH(P326))&amp;" "&amp;YEAR(P326)&amp;")",IF(H326="YEAR",YEAR(O326)&amp;" (1 January to 31 December)",DAY(O326)&amp;" "&amp;INDEX(nLIST_Months,MONTH(O326))&amp;" "&amp;YEAR(O326)&amp;" to "&amp;DAY(P326)&amp;" "&amp;INDEX(nLIST_Months,MONTH(P326))&amp;" "&amp;YEAR(P326)&amp;IF(H326="LAB"," (laboratory-defined)","")))))))</f>
        <v>2 March 2026 20:00 (UTC-05:00)</v>
      </c>
      <c r="S326" s="20" t="str">
        <f>IF(B326="","",Events!$I31&amp;"")</f>
        <v>2026-03-02T20:00-05:00</v>
      </c>
      <c r="T326" s="20" t="str">
        <f>IF(B326="","",Events!$T31&amp;"")</f>
        <v>tto_calc_test_vectors_v1.1.json V07</v>
      </c>
      <c r="U326" s="20" t="str">
        <f>IF(B326="","","Events row "&amp;ROW(Events!$A31)&amp;", Onset")</f>
        <v>Events row 31, Onset</v>
      </c>
      <c r="V326" s="20">
        <f>IF(A326="",0,COUNTIF(nTP_Key,A326))</f>
        <v>1</v>
      </c>
      <c r="W326" s="20">
        <f t="shared" si="71"/>
        <v>66360720</v>
      </c>
      <c r="X326" s="20">
        <f t="shared" si="72"/>
        <v>66361020</v>
      </c>
      <c r="Y326" s="20">
        <f t="shared" si="73"/>
        <v>46083</v>
      </c>
      <c r="Z326" s="20">
        <f t="shared" si="74"/>
        <v>46083</v>
      </c>
      <c r="AA326" s="20">
        <f t="shared" si="75"/>
        <v>322</v>
      </c>
      <c r="AB326" s="20" t="str">
        <f>""</f>
        <v/>
      </c>
      <c r="AC326" s="20" t="str">
        <f>""</f>
        <v/>
      </c>
      <c r="AD326" s="20" t="str">
        <f>IF(B326="","",Events!$E31&amp;" (onset)")</f>
        <v>Vector event (onset)</v>
      </c>
      <c r="AE326" s="20">
        <f t="shared" si="76"/>
        <v>0</v>
      </c>
      <c r="AF326" s="20" t="str">
        <f t="shared" si="77"/>
        <v/>
      </c>
      <c r="AG326" s="20">
        <f t="shared" si="78"/>
        <v>1</v>
      </c>
      <c r="AH326" s="20" t="str">
        <f>IF(B326="","",IF(Events!$J31="LAB","Onset is laboratory-defined (CALC-SPEC 1.1, C4): lower bound = date of the last normal test ("&amp;Events!$R31&amp;"), upper bound = date of the first abnormal test ("&amp;Events!$S31&amp;"). The reviewer decides which results are normal.",""))</f>
        <v/>
      </c>
    </row>
    <row r="327" spans="1:34" x14ac:dyDescent="0.2">
      <c r="A327" s="20" t="str">
        <f t="shared" si="68"/>
        <v>VEC-V08|1|EV1/ONSET</v>
      </c>
      <c r="B327" s="20" t="str">
        <f>IF(AND(Events!$D32&lt;&gt;"",COUNTA(Events!$J32:$Q32)&gt;0),Events!$D32&amp;"/ONSET","")</f>
        <v>EV1/ONSET</v>
      </c>
      <c r="C327" s="20" t="str">
        <f t="shared" si="67"/>
        <v>EVENT_ONSET</v>
      </c>
      <c r="D327" s="20" t="str">
        <f>IF(B327="","",Events!$A32&amp;"")</f>
        <v>VEC-V08</v>
      </c>
      <c r="E327" s="20" t="str">
        <f>IF(B327="","",Events!$B32&amp;"")</f>
        <v>1</v>
      </c>
      <c r="F327" s="20" t="str">
        <f t="shared" si="69"/>
        <v>VEC-V08|1</v>
      </c>
      <c r="G327" s="20" t="str">
        <f>IF(B327="","",Events!$D32&amp;"")</f>
        <v>EV1</v>
      </c>
      <c r="H327" s="20" t="str">
        <f>IF(B327="","",Events!$J32&amp;"")</f>
        <v>DATE</v>
      </c>
      <c r="I327" s="20" t="str">
        <f>IF(B327="","",Events!$M32&amp;"")</f>
        <v/>
      </c>
      <c r="J327" s="20" t="str">
        <f>IF(B327="","",Events!$U32&amp;"")</f>
        <v/>
      </c>
      <c r="K327" s="20">
        <f>IF(B327="",0,Events!$V32)</f>
        <v>0</v>
      </c>
      <c r="L327" s="20">
        <f>IF(B327="",0,Events!$W32)</f>
        <v>0</v>
      </c>
      <c r="M327" s="20" t="str">
        <f>IF(B327="","",Events!$Z32)</f>
        <v/>
      </c>
      <c r="N327" s="20" t="str">
        <f>IF(B327="","",Events!$AA32)</f>
        <v/>
      </c>
      <c r="O327" s="27">
        <f>IF(B327="","",Events!$X32)</f>
        <v>46067</v>
      </c>
      <c r="P327" s="27">
        <f>IF(B327="","",Events!$Y32)</f>
        <v>46067</v>
      </c>
      <c r="Q327" s="20" t="str">
        <f t="shared" si="70"/>
        <v>2026-02-14</v>
      </c>
      <c r="R327" s="20" t="str">
        <f>IF(A327="","",IF(J327&lt;&gt;"",J327,IF(H327="TIMESTAMP",DAY(INT(M327/1440))&amp;" "&amp;INDEX(nLIST_Months,MONTH(INT(M327/1440)))&amp;" "&amp;YEAR(INT(M327/1440))&amp;" "&amp;RIGHT("0"&amp;INT(MOD(M327,1440)/60),2)&amp;":"&amp;RIGHT("0"&amp;MOD(M327,60),2)&amp;IF(L327=1," (UTC"&amp;I327&amp;")"," (offset unknown)"),IF(H327="DATE",DAY(O327)&amp;" "&amp;INDEX(nLIST_Months,MONTH(O327))&amp;" "&amp;YEAR(O327),IF(H327="MONTH",INDEX(nLIST_Months,MONTH(O327))&amp;" "&amp;YEAR(O327)&amp;" ("&amp;DAY(O327)&amp;" "&amp;INDEX(nLIST_Months,MONTH(O327))&amp;" "&amp;YEAR(O327)&amp;" to "&amp;DAY(P327)&amp;" "&amp;INDEX(nLIST_Months,MONTH(P327))&amp;" "&amp;YEAR(P327)&amp;")",IF(H327="YEAR",YEAR(O327)&amp;" (1 January to 31 December)",DAY(O327)&amp;" "&amp;INDEX(nLIST_Months,MONTH(O327))&amp;" "&amp;YEAR(O327)&amp;" to "&amp;DAY(P327)&amp;" "&amp;INDEX(nLIST_Months,MONTH(P327))&amp;" "&amp;YEAR(P327)&amp;IF(H327="LAB"," (laboratory-defined)","")))))))</f>
        <v>14 February 2026</v>
      </c>
      <c r="S327" s="20" t="str">
        <f>IF(B327="","",Events!$I32&amp;"")</f>
        <v>2026-02-14</v>
      </c>
      <c r="T327" s="20" t="str">
        <f>IF(B327="","",Events!$T32&amp;"")</f>
        <v>tto_calc_test_vectors_v1.1.json V08</v>
      </c>
      <c r="U327" s="20" t="str">
        <f>IF(B327="","","Events row "&amp;ROW(Events!$A32)&amp;", Onset")</f>
        <v>Events row 32, Onset</v>
      </c>
      <c r="V327" s="20">
        <f>IF(A327="",0,COUNTIF(nTP_Key,A327))</f>
        <v>1</v>
      </c>
      <c r="W327" s="20">
        <f t="shared" si="71"/>
        <v>0</v>
      </c>
      <c r="X327" s="20">
        <f t="shared" si="72"/>
        <v>0</v>
      </c>
      <c r="Y327" s="20">
        <f t="shared" si="73"/>
        <v>46067</v>
      </c>
      <c r="Z327" s="20">
        <f t="shared" si="74"/>
        <v>46067</v>
      </c>
      <c r="AA327" s="20">
        <f t="shared" si="75"/>
        <v>323</v>
      </c>
      <c r="AB327" s="20" t="str">
        <f>""</f>
        <v/>
      </c>
      <c r="AC327" s="20" t="str">
        <f>""</f>
        <v/>
      </c>
      <c r="AD327" s="20" t="str">
        <f>IF(B327="","",Events!$E32&amp;" (onset)")</f>
        <v>Vector event (onset)</v>
      </c>
      <c r="AE327" s="20">
        <f t="shared" si="76"/>
        <v>0</v>
      </c>
      <c r="AF327" s="20" t="str">
        <f t="shared" si="77"/>
        <v/>
      </c>
      <c r="AG327" s="20">
        <f t="shared" si="78"/>
        <v>1</v>
      </c>
      <c r="AH327" s="20" t="str">
        <f>IF(B327="","",IF(Events!$J32="LAB","Onset is laboratory-defined (CALC-SPEC 1.1, C4): lower bound = date of the last normal test ("&amp;Events!$R32&amp;"), upper bound = date of the first abnormal test ("&amp;Events!$S32&amp;"). The reviewer decides which results are normal.",""))</f>
        <v/>
      </c>
    </row>
    <row r="328" spans="1:34" x14ac:dyDescent="0.2">
      <c r="A328" s="20" t="str">
        <f t="shared" si="68"/>
        <v>VEC-V09|1|EV1/ONSET</v>
      </c>
      <c r="B328" s="20" t="str">
        <f>IF(AND(Events!$D33&lt;&gt;"",COUNTA(Events!$J33:$Q33)&gt;0),Events!$D33&amp;"/ONSET","")</f>
        <v>EV1/ONSET</v>
      </c>
      <c r="C328" s="20" t="str">
        <f t="shared" si="67"/>
        <v>EVENT_ONSET</v>
      </c>
      <c r="D328" s="20" t="str">
        <f>IF(B328="","",Events!$A33&amp;"")</f>
        <v>VEC-V09</v>
      </c>
      <c r="E328" s="20" t="str">
        <f>IF(B328="","",Events!$B33&amp;"")</f>
        <v>1</v>
      </c>
      <c r="F328" s="20" t="str">
        <f t="shared" si="69"/>
        <v>VEC-V09|1</v>
      </c>
      <c r="G328" s="20" t="str">
        <f>IF(B328="","",Events!$D33&amp;"")</f>
        <v>EV1</v>
      </c>
      <c r="H328" s="20" t="str">
        <f>IF(B328="","",Events!$J33&amp;"")</f>
        <v>TIMESTAMP</v>
      </c>
      <c r="I328" s="20" t="str">
        <f>IF(B328="","",Events!$M33&amp;"")</f>
        <v>-05:00</v>
      </c>
      <c r="J328" s="20" t="str">
        <f>IF(B328="","",Events!$U33&amp;"")</f>
        <v/>
      </c>
      <c r="K328" s="20">
        <f>IF(B328="",0,Events!$V33)</f>
        <v>1</v>
      </c>
      <c r="L328" s="20">
        <f>IF(B328="",0,Events!$W33)</f>
        <v>1</v>
      </c>
      <c r="M328" s="20">
        <f>IF(B328="","",Events!$Z33)</f>
        <v>66710970</v>
      </c>
      <c r="N328" s="20">
        <f>IF(B328="","",Events!$AA33)</f>
        <v>66711270</v>
      </c>
      <c r="O328" s="27">
        <f>IF(B328="","",Events!$X33)</f>
        <v>46327</v>
      </c>
      <c r="P328" s="27">
        <f>IF(B328="","",Events!$Y33)</f>
        <v>46327</v>
      </c>
      <c r="Q328" s="20" t="str">
        <f t="shared" si="70"/>
        <v>2026-11-01T01:30-05:00</v>
      </c>
      <c r="R328" s="20" t="str">
        <f>IF(A328="","",IF(J328&lt;&gt;"",J328,IF(H328="TIMESTAMP",DAY(INT(M328/1440))&amp;" "&amp;INDEX(nLIST_Months,MONTH(INT(M328/1440)))&amp;" "&amp;YEAR(INT(M328/1440))&amp;" "&amp;RIGHT("0"&amp;INT(MOD(M328,1440)/60),2)&amp;":"&amp;RIGHT("0"&amp;MOD(M328,60),2)&amp;IF(L328=1," (UTC"&amp;I328&amp;")"," (offset unknown)"),IF(H328="DATE",DAY(O328)&amp;" "&amp;INDEX(nLIST_Months,MONTH(O328))&amp;" "&amp;YEAR(O328),IF(H328="MONTH",INDEX(nLIST_Months,MONTH(O328))&amp;" "&amp;YEAR(O328)&amp;" ("&amp;DAY(O328)&amp;" "&amp;INDEX(nLIST_Months,MONTH(O328))&amp;" "&amp;YEAR(O328)&amp;" to "&amp;DAY(P328)&amp;" "&amp;INDEX(nLIST_Months,MONTH(P328))&amp;" "&amp;YEAR(P328)&amp;")",IF(H328="YEAR",YEAR(O328)&amp;" (1 January to 31 December)",DAY(O328)&amp;" "&amp;INDEX(nLIST_Months,MONTH(O328))&amp;" "&amp;YEAR(O328)&amp;" to "&amp;DAY(P328)&amp;" "&amp;INDEX(nLIST_Months,MONTH(P328))&amp;" "&amp;YEAR(P328)&amp;IF(H328="LAB"," (laboratory-defined)","")))))))</f>
        <v>1 November 2026 01:30 (UTC-05:00)</v>
      </c>
      <c r="S328" s="20" t="str">
        <f>IF(B328="","",Events!$I33&amp;"")</f>
        <v>2026-11-01T01:30-05:00</v>
      </c>
      <c r="T328" s="20" t="str">
        <f>IF(B328="","",Events!$T33&amp;"")</f>
        <v>tto_calc_test_vectors_v1.1.json V09</v>
      </c>
      <c r="U328" s="20" t="str">
        <f>IF(B328="","","Events row "&amp;ROW(Events!$A33)&amp;", Onset")</f>
        <v>Events row 33, Onset</v>
      </c>
      <c r="V328" s="20">
        <f>IF(A328="",0,COUNTIF(nTP_Key,A328))</f>
        <v>1</v>
      </c>
      <c r="W328" s="20">
        <f t="shared" si="71"/>
        <v>66710970</v>
      </c>
      <c r="X328" s="20">
        <f t="shared" si="72"/>
        <v>66711270</v>
      </c>
      <c r="Y328" s="20">
        <f t="shared" si="73"/>
        <v>46327</v>
      </c>
      <c r="Z328" s="20">
        <f t="shared" si="74"/>
        <v>46327</v>
      </c>
      <c r="AA328" s="20">
        <f t="shared" si="75"/>
        <v>324</v>
      </c>
      <c r="AB328" s="20" t="str">
        <f>""</f>
        <v/>
      </c>
      <c r="AC328" s="20" t="str">
        <f>""</f>
        <v/>
      </c>
      <c r="AD328" s="20" t="str">
        <f>IF(B328="","",Events!$E33&amp;" (onset)")</f>
        <v>Vector event (onset)</v>
      </c>
      <c r="AE328" s="20">
        <f t="shared" si="76"/>
        <v>0</v>
      </c>
      <c r="AF328" s="20" t="str">
        <f t="shared" si="77"/>
        <v/>
      </c>
      <c r="AG328" s="20">
        <f t="shared" si="78"/>
        <v>1</v>
      </c>
      <c r="AH328" s="20" t="str">
        <f>IF(B328="","",IF(Events!$J33="LAB","Onset is laboratory-defined (CALC-SPEC 1.1, C4): lower bound = date of the last normal test ("&amp;Events!$R33&amp;"), upper bound = date of the first abnormal test ("&amp;Events!$S33&amp;"). The reviewer decides which results are normal.",""))</f>
        <v/>
      </c>
    </row>
    <row r="329" spans="1:34" x14ac:dyDescent="0.2">
      <c r="A329" s="20" t="str">
        <f t="shared" si="68"/>
        <v>VEC-V10|1|EV1/ONSET</v>
      </c>
      <c r="B329" s="20" t="str">
        <f>IF(AND(Events!$D34&lt;&gt;"",COUNTA(Events!$J34:$Q34)&gt;0),Events!$D34&amp;"/ONSET","")</f>
        <v>EV1/ONSET</v>
      </c>
      <c r="C329" s="20" t="str">
        <f t="shared" si="67"/>
        <v>EVENT_ONSET</v>
      </c>
      <c r="D329" s="20" t="str">
        <f>IF(B329="","",Events!$A34&amp;"")</f>
        <v>VEC-V10</v>
      </c>
      <c r="E329" s="20" t="str">
        <f>IF(B329="","",Events!$B34&amp;"")</f>
        <v>1</v>
      </c>
      <c r="F329" s="20" t="str">
        <f t="shared" si="69"/>
        <v>VEC-V10|1</v>
      </c>
      <c r="G329" s="20" t="str">
        <f>IF(B329="","",Events!$D34&amp;"")</f>
        <v>EV1</v>
      </c>
      <c r="H329" s="20" t="str">
        <f>IF(B329="","",Events!$J34&amp;"")</f>
        <v>TIMESTAMP</v>
      </c>
      <c r="I329" s="20" t="str">
        <f>IF(B329="","",Events!$M34&amp;"")</f>
        <v>unknown</v>
      </c>
      <c r="J329" s="20" t="str">
        <f>IF(B329="","",Events!$U34&amp;"")</f>
        <v/>
      </c>
      <c r="K329" s="20">
        <f>IF(B329="",0,Events!$V34)</f>
        <v>1</v>
      </c>
      <c r="L329" s="20">
        <f>IF(B329="",0,Events!$W34)</f>
        <v>0</v>
      </c>
      <c r="M329" s="20">
        <f>IF(B329="","",Events!$Z34)</f>
        <v>66368370</v>
      </c>
      <c r="N329" s="20" t="str">
        <f>IF(B329="","",Events!$AA34)</f>
        <v/>
      </c>
      <c r="O329" s="27">
        <f>IF(B329="","",Events!$X34)</f>
        <v>46089</v>
      </c>
      <c r="P329" s="27">
        <f>IF(B329="","",Events!$Y34)</f>
        <v>46089</v>
      </c>
      <c r="Q329" s="20" t="str">
        <f t="shared" si="70"/>
        <v>2026-03-08T03:30</v>
      </c>
      <c r="R329" s="20" t="str">
        <f>IF(A329="","",IF(J329&lt;&gt;"",J329,IF(H329="TIMESTAMP",DAY(INT(M329/1440))&amp;" "&amp;INDEX(nLIST_Months,MONTH(INT(M329/1440)))&amp;" "&amp;YEAR(INT(M329/1440))&amp;" "&amp;RIGHT("0"&amp;INT(MOD(M329,1440)/60),2)&amp;":"&amp;RIGHT("0"&amp;MOD(M329,60),2)&amp;IF(L329=1," (UTC"&amp;I329&amp;")"," (offset unknown)"),IF(H329="DATE",DAY(O329)&amp;" "&amp;INDEX(nLIST_Months,MONTH(O329))&amp;" "&amp;YEAR(O329),IF(H329="MONTH",INDEX(nLIST_Months,MONTH(O329))&amp;" "&amp;YEAR(O329)&amp;" ("&amp;DAY(O329)&amp;" "&amp;INDEX(nLIST_Months,MONTH(O329))&amp;" "&amp;YEAR(O329)&amp;" to "&amp;DAY(P329)&amp;" "&amp;INDEX(nLIST_Months,MONTH(P329))&amp;" "&amp;YEAR(P329)&amp;")",IF(H329="YEAR",YEAR(O329)&amp;" (1 January to 31 December)",DAY(O329)&amp;" "&amp;INDEX(nLIST_Months,MONTH(O329))&amp;" "&amp;YEAR(O329)&amp;" to "&amp;DAY(P329)&amp;" "&amp;INDEX(nLIST_Months,MONTH(P329))&amp;" "&amp;YEAR(P329)&amp;IF(H329="LAB"," (laboratory-defined)","")))))))</f>
        <v>8 March 2026 03:30 (offset unknown)</v>
      </c>
      <c r="S329" s="20" t="str">
        <f>IF(B329="","",Events!$I34&amp;"")</f>
        <v>2026-03-08T03:30 (offset unknown)</v>
      </c>
      <c r="T329" s="20" t="str">
        <f>IF(B329="","",Events!$T34&amp;"")</f>
        <v>tto_calc_test_vectors_v1.1.json V10</v>
      </c>
      <c r="U329" s="20" t="str">
        <f>IF(B329="","","Events row "&amp;ROW(Events!$A34)&amp;", Onset")</f>
        <v>Events row 34, Onset</v>
      </c>
      <c r="V329" s="20">
        <f>IF(A329="",0,COUNTIF(nTP_Key,A329))</f>
        <v>1</v>
      </c>
      <c r="W329" s="20">
        <f t="shared" si="71"/>
        <v>66368370</v>
      </c>
      <c r="X329" s="20">
        <f t="shared" si="72"/>
        <v>0</v>
      </c>
      <c r="Y329" s="20">
        <f t="shared" si="73"/>
        <v>46089</v>
      </c>
      <c r="Z329" s="20">
        <f t="shared" si="74"/>
        <v>46089</v>
      </c>
      <c r="AA329" s="20">
        <f t="shared" si="75"/>
        <v>325</v>
      </c>
      <c r="AB329" s="20" t="str">
        <f>""</f>
        <v/>
      </c>
      <c r="AC329" s="20" t="str">
        <f>""</f>
        <v/>
      </c>
      <c r="AD329" s="20" t="str">
        <f>IF(B329="","",Events!$E34&amp;" (onset)")</f>
        <v>Vector event (onset)</v>
      </c>
      <c r="AE329" s="20">
        <f t="shared" si="76"/>
        <v>0</v>
      </c>
      <c r="AF329" s="20" t="str">
        <f t="shared" si="77"/>
        <v/>
      </c>
      <c r="AG329" s="20">
        <f t="shared" si="78"/>
        <v>1</v>
      </c>
      <c r="AH329" s="20" t="str">
        <f>IF(B329="","",IF(Events!$J34="LAB","Onset is laboratory-defined (CALC-SPEC 1.1, C4): lower bound = date of the last normal test ("&amp;Events!$R34&amp;"), upper bound = date of the first abnormal test ("&amp;Events!$S34&amp;"). The reviewer decides which results are normal.",""))</f>
        <v/>
      </c>
    </row>
    <row r="330" spans="1:34" x14ac:dyDescent="0.2">
      <c r="A330" s="20" t="str">
        <f t="shared" si="68"/>
        <v>VEC-V11|1|EV1/ONSET</v>
      </c>
      <c r="B330" s="20" t="str">
        <f>IF(AND(Events!$D35&lt;&gt;"",COUNTA(Events!$J35:$Q35)&gt;0),Events!$D35&amp;"/ONSET","")</f>
        <v>EV1/ONSET</v>
      </c>
      <c r="C330" s="20" t="str">
        <f t="shared" si="67"/>
        <v>EVENT_ONSET</v>
      </c>
      <c r="D330" s="20" t="str">
        <f>IF(B330="","",Events!$A35&amp;"")</f>
        <v>VEC-V11</v>
      </c>
      <c r="E330" s="20" t="str">
        <f>IF(B330="","",Events!$B35&amp;"")</f>
        <v>1</v>
      </c>
      <c r="F330" s="20" t="str">
        <f t="shared" si="69"/>
        <v>VEC-V11|1</v>
      </c>
      <c r="G330" s="20" t="str">
        <f>IF(B330="","",Events!$D35&amp;"")</f>
        <v>EV1</v>
      </c>
      <c r="H330" s="20" t="str">
        <f>IF(B330="","",Events!$J35&amp;"")</f>
        <v>TIMESTAMP</v>
      </c>
      <c r="I330" s="20" t="str">
        <f>IF(B330="","",Events!$M35&amp;"")</f>
        <v>-05:00</v>
      </c>
      <c r="J330" s="20" t="str">
        <f>IF(B330="","",Events!$U35&amp;"")</f>
        <v/>
      </c>
      <c r="K330" s="20">
        <f>IF(B330="",0,Events!$V35)</f>
        <v>1</v>
      </c>
      <c r="L330" s="20">
        <f>IF(B330="",0,Events!$W35)</f>
        <v>1</v>
      </c>
      <c r="M330" s="20">
        <f>IF(B330="","",Events!$Z35)</f>
        <v>66403560</v>
      </c>
      <c r="N330" s="20">
        <f>IF(B330="","",Events!$AA35)</f>
        <v>66403860</v>
      </c>
      <c r="O330" s="27">
        <f>IF(B330="","",Events!$X35)</f>
        <v>46113</v>
      </c>
      <c r="P330" s="27">
        <f>IF(B330="","",Events!$Y35)</f>
        <v>46113</v>
      </c>
      <c r="Q330" s="20" t="str">
        <f t="shared" si="70"/>
        <v>2026-04-01T14:00-05:00</v>
      </c>
      <c r="R330" s="20" t="str">
        <f>IF(A330="","",IF(J330&lt;&gt;"",J330,IF(H330="TIMESTAMP",DAY(INT(M330/1440))&amp;" "&amp;INDEX(nLIST_Months,MONTH(INT(M330/1440)))&amp;" "&amp;YEAR(INT(M330/1440))&amp;" "&amp;RIGHT("0"&amp;INT(MOD(M330,1440)/60),2)&amp;":"&amp;RIGHT("0"&amp;MOD(M330,60),2)&amp;IF(L330=1," (UTC"&amp;I330&amp;")"," (offset unknown)"),IF(H330="DATE",DAY(O330)&amp;" "&amp;INDEX(nLIST_Months,MONTH(O330))&amp;" "&amp;YEAR(O330),IF(H330="MONTH",INDEX(nLIST_Months,MONTH(O330))&amp;" "&amp;YEAR(O330)&amp;" ("&amp;DAY(O330)&amp;" "&amp;INDEX(nLIST_Months,MONTH(O330))&amp;" "&amp;YEAR(O330)&amp;" to "&amp;DAY(P330)&amp;" "&amp;INDEX(nLIST_Months,MONTH(P330))&amp;" "&amp;YEAR(P330)&amp;")",IF(H330="YEAR",YEAR(O330)&amp;" (1 January to 31 December)",DAY(O330)&amp;" "&amp;INDEX(nLIST_Months,MONTH(O330))&amp;" "&amp;YEAR(O330)&amp;" to "&amp;DAY(P330)&amp;" "&amp;INDEX(nLIST_Months,MONTH(P330))&amp;" "&amp;YEAR(P330)&amp;IF(H330="LAB"," (laboratory-defined)","")))))))</f>
        <v>1 April 2026 14:00 (UTC-05:00)</v>
      </c>
      <c r="S330" s="20" t="str">
        <f>IF(B330="","",Events!$I35&amp;"")</f>
        <v>onset 14:00</v>
      </c>
      <c r="T330" s="20" t="str">
        <f>IF(B330="","",Events!$T35&amp;"")</f>
        <v>tto_calc_test_vectors_v1.1.json V11</v>
      </c>
      <c r="U330" s="20" t="str">
        <f>IF(B330="","","Events row "&amp;ROW(Events!$A35)&amp;", Onset")</f>
        <v>Events row 35, Onset</v>
      </c>
      <c r="V330" s="20">
        <f>IF(A330="",0,COUNTIF(nTP_Key,A330))</f>
        <v>1</v>
      </c>
      <c r="W330" s="20">
        <f t="shared" si="71"/>
        <v>66403560</v>
      </c>
      <c r="X330" s="20">
        <f t="shared" si="72"/>
        <v>66403860</v>
      </c>
      <c r="Y330" s="20">
        <f t="shared" si="73"/>
        <v>46113</v>
      </c>
      <c r="Z330" s="20">
        <f t="shared" si="74"/>
        <v>46113</v>
      </c>
      <c r="AA330" s="20">
        <f t="shared" si="75"/>
        <v>326</v>
      </c>
      <c r="AB330" s="20" t="str">
        <f>""</f>
        <v/>
      </c>
      <c r="AC330" s="20" t="str">
        <f>""</f>
        <v/>
      </c>
      <c r="AD330" s="20" t="str">
        <f>IF(B330="","",Events!$E35&amp;" (onset)")</f>
        <v>Vector event (onset)</v>
      </c>
      <c r="AE330" s="20">
        <f t="shared" si="76"/>
        <v>0</v>
      </c>
      <c r="AF330" s="20" t="str">
        <f t="shared" si="77"/>
        <v/>
      </c>
      <c r="AG330" s="20">
        <f t="shared" si="78"/>
        <v>1</v>
      </c>
      <c r="AH330" s="20" t="str">
        <f>IF(B330="","",IF(Events!$J35="LAB","Onset is laboratory-defined (CALC-SPEC 1.1, C4): lower bound = date of the last normal test ("&amp;Events!$R35&amp;"), upper bound = date of the first abnormal test ("&amp;Events!$S35&amp;"). The reviewer decides which results are normal.",""))</f>
        <v/>
      </c>
    </row>
    <row r="331" spans="1:34" x14ac:dyDescent="0.2">
      <c r="A331" s="20" t="str">
        <f t="shared" si="68"/>
        <v>VEC-V12|1|EV1/ONSET</v>
      </c>
      <c r="B331" s="20" t="str">
        <f>IF(AND(Events!$D36&lt;&gt;"",COUNTA(Events!$J36:$Q36)&gt;0),Events!$D36&amp;"/ONSET","")</f>
        <v>EV1/ONSET</v>
      </c>
      <c r="C331" s="20" t="str">
        <f t="shared" si="67"/>
        <v>EVENT_ONSET</v>
      </c>
      <c r="D331" s="20" t="str">
        <f>IF(B331="","",Events!$A36&amp;"")</f>
        <v>VEC-V12</v>
      </c>
      <c r="E331" s="20" t="str">
        <f>IF(B331="","",Events!$B36&amp;"")</f>
        <v>1</v>
      </c>
      <c r="F331" s="20" t="str">
        <f t="shared" si="69"/>
        <v>VEC-V12|1</v>
      </c>
      <c r="G331" s="20" t="str">
        <f>IF(B331="","",Events!$D36&amp;"")</f>
        <v>EV1</v>
      </c>
      <c r="H331" s="20" t="str">
        <f>IF(B331="","",Events!$J36&amp;"")</f>
        <v>DATE</v>
      </c>
      <c r="I331" s="20" t="str">
        <f>IF(B331="","",Events!$M36&amp;"")</f>
        <v/>
      </c>
      <c r="J331" s="20" t="str">
        <f>IF(B331="","",Events!$U36&amp;"")</f>
        <v/>
      </c>
      <c r="K331" s="20">
        <f>IF(B331="",0,Events!$V36)</f>
        <v>0</v>
      </c>
      <c r="L331" s="20">
        <f>IF(B331="",0,Events!$W36)</f>
        <v>0</v>
      </c>
      <c r="M331" s="20" t="str">
        <f>IF(B331="","",Events!$Z36)</f>
        <v/>
      </c>
      <c r="N331" s="20" t="str">
        <f>IF(B331="","",Events!$AA36)</f>
        <v/>
      </c>
      <c r="O331" s="27">
        <f>IF(B331="","",Events!$X36)</f>
        <v>46152</v>
      </c>
      <c r="P331" s="27">
        <f>IF(B331="","",Events!$Y36)</f>
        <v>46152</v>
      </c>
      <c r="Q331" s="20" t="str">
        <f t="shared" si="70"/>
        <v>2026-05-10</v>
      </c>
      <c r="R331" s="20" t="str">
        <f>IF(A331="","",IF(J331&lt;&gt;"",J331,IF(H331="TIMESTAMP",DAY(INT(M331/1440))&amp;" "&amp;INDEX(nLIST_Months,MONTH(INT(M331/1440)))&amp;" "&amp;YEAR(INT(M331/1440))&amp;" "&amp;RIGHT("0"&amp;INT(MOD(M331,1440)/60),2)&amp;":"&amp;RIGHT("0"&amp;MOD(M331,60),2)&amp;IF(L331=1," (UTC"&amp;I331&amp;")"," (offset unknown)"),IF(H331="DATE",DAY(O331)&amp;" "&amp;INDEX(nLIST_Months,MONTH(O331))&amp;" "&amp;YEAR(O331),IF(H331="MONTH",INDEX(nLIST_Months,MONTH(O331))&amp;" "&amp;YEAR(O331)&amp;" ("&amp;DAY(O331)&amp;" "&amp;INDEX(nLIST_Months,MONTH(O331))&amp;" "&amp;YEAR(O331)&amp;" to "&amp;DAY(P331)&amp;" "&amp;INDEX(nLIST_Months,MONTH(P331))&amp;" "&amp;YEAR(P331)&amp;")",IF(H331="YEAR",YEAR(O331)&amp;" (1 January to 31 December)",DAY(O331)&amp;" "&amp;INDEX(nLIST_Months,MONTH(O331))&amp;" "&amp;YEAR(O331)&amp;" to "&amp;DAY(P331)&amp;" "&amp;INDEX(nLIST_Months,MONTH(P331))&amp;" "&amp;YEAR(P331)&amp;IF(H331="LAB"," (laboratory-defined)","")))))))</f>
        <v>10 May 2026</v>
      </c>
      <c r="S331" s="20" t="str">
        <f>IF(B331="","",Events!$I36&amp;"")</f>
        <v>onset 10 May (version 1)</v>
      </c>
      <c r="T331" s="20" t="str">
        <f>IF(B331="","",Events!$T36&amp;"")</f>
        <v>tto_calc_test_vectors_v1.1.json V12</v>
      </c>
      <c r="U331" s="20" t="str">
        <f>IF(B331="","","Events row "&amp;ROW(Events!$A36)&amp;", Onset")</f>
        <v>Events row 36, Onset</v>
      </c>
      <c r="V331" s="20">
        <f>IF(A331="",0,COUNTIF(nTP_Key,A331))</f>
        <v>1</v>
      </c>
      <c r="W331" s="20">
        <f t="shared" si="71"/>
        <v>0</v>
      </c>
      <c r="X331" s="20">
        <f t="shared" si="72"/>
        <v>0</v>
      </c>
      <c r="Y331" s="20">
        <f t="shared" si="73"/>
        <v>46152</v>
      </c>
      <c r="Z331" s="20">
        <f t="shared" si="74"/>
        <v>46152</v>
      </c>
      <c r="AA331" s="20">
        <f t="shared" si="75"/>
        <v>327</v>
      </c>
      <c r="AB331" s="20" t="str">
        <f>""</f>
        <v/>
      </c>
      <c r="AC331" s="20" t="str">
        <f>""</f>
        <v/>
      </c>
      <c r="AD331" s="20" t="str">
        <f>IF(B331="","",Events!$E36&amp;" (onset)")</f>
        <v>Vector event (onset)</v>
      </c>
      <c r="AE331" s="20">
        <f t="shared" si="76"/>
        <v>0</v>
      </c>
      <c r="AF331" s="20" t="str">
        <f t="shared" si="77"/>
        <v/>
      </c>
      <c r="AG331" s="20">
        <f t="shared" si="78"/>
        <v>1</v>
      </c>
      <c r="AH331" s="20" t="str">
        <f>IF(B331="","",IF(Events!$J36="LAB","Onset is laboratory-defined (CALC-SPEC 1.1, C4): lower bound = date of the last normal test ("&amp;Events!$R36&amp;"), upper bound = date of the first abnormal test ("&amp;Events!$S36&amp;"). The reviewer decides which results are normal.",""))</f>
        <v/>
      </c>
    </row>
    <row r="332" spans="1:34" x14ac:dyDescent="0.2">
      <c r="A332" s="20" t="str">
        <f t="shared" si="68"/>
        <v>VEC-V12|2|EV1/ONSET</v>
      </c>
      <c r="B332" s="20" t="str">
        <f>IF(AND(Events!$D37&lt;&gt;"",COUNTA(Events!$J37:$Q37)&gt;0),Events!$D37&amp;"/ONSET","")</f>
        <v>EV1/ONSET</v>
      </c>
      <c r="C332" s="20" t="str">
        <f t="shared" si="67"/>
        <v>EVENT_ONSET</v>
      </c>
      <c r="D332" s="20" t="str">
        <f>IF(B332="","",Events!$A37&amp;"")</f>
        <v>VEC-V12</v>
      </c>
      <c r="E332" s="20" t="str">
        <f>IF(B332="","",Events!$B37&amp;"")</f>
        <v>2</v>
      </c>
      <c r="F332" s="20" t="str">
        <f t="shared" si="69"/>
        <v>VEC-V12|2</v>
      </c>
      <c r="G332" s="20" t="str">
        <f>IF(B332="","",Events!$D37&amp;"")</f>
        <v>EV1</v>
      </c>
      <c r="H332" s="20" t="str">
        <f>IF(B332="","",Events!$J37&amp;"")</f>
        <v>DATE</v>
      </c>
      <c r="I332" s="20" t="str">
        <f>IF(B332="","",Events!$M37&amp;"")</f>
        <v/>
      </c>
      <c r="J332" s="20" t="str">
        <f>IF(B332="","",Events!$U37&amp;"")</f>
        <v/>
      </c>
      <c r="K332" s="20">
        <f>IF(B332="",0,Events!$V37)</f>
        <v>0</v>
      </c>
      <c r="L332" s="20">
        <f>IF(B332="",0,Events!$W37)</f>
        <v>0</v>
      </c>
      <c r="M332" s="20" t="str">
        <f>IF(B332="","",Events!$Z37)</f>
        <v/>
      </c>
      <c r="N332" s="20" t="str">
        <f>IF(B332="","",Events!$AA37)</f>
        <v/>
      </c>
      <c r="O332" s="27">
        <f>IF(B332="","",Events!$X37)</f>
        <v>46150</v>
      </c>
      <c r="P332" s="27">
        <f>IF(B332="","",Events!$Y37)</f>
        <v>46150</v>
      </c>
      <c r="Q332" s="20" t="str">
        <f t="shared" si="70"/>
        <v>2026-05-08</v>
      </c>
      <c r="R332" s="20" t="str">
        <f>IF(A332="","",IF(J332&lt;&gt;"",J332,IF(H332="TIMESTAMP",DAY(INT(M332/1440))&amp;" "&amp;INDEX(nLIST_Months,MONTH(INT(M332/1440)))&amp;" "&amp;YEAR(INT(M332/1440))&amp;" "&amp;RIGHT("0"&amp;INT(MOD(M332,1440)/60),2)&amp;":"&amp;RIGHT("0"&amp;MOD(M332,60),2)&amp;IF(L332=1," (UTC"&amp;I332&amp;")"," (offset unknown)"),IF(H332="DATE",DAY(O332)&amp;" "&amp;INDEX(nLIST_Months,MONTH(O332))&amp;" "&amp;YEAR(O332),IF(H332="MONTH",INDEX(nLIST_Months,MONTH(O332))&amp;" "&amp;YEAR(O332)&amp;" ("&amp;DAY(O332)&amp;" "&amp;INDEX(nLIST_Months,MONTH(O332))&amp;" "&amp;YEAR(O332)&amp;" to "&amp;DAY(P332)&amp;" "&amp;INDEX(nLIST_Months,MONTH(P332))&amp;" "&amp;YEAR(P332)&amp;")",IF(H332="YEAR",YEAR(O332)&amp;" (1 January to 31 December)",DAY(O332)&amp;" "&amp;INDEX(nLIST_Months,MONTH(O332))&amp;" "&amp;YEAR(O332)&amp;" to "&amp;DAY(P332)&amp;" "&amp;INDEX(nLIST_Months,MONTH(P332))&amp;" "&amp;YEAR(P332)&amp;IF(H332="LAB"," (laboratory-defined)","")))))))</f>
        <v>8 May 2026</v>
      </c>
      <c r="S332" s="20" t="str">
        <f>IF(B332="","",Events!$I37&amp;"")</f>
        <v>onset 8 May (follow-up, version 2)</v>
      </c>
      <c r="T332" s="20" t="str">
        <f>IF(B332="","",Events!$T37&amp;"")</f>
        <v>tto_calc_test_vectors_v1.1.json V12</v>
      </c>
      <c r="U332" s="20" t="str">
        <f>IF(B332="","","Events row "&amp;ROW(Events!$A37)&amp;", Onset")</f>
        <v>Events row 37, Onset</v>
      </c>
      <c r="V332" s="20">
        <f>IF(A332="",0,COUNTIF(nTP_Key,A332))</f>
        <v>1</v>
      </c>
      <c r="W332" s="20">
        <f t="shared" si="71"/>
        <v>0</v>
      </c>
      <c r="X332" s="20">
        <f t="shared" si="72"/>
        <v>0</v>
      </c>
      <c r="Y332" s="20">
        <f t="shared" si="73"/>
        <v>46150</v>
      </c>
      <c r="Z332" s="20">
        <f t="shared" si="74"/>
        <v>46150</v>
      </c>
      <c r="AA332" s="20">
        <f t="shared" si="75"/>
        <v>328</v>
      </c>
      <c r="AB332" s="20" t="str">
        <f>""</f>
        <v/>
      </c>
      <c r="AC332" s="20" t="str">
        <f>""</f>
        <v/>
      </c>
      <c r="AD332" s="20" t="str">
        <f>IF(B332="","",Events!$E37&amp;" (onset)")</f>
        <v>Vector event (onset)</v>
      </c>
      <c r="AE332" s="20">
        <f t="shared" si="76"/>
        <v>0</v>
      </c>
      <c r="AF332" s="20" t="str">
        <f t="shared" si="77"/>
        <v/>
      </c>
      <c r="AG332" s="20">
        <f t="shared" si="78"/>
        <v>1</v>
      </c>
      <c r="AH332" s="20" t="str">
        <f>IF(B332="","",IF(Events!$J37="LAB","Onset is laboratory-defined (CALC-SPEC 1.1, C4): lower bound = date of the last normal test ("&amp;Events!$R37&amp;"), upper bound = date of the first abnormal test ("&amp;Events!$S37&amp;"). The reviewer decides which results are normal.",""))</f>
        <v/>
      </c>
    </row>
    <row r="333" spans="1:34" x14ac:dyDescent="0.2">
      <c r="A333" s="20" t="str">
        <f t="shared" si="68"/>
        <v>VEC-V13|1|EV1/ONSET</v>
      </c>
      <c r="B333" s="20" t="str">
        <f>IF(AND(Events!$D38&lt;&gt;"",COUNTA(Events!$J38:$Q38)&gt;0),Events!$D38&amp;"/ONSET","")</f>
        <v>EV1/ONSET</v>
      </c>
      <c r="C333" s="20" t="str">
        <f t="shared" si="67"/>
        <v>EVENT_ONSET</v>
      </c>
      <c r="D333" s="20" t="str">
        <f>IF(B333="","",Events!$A38&amp;"")</f>
        <v>VEC-V13</v>
      </c>
      <c r="E333" s="20" t="str">
        <f>IF(B333="","",Events!$B38&amp;"")</f>
        <v>1</v>
      </c>
      <c r="F333" s="20" t="str">
        <f t="shared" si="69"/>
        <v>VEC-V13|1</v>
      </c>
      <c r="G333" s="20" t="str">
        <f>IF(B333="","",Events!$D38&amp;"")</f>
        <v>EV1</v>
      </c>
      <c r="H333" s="20" t="str">
        <f>IF(B333="","",Events!$J38&amp;"")</f>
        <v>DATE</v>
      </c>
      <c r="I333" s="20" t="str">
        <f>IF(B333="","",Events!$M38&amp;"")</f>
        <v/>
      </c>
      <c r="J333" s="20" t="str">
        <f>IF(B333="","",Events!$U38&amp;"")</f>
        <v>E_INVALID_DATE</v>
      </c>
      <c r="K333" s="20">
        <f>IF(B333="",0,Events!$V38)</f>
        <v>0</v>
      </c>
      <c r="L333" s="20">
        <f>IF(B333="",0,Events!$W38)</f>
        <v>0</v>
      </c>
      <c r="M333" s="20" t="str">
        <f>IF(B333="","",Events!$Z38)</f>
        <v/>
      </c>
      <c r="N333" s="20" t="str">
        <f>IF(B333="","",Events!$AA38)</f>
        <v/>
      </c>
      <c r="O333" s="27" t="str">
        <f>IF(B333="","",Events!$X38)</f>
        <v/>
      </c>
      <c r="P333" s="27" t="str">
        <f>IF(B333="","",Events!$Y38)</f>
        <v/>
      </c>
      <c r="Q333" s="20" t="str">
        <f t="shared" si="70"/>
        <v/>
      </c>
      <c r="R333" s="20" t="str">
        <f>IF(A333="","",IF(J333&lt;&gt;"",J333,IF(H333="TIMESTAMP",DAY(INT(M333/1440))&amp;" "&amp;INDEX(nLIST_Months,MONTH(INT(M333/1440)))&amp;" "&amp;YEAR(INT(M333/1440))&amp;" "&amp;RIGHT("0"&amp;INT(MOD(M333,1440)/60),2)&amp;":"&amp;RIGHT("0"&amp;MOD(M333,60),2)&amp;IF(L333=1," (UTC"&amp;I333&amp;")"," (offset unknown)"),IF(H333="DATE",DAY(O333)&amp;" "&amp;INDEX(nLIST_Months,MONTH(O333))&amp;" "&amp;YEAR(O333),IF(H333="MONTH",INDEX(nLIST_Months,MONTH(O333))&amp;" "&amp;YEAR(O333)&amp;" ("&amp;DAY(O333)&amp;" "&amp;INDEX(nLIST_Months,MONTH(O333))&amp;" "&amp;YEAR(O333)&amp;" to "&amp;DAY(P333)&amp;" "&amp;INDEX(nLIST_Months,MONTH(P333))&amp;" "&amp;YEAR(P333)&amp;")",IF(H333="YEAR",YEAR(O333)&amp;" (1 January to 31 December)",DAY(O333)&amp;" "&amp;INDEX(nLIST_Months,MONTH(O333))&amp;" "&amp;YEAR(O333)&amp;" to "&amp;DAY(P333)&amp;" "&amp;INDEX(nLIST_Months,MONTH(P333))&amp;" "&amp;YEAR(P333)&amp;IF(H333="LAB"," (laboratory-defined)","")))))))</f>
        <v>E_INVALID_DATE</v>
      </c>
      <c r="S333" s="20" t="str">
        <f>IF(B333="","",Events!$I38&amp;"")</f>
        <v>30 February 2026</v>
      </c>
      <c r="T333" s="20" t="str">
        <f>IF(B333="","",Events!$T38&amp;"")</f>
        <v>tto_calc_test_vectors_v1.1.json V13</v>
      </c>
      <c r="U333" s="20" t="str">
        <f>IF(B333="","","Events row "&amp;ROW(Events!$A38)&amp;", Onset")</f>
        <v>Events row 38, Onset</v>
      </c>
      <c r="V333" s="20">
        <f>IF(A333="",0,COUNTIF(nTP_Key,A333))</f>
        <v>1</v>
      </c>
      <c r="W333" s="20">
        <f t="shared" si="71"/>
        <v>0</v>
      </c>
      <c r="X333" s="20">
        <f t="shared" si="72"/>
        <v>0</v>
      </c>
      <c r="Y333" s="20">
        <f t="shared" si="73"/>
        <v>0</v>
      </c>
      <c r="Z333" s="20">
        <f t="shared" si="74"/>
        <v>0</v>
      </c>
      <c r="AA333" s="20">
        <f t="shared" si="75"/>
        <v>329</v>
      </c>
      <c r="AB333" s="20" t="str">
        <f>""</f>
        <v/>
      </c>
      <c r="AC333" s="20" t="str">
        <f>""</f>
        <v/>
      </c>
      <c r="AD333" s="20" t="str">
        <f>IF(B333="","",Events!$E38&amp;" (onset)")</f>
        <v>Vector event (onset)</v>
      </c>
      <c r="AE333" s="20">
        <f t="shared" si="76"/>
        <v>0</v>
      </c>
      <c r="AF333" s="20" t="str">
        <f t="shared" si="77"/>
        <v/>
      </c>
      <c r="AG333" s="20">
        <f t="shared" si="78"/>
        <v>0</v>
      </c>
      <c r="AH333" s="20" t="str">
        <f>IF(B333="","",IF(Events!$J38="LAB","Onset is laboratory-defined (CALC-SPEC 1.1, C4): lower bound = date of the last normal test ("&amp;Events!$R38&amp;"), upper bound = date of the first abnormal test ("&amp;Events!$S38&amp;"). The reviewer decides which results are normal.",""))</f>
        <v/>
      </c>
    </row>
    <row r="334" spans="1:34" x14ac:dyDescent="0.2">
      <c r="A334" s="20" t="str">
        <f t="shared" si="68"/>
        <v>VEC-V13|1|EV2/ONSET</v>
      </c>
      <c r="B334" s="20" t="str">
        <f>IF(AND(Events!$D39&lt;&gt;"",COUNTA(Events!$J39:$Q39)&gt;0),Events!$D39&amp;"/ONSET","")</f>
        <v>EV2/ONSET</v>
      </c>
      <c r="C334" s="20" t="str">
        <f t="shared" si="67"/>
        <v>EVENT_ONSET</v>
      </c>
      <c r="D334" s="20" t="str">
        <f>IF(B334="","",Events!$A39&amp;"")</f>
        <v>VEC-V13</v>
      </c>
      <c r="E334" s="20" t="str">
        <f>IF(B334="","",Events!$B39&amp;"")</f>
        <v>1</v>
      </c>
      <c r="F334" s="20" t="str">
        <f t="shared" si="69"/>
        <v>VEC-V13|1</v>
      </c>
      <c r="G334" s="20" t="str">
        <f>IF(B334="","",Events!$D39&amp;"")</f>
        <v>EV2</v>
      </c>
      <c r="H334" s="20" t="str">
        <f>IF(B334="","",Events!$J39&amp;"")</f>
        <v>DATE</v>
      </c>
      <c r="I334" s="20" t="str">
        <f>IF(B334="","",Events!$M39&amp;"")</f>
        <v/>
      </c>
      <c r="J334" s="20" t="str">
        <f>IF(B334="","",Events!$U39&amp;"")</f>
        <v/>
      </c>
      <c r="K334" s="20">
        <f>IF(B334="",0,Events!$V39)</f>
        <v>0</v>
      </c>
      <c r="L334" s="20">
        <f>IF(B334="",0,Events!$W39)</f>
        <v>0</v>
      </c>
      <c r="M334" s="20" t="str">
        <f>IF(B334="","",Events!$Z39)</f>
        <v/>
      </c>
      <c r="N334" s="20" t="str">
        <f>IF(B334="","",Events!$AA39)</f>
        <v/>
      </c>
      <c r="O334" s="27">
        <f>IF(B334="","",Events!$X39)</f>
        <v>46042</v>
      </c>
      <c r="P334" s="27">
        <f>IF(B334="","",Events!$Y39)</f>
        <v>46042</v>
      </c>
      <c r="Q334" s="20" t="str">
        <f t="shared" si="70"/>
        <v>2026-01-20</v>
      </c>
      <c r="R334" s="20" t="str">
        <f>IF(A334="","",IF(J334&lt;&gt;"",J334,IF(H334="TIMESTAMP",DAY(INT(M334/1440))&amp;" "&amp;INDEX(nLIST_Months,MONTH(INT(M334/1440)))&amp;" "&amp;YEAR(INT(M334/1440))&amp;" "&amp;RIGHT("0"&amp;INT(MOD(M334,1440)/60),2)&amp;":"&amp;RIGHT("0"&amp;MOD(M334,60),2)&amp;IF(L334=1," (UTC"&amp;I334&amp;")"," (offset unknown)"),IF(H334="DATE",DAY(O334)&amp;" "&amp;INDEX(nLIST_Months,MONTH(O334))&amp;" "&amp;YEAR(O334),IF(H334="MONTH",INDEX(nLIST_Months,MONTH(O334))&amp;" "&amp;YEAR(O334)&amp;" ("&amp;DAY(O334)&amp;" "&amp;INDEX(nLIST_Months,MONTH(O334))&amp;" "&amp;YEAR(O334)&amp;" to "&amp;DAY(P334)&amp;" "&amp;INDEX(nLIST_Months,MONTH(P334))&amp;" "&amp;YEAR(P334)&amp;")",IF(H334="YEAR",YEAR(O334)&amp;" (1 January to 31 December)",DAY(O334)&amp;" "&amp;INDEX(nLIST_Months,MONTH(O334))&amp;" "&amp;YEAR(O334)&amp;" to "&amp;DAY(P334)&amp;" "&amp;INDEX(nLIST_Months,MONTH(P334))&amp;" "&amp;YEAR(P334)&amp;IF(H334="LAB"," (laboratory-defined)","")))))))</f>
        <v>20 January 2026</v>
      </c>
      <c r="S334" s="20" t="str">
        <f>IF(B334="","",Events!$I39&amp;"")</f>
        <v>2026-01-20</v>
      </c>
      <c r="T334" s="20" t="str">
        <f>IF(B334="","",Events!$T39&amp;"")</f>
        <v>tto_calc_test_vectors_v1.1.json V13</v>
      </c>
      <c r="U334" s="20" t="str">
        <f>IF(B334="","","Events row "&amp;ROW(Events!$A39)&amp;", Onset")</f>
        <v>Events row 39, Onset</v>
      </c>
      <c r="V334" s="20">
        <f>IF(A334="",0,COUNTIF(nTP_Key,A334))</f>
        <v>1</v>
      </c>
      <c r="W334" s="20">
        <f t="shared" si="71"/>
        <v>0</v>
      </c>
      <c r="X334" s="20">
        <f t="shared" si="72"/>
        <v>0</v>
      </c>
      <c r="Y334" s="20">
        <f t="shared" si="73"/>
        <v>46042</v>
      </c>
      <c r="Z334" s="20">
        <f t="shared" si="74"/>
        <v>46042</v>
      </c>
      <c r="AA334" s="20">
        <f t="shared" si="75"/>
        <v>330</v>
      </c>
      <c r="AB334" s="20" t="str">
        <f>""</f>
        <v/>
      </c>
      <c r="AC334" s="20" t="str">
        <f>""</f>
        <v/>
      </c>
      <c r="AD334" s="20" t="str">
        <f>IF(B334="","",Events!$E39&amp;" (onset)")</f>
        <v>Vector event (onset)</v>
      </c>
      <c r="AE334" s="20">
        <f t="shared" si="76"/>
        <v>0</v>
      </c>
      <c r="AF334" s="20" t="str">
        <f t="shared" si="77"/>
        <v/>
      </c>
      <c r="AG334" s="20">
        <f t="shared" si="78"/>
        <v>1</v>
      </c>
      <c r="AH334" s="20" t="str">
        <f>IF(B334="","",IF(Events!$J39="LAB","Onset is laboratory-defined (CALC-SPEC 1.1, C4): lower bound = date of the last normal test ("&amp;Events!$R39&amp;"), upper bound = date of the first abnormal test ("&amp;Events!$S39&amp;"). The reviewer decides which results are normal.",""))</f>
        <v/>
      </c>
    </row>
    <row r="335" spans="1:34" x14ac:dyDescent="0.2">
      <c r="A335" s="20" t="str">
        <f t="shared" si="68"/>
        <v/>
      </c>
      <c r="B335" s="20" t="str">
        <f>IF(AND(Events!$D40&lt;&gt;"",COUNTA(Events!$J40:$Q40)&gt;0),Events!$D40&amp;"/ONSET","")</f>
        <v/>
      </c>
      <c r="C335" s="20" t="str">
        <f t="shared" si="67"/>
        <v/>
      </c>
      <c r="D335" s="20" t="str">
        <f>IF(B335="","",Events!$A40&amp;"")</f>
        <v/>
      </c>
      <c r="E335" s="20" t="str">
        <f>IF(B335="","",Events!$B40&amp;"")</f>
        <v/>
      </c>
      <c r="F335" s="20" t="str">
        <f t="shared" si="69"/>
        <v/>
      </c>
      <c r="G335" s="20" t="str">
        <f>IF(B335="","",Events!$D40&amp;"")</f>
        <v/>
      </c>
      <c r="H335" s="20" t="str">
        <f>IF(B335="","",Events!$J40&amp;"")</f>
        <v/>
      </c>
      <c r="I335" s="20" t="str">
        <f>IF(B335="","",Events!$M40&amp;"")</f>
        <v/>
      </c>
      <c r="J335" s="20" t="str">
        <f>IF(B335="","",Events!$U40&amp;"")</f>
        <v/>
      </c>
      <c r="K335" s="20">
        <f>IF(B335="",0,Events!$V40)</f>
        <v>0</v>
      </c>
      <c r="L335" s="20">
        <f>IF(B335="",0,Events!$W40)</f>
        <v>0</v>
      </c>
      <c r="M335" s="20" t="str">
        <f>IF(B335="","",Events!$Z40)</f>
        <v/>
      </c>
      <c r="N335" s="20" t="str">
        <f>IF(B335="","",Events!$AA40)</f>
        <v/>
      </c>
      <c r="O335" s="27" t="str">
        <f>IF(B335="","",Events!$X40)</f>
        <v/>
      </c>
      <c r="P335" s="27" t="str">
        <f>IF(B335="","",Events!$Y40)</f>
        <v/>
      </c>
      <c r="Q335" s="20" t="str">
        <f t="shared" si="70"/>
        <v/>
      </c>
      <c r="R335" s="20" t="str">
        <f>IF(A335="","",IF(J335&lt;&gt;"",J335,IF(H335="TIMESTAMP",DAY(INT(M335/1440))&amp;" "&amp;INDEX(nLIST_Months,MONTH(INT(M335/1440)))&amp;" "&amp;YEAR(INT(M335/1440))&amp;" "&amp;RIGHT("0"&amp;INT(MOD(M335,1440)/60),2)&amp;":"&amp;RIGHT("0"&amp;MOD(M335,60),2)&amp;IF(L335=1," (UTC"&amp;I335&amp;")"," (offset unknown)"),IF(H335="DATE",DAY(O335)&amp;" "&amp;INDEX(nLIST_Months,MONTH(O335))&amp;" "&amp;YEAR(O335),IF(H335="MONTH",INDEX(nLIST_Months,MONTH(O335))&amp;" "&amp;YEAR(O335)&amp;" ("&amp;DAY(O335)&amp;" "&amp;INDEX(nLIST_Months,MONTH(O335))&amp;" "&amp;YEAR(O335)&amp;" to "&amp;DAY(P335)&amp;" "&amp;INDEX(nLIST_Months,MONTH(P335))&amp;" "&amp;YEAR(P335)&amp;")",IF(H335="YEAR",YEAR(O335)&amp;" (1 January to 31 December)",DAY(O335)&amp;" "&amp;INDEX(nLIST_Months,MONTH(O335))&amp;" "&amp;YEAR(O335)&amp;" to "&amp;DAY(P335)&amp;" "&amp;INDEX(nLIST_Months,MONTH(P335))&amp;" "&amp;YEAR(P335)&amp;IF(H335="LAB"," (laboratory-defined)","")))))))</f>
        <v/>
      </c>
      <c r="S335" s="20" t="str">
        <f>IF(B335="","",Events!$I40&amp;"")</f>
        <v/>
      </c>
      <c r="T335" s="20" t="str">
        <f>IF(B335="","",Events!$T40&amp;"")</f>
        <v/>
      </c>
      <c r="U335" s="20" t="str">
        <f>IF(B335="","","Events row "&amp;ROW(Events!$A40)&amp;", Onset")</f>
        <v/>
      </c>
      <c r="V335" s="20">
        <f>IF(A335="",0,COUNTIF(nTP_Key,A335))</f>
        <v>0</v>
      </c>
      <c r="W335" s="20">
        <f t="shared" si="71"/>
        <v>0</v>
      </c>
      <c r="X335" s="20">
        <f t="shared" si="72"/>
        <v>0</v>
      </c>
      <c r="Y335" s="20">
        <f t="shared" si="73"/>
        <v>0</v>
      </c>
      <c r="Z335" s="20">
        <f t="shared" si="74"/>
        <v>0</v>
      </c>
      <c r="AA335" s="20">
        <f t="shared" si="75"/>
        <v>331</v>
      </c>
      <c r="AB335" s="20" t="str">
        <f>""</f>
        <v/>
      </c>
      <c r="AC335" s="20" t="str">
        <f>""</f>
        <v/>
      </c>
      <c r="AD335" s="20" t="str">
        <f>IF(B335="","",Events!$E40&amp;" (onset)")</f>
        <v/>
      </c>
      <c r="AE335" s="20">
        <f t="shared" si="76"/>
        <v>0</v>
      </c>
      <c r="AF335" s="20" t="str">
        <f t="shared" si="77"/>
        <v/>
      </c>
      <c r="AG335" s="20">
        <f t="shared" si="78"/>
        <v>0</v>
      </c>
      <c r="AH335" s="20" t="str">
        <f>IF(B335="","",IF(Events!$J40="LAB","Onset is laboratory-defined (CALC-SPEC 1.1, C4): lower bound = date of the last normal test ("&amp;Events!$R40&amp;"), upper bound = date of the first abnormal test ("&amp;Events!$S40&amp;"). The reviewer decides which results are normal.",""))</f>
        <v/>
      </c>
    </row>
    <row r="336" spans="1:34" x14ac:dyDescent="0.2">
      <c r="A336" s="20" t="str">
        <f t="shared" si="68"/>
        <v>VEC-V25|1|EV1/ONSET</v>
      </c>
      <c r="B336" s="20" t="str">
        <f>IF(AND(Events!$D41&lt;&gt;"",COUNTA(Events!$J41:$Q41)&gt;0),Events!$D41&amp;"/ONSET","")</f>
        <v>EV1/ONSET</v>
      </c>
      <c r="C336" s="20" t="str">
        <f t="shared" si="67"/>
        <v>EVENT_ONSET</v>
      </c>
      <c r="D336" s="20" t="str">
        <f>IF(B336="","",Events!$A41&amp;"")</f>
        <v>VEC-V25</v>
      </c>
      <c r="E336" s="20" t="str">
        <f>IF(B336="","",Events!$B41&amp;"")</f>
        <v>1</v>
      </c>
      <c r="F336" s="20" t="str">
        <f t="shared" si="69"/>
        <v>VEC-V25|1</v>
      </c>
      <c r="G336" s="20" t="str">
        <f>IF(B336="","",Events!$D41&amp;"")</f>
        <v>EV1</v>
      </c>
      <c r="H336" s="20" t="str">
        <f>IF(B336="","",Events!$J41&amp;"")</f>
        <v>TIMESTAMP</v>
      </c>
      <c r="I336" s="20" t="str">
        <f>IF(B336="","",Events!$M41&amp;"")</f>
        <v>-05:00</v>
      </c>
      <c r="J336" s="20" t="str">
        <f>IF(B336="","",Events!$U41&amp;"")</f>
        <v/>
      </c>
      <c r="K336" s="20">
        <f>IF(B336="",0,Events!$V41)</f>
        <v>1</v>
      </c>
      <c r="L336" s="20">
        <f>IF(B336="",0,Events!$W41)</f>
        <v>1</v>
      </c>
      <c r="M336" s="20">
        <f>IF(B336="","",Events!$Z41)</f>
        <v>66286670</v>
      </c>
      <c r="N336" s="20">
        <f>IF(B336="","",Events!$AA41)</f>
        <v>66286970</v>
      </c>
      <c r="O336" s="27">
        <f>IF(B336="","",Events!$X41)</f>
        <v>46032</v>
      </c>
      <c r="P336" s="27">
        <f>IF(B336="","",Events!$Y41)</f>
        <v>46032</v>
      </c>
      <c r="Q336" s="20" t="str">
        <f t="shared" si="70"/>
        <v>2026-01-10T09:50-05:00</v>
      </c>
      <c r="R336" s="20" t="str">
        <f>IF(A336="","",IF(J336&lt;&gt;"",J336,IF(H336="TIMESTAMP",DAY(INT(M336/1440))&amp;" "&amp;INDEX(nLIST_Months,MONTH(INT(M336/1440)))&amp;" "&amp;YEAR(INT(M336/1440))&amp;" "&amp;RIGHT("0"&amp;INT(MOD(M336,1440)/60),2)&amp;":"&amp;RIGHT("0"&amp;MOD(M336,60),2)&amp;IF(L336=1," (UTC"&amp;I336&amp;")"," (offset unknown)"),IF(H336="DATE",DAY(O336)&amp;" "&amp;INDEX(nLIST_Months,MONTH(O336))&amp;" "&amp;YEAR(O336),IF(H336="MONTH",INDEX(nLIST_Months,MONTH(O336))&amp;" "&amp;YEAR(O336)&amp;" ("&amp;DAY(O336)&amp;" "&amp;INDEX(nLIST_Months,MONTH(O336))&amp;" "&amp;YEAR(O336)&amp;" to "&amp;DAY(P336)&amp;" "&amp;INDEX(nLIST_Months,MONTH(P336))&amp;" "&amp;YEAR(P336)&amp;")",IF(H336="YEAR",YEAR(O336)&amp;" (1 January to 31 December)",DAY(O336)&amp;" "&amp;INDEX(nLIST_Months,MONTH(O336))&amp;" "&amp;YEAR(O336)&amp;" to "&amp;DAY(P336)&amp;" "&amp;INDEX(nLIST_Months,MONTH(P336))&amp;" "&amp;YEAR(P336)&amp;IF(H336="LAB"," (laboratory-defined)","")))))))</f>
        <v>10 January 2026 09:50 (UTC-05:00)</v>
      </c>
      <c r="S336" s="20" t="str">
        <f>IF(B336="","",Events!$I41&amp;"")</f>
        <v>symptoms begin 09:50</v>
      </c>
      <c r="T336" s="20" t="str">
        <f>IF(B336="","",Events!$T41&amp;"")</f>
        <v>tto_calc_test_vectors_v1.1.json V25</v>
      </c>
      <c r="U336" s="20" t="str">
        <f>IF(B336="","","Events row "&amp;ROW(Events!$A41)&amp;", Onset")</f>
        <v>Events row 41, Onset</v>
      </c>
      <c r="V336" s="20">
        <f>IF(A336="",0,COUNTIF(nTP_Key,A336))</f>
        <v>1</v>
      </c>
      <c r="W336" s="20">
        <f t="shared" si="71"/>
        <v>66286670</v>
      </c>
      <c r="X336" s="20">
        <f t="shared" si="72"/>
        <v>66286970</v>
      </c>
      <c r="Y336" s="20">
        <f t="shared" si="73"/>
        <v>46032</v>
      </c>
      <c r="Z336" s="20">
        <f t="shared" si="74"/>
        <v>46032</v>
      </c>
      <c r="AA336" s="20">
        <f t="shared" si="75"/>
        <v>332</v>
      </c>
      <c r="AB336" s="20" t="str">
        <f>""</f>
        <v/>
      </c>
      <c r="AC336" s="20" t="str">
        <f>""</f>
        <v/>
      </c>
      <c r="AD336" s="20" t="str">
        <f>IF(B336="","",Events!$E41&amp;" (onset)")</f>
        <v>Vector event (onset)</v>
      </c>
      <c r="AE336" s="20">
        <f t="shared" si="76"/>
        <v>0</v>
      </c>
      <c r="AF336" s="20" t="str">
        <f t="shared" si="77"/>
        <v/>
      </c>
      <c r="AG336" s="20">
        <f t="shared" si="78"/>
        <v>1</v>
      </c>
      <c r="AH336" s="20" t="str">
        <f>IF(B336="","",IF(Events!$J41="LAB","Onset is laboratory-defined (CALC-SPEC 1.1, C4): lower bound = date of the last normal test ("&amp;Events!$R41&amp;"), upper bound = date of the first abnormal test ("&amp;Events!$S41&amp;"). The reviewer decides which results are normal.",""))</f>
        <v/>
      </c>
    </row>
    <row r="337" spans="1:34" x14ac:dyDescent="0.2">
      <c r="A337" s="20" t="str">
        <f t="shared" si="68"/>
        <v/>
      </c>
      <c r="B337" s="20" t="str">
        <f>IF(AND(Events!$D42&lt;&gt;"",COUNTA(Events!$J42:$Q42)&gt;0),Events!$D42&amp;"/ONSET","")</f>
        <v/>
      </c>
      <c r="C337" s="20" t="str">
        <f t="shared" si="67"/>
        <v/>
      </c>
      <c r="D337" s="20" t="str">
        <f>IF(B337="","",Events!$A42&amp;"")</f>
        <v/>
      </c>
      <c r="E337" s="20" t="str">
        <f>IF(B337="","",Events!$B42&amp;"")</f>
        <v/>
      </c>
      <c r="F337" s="20" t="str">
        <f t="shared" si="69"/>
        <v/>
      </c>
      <c r="G337" s="20" t="str">
        <f>IF(B337="","",Events!$D42&amp;"")</f>
        <v/>
      </c>
      <c r="H337" s="20" t="str">
        <f>IF(B337="","",Events!$J42&amp;"")</f>
        <v/>
      </c>
      <c r="I337" s="20" t="str">
        <f>IF(B337="","",Events!$M42&amp;"")</f>
        <v/>
      </c>
      <c r="J337" s="20" t="str">
        <f>IF(B337="","",Events!$U42&amp;"")</f>
        <v/>
      </c>
      <c r="K337" s="20">
        <f>IF(B337="",0,Events!$V42)</f>
        <v>0</v>
      </c>
      <c r="L337" s="20">
        <f>IF(B337="",0,Events!$W42)</f>
        <v>0</v>
      </c>
      <c r="M337" s="20" t="str">
        <f>IF(B337="","",Events!$Z42)</f>
        <v/>
      </c>
      <c r="N337" s="20" t="str">
        <f>IF(B337="","",Events!$AA42)</f>
        <v/>
      </c>
      <c r="O337" s="27" t="str">
        <f>IF(B337="","",Events!$X42)</f>
        <v/>
      </c>
      <c r="P337" s="27" t="str">
        <f>IF(B337="","",Events!$Y42)</f>
        <v/>
      </c>
      <c r="Q337" s="20" t="str">
        <f t="shared" si="70"/>
        <v/>
      </c>
      <c r="R337" s="20" t="str">
        <f>IF(A337="","",IF(J337&lt;&gt;"",J337,IF(H337="TIMESTAMP",DAY(INT(M337/1440))&amp;" "&amp;INDEX(nLIST_Months,MONTH(INT(M337/1440)))&amp;" "&amp;YEAR(INT(M337/1440))&amp;" "&amp;RIGHT("0"&amp;INT(MOD(M337,1440)/60),2)&amp;":"&amp;RIGHT("0"&amp;MOD(M337,60),2)&amp;IF(L337=1," (UTC"&amp;I337&amp;")"," (offset unknown)"),IF(H337="DATE",DAY(O337)&amp;" "&amp;INDEX(nLIST_Months,MONTH(O337))&amp;" "&amp;YEAR(O337),IF(H337="MONTH",INDEX(nLIST_Months,MONTH(O337))&amp;" "&amp;YEAR(O337)&amp;" ("&amp;DAY(O337)&amp;" "&amp;INDEX(nLIST_Months,MONTH(O337))&amp;" "&amp;YEAR(O337)&amp;" to "&amp;DAY(P337)&amp;" "&amp;INDEX(nLIST_Months,MONTH(P337))&amp;" "&amp;YEAR(P337)&amp;")",IF(H337="YEAR",YEAR(O337)&amp;" (1 January to 31 December)",DAY(O337)&amp;" "&amp;INDEX(nLIST_Months,MONTH(O337))&amp;" "&amp;YEAR(O337)&amp;" to "&amp;DAY(P337)&amp;" "&amp;INDEX(nLIST_Months,MONTH(P337))&amp;" "&amp;YEAR(P337)&amp;IF(H337="LAB"," (laboratory-defined)","")))))))</f>
        <v/>
      </c>
      <c r="S337" s="20" t="str">
        <f>IF(B337="","",Events!$I42&amp;"")</f>
        <v/>
      </c>
      <c r="T337" s="20" t="str">
        <f>IF(B337="","",Events!$T42&amp;"")</f>
        <v/>
      </c>
      <c r="U337" s="20" t="str">
        <f>IF(B337="","","Events row "&amp;ROW(Events!$A42)&amp;", Onset")</f>
        <v/>
      </c>
      <c r="V337" s="20">
        <f>IF(A337="",0,COUNTIF(nTP_Key,A337))</f>
        <v>0</v>
      </c>
      <c r="W337" s="20">
        <f t="shared" si="71"/>
        <v>0</v>
      </c>
      <c r="X337" s="20">
        <f t="shared" si="72"/>
        <v>0</v>
      </c>
      <c r="Y337" s="20">
        <f t="shared" si="73"/>
        <v>0</v>
      </c>
      <c r="Z337" s="20">
        <f t="shared" si="74"/>
        <v>0</v>
      </c>
      <c r="AA337" s="20">
        <f t="shared" si="75"/>
        <v>333</v>
      </c>
      <c r="AB337" s="20" t="str">
        <f>""</f>
        <v/>
      </c>
      <c r="AC337" s="20" t="str">
        <f>""</f>
        <v/>
      </c>
      <c r="AD337" s="20" t="str">
        <f>IF(B337="","",Events!$E42&amp;" (onset)")</f>
        <v/>
      </c>
      <c r="AE337" s="20">
        <f t="shared" si="76"/>
        <v>0</v>
      </c>
      <c r="AF337" s="20" t="str">
        <f t="shared" si="77"/>
        <v/>
      </c>
      <c r="AG337" s="20">
        <f t="shared" si="78"/>
        <v>0</v>
      </c>
      <c r="AH337" s="20" t="str">
        <f>IF(B337="","",IF(Events!$J42="LAB","Onset is laboratory-defined (CALC-SPEC 1.1, C4): lower bound = date of the last normal test ("&amp;Events!$R42&amp;"), upper bound = date of the first abnormal test ("&amp;Events!$S42&amp;"). The reviewer decides which results are normal.",""))</f>
        <v/>
      </c>
    </row>
    <row r="338" spans="1:34" x14ac:dyDescent="0.2">
      <c r="A338" s="20" t="str">
        <f t="shared" si="68"/>
        <v/>
      </c>
      <c r="B338" s="20" t="str">
        <f>IF(AND(Events!$D43&lt;&gt;"",COUNTA(Events!$J43:$Q43)&gt;0),Events!$D43&amp;"/ONSET","")</f>
        <v/>
      </c>
      <c r="C338" s="20" t="str">
        <f t="shared" si="67"/>
        <v/>
      </c>
      <c r="D338" s="20" t="str">
        <f>IF(B338="","",Events!$A43&amp;"")</f>
        <v/>
      </c>
      <c r="E338" s="20" t="str">
        <f>IF(B338="","",Events!$B43&amp;"")</f>
        <v/>
      </c>
      <c r="F338" s="20" t="str">
        <f t="shared" si="69"/>
        <v/>
      </c>
      <c r="G338" s="20" t="str">
        <f>IF(B338="","",Events!$D43&amp;"")</f>
        <v/>
      </c>
      <c r="H338" s="20" t="str">
        <f>IF(B338="","",Events!$J43&amp;"")</f>
        <v/>
      </c>
      <c r="I338" s="20" t="str">
        <f>IF(B338="","",Events!$M43&amp;"")</f>
        <v/>
      </c>
      <c r="J338" s="20" t="str">
        <f>IF(B338="","",Events!$U43&amp;"")</f>
        <v/>
      </c>
      <c r="K338" s="20">
        <f>IF(B338="",0,Events!$V43)</f>
        <v>0</v>
      </c>
      <c r="L338" s="20">
        <f>IF(B338="",0,Events!$W43)</f>
        <v>0</v>
      </c>
      <c r="M338" s="20" t="str">
        <f>IF(B338="","",Events!$Z43)</f>
        <v/>
      </c>
      <c r="N338" s="20" t="str">
        <f>IF(B338="","",Events!$AA43)</f>
        <v/>
      </c>
      <c r="O338" s="27" t="str">
        <f>IF(B338="","",Events!$X43)</f>
        <v/>
      </c>
      <c r="P338" s="27" t="str">
        <f>IF(B338="","",Events!$Y43)</f>
        <v/>
      </c>
      <c r="Q338" s="20" t="str">
        <f t="shared" si="70"/>
        <v/>
      </c>
      <c r="R338" s="20" t="str">
        <f>IF(A338="","",IF(J338&lt;&gt;"",J338,IF(H338="TIMESTAMP",DAY(INT(M338/1440))&amp;" "&amp;INDEX(nLIST_Months,MONTH(INT(M338/1440)))&amp;" "&amp;YEAR(INT(M338/1440))&amp;" "&amp;RIGHT("0"&amp;INT(MOD(M338,1440)/60),2)&amp;":"&amp;RIGHT("0"&amp;MOD(M338,60),2)&amp;IF(L338=1," (UTC"&amp;I338&amp;")"," (offset unknown)"),IF(H338="DATE",DAY(O338)&amp;" "&amp;INDEX(nLIST_Months,MONTH(O338))&amp;" "&amp;YEAR(O338),IF(H338="MONTH",INDEX(nLIST_Months,MONTH(O338))&amp;" "&amp;YEAR(O338)&amp;" ("&amp;DAY(O338)&amp;" "&amp;INDEX(nLIST_Months,MONTH(O338))&amp;" "&amp;YEAR(O338)&amp;" to "&amp;DAY(P338)&amp;" "&amp;INDEX(nLIST_Months,MONTH(P338))&amp;" "&amp;YEAR(P338)&amp;")",IF(H338="YEAR",YEAR(O338)&amp;" (1 January to 31 December)",DAY(O338)&amp;" "&amp;INDEX(nLIST_Months,MONTH(O338))&amp;" "&amp;YEAR(O338)&amp;" to "&amp;DAY(P338)&amp;" "&amp;INDEX(nLIST_Months,MONTH(P338))&amp;" "&amp;YEAR(P338)&amp;IF(H338="LAB"," (laboratory-defined)","")))))))</f>
        <v/>
      </c>
      <c r="S338" s="20" t="str">
        <f>IF(B338="","",Events!$I43&amp;"")</f>
        <v/>
      </c>
      <c r="T338" s="20" t="str">
        <f>IF(B338="","",Events!$T43&amp;"")</f>
        <v/>
      </c>
      <c r="U338" s="20" t="str">
        <f>IF(B338="","","Events row "&amp;ROW(Events!$A43)&amp;", Onset")</f>
        <v/>
      </c>
      <c r="V338" s="20">
        <f>IF(A338="",0,COUNTIF(nTP_Key,A338))</f>
        <v>0</v>
      </c>
      <c r="W338" s="20">
        <f t="shared" si="71"/>
        <v>0</v>
      </c>
      <c r="X338" s="20">
        <f t="shared" si="72"/>
        <v>0</v>
      </c>
      <c r="Y338" s="20">
        <f t="shared" si="73"/>
        <v>0</v>
      </c>
      <c r="Z338" s="20">
        <f t="shared" si="74"/>
        <v>0</v>
      </c>
      <c r="AA338" s="20">
        <f t="shared" si="75"/>
        <v>334</v>
      </c>
      <c r="AB338" s="20" t="str">
        <f>""</f>
        <v/>
      </c>
      <c r="AC338" s="20" t="str">
        <f>""</f>
        <v/>
      </c>
      <c r="AD338" s="20" t="str">
        <f>IF(B338="","",Events!$E43&amp;" (onset)")</f>
        <v/>
      </c>
      <c r="AE338" s="20">
        <f t="shared" si="76"/>
        <v>0</v>
      </c>
      <c r="AF338" s="20" t="str">
        <f t="shared" si="77"/>
        <v/>
      </c>
      <c r="AG338" s="20">
        <f t="shared" si="78"/>
        <v>0</v>
      </c>
      <c r="AH338" s="20" t="str">
        <f>IF(B338="","",IF(Events!$J43="LAB","Onset is laboratory-defined (CALC-SPEC 1.1, C4): lower bound = date of the last normal test ("&amp;Events!$R43&amp;"), upper bound = date of the first abnormal test ("&amp;Events!$S43&amp;"). The reviewer decides which results are normal.",""))</f>
        <v/>
      </c>
    </row>
    <row r="339" spans="1:34" x14ac:dyDescent="0.2">
      <c r="A339" s="20" t="str">
        <f t="shared" si="68"/>
        <v/>
      </c>
      <c r="B339" s="20" t="str">
        <f>IF(AND(Events!$D44&lt;&gt;"",COUNTA(Events!$J44:$Q44)&gt;0),Events!$D44&amp;"/ONSET","")</f>
        <v/>
      </c>
      <c r="C339" s="20" t="str">
        <f t="shared" si="67"/>
        <v/>
      </c>
      <c r="D339" s="20" t="str">
        <f>IF(B339="","",Events!$A44&amp;"")</f>
        <v/>
      </c>
      <c r="E339" s="20" t="str">
        <f>IF(B339="","",Events!$B44&amp;"")</f>
        <v/>
      </c>
      <c r="F339" s="20" t="str">
        <f t="shared" si="69"/>
        <v/>
      </c>
      <c r="G339" s="20" t="str">
        <f>IF(B339="","",Events!$D44&amp;"")</f>
        <v/>
      </c>
      <c r="H339" s="20" t="str">
        <f>IF(B339="","",Events!$J44&amp;"")</f>
        <v/>
      </c>
      <c r="I339" s="20" t="str">
        <f>IF(B339="","",Events!$M44&amp;"")</f>
        <v/>
      </c>
      <c r="J339" s="20" t="str">
        <f>IF(B339="","",Events!$U44&amp;"")</f>
        <v/>
      </c>
      <c r="K339" s="20">
        <f>IF(B339="",0,Events!$V44)</f>
        <v>0</v>
      </c>
      <c r="L339" s="20">
        <f>IF(B339="",0,Events!$W44)</f>
        <v>0</v>
      </c>
      <c r="M339" s="20" t="str">
        <f>IF(B339="","",Events!$Z44)</f>
        <v/>
      </c>
      <c r="N339" s="20" t="str">
        <f>IF(B339="","",Events!$AA44)</f>
        <v/>
      </c>
      <c r="O339" s="27" t="str">
        <f>IF(B339="","",Events!$X44)</f>
        <v/>
      </c>
      <c r="P339" s="27" t="str">
        <f>IF(B339="","",Events!$Y44)</f>
        <v/>
      </c>
      <c r="Q339" s="20" t="str">
        <f t="shared" si="70"/>
        <v/>
      </c>
      <c r="R339" s="20" t="str">
        <f>IF(A339="","",IF(J339&lt;&gt;"",J339,IF(H339="TIMESTAMP",DAY(INT(M339/1440))&amp;" "&amp;INDEX(nLIST_Months,MONTH(INT(M339/1440)))&amp;" "&amp;YEAR(INT(M339/1440))&amp;" "&amp;RIGHT("0"&amp;INT(MOD(M339,1440)/60),2)&amp;":"&amp;RIGHT("0"&amp;MOD(M339,60),2)&amp;IF(L339=1," (UTC"&amp;I339&amp;")"," (offset unknown)"),IF(H339="DATE",DAY(O339)&amp;" "&amp;INDEX(nLIST_Months,MONTH(O339))&amp;" "&amp;YEAR(O339),IF(H339="MONTH",INDEX(nLIST_Months,MONTH(O339))&amp;" "&amp;YEAR(O339)&amp;" ("&amp;DAY(O339)&amp;" "&amp;INDEX(nLIST_Months,MONTH(O339))&amp;" "&amp;YEAR(O339)&amp;" to "&amp;DAY(P339)&amp;" "&amp;INDEX(nLIST_Months,MONTH(P339))&amp;" "&amp;YEAR(P339)&amp;")",IF(H339="YEAR",YEAR(O339)&amp;" (1 January to 31 December)",DAY(O339)&amp;" "&amp;INDEX(nLIST_Months,MONTH(O339))&amp;" "&amp;YEAR(O339)&amp;" to "&amp;DAY(P339)&amp;" "&amp;INDEX(nLIST_Months,MONTH(P339))&amp;" "&amp;YEAR(P339)&amp;IF(H339="LAB"," (laboratory-defined)","")))))))</f>
        <v/>
      </c>
      <c r="S339" s="20" t="str">
        <f>IF(B339="","",Events!$I44&amp;"")</f>
        <v/>
      </c>
      <c r="T339" s="20" t="str">
        <f>IF(B339="","",Events!$T44&amp;"")</f>
        <v/>
      </c>
      <c r="U339" s="20" t="str">
        <f>IF(B339="","","Events row "&amp;ROW(Events!$A44)&amp;", Onset")</f>
        <v/>
      </c>
      <c r="V339" s="20">
        <f>IF(A339="",0,COUNTIF(nTP_Key,A339))</f>
        <v>0</v>
      </c>
      <c r="W339" s="20">
        <f t="shared" si="71"/>
        <v>0</v>
      </c>
      <c r="X339" s="20">
        <f t="shared" si="72"/>
        <v>0</v>
      </c>
      <c r="Y339" s="20">
        <f t="shared" si="73"/>
        <v>0</v>
      </c>
      <c r="Z339" s="20">
        <f t="shared" si="74"/>
        <v>0</v>
      </c>
      <c r="AA339" s="20">
        <f t="shared" si="75"/>
        <v>335</v>
      </c>
      <c r="AB339" s="20" t="str">
        <f>""</f>
        <v/>
      </c>
      <c r="AC339" s="20" t="str">
        <f>""</f>
        <v/>
      </c>
      <c r="AD339" s="20" t="str">
        <f>IF(B339="","",Events!$E44&amp;" (onset)")</f>
        <v/>
      </c>
      <c r="AE339" s="20">
        <f t="shared" si="76"/>
        <v>0</v>
      </c>
      <c r="AF339" s="20" t="str">
        <f t="shared" si="77"/>
        <v/>
      </c>
      <c r="AG339" s="20">
        <f t="shared" si="78"/>
        <v>0</v>
      </c>
      <c r="AH339" s="20" t="str">
        <f>IF(B339="","",IF(Events!$J44="LAB","Onset is laboratory-defined (CALC-SPEC 1.1, C4): lower bound = date of the last normal test ("&amp;Events!$R44&amp;"), upper bound = date of the first abnormal test ("&amp;Events!$S44&amp;"). The reviewer decides which results are normal.",""))</f>
        <v/>
      </c>
    </row>
    <row r="340" spans="1:34" x14ac:dyDescent="0.2">
      <c r="A340" s="20" t="str">
        <f t="shared" si="68"/>
        <v>VEC-V31|1|EV1/ONSET</v>
      </c>
      <c r="B340" s="20" t="str">
        <f>IF(AND(Events!$D45&lt;&gt;"",COUNTA(Events!$J45:$Q45)&gt;0),Events!$D45&amp;"/ONSET","")</f>
        <v>EV1/ONSET</v>
      </c>
      <c r="C340" s="20" t="str">
        <f t="shared" si="67"/>
        <v>EVENT_ONSET</v>
      </c>
      <c r="D340" s="20" t="str">
        <f>IF(B340="","",Events!$A45&amp;"")</f>
        <v>VEC-V31</v>
      </c>
      <c r="E340" s="20" t="str">
        <f>IF(B340="","",Events!$B45&amp;"")</f>
        <v>1</v>
      </c>
      <c r="F340" s="20" t="str">
        <f t="shared" si="69"/>
        <v>VEC-V31|1</v>
      </c>
      <c r="G340" s="20" t="str">
        <f>IF(B340="","",Events!$D45&amp;"")</f>
        <v>EV1</v>
      </c>
      <c r="H340" s="20" t="str">
        <f>IF(B340="","",Events!$J45&amp;"")</f>
        <v>LAB</v>
      </c>
      <c r="I340" s="20" t="str">
        <f>IF(B340="","",Events!$M45&amp;"")</f>
        <v/>
      </c>
      <c r="J340" s="20" t="str">
        <f>IF(B340="","",Events!$U45&amp;"")</f>
        <v/>
      </c>
      <c r="K340" s="20">
        <f>IF(B340="",0,Events!$V45)</f>
        <v>0</v>
      </c>
      <c r="L340" s="20">
        <f>IF(B340="",0,Events!$W45)</f>
        <v>0</v>
      </c>
      <c r="M340" s="20" t="str">
        <f>IF(B340="","",Events!$Z45)</f>
        <v/>
      </c>
      <c r="N340" s="20" t="str">
        <f>IF(B340="","",Events!$AA45)</f>
        <v/>
      </c>
      <c r="O340" s="27">
        <f>IF(B340="","",Events!$X45)</f>
        <v>46096</v>
      </c>
      <c r="P340" s="27">
        <f>IF(B340="","",Events!$Y45)</f>
        <v>46110</v>
      </c>
      <c r="Q340" s="20" t="str">
        <f t="shared" si="70"/>
        <v>2026-03-15/2026-03-29</v>
      </c>
      <c r="R340" s="20" t="str">
        <f>IF(A340="","",IF(J340&lt;&gt;"",J340,IF(H340="TIMESTAMP",DAY(INT(M340/1440))&amp;" "&amp;INDEX(nLIST_Months,MONTH(INT(M340/1440)))&amp;" "&amp;YEAR(INT(M340/1440))&amp;" "&amp;RIGHT("0"&amp;INT(MOD(M340,1440)/60),2)&amp;":"&amp;RIGHT("0"&amp;MOD(M340,60),2)&amp;IF(L340=1," (UTC"&amp;I340&amp;")"," (offset unknown)"),IF(H340="DATE",DAY(O340)&amp;" "&amp;INDEX(nLIST_Months,MONTH(O340))&amp;" "&amp;YEAR(O340),IF(H340="MONTH",INDEX(nLIST_Months,MONTH(O340))&amp;" "&amp;YEAR(O340)&amp;" ("&amp;DAY(O340)&amp;" "&amp;INDEX(nLIST_Months,MONTH(O340))&amp;" "&amp;YEAR(O340)&amp;" to "&amp;DAY(P340)&amp;" "&amp;INDEX(nLIST_Months,MONTH(P340))&amp;" "&amp;YEAR(P340)&amp;")",IF(H340="YEAR",YEAR(O340)&amp;" (1 January to 31 December)",DAY(O340)&amp;" "&amp;INDEX(nLIST_Months,MONTH(O340))&amp;" "&amp;YEAR(O340)&amp;" to "&amp;DAY(P340)&amp;" "&amp;INDEX(nLIST_Months,MONTH(P340))&amp;" "&amp;YEAR(P340)&amp;IF(H340="LAB"," (laboratory-defined)","")))))))</f>
        <v>15 March 2026 to 29 March 2026 (laboratory-defined)</v>
      </c>
      <c r="S340" s="20" t="str">
        <f>IF(B340="","",Events!$I45&amp;"")</f>
        <v>between the tests</v>
      </c>
      <c r="T340" s="20" t="str">
        <f>IF(B340="","",Events!$T45&amp;"")</f>
        <v>tto_calc_test_vectors_v1.1.json V31 (laboratory-defined onset)</v>
      </c>
      <c r="U340" s="20" t="str">
        <f>IF(B340="","","Events row "&amp;ROW(Events!$A45)&amp;", Onset")</f>
        <v>Events row 45, Onset</v>
      </c>
      <c r="V340" s="20">
        <f>IF(A340="",0,COUNTIF(nTP_Key,A340))</f>
        <v>1</v>
      </c>
      <c r="W340" s="20">
        <f t="shared" si="71"/>
        <v>0</v>
      </c>
      <c r="X340" s="20">
        <f t="shared" si="72"/>
        <v>0</v>
      </c>
      <c r="Y340" s="20">
        <f t="shared" si="73"/>
        <v>46096</v>
      </c>
      <c r="Z340" s="20">
        <f t="shared" si="74"/>
        <v>46110</v>
      </c>
      <c r="AA340" s="20">
        <f t="shared" si="75"/>
        <v>336</v>
      </c>
      <c r="AB340" s="20" t="str">
        <f>""</f>
        <v/>
      </c>
      <c r="AC340" s="20" t="str">
        <f>""</f>
        <v/>
      </c>
      <c r="AD340" s="20" t="str">
        <f>IF(B340="","",Events!$E45&amp;" (onset)")</f>
        <v>Vector event (onset)</v>
      </c>
      <c r="AE340" s="20">
        <f t="shared" si="76"/>
        <v>0</v>
      </c>
      <c r="AF340" s="20" t="str">
        <f t="shared" si="77"/>
        <v/>
      </c>
      <c r="AG340" s="20">
        <f t="shared" si="78"/>
        <v>0</v>
      </c>
      <c r="AH340" s="20" t="str">
        <f>IF(B340="","",IF(Events!$J45="LAB","Onset is laboratory-defined (CALC-SPEC 1.1, C4): lower bound = date of the last normal test ("&amp;Events!$R45&amp;"), upper bound = date of the first abnormal test ("&amp;Events!$S45&amp;"). The reviewer decides which results are normal.",""))</f>
        <v>Onset is laboratory-defined (CALC-SPEC 1.1, C4): lower bound = date of the last normal test (MS-NORMAL), upper bound = date of the first abnormal test (MS-ABNORMAL). The reviewer decides which results are normal.</v>
      </c>
    </row>
    <row r="341" spans="1:34" x14ac:dyDescent="0.2">
      <c r="A341" s="20" t="str">
        <f t="shared" si="68"/>
        <v>VEC-V33|1|EV1/ONSET</v>
      </c>
      <c r="B341" s="20" t="str">
        <f>IF(AND(Events!$D46&lt;&gt;"",COUNTA(Events!$J46:$Q46)&gt;0),Events!$D46&amp;"/ONSET","")</f>
        <v>EV1/ONSET</v>
      </c>
      <c r="C341" s="20" t="str">
        <f t="shared" si="67"/>
        <v>EVENT_ONSET</v>
      </c>
      <c r="D341" s="20" t="str">
        <f>IF(B341="","",Events!$A46&amp;"")</f>
        <v>VEC-V33</v>
      </c>
      <c r="E341" s="20" t="str">
        <f>IF(B341="","",Events!$B46&amp;"")</f>
        <v>1</v>
      </c>
      <c r="F341" s="20" t="str">
        <f t="shared" si="69"/>
        <v>VEC-V33|1</v>
      </c>
      <c r="G341" s="20" t="str">
        <f>IF(B341="","",Events!$D46&amp;"")</f>
        <v>EV1</v>
      </c>
      <c r="H341" s="20" t="str">
        <f>IF(B341="","",Events!$J46&amp;"")</f>
        <v>TIMESTAMP</v>
      </c>
      <c r="I341" s="20" t="str">
        <f>IF(B341="","",Events!$M46&amp;"")</f>
        <v>-05:00</v>
      </c>
      <c r="J341" s="20" t="str">
        <f>IF(B341="","",Events!$U46&amp;"")</f>
        <v/>
      </c>
      <c r="K341" s="20">
        <f>IF(B341="",0,Events!$V46)</f>
        <v>1</v>
      </c>
      <c r="L341" s="20">
        <f>IF(B341="",0,Events!$W46)</f>
        <v>1</v>
      </c>
      <c r="M341" s="20">
        <f>IF(B341="","",Events!$Z46)</f>
        <v>66360720</v>
      </c>
      <c r="N341" s="20">
        <f>IF(B341="","",Events!$AA46)</f>
        <v>66361020</v>
      </c>
      <c r="O341" s="27">
        <f>IF(B341="","",Events!$X46)</f>
        <v>46083</v>
      </c>
      <c r="P341" s="27">
        <f>IF(B341="","",Events!$Y46)</f>
        <v>46083</v>
      </c>
      <c r="Q341" s="20" t="str">
        <f t="shared" si="70"/>
        <v>2026-03-02T20:00-05:00</v>
      </c>
      <c r="R341" s="20" t="str">
        <f>IF(A341="","",IF(J341&lt;&gt;"",J341,IF(H341="TIMESTAMP",DAY(INT(M341/1440))&amp;" "&amp;INDEX(nLIST_Months,MONTH(INT(M341/1440)))&amp;" "&amp;YEAR(INT(M341/1440))&amp;" "&amp;RIGHT("0"&amp;INT(MOD(M341,1440)/60),2)&amp;":"&amp;RIGHT("0"&amp;MOD(M341,60),2)&amp;IF(L341=1," (UTC"&amp;I341&amp;")"," (offset unknown)"),IF(H341="DATE",DAY(O341)&amp;" "&amp;INDEX(nLIST_Months,MONTH(O341))&amp;" "&amp;YEAR(O341),IF(H341="MONTH",INDEX(nLIST_Months,MONTH(O341))&amp;" "&amp;YEAR(O341)&amp;" ("&amp;DAY(O341)&amp;" "&amp;INDEX(nLIST_Months,MONTH(O341))&amp;" "&amp;YEAR(O341)&amp;" to "&amp;DAY(P341)&amp;" "&amp;INDEX(nLIST_Months,MONTH(P341))&amp;" "&amp;YEAR(P341)&amp;")",IF(H341="YEAR",YEAR(O341)&amp;" (1 January to 31 December)",DAY(O341)&amp;" "&amp;INDEX(nLIST_Months,MONTH(O341))&amp;" "&amp;YEAR(O341)&amp;" to "&amp;DAY(P341)&amp;" "&amp;INDEX(nLIST_Months,MONTH(P341))&amp;" "&amp;YEAR(P341)&amp;IF(H341="LAB"," (laboratory-defined)","")))))))</f>
        <v>2 March 2026 20:00 (UTC-05:00)</v>
      </c>
      <c r="S341" s="20" t="str">
        <f>IF(B341="","",Events!$I46&amp;"")</f>
        <v>2026-03-02T20:00-05:00</v>
      </c>
      <c r="T341" s="20" t="str">
        <f>IF(B341="","",Events!$T46&amp;"")</f>
        <v>tto_calc_test_vectors_v1.1.json V33</v>
      </c>
      <c r="U341" s="20" t="str">
        <f>IF(B341="","","Events row "&amp;ROW(Events!$A46)&amp;", Onset")</f>
        <v>Events row 46, Onset</v>
      </c>
      <c r="V341" s="20">
        <f>IF(A341="",0,COUNTIF(nTP_Key,A341))</f>
        <v>1</v>
      </c>
      <c r="W341" s="20">
        <f t="shared" si="71"/>
        <v>66360720</v>
      </c>
      <c r="X341" s="20">
        <f t="shared" si="72"/>
        <v>66361020</v>
      </c>
      <c r="Y341" s="20">
        <f t="shared" si="73"/>
        <v>46083</v>
      </c>
      <c r="Z341" s="20">
        <f t="shared" si="74"/>
        <v>46083</v>
      </c>
      <c r="AA341" s="20">
        <f t="shared" si="75"/>
        <v>337</v>
      </c>
      <c r="AB341" s="20" t="str">
        <f>""</f>
        <v/>
      </c>
      <c r="AC341" s="20" t="str">
        <f>""</f>
        <v/>
      </c>
      <c r="AD341" s="20" t="str">
        <f>IF(B341="","",Events!$E46&amp;" (onset)")</f>
        <v>Vector event (onset)</v>
      </c>
      <c r="AE341" s="20">
        <f t="shared" si="76"/>
        <v>0</v>
      </c>
      <c r="AF341" s="20" t="str">
        <f t="shared" si="77"/>
        <v/>
      </c>
      <c r="AG341" s="20">
        <f t="shared" si="78"/>
        <v>1</v>
      </c>
      <c r="AH341" s="20" t="str">
        <f>IF(B341="","",IF(Events!$J46="LAB","Onset is laboratory-defined (CALC-SPEC 1.1, C4): lower bound = date of the last normal test ("&amp;Events!$R46&amp;"), upper bound = date of the first abnormal test ("&amp;Events!$S46&amp;"). The reviewer decides which results are normal.",""))</f>
        <v/>
      </c>
    </row>
    <row r="342" spans="1:34" x14ac:dyDescent="0.2">
      <c r="A342" s="20" t="str">
        <f t="shared" si="68"/>
        <v>VEC-V34|1|EV1/ONSET</v>
      </c>
      <c r="B342" s="20" t="str">
        <f>IF(AND(Events!$D47&lt;&gt;"",COUNTA(Events!$J47:$Q47)&gt;0),Events!$D47&amp;"/ONSET","")</f>
        <v>EV1/ONSET</v>
      </c>
      <c r="C342" s="20" t="str">
        <f t="shared" si="67"/>
        <v>EVENT_ONSET</v>
      </c>
      <c r="D342" s="20" t="str">
        <f>IF(B342="","",Events!$A47&amp;"")</f>
        <v>VEC-V34</v>
      </c>
      <c r="E342" s="20" t="str">
        <f>IF(B342="","",Events!$B47&amp;"")</f>
        <v>1</v>
      </c>
      <c r="F342" s="20" t="str">
        <f t="shared" si="69"/>
        <v>VEC-V34|1</v>
      </c>
      <c r="G342" s="20" t="str">
        <f>IF(B342="","",Events!$D47&amp;"")</f>
        <v>EV1</v>
      </c>
      <c r="H342" s="20" t="str">
        <f>IF(B342="","",Events!$J47&amp;"")</f>
        <v>DATE</v>
      </c>
      <c r="I342" s="20" t="str">
        <f>IF(B342="","",Events!$M47&amp;"")</f>
        <v/>
      </c>
      <c r="J342" s="20" t="str">
        <f>IF(B342="","",Events!$U47&amp;"")</f>
        <v/>
      </c>
      <c r="K342" s="20">
        <f>IF(B342="",0,Events!$V47)</f>
        <v>0</v>
      </c>
      <c r="L342" s="20">
        <f>IF(B342="",0,Events!$W47)</f>
        <v>0</v>
      </c>
      <c r="M342" s="20" t="str">
        <f>IF(B342="","",Events!$Z47)</f>
        <v/>
      </c>
      <c r="N342" s="20" t="str">
        <f>IF(B342="","",Events!$AA47)</f>
        <v/>
      </c>
      <c r="O342" s="27">
        <f>IF(B342="","",Events!$X47)</f>
        <v>46093</v>
      </c>
      <c r="P342" s="27">
        <f>IF(B342="","",Events!$Y47)</f>
        <v>46093</v>
      </c>
      <c r="Q342" s="20" t="str">
        <f t="shared" si="70"/>
        <v>2026-03-12</v>
      </c>
      <c r="R342" s="20" t="str">
        <f>IF(A342="","",IF(J342&lt;&gt;"",J342,IF(H342="TIMESTAMP",DAY(INT(M342/1440))&amp;" "&amp;INDEX(nLIST_Months,MONTH(INT(M342/1440)))&amp;" "&amp;YEAR(INT(M342/1440))&amp;" "&amp;RIGHT("0"&amp;INT(MOD(M342,1440)/60),2)&amp;":"&amp;RIGHT("0"&amp;MOD(M342,60),2)&amp;IF(L342=1," (UTC"&amp;I342&amp;")"," (offset unknown)"),IF(H342="DATE",DAY(O342)&amp;" "&amp;INDEX(nLIST_Months,MONTH(O342))&amp;" "&amp;YEAR(O342),IF(H342="MONTH",INDEX(nLIST_Months,MONTH(O342))&amp;" "&amp;YEAR(O342)&amp;" ("&amp;DAY(O342)&amp;" "&amp;INDEX(nLIST_Months,MONTH(O342))&amp;" "&amp;YEAR(O342)&amp;" to "&amp;DAY(P342)&amp;" "&amp;INDEX(nLIST_Months,MONTH(P342))&amp;" "&amp;YEAR(P342)&amp;")",IF(H342="YEAR",YEAR(O342)&amp;" (1 January to 31 December)",DAY(O342)&amp;" "&amp;INDEX(nLIST_Months,MONTH(O342))&amp;" "&amp;YEAR(O342)&amp;" to "&amp;DAY(P342)&amp;" "&amp;INDEX(nLIST_Months,MONTH(P342))&amp;" "&amp;YEAR(P342)&amp;IF(H342="LAB"," (laboratory-defined)","")))))))</f>
        <v>12 March 2026</v>
      </c>
      <c r="S342" s="20" t="str">
        <f>IF(B342="","",Events!$I47&amp;"")</f>
        <v>2026-03-12</v>
      </c>
      <c r="T342" s="20" t="str">
        <f>IF(B342="","",Events!$T47&amp;"")</f>
        <v>tto_calc_test_vectors_v1.1.json V34</v>
      </c>
      <c r="U342" s="20" t="str">
        <f>IF(B342="","","Events row "&amp;ROW(Events!$A47)&amp;", Onset")</f>
        <v>Events row 47, Onset</v>
      </c>
      <c r="V342" s="20">
        <f>IF(A342="",0,COUNTIF(nTP_Key,A342))</f>
        <v>1</v>
      </c>
      <c r="W342" s="20">
        <f t="shared" si="71"/>
        <v>0</v>
      </c>
      <c r="X342" s="20">
        <f t="shared" si="72"/>
        <v>0</v>
      </c>
      <c r="Y342" s="20">
        <f t="shared" si="73"/>
        <v>46093</v>
      </c>
      <c r="Z342" s="20">
        <f t="shared" si="74"/>
        <v>46093</v>
      </c>
      <c r="AA342" s="20">
        <f t="shared" si="75"/>
        <v>338</v>
      </c>
      <c r="AB342" s="20" t="str">
        <f>""</f>
        <v/>
      </c>
      <c r="AC342" s="20" t="str">
        <f>""</f>
        <v/>
      </c>
      <c r="AD342" s="20" t="str">
        <f>IF(B342="","",Events!$E47&amp;" (onset)")</f>
        <v>Vector event (onset)</v>
      </c>
      <c r="AE342" s="20">
        <f t="shared" si="76"/>
        <v>0</v>
      </c>
      <c r="AF342" s="20" t="str">
        <f t="shared" si="77"/>
        <v/>
      </c>
      <c r="AG342" s="20">
        <f t="shared" si="78"/>
        <v>1</v>
      </c>
      <c r="AH342" s="20" t="str">
        <f>IF(B342="","",IF(Events!$J47="LAB","Onset is laboratory-defined (CALC-SPEC 1.1, C4): lower bound = date of the last normal test ("&amp;Events!$R47&amp;"), upper bound = date of the first abnormal test ("&amp;Events!$S47&amp;"). The reviewer decides which results are normal.",""))</f>
        <v/>
      </c>
    </row>
    <row r="343" spans="1:34" x14ac:dyDescent="0.2">
      <c r="A343" s="20" t="str">
        <f t="shared" si="68"/>
        <v>VEC-V35|1|EV1/ONSET</v>
      </c>
      <c r="B343" s="20" t="str">
        <f>IF(AND(Events!$D48&lt;&gt;"",COUNTA(Events!$J48:$Q48)&gt;0),Events!$D48&amp;"/ONSET","")</f>
        <v>EV1/ONSET</v>
      </c>
      <c r="C343" s="20" t="str">
        <f t="shared" si="67"/>
        <v>EVENT_ONSET</v>
      </c>
      <c r="D343" s="20" t="str">
        <f>IF(B343="","",Events!$A48&amp;"")</f>
        <v>VEC-V35</v>
      </c>
      <c r="E343" s="20" t="str">
        <f>IF(B343="","",Events!$B48&amp;"")</f>
        <v>1</v>
      </c>
      <c r="F343" s="20" t="str">
        <f t="shared" si="69"/>
        <v>VEC-V35|1</v>
      </c>
      <c r="G343" s="20" t="str">
        <f>IF(B343="","",Events!$D48&amp;"")</f>
        <v>EV1</v>
      </c>
      <c r="H343" s="20" t="str">
        <f>IF(B343="","",Events!$J48&amp;"")</f>
        <v>DATE</v>
      </c>
      <c r="I343" s="20" t="str">
        <f>IF(B343="","",Events!$M48&amp;"")</f>
        <v/>
      </c>
      <c r="J343" s="20" t="str">
        <f>IF(B343="","",Events!$U48&amp;"")</f>
        <v>E_INVALID_DATE</v>
      </c>
      <c r="K343" s="20">
        <f>IF(B343="",0,Events!$V48)</f>
        <v>0</v>
      </c>
      <c r="L343" s="20">
        <f>IF(B343="",0,Events!$W48)</f>
        <v>0</v>
      </c>
      <c r="M343" s="20" t="str">
        <f>IF(B343="","",Events!$Z48)</f>
        <v/>
      </c>
      <c r="N343" s="20" t="str">
        <f>IF(B343="","",Events!$AA48)</f>
        <v/>
      </c>
      <c r="O343" s="27" t="str">
        <f>IF(B343="","",Events!$X48)</f>
        <v/>
      </c>
      <c r="P343" s="27" t="str">
        <f>IF(B343="","",Events!$Y48)</f>
        <v/>
      </c>
      <c r="Q343" s="20" t="str">
        <f t="shared" si="70"/>
        <v/>
      </c>
      <c r="R343" s="20" t="str">
        <f>IF(A343="","",IF(J343&lt;&gt;"",J343,IF(H343="TIMESTAMP",DAY(INT(M343/1440))&amp;" "&amp;INDEX(nLIST_Months,MONTH(INT(M343/1440)))&amp;" "&amp;YEAR(INT(M343/1440))&amp;" "&amp;RIGHT("0"&amp;INT(MOD(M343,1440)/60),2)&amp;":"&amp;RIGHT("0"&amp;MOD(M343,60),2)&amp;IF(L343=1," (UTC"&amp;I343&amp;")"," (offset unknown)"),IF(H343="DATE",DAY(O343)&amp;" "&amp;INDEX(nLIST_Months,MONTH(O343))&amp;" "&amp;YEAR(O343),IF(H343="MONTH",INDEX(nLIST_Months,MONTH(O343))&amp;" "&amp;YEAR(O343)&amp;" ("&amp;DAY(O343)&amp;" "&amp;INDEX(nLIST_Months,MONTH(O343))&amp;" "&amp;YEAR(O343)&amp;" to "&amp;DAY(P343)&amp;" "&amp;INDEX(nLIST_Months,MONTH(P343))&amp;" "&amp;YEAR(P343)&amp;")",IF(H343="YEAR",YEAR(O343)&amp;" (1 January to 31 December)",DAY(O343)&amp;" "&amp;INDEX(nLIST_Months,MONTH(O343))&amp;" "&amp;YEAR(O343)&amp;" to "&amp;DAY(P343)&amp;" "&amp;INDEX(nLIST_Months,MONTH(P343))&amp;" "&amp;YEAR(P343)&amp;IF(H343="LAB"," (laboratory-defined)","")))))))</f>
        <v>E_INVALID_DATE</v>
      </c>
      <c r="S343" s="20" t="str">
        <f>IF(B343="","",Events!$I48&amp;"")</f>
        <v>2026-02-30</v>
      </c>
      <c r="T343" s="20" t="str">
        <f>IF(B343="","",Events!$T48&amp;"")</f>
        <v>tto_calc_test_vectors_v1.1.json V35</v>
      </c>
      <c r="U343" s="20" t="str">
        <f>IF(B343="","","Events row "&amp;ROW(Events!$A48)&amp;", Onset")</f>
        <v>Events row 48, Onset</v>
      </c>
      <c r="V343" s="20">
        <f>IF(A343="",0,COUNTIF(nTP_Key,A343))</f>
        <v>1</v>
      </c>
      <c r="W343" s="20">
        <f t="shared" si="71"/>
        <v>0</v>
      </c>
      <c r="X343" s="20">
        <f t="shared" si="72"/>
        <v>0</v>
      </c>
      <c r="Y343" s="20">
        <f t="shared" si="73"/>
        <v>0</v>
      </c>
      <c r="Z343" s="20">
        <f t="shared" si="74"/>
        <v>0</v>
      </c>
      <c r="AA343" s="20">
        <f t="shared" si="75"/>
        <v>339</v>
      </c>
      <c r="AB343" s="20" t="str">
        <f>""</f>
        <v/>
      </c>
      <c r="AC343" s="20" t="str">
        <f>""</f>
        <v/>
      </c>
      <c r="AD343" s="20" t="str">
        <f>IF(B343="","",Events!$E48&amp;" (onset)")</f>
        <v>Vector event (onset)</v>
      </c>
      <c r="AE343" s="20">
        <f t="shared" si="76"/>
        <v>0</v>
      </c>
      <c r="AF343" s="20" t="str">
        <f t="shared" si="77"/>
        <v/>
      </c>
      <c r="AG343" s="20">
        <f t="shared" si="78"/>
        <v>0</v>
      </c>
      <c r="AH343" s="20" t="str">
        <f>IF(B343="","",IF(Events!$J48="LAB","Onset is laboratory-defined (CALC-SPEC 1.1, C4): lower bound = date of the last normal test ("&amp;Events!$R48&amp;"), upper bound = date of the first abnormal test ("&amp;Events!$S48&amp;"). The reviewer decides which results are normal.",""))</f>
        <v/>
      </c>
    </row>
    <row r="344" spans="1:34" x14ac:dyDescent="0.2">
      <c r="A344" s="20" t="str">
        <f t="shared" si="68"/>
        <v/>
      </c>
      <c r="B344" s="20" t="str">
        <f>IF(AND(Events!$D5&lt;&gt;"",COUNTA(Events!$AH5:$AO5)&gt;0),Events!$D5&amp;"/DETECTION","")</f>
        <v/>
      </c>
      <c r="C344" s="20" t="str">
        <f t="shared" ref="C344:C387" si="79">IF(B344="","","EVENT_DETECTION")</f>
        <v/>
      </c>
      <c r="D344" s="20" t="str">
        <f>IF(B344="","",Events!$A5&amp;"")</f>
        <v/>
      </c>
      <c r="E344" s="20" t="str">
        <f>IF(B344="","",Events!$B5&amp;"")</f>
        <v/>
      </c>
      <c r="F344" s="20" t="str">
        <f t="shared" si="69"/>
        <v/>
      </c>
      <c r="G344" s="20" t="str">
        <f>IF(B344="","",Events!$D5&amp;"")</f>
        <v/>
      </c>
      <c r="H344" s="20" t="str">
        <f>IF(B344="","",Events!$AH5&amp;"")</f>
        <v/>
      </c>
      <c r="I344" s="20" t="str">
        <f>IF(B344="","",Events!$AK5&amp;"")</f>
        <v/>
      </c>
      <c r="J344" s="20" t="str">
        <f>IF(B344="","",Events!$AQ5&amp;"")</f>
        <v/>
      </c>
      <c r="K344" s="20">
        <f>IF(B344="",0,Events!$AR5)</f>
        <v>0</v>
      </c>
      <c r="L344" s="20">
        <f>IF(B344="",0,Events!$AS5)</f>
        <v>0</v>
      </c>
      <c r="M344" s="20" t="str">
        <f>IF(B344="","",Events!$AV5)</f>
        <v/>
      </c>
      <c r="N344" s="20" t="str">
        <f>IF(B344="","",Events!$AW5)</f>
        <v/>
      </c>
      <c r="O344" s="27" t="str">
        <f>IF(B344="","",Events!$AT5)</f>
        <v/>
      </c>
      <c r="P344" s="27" t="str">
        <f>IF(B344="","",Events!$AU5)</f>
        <v/>
      </c>
      <c r="Q344" s="20" t="str">
        <f t="shared" si="70"/>
        <v/>
      </c>
      <c r="R344" s="20" t="str">
        <f>IF(A344="","",IF(J344&lt;&gt;"",J344,IF(H344="TIMESTAMP",DAY(INT(M344/1440))&amp;" "&amp;INDEX(nLIST_Months,MONTH(INT(M344/1440)))&amp;" "&amp;YEAR(INT(M344/1440))&amp;" "&amp;RIGHT("0"&amp;INT(MOD(M344,1440)/60),2)&amp;":"&amp;RIGHT("0"&amp;MOD(M344,60),2)&amp;IF(L344=1," (UTC"&amp;I344&amp;")"," (offset unknown)"),IF(H344="DATE",DAY(O344)&amp;" "&amp;INDEX(nLIST_Months,MONTH(O344))&amp;" "&amp;YEAR(O344),IF(H344="MONTH",INDEX(nLIST_Months,MONTH(O344))&amp;" "&amp;YEAR(O344)&amp;" ("&amp;DAY(O344)&amp;" "&amp;INDEX(nLIST_Months,MONTH(O344))&amp;" "&amp;YEAR(O344)&amp;" to "&amp;DAY(P344)&amp;" "&amp;INDEX(nLIST_Months,MONTH(P344))&amp;" "&amp;YEAR(P344)&amp;")",IF(H344="YEAR",YEAR(O344)&amp;" (1 January to 31 December)",DAY(O344)&amp;" "&amp;INDEX(nLIST_Months,MONTH(O344))&amp;" "&amp;YEAR(O344)&amp;" to "&amp;DAY(P344)&amp;" "&amp;INDEX(nLIST_Months,MONTH(P344))&amp;" "&amp;YEAR(P344)&amp;IF(H344="LAB"," (laboratory-defined)","")))))))</f>
        <v/>
      </c>
      <c r="S344" s="20" t="str">
        <f>IF(B344="","",Events!$AG5&amp;"")</f>
        <v/>
      </c>
      <c r="T344" s="20" t="str">
        <f>IF(B344="","",Events!$AP5&amp;"")</f>
        <v/>
      </c>
      <c r="U344" s="20" t="str">
        <f>IF(B344="","","Events row "&amp;ROW(Events!$A5)&amp;", First detection")</f>
        <v/>
      </c>
      <c r="V344" s="20">
        <f>IF(A344="",0,COUNTIF(nTP_Key,A344))</f>
        <v>0</v>
      </c>
      <c r="W344" s="20">
        <f t="shared" si="71"/>
        <v>0</v>
      </c>
      <c r="X344" s="20">
        <f t="shared" si="72"/>
        <v>0</v>
      </c>
      <c r="Y344" s="20">
        <f t="shared" si="73"/>
        <v>0</v>
      </c>
      <c r="Z344" s="20">
        <f t="shared" si="74"/>
        <v>0</v>
      </c>
      <c r="AA344" s="20">
        <f t="shared" si="75"/>
        <v>340</v>
      </c>
      <c r="AB344" s="20" t="str">
        <f>""</f>
        <v/>
      </c>
      <c r="AC344" s="20" t="str">
        <f>""</f>
        <v/>
      </c>
      <c r="AD344" s="20" t="str">
        <f>IF(B344="","",Events!$E5&amp;" (first detection)")</f>
        <v/>
      </c>
      <c r="AE344" s="20">
        <f t="shared" si="76"/>
        <v>0</v>
      </c>
      <c r="AF344" s="20" t="str">
        <f t="shared" si="77"/>
        <v/>
      </c>
      <c r="AG344" s="20">
        <f t="shared" si="78"/>
        <v>0</v>
      </c>
      <c r="AH344" s="20" t="str">
        <f>""</f>
        <v/>
      </c>
    </row>
    <row r="345" spans="1:34" x14ac:dyDescent="0.2">
      <c r="A345" s="20" t="str">
        <f t="shared" si="68"/>
        <v/>
      </c>
      <c r="B345" s="20" t="str">
        <f>IF(AND(Events!$D6&lt;&gt;"",COUNTA(Events!$AH6:$AO6)&gt;0),Events!$D6&amp;"/DETECTION","")</f>
        <v/>
      </c>
      <c r="C345" s="20" t="str">
        <f t="shared" si="79"/>
        <v/>
      </c>
      <c r="D345" s="20" t="str">
        <f>IF(B345="","",Events!$A6&amp;"")</f>
        <v/>
      </c>
      <c r="E345" s="20" t="str">
        <f>IF(B345="","",Events!$B6&amp;"")</f>
        <v/>
      </c>
      <c r="F345" s="20" t="str">
        <f t="shared" si="69"/>
        <v/>
      </c>
      <c r="G345" s="20" t="str">
        <f>IF(B345="","",Events!$D6&amp;"")</f>
        <v/>
      </c>
      <c r="H345" s="20" t="str">
        <f>IF(B345="","",Events!$AH6&amp;"")</f>
        <v/>
      </c>
      <c r="I345" s="20" t="str">
        <f>IF(B345="","",Events!$AK6&amp;"")</f>
        <v/>
      </c>
      <c r="J345" s="20" t="str">
        <f>IF(B345="","",Events!$AQ6&amp;"")</f>
        <v/>
      </c>
      <c r="K345" s="20">
        <f>IF(B345="",0,Events!$AR6)</f>
        <v>0</v>
      </c>
      <c r="L345" s="20">
        <f>IF(B345="",0,Events!$AS6)</f>
        <v>0</v>
      </c>
      <c r="M345" s="20" t="str">
        <f>IF(B345="","",Events!$AV6)</f>
        <v/>
      </c>
      <c r="N345" s="20" t="str">
        <f>IF(B345="","",Events!$AW6)</f>
        <v/>
      </c>
      <c r="O345" s="27" t="str">
        <f>IF(B345="","",Events!$AT6)</f>
        <v/>
      </c>
      <c r="P345" s="27" t="str">
        <f>IF(B345="","",Events!$AU6)</f>
        <v/>
      </c>
      <c r="Q345" s="20" t="str">
        <f t="shared" si="70"/>
        <v/>
      </c>
      <c r="R345" s="20" t="str">
        <f>IF(A345="","",IF(J345&lt;&gt;"",J345,IF(H345="TIMESTAMP",DAY(INT(M345/1440))&amp;" "&amp;INDEX(nLIST_Months,MONTH(INT(M345/1440)))&amp;" "&amp;YEAR(INT(M345/1440))&amp;" "&amp;RIGHT("0"&amp;INT(MOD(M345,1440)/60),2)&amp;":"&amp;RIGHT("0"&amp;MOD(M345,60),2)&amp;IF(L345=1," (UTC"&amp;I345&amp;")"," (offset unknown)"),IF(H345="DATE",DAY(O345)&amp;" "&amp;INDEX(nLIST_Months,MONTH(O345))&amp;" "&amp;YEAR(O345),IF(H345="MONTH",INDEX(nLIST_Months,MONTH(O345))&amp;" "&amp;YEAR(O345)&amp;" ("&amp;DAY(O345)&amp;" "&amp;INDEX(nLIST_Months,MONTH(O345))&amp;" "&amp;YEAR(O345)&amp;" to "&amp;DAY(P345)&amp;" "&amp;INDEX(nLIST_Months,MONTH(P345))&amp;" "&amp;YEAR(P345)&amp;")",IF(H345="YEAR",YEAR(O345)&amp;" (1 January to 31 December)",DAY(O345)&amp;" "&amp;INDEX(nLIST_Months,MONTH(O345))&amp;" "&amp;YEAR(O345)&amp;" to "&amp;DAY(P345)&amp;" "&amp;INDEX(nLIST_Months,MONTH(P345))&amp;" "&amp;YEAR(P345)&amp;IF(H345="LAB"," (laboratory-defined)","")))))))</f>
        <v/>
      </c>
      <c r="S345" s="20" t="str">
        <f>IF(B345="","",Events!$AG6&amp;"")</f>
        <v/>
      </c>
      <c r="T345" s="20" t="str">
        <f>IF(B345="","",Events!$AP6&amp;"")</f>
        <v/>
      </c>
      <c r="U345" s="20" t="str">
        <f>IF(B345="","","Events row "&amp;ROW(Events!$A6)&amp;", First detection")</f>
        <v/>
      </c>
      <c r="V345" s="20">
        <f>IF(A345="",0,COUNTIF(nTP_Key,A345))</f>
        <v>0</v>
      </c>
      <c r="W345" s="20">
        <f t="shared" si="71"/>
        <v>0</v>
      </c>
      <c r="X345" s="20">
        <f t="shared" si="72"/>
        <v>0</v>
      </c>
      <c r="Y345" s="20">
        <f t="shared" si="73"/>
        <v>0</v>
      </c>
      <c r="Z345" s="20">
        <f t="shared" si="74"/>
        <v>0</v>
      </c>
      <c r="AA345" s="20">
        <f t="shared" si="75"/>
        <v>341</v>
      </c>
      <c r="AB345" s="20" t="str">
        <f>""</f>
        <v/>
      </c>
      <c r="AC345" s="20" t="str">
        <f>""</f>
        <v/>
      </c>
      <c r="AD345" s="20" t="str">
        <f>IF(B345="","",Events!$E6&amp;" (first detection)")</f>
        <v/>
      </c>
      <c r="AE345" s="20">
        <f t="shared" si="76"/>
        <v>0</v>
      </c>
      <c r="AF345" s="20" t="str">
        <f t="shared" si="77"/>
        <v/>
      </c>
      <c r="AG345" s="20">
        <f t="shared" si="78"/>
        <v>0</v>
      </c>
      <c r="AH345" s="20" t="str">
        <f>""</f>
        <v/>
      </c>
    </row>
    <row r="346" spans="1:34" x14ac:dyDescent="0.2">
      <c r="A346" s="20" t="str">
        <f t="shared" si="68"/>
        <v/>
      </c>
      <c r="B346" s="20" t="str">
        <f>IF(AND(Events!$D7&lt;&gt;"",COUNTA(Events!$AH7:$AO7)&gt;0),Events!$D7&amp;"/DETECTION","")</f>
        <v/>
      </c>
      <c r="C346" s="20" t="str">
        <f t="shared" si="79"/>
        <v/>
      </c>
      <c r="D346" s="20" t="str">
        <f>IF(B346="","",Events!$A7&amp;"")</f>
        <v/>
      </c>
      <c r="E346" s="20" t="str">
        <f>IF(B346="","",Events!$B7&amp;"")</f>
        <v/>
      </c>
      <c r="F346" s="20" t="str">
        <f t="shared" si="69"/>
        <v/>
      </c>
      <c r="G346" s="20" t="str">
        <f>IF(B346="","",Events!$D7&amp;"")</f>
        <v/>
      </c>
      <c r="H346" s="20" t="str">
        <f>IF(B346="","",Events!$AH7&amp;"")</f>
        <v/>
      </c>
      <c r="I346" s="20" t="str">
        <f>IF(B346="","",Events!$AK7&amp;"")</f>
        <v/>
      </c>
      <c r="J346" s="20" t="str">
        <f>IF(B346="","",Events!$AQ7&amp;"")</f>
        <v/>
      </c>
      <c r="K346" s="20">
        <f>IF(B346="",0,Events!$AR7)</f>
        <v>0</v>
      </c>
      <c r="L346" s="20">
        <f>IF(B346="",0,Events!$AS7)</f>
        <v>0</v>
      </c>
      <c r="M346" s="20" t="str">
        <f>IF(B346="","",Events!$AV7)</f>
        <v/>
      </c>
      <c r="N346" s="20" t="str">
        <f>IF(B346="","",Events!$AW7)</f>
        <v/>
      </c>
      <c r="O346" s="27" t="str">
        <f>IF(B346="","",Events!$AT7)</f>
        <v/>
      </c>
      <c r="P346" s="27" t="str">
        <f>IF(B346="","",Events!$AU7)</f>
        <v/>
      </c>
      <c r="Q346" s="20" t="str">
        <f t="shared" si="70"/>
        <v/>
      </c>
      <c r="R346" s="20" t="str">
        <f>IF(A346="","",IF(J346&lt;&gt;"",J346,IF(H346="TIMESTAMP",DAY(INT(M346/1440))&amp;" "&amp;INDEX(nLIST_Months,MONTH(INT(M346/1440)))&amp;" "&amp;YEAR(INT(M346/1440))&amp;" "&amp;RIGHT("0"&amp;INT(MOD(M346,1440)/60),2)&amp;":"&amp;RIGHT("0"&amp;MOD(M346,60),2)&amp;IF(L346=1," (UTC"&amp;I346&amp;")"," (offset unknown)"),IF(H346="DATE",DAY(O346)&amp;" "&amp;INDEX(nLIST_Months,MONTH(O346))&amp;" "&amp;YEAR(O346),IF(H346="MONTH",INDEX(nLIST_Months,MONTH(O346))&amp;" "&amp;YEAR(O346)&amp;" ("&amp;DAY(O346)&amp;" "&amp;INDEX(nLIST_Months,MONTH(O346))&amp;" "&amp;YEAR(O346)&amp;" to "&amp;DAY(P346)&amp;" "&amp;INDEX(nLIST_Months,MONTH(P346))&amp;" "&amp;YEAR(P346)&amp;")",IF(H346="YEAR",YEAR(O346)&amp;" (1 January to 31 December)",DAY(O346)&amp;" "&amp;INDEX(nLIST_Months,MONTH(O346))&amp;" "&amp;YEAR(O346)&amp;" to "&amp;DAY(P346)&amp;" "&amp;INDEX(nLIST_Months,MONTH(P346))&amp;" "&amp;YEAR(P346)&amp;IF(H346="LAB"," (laboratory-defined)","")))))))</f>
        <v/>
      </c>
      <c r="S346" s="20" t="str">
        <f>IF(B346="","",Events!$AG7&amp;"")</f>
        <v/>
      </c>
      <c r="T346" s="20" t="str">
        <f>IF(B346="","",Events!$AP7&amp;"")</f>
        <v/>
      </c>
      <c r="U346" s="20" t="str">
        <f>IF(B346="","","Events row "&amp;ROW(Events!$A7)&amp;", First detection")</f>
        <v/>
      </c>
      <c r="V346" s="20">
        <f>IF(A346="",0,COUNTIF(nTP_Key,A346))</f>
        <v>0</v>
      </c>
      <c r="W346" s="20">
        <f t="shared" si="71"/>
        <v>0</v>
      </c>
      <c r="X346" s="20">
        <f t="shared" si="72"/>
        <v>0</v>
      </c>
      <c r="Y346" s="20">
        <f t="shared" si="73"/>
        <v>0</v>
      </c>
      <c r="Z346" s="20">
        <f t="shared" si="74"/>
        <v>0</v>
      </c>
      <c r="AA346" s="20">
        <f t="shared" si="75"/>
        <v>342</v>
      </c>
      <c r="AB346" s="20" t="str">
        <f>""</f>
        <v/>
      </c>
      <c r="AC346" s="20" t="str">
        <f>""</f>
        <v/>
      </c>
      <c r="AD346" s="20" t="str">
        <f>IF(B346="","",Events!$E7&amp;" (first detection)")</f>
        <v/>
      </c>
      <c r="AE346" s="20">
        <f t="shared" si="76"/>
        <v>0</v>
      </c>
      <c r="AF346" s="20" t="str">
        <f t="shared" si="77"/>
        <v/>
      </c>
      <c r="AG346" s="20">
        <f t="shared" si="78"/>
        <v>0</v>
      </c>
      <c r="AH346" s="20" t="str">
        <f>""</f>
        <v/>
      </c>
    </row>
    <row r="347" spans="1:34" x14ac:dyDescent="0.2">
      <c r="A347" s="20" t="str">
        <f t="shared" si="68"/>
        <v/>
      </c>
      <c r="B347" s="20" t="str">
        <f>IF(AND(Events!$D8&lt;&gt;"",COUNTA(Events!$AH8:$AO8)&gt;0),Events!$D8&amp;"/DETECTION","")</f>
        <v/>
      </c>
      <c r="C347" s="20" t="str">
        <f t="shared" si="79"/>
        <v/>
      </c>
      <c r="D347" s="20" t="str">
        <f>IF(B347="","",Events!$A8&amp;"")</f>
        <v/>
      </c>
      <c r="E347" s="20" t="str">
        <f>IF(B347="","",Events!$B8&amp;"")</f>
        <v/>
      </c>
      <c r="F347" s="20" t="str">
        <f t="shared" si="69"/>
        <v/>
      </c>
      <c r="G347" s="20" t="str">
        <f>IF(B347="","",Events!$D8&amp;"")</f>
        <v/>
      </c>
      <c r="H347" s="20" t="str">
        <f>IF(B347="","",Events!$AH8&amp;"")</f>
        <v/>
      </c>
      <c r="I347" s="20" t="str">
        <f>IF(B347="","",Events!$AK8&amp;"")</f>
        <v/>
      </c>
      <c r="J347" s="20" t="str">
        <f>IF(B347="","",Events!$AQ8&amp;"")</f>
        <v/>
      </c>
      <c r="K347" s="20">
        <f>IF(B347="",0,Events!$AR8)</f>
        <v>0</v>
      </c>
      <c r="L347" s="20">
        <f>IF(B347="",0,Events!$AS8)</f>
        <v>0</v>
      </c>
      <c r="M347" s="20" t="str">
        <f>IF(B347="","",Events!$AV8)</f>
        <v/>
      </c>
      <c r="N347" s="20" t="str">
        <f>IF(B347="","",Events!$AW8)</f>
        <v/>
      </c>
      <c r="O347" s="27" t="str">
        <f>IF(B347="","",Events!$AT8)</f>
        <v/>
      </c>
      <c r="P347" s="27" t="str">
        <f>IF(B347="","",Events!$AU8)</f>
        <v/>
      </c>
      <c r="Q347" s="20" t="str">
        <f t="shared" si="70"/>
        <v/>
      </c>
      <c r="R347" s="20" t="str">
        <f>IF(A347="","",IF(J347&lt;&gt;"",J347,IF(H347="TIMESTAMP",DAY(INT(M347/1440))&amp;" "&amp;INDEX(nLIST_Months,MONTH(INT(M347/1440)))&amp;" "&amp;YEAR(INT(M347/1440))&amp;" "&amp;RIGHT("0"&amp;INT(MOD(M347,1440)/60),2)&amp;":"&amp;RIGHT("0"&amp;MOD(M347,60),2)&amp;IF(L347=1," (UTC"&amp;I347&amp;")"," (offset unknown)"),IF(H347="DATE",DAY(O347)&amp;" "&amp;INDEX(nLIST_Months,MONTH(O347))&amp;" "&amp;YEAR(O347),IF(H347="MONTH",INDEX(nLIST_Months,MONTH(O347))&amp;" "&amp;YEAR(O347)&amp;" ("&amp;DAY(O347)&amp;" "&amp;INDEX(nLIST_Months,MONTH(O347))&amp;" "&amp;YEAR(O347)&amp;" to "&amp;DAY(P347)&amp;" "&amp;INDEX(nLIST_Months,MONTH(P347))&amp;" "&amp;YEAR(P347)&amp;")",IF(H347="YEAR",YEAR(O347)&amp;" (1 January to 31 December)",DAY(O347)&amp;" "&amp;INDEX(nLIST_Months,MONTH(O347))&amp;" "&amp;YEAR(O347)&amp;" to "&amp;DAY(P347)&amp;" "&amp;INDEX(nLIST_Months,MONTH(P347))&amp;" "&amp;YEAR(P347)&amp;IF(H347="LAB"," (laboratory-defined)","")))))))</f>
        <v/>
      </c>
      <c r="S347" s="20" t="str">
        <f>IF(B347="","",Events!$AG8&amp;"")</f>
        <v/>
      </c>
      <c r="T347" s="20" t="str">
        <f>IF(B347="","",Events!$AP8&amp;"")</f>
        <v/>
      </c>
      <c r="U347" s="20" t="str">
        <f>IF(B347="","","Events row "&amp;ROW(Events!$A8)&amp;", First detection")</f>
        <v/>
      </c>
      <c r="V347" s="20">
        <f>IF(A347="",0,COUNTIF(nTP_Key,A347))</f>
        <v>0</v>
      </c>
      <c r="W347" s="20">
        <f t="shared" si="71"/>
        <v>0</v>
      </c>
      <c r="X347" s="20">
        <f t="shared" si="72"/>
        <v>0</v>
      </c>
      <c r="Y347" s="20">
        <f t="shared" si="73"/>
        <v>0</v>
      </c>
      <c r="Z347" s="20">
        <f t="shared" si="74"/>
        <v>0</v>
      </c>
      <c r="AA347" s="20">
        <f t="shared" si="75"/>
        <v>343</v>
      </c>
      <c r="AB347" s="20" t="str">
        <f>""</f>
        <v/>
      </c>
      <c r="AC347" s="20" t="str">
        <f>""</f>
        <v/>
      </c>
      <c r="AD347" s="20" t="str">
        <f>IF(B347="","",Events!$E8&amp;" (first detection)")</f>
        <v/>
      </c>
      <c r="AE347" s="20">
        <f t="shared" si="76"/>
        <v>0</v>
      </c>
      <c r="AF347" s="20" t="str">
        <f t="shared" si="77"/>
        <v/>
      </c>
      <c r="AG347" s="20">
        <f t="shared" si="78"/>
        <v>0</v>
      </c>
      <c r="AH347" s="20" t="str">
        <f>""</f>
        <v/>
      </c>
    </row>
    <row r="348" spans="1:34" x14ac:dyDescent="0.2">
      <c r="A348" s="20" t="str">
        <f t="shared" si="68"/>
        <v/>
      </c>
      <c r="B348" s="20" t="str">
        <f>IF(AND(Events!$D9&lt;&gt;"",COUNTA(Events!$AH9:$AO9)&gt;0),Events!$D9&amp;"/DETECTION","")</f>
        <v/>
      </c>
      <c r="C348" s="20" t="str">
        <f t="shared" si="79"/>
        <v/>
      </c>
      <c r="D348" s="20" t="str">
        <f>IF(B348="","",Events!$A9&amp;"")</f>
        <v/>
      </c>
      <c r="E348" s="20" t="str">
        <f>IF(B348="","",Events!$B9&amp;"")</f>
        <v/>
      </c>
      <c r="F348" s="20" t="str">
        <f t="shared" si="69"/>
        <v/>
      </c>
      <c r="G348" s="20" t="str">
        <f>IF(B348="","",Events!$D9&amp;"")</f>
        <v/>
      </c>
      <c r="H348" s="20" t="str">
        <f>IF(B348="","",Events!$AH9&amp;"")</f>
        <v/>
      </c>
      <c r="I348" s="20" t="str">
        <f>IF(B348="","",Events!$AK9&amp;"")</f>
        <v/>
      </c>
      <c r="J348" s="20" t="str">
        <f>IF(B348="","",Events!$AQ9&amp;"")</f>
        <v/>
      </c>
      <c r="K348" s="20">
        <f>IF(B348="",0,Events!$AR9)</f>
        <v>0</v>
      </c>
      <c r="L348" s="20">
        <f>IF(B348="",0,Events!$AS9)</f>
        <v>0</v>
      </c>
      <c r="M348" s="20" t="str">
        <f>IF(B348="","",Events!$AV9)</f>
        <v/>
      </c>
      <c r="N348" s="20" t="str">
        <f>IF(B348="","",Events!$AW9)</f>
        <v/>
      </c>
      <c r="O348" s="27" t="str">
        <f>IF(B348="","",Events!$AT9)</f>
        <v/>
      </c>
      <c r="P348" s="27" t="str">
        <f>IF(B348="","",Events!$AU9)</f>
        <v/>
      </c>
      <c r="Q348" s="20" t="str">
        <f t="shared" si="70"/>
        <v/>
      </c>
      <c r="R348" s="20" t="str">
        <f>IF(A348="","",IF(J348&lt;&gt;"",J348,IF(H348="TIMESTAMP",DAY(INT(M348/1440))&amp;" "&amp;INDEX(nLIST_Months,MONTH(INT(M348/1440)))&amp;" "&amp;YEAR(INT(M348/1440))&amp;" "&amp;RIGHT("0"&amp;INT(MOD(M348,1440)/60),2)&amp;":"&amp;RIGHT("0"&amp;MOD(M348,60),2)&amp;IF(L348=1," (UTC"&amp;I348&amp;")"," (offset unknown)"),IF(H348="DATE",DAY(O348)&amp;" "&amp;INDEX(nLIST_Months,MONTH(O348))&amp;" "&amp;YEAR(O348),IF(H348="MONTH",INDEX(nLIST_Months,MONTH(O348))&amp;" "&amp;YEAR(O348)&amp;" ("&amp;DAY(O348)&amp;" "&amp;INDEX(nLIST_Months,MONTH(O348))&amp;" "&amp;YEAR(O348)&amp;" to "&amp;DAY(P348)&amp;" "&amp;INDEX(nLIST_Months,MONTH(P348))&amp;" "&amp;YEAR(P348)&amp;")",IF(H348="YEAR",YEAR(O348)&amp;" (1 January to 31 December)",DAY(O348)&amp;" "&amp;INDEX(nLIST_Months,MONTH(O348))&amp;" "&amp;YEAR(O348)&amp;" to "&amp;DAY(P348)&amp;" "&amp;INDEX(nLIST_Months,MONTH(P348))&amp;" "&amp;YEAR(P348)&amp;IF(H348="LAB"," (laboratory-defined)","")))))))</f>
        <v/>
      </c>
      <c r="S348" s="20" t="str">
        <f>IF(B348="","",Events!$AG9&amp;"")</f>
        <v/>
      </c>
      <c r="T348" s="20" t="str">
        <f>IF(B348="","",Events!$AP9&amp;"")</f>
        <v/>
      </c>
      <c r="U348" s="20" t="str">
        <f>IF(B348="","","Events row "&amp;ROW(Events!$A9)&amp;", First detection")</f>
        <v/>
      </c>
      <c r="V348" s="20">
        <f>IF(A348="",0,COUNTIF(nTP_Key,A348))</f>
        <v>0</v>
      </c>
      <c r="W348" s="20">
        <f t="shared" si="71"/>
        <v>0</v>
      </c>
      <c r="X348" s="20">
        <f t="shared" si="72"/>
        <v>0</v>
      </c>
      <c r="Y348" s="20">
        <f t="shared" si="73"/>
        <v>0</v>
      </c>
      <c r="Z348" s="20">
        <f t="shared" si="74"/>
        <v>0</v>
      </c>
      <c r="AA348" s="20">
        <f t="shared" si="75"/>
        <v>344</v>
      </c>
      <c r="AB348" s="20" t="str">
        <f>""</f>
        <v/>
      </c>
      <c r="AC348" s="20" t="str">
        <f>""</f>
        <v/>
      </c>
      <c r="AD348" s="20" t="str">
        <f>IF(B348="","",Events!$E9&amp;" (first detection)")</f>
        <v/>
      </c>
      <c r="AE348" s="20">
        <f t="shared" si="76"/>
        <v>0</v>
      </c>
      <c r="AF348" s="20" t="str">
        <f t="shared" si="77"/>
        <v/>
      </c>
      <c r="AG348" s="20">
        <f t="shared" si="78"/>
        <v>0</v>
      </c>
      <c r="AH348" s="20" t="str">
        <f>""</f>
        <v/>
      </c>
    </row>
    <row r="349" spans="1:34" x14ac:dyDescent="0.2">
      <c r="A349" s="20" t="str">
        <f t="shared" si="68"/>
        <v/>
      </c>
      <c r="B349" s="20" t="str">
        <f>IF(AND(Events!$D10&lt;&gt;"",COUNTA(Events!$AH10:$AO10)&gt;0),Events!$D10&amp;"/DETECTION","")</f>
        <v/>
      </c>
      <c r="C349" s="20" t="str">
        <f t="shared" si="79"/>
        <v/>
      </c>
      <c r="D349" s="20" t="str">
        <f>IF(B349="","",Events!$A10&amp;"")</f>
        <v/>
      </c>
      <c r="E349" s="20" t="str">
        <f>IF(B349="","",Events!$B10&amp;"")</f>
        <v/>
      </c>
      <c r="F349" s="20" t="str">
        <f t="shared" si="69"/>
        <v/>
      </c>
      <c r="G349" s="20" t="str">
        <f>IF(B349="","",Events!$D10&amp;"")</f>
        <v/>
      </c>
      <c r="H349" s="20" t="str">
        <f>IF(B349="","",Events!$AH10&amp;"")</f>
        <v/>
      </c>
      <c r="I349" s="20" t="str">
        <f>IF(B349="","",Events!$AK10&amp;"")</f>
        <v/>
      </c>
      <c r="J349" s="20" t="str">
        <f>IF(B349="","",Events!$AQ10&amp;"")</f>
        <v/>
      </c>
      <c r="K349" s="20">
        <f>IF(B349="",0,Events!$AR10)</f>
        <v>0</v>
      </c>
      <c r="L349" s="20">
        <f>IF(B349="",0,Events!$AS10)</f>
        <v>0</v>
      </c>
      <c r="M349" s="20" t="str">
        <f>IF(B349="","",Events!$AV10)</f>
        <v/>
      </c>
      <c r="N349" s="20" t="str">
        <f>IF(B349="","",Events!$AW10)</f>
        <v/>
      </c>
      <c r="O349" s="27" t="str">
        <f>IF(B349="","",Events!$AT10)</f>
        <v/>
      </c>
      <c r="P349" s="27" t="str">
        <f>IF(B349="","",Events!$AU10)</f>
        <v/>
      </c>
      <c r="Q349" s="20" t="str">
        <f t="shared" si="70"/>
        <v/>
      </c>
      <c r="R349" s="20" t="str">
        <f>IF(A349="","",IF(J349&lt;&gt;"",J349,IF(H349="TIMESTAMP",DAY(INT(M349/1440))&amp;" "&amp;INDEX(nLIST_Months,MONTH(INT(M349/1440)))&amp;" "&amp;YEAR(INT(M349/1440))&amp;" "&amp;RIGHT("0"&amp;INT(MOD(M349,1440)/60),2)&amp;":"&amp;RIGHT("0"&amp;MOD(M349,60),2)&amp;IF(L349=1," (UTC"&amp;I349&amp;")"," (offset unknown)"),IF(H349="DATE",DAY(O349)&amp;" "&amp;INDEX(nLIST_Months,MONTH(O349))&amp;" "&amp;YEAR(O349),IF(H349="MONTH",INDEX(nLIST_Months,MONTH(O349))&amp;" "&amp;YEAR(O349)&amp;" ("&amp;DAY(O349)&amp;" "&amp;INDEX(nLIST_Months,MONTH(O349))&amp;" "&amp;YEAR(O349)&amp;" to "&amp;DAY(P349)&amp;" "&amp;INDEX(nLIST_Months,MONTH(P349))&amp;" "&amp;YEAR(P349)&amp;")",IF(H349="YEAR",YEAR(O349)&amp;" (1 January to 31 December)",DAY(O349)&amp;" "&amp;INDEX(nLIST_Months,MONTH(O349))&amp;" "&amp;YEAR(O349)&amp;" to "&amp;DAY(P349)&amp;" "&amp;INDEX(nLIST_Months,MONTH(P349))&amp;" "&amp;YEAR(P349)&amp;IF(H349="LAB"," (laboratory-defined)","")))))))</f>
        <v/>
      </c>
      <c r="S349" s="20" t="str">
        <f>IF(B349="","",Events!$AG10&amp;"")</f>
        <v/>
      </c>
      <c r="T349" s="20" t="str">
        <f>IF(B349="","",Events!$AP10&amp;"")</f>
        <v/>
      </c>
      <c r="U349" s="20" t="str">
        <f>IF(B349="","","Events row "&amp;ROW(Events!$A10)&amp;", First detection")</f>
        <v/>
      </c>
      <c r="V349" s="20">
        <f>IF(A349="",0,COUNTIF(nTP_Key,A349))</f>
        <v>0</v>
      </c>
      <c r="W349" s="20">
        <f t="shared" si="71"/>
        <v>0</v>
      </c>
      <c r="X349" s="20">
        <f t="shared" si="72"/>
        <v>0</v>
      </c>
      <c r="Y349" s="20">
        <f t="shared" si="73"/>
        <v>0</v>
      </c>
      <c r="Z349" s="20">
        <f t="shared" si="74"/>
        <v>0</v>
      </c>
      <c r="AA349" s="20">
        <f t="shared" si="75"/>
        <v>345</v>
      </c>
      <c r="AB349" s="20" t="str">
        <f>""</f>
        <v/>
      </c>
      <c r="AC349" s="20" t="str">
        <f>""</f>
        <v/>
      </c>
      <c r="AD349" s="20" t="str">
        <f>IF(B349="","",Events!$E10&amp;" (first detection)")</f>
        <v/>
      </c>
      <c r="AE349" s="20">
        <f t="shared" si="76"/>
        <v>0</v>
      </c>
      <c r="AF349" s="20" t="str">
        <f t="shared" si="77"/>
        <v/>
      </c>
      <c r="AG349" s="20">
        <f t="shared" si="78"/>
        <v>0</v>
      </c>
      <c r="AH349" s="20" t="str">
        <f>""</f>
        <v/>
      </c>
    </row>
    <row r="350" spans="1:34" x14ac:dyDescent="0.2">
      <c r="A350" s="20" t="str">
        <f t="shared" si="68"/>
        <v/>
      </c>
      <c r="B350" s="20" t="str">
        <f>IF(AND(Events!$D11&lt;&gt;"",COUNTA(Events!$AH11:$AO11)&gt;0),Events!$D11&amp;"/DETECTION","")</f>
        <v/>
      </c>
      <c r="C350" s="20" t="str">
        <f t="shared" si="79"/>
        <v/>
      </c>
      <c r="D350" s="20" t="str">
        <f>IF(B350="","",Events!$A11&amp;"")</f>
        <v/>
      </c>
      <c r="E350" s="20" t="str">
        <f>IF(B350="","",Events!$B11&amp;"")</f>
        <v/>
      </c>
      <c r="F350" s="20" t="str">
        <f t="shared" si="69"/>
        <v/>
      </c>
      <c r="G350" s="20" t="str">
        <f>IF(B350="","",Events!$D11&amp;"")</f>
        <v/>
      </c>
      <c r="H350" s="20" t="str">
        <f>IF(B350="","",Events!$AH11&amp;"")</f>
        <v/>
      </c>
      <c r="I350" s="20" t="str">
        <f>IF(B350="","",Events!$AK11&amp;"")</f>
        <v/>
      </c>
      <c r="J350" s="20" t="str">
        <f>IF(B350="","",Events!$AQ11&amp;"")</f>
        <v/>
      </c>
      <c r="K350" s="20">
        <f>IF(B350="",0,Events!$AR11)</f>
        <v>0</v>
      </c>
      <c r="L350" s="20">
        <f>IF(B350="",0,Events!$AS11)</f>
        <v>0</v>
      </c>
      <c r="M350" s="20" t="str">
        <f>IF(B350="","",Events!$AV11)</f>
        <v/>
      </c>
      <c r="N350" s="20" t="str">
        <f>IF(B350="","",Events!$AW11)</f>
        <v/>
      </c>
      <c r="O350" s="27" t="str">
        <f>IF(B350="","",Events!$AT11)</f>
        <v/>
      </c>
      <c r="P350" s="27" t="str">
        <f>IF(B350="","",Events!$AU11)</f>
        <v/>
      </c>
      <c r="Q350" s="20" t="str">
        <f t="shared" si="70"/>
        <v/>
      </c>
      <c r="R350" s="20" t="str">
        <f>IF(A350="","",IF(J350&lt;&gt;"",J350,IF(H350="TIMESTAMP",DAY(INT(M350/1440))&amp;" "&amp;INDEX(nLIST_Months,MONTH(INT(M350/1440)))&amp;" "&amp;YEAR(INT(M350/1440))&amp;" "&amp;RIGHT("0"&amp;INT(MOD(M350,1440)/60),2)&amp;":"&amp;RIGHT("0"&amp;MOD(M350,60),2)&amp;IF(L350=1," (UTC"&amp;I350&amp;")"," (offset unknown)"),IF(H350="DATE",DAY(O350)&amp;" "&amp;INDEX(nLIST_Months,MONTH(O350))&amp;" "&amp;YEAR(O350),IF(H350="MONTH",INDEX(nLIST_Months,MONTH(O350))&amp;" "&amp;YEAR(O350)&amp;" ("&amp;DAY(O350)&amp;" "&amp;INDEX(nLIST_Months,MONTH(O350))&amp;" "&amp;YEAR(O350)&amp;" to "&amp;DAY(P350)&amp;" "&amp;INDEX(nLIST_Months,MONTH(P350))&amp;" "&amp;YEAR(P350)&amp;")",IF(H350="YEAR",YEAR(O350)&amp;" (1 January to 31 December)",DAY(O350)&amp;" "&amp;INDEX(nLIST_Months,MONTH(O350))&amp;" "&amp;YEAR(O350)&amp;" to "&amp;DAY(P350)&amp;" "&amp;INDEX(nLIST_Months,MONTH(P350))&amp;" "&amp;YEAR(P350)&amp;IF(H350="LAB"," (laboratory-defined)","")))))))</f>
        <v/>
      </c>
      <c r="S350" s="20" t="str">
        <f>IF(B350="","",Events!$AG11&amp;"")</f>
        <v/>
      </c>
      <c r="T350" s="20" t="str">
        <f>IF(B350="","",Events!$AP11&amp;"")</f>
        <v/>
      </c>
      <c r="U350" s="20" t="str">
        <f>IF(B350="","","Events row "&amp;ROW(Events!$A11)&amp;", First detection")</f>
        <v/>
      </c>
      <c r="V350" s="20">
        <f>IF(A350="",0,COUNTIF(nTP_Key,A350))</f>
        <v>0</v>
      </c>
      <c r="W350" s="20">
        <f t="shared" si="71"/>
        <v>0</v>
      </c>
      <c r="X350" s="20">
        <f t="shared" si="72"/>
        <v>0</v>
      </c>
      <c r="Y350" s="20">
        <f t="shared" si="73"/>
        <v>0</v>
      </c>
      <c r="Z350" s="20">
        <f t="shared" si="74"/>
        <v>0</v>
      </c>
      <c r="AA350" s="20">
        <f t="shared" si="75"/>
        <v>346</v>
      </c>
      <c r="AB350" s="20" t="str">
        <f>""</f>
        <v/>
      </c>
      <c r="AC350" s="20" t="str">
        <f>""</f>
        <v/>
      </c>
      <c r="AD350" s="20" t="str">
        <f>IF(B350="","",Events!$E11&amp;" (first detection)")</f>
        <v/>
      </c>
      <c r="AE350" s="20">
        <f t="shared" si="76"/>
        <v>0</v>
      </c>
      <c r="AF350" s="20" t="str">
        <f t="shared" si="77"/>
        <v/>
      </c>
      <c r="AG350" s="20">
        <f t="shared" si="78"/>
        <v>0</v>
      </c>
      <c r="AH350" s="20" t="str">
        <f>""</f>
        <v/>
      </c>
    </row>
    <row r="351" spans="1:34" x14ac:dyDescent="0.2">
      <c r="A351" s="20" t="str">
        <f t="shared" si="68"/>
        <v/>
      </c>
      <c r="B351" s="20" t="str">
        <f>IF(AND(Events!$D12&lt;&gt;"",COUNTA(Events!$AH12:$AO12)&gt;0),Events!$D12&amp;"/DETECTION","")</f>
        <v/>
      </c>
      <c r="C351" s="20" t="str">
        <f t="shared" si="79"/>
        <v/>
      </c>
      <c r="D351" s="20" t="str">
        <f>IF(B351="","",Events!$A12&amp;"")</f>
        <v/>
      </c>
      <c r="E351" s="20" t="str">
        <f>IF(B351="","",Events!$B12&amp;"")</f>
        <v/>
      </c>
      <c r="F351" s="20" t="str">
        <f t="shared" si="69"/>
        <v/>
      </c>
      <c r="G351" s="20" t="str">
        <f>IF(B351="","",Events!$D12&amp;"")</f>
        <v/>
      </c>
      <c r="H351" s="20" t="str">
        <f>IF(B351="","",Events!$AH12&amp;"")</f>
        <v/>
      </c>
      <c r="I351" s="20" t="str">
        <f>IF(B351="","",Events!$AK12&amp;"")</f>
        <v/>
      </c>
      <c r="J351" s="20" t="str">
        <f>IF(B351="","",Events!$AQ12&amp;"")</f>
        <v/>
      </c>
      <c r="K351" s="20">
        <f>IF(B351="",0,Events!$AR12)</f>
        <v>0</v>
      </c>
      <c r="L351" s="20">
        <f>IF(B351="",0,Events!$AS12)</f>
        <v>0</v>
      </c>
      <c r="M351" s="20" t="str">
        <f>IF(B351="","",Events!$AV12)</f>
        <v/>
      </c>
      <c r="N351" s="20" t="str">
        <f>IF(B351="","",Events!$AW12)</f>
        <v/>
      </c>
      <c r="O351" s="27" t="str">
        <f>IF(B351="","",Events!$AT12)</f>
        <v/>
      </c>
      <c r="P351" s="27" t="str">
        <f>IF(B351="","",Events!$AU12)</f>
        <v/>
      </c>
      <c r="Q351" s="20" t="str">
        <f t="shared" si="70"/>
        <v/>
      </c>
      <c r="R351" s="20" t="str">
        <f>IF(A351="","",IF(J351&lt;&gt;"",J351,IF(H351="TIMESTAMP",DAY(INT(M351/1440))&amp;" "&amp;INDEX(nLIST_Months,MONTH(INT(M351/1440)))&amp;" "&amp;YEAR(INT(M351/1440))&amp;" "&amp;RIGHT("0"&amp;INT(MOD(M351,1440)/60),2)&amp;":"&amp;RIGHT("0"&amp;MOD(M351,60),2)&amp;IF(L351=1," (UTC"&amp;I351&amp;")"," (offset unknown)"),IF(H351="DATE",DAY(O351)&amp;" "&amp;INDEX(nLIST_Months,MONTH(O351))&amp;" "&amp;YEAR(O351),IF(H351="MONTH",INDEX(nLIST_Months,MONTH(O351))&amp;" "&amp;YEAR(O351)&amp;" ("&amp;DAY(O351)&amp;" "&amp;INDEX(nLIST_Months,MONTH(O351))&amp;" "&amp;YEAR(O351)&amp;" to "&amp;DAY(P351)&amp;" "&amp;INDEX(nLIST_Months,MONTH(P351))&amp;" "&amp;YEAR(P351)&amp;")",IF(H351="YEAR",YEAR(O351)&amp;" (1 January to 31 December)",DAY(O351)&amp;" "&amp;INDEX(nLIST_Months,MONTH(O351))&amp;" "&amp;YEAR(O351)&amp;" to "&amp;DAY(P351)&amp;" "&amp;INDEX(nLIST_Months,MONTH(P351))&amp;" "&amp;YEAR(P351)&amp;IF(H351="LAB"," (laboratory-defined)","")))))))</f>
        <v/>
      </c>
      <c r="S351" s="20" t="str">
        <f>IF(B351="","",Events!$AG12&amp;"")</f>
        <v/>
      </c>
      <c r="T351" s="20" t="str">
        <f>IF(B351="","",Events!$AP12&amp;"")</f>
        <v/>
      </c>
      <c r="U351" s="20" t="str">
        <f>IF(B351="","","Events row "&amp;ROW(Events!$A12)&amp;", First detection")</f>
        <v/>
      </c>
      <c r="V351" s="20">
        <f>IF(A351="",0,COUNTIF(nTP_Key,A351))</f>
        <v>0</v>
      </c>
      <c r="W351" s="20">
        <f t="shared" si="71"/>
        <v>0</v>
      </c>
      <c r="X351" s="20">
        <f t="shared" si="72"/>
        <v>0</v>
      </c>
      <c r="Y351" s="20">
        <f t="shared" si="73"/>
        <v>0</v>
      </c>
      <c r="Z351" s="20">
        <f t="shared" si="74"/>
        <v>0</v>
      </c>
      <c r="AA351" s="20">
        <f t="shared" si="75"/>
        <v>347</v>
      </c>
      <c r="AB351" s="20" t="str">
        <f>""</f>
        <v/>
      </c>
      <c r="AC351" s="20" t="str">
        <f>""</f>
        <v/>
      </c>
      <c r="AD351" s="20" t="str">
        <f>IF(B351="","",Events!$E12&amp;" (first detection)")</f>
        <v/>
      </c>
      <c r="AE351" s="20">
        <f t="shared" si="76"/>
        <v>0</v>
      </c>
      <c r="AF351" s="20" t="str">
        <f t="shared" si="77"/>
        <v/>
      </c>
      <c r="AG351" s="20">
        <f t="shared" si="78"/>
        <v>0</v>
      </c>
      <c r="AH351" s="20" t="str">
        <f>""</f>
        <v/>
      </c>
    </row>
    <row r="352" spans="1:34" x14ac:dyDescent="0.2">
      <c r="A352" s="20" t="str">
        <f t="shared" si="68"/>
        <v/>
      </c>
      <c r="B352" s="20" t="str">
        <f>IF(AND(Events!$D13&lt;&gt;"",COUNTA(Events!$AH13:$AO13)&gt;0),Events!$D13&amp;"/DETECTION","")</f>
        <v/>
      </c>
      <c r="C352" s="20" t="str">
        <f t="shared" si="79"/>
        <v/>
      </c>
      <c r="D352" s="20" t="str">
        <f>IF(B352="","",Events!$A13&amp;"")</f>
        <v/>
      </c>
      <c r="E352" s="20" t="str">
        <f>IF(B352="","",Events!$B13&amp;"")</f>
        <v/>
      </c>
      <c r="F352" s="20" t="str">
        <f t="shared" si="69"/>
        <v/>
      </c>
      <c r="G352" s="20" t="str">
        <f>IF(B352="","",Events!$D13&amp;"")</f>
        <v/>
      </c>
      <c r="H352" s="20" t="str">
        <f>IF(B352="","",Events!$AH13&amp;"")</f>
        <v/>
      </c>
      <c r="I352" s="20" t="str">
        <f>IF(B352="","",Events!$AK13&amp;"")</f>
        <v/>
      </c>
      <c r="J352" s="20" t="str">
        <f>IF(B352="","",Events!$AQ13&amp;"")</f>
        <v/>
      </c>
      <c r="K352" s="20">
        <f>IF(B352="",0,Events!$AR13)</f>
        <v>0</v>
      </c>
      <c r="L352" s="20">
        <f>IF(B352="",0,Events!$AS13)</f>
        <v>0</v>
      </c>
      <c r="M352" s="20" t="str">
        <f>IF(B352="","",Events!$AV13)</f>
        <v/>
      </c>
      <c r="N352" s="20" t="str">
        <f>IF(B352="","",Events!$AW13)</f>
        <v/>
      </c>
      <c r="O352" s="27" t="str">
        <f>IF(B352="","",Events!$AT13)</f>
        <v/>
      </c>
      <c r="P352" s="27" t="str">
        <f>IF(B352="","",Events!$AU13)</f>
        <v/>
      </c>
      <c r="Q352" s="20" t="str">
        <f t="shared" si="70"/>
        <v/>
      </c>
      <c r="R352" s="20" t="str">
        <f>IF(A352="","",IF(J352&lt;&gt;"",J352,IF(H352="TIMESTAMP",DAY(INT(M352/1440))&amp;" "&amp;INDEX(nLIST_Months,MONTH(INT(M352/1440)))&amp;" "&amp;YEAR(INT(M352/1440))&amp;" "&amp;RIGHT("0"&amp;INT(MOD(M352,1440)/60),2)&amp;":"&amp;RIGHT("0"&amp;MOD(M352,60),2)&amp;IF(L352=1," (UTC"&amp;I352&amp;")"," (offset unknown)"),IF(H352="DATE",DAY(O352)&amp;" "&amp;INDEX(nLIST_Months,MONTH(O352))&amp;" "&amp;YEAR(O352),IF(H352="MONTH",INDEX(nLIST_Months,MONTH(O352))&amp;" "&amp;YEAR(O352)&amp;" ("&amp;DAY(O352)&amp;" "&amp;INDEX(nLIST_Months,MONTH(O352))&amp;" "&amp;YEAR(O352)&amp;" to "&amp;DAY(P352)&amp;" "&amp;INDEX(nLIST_Months,MONTH(P352))&amp;" "&amp;YEAR(P352)&amp;")",IF(H352="YEAR",YEAR(O352)&amp;" (1 January to 31 December)",DAY(O352)&amp;" "&amp;INDEX(nLIST_Months,MONTH(O352))&amp;" "&amp;YEAR(O352)&amp;" to "&amp;DAY(P352)&amp;" "&amp;INDEX(nLIST_Months,MONTH(P352))&amp;" "&amp;YEAR(P352)&amp;IF(H352="LAB"," (laboratory-defined)","")))))))</f>
        <v/>
      </c>
      <c r="S352" s="20" t="str">
        <f>IF(B352="","",Events!$AG13&amp;"")</f>
        <v/>
      </c>
      <c r="T352" s="20" t="str">
        <f>IF(B352="","",Events!$AP13&amp;"")</f>
        <v/>
      </c>
      <c r="U352" s="20" t="str">
        <f>IF(B352="","","Events row "&amp;ROW(Events!$A13)&amp;", First detection")</f>
        <v/>
      </c>
      <c r="V352" s="20">
        <f>IF(A352="",0,COUNTIF(nTP_Key,A352))</f>
        <v>0</v>
      </c>
      <c r="W352" s="20">
        <f t="shared" si="71"/>
        <v>0</v>
      </c>
      <c r="X352" s="20">
        <f t="shared" si="72"/>
        <v>0</v>
      </c>
      <c r="Y352" s="20">
        <f t="shared" si="73"/>
        <v>0</v>
      </c>
      <c r="Z352" s="20">
        <f t="shared" si="74"/>
        <v>0</v>
      </c>
      <c r="AA352" s="20">
        <f t="shared" si="75"/>
        <v>348</v>
      </c>
      <c r="AB352" s="20" t="str">
        <f>""</f>
        <v/>
      </c>
      <c r="AC352" s="20" t="str">
        <f>""</f>
        <v/>
      </c>
      <c r="AD352" s="20" t="str">
        <f>IF(B352="","",Events!$E13&amp;" (first detection)")</f>
        <v/>
      </c>
      <c r="AE352" s="20">
        <f t="shared" si="76"/>
        <v>0</v>
      </c>
      <c r="AF352" s="20" t="str">
        <f t="shared" si="77"/>
        <v/>
      </c>
      <c r="AG352" s="20">
        <f t="shared" si="78"/>
        <v>0</v>
      </c>
      <c r="AH352" s="20" t="str">
        <f>""</f>
        <v/>
      </c>
    </row>
    <row r="353" spans="1:34" x14ac:dyDescent="0.2">
      <c r="A353" s="20" t="str">
        <f t="shared" si="68"/>
        <v/>
      </c>
      <c r="B353" s="20" t="str">
        <f>IF(AND(Events!$D14&lt;&gt;"",COUNTA(Events!$AH14:$AO14)&gt;0),Events!$D14&amp;"/DETECTION","")</f>
        <v/>
      </c>
      <c r="C353" s="20" t="str">
        <f t="shared" si="79"/>
        <v/>
      </c>
      <c r="D353" s="20" t="str">
        <f>IF(B353="","",Events!$A14&amp;"")</f>
        <v/>
      </c>
      <c r="E353" s="20" t="str">
        <f>IF(B353="","",Events!$B14&amp;"")</f>
        <v/>
      </c>
      <c r="F353" s="20" t="str">
        <f t="shared" si="69"/>
        <v/>
      </c>
      <c r="G353" s="20" t="str">
        <f>IF(B353="","",Events!$D14&amp;"")</f>
        <v/>
      </c>
      <c r="H353" s="20" t="str">
        <f>IF(B353="","",Events!$AH14&amp;"")</f>
        <v/>
      </c>
      <c r="I353" s="20" t="str">
        <f>IF(B353="","",Events!$AK14&amp;"")</f>
        <v/>
      </c>
      <c r="J353" s="20" t="str">
        <f>IF(B353="","",Events!$AQ14&amp;"")</f>
        <v/>
      </c>
      <c r="K353" s="20">
        <f>IF(B353="",0,Events!$AR14)</f>
        <v>0</v>
      </c>
      <c r="L353" s="20">
        <f>IF(B353="",0,Events!$AS14)</f>
        <v>0</v>
      </c>
      <c r="M353" s="20" t="str">
        <f>IF(B353="","",Events!$AV14)</f>
        <v/>
      </c>
      <c r="N353" s="20" t="str">
        <f>IF(B353="","",Events!$AW14)</f>
        <v/>
      </c>
      <c r="O353" s="27" t="str">
        <f>IF(B353="","",Events!$AT14)</f>
        <v/>
      </c>
      <c r="P353" s="27" t="str">
        <f>IF(B353="","",Events!$AU14)</f>
        <v/>
      </c>
      <c r="Q353" s="20" t="str">
        <f t="shared" si="70"/>
        <v/>
      </c>
      <c r="R353" s="20" t="str">
        <f>IF(A353="","",IF(J353&lt;&gt;"",J353,IF(H353="TIMESTAMP",DAY(INT(M353/1440))&amp;" "&amp;INDEX(nLIST_Months,MONTH(INT(M353/1440)))&amp;" "&amp;YEAR(INT(M353/1440))&amp;" "&amp;RIGHT("0"&amp;INT(MOD(M353,1440)/60),2)&amp;":"&amp;RIGHT("0"&amp;MOD(M353,60),2)&amp;IF(L353=1," (UTC"&amp;I353&amp;")"," (offset unknown)"),IF(H353="DATE",DAY(O353)&amp;" "&amp;INDEX(nLIST_Months,MONTH(O353))&amp;" "&amp;YEAR(O353),IF(H353="MONTH",INDEX(nLIST_Months,MONTH(O353))&amp;" "&amp;YEAR(O353)&amp;" ("&amp;DAY(O353)&amp;" "&amp;INDEX(nLIST_Months,MONTH(O353))&amp;" "&amp;YEAR(O353)&amp;" to "&amp;DAY(P353)&amp;" "&amp;INDEX(nLIST_Months,MONTH(P353))&amp;" "&amp;YEAR(P353)&amp;")",IF(H353="YEAR",YEAR(O353)&amp;" (1 January to 31 December)",DAY(O353)&amp;" "&amp;INDEX(nLIST_Months,MONTH(O353))&amp;" "&amp;YEAR(O353)&amp;" to "&amp;DAY(P353)&amp;" "&amp;INDEX(nLIST_Months,MONTH(P353))&amp;" "&amp;YEAR(P353)&amp;IF(H353="LAB"," (laboratory-defined)","")))))))</f>
        <v/>
      </c>
      <c r="S353" s="20" t="str">
        <f>IF(B353="","",Events!$AG14&amp;"")</f>
        <v/>
      </c>
      <c r="T353" s="20" t="str">
        <f>IF(B353="","",Events!$AP14&amp;"")</f>
        <v/>
      </c>
      <c r="U353" s="20" t="str">
        <f>IF(B353="","","Events row "&amp;ROW(Events!$A14)&amp;", First detection")</f>
        <v/>
      </c>
      <c r="V353" s="20">
        <f>IF(A353="",0,COUNTIF(nTP_Key,A353))</f>
        <v>0</v>
      </c>
      <c r="W353" s="20">
        <f t="shared" si="71"/>
        <v>0</v>
      </c>
      <c r="X353" s="20">
        <f t="shared" si="72"/>
        <v>0</v>
      </c>
      <c r="Y353" s="20">
        <f t="shared" si="73"/>
        <v>0</v>
      </c>
      <c r="Z353" s="20">
        <f t="shared" si="74"/>
        <v>0</v>
      </c>
      <c r="AA353" s="20">
        <f t="shared" si="75"/>
        <v>349</v>
      </c>
      <c r="AB353" s="20" t="str">
        <f>""</f>
        <v/>
      </c>
      <c r="AC353" s="20" t="str">
        <f>""</f>
        <v/>
      </c>
      <c r="AD353" s="20" t="str">
        <f>IF(B353="","",Events!$E14&amp;" (first detection)")</f>
        <v/>
      </c>
      <c r="AE353" s="20">
        <f t="shared" si="76"/>
        <v>0</v>
      </c>
      <c r="AF353" s="20" t="str">
        <f t="shared" si="77"/>
        <v/>
      </c>
      <c r="AG353" s="20">
        <f t="shared" si="78"/>
        <v>0</v>
      </c>
      <c r="AH353" s="20" t="str">
        <f>""</f>
        <v/>
      </c>
    </row>
    <row r="354" spans="1:34" x14ac:dyDescent="0.2">
      <c r="A354" s="20" t="str">
        <f t="shared" si="68"/>
        <v/>
      </c>
      <c r="B354" s="20" t="str">
        <f>IF(AND(Events!$D15&lt;&gt;"",COUNTA(Events!$AH15:$AO15)&gt;0),Events!$D15&amp;"/DETECTION","")</f>
        <v/>
      </c>
      <c r="C354" s="20" t="str">
        <f t="shared" si="79"/>
        <v/>
      </c>
      <c r="D354" s="20" t="str">
        <f>IF(B354="","",Events!$A15&amp;"")</f>
        <v/>
      </c>
      <c r="E354" s="20" t="str">
        <f>IF(B354="","",Events!$B15&amp;"")</f>
        <v/>
      </c>
      <c r="F354" s="20" t="str">
        <f t="shared" si="69"/>
        <v/>
      </c>
      <c r="G354" s="20" t="str">
        <f>IF(B354="","",Events!$D15&amp;"")</f>
        <v/>
      </c>
      <c r="H354" s="20" t="str">
        <f>IF(B354="","",Events!$AH15&amp;"")</f>
        <v/>
      </c>
      <c r="I354" s="20" t="str">
        <f>IF(B354="","",Events!$AK15&amp;"")</f>
        <v/>
      </c>
      <c r="J354" s="20" t="str">
        <f>IF(B354="","",Events!$AQ15&amp;"")</f>
        <v/>
      </c>
      <c r="K354" s="20">
        <f>IF(B354="",0,Events!$AR15)</f>
        <v>0</v>
      </c>
      <c r="L354" s="20">
        <f>IF(B354="",0,Events!$AS15)</f>
        <v>0</v>
      </c>
      <c r="M354" s="20" t="str">
        <f>IF(B354="","",Events!$AV15)</f>
        <v/>
      </c>
      <c r="N354" s="20" t="str">
        <f>IF(B354="","",Events!$AW15)</f>
        <v/>
      </c>
      <c r="O354" s="27" t="str">
        <f>IF(B354="","",Events!$AT15)</f>
        <v/>
      </c>
      <c r="P354" s="27" t="str">
        <f>IF(B354="","",Events!$AU15)</f>
        <v/>
      </c>
      <c r="Q354" s="20" t="str">
        <f t="shared" si="70"/>
        <v/>
      </c>
      <c r="R354" s="20" t="str">
        <f>IF(A354="","",IF(J354&lt;&gt;"",J354,IF(H354="TIMESTAMP",DAY(INT(M354/1440))&amp;" "&amp;INDEX(nLIST_Months,MONTH(INT(M354/1440)))&amp;" "&amp;YEAR(INT(M354/1440))&amp;" "&amp;RIGHT("0"&amp;INT(MOD(M354,1440)/60),2)&amp;":"&amp;RIGHT("0"&amp;MOD(M354,60),2)&amp;IF(L354=1," (UTC"&amp;I354&amp;")"," (offset unknown)"),IF(H354="DATE",DAY(O354)&amp;" "&amp;INDEX(nLIST_Months,MONTH(O354))&amp;" "&amp;YEAR(O354),IF(H354="MONTH",INDEX(nLIST_Months,MONTH(O354))&amp;" "&amp;YEAR(O354)&amp;" ("&amp;DAY(O354)&amp;" "&amp;INDEX(nLIST_Months,MONTH(O354))&amp;" "&amp;YEAR(O354)&amp;" to "&amp;DAY(P354)&amp;" "&amp;INDEX(nLIST_Months,MONTH(P354))&amp;" "&amp;YEAR(P354)&amp;")",IF(H354="YEAR",YEAR(O354)&amp;" (1 January to 31 December)",DAY(O354)&amp;" "&amp;INDEX(nLIST_Months,MONTH(O354))&amp;" "&amp;YEAR(O354)&amp;" to "&amp;DAY(P354)&amp;" "&amp;INDEX(nLIST_Months,MONTH(P354))&amp;" "&amp;YEAR(P354)&amp;IF(H354="LAB"," (laboratory-defined)","")))))))</f>
        <v/>
      </c>
      <c r="S354" s="20" t="str">
        <f>IF(B354="","",Events!$AG15&amp;"")</f>
        <v/>
      </c>
      <c r="T354" s="20" t="str">
        <f>IF(B354="","",Events!$AP15&amp;"")</f>
        <v/>
      </c>
      <c r="U354" s="20" t="str">
        <f>IF(B354="","","Events row "&amp;ROW(Events!$A15)&amp;", First detection")</f>
        <v/>
      </c>
      <c r="V354" s="20">
        <f>IF(A354="",0,COUNTIF(nTP_Key,A354))</f>
        <v>0</v>
      </c>
      <c r="W354" s="20">
        <f t="shared" si="71"/>
        <v>0</v>
      </c>
      <c r="X354" s="20">
        <f t="shared" si="72"/>
        <v>0</v>
      </c>
      <c r="Y354" s="20">
        <f t="shared" si="73"/>
        <v>0</v>
      </c>
      <c r="Z354" s="20">
        <f t="shared" si="74"/>
        <v>0</v>
      </c>
      <c r="AA354" s="20">
        <f t="shared" si="75"/>
        <v>350</v>
      </c>
      <c r="AB354" s="20" t="str">
        <f>""</f>
        <v/>
      </c>
      <c r="AC354" s="20" t="str">
        <f>""</f>
        <v/>
      </c>
      <c r="AD354" s="20" t="str">
        <f>IF(B354="","",Events!$E15&amp;" (first detection)")</f>
        <v/>
      </c>
      <c r="AE354" s="20">
        <f t="shared" si="76"/>
        <v>0</v>
      </c>
      <c r="AF354" s="20" t="str">
        <f t="shared" si="77"/>
        <v/>
      </c>
      <c r="AG354" s="20">
        <f t="shared" si="78"/>
        <v>0</v>
      </c>
      <c r="AH354" s="20" t="str">
        <f>""</f>
        <v/>
      </c>
    </row>
    <row r="355" spans="1:34" x14ac:dyDescent="0.2">
      <c r="A355" s="20" t="str">
        <f t="shared" si="68"/>
        <v/>
      </c>
      <c r="B355" s="20" t="str">
        <f>IF(AND(Events!$D16&lt;&gt;"",COUNTA(Events!$AH16:$AO16)&gt;0),Events!$D16&amp;"/DETECTION","")</f>
        <v/>
      </c>
      <c r="C355" s="20" t="str">
        <f t="shared" si="79"/>
        <v/>
      </c>
      <c r="D355" s="20" t="str">
        <f>IF(B355="","",Events!$A16&amp;"")</f>
        <v/>
      </c>
      <c r="E355" s="20" t="str">
        <f>IF(B355="","",Events!$B16&amp;"")</f>
        <v/>
      </c>
      <c r="F355" s="20" t="str">
        <f t="shared" si="69"/>
        <v/>
      </c>
      <c r="G355" s="20" t="str">
        <f>IF(B355="","",Events!$D16&amp;"")</f>
        <v/>
      </c>
      <c r="H355" s="20" t="str">
        <f>IF(B355="","",Events!$AH16&amp;"")</f>
        <v/>
      </c>
      <c r="I355" s="20" t="str">
        <f>IF(B355="","",Events!$AK16&amp;"")</f>
        <v/>
      </c>
      <c r="J355" s="20" t="str">
        <f>IF(B355="","",Events!$AQ16&amp;"")</f>
        <v/>
      </c>
      <c r="K355" s="20">
        <f>IF(B355="",0,Events!$AR16)</f>
        <v>0</v>
      </c>
      <c r="L355" s="20">
        <f>IF(B355="",0,Events!$AS16)</f>
        <v>0</v>
      </c>
      <c r="M355" s="20" t="str">
        <f>IF(B355="","",Events!$AV16)</f>
        <v/>
      </c>
      <c r="N355" s="20" t="str">
        <f>IF(B355="","",Events!$AW16)</f>
        <v/>
      </c>
      <c r="O355" s="27" t="str">
        <f>IF(B355="","",Events!$AT16)</f>
        <v/>
      </c>
      <c r="P355" s="27" t="str">
        <f>IF(B355="","",Events!$AU16)</f>
        <v/>
      </c>
      <c r="Q355" s="20" t="str">
        <f t="shared" si="70"/>
        <v/>
      </c>
      <c r="R355" s="20" t="str">
        <f>IF(A355="","",IF(J355&lt;&gt;"",J355,IF(H355="TIMESTAMP",DAY(INT(M355/1440))&amp;" "&amp;INDEX(nLIST_Months,MONTH(INT(M355/1440)))&amp;" "&amp;YEAR(INT(M355/1440))&amp;" "&amp;RIGHT("0"&amp;INT(MOD(M355,1440)/60),2)&amp;":"&amp;RIGHT("0"&amp;MOD(M355,60),2)&amp;IF(L355=1," (UTC"&amp;I355&amp;")"," (offset unknown)"),IF(H355="DATE",DAY(O355)&amp;" "&amp;INDEX(nLIST_Months,MONTH(O355))&amp;" "&amp;YEAR(O355),IF(H355="MONTH",INDEX(nLIST_Months,MONTH(O355))&amp;" "&amp;YEAR(O355)&amp;" ("&amp;DAY(O355)&amp;" "&amp;INDEX(nLIST_Months,MONTH(O355))&amp;" "&amp;YEAR(O355)&amp;" to "&amp;DAY(P355)&amp;" "&amp;INDEX(nLIST_Months,MONTH(P355))&amp;" "&amp;YEAR(P355)&amp;")",IF(H355="YEAR",YEAR(O355)&amp;" (1 January to 31 December)",DAY(O355)&amp;" "&amp;INDEX(nLIST_Months,MONTH(O355))&amp;" "&amp;YEAR(O355)&amp;" to "&amp;DAY(P355)&amp;" "&amp;INDEX(nLIST_Months,MONTH(P355))&amp;" "&amp;YEAR(P355)&amp;IF(H355="LAB"," (laboratory-defined)","")))))))</f>
        <v/>
      </c>
      <c r="S355" s="20" t="str">
        <f>IF(B355="","",Events!$AG16&amp;"")</f>
        <v/>
      </c>
      <c r="T355" s="20" t="str">
        <f>IF(B355="","",Events!$AP16&amp;"")</f>
        <v/>
      </c>
      <c r="U355" s="20" t="str">
        <f>IF(B355="","","Events row "&amp;ROW(Events!$A16)&amp;", First detection")</f>
        <v/>
      </c>
      <c r="V355" s="20">
        <f>IF(A355="",0,COUNTIF(nTP_Key,A355))</f>
        <v>0</v>
      </c>
      <c r="W355" s="20">
        <f t="shared" si="71"/>
        <v>0</v>
      </c>
      <c r="X355" s="20">
        <f t="shared" si="72"/>
        <v>0</v>
      </c>
      <c r="Y355" s="20">
        <f t="shared" si="73"/>
        <v>0</v>
      </c>
      <c r="Z355" s="20">
        <f t="shared" si="74"/>
        <v>0</v>
      </c>
      <c r="AA355" s="20">
        <f t="shared" si="75"/>
        <v>351</v>
      </c>
      <c r="AB355" s="20" t="str">
        <f>""</f>
        <v/>
      </c>
      <c r="AC355" s="20" t="str">
        <f>""</f>
        <v/>
      </c>
      <c r="AD355" s="20" t="str">
        <f>IF(B355="","",Events!$E16&amp;" (first detection)")</f>
        <v/>
      </c>
      <c r="AE355" s="20">
        <f t="shared" si="76"/>
        <v>0</v>
      </c>
      <c r="AF355" s="20" t="str">
        <f t="shared" si="77"/>
        <v/>
      </c>
      <c r="AG355" s="20">
        <f t="shared" si="78"/>
        <v>0</v>
      </c>
      <c r="AH355" s="20" t="str">
        <f>""</f>
        <v/>
      </c>
    </row>
    <row r="356" spans="1:34" x14ac:dyDescent="0.2">
      <c r="A356" s="20" t="str">
        <f t="shared" si="68"/>
        <v/>
      </c>
      <c r="B356" s="20" t="str">
        <f>IF(AND(Events!$D17&lt;&gt;"",COUNTA(Events!$AH17:$AO17)&gt;0),Events!$D17&amp;"/DETECTION","")</f>
        <v/>
      </c>
      <c r="C356" s="20" t="str">
        <f t="shared" si="79"/>
        <v/>
      </c>
      <c r="D356" s="20" t="str">
        <f>IF(B356="","",Events!$A17&amp;"")</f>
        <v/>
      </c>
      <c r="E356" s="20" t="str">
        <f>IF(B356="","",Events!$B17&amp;"")</f>
        <v/>
      </c>
      <c r="F356" s="20" t="str">
        <f t="shared" si="69"/>
        <v/>
      </c>
      <c r="G356" s="20" t="str">
        <f>IF(B356="","",Events!$D17&amp;"")</f>
        <v/>
      </c>
      <c r="H356" s="20" t="str">
        <f>IF(B356="","",Events!$AH17&amp;"")</f>
        <v/>
      </c>
      <c r="I356" s="20" t="str">
        <f>IF(B356="","",Events!$AK17&amp;"")</f>
        <v/>
      </c>
      <c r="J356" s="20" t="str">
        <f>IF(B356="","",Events!$AQ17&amp;"")</f>
        <v/>
      </c>
      <c r="K356" s="20">
        <f>IF(B356="",0,Events!$AR17)</f>
        <v>0</v>
      </c>
      <c r="L356" s="20">
        <f>IF(B356="",0,Events!$AS17)</f>
        <v>0</v>
      </c>
      <c r="M356" s="20" t="str">
        <f>IF(B356="","",Events!$AV17)</f>
        <v/>
      </c>
      <c r="N356" s="20" t="str">
        <f>IF(B356="","",Events!$AW17)</f>
        <v/>
      </c>
      <c r="O356" s="27" t="str">
        <f>IF(B356="","",Events!$AT17)</f>
        <v/>
      </c>
      <c r="P356" s="27" t="str">
        <f>IF(B356="","",Events!$AU17)</f>
        <v/>
      </c>
      <c r="Q356" s="20" t="str">
        <f t="shared" si="70"/>
        <v/>
      </c>
      <c r="R356" s="20" t="str">
        <f>IF(A356="","",IF(J356&lt;&gt;"",J356,IF(H356="TIMESTAMP",DAY(INT(M356/1440))&amp;" "&amp;INDEX(nLIST_Months,MONTH(INT(M356/1440)))&amp;" "&amp;YEAR(INT(M356/1440))&amp;" "&amp;RIGHT("0"&amp;INT(MOD(M356,1440)/60),2)&amp;":"&amp;RIGHT("0"&amp;MOD(M356,60),2)&amp;IF(L356=1," (UTC"&amp;I356&amp;")"," (offset unknown)"),IF(H356="DATE",DAY(O356)&amp;" "&amp;INDEX(nLIST_Months,MONTH(O356))&amp;" "&amp;YEAR(O356),IF(H356="MONTH",INDEX(nLIST_Months,MONTH(O356))&amp;" "&amp;YEAR(O356)&amp;" ("&amp;DAY(O356)&amp;" "&amp;INDEX(nLIST_Months,MONTH(O356))&amp;" "&amp;YEAR(O356)&amp;" to "&amp;DAY(P356)&amp;" "&amp;INDEX(nLIST_Months,MONTH(P356))&amp;" "&amp;YEAR(P356)&amp;")",IF(H356="YEAR",YEAR(O356)&amp;" (1 January to 31 December)",DAY(O356)&amp;" "&amp;INDEX(nLIST_Months,MONTH(O356))&amp;" "&amp;YEAR(O356)&amp;" to "&amp;DAY(P356)&amp;" "&amp;INDEX(nLIST_Months,MONTH(P356))&amp;" "&amp;YEAR(P356)&amp;IF(H356="LAB"," (laboratory-defined)","")))))))</f>
        <v/>
      </c>
      <c r="S356" s="20" t="str">
        <f>IF(B356="","",Events!$AG17&amp;"")</f>
        <v/>
      </c>
      <c r="T356" s="20" t="str">
        <f>IF(B356="","",Events!$AP17&amp;"")</f>
        <v/>
      </c>
      <c r="U356" s="20" t="str">
        <f>IF(B356="","","Events row "&amp;ROW(Events!$A17)&amp;", First detection")</f>
        <v/>
      </c>
      <c r="V356" s="20">
        <f>IF(A356="",0,COUNTIF(nTP_Key,A356))</f>
        <v>0</v>
      </c>
      <c r="W356" s="20">
        <f t="shared" si="71"/>
        <v>0</v>
      </c>
      <c r="X356" s="20">
        <f t="shared" si="72"/>
        <v>0</v>
      </c>
      <c r="Y356" s="20">
        <f t="shared" si="73"/>
        <v>0</v>
      </c>
      <c r="Z356" s="20">
        <f t="shared" si="74"/>
        <v>0</v>
      </c>
      <c r="AA356" s="20">
        <f t="shared" si="75"/>
        <v>352</v>
      </c>
      <c r="AB356" s="20" t="str">
        <f>""</f>
        <v/>
      </c>
      <c r="AC356" s="20" t="str">
        <f>""</f>
        <v/>
      </c>
      <c r="AD356" s="20" t="str">
        <f>IF(B356="","",Events!$E17&amp;" (first detection)")</f>
        <v/>
      </c>
      <c r="AE356" s="20">
        <f t="shared" si="76"/>
        <v>0</v>
      </c>
      <c r="AF356" s="20" t="str">
        <f t="shared" si="77"/>
        <v/>
      </c>
      <c r="AG356" s="20">
        <f t="shared" si="78"/>
        <v>0</v>
      </c>
      <c r="AH356" s="20" t="str">
        <f>""</f>
        <v/>
      </c>
    </row>
    <row r="357" spans="1:34" x14ac:dyDescent="0.2">
      <c r="A357" s="20" t="str">
        <f t="shared" si="68"/>
        <v/>
      </c>
      <c r="B357" s="20" t="str">
        <f>IF(AND(Events!$D18&lt;&gt;"",COUNTA(Events!$AH18:$AO18)&gt;0),Events!$D18&amp;"/DETECTION","")</f>
        <v/>
      </c>
      <c r="C357" s="20" t="str">
        <f t="shared" si="79"/>
        <v/>
      </c>
      <c r="D357" s="20" t="str">
        <f>IF(B357="","",Events!$A18&amp;"")</f>
        <v/>
      </c>
      <c r="E357" s="20" t="str">
        <f>IF(B357="","",Events!$B18&amp;"")</f>
        <v/>
      </c>
      <c r="F357" s="20" t="str">
        <f t="shared" si="69"/>
        <v/>
      </c>
      <c r="G357" s="20" t="str">
        <f>IF(B357="","",Events!$D18&amp;"")</f>
        <v/>
      </c>
      <c r="H357" s="20" t="str">
        <f>IF(B357="","",Events!$AH18&amp;"")</f>
        <v/>
      </c>
      <c r="I357" s="20" t="str">
        <f>IF(B357="","",Events!$AK18&amp;"")</f>
        <v/>
      </c>
      <c r="J357" s="20" t="str">
        <f>IF(B357="","",Events!$AQ18&amp;"")</f>
        <v/>
      </c>
      <c r="K357" s="20">
        <f>IF(B357="",0,Events!$AR18)</f>
        <v>0</v>
      </c>
      <c r="L357" s="20">
        <f>IF(B357="",0,Events!$AS18)</f>
        <v>0</v>
      </c>
      <c r="M357" s="20" t="str">
        <f>IF(B357="","",Events!$AV18)</f>
        <v/>
      </c>
      <c r="N357" s="20" t="str">
        <f>IF(B357="","",Events!$AW18)</f>
        <v/>
      </c>
      <c r="O357" s="27" t="str">
        <f>IF(B357="","",Events!$AT18)</f>
        <v/>
      </c>
      <c r="P357" s="27" t="str">
        <f>IF(B357="","",Events!$AU18)</f>
        <v/>
      </c>
      <c r="Q357" s="20" t="str">
        <f t="shared" si="70"/>
        <v/>
      </c>
      <c r="R357" s="20" t="str">
        <f>IF(A357="","",IF(J357&lt;&gt;"",J357,IF(H357="TIMESTAMP",DAY(INT(M357/1440))&amp;" "&amp;INDEX(nLIST_Months,MONTH(INT(M357/1440)))&amp;" "&amp;YEAR(INT(M357/1440))&amp;" "&amp;RIGHT("0"&amp;INT(MOD(M357,1440)/60),2)&amp;":"&amp;RIGHT("0"&amp;MOD(M357,60),2)&amp;IF(L357=1," (UTC"&amp;I357&amp;")"," (offset unknown)"),IF(H357="DATE",DAY(O357)&amp;" "&amp;INDEX(nLIST_Months,MONTH(O357))&amp;" "&amp;YEAR(O357),IF(H357="MONTH",INDEX(nLIST_Months,MONTH(O357))&amp;" "&amp;YEAR(O357)&amp;" ("&amp;DAY(O357)&amp;" "&amp;INDEX(nLIST_Months,MONTH(O357))&amp;" "&amp;YEAR(O357)&amp;" to "&amp;DAY(P357)&amp;" "&amp;INDEX(nLIST_Months,MONTH(P357))&amp;" "&amp;YEAR(P357)&amp;")",IF(H357="YEAR",YEAR(O357)&amp;" (1 January to 31 December)",DAY(O357)&amp;" "&amp;INDEX(nLIST_Months,MONTH(O357))&amp;" "&amp;YEAR(O357)&amp;" to "&amp;DAY(P357)&amp;" "&amp;INDEX(nLIST_Months,MONTH(P357))&amp;" "&amp;YEAR(P357)&amp;IF(H357="LAB"," (laboratory-defined)","")))))))</f>
        <v/>
      </c>
      <c r="S357" s="20" t="str">
        <f>IF(B357="","",Events!$AG18&amp;"")</f>
        <v/>
      </c>
      <c r="T357" s="20" t="str">
        <f>IF(B357="","",Events!$AP18&amp;"")</f>
        <v/>
      </c>
      <c r="U357" s="20" t="str">
        <f>IF(B357="","","Events row "&amp;ROW(Events!$A18)&amp;", First detection")</f>
        <v/>
      </c>
      <c r="V357" s="20">
        <f>IF(A357="",0,COUNTIF(nTP_Key,A357))</f>
        <v>0</v>
      </c>
      <c r="W357" s="20">
        <f t="shared" si="71"/>
        <v>0</v>
      </c>
      <c r="X357" s="20">
        <f t="shared" si="72"/>
        <v>0</v>
      </c>
      <c r="Y357" s="20">
        <f t="shared" si="73"/>
        <v>0</v>
      </c>
      <c r="Z357" s="20">
        <f t="shared" si="74"/>
        <v>0</v>
      </c>
      <c r="AA357" s="20">
        <f t="shared" si="75"/>
        <v>353</v>
      </c>
      <c r="AB357" s="20" t="str">
        <f>""</f>
        <v/>
      </c>
      <c r="AC357" s="20" t="str">
        <f>""</f>
        <v/>
      </c>
      <c r="AD357" s="20" t="str">
        <f>IF(B357="","",Events!$E18&amp;" (first detection)")</f>
        <v/>
      </c>
      <c r="AE357" s="20">
        <f t="shared" si="76"/>
        <v>0</v>
      </c>
      <c r="AF357" s="20" t="str">
        <f t="shared" si="77"/>
        <v/>
      </c>
      <c r="AG357" s="20">
        <f t="shared" si="78"/>
        <v>0</v>
      </c>
      <c r="AH357" s="20" t="str">
        <f>""</f>
        <v/>
      </c>
    </row>
    <row r="358" spans="1:34" x14ac:dyDescent="0.2">
      <c r="A358" s="20" t="str">
        <f t="shared" si="68"/>
        <v/>
      </c>
      <c r="B358" s="20" t="str">
        <f>IF(AND(Events!$D19&lt;&gt;"",COUNTA(Events!$AH19:$AO19)&gt;0),Events!$D19&amp;"/DETECTION","")</f>
        <v/>
      </c>
      <c r="C358" s="20" t="str">
        <f t="shared" si="79"/>
        <v/>
      </c>
      <c r="D358" s="20" t="str">
        <f>IF(B358="","",Events!$A19&amp;"")</f>
        <v/>
      </c>
      <c r="E358" s="20" t="str">
        <f>IF(B358="","",Events!$B19&amp;"")</f>
        <v/>
      </c>
      <c r="F358" s="20" t="str">
        <f t="shared" si="69"/>
        <v/>
      </c>
      <c r="G358" s="20" t="str">
        <f>IF(B358="","",Events!$D19&amp;"")</f>
        <v/>
      </c>
      <c r="H358" s="20" t="str">
        <f>IF(B358="","",Events!$AH19&amp;"")</f>
        <v/>
      </c>
      <c r="I358" s="20" t="str">
        <f>IF(B358="","",Events!$AK19&amp;"")</f>
        <v/>
      </c>
      <c r="J358" s="20" t="str">
        <f>IF(B358="","",Events!$AQ19&amp;"")</f>
        <v/>
      </c>
      <c r="K358" s="20">
        <f>IF(B358="",0,Events!$AR19)</f>
        <v>0</v>
      </c>
      <c r="L358" s="20">
        <f>IF(B358="",0,Events!$AS19)</f>
        <v>0</v>
      </c>
      <c r="M358" s="20" t="str">
        <f>IF(B358="","",Events!$AV19)</f>
        <v/>
      </c>
      <c r="N358" s="20" t="str">
        <f>IF(B358="","",Events!$AW19)</f>
        <v/>
      </c>
      <c r="O358" s="27" t="str">
        <f>IF(B358="","",Events!$AT19)</f>
        <v/>
      </c>
      <c r="P358" s="27" t="str">
        <f>IF(B358="","",Events!$AU19)</f>
        <v/>
      </c>
      <c r="Q358" s="20" t="str">
        <f t="shared" si="70"/>
        <v/>
      </c>
      <c r="R358" s="20" t="str">
        <f>IF(A358="","",IF(J358&lt;&gt;"",J358,IF(H358="TIMESTAMP",DAY(INT(M358/1440))&amp;" "&amp;INDEX(nLIST_Months,MONTH(INT(M358/1440)))&amp;" "&amp;YEAR(INT(M358/1440))&amp;" "&amp;RIGHT("0"&amp;INT(MOD(M358,1440)/60),2)&amp;":"&amp;RIGHT("0"&amp;MOD(M358,60),2)&amp;IF(L358=1," (UTC"&amp;I358&amp;")"," (offset unknown)"),IF(H358="DATE",DAY(O358)&amp;" "&amp;INDEX(nLIST_Months,MONTH(O358))&amp;" "&amp;YEAR(O358),IF(H358="MONTH",INDEX(nLIST_Months,MONTH(O358))&amp;" "&amp;YEAR(O358)&amp;" ("&amp;DAY(O358)&amp;" "&amp;INDEX(nLIST_Months,MONTH(O358))&amp;" "&amp;YEAR(O358)&amp;" to "&amp;DAY(P358)&amp;" "&amp;INDEX(nLIST_Months,MONTH(P358))&amp;" "&amp;YEAR(P358)&amp;")",IF(H358="YEAR",YEAR(O358)&amp;" (1 January to 31 December)",DAY(O358)&amp;" "&amp;INDEX(nLIST_Months,MONTH(O358))&amp;" "&amp;YEAR(O358)&amp;" to "&amp;DAY(P358)&amp;" "&amp;INDEX(nLIST_Months,MONTH(P358))&amp;" "&amp;YEAR(P358)&amp;IF(H358="LAB"," (laboratory-defined)","")))))))</f>
        <v/>
      </c>
      <c r="S358" s="20" t="str">
        <f>IF(B358="","",Events!$AG19&amp;"")</f>
        <v/>
      </c>
      <c r="T358" s="20" t="str">
        <f>IF(B358="","",Events!$AP19&amp;"")</f>
        <v/>
      </c>
      <c r="U358" s="20" t="str">
        <f>IF(B358="","","Events row "&amp;ROW(Events!$A19)&amp;", First detection")</f>
        <v/>
      </c>
      <c r="V358" s="20">
        <f>IF(A358="",0,COUNTIF(nTP_Key,A358))</f>
        <v>0</v>
      </c>
      <c r="W358" s="20">
        <f t="shared" si="71"/>
        <v>0</v>
      </c>
      <c r="X358" s="20">
        <f t="shared" si="72"/>
        <v>0</v>
      </c>
      <c r="Y358" s="20">
        <f t="shared" si="73"/>
        <v>0</v>
      </c>
      <c r="Z358" s="20">
        <f t="shared" si="74"/>
        <v>0</v>
      </c>
      <c r="AA358" s="20">
        <f t="shared" si="75"/>
        <v>354</v>
      </c>
      <c r="AB358" s="20" t="str">
        <f>""</f>
        <v/>
      </c>
      <c r="AC358" s="20" t="str">
        <f>""</f>
        <v/>
      </c>
      <c r="AD358" s="20" t="str">
        <f>IF(B358="","",Events!$E19&amp;" (first detection)")</f>
        <v/>
      </c>
      <c r="AE358" s="20">
        <f t="shared" si="76"/>
        <v>0</v>
      </c>
      <c r="AF358" s="20" t="str">
        <f t="shared" si="77"/>
        <v/>
      </c>
      <c r="AG358" s="20">
        <f t="shared" si="78"/>
        <v>0</v>
      </c>
      <c r="AH358" s="20" t="str">
        <f>""</f>
        <v/>
      </c>
    </row>
    <row r="359" spans="1:34" x14ac:dyDescent="0.2">
      <c r="A359" s="20" t="str">
        <f t="shared" si="68"/>
        <v/>
      </c>
      <c r="B359" s="20" t="str">
        <f>IF(AND(Events!$D20&lt;&gt;"",COUNTA(Events!$AH20:$AO20)&gt;0),Events!$D20&amp;"/DETECTION","")</f>
        <v/>
      </c>
      <c r="C359" s="20" t="str">
        <f t="shared" si="79"/>
        <v/>
      </c>
      <c r="D359" s="20" t="str">
        <f>IF(B359="","",Events!$A20&amp;"")</f>
        <v/>
      </c>
      <c r="E359" s="20" t="str">
        <f>IF(B359="","",Events!$B20&amp;"")</f>
        <v/>
      </c>
      <c r="F359" s="20" t="str">
        <f t="shared" si="69"/>
        <v/>
      </c>
      <c r="G359" s="20" t="str">
        <f>IF(B359="","",Events!$D20&amp;"")</f>
        <v/>
      </c>
      <c r="H359" s="20" t="str">
        <f>IF(B359="","",Events!$AH20&amp;"")</f>
        <v/>
      </c>
      <c r="I359" s="20" t="str">
        <f>IF(B359="","",Events!$AK20&amp;"")</f>
        <v/>
      </c>
      <c r="J359" s="20" t="str">
        <f>IF(B359="","",Events!$AQ20&amp;"")</f>
        <v/>
      </c>
      <c r="K359" s="20">
        <f>IF(B359="",0,Events!$AR20)</f>
        <v>0</v>
      </c>
      <c r="L359" s="20">
        <f>IF(B359="",0,Events!$AS20)</f>
        <v>0</v>
      </c>
      <c r="M359" s="20" t="str">
        <f>IF(B359="","",Events!$AV20)</f>
        <v/>
      </c>
      <c r="N359" s="20" t="str">
        <f>IF(B359="","",Events!$AW20)</f>
        <v/>
      </c>
      <c r="O359" s="27" t="str">
        <f>IF(B359="","",Events!$AT20)</f>
        <v/>
      </c>
      <c r="P359" s="27" t="str">
        <f>IF(B359="","",Events!$AU20)</f>
        <v/>
      </c>
      <c r="Q359" s="20" t="str">
        <f t="shared" si="70"/>
        <v/>
      </c>
      <c r="R359" s="20" t="str">
        <f>IF(A359="","",IF(J359&lt;&gt;"",J359,IF(H359="TIMESTAMP",DAY(INT(M359/1440))&amp;" "&amp;INDEX(nLIST_Months,MONTH(INT(M359/1440)))&amp;" "&amp;YEAR(INT(M359/1440))&amp;" "&amp;RIGHT("0"&amp;INT(MOD(M359,1440)/60),2)&amp;":"&amp;RIGHT("0"&amp;MOD(M359,60),2)&amp;IF(L359=1," (UTC"&amp;I359&amp;")"," (offset unknown)"),IF(H359="DATE",DAY(O359)&amp;" "&amp;INDEX(nLIST_Months,MONTH(O359))&amp;" "&amp;YEAR(O359),IF(H359="MONTH",INDEX(nLIST_Months,MONTH(O359))&amp;" "&amp;YEAR(O359)&amp;" ("&amp;DAY(O359)&amp;" "&amp;INDEX(nLIST_Months,MONTH(O359))&amp;" "&amp;YEAR(O359)&amp;" to "&amp;DAY(P359)&amp;" "&amp;INDEX(nLIST_Months,MONTH(P359))&amp;" "&amp;YEAR(P359)&amp;")",IF(H359="YEAR",YEAR(O359)&amp;" (1 January to 31 December)",DAY(O359)&amp;" "&amp;INDEX(nLIST_Months,MONTH(O359))&amp;" "&amp;YEAR(O359)&amp;" to "&amp;DAY(P359)&amp;" "&amp;INDEX(nLIST_Months,MONTH(P359))&amp;" "&amp;YEAR(P359)&amp;IF(H359="LAB"," (laboratory-defined)","")))))))</f>
        <v/>
      </c>
      <c r="S359" s="20" t="str">
        <f>IF(B359="","",Events!$AG20&amp;"")</f>
        <v/>
      </c>
      <c r="T359" s="20" t="str">
        <f>IF(B359="","",Events!$AP20&amp;"")</f>
        <v/>
      </c>
      <c r="U359" s="20" t="str">
        <f>IF(B359="","","Events row "&amp;ROW(Events!$A20)&amp;", First detection")</f>
        <v/>
      </c>
      <c r="V359" s="20">
        <f>IF(A359="",0,COUNTIF(nTP_Key,A359))</f>
        <v>0</v>
      </c>
      <c r="W359" s="20">
        <f t="shared" si="71"/>
        <v>0</v>
      </c>
      <c r="X359" s="20">
        <f t="shared" si="72"/>
        <v>0</v>
      </c>
      <c r="Y359" s="20">
        <f t="shared" si="73"/>
        <v>0</v>
      </c>
      <c r="Z359" s="20">
        <f t="shared" si="74"/>
        <v>0</v>
      </c>
      <c r="AA359" s="20">
        <f t="shared" si="75"/>
        <v>355</v>
      </c>
      <c r="AB359" s="20" t="str">
        <f>""</f>
        <v/>
      </c>
      <c r="AC359" s="20" t="str">
        <f>""</f>
        <v/>
      </c>
      <c r="AD359" s="20" t="str">
        <f>IF(B359="","",Events!$E20&amp;" (first detection)")</f>
        <v/>
      </c>
      <c r="AE359" s="20">
        <f t="shared" si="76"/>
        <v>0</v>
      </c>
      <c r="AF359" s="20" t="str">
        <f t="shared" si="77"/>
        <v/>
      </c>
      <c r="AG359" s="20">
        <f t="shared" si="78"/>
        <v>0</v>
      </c>
      <c r="AH359" s="20" t="str">
        <f>""</f>
        <v/>
      </c>
    </row>
    <row r="360" spans="1:34" x14ac:dyDescent="0.2">
      <c r="A360" s="20" t="str">
        <f t="shared" si="68"/>
        <v/>
      </c>
      <c r="B360" s="20" t="str">
        <f>IF(AND(Events!$D21&lt;&gt;"",COUNTA(Events!$AH21:$AO21)&gt;0),Events!$D21&amp;"/DETECTION","")</f>
        <v/>
      </c>
      <c r="C360" s="20" t="str">
        <f t="shared" si="79"/>
        <v/>
      </c>
      <c r="D360" s="20" t="str">
        <f>IF(B360="","",Events!$A21&amp;"")</f>
        <v/>
      </c>
      <c r="E360" s="20" t="str">
        <f>IF(B360="","",Events!$B21&amp;"")</f>
        <v/>
      </c>
      <c r="F360" s="20" t="str">
        <f t="shared" si="69"/>
        <v/>
      </c>
      <c r="G360" s="20" t="str">
        <f>IF(B360="","",Events!$D21&amp;"")</f>
        <v/>
      </c>
      <c r="H360" s="20" t="str">
        <f>IF(B360="","",Events!$AH21&amp;"")</f>
        <v/>
      </c>
      <c r="I360" s="20" t="str">
        <f>IF(B360="","",Events!$AK21&amp;"")</f>
        <v/>
      </c>
      <c r="J360" s="20" t="str">
        <f>IF(B360="","",Events!$AQ21&amp;"")</f>
        <v/>
      </c>
      <c r="K360" s="20">
        <f>IF(B360="",0,Events!$AR21)</f>
        <v>0</v>
      </c>
      <c r="L360" s="20">
        <f>IF(B360="",0,Events!$AS21)</f>
        <v>0</v>
      </c>
      <c r="M360" s="20" t="str">
        <f>IF(B360="","",Events!$AV21)</f>
        <v/>
      </c>
      <c r="N360" s="20" t="str">
        <f>IF(B360="","",Events!$AW21)</f>
        <v/>
      </c>
      <c r="O360" s="27" t="str">
        <f>IF(B360="","",Events!$AT21)</f>
        <v/>
      </c>
      <c r="P360" s="27" t="str">
        <f>IF(B360="","",Events!$AU21)</f>
        <v/>
      </c>
      <c r="Q360" s="20" t="str">
        <f t="shared" si="70"/>
        <v/>
      </c>
      <c r="R360" s="20" t="str">
        <f>IF(A360="","",IF(J360&lt;&gt;"",J360,IF(H360="TIMESTAMP",DAY(INT(M360/1440))&amp;" "&amp;INDEX(nLIST_Months,MONTH(INT(M360/1440)))&amp;" "&amp;YEAR(INT(M360/1440))&amp;" "&amp;RIGHT("0"&amp;INT(MOD(M360,1440)/60),2)&amp;":"&amp;RIGHT("0"&amp;MOD(M360,60),2)&amp;IF(L360=1," (UTC"&amp;I360&amp;")"," (offset unknown)"),IF(H360="DATE",DAY(O360)&amp;" "&amp;INDEX(nLIST_Months,MONTH(O360))&amp;" "&amp;YEAR(O360),IF(H360="MONTH",INDEX(nLIST_Months,MONTH(O360))&amp;" "&amp;YEAR(O360)&amp;" ("&amp;DAY(O360)&amp;" "&amp;INDEX(nLIST_Months,MONTH(O360))&amp;" "&amp;YEAR(O360)&amp;" to "&amp;DAY(P360)&amp;" "&amp;INDEX(nLIST_Months,MONTH(P360))&amp;" "&amp;YEAR(P360)&amp;")",IF(H360="YEAR",YEAR(O360)&amp;" (1 January to 31 December)",DAY(O360)&amp;" "&amp;INDEX(nLIST_Months,MONTH(O360))&amp;" "&amp;YEAR(O360)&amp;" to "&amp;DAY(P360)&amp;" "&amp;INDEX(nLIST_Months,MONTH(P360))&amp;" "&amp;YEAR(P360)&amp;IF(H360="LAB"," (laboratory-defined)","")))))))</f>
        <v/>
      </c>
      <c r="S360" s="20" t="str">
        <f>IF(B360="","",Events!$AG21&amp;"")</f>
        <v/>
      </c>
      <c r="T360" s="20" t="str">
        <f>IF(B360="","",Events!$AP21&amp;"")</f>
        <v/>
      </c>
      <c r="U360" s="20" t="str">
        <f>IF(B360="","","Events row "&amp;ROW(Events!$A21)&amp;", First detection")</f>
        <v/>
      </c>
      <c r="V360" s="20">
        <f>IF(A360="",0,COUNTIF(nTP_Key,A360))</f>
        <v>0</v>
      </c>
      <c r="W360" s="20">
        <f t="shared" si="71"/>
        <v>0</v>
      </c>
      <c r="X360" s="20">
        <f t="shared" si="72"/>
        <v>0</v>
      </c>
      <c r="Y360" s="20">
        <f t="shared" si="73"/>
        <v>0</v>
      </c>
      <c r="Z360" s="20">
        <f t="shared" si="74"/>
        <v>0</v>
      </c>
      <c r="AA360" s="20">
        <f t="shared" si="75"/>
        <v>356</v>
      </c>
      <c r="AB360" s="20" t="str">
        <f>""</f>
        <v/>
      </c>
      <c r="AC360" s="20" t="str">
        <f>""</f>
        <v/>
      </c>
      <c r="AD360" s="20" t="str">
        <f>IF(B360="","",Events!$E21&amp;" (first detection)")</f>
        <v/>
      </c>
      <c r="AE360" s="20">
        <f t="shared" si="76"/>
        <v>0</v>
      </c>
      <c r="AF360" s="20" t="str">
        <f t="shared" si="77"/>
        <v/>
      </c>
      <c r="AG360" s="20">
        <f t="shared" si="78"/>
        <v>0</v>
      </c>
      <c r="AH360" s="20" t="str">
        <f>""</f>
        <v/>
      </c>
    </row>
    <row r="361" spans="1:34" x14ac:dyDescent="0.2">
      <c r="A361" s="20" t="str">
        <f t="shared" si="68"/>
        <v/>
      </c>
      <c r="B361" s="20" t="str">
        <f>IF(AND(Events!$D22&lt;&gt;"",COUNTA(Events!$AH22:$AO22)&gt;0),Events!$D22&amp;"/DETECTION","")</f>
        <v/>
      </c>
      <c r="C361" s="20" t="str">
        <f t="shared" si="79"/>
        <v/>
      </c>
      <c r="D361" s="20" t="str">
        <f>IF(B361="","",Events!$A22&amp;"")</f>
        <v/>
      </c>
      <c r="E361" s="20" t="str">
        <f>IF(B361="","",Events!$B22&amp;"")</f>
        <v/>
      </c>
      <c r="F361" s="20" t="str">
        <f t="shared" si="69"/>
        <v/>
      </c>
      <c r="G361" s="20" t="str">
        <f>IF(B361="","",Events!$D22&amp;"")</f>
        <v/>
      </c>
      <c r="H361" s="20" t="str">
        <f>IF(B361="","",Events!$AH22&amp;"")</f>
        <v/>
      </c>
      <c r="I361" s="20" t="str">
        <f>IF(B361="","",Events!$AK22&amp;"")</f>
        <v/>
      </c>
      <c r="J361" s="20" t="str">
        <f>IF(B361="","",Events!$AQ22&amp;"")</f>
        <v/>
      </c>
      <c r="K361" s="20">
        <f>IF(B361="",0,Events!$AR22)</f>
        <v>0</v>
      </c>
      <c r="L361" s="20">
        <f>IF(B361="",0,Events!$AS22)</f>
        <v>0</v>
      </c>
      <c r="M361" s="20" t="str">
        <f>IF(B361="","",Events!$AV22)</f>
        <v/>
      </c>
      <c r="N361" s="20" t="str">
        <f>IF(B361="","",Events!$AW22)</f>
        <v/>
      </c>
      <c r="O361" s="27" t="str">
        <f>IF(B361="","",Events!$AT22)</f>
        <v/>
      </c>
      <c r="P361" s="27" t="str">
        <f>IF(B361="","",Events!$AU22)</f>
        <v/>
      </c>
      <c r="Q361" s="20" t="str">
        <f t="shared" si="70"/>
        <v/>
      </c>
      <c r="R361" s="20" t="str">
        <f>IF(A361="","",IF(J361&lt;&gt;"",J361,IF(H361="TIMESTAMP",DAY(INT(M361/1440))&amp;" "&amp;INDEX(nLIST_Months,MONTH(INT(M361/1440)))&amp;" "&amp;YEAR(INT(M361/1440))&amp;" "&amp;RIGHT("0"&amp;INT(MOD(M361,1440)/60),2)&amp;":"&amp;RIGHT("0"&amp;MOD(M361,60),2)&amp;IF(L361=1," (UTC"&amp;I361&amp;")"," (offset unknown)"),IF(H361="DATE",DAY(O361)&amp;" "&amp;INDEX(nLIST_Months,MONTH(O361))&amp;" "&amp;YEAR(O361),IF(H361="MONTH",INDEX(nLIST_Months,MONTH(O361))&amp;" "&amp;YEAR(O361)&amp;" ("&amp;DAY(O361)&amp;" "&amp;INDEX(nLIST_Months,MONTH(O361))&amp;" "&amp;YEAR(O361)&amp;" to "&amp;DAY(P361)&amp;" "&amp;INDEX(nLIST_Months,MONTH(P361))&amp;" "&amp;YEAR(P361)&amp;")",IF(H361="YEAR",YEAR(O361)&amp;" (1 January to 31 December)",DAY(O361)&amp;" "&amp;INDEX(nLIST_Months,MONTH(O361))&amp;" "&amp;YEAR(O361)&amp;" to "&amp;DAY(P361)&amp;" "&amp;INDEX(nLIST_Months,MONTH(P361))&amp;" "&amp;YEAR(P361)&amp;IF(H361="LAB"," (laboratory-defined)","")))))))</f>
        <v/>
      </c>
      <c r="S361" s="20" t="str">
        <f>IF(B361="","",Events!$AG22&amp;"")</f>
        <v/>
      </c>
      <c r="T361" s="20" t="str">
        <f>IF(B361="","",Events!$AP22&amp;"")</f>
        <v/>
      </c>
      <c r="U361" s="20" t="str">
        <f>IF(B361="","","Events row "&amp;ROW(Events!$A22)&amp;", First detection")</f>
        <v/>
      </c>
      <c r="V361" s="20">
        <f>IF(A361="",0,COUNTIF(nTP_Key,A361))</f>
        <v>0</v>
      </c>
      <c r="W361" s="20">
        <f t="shared" si="71"/>
        <v>0</v>
      </c>
      <c r="X361" s="20">
        <f t="shared" si="72"/>
        <v>0</v>
      </c>
      <c r="Y361" s="20">
        <f t="shared" si="73"/>
        <v>0</v>
      </c>
      <c r="Z361" s="20">
        <f t="shared" si="74"/>
        <v>0</v>
      </c>
      <c r="AA361" s="20">
        <f t="shared" si="75"/>
        <v>357</v>
      </c>
      <c r="AB361" s="20" t="str">
        <f>""</f>
        <v/>
      </c>
      <c r="AC361" s="20" t="str">
        <f>""</f>
        <v/>
      </c>
      <c r="AD361" s="20" t="str">
        <f>IF(B361="","",Events!$E22&amp;" (first detection)")</f>
        <v/>
      </c>
      <c r="AE361" s="20">
        <f t="shared" si="76"/>
        <v>0</v>
      </c>
      <c r="AF361" s="20" t="str">
        <f t="shared" si="77"/>
        <v/>
      </c>
      <c r="AG361" s="20">
        <f t="shared" si="78"/>
        <v>0</v>
      </c>
      <c r="AH361" s="20" t="str">
        <f>""</f>
        <v/>
      </c>
    </row>
    <row r="362" spans="1:34" x14ac:dyDescent="0.2">
      <c r="A362" s="20" t="str">
        <f t="shared" si="68"/>
        <v>EX-C28|2|EV-HBV/DETECTION</v>
      </c>
      <c r="B362" s="20" t="str">
        <f>IF(AND(Events!$D23&lt;&gt;"",COUNTA(Events!$AH23:$AO23)&gt;0),Events!$D23&amp;"/DETECTION","")</f>
        <v>EV-HBV/DETECTION</v>
      </c>
      <c r="C362" s="20" t="str">
        <f t="shared" si="79"/>
        <v>EVENT_DETECTION</v>
      </c>
      <c r="D362" s="20" t="str">
        <f>IF(B362="","",Events!$A23&amp;"")</f>
        <v>EX-C28</v>
      </c>
      <c r="E362" s="20" t="str">
        <f>IF(B362="","",Events!$B23&amp;"")</f>
        <v>2</v>
      </c>
      <c r="F362" s="20" t="str">
        <f t="shared" si="69"/>
        <v>EX-C28|2</v>
      </c>
      <c r="G362" s="20" t="str">
        <f>IF(B362="","",Events!$D23&amp;"")</f>
        <v>EV-HBV</v>
      </c>
      <c r="H362" s="20" t="str">
        <f>IF(B362="","",Events!$AH23&amp;"")</f>
        <v>DATE</v>
      </c>
      <c r="I362" s="20" t="str">
        <f>IF(B362="","",Events!$AK23&amp;"")</f>
        <v/>
      </c>
      <c r="J362" s="20" t="str">
        <f>IF(B362="","",Events!$AQ23&amp;"")</f>
        <v/>
      </c>
      <c r="K362" s="20">
        <f>IF(B362="",0,Events!$AR23)</f>
        <v>0</v>
      </c>
      <c r="L362" s="20">
        <f>IF(B362="",0,Events!$AS23)</f>
        <v>0</v>
      </c>
      <c r="M362" s="20" t="str">
        <f>IF(B362="","",Events!$AV23)</f>
        <v/>
      </c>
      <c r="N362" s="20" t="str">
        <f>IF(B362="","",Events!$AW23)</f>
        <v/>
      </c>
      <c r="O362" s="27">
        <f>IF(B362="","",Events!$AT23)</f>
        <v>46154</v>
      </c>
      <c r="P362" s="27">
        <f>IF(B362="","",Events!$AU23)</f>
        <v>46154</v>
      </c>
      <c r="Q362" s="20" t="str">
        <f t="shared" si="70"/>
        <v>2026-05-12</v>
      </c>
      <c r="R362" s="20" t="str">
        <f>IF(A362="","",IF(J362&lt;&gt;"",J362,IF(H362="TIMESTAMP",DAY(INT(M362/1440))&amp;" "&amp;INDEX(nLIST_Months,MONTH(INT(M362/1440)))&amp;" "&amp;YEAR(INT(M362/1440))&amp;" "&amp;RIGHT("0"&amp;INT(MOD(M362,1440)/60),2)&amp;":"&amp;RIGHT("0"&amp;MOD(M362,60),2)&amp;IF(L362=1," (UTC"&amp;I362&amp;")"," (offset unknown)"),IF(H362="DATE",DAY(O362)&amp;" "&amp;INDEX(nLIST_Months,MONTH(O362))&amp;" "&amp;YEAR(O362),IF(H362="MONTH",INDEX(nLIST_Months,MONTH(O362))&amp;" "&amp;YEAR(O362)&amp;" ("&amp;DAY(O362)&amp;" "&amp;INDEX(nLIST_Months,MONTH(O362))&amp;" "&amp;YEAR(O362)&amp;" to "&amp;DAY(P362)&amp;" "&amp;INDEX(nLIST_Months,MONTH(P362))&amp;" "&amp;YEAR(P362)&amp;")",IF(H362="YEAR",YEAR(O362)&amp;" (1 January to 31 December)",DAY(O362)&amp;" "&amp;INDEX(nLIST_Months,MONTH(O362))&amp;" "&amp;YEAR(O362)&amp;" to "&amp;DAY(P362)&amp;" "&amp;INDEX(nLIST_Months,MONTH(P362))&amp;" "&amp;YEAR(P362)&amp;IF(H362="LAB"," (laboratory-defined)","")))))))</f>
        <v>12 May 2026</v>
      </c>
      <c r="S362" s="20" t="str">
        <f>IF(B362="","",Events!$AG23&amp;"")</f>
        <v>12/05/2026 HBV DNA 1,850 IU/mL</v>
      </c>
      <c r="T362" s="20" t="str">
        <f>IF(B362="","",Events!$AP23&amp;"")</f>
        <v>Hepatology letter</v>
      </c>
      <c r="U362" s="20" t="str">
        <f>IF(B362="","","Events row "&amp;ROW(Events!$A23)&amp;", First detection")</f>
        <v>Events row 23, First detection</v>
      </c>
      <c r="V362" s="20">
        <f>IF(A362="",0,COUNTIF(nTP_Key,A362))</f>
        <v>1</v>
      </c>
      <c r="W362" s="20">
        <f t="shared" si="71"/>
        <v>0</v>
      </c>
      <c r="X362" s="20">
        <f t="shared" si="72"/>
        <v>0</v>
      </c>
      <c r="Y362" s="20">
        <f t="shared" si="73"/>
        <v>46154</v>
      </c>
      <c r="Z362" s="20">
        <f t="shared" si="74"/>
        <v>46154</v>
      </c>
      <c r="AA362" s="20">
        <f t="shared" si="75"/>
        <v>358</v>
      </c>
      <c r="AB362" s="20" t="str">
        <f>""</f>
        <v/>
      </c>
      <c r="AC362" s="20" t="str">
        <f>""</f>
        <v/>
      </c>
      <c r="AD362" s="20" t="str">
        <f>IF(B362="","",Events!$E23&amp;" (first detection)")</f>
        <v>Hepatitis B virus reactivation (first detection)</v>
      </c>
      <c r="AE362" s="20">
        <f t="shared" si="76"/>
        <v>0</v>
      </c>
      <c r="AF362" s="20" t="str">
        <f t="shared" si="77"/>
        <v/>
      </c>
      <c r="AG362" s="20">
        <f t="shared" si="78"/>
        <v>1</v>
      </c>
      <c r="AH362" s="20" t="str">
        <f>""</f>
        <v/>
      </c>
    </row>
    <row r="363" spans="1:34" x14ac:dyDescent="0.2">
      <c r="A363" s="20" t="str">
        <f t="shared" si="68"/>
        <v/>
      </c>
      <c r="B363" s="20" t="str">
        <f>IF(AND(Events!$D24&lt;&gt;"",COUNTA(Events!$AH24:$AO24)&gt;0),Events!$D24&amp;"/DETECTION","")</f>
        <v/>
      </c>
      <c r="C363" s="20" t="str">
        <f t="shared" si="79"/>
        <v/>
      </c>
      <c r="D363" s="20" t="str">
        <f>IF(B363="","",Events!$A24&amp;"")</f>
        <v/>
      </c>
      <c r="E363" s="20" t="str">
        <f>IF(B363="","",Events!$B24&amp;"")</f>
        <v/>
      </c>
      <c r="F363" s="20" t="str">
        <f t="shared" si="69"/>
        <v/>
      </c>
      <c r="G363" s="20" t="str">
        <f>IF(B363="","",Events!$D24&amp;"")</f>
        <v/>
      </c>
      <c r="H363" s="20" t="str">
        <f>IF(B363="","",Events!$AH24&amp;"")</f>
        <v/>
      </c>
      <c r="I363" s="20" t="str">
        <f>IF(B363="","",Events!$AK24&amp;"")</f>
        <v/>
      </c>
      <c r="J363" s="20" t="str">
        <f>IF(B363="","",Events!$AQ24&amp;"")</f>
        <v/>
      </c>
      <c r="K363" s="20">
        <f>IF(B363="",0,Events!$AR24)</f>
        <v>0</v>
      </c>
      <c r="L363" s="20">
        <f>IF(B363="",0,Events!$AS24)</f>
        <v>0</v>
      </c>
      <c r="M363" s="20" t="str">
        <f>IF(B363="","",Events!$AV24)</f>
        <v/>
      </c>
      <c r="N363" s="20" t="str">
        <f>IF(B363="","",Events!$AW24)</f>
        <v/>
      </c>
      <c r="O363" s="27" t="str">
        <f>IF(B363="","",Events!$AT24)</f>
        <v/>
      </c>
      <c r="P363" s="27" t="str">
        <f>IF(B363="","",Events!$AU24)</f>
        <v/>
      </c>
      <c r="Q363" s="20" t="str">
        <f t="shared" si="70"/>
        <v/>
      </c>
      <c r="R363" s="20" t="str">
        <f>IF(A363="","",IF(J363&lt;&gt;"",J363,IF(H363="TIMESTAMP",DAY(INT(M363/1440))&amp;" "&amp;INDEX(nLIST_Months,MONTH(INT(M363/1440)))&amp;" "&amp;YEAR(INT(M363/1440))&amp;" "&amp;RIGHT("0"&amp;INT(MOD(M363,1440)/60),2)&amp;":"&amp;RIGHT("0"&amp;MOD(M363,60),2)&amp;IF(L363=1," (UTC"&amp;I363&amp;")"," (offset unknown)"),IF(H363="DATE",DAY(O363)&amp;" "&amp;INDEX(nLIST_Months,MONTH(O363))&amp;" "&amp;YEAR(O363),IF(H363="MONTH",INDEX(nLIST_Months,MONTH(O363))&amp;" "&amp;YEAR(O363)&amp;" ("&amp;DAY(O363)&amp;" "&amp;INDEX(nLIST_Months,MONTH(O363))&amp;" "&amp;YEAR(O363)&amp;" to "&amp;DAY(P363)&amp;" "&amp;INDEX(nLIST_Months,MONTH(P363))&amp;" "&amp;YEAR(P363)&amp;")",IF(H363="YEAR",YEAR(O363)&amp;" (1 January to 31 December)",DAY(O363)&amp;" "&amp;INDEX(nLIST_Months,MONTH(O363))&amp;" "&amp;YEAR(O363)&amp;" to "&amp;DAY(P363)&amp;" "&amp;INDEX(nLIST_Months,MONTH(P363))&amp;" "&amp;YEAR(P363)&amp;IF(H363="LAB"," (laboratory-defined)","")))))))</f>
        <v/>
      </c>
      <c r="S363" s="20" t="str">
        <f>IF(B363="","",Events!$AG24&amp;"")</f>
        <v/>
      </c>
      <c r="T363" s="20" t="str">
        <f>IF(B363="","",Events!$AP24&amp;"")</f>
        <v/>
      </c>
      <c r="U363" s="20" t="str">
        <f>IF(B363="","","Events row "&amp;ROW(Events!$A24)&amp;", First detection")</f>
        <v/>
      </c>
      <c r="V363" s="20">
        <f>IF(A363="",0,COUNTIF(nTP_Key,A363))</f>
        <v>0</v>
      </c>
      <c r="W363" s="20">
        <f t="shared" si="71"/>
        <v>0</v>
      </c>
      <c r="X363" s="20">
        <f t="shared" si="72"/>
        <v>0</v>
      </c>
      <c r="Y363" s="20">
        <f t="shared" si="73"/>
        <v>0</v>
      </c>
      <c r="Z363" s="20">
        <f t="shared" si="74"/>
        <v>0</v>
      </c>
      <c r="AA363" s="20">
        <f t="shared" si="75"/>
        <v>359</v>
      </c>
      <c r="AB363" s="20" t="str">
        <f>""</f>
        <v/>
      </c>
      <c r="AC363" s="20" t="str">
        <f>""</f>
        <v/>
      </c>
      <c r="AD363" s="20" t="str">
        <f>IF(B363="","",Events!$E24&amp;" (first detection)")</f>
        <v/>
      </c>
      <c r="AE363" s="20">
        <f t="shared" si="76"/>
        <v>0</v>
      </c>
      <c r="AF363" s="20" t="str">
        <f t="shared" si="77"/>
        <v/>
      </c>
      <c r="AG363" s="20">
        <f t="shared" si="78"/>
        <v>0</v>
      </c>
      <c r="AH363" s="20" t="str">
        <f>""</f>
        <v/>
      </c>
    </row>
    <row r="364" spans="1:34" x14ac:dyDescent="0.2">
      <c r="A364" s="20" t="str">
        <f t="shared" si="68"/>
        <v/>
      </c>
      <c r="B364" s="20" t="str">
        <f>IF(AND(Events!$D25&lt;&gt;"",COUNTA(Events!$AH25:$AO25)&gt;0),Events!$D25&amp;"/DETECTION","")</f>
        <v/>
      </c>
      <c r="C364" s="20" t="str">
        <f t="shared" si="79"/>
        <v/>
      </c>
      <c r="D364" s="20" t="str">
        <f>IF(B364="","",Events!$A25&amp;"")</f>
        <v/>
      </c>
      <c r="E364" s="20" t="str">
        <f>IF(B364="","",Events!$B25&amp;"")</f>
        <v/>
      </c>
      <c r="F364" s="20" t="str">
        <f t="shared" si="69"/>
        <v/>
      </c>
      <c r="G364" s="20" t="str">
        <f>IF(B364="","",Events!$D25&amp;"")</f>
        <v/>
      </c>
      <c r="H364" s="20" t="str">
        <f>IF(B364="","",Events!$AH25&amp;"")</f>
        <v/>
      </c>
      <c r="I364" s="20" t="str">
        <f>IF(B364="","",Events!$AK25&amp;"")</f>
        <v/>
      </c>
      <c r="J364" s="20" t="str">
        <f>IF(B364="","",Events!$AQ25&amp;"")</f>
        <v/>
      </c>
      <c r="K364" s="20">
        <f>IF(B364="",0,Events!$AR25)</f>
        <v>0</v>
      </c>
      <c r="L364" s="20">
        <f>IF(B364="",0,Events!$AS25)</f>
        <v>0</v>
      </c>
      <c r="M364" s="20" t="str">
        <f>IF(B364="","",Events!$AV25)</f>
        <v/>
      </c>
      <c r="N364" s="20" t="str">
        <f>IF(B364="","",Events!$AW25)</f>
        <v/>
      </c>
      <c r="O364" s="27" t="str">
        <f>IF(B364="","",Events!$AT25)</f>
        <v/>
      </c>
      <c r="P364" s="27" t="str">
        <f>IF(B364="","",Events!$AU25)</f>
        <v/>
      </c>
      <c r="Q364" s="20" t="str">
        <f t="shared" si="70"/>
        <v/>
      </c>
      <c r="R364" s="20" t="str">
        <f>IF(A364="","",IF(J364&lt;&gt;"",J364,IF(H364="TIMESTAMP",DAY(INT(M364/1440))&amp;" "&amp;INDEX(nLIST_Months,MONTH(INT(M364/1440)))&amp;" "&amp;YEAR(INT(M364/1440))&amp;" "&amp;RIGHT("0"&amp;INT(MOD(M364,1440)/60),2)&amp;":"&amp;RIGHT("0"&amp;MOD(M364,60),2)&amp;IF(L364=1," (UTC"&amp;I364&amp;")"," (offset unknown)"),IF(H364="DATE",DAY(O364)&amp;" "&amp;INDEX(nLIST_Months,MONTH(O364))&amp;" "&amp;YEAR(O364),IF(H364="MONTH",INDEX(nLIST_Months,MONTH(O364))&amp;" "&amp;YEAR(O364)&amp;" ("&amp;DAY(O364)&amp;" "&amp;INDEX(nLIST_Months,MONTH(O364))&amp;" "&amp;YEAR(O364)&amp;" to "&amp;DAY(P364)&amp;" "&amp;INDEX(nLIST_Months,MONTH(P364))&amp;" "&amp;YEAR(P364)&amp;")",IF(H364="YEAR",YEAR(O364)&amp;" (1 January to 31 December)",DAY(O364)&amp;" "&amp;INDEX(nLIST_Months,MONTH(O364))&amp;" "&amp;YEAR(O364)&amp;" to "&amp;DAY(P364)&amp;" "&amp;INDEX(nLIST_Months,MONTH(P364))&amp;" "&amp;YEAR(P364)&amp;IF(H364="LAB"," (laboratory-defined)","")))))))</f>
        <v/>
      </c>
      <c r="S364" s="20" t="str">
        <f>IF(B364="","",Events!$AG25&amp;"")</f>
        <v/>
      </c>
      <c r="T364" s="20" t="str">
        <f>IF(B364="","",Events!$AP25&amp;"")</f>
        <v/>
      </c>
      <c r="U364" s="20" t="str">
        <f>IF(B364="","","Events row "&amp;ROW(Events!$A25)&amp;", First detection")</f>
        <v/>
      </c>
      <c r="V364" s="20">
        <f>IF(A364="",0,COUNTIF(nTP_Key,A364))</f>
        <v>0</v>
      </c>
      <c r="W364" s="20">
        <f t="shared" si="71"/>
        <v>0</v>
      </c>
      <c r="X364" s="20">
        <f t="shared" si="72"/>
        <v>0</v>
      </c>
      <c r="Y364" s="20">
        <f t="shared" si="73"/>
        <v>0</v>
      </c>
      <c r="Z364" s="20">
        <f t="shared" si="74"/>
        <v>0</v>
      </c>
      <c r="AA364" s="20">
        <f t="shared" si="75"/>
        <v>360</v>
      </c>
      <c r="AB364" s="20" t="str">
        <f>""</f>
        <v/>
      </c>
      <c r="AC364" s="20" t="str">
        <f>""</f>
        <v/>
      </c>
      <c r="AD364" s="20" t="str">
        <f>IF(B364="","",Events!$E25&amp;" (first detection)")</f>
        <v/>
      </c>
      <c r="AE364" s="20">
        <f t="shared" si="76"/>
        <v>0</v>
      </c>
      <c r="AF364" s="20" t="str">
        <f t="shared" si="77"/>
        <v/>
      </c>
      <c r="AG364" s="20">
        <f t="shared" si="78"/>
        <v>0</v>
      </c>
      <c r="AH364" s="20" t="str">
        <f>""</f>
        <v/>
      </c>
    </row>
    <row r="365" spans="1:34" x14ac:dyDescent="0.2">
      <c r="A365" s="20" t="str">
        <f t="shared" si="68"/>
        <v/>
      </c>
      <c r="B365" s="20" t="str">
        <f>IF(AND(Events!$D26&lt;&gt;"",COUNTA(Events!$AH26:$AO26)&gt;0),Events!$D26&amp;"/DETECTION","")</f>
        <v/>
      </c>
      <c r="C365" s="20" t="str">
        <f t="shared" si="79"/>
        <v/>
      </c>
      <c r="D365" s="20" t="str">
        <f>IF(B365="","",Events!$A26&amp;"")</f>
        <v/>
      </c>
      <c r="E365" s="20" t="str">
        <f>IF(B365="","",Events!$B26&amp;"")</f>
        <v/>
      </c>
      <c r="F365" s="20" t="str">
        <f t="shared" si="69"/>
        <v/>
      </c>
      <c r="G365" s="20" t="str">
        <f>IF(B365="","",Events!$D26&amp;"")</f>
        <v/>
      </c>
      <c r="H365" s="20" t="str">
        <f>IF(B365="","",Events!$AH26&amp;"")</f>
        <v/>
      </c>
      <c r="I365" s="20" t="str">
        <f>IF(B365="","",Events!$AK26&amp;"")</f>
        <v/>
      </c>
      <c r="J365" s="20" t="str">
        <f>IF(B365="","",Events!$AQ26&amp;"")</f>
        <v/>
      </c>
      <c r="K365" s="20">
        <f>IF(B365="",0,Events!$AR26)</f>
        <v>0</v>
      </c>
      <c r="L365" s="20">
        <f>IF(B365="",0,Events!$AS26)</f>
        <v>0</v>
      </c>
      <c r="M365" s="20" t="str">
        <f>IF(B365="","",Events!$AV26)</f>
        <v/>
      </c>
      <c r="N365" s="20" t="str">
        <f>IF(B365="","",Events!$AW26)</f>
        <v/>
      </c>
      <c r="O365" s="27" t="str">
        <f>IF(B365="","",Events!$AT26)</f>
        <v/>
      </c>
      <c r="P365" s="27" t="str">
        <f>IF(B365="","",Events!$AU26)</f>
        <v/>
      </c>
      <c r="Q365" s="20" t="str">
        <f t="shared" si="70"/>
        <v/>
      </c>
      <c r="R365" s="20" t="str">
        <f>IF(A365="","",IF(J365&lt;&gt;"",J365,IF(H365="TIMESTAMP",DAY(INT(M365/1440))&amp;" "&amp;INDEX(nLIST_Months,MONTH(INT(M365/1440)))&amp;" "&amp;YEAR(INT(M365/1440))&amp;" "&amp;RIGHT("0"&amp;INT(MOD(M365,1440)/60),2)&amp;":"&amp;RIGHT("0"&amp;MOD(M365,60),2)&amp;IF(L365=1," (UTC"&amp;I365&amp;")"," (offset unknown)"),IF(H365="DATE",DAY(O365)&amp;" "&amp;INDEX(nLIST_Months,MONTH(O365))&amp;" "&amp;YEAR(O365),IF(H365="MONTH",INDEX(nLIST_Months,MONTH(O365))&amp;" "&amp;YEAR(O365)&amp;" ("&amp;DAY(O365)&amp;" "&amp;INDEX(nLIST_Months,MONTH(O365))&amp;" "&amp;YEAR(O365)&amp;" to "&amp;DAY(P365)&amp;" "&amp;INDEX(nLIST_Months,MONTH(P365))&amp;" "&amp;YEAR(P365)&amp;")",IF(H365="YEAR",YEAR(O365)&amp;" (1 January to 31 December)",DAY(O365)&amp;" "&amp;INDEX(nLIST_Months,MONTH(O365))&amp;" "&amp;YEAR(O365)&amp;" to "&amp;DAY(P365)&amp;" "&amp;INDEX(nLIST_Months,MONTH(P365))&amp;" "&amp;YEAR(P365)&amp;IF(H365="LAB"," (laboratory-defined)","")))))))</f>
        <v/>
      </c>
      <c r="S365" s="20" t="str">
        <f>IF(B365="","",Events!$AG26&amp;"")</f>
        <v/>
      </c>
      <c r="T365" s="20" t="str">
        <f>IF(B365="","",Events!$AP26&amp;"")</f>
        <v/>
      </c>
      <c r="U365" s="20" t="str">
        <f>IF(B365="","","Events row "&amp;ROW(Events!$A26)&amp;", First detection")</f>
        <v/>
      </c>
      <c r="V365" s="20">
        <f>IF(A365="",0,COUNTIF(nTP_Key,A365))</f>
        <v>0</v>
      </c>
      <c r="W365" s="20">
        <f t="shared" si="71"/>
        <v>0</v>
      </c>
      <c r="X365" s="20">
        <f t="shared" si="72"/>
        <v>0</v>
      </c>
      <c r="Y365" s="20">
        <f t="shared" si="73"/>
        <v>0</v>
      </c>
      <c r="Z365" s="20">
        <f t="shared" si="74"/>
        <v>0</v>
      </c>
      <c r="AA365" s="20">
        <f t="shared" si="75"/>
        <v>361</v>
      </c>
      <c r="AB365" s="20" t="str">
        <f>""</f>
        <v/>
      </c>
      <c r="AC365" s="20" t="str">
        <f>""</f>
        <v/>
      </c>
      <c r="AD365" s="20" t="str">
        <f>IF(B365="","",Events!$E26&amp;" (first detection)")</f>
        <v/>
      </c>
      <c r="AE365" s="20">
        <f t="shared" si="76"/>
        <v>0</v>
      </c>
      <c r="AF365" s="20" t="str">
        <f t="shared" si="77"/>
        <v/>
      </c>
      <c r="AG365" s="20">
        <f t="shared" si="78"/>
        <v>0</v>
      </c>
      <c r="AH365" s="20" t="str">
        <f>""</f>
        <v/>
      </c>
    </row>
    <row r="366" spans="1:34" x14ac:dyDescent="0.2">
      <c r="A366" s="20" t="str">
        <f t="shared" si="68"/>
        <v/>
      </c>
      <c r="B366" s="20" t="str">
        <f>IF(AND(Events!$D27&lt;&gt;"",COUNTA(Events!$AH27:$AO27)&gt;0),Events!$D27&amp;"/DETECTION","")</f>
        <v/>
      </c>
      <c r="C366" s="20" t="str">
        <f t="shared" si="79"/>
        <v/>
      </c>
      <c r="D366" s="20" t="str">
        <f>IF(B366="","",Events!$A27&amp;"")</f>
        <v/>
      </c>
      <c r="E366" s="20" t="str">
        <f>IF(B366="","",Events!$B27&amp;"")</f>
        <v/>
      </c>
      <c r="F366" s="20" t="str">
        <f t="shared" si="69"/>
        <v/>
      </c>
      <c r="G366" s="20" t="str">
        <f>IF(B366="","",Events!$D27&amp;"")</f>
        <v/>
      </c>
      <c r="H366" s="20" t="str">
        <f>IF(B366="","",Events!$AH27&amp;"")</f>
        <v/>
      </c>
      <c r="I366" s="20" t="str">
        <f>IF(B366="","",Events!$AK27&amp;"")</f>
        <v/>
      </c>
      <c r="J366" s="20" t="str">
        <f>IF(B366="","",Events!$AQ27&amp;"")</f>
        <v/>
      </c>
      <c r="K366" s="20">
        <f>IF(B366="",0,Events!$AR27)</f>
        <v>0</v>
      </c>
      <c r="L366" s="20">
        <f>IF(B366="",0,Events!$AS27)</f>
        <v>0</v>
      </c>
      <c r="M366" s="20" t="str">
        <f>IF(B366="","",Events!$AV27)</f>
        <v/>
      </c>
      <c r="N366" s="20" t="str">
        <f>IF(B366="","",Events!$AW27)</f>
        <v/>
      </c>
      <c r="O366" s="27" t="str">
        <f>IF(B366="","",Events!$AT27)</f>
        <v/>
      </c>
      <c r="P366" s="27" t="str">
        <f>IF(B366="","",Events!$AU27)</f>
        <v/>
      </c>
      <c r="Q366" s="20" t="str">
        <f t="shared" si="70"/>
        <v/>
      </c>
      <c r="R366" s="20" t="str">
        <f>IF(A366="","",IF(J366&lt;&gt;"",J366,IF(H366="TIMESTAMP",DAY(INT(M366/1440))&amp;" "&amp;INDEX(nLIST_Months,MONTH(INT(M366/1440)))&amp;" "&amp;YEAR(INT(M366/1440))&amp;" "&amp;RIGHT("0"&amp;INT(MOD(M366,1440)/60),2)&amp;":"&amp;RIGHT("0"&amp;MOD(M366,60),2)&amp;IF(L366=1," (UTC"&amp;I366&amp;")"," (offset unknown)"),IF(H366="DATE",DAY(O366)&amp;" "&amp;INDEX(nLIST_Months,MONTH(O366))&amp;" "&amp;YEAR(O366),IF(H366="MONTH",INDEX(nLIST_Months,MONTH(O366))&amp;" "&amp;YEAR(O366)&amp;" ("&amp;DAY(O366)&amp;" "&amp;INDEX(nLIST_Months,MONTH(O366))&amp;" "&amp;YEAR(O366)&amp;" to "&amp;DAY(P366)&amp;" "&amp;INDEX(nLIST_Months,MONTH(P366))&amp;" "&amp;YEAR(P366)&amp;")",IF(H366="YEAR",YEAR(O366)&amp;" (1 January to 31 December)",DAY(O366)&amp;" "&amp;INDEX(nLIST_Months,MONTH(O366))&amp;" "&amp;YEAR(O366)&amp;" to "&amp;DAY(P366)&amp;" "&amp;INDEX(nLIST_Months,MONTH(P366))&amp;" "&amp;YEAR(P366)&amp;IF(H366="LAB"," (laboratory-defined)","")))))))</f>
        <v/>
      </c>
      <c r="S366" s="20" t="str">
        <f>IF(B366="","",Events!$AG27&amp;"")</f>
        <v/>
      </c>
      <c r="T366" s="20" t="str">
        <f>IF(B366="","",Events!$AP27&amp;"")</f>
        <v/>
      </c>
      <c r="U366" s="20" t="str">
        <f>IF(B366="","","Events row "&amp;ROW(Events!$A27)&amp;", First detection")</f>
        <v/>
      </c>
      <c r="V366" s="20">
        <f>IF(A366="",0,COUNTIF(nTP_Key,A366))</f>
        <v>0</v>
      </c>
      <c r="W366" s="20">
        <f t="shared" si="71"/>
        <v>0</v>
      </c>
      <c r="X366" s="20">
        <f t="shared" si="72"/>
        <v>0</v>
      </c>
      <c r="Y366" s="20">
        <f t="shared" si="73"/>
        <v>0</v>
      </c>
      <c r="Z366" s="20">
        <f t="shared" si="74"/>
        <v>0</v>
      </c>
      <c r="AA366" s="20">
        <f t="shared" si="75"/>
        <v>362</v>
      </c>
      <c r="AB366" s="20" t="str">
        <f>""</f>
        <v/>
      </c>
      <c r="AC366" s="20" t="str">
        <f>""</f>
        <v/>
      </c>
      <c r="AD366" s="20" t="str">
        <f>IF(B366="","",Events!$E27&amp;" (first detection)")</f>
        <v/>
      </c>
      <c r="AE366" s="20">
        <f t="shared" si="76"/>
        <v>0</v>
      </c>
      <c r="AF366" s="20" t="str">
        <f t="shared" si="77"/>
        <v/>
      </c>
      <c r="AG366" s="20">
        <f t="shared" si="78"/>
        <v>0</v>
      </c>
      <c r="AH366" s="20" t="str">
        <f>""</f>
        <v/>
      </c>
    </row>
    <row r="367" spans="1:34" x14ac:dyDescent="0.2">
      <c r="A367" s="20" t="str">
        <f t="shared" si="68"/>
        <v/>
      </c>
      <c r="B367" s="20" t="str">
        <f>IF(AND(Events!$D28&lt;&gt;"",COUNTA(Events!$AH28:$AO28)&gt;0),Events!$D28&amp;"/DETECTION","")</f>
        <v/>
      </c>
      <c r="C367" s="20" t="str">
        <f t="shared" si="79"/>
        <v/>
      </c>
      <c r="D367" s="20" t="str">
        <f>IF(B367="","",Events!$A28&amp;"")</f>
        <v/>
      </c>
      <c r="E367" s="20" t="str">
        <f>IF(B367="","",Events!$B28&amp;"")</f>
        <v/>
      </c>
      <c r="F367" s="20" t="str">
        <f t="shared" si="69"/>
        <v/>
      </c>
      <c r="G367" s="20" t="str">
        <f>IF(B367="","",Events!$D28&amp;"")</f>
        <v/>
      </c>
      <c r="H367" s="20" t="str">
        <f>IF(B367="","",Events!$AH28&amp;"")</f>
        <v/>
      </c>
      <c r="I367" s="20" t="str">
        <f>IF(B367="","",Events!$AK28&amp;"")</f>
        <v/>
      </c>
      <c r="J367" s="20" t="str">
        <f>IF(B367="","",Events!$AQ28&amp;"")</f>
        <v/>
      </c>
      <c r="K367" s="20">
        <f>IF(B367="",0,Events!$AR28)</f>
        <v>0</v>
      </c>
      <c r="L367" s="20">
        <f>IF(B367="",0,Events!$AS28)</f>
        <v>0</v>
      </c>
      <c r="M367" s="20" t="str">
        <f>IF(B367="","",Events!$AV28)</f>
        <v/>
      </c>
      <c r="N367" s="20" t="str">
        <f>IF(B367="","",Events!$AW28)</f>
        <v/>
      </c>
      <c r="O367" s="27" t="str">
        <f>IF(B367="","",Events!$AT28)</f>
        <v/>
      </c>
      <c r="P367" s="27" t="str">
        <f>IF(B367="","",Events!$AU28)</f>
        <v/>
      </c>
      <c r="Q367" s="20" t="str">
        <f t="shared" si="70"/>
        <v/>
      </c>
      <c r="R367" s="20" t="str">
        <f>IF(A367="","",IF(J367&lt;&gt;"",J367,IF(H367="TIMESTAMP",DAY(INT(M367/1440))&amp;" "&amp;INDEX(nLIST_Months,MONTH(INT(M367/1440)))&amp;" "&amp;YEAR(INT(M367/1440))&amp;" "&amp;RIGHT("0"&amp;INT(MOD(M367,1440)/60),2)&amp;":"&amp;RIGHT("0"&amp;MOD(M367,60),2)&amp;IF(L367=1," (UTC"&amp;I367&amp;")"," (offset unknown)"),IF(H367="DATE",DAY(O367)&amp;" "&amp;INDEX(nLIST_Months,MONTH(O367))&amp;" "&amp;YEAR(O367),IF(H367="MONTH",INDEX(nLIST_Months,MONTH(O367))&amp;" "&amp;YEAR(O367)&amp;" ("&amp;DAY(O367)&amp;" "&amp;INDEX(nLIST_Months,MONTH(O367))&amp;" "&amp;YEAR(O367)&amp;" to "&amp;DAY(P367)&amp;" "&amp;INDEX(nLIST_Months,MONTH(P367))&amp;" "&amp;YEAR(P367)&amp;")",IF(H367="YEAR",YEAR(O367)&amp;" (1 January to 31 December)",DAY(O367)&amp;" "&amp;INDEX(nLIST_Months,MONTH(O367))&amp;" "&amp;YEAR(O367)&amp;" to "&amp;DAY(P367)&amp;" "&amp;INDEX(nLIST_Months,MONTH(P367))&amp;" "&amp;YEAR(P367)&amp;IF(H367="LAB"," (laboratory-defined)","")))))))</f>
        <v/>
      </c>
      <c r="S367" s="20" t="str">
        <f>IF(B367="","",Events!$AG28&amp;"")</f>
        <v/>
      </c>
      <c r="T367" s="20" t="str">
        <f>IF(B367="","",Events!$AP28&amp;"")</f>
        <v/>
      </c>
      <c r="U367" s="20" t="str">
        <f>IF(B367="","","Events row "&amp;ROW(Events!$A28)&amp;", First detection")</f>
        <v/>
      </c>
      <c r="V367" s="20">
        <f>IF(A367="",0,COUNTIF(nTP_Key,A367))</f>
        <v>0</v>
      </c>
      <c r="W367" s="20">
        <f t="shared" si="71"/>
        <v>0</v>
      </c>
      <c r="X367" s="20">
        <f t="shared" si="72"/>
        <v>0</v>
      </c>
      <c r="Y367" s="20">
        <f t="shared" si="73"/>
        <v>0</v>
      </c>
      <c r="Z367" s="20">
        <f t="shared" si="74"/>
        <v>0</v>
      </c>
      <c r="AA367" s="20">
        <f t="shared" si="75"/>
        <v>363</v>
      </c>
      <c r="AB367" s="20" t="str">
        <f>""</f>
        <v/>
      </c>
      <c r="AC367" s="20" t="str">
        <f>""</f>
        <v/>
      </c>
      <c r="AD367" s="20" t="str">
        <f>IF(B367="","",Events!$E28&amp;" (first detection)")</f>
        <v/>
      </c>
      <c r="AE367" s="20">
        <f t="shared" si="76"/>
        <v>0</v>
      </c>
      <c r="AF367" s="20" t="str">
        <f t="shared" si="77"/>
        <v/>
      </c>
      <c r="AG367" s="20">
        <f t="shared" si="78"/>
        <v>0</v>
      </c>
      <c r="AH367" s="20" t="str">
        <f>""</f>
        <v/>
      </c>
    </row>
    <row r="368" spans="1:34" x14ac:dyDescent="0.2">
      <c r="A368" s="20" t="str">
        <f t="shared" si="68"/>
        <v/>
      </c>
      <c r="B368" s="20" t="str">
        <f>IF(AND(Events!$D29&lt;&gt;"",COUNTA(Events!$AH29:$AO29)&gt;0),Events!$D29&amp;"/DETECTION","")</f>
        <v/>
      </c>
      <c r="C368" s="20" t="str">
        <f t="shared" si="79"/>
        <v/>
      </c>
      <c r="D368" s="20" t="str">
        <f>IF(B368="","",Events!$A29&amp;"")</f>
        <v/>
      </c>
      <c r="E368" s="20" t="str">
        <f>IF(B368="","",Events!$B29&amp;"")</f>
        <v/>
      </c>
      <c r="F368" s="20" t="str">
        <f t="shared" si="69"/>
        <v/>
      </c>
      <c r="G368" s="20" t="str">
        <f>IF(B368="","",Events!$D29&amp;"")</f>
        <v/>
      </c>
      <c r="H368" s="20" t="str">
        <f>IF(B368="","",Events!$AH29&amp;"")</f>
        <v/>
      </c>
      <c r="I368" s="20" t="str">
        <f>IF(B368="","",Events!$AK29&amp;"")</f>
        <v/>
      </c>
      <c r="J368" s="20" t="str">
        <f>IF(B368="","",Events!$AQ29&amp;"")</f>
        <v/>
      </c>
      <c r="K368" s="20">
        <f>IF(B368="",0,Events!$AR29)</f>
        <v>0</v>
      </c>
      <c r="L368" s="20">
        <f>IF(B368="",0,Events!$AS29)</f>
        <v>0</v>
      </c>
      <c r="M368" s="20" t="str">
        <f>IF(B368="","",Events!$AV29)</f>
        <v/>
      </c>
      <c r="N368" s="20" t="str">
        <f>IF(B368="","",Events!$AW29)</f>
        <v/>
      </c>
      <c r="O368" s="27" t="str">
        <f>IF(B368="","",Events!$AT29)</f>
        <v/>
      </c>
      <c r="P368" s="27" t="str">
        <f>IF(B368="","",Events!$AU29)</f>
        <v/>
      </c>
      <c r="Q368" s="20" t="str">
        <f t="shared" si="70"/>
        <v/>
      </c>
      <c r="R368" s="20" t="str">
        <f>IF(A368="","",IF(J368&lt;&gt;"",J368,IF(H368="TIMESTAMP",DAY(INT(M368/1440))&amp;" "&amp;INDEX(nLIST_Months,MONTH(INT(M368/1440)))&amp;" "&amp;YEAR(INT(M368/1440))&amp;" "&amp;RIGHT("0"&amp;INT(MOD(M368,1440)/60),2)&amp;":"&amp;RIGHT("0"&amp;MOD(M368,60),2)&amp;IF(L368=1," (UTC"&amp;I368&amp;")"," (offset unknown)"),IF(H368="DATE",DAY(O368)&amp;" "&amp;INDEX(nLIST_Months,MONTH(O368))&amp;" "&amp;YEAR(O368),IF(H368="MONTH",INDEX(nLIST_Months,MONTH(O368))&amp;" "&amp;YEAR(O368)&amp;" ("&amp;DAY(O368)&amp;" "&amp;INDEX(nLIST_Months,MONTH(O368))&amp;" "&amp;YEAR(O368)&amp;" to "&amp;DAY(P368)&amp;" "&amp;INDEX(nLIST_Months,MONTH(P368))&amp;" "&amp;YEAR(P368)&amp;")",IF(H368="YEAR",YEAR(O368)&amp;" (1 January to 31 December)",DAY(O368)&amp;" "&amp;INDEX(nLIST_Months,MONTH(O368))&amp;" "&amp;YEAR(O368)&amp;" to "&amp;DAY(P368)&amp;" "&amp;INDEX(nLIST_Months,MONTH(P368))&amp;" "&amp;YEAR(P368)&amp;IF(H368="LAB"," (laboratory-defined)","")))))))</f>
        <v/>
      </c>
      <c r="S368" s="20" t="str">
        <f>IF(B368="","",Events!$AG29&amp;"")</f>
        <v/>
      </c>
      <c r="T368" s="20" t="str">
        <f>IF(B368="","",Events!$AP29&amp;"")</f>
        <v/>
      </c>
      <c r="U368" s="20" t="str">
        <f>IF(B368="","","Events row "&amp;ROW(Events!$A29)&amp;", First detection")</f>
        <v/>
      </c>
      <c r="V368" s="20">
        <f>IF(A368="",0,COUNTIF(nTP_Key,A368))</f>
        <v>0</v>
      </c>
      <c r="W368" s="20">
        <f t="shared" si="71"/>
        <v>0</v>
      </c>
      <c r="X368" s="20">
        <f t="shared" si="72"/>
        <v>0</v>
      </c>
      <c r="Y368" s="20">
        <f t="shared" si="73"/>
        <v>0</v>
      </c>
      <c r="Z368" s="20">
        <f t="shared" si="74"/>
        <v>0</v>
      </c>
      <c r="AA368" s="20">
        <f t="shared" si="75"/>
        <v>364</v>
      </c>
      <c r="AB368" s="20" t="str">
        <f>""</f>
        <v/>
      </c>
      <c r="AC368" s="20" t="str">
        <f>""</f>
        <v/>
      </c>
      <c r="AD368" s="20" t="str">
        <f>IF(B368="","",Events!$E29&amp;" (first detection)")</f>
        <v/>
      </c>
      <c r="AE368" s="20">
        <f t="shared" si="76"/>
        <v>0</v>
      </c>
      <c r="AF368" s="20" t="str">
        <f t="shared" si="77"/>
        <v/>
      </c>
      <c r="AG368" s="20">
        <f t="shared" si="78"/>
        <v>0</v>
      </c>
      <c r="AH368" s="20" t="str">
        <f>""</f>
        <v/>
      </c>
    </row>
    <row r="369" spans="1:34" x14ac:dyDescent="0.2">
      <c r="A369" s="20" t="str">
        <f t="shared" si="68"/>
        <v/>
      </c>
      <c r="B369" s="20" t="str">
        <f>IF(AND(Events!$D30&lt;&gt;"",COUNTA(Events!$AH30:$AO30)&gt;0),Events!$D30&amp;"/DETECTION","")</f>
        <v/>
      </c>
      <c r="C369" s="20" t="str">
        <f t="shared" si="79"/>
        <v/>
      </c>
      <c r="D369" s="20" t="str">
        <f>IF(B369="","",Events!$A30&amp;"")</f>
        <v/>
      </c>
      <c r="E369" s="20" t="str">
        <f>IF(B369="","",Events!$B30&amp;"")</f>
        <v/>
      </c>
      <c r="F369" s="20" t="str">
        <f t="shared" si="69"/>
        <v/>
      </c>
      <c r="G369" s="20" t="str">
        <f>IF(B369="","",Events!$D30&amp;"")</f>
        <v/>
      </c>
      <c r="H369" s="20" t="str">
        <f>IF(B369="","",Events!$AH30&amp;"")</f>
        <v/>
      </c>
      <c r="I369" s="20" t="str">
        <f>IF(B369="","",Events!$AK30&amp;"")</f>
        <v/>
      </c>
      <c r="J369" s="20" t="str">
        <f>IF(B369="","",Events!$AQ30&amp;"")</f>
        <v/>
      </c>
      <c r="K369" s="20">
        <f>IF(B369="",0,Events!$AR30)</f>
        <v>0</v>
      </c>
      <c r="L369" s="20">
        <f>IF(B369="",0,Events!$AS30)</f>
        <v>0</v>
      </c>
      <c r="M369" s="20" t="str">
        <f>IF(B369="","",Events!$AV30)</f>
        <v/>
      </c>
      <c r="N369" s="20" t="str">
        <f>IF(B369="","",Events!$AW30)</f>
        <v/>
      </c>
      <c r="O369" s="27" t="str">
        <f>IF(B369="","",Events!$AT30)</f>
        <v/>
      </c>
      <c r="P369" s="27" t="str">
        <f>IF(B369="","",Events!$AU30)</f>
        <v/>
      </c>
      <c r="Q369" s="20" t="str">
        <f t="shared" si="70"/>
        <v/>
      </c>
      <c r="R369" s="20" t="str">
        <f>IF(A369="","",IF(J369&lt;&gt;"",J369,IF(H369="TIMESTAMP",DAY(INT(M369/1440))&amp;" "&amp;INDEX(nLIST_Months,MONTH(INT(M369/1440)))&amp;" "&amp;YEAR(INT(M369/1440))&amp;" "&amp;RIGHT("0"&amp;INT(MOD(M369,1440)/60),2)&amp;":"&amp;RIGHT("0"&amp;MOD(M369,60),2)&amp;IF(L369=1," (UTC"&amp;I369&amp;")"," (offset unknown)"),IF(H369="DATE",DAY(O369)&amp;" "&amp;INDEX(nLIST_Months,MONTH(O369))&amp;" "&amp;YEAR(O369),IF(H369="MONTH",INDEX(nLIST_Months,MONTH(O369))&amp;" "&amp;YEAR(O369)&amp;" ("&amp;DAY(O369)&amp;" "&amp;INDEX(nLIST_Months,MONTH(O369))&amp;" "&amp;YEAR(O369)&amp;" to "&amp;DAY(P369)&amp;" "&amp;INDEX(nLIST_Months,MONTH(P369))&amp;" "&amp;YEAR(P369)&amp;")",IF(H369="YEAR",YEAR(O369)&amp;" (1 January to 31 December)",DAY(O369)&amp;" "&amp;INDEX(nLIST_Months,MONTH(O369))&amp;" "&amp;YEAR(O369)&amp;" to "&amp;DAY(P369)&amp;" "&amp;INDEX(nLIST_Months,MONTH(P369))&amp;" "&amp;YEAR(P369)&amp;IF(H369="LAB"," (laboratory-defined)","")))))))</f>
        <v/>
      </c>
      <c r="S369" s="20" t="str">
        <f>IF(B369="","",Events!$AG30&amp;"")</f>
        <v/>
      </c>
      <c r="T369" s="20" t="str">
        <f>IF(B369="","",Events!$AP30&amp;"")</f>
        <v/>
      </c>
      <c r="U369" s="20" t="str">
        <f>IF(B369="","","Events row "&amp;ROW(Events!$A30)&amp;", First detection")</f>
        <v/>
      </c>
      <c r="V369" s="20">
        <f>IF(A369="",0,COUNTIF(nTP_Key,A369))</f>
        <v>0</v>
      </c>
      <c r="W369" s="20">
        <f t="shared" si="71"/>
        <v>0</v>
      </c>
      <c r="X369" s="20">
        <f t="shared" si="72"/>
        <v>0</v>
      </c>
      <c r="Y369" s="20">
        <f t="shared" si="73"/>
        <v>0</v>
      </c>
      <c r="Z369" s="20">
        <f t="shared" si="74"/>
        <v>0</v>
      </c>
      <c r="AA369" s="20">
        <f t="shared" si="75"/>
        <v>365</v>
      </c>
      <c r="AB369" s="20" t="str">
        <f>""</f>
        <v/>
      </c>
      <c r="AC369" s="20" t="str">
        <f>""</f>
        <v/>
      </c>
      <c r="AD369" s="20" t="str">
        <f>IF(B369="","",Events!$E30&amp;" (first detection)")</f>
        <v/>
      </c>
      <c r="AE369" s="20">
        <f t="shared" si="76"/>
        <v>0</v>
      </c>
      <c r="AF369" s="20" t="str">
        <f t="shared" si="77"/>
        <v/>
      </c>
      <c r="AG369" s="20">
        <f t="shared" si="78"/>
        <v>0</v>
      </c>
      <c r="AH369" s="20" t="str">
        <f>""</f>
        <v/>
      </c>
    </row>
    <row r="370" spans="1:34" x14ac:dyDescent="0.2">
      <c r="A370" s="20" t="str">
        <f t="shared" si="68"/>
        <v/>
      </c>
      <c r="B370" s="20" t="str">
        <f>IF(AND(Events!$D31&lt;&gt;"",COUNTA(Events!$AH31:$AO31)&gt;0),Events!$D31&amp;"/DETECTION","")</f>
        <v/>
      </c>
      <c r="C370" s="20" t="str">
        <f t="shared" si="79"/>
        <v/>
      </c>
      <c r="D370" s="20" t="str">
        <f>IF(B370="","",Events!$A31&amp;"")</f>
        <v/>
      </c>
      <c r="E370" s="20" t="str">
        <f>IF(B370="","",Events!$B31&amp;"")</f>
        <v/>
      </c>
      <c r="F370" s="20" t="str">
        <f t="shared" si="69"/>
        <v/>
      </c>
      <c r="G370" s="20" t="str">
        <f>IF(B370="","",Events!$D31&amp;"")</f>
        <v/>
      </c>
      <c r="H370" s="20" t="str">
        <f>IF(B370="","",Events!$AH31&amp;"")</f>
        <v/>
      </c>
      <c r="I370" s="20" t="str">
        <f>IF(B370="","",Events!$AK31&amp;"")</f>
        <v/>
      </c>
      <c r="J370" s="20" t="str">
        <f>IF(B370="","",Events!$AQ31&amp;"")</f>
        <v/>
      </c>
      <c r="K370" s="20">
        <f>IF(B370="",0,Events!$AR31)</f>
        <v>0</v>
      </c>
      <c r="L370" s="20">
        <f>IF(B370="",0,Events!$AS31)</f>
        <v>0</v>
      </c>
      <c r="M370" s="20" t="str">
        <f>IF(B370="","",Events!$AV31)</f>
        <v/>
      </c>
      <c r="N370" s="20" t="str">
        <f>IF(B370="","",Events!$AW31)</f>
        <v/>
      </c>
      <c r="O370" s="27" t="str">
        <f>IF(B370="","",Events!$AT31)</f>
        <v/>
      </c>
      <c r="P370" s="27" t="str">
        <f>IF(B370="","",Events!$AU31)</f>
        <v/>
      </c>
      <c r="Q370" s="20" t="str">
        <f t="shared" si="70"/>
        <v/>
      </c>
      <c r="R370" s="20" t="str">
        <f>IF(A370="","",IF(J370&lt;&gt;"",J370,IF(H370="TIMESTAMP",DAY(INT(M370/1440))&amp;" "&amp;INDEX(nLIST_Months,MONTH(INT(M370/1440)))&amp;" "&amp;YEAR(INT(M370/1440))&amp;" "&amp;RIGHT("0"&amp;INT(MOD(M370,1440)/60),2)&amp;":"&amp;RIGHT("0"&amp;MOD(M370,60),2)&amp;IF(L370=1," (UTC"&amp;I370&amp;")"," (offset unknown)"),IF(H370="DATE",DAY(O370)&amp;" "&amp;INDEX(nLIST_Months,MONTH(O370))&amp;" "&amp;YEAR(O370),IF(H370="MONTH",INDEX(nLIST_Months,MONTH(O370))&amp;" "&amp;YEAR(O370)&amp;" ("&amp;DAY(O370)&amp;" "&amp;INDEX(nLIST_Months,MONTH(O370))&amp;" "&amp;YEAR(O370)&amp;" to "&amp;DAY(P370)&amp;" "&amp;INDEX(nLIST_Months,MONTH(P370))&amp;" "&amp;YEAR(P370)&amp;")",IF(H370="YEAR",YEAR(O370)&amp;" (1 January to 31 December)",DAY(O370)&amp;" "&amp;INDEX(nLIST_Months,MONTH(O370))&amp;" "&amp;YEAR(O370)&amp;" to "&amp;DAY(P370)&amp;" "&amp;INDEX(nLIST_Months,MONTH(P370))&amp;" "&amp;YEAR(P370)&amp;IF(H370="LAB"," (laboratory-defined)","")))))))</f>
        <v/>
      </c>
      <c r="S370" s="20" t="str">
        <f>IF(B370="","",Events!$AG31&amp;"")</f>
        <v/>
      </c>
      <c r="T370" s="20" t="str">
        <f>IF(B370="","",Events!$AP31&amp;"")</f>
        <v/>
      </c>
      <c r="U370" s="20" t="str">
        <f>IF(B370="","","Events row "&amp;ROW(Events!$A31)&amp;", First detection")</f>
        <v/>
      </c>
      <c r="V370" s="20">
        <f>IF(A370="",0,COUNTIF(nTP_Key,A370))</f>
        <v>0</v>
      </c>
      <c r="W370" s="20">
        <f t="shared" si="71"/>
        <v>0</v>
      </c>
      <c r="X370" s="20">
        <f t="shared" si="72"/>
        <v>0</v>
      </c>
      <c r="Y370" s="20">
        <f t="shared" si="73"/>
        <v>0</v>
      </c>
      <c r="Z370" s="20">
        <f t="shared" si="74"/>
        <v>0</v>
      </c>
      <c r="AA370" s="20">
        <f t="shared" si="75"/>
        <v>366</v>
      </c>
      <c r="AB370" s="20" t="str">
        <f>""</f>
        <v/>
      </c>
      <c r="AC370" s="20" t="str">
        <f>""</f>
        <v/>
      </c>
      <c r="AD370" s="20" t="str">
        <f>IF(B370="","",Events!$E31&amp;" (first detection)")</f>
        <v/>
      </c>
      <c r="AE370" s="20">
        <f t="shared" si="76"/>
        <v>0</v>
      </c>
      <c r="AF370" s="20" t="str">
        <f t="shared" si="77"/>
        <v/>
      </c>
      <c r="AG370" s="20">
        <f t="shared" si="78"/>
        <v>0</v>
      </c>
      <c r="AH370" s="20" t="str">
        <f>""</f>
        <v/>
      </c>
    </row>
    <row r="371" spans="1:34" x14ac:dyDescent="0.2">
      <c r="A371" s="20" t="str">
        <f t="shared" si="68"/>
        <v/>
      </c>
      <c r="B371" s="20" t="str">
        <f>IF(AND(Events!$D32&lt;&gt;"",COUNTA(Events!$AH32:$AO32)&gt;0),Events!$D32&amp;"/DETECTION","")</f>
        <v/>
      </c>
      <c r="C371" s="20" t="str">
        <f t="shared" si="79"/>
        <v/>
      </c>
      <c r="D371" s="20" t="str">
        <f>IF(B371="","",Events!$A32&amp;"")</f>
        <v/>
      </c>
      <c r="E371" s="20" t="str">
        <f>IF(B371="","",Events!$B32&amp;"")</f>
        <v/>
      </c>
      <c r="F371" s="20" t="str">
        <f t="shared" si="69"/>
        <v/>
      </c>
      <c r="G371" s="20" t="str">
        <f>IF(B371="","",Events!$D32&amp;"")</f>
        <v/>
      </c>
      <c r="H371" s="20" t="str">
        <f>IF(B371="","",Events!$AH32&amp;"")</f>
        <v/>
      </c>
      <c r="I371" s="20" t="str">
        <f>IF(B371="","",Events!$AK32&amp;"")</f>
        <v/>
      </c>
      <c r="J371" s="20" t="str">
        <f>IF(B371="","",Events!$AQ32&amp;"")</f>
        <v/>
      </c>
      <c r="K371" s="20">
        <f>IF(B371="",0,Events!$AR32)</f>
        <v>0</v>
      </c>
      <c r="L371" s="20">
        <f>IF(B371="",0,Events!$AS32)</f>
        <v>0</v>
      </c>
      <c r="M371" s="20" t="str">
        <f>IF(B371="","",Events!$AV32)</f>
        <v/>
      </c>
      <c r="N371" s="20" t="str">
        <f>IF(B371="","",Events!$AW32)</f>
        <v/>
      </c>
      <c r="O371" s="27" t="str">
        <f>IF(B371="","",Events!$AT32)</f>
        <v/>
      </c>
      <c r="P371" s="27" t="str">
        <f>IF(B371="","",Events!$AU32)</f>
        <v/>
      </c>
      <c r="Q371" s="20" t="str">
        <f t="shared" si="70"/>
        <v/>
      </c>
      <c r="R371" s="20" t="str">
        <f>IF(A371="","",IF(J371&lt;&gt;"",J371,IF(H371="TIMESTAMP",DAY(INT(M371/1440))&amp;" "&amp;INDEX(nLIST_Months,MONTH(INT(M371/1440)))&amp;" "&amp;YEAR(INT(M371/1440))&amp;" "&amp;RIGHT("0"&amp;INT(MOD(M371,1440)/60),2)&amp;":"&amp;RIGHT("0"&amp;MOD(M371,60),2)&amp;IF(L371=1," (UTC"&amp;I371&amp;")"," (offset unknown)"),IF(H371="DATE",DAY(O371)&amp;" "&amp;INDEX(nLIST_Months,MONTH(O371))&amp;" "&amp;YEAR(O371),IF(H371="MONTH",INDEX(nLIST_Months,MONTH(O371))&amp;" "&amp;YEAR(O371)&amp;" ("&amp;DAY(O371)&amp;" "&amp;INDEX(nLIST_Months,MONTH(O371))&amp;" "&amp;YEAR(O371)&amp;" to "&amp;DAY(P371)&amp;" "&amp;INDEX(nLIST_Months,MONTH(P371))&amp;" "&amp;YEAR(P371)&amp;")",IF(H371="YEAR",YEAR(O371)&amp;" (1 January to 31 December)",DAY(O371)&amp;" "&amp;INDEX(nLIST_Months,MONTH(O371))&amp;" "&amp;YEAR(O371)&amp;" to "&amp;DAY(P371)&amp;" "&amp;INDEX(nLIST_Months,MONTH(P371))&amp;" "&amp;YEAR(P371)&amp;IF(H371="LAB"," (laboratory-defined)","")))))))</f>
        <v/>
      </c>
      <c r="S371" s="20" t="str">
        <f>IF(B371="","",Events!$AG32&amp;"")</f>
        <v/>
      </c>
      <c r="T371" s="20" t="str">
        <f>IF(B371="","",Events!$AP32&amp;"")</f>
        <v/>
      </c>
      <c r="U371" s="20" t="str">
        <f>IF(B371="","","Events row "&amp;ROW(Events!$A32)&amp;", First detection")</f>
        <v/>
      </c>
      <c r="V371" s="20">
        <f>IF(A371="",0,COUNTIF(nTP_Key,A371))</f>
        <v>0</v>
      </c>
      <c r="W371" s="20">
        <f t="shared" si="71"/>
        <v>0</v>
      </c>
      <c r="X371" s="20">
        <f t="shared" si="72"/>
        <v>0</v>
      </c>
      <c r="Y371" s="20">
        <f t="shared" si="73"/>
        <v>0</v>
      </c>
      <c r="Z371" s="20">
        <f t="shared" si="74"/>
        <v>0</v>
      </c>
      <c r="AA371" s="20">
        <f t="shared" si="75"/>
        <v>367</v>
      </c>
      <c r="AB371" s="20" t="str">
        <f>""</f>
        <v/>
      </c>
      <c r="AC371" s="20" t="str">
        <f>""</f>
        <v/>
      </c>
      <c r="AD371" s="20" t="str">
        <f>IF(B371="","",Events!$E32&amp;" (first detection)")</f>
        <v/>
      </c>
      <c r="AE371" s="20">
        <f t="shared" si="76"/>
        <v>0</v>
      </c>
      <c r="AF371" s="20" t="str">
        <f t="shared" si="77"/>
        <v/>
      </c>
      <c r="AG371" s="20">
        <f t="shared" si="78"/>
        <v>0</v>
      </c>
      <c r="AH371" s="20" t="str">
        <f>""</f>
        <v/>
      </c>
    </row>
    <row r="372" spans="1:34" x14ac:dyDescent="0.2">
      <c r="A372" s="20" t="str">
        <f t="shared" si="68"/>
        <v/>
      </c>
      <c r="B372" s="20" t="str">
        <f>IF(AND(Events!$D33&lt;&gt;"",COUNTA(Events!$AH33:$AO33)&gt;0),Events!$D33&amp;"/DETECTION","")</f>
        <v/>
      </c>
      <c r="C372" s="20" t="str">
        <f t="shared" si="79"/>
        <v/>
      </c>
      <c r="D372" s="20" t="str">
        <f>IF(B372="","",Events!$A33&amp;"")</f>
        <v/>
      </c>
      <c r="E372" s="20" t="str">
        <f>IF(B372="","",Events!$B33&amp;"")</f>
        <v/>
      </c>
      <c r="F372" s="20" t="str">
        <f t="shared" si="69"/>
        <v/>
      </c>
      <c r="G372" s="20" t="str">
        <f>IF(B372="","",Events!$D33&amp;"")</f>
        <v/>
      </c>
      <c r="H372" s="20" t="str">
        <f>IF(B372="","",Events!$AH33&amp;"")</f>
        <v/>
      </c>
      <c r="I372" s="20" t="str">
        <f>IF(B372="","",Events!$AK33&amp;"")</f>
        <v/>
      </c>
      <c r="J372" s="20" t="str">
        <f>IF(B372="","",Events!$AQ33&amp;"")</f>
        <v/>
      </c>
      <c r="K372" s="20">
        <f>IF(B372="",0,Events!$AR33)</f>
        <v>0</v>
      </c>
      <c r="L372" s="20">
        <f>IF(B372="",0,Events!$AS33)</f>
        <v>0</v>
      </c>
      <c r="M372" s="20" t="str">
        <f>IF(B372="","",Events!$AV33)</f>
        <v/>
      </c>
      <c r="N372" s="20" t="str">
        <f>IF(B372="","",Events!$AW33)</f>
        <v/>
      </c>
      <c r="O372" s="27" t="str">
        <f>IF(B372="","",Events!$AT33)</f>
        <v/>
      </c>
      <c r="P372" s="27" t="str">
        <f>IF(B372="","",Events!$AU33)</f>
        <v/>
      </c>
      <c r="Q372" s="20" t="str">
        <f t="shared" si="70"/>
        <v/>
      </c>
      <c r="R372" s="20" t="str">
        <f>IF(A372="","",IF(J372&lt;&gt;"",J372,IF(H372="TIMESTAMP",DAY(INT(M372/1440))&amp;" "&amp;INDEX(nLIST_Months,MONTH(INT(M372/1440)))&amp;" "&amp;YEAR(INT(M372/1440))&amp;" "&amp;RIGHT("0"&amp;INT(MOD(M372,1440)/60),2)&amp;":"&amp;RIGHT("0"&amp;MOD(M372,60),2)&amp;IF(L372=1," (UTC"&amp;I372&amp;")"," (offset unknown)"),IF(H372="DATE",DAY(O372)&amp;" "&amp;INDEX(nLIST_Months,MONTH(O372))&amp;" "&amp;YEAR(O372),IF(H372="MONTH",INDEX(nLIST_Months,MONTH(O372))&amp;" "&amp;YEAR(O372)&amp;" ("&amp;DAY(O372)&amp;" "&amp;INDEX(nLIST_Months,MONTH(O372))&amp;" "&amp;YEAR(O372)&amp;" to "&amp;DAY(P372)&amp;" "&amp;INDEX(nLIST_Months,MONTH(P372))&amp;" "&amp;YEAR(P372)&amp;")",IF(H372="YEAR",YEAR(O372)&amp;" (1 January to 31 December)",DAY(O372)&amp;" "&amp;INDEX(nLIST_Months,MONTH(O372))&amp;" "&amp;YEAR(O372)&amp;" to "&amp;DAY(P372)&amp;" "&amp;INDEX(nLIST_Months,MONTH(P372))&amp;" "&amp;YEAR(P372)&amp;IF(H372="LAB"," (laboratory-defined)","")))))))</f>
        <v/>
      </c>
      <c r="S372" s="20" t="str">
        <f>IF(B372="","",Events!$AG33&amp;"")</f>
        <v/>
      </c>
      <c r="T372" s="20" t="str">
        <f>IF(B372="","",Events!$AP33&amp;"")</f>
        <v/>
      </c>
      <c r="U372" s="20" t="str">
        <f>IF(B372="","","Events row "&amp;ROW(Events!$A33)&amp;", First detection")</f>
        <v/>
      </c>
      <c r="V372" s="20">
        <f>IF(A372="",0,COUNTIF(nTP_Key,A372))</f>
        <v>0</v>
      </c>
      <c r="W372" s="20">
        <f t="shared" si="71"/>
        <v>0</v>
      </c>
      <c r="X372" s="20">
        <f t="shared" si="72"/>
        <v>0</v>
      </c>
      <c r="Y372" s="20">
        <f t="shared" si="73"/>
        <v>0</v>
      </c>
      <c r="Z372" s="20">
        <f t="shared" si="74"/>
        <v>0</v>
      </c>
      <c r="AA372" s="20">
        <f t="shared" si="75"/>
        <v>368</v>
      </c>
      <c r="AB372" s="20" t="str">
        <f>""</f>
        <v/>
      </c>
      <c r="AC372" s="20" t="str">
        <f>""</f>
        <v/>
      </c>
      <c r="AD372" s="20" t="str">
        <f>IF(B372="","",Events!$E33&amp;" (first detection)")</f>
        <v/>
      </c>
      <c r="AE372" s="20">
        <f t="shared" si="76"/>
        <v>0</v>
      </c>
      <c r="AF372" s="20" t="str">
        <f t="shared" si="77"/>
        <v/>
      </c>
      <c r="AG372" s="20">
        <f t="shared" si="78"/>
        <v>0</v>
      </c>
      <c r="AH372" s="20" t="str">
        <f>""</f>
        <v/>
      </c>
    </row>
    <row r="373" spans="1:34" x14ac:dyDescent="0.2">
      <c r="A373" s="20" t="str">
        <f t="shared" si="68"/>
        <v/>
      </c>
      <c r="B373" s="20" t="str">
        <f>IF(AND(Events!$D34&lt;&gt;"",COUNTA(Events!$AH34:$AO34)&gt;0),Events!$D34&amp;"/DETECTION","")</f>
        <v/>
      </c>
      <c r="C373" s="20" t="str">
        <f t="shared" si="79"/>
        <v/>
      </c>
      <c r="D373" s="20" t="str">
        <f>IF(B373="","",Events!$A34&amp;"")</f>
        <v/>
      </c>
      <c r="E373" s="20" t="str">
        <f>IF(B373="","",Events!$B34&amp;"")</f>
        <v/>
      </c>
      <c r="F373" s="20" t="str">
        <f t="shared" si="69"/>
        <v/>
      </c>
      <c r="G373" s="20" t="str">
        <f>IF(B373="","",Events!$D34&amp;"")</f>
        <v/>
      </c>
      <c r="H373" s="20" t="str">
        <f>IF(B373="","",Events!$AH34&amp;"")</f>
        <v/>
      </c>
      <c r="I373" s="20" t="str">
        <f>IF(B373="","",Events!$AK34&amp;"")</f>
        <v/>
      </c>
      <c r="J373" s="20" t="str">
        <f>IF(B373="","",Events!$AQ34&amp;"")</f>
        <v/>
      </c>
      <c r="K373" s="20">
        <f>IF(B373="",0,Events!$AR34)</f>
        <v>0</v>
      </c>
      <c r="L373" s="20">
        <f>IF(B373="",0,Events!$AS34)</f>
        <v>0</v>
      </c>
      <c r="M373" s="20" t="str">
        <f>IF(B373="","",Events!$AV34)</f>
        <v/>
      </c>
      <c r="N373" s="20" t="str">
        <f>IF(B373="","",Events!$AW34)</f>
        <v/>
      </c>
      <c r="O373" s="27" t="str">
        <f>IF(B373="","",Events!$AT34)</f>
        <v/>
      </c>
      <c r="P373" s="27" t="str">
        <f>IF(B373="","",Events!$AU34)</f>
        <v/>
      </c>
      <c r="Q373" s="20" t="str">
        <f t="shared" si="70"/>
        <v/>
      </c>
      <c r="R373" s="20" t="str">
        <f>IF(A373="","",IF(J373&lt;&gt;"",J373,IF(H373="TIMESTAMP",DAY(INT(M373/1440))&amp;" "&amp;INDEX(nLIST_Months,MONTH(INT(M373/1440)))&amp;" "&amp;YEAR(INT(M373/1440))&amp;" "&amp;RIGHT("0"&amp;INT(MOD(M373,1440)/60),2)&amp;":"&amp;RIGHT("0"&amp;MOD(M373,60),2)&amp;IF(L373=1," (UTC"&amp;I373&amp;")"," (offset unknown)"),IF(H373="DATE",DAY(O373)&amp;" "&amp;INDEX(nLIST_Months,MONTH(O373))&amp;" "&amp;YEAR(O373),IF(H373="MONTH",INDEX(nLIST_Months,MONTH(O373))&amp;" "&amp;YEAR(O373)&amp;" ("&amp;DAY(O373)&amp;" "&amp;INDEX(nLIST_Months,MONTH(O373))&amp;" "&amp;YEAR(O373)&amp;" to "&amp;DAY(P373)&amp;" "&amp;INDEX(nLIST_Months,MONTH(P373))&amp;" "&amp;YEAR(P373)&amp;")",IF(H373="YEAR",YEAR(O373)&amp;" (1 January to 31 December)",DAY(O373)&amp;" "&amp;INDEX(nLIST_Months,MONTH(O373))&amp;" "&amp;YEAR(O373)&amp;" to "&amp;DAY(P373)&amp;" "&amp;INDEX(nLIST_Months,MONTH(P373))&amp;" "&amp;YEAR(P373)&amp;IF(H373="LAB"," (laboratory-defined)","")))))))</f>
        <v/>
      </c>
      <c r="S373" s="20" t="str">
        <f>IF(B373="","",Events!$AG34&amp;"")</f>
        <v/>
      </c>
      <c r="T373" s="20" t="str">
        <f>IF(B373="","",Events!$AP34&amp;"")</f>
        <v/>
      </c>
      <c r="U373" s="20" t="str">
        <f>IF(B373="","","Events row "&amp;ROW(Events!$A34)&amp;", First detection")</f>
        <v/>
      </c>
      <c r="V373" s="20">
        <f>IF(A373="",0,COUNTIF(nTP_Key,A373))</f>
        <v>0</v>
      </c>
      <c r="W373" s="20">
        <f t="shared" si="71"/>
        <v>0</v>
      </c>
      <c r="X373" s="20">
        <f t="shared" si="72"/>
        <v>0</v>
      </c>
      <c r="Y373" s="20">
        <f t="shared" si="73"/>
        <v>0</v>
      </c>
      <c r="Z373" s="20">
        <f t="shared" si="74"/>
        <v>0</v>
      </c>
      <c r="AA373" s="20">
        <f t="shared" si="75"/>
        <v>369</v>
      </c>
      <c r="AB373" s="20" t="str">
        <f>""</f>
        <v/>
      </c>
      <c r="AC373" s="20" t="str">
        <f>""</f>
        <v/>
      </c>
      <c r="AD373" s="20" t="str">
        <f>IF(B373="","",Events!$E34&amp;" (first detection)")</f>
        <v/>
      </c>
      <c r="AE373" s="20">
        <f t="shared" si="76"/>
        <v>0</v>
      </c>
      <c r="AF373" s="20" t="str">
        <f t="shared" si="77"/>
        <v/>
      </c>
      <c r="AG373" s="20">
        <f t="shared" si="78"/>
        <v>0</v>
      </c>
      <c r="AH373" s="20" t="str">
        <f>""</f>
        <v/>
      </c>
    </row>
    <row r="374" spans="1:34" x14ac:dyDescent="0.2">
      <c r="A374" s="20" t="str">
        <f t="shared" si="68"/>
        <v/>
      </c>
      <c r="B374" s="20" t="str">
        <f>IF(AND(Events!$D35&lt;&gt;"",COUNTA(Events!$AH35:$AO35)&gt;0),Events!$D35&amp;"/DETECTION","")</f>
        <v/>
      </c>
      <c r="C374" s="20" t="str">
        <f t="shared" si="79"/>
        <v/>
      </c>
      <c r="D374" s="20" t="str">
        <f>IF(B374="","",Events!$A35&amp;"")</f>
        <v/>
      </c>
      <c r="E374" s="20" t="str">
        <f>IF(B374="","",Events!$B35&amp;"")</f>
        <v/>
      </c>
      <c r="F374" s="20" t="str">
        <f t="shared" si="69"/>
        <v/>
      </c>
      <c r="G374" s="20" t="str">
        <f>IF(B374="","",Events!$D35&amp;"")</f>
        <v/>
      </c>
      <c r="H374" s="20" t="str">
        <f>IF(B374="","",Events!$AH35&amp;"")</f>
        <v/>
      </c>
      <c r="I374" s="20" t="str">
        <f>IF(B374="","",Events!$AK35&amp;"")</f>
        <v/>
      </c>
      <c r="J374" s="20" t="str">
        <f>IF(B374="","",Events!$AQ35&amp;"")</f>
        <v/>
      </c>
      <c r="K374" s="20">
        <f>IF(B374="",0,Events!$AR35)</f>
        <v>0</v>
      </c>
      <c r="L374" s="20">
        <f>IF(B374="",0,Events!$AS35)</f>
        <v>0</v>
      </c>
      <c r="M374" s="20" t="str">
        <f>IF(B374="","",Events!$AV35)</f>
        <v/>
      </c>
      <c r="N374" s="20" t="str">
        <f>IF(B374="","",Events!$AW35)</f>
        <v/>
      </c>
      <c r="O374" s="27" t="str">
        <f>IF(B374="","",Events!$AT35)</f>
        <v/>
      </c>
      <c r="P374" s="27" t="str">
        <f>IF(B374="","",Events!$AU35)</f>
        <v/>
      </c>
      <c r="Q374" s="20" t="str">
        <f t="shared" si="70"/>
        <v/>
      </c>
      <c r="R374" s="20" t="str">
        <f>IF(A374="","",IF(J374&lt;&gt;"",J374,IF(H374="TIMESTAMP",DAY(INT(M374/1440))&amp;" "&amp;INDEX(nLIST_Months,MONTH(INT(M374/1440)))&amp;" "&amp;YEAR(INT(M374/1440))&amp;" "&amp;RIGHT("0"&amp;INT(MOD(M374,1440)/60),2)&amp;":"&amp;RIGHT("0"&amp;MOD(M374,60),2)&amp;IF(L374=1," (UTC"&amp;I374&amp;")"," (offset unknown)"),IF(H374="DATE",DAY(O374)&amp;" "&amp;INDEX(nLIST_Months,MONTH(O374))&amp;" "&amp;YEAR(O374),IF(H374="MONTH",INDEX(nLIST_Months,MONTH(O374))&amp;" "&amp;YEAR(O374)&amp;" ("&amp;DAY(O374)&amp;" "&amp;INDEX(nLIST_Months,MONTH(O374))&amp;" "&amp;YEAR(O374)&amp;" to "&amp;DAY(P374)&amp;" "&amp;INDEX(nLIST_Months,MONTH(P374))&amp;" "&amp;YEAR(P374)&amp;")",IF(H374="YEAR",YEAR(O374)&amp;" (1 January to 31 December)",DAY(O374)&amp;" "&amp;INDEX(nLIST_Months,MONTH(O374))&amp;" "&amp;YEAR(O374)&amp;" to "&amp;DAY(P374)&amp;" "&amp;INDEX(nLIST_Months,MONTH(P374))&amp;" "&amp;YEAR(P374)&amp;IF(H374="LAB"," (laboratory-defined)","")))))))</f>
        <v/>
      </c>
      <c r="S374" s="20" t="str">
        <f>IF(B374="","",Events!$AG35&amp;"")</f>
        <v/>
      </c>
      <c r="T374" s="20" t="str">
        <f>IF(B374="","",Events!$AP35&amp;"")</f>
        <v/>
      </c>
      <c r="U374" s="20" t="str">
        <f>IF(B374="","","Events row "&amp;ROW(Events!$A35)&amp;", First detection")</f>
        <v/>
      </c>
      <c r="V374" s="20">
        <f>IF(A374="",0,COUNTIF(nTP_Key,A374))</f>
        <v>0</v>
      </c>
      <c r="W374" s="20">
        <f t="shared" si="71"/>
        <v>0</v>
      </c>
      <c r="X374" s="20">
        <f t="shared" si="72"/>
        <v>0</v>
      </c>
      <c r="Y374" s="20">
        <f t="shared" si="73"/>
        <v>0</v>
      </c>
      <c r="Z374" s="20">
        <f t="shared" si="74"/>
        <v>0</v>
      </c>
      <c r="AA374" s="20">
        <f t="shared" si="75"/>
        <v>370</v>
      </c>
      <c r="AB374" s="20" t="str">
        <f>""</f>
        <v/>
      </c>
      <c r="AC374" s="20" t="str">
        <f>""</f>
        <v/>
      </c>
      <c r="AD374" s="20" t="str">
        <f>IF(B374="","",Events!$E35&amp;" (first detection)")</f>
        <v/>
      </c>
      <c r="AE374" s="20">
        <f t="shared" si="76"/>
        <v>0</v>
      </c>
      <c r="AF374" s="20" t="str">
        <f t="shared" si="77"/>
        <v/>
      </c>
      <c r="AG374" s="20">
        <f t="shared" si="78"/>
        <v>0</v>
      </c>
      <c r="AH374" s="20" t="str">
        <f>""</f>
        <v/>
      </c>
    </row>
    <row r="375" spans="1:34" x14ac:dyDescent="0.2">
      <c r="A375" s="20" t="str">
        <f t="shared" si="68"/>
        <v/>
      </c>
      <c r="B375" s="20" t="str">
        <f>IF(AND(Events!$D36&lt;&gt;"",COUNTA(Events!$AH36:$AO36)&gt;0),Events!$D36&amp;"/DETECTION","")</f>
        <v/>
      </c>
      <c r="C375" s="20" t="str">
        <f t="shared" si="79"/>
        <v/>
      </c>
      <c r="D375" s="20" t="str">
        <f>IF(B375="","",Events!$A36&amp;"")</f>
        <v/>
      </c>
      <c r="E375" s="20" t="str">
        <f>IF(B375="","",Events!$B36&amp;"")</f>
        <v/>
      </c>
      <c r="F375" s="20" t="str">
        <f t="shared" si="69"/>
        <v/>
      </c>
      <c r="G375" s="20" t="str">
        <f>IF(B375="","",Events!$D36&amp;"")</f>
        <v/>
      </c>
      <c r="H375" s="20" t="str">
        <f>IF(B375="","",Events!$AH36&amp;"")</f>
        <v/>
      </c>
      <c r="I375" s="20" t="str">
        <f>IF(B375="","",Events!$AK36&amp;"")</f>
        <v/>
      </c>
      <c r="J375" s="20" t="str">
        <f>IF(B375="","",Events!$AQ36&amp;"")</f>
        <v/>
      </c>
      <c r="K375" s="20">
        <f>IF(B375="",0,Events!$AR36)</f>
        <v>0</v>
      </c>
      <c r="L375" s="20">
        <f>IF(B375="",0,Events!$AS36)</f>
        <v>0</v>
      </c>
      <c r="M375" s="20" t="str">
        <f>IF(B375="","",Events!$AV36)</f>
        <v/>
      </c>
      <c r="N375" s="20" t="str">
        <f>IF(B375="","",Events!$AW36)</f>
        <v/>
      </c>
      <c r="O375" s="27" t="str">
        <f>IF(B375="","",Events!$AT36)</f>
        <v/>
      </c>
      <c r="P375" s="27" t="str">
        <f>IF(B375="","",Events!$AU36)</f>
        <v/>
      </c>
      <c r="Q375" s="20" t="str">
        <f t="shared" si="70"/>
        <v/>
      </c>
      <c r="R375" s="20" t="str">
        <f>IF(A375="","",IF(J375&lt;&gt;"",J375,IF(H375="TIMESTAMP",DAY(INT(M375/1440))&amp;" "&amp;INDEX(nLIST_Months,MONTH(INT(M375/1440)))&amp;" "&amp;YEAR(INT(M375/1440))&amp;" "&amp;RIGHT("0"&amp;INT(MOD(M375,1440)/60),2)&amp;":"&amp;RIGHT("0"&amp;MOD(M375,60),2)&amp;IF(L375=1," (UTC"&amp;I375&amp;")"," (offset unknown)"),IF(H375="DATE",DAY(O375)&amp;" "&amp;INDEX(nLIST_Months,MONTH(O375))&amp;" "&amp;YEAR(O375),IF(H375="MONTH",INDEX(nLIST_Months,MONTH(O375))&amp;" "&amp;YEAR(O375)&amp;" ("&amp;DAY(O375)&amp;" "&amp;INDEX(nLIST_Months,MONTH(O375))&amp;" "&amp;YEAR(O375)&amp;" to "&amp;DAY(P375)&amp;" "&amp;INDEX(nLIST_Months,MONTH(P375))&amp;" "&amp;YEAR(P375)&amp;")",IF(H375="YEAR",YEAR(O375)&amp;" (1 January to 31 December)",DAY(O375)&amp;" "&amp;INDEX(nLIST_Months,MONTH(O375))&amp;" "&amp;YEAR(O375)&amp;" to "&amp;DAY(P375)&amp;" "&amp;INDEX(nLIST_Months,MONTH(P375))&amp;" "&amp;YEAR(P375)&amp;IF(H375="LAB"," (laboratory-defined)","")))))))</f>
        <v/>
      </c>
      <c r="S375" s="20" t="str">
        <f>IF(B375="","",Events!$AG36&amp;"")</f>
        <v/>
      </c>
      <c r="T375" s="20" t="str">
        <f>IF(B375="","",Events!$AP36&amp;"")</f>
        <v/>
      </c>
      <c r="U375" s="20" t="str">
        <f>IF(B375="","","Events row "&amp;ROW(Events!$A36)&amp;", First detection")</f>
        <v/>
      </c>
      <c r="V375" s="20">
        <f>IF(A375="",0,COUNTIF(nTP_Key,A375))</f>
        <v>0</v>
      </c>
      <c r="W375" s="20">
        <f t="shared" si="71"/>
        <v>0</v>
      </c>
      <c r="X375" s="20">
        <f t="shared" si="72"/>
        <v>0</v>
      </c>
      <c r="Y375" s="20">
        <f t="shared" si="73"/>
        <v>0</v>
      </c>
      <c r="Z375" s="20">
        <f t="shared" si="74"/>
        <v>0</v>
      </c>
      <c r="AA375" s="20">
        <f t="shared" si="75"/>
        <v>371</v>
      </c>
      <c r="AB375" s="20" t="str">
        <f>""</f>
        <v/>
      </c>
      <c r="AC375" s="20" t="str">
        <f>""</f>
        <v/>
      </c>
      <c r="AD375" s="20" t="str">
        <f>IF(B375="","",Events!$E36&amp;" (first detection)")</f>
        <v/>
      </c>
      <c r="AE375" s="20">
        <f t="shared" si="76"/>
        <v>0</v>
      </c>
      <c r="AF375" s="20" t="str">
        <f t="shared" si="77"/>
        <v/>
      </c>
      <c r="AG375" s="20">
        <f t="shared" si="78"/>
        <v>0</v>
      </c>
      <c r="AH375" s="20" t="str">
        <f>""</f>
        <v/>
      </c>
    </row>
    <row r="376" spans="1:34" x14ac:dyDescent="0.2">
      <c r="A376" s="20" t="str">
        <f t="shared" si="68"/>
        <v/>
      </c>
      <c r="B376" s="20" t="str">
        <f>IF(AND(Events!$D37&lt;&gt;"",COUNTA(Events!$AH37:$AO37)&gt;0),Events!$D37&amp;"/DETECTION","")</f>
        <v/>
      </c>
      <c r="C376" s="20" t="str">
        <f t="shared" si="79"/>
        <v/>
      </c>
      <c r="D376" s="20" t="str">
        <f>IF(B376="","",Events!$A37&amp;"")</f>
        <v/>
      </c>
      <c r="E376" s="20" t="str">
        <f>IF(B376="","",Events!$B37&amp;"")</f>
        <v/>
      </c>
      <c r="F376" s="20" t="str">
        <f t="shared" si="69"/>
        <v/>
      </c>
      <c r="G376" s="20" t="str">
        <f>IF(B376="","",Events!$D37&amp;"")</f>
        <v/>
      </c>
      <c r="H376" s="20" t="str">
        <f>IF(B376="","",Events!$AH37&amp;"")</f>
        <v/>
      </c>
      <c r="I376" s="20" t="str">
        <f>IF(B376="","",Events!$AK37&amp;"")</f>
        <v/>
      </c>
      <c r="J376" s="20" t="str">
        <f>IF(B376="","",Events!$AQ37&amp;"")</f>
        <v/>
      </c>
      <c r="K376" s="20">
        <f>IF(B376="",0,Events!$AR37)</f>
        <v>0</v>
      </c>
      <c r="L376" s="20">
        <f>IF(B376="",0,Events!$AS37)</f>
        <v>0</v>
      </c>
      <c r="M376" s="20" t="str">
        <f>IF(B376="","",Events!$AV37)</f>
        <v/>
      </c>
      <c r="N376" s="20" t="str">
        <f>IF(B376="","",Events!$AW37)</f>
        <v/>
      </c>
      <c r="O376" s="27" t="str">
        <f>IF(B376="","",Events!$AT37)</f>
        <v/>
      </c>
      <c r="P376" s="27" t="str">
        <f>IF(B376="","",Events!$AU37)</f>
        <v/>
      </c>
      <c r="Q376" s="20" t="str">
        <f t="shared" si="70"/>
        <v/>
      </c>
      <c r="R376" s="20" t="str">
        <f>IF(A376="","",IF(J376&lt;&gt;"",J376,IF(H376="TIMESTAMP",DAY(INT(M376/1440))&amp;" "&amp;INDEX(nLIST_Months,MONTH(INT(M376/1440)))&amp;" "&amp;YEAR(INT(M376/1440))&amp;" "&amp;RIGHT("0"&amp;INT(MOD(M376,1440)/60),2)&amp;":"&amp;RIGHT("0"&amp;MOD(M376,60),2)&amp;IF(L376=1," (UTC"&amp;I376&amp;")"," (offset unknown)"),IF(H376="DATE",DAY(O376)&amp;" "&amp;INDEX(nLIST_Months,MONTH(O376))&amp;" "&amp;YEAR(O376),IF(H376="MONTH",INDEX(nLIST_Months,MONTH(O376))&amp;" "&amp;YEAR(O376)&amp;" ("&amp;DAY(O376)&amp;" "&amp;INDEX(nLIST_Months,MONTH(O376))&amp;" "&amp;YEAR(O376)&amp;" to "&amp;DAY(P376)&amp;" "&amp;INDEX(nLIST_Months,MONTH(P376))&amp;" "&amp;YEAR(P376)&amp;")",IF(H376="YEAR",YEAR(O376)&amp;" (1 January to 31 December)",DAY(O376)&amp;" "&amp;INDEX(nLIST_Months,MONTH(O376))&amp;" "&amp;YEAR(O376)&amp;" to "&amp;DAY(P376)&amp;" "&amp;INDEX(nLIST_Months,MONTH(P376))&amp;" "&amp;YEAR(P376)&amp;IF(H376="LAB"," (laboratory-defined)","")))))))</f>
        <v/>
      </c>
      <c r="S376" s="20" t="str">
        <f>IF(B376="","",Events!$AG37&amp;"")</f>
        <v/>
      </c>
      <c r="T376" s="20" t="str">
        <f>IF(B376="","",Events!$AP37&amp;"")</f>
        <v/>
      </c>
      <c r="U376" s="20" t="str">
        <f>IF(B376="","","Events row "&amp;ROW(Events!$A37)&amp;", First detection")</f>
        <v/>
      </c>
      <c r="V376" s="20">
        <f>IF(A376="",0,COUNTIF(nTP_Key,A376))</f>
        <v>0</v>
      </c>
      <c r="W376" s="20">
        <f t="shared" si="71"/>
        <v>0</v>
      </c>
      <c r="X376" s="20">
        <f t="shared" si="72"/>
        <v>0</v>
      </c>
      <c r="Y376" s="20">
        <f t="shared" si="73"/>
        <v>0</v>
      </c>
      <c r="Z376" s="20">
        <f t="shared" si="74"/>
        <v>0</v>
      </c>
      <c r="AA376" s="20">
        <f t="shared" si="75"/>
        <v>372</v>
      </c>
      <c r="AB376" s="20" t="str">
        <f>""</f>
        <v/>
      </c>
      <c r="AC376" s="20" t="str">
        <f>""</f>
        <v/>
      </c>
      <c r="AD376" s="20" t="str">
        <f>IF(B376="","",Events!$E37&amp;" (first detection)")</f>
        <v/>
      </c>
      <c r="AE376" s="20">
        <f t="shared" si="76"/>
        <v>0</v>
      </c>
      <c r="AF376" s="20" t="str">
        <f t="shared" si="77"/>
        <v/>
      </c>
      <c r="AG376" s="20">
        <f t="shared" si="78"/>
        <v>0</v>
      </c>
      <c r="AH376" s="20" t="str">
        <f>""</f>
        <v/>
      </c>
    </row>
    <row r="377" spans="1:34" x14ac:dyDescent="0.2">
      <c r="A377" s="20" t="str">
        <f t="shared" si="68"/>
        <v/>
      </c>
      <c r="B377" s="20" t="str">
        <f>IF(AND(Events!$D38&lt;&gt;"",COUNTA(Events!$AH38:$AO38)&gt;0),Events!$D38&amp;"/DETECTION","")</f>
        <v/>
      </c>
      <c r="C377" s="20" t="str">
        <f t="shared" si="79"/>
        <v/>
      </c>
      <c r="D377" s="20" t="str">
        <f>IF(B377="","",Events!$A38&amp;"")</f>
        <v/>
      </c>
      <c r="E377" s="20" t="str">
        <f>IF(B377="","",Events!$B38&amp;"")</f>
        <v/>
      </c>
      <c r="F377" s="20" t="str">
        <f t="shared" si="69"/>
        <v/>
      </c>
      <c r="G377" s="20" t="str">
        <f>IF(B377="","",Events!$D38&amp;"")</f>
        <v/>
      </c>
      <c r="H377" s="20" t="str">
        <f>IF(B377="","",Events!$AH38&amp;"")</f>
        <v/>
      </c>
      <c r="I377" s="20" t="str">
        <f>IF(B377="","",Events!$AK38&amp;"")</f>
        <v/>
      </c>
      <c r="J377" s="20" t="str">
        <f>IF(B377="","",Events!$AQ38&amp;"")</f>
        <v/>
      </c>
      <c r="K377" s="20">
        <f>IF(B377="",0,Events!$AR38)</f>
        <v>0</v>
      </c>
      <c r="L377" s="20">
        <f>IF(B377="",0,Events!$AS38)</f>
        <v>0</v>
      </c>
      <c r="M377" s="20" t="str">
        <f>IF(B377="","",Events!$AV38)</f>
        <v/>
      </c>
      <c r="N377" s="20" t="str">
        <f>IF(B377="","",Events!$AW38)</f>
        <v/>
      </c>
      <c r="O377" s="27" t="str">
        <f>IF(B377="","",Events!$AT38)</f>
        <v/>
      </c>
      <c r="P377" s="27" t="str">
        <f>IF(B377="","",Events!$AU38)</f>
        <v/>
      </c>
      <c r="Q377" s="20" t="str">
        <f t="shared" si="70"/>
        <v/>
      </c>
      <c r="R377" s="20" t="str">
        <f>IF(A377="","",IF(J377&lt;&gt;"",J377,IF(H377="TIMESTAMP",DAY(INT(M377/1440))&amp;" "&amp;INDEX(nLIST_Months,MONTH(INT(M377/1440)))&amp;" "&amp;YEAR(INT(M377/1440))&amp;" "&amp;RIGHT("0"&amp;INT(MOD(M377,1440)/60),2)&amp;":"&amp;RIGHT("0"&amp;MOD(M377,60),2)&amp;IF(L377=1," (UTC"&amp;I377&amp;")"," (offset unknown)"),IF(H377="DATE",DAY(O377)&amp;" "&amp;INDEX(nLIST_Months,MONTH(O377))&amp;" "&amp;YEAR(O377),IF(H377="MONTH",INDEX(nLIST_Months,MONTH(O377))&amp;" "&amp;YEAR(O377)&amp;" ("&amp;DAY(O377)&amp;" "&amp;INDEX(nLIST_Months,MONTH(O377))&amp;" "&amp;YEAR(O377)&amp;" to "&amp;DAY(P377)&amp;" "&amp;INDEX(nLIST_Months,MONTH(P377))&amp;" "&amp;YEAR(P377)&amp;")",IF(H377="YEAR",YEAR(O377)&amp;" (1 January to 31 December)",DAY(O377)&amp;" "&amp;INDEX(nLIST_Months,MONTH(O377))&amp;" "&amp;YEAR(O377)&amp;" to "&amp;DAY(P377)&amp;" "&amp;INDEX(nLIST_Months,MONTH(P377))&amp;" "&amp;YEAR(P377)&amp;IF(H377="LAB"," (laboratory-defined)","")))))))</f>
        <v/>
      </c>
      <c r="S377" s="20" t="str">
        <f>IF(B377="","",Events!$AG38&amp;"")</f>
        <v/>
      </c>
      <c r="T377" s="20" t="str">
        <f>IF(B377="","",Events!$AP38&amp;"")</f>
        <v/>
      </c>
      <c r="U377" s="20" t="str">
        <f>IF(B377="","","Events row "&amp;ROW(Events!$A38)&amp;", First detection")</f>
        <v/>
      </c>
      <c r="V377" s="20">
        <f>IF(A377="",0,COUNTIF(nTP_Key,A377))</f>
        <v>0</v>
      </c>
      <c r="W377" s="20">
        <f t="shared" si="71"/>
        <v>0</v>
      </c>
      <c r="X377" s="20">
        <f t="shared" si="72"/>
        <v>0</v>
      </c>
      <c r="Y377" s="20">
        <f t="shared" si="73"/>
        <v>0</v>
      </c>
      <c r="Z377" s="20">
        <f t="shared" si="74"/>
        <v>0</v>
      </c>
      <c r="AA377" s="20">
        <f t="shared" si="75"/>
        <v>373</v>
      </c>
      <c r="AB377" s="20" t="str">
        <f>""</f>
        <v/>
      </c>
      <c r="AC377" s="20" t="str">
        <f>""</f>
        <v/>
      </c>
      <c r="AD377" s="20" t="str">
        <f>IF(B377="","",Events!$E38&amp;" (first detection)")</f>
        <v/>
      </c>
      <c r="AE377" s="20">
        <f t="shared" si="76"/>
        <v>0</v>
      </c>
      <c r="AF377" s="20" t="str">
        <f t="shared" si="77"/>
        <v/>
      </c>
      <c r="AG377" s="20">
        <f t="shared" si="78"/>
        <v>0</v>
      </c>
      <c r="AH377" s="20" t="str">
        <f>""</f>
        <v/>
      </c>
    </row>
    <row r="378" spans="1:34" x14ac:dyDescent="0.2">
      <c r="A378" s="20" t="str">
        <f t="shared" si="68"/>
        <v/>
      </c>
      <c r="B378" s="20" t="str">
        <f>IF(AND(Events!$D39&lt;&gt;"",COUNTA(Events!$AH39:$AO39)&gt;0),Events!$D39&amp;"/DETECTION","")</f>
        <v/>
      </c>
      <c r="C378" s="20" t="str">
        <f t="shared" si="79"/>
        <v/>
      </c>
      <c r="D378" s="20" t="str">
        <f>IF(B378="","",Events!$A39&amp;"")</f>
        <v/>
      </c>
      <c r="E378" s="20" t="str">
        <f>IF(B378="","",Events!$B39&amp;"")</f>
        <v/>
      </c>
      <c r="F378" s="20" t="str">
        <f t="shared" si="69"/>
        <v/>
      </c>
      <c r="G378" s="20" t="str">
        <f>IF(B378="","",Events!$D39&amp;"")</f>
        <v/>
      </c>
      <c r="H378" s="20" t="str">
        <f>IF(B378="","",Events!$AH39&amp;"")</f>
        <v/>
      </c>
      <c r="I378" s="20" t="str">
        <f>IF(B378="","",Events!$AK39&amp;"")</f>
        <v/>
      </c>
      <c r="J378" s="20" t="str">
        <f>IF(B378="","",Events!$AQ39&amp;"")</f>
        <v/>
      </c>
      <c r="K378" s="20">
        <f>IF(B378="",0,Events!$AR39)</f>
        <v>0</v>
      </c>
      <c r="L378" s="20">
        <f>IF(B378="",0,Events!$AS39)</f>
        <v>0</v>
      </c>
      <c r="M378" s="20" t="str">
        <f>IF(B378="","",Events!$AV39)</f>
        <v/>
      </c>
      <c r="N378" s="20" t="str">
        <f>IF(B378="","",Events!$AW39)</f>
        <v/>
      </c>
      <c r="O378" s="27" t="str">
        <f>IF(B378="","",Events!$AT39)</f>
        <v/>
      </c>
      <c r="P378" s="27" t="str">
        <f>IF(B378="","",Events!$AU39)</f>
        <v/>
      </c>
      <c r="Q378" s="20" t="str">
        <f t="shared" si="70"/>
        <v/>
      </c>
      <c r="R378" s="20" t="str">
        <f>IF(A378="","",IF(J378&lt;&gt;"",J378,IF(H378="TIMESTAMP",DAY(INT(M378/1440))&amp;" "&amp;INDEX(nLIST_Months,MONTH(INT(M378/1440)))&amp;" "&amp;YEAR(INT(M378/1440))&amp;" "&amp;RIGHT("0"&amp;INT(MOD(M378,1440)/60),2)&amp;":"&amp;RIGHT("0"&amp;MOD(M378,60),2)&amp;IF(L378=1," (UTC"&amp;I378&amp;")"," (offset unknown)"),IF(H378="DATE",DAY(O378)&amp;" "&amp;INDEX(nLIST_Months,MONTH(O378))&amp;" "&amp;YEAR(O378),IF(H378="MONTH",INDEX(nLIST_Months,MONTH(O378))&amp;" "&amp;YEAR(O378)&amp;" ("&amp;DAY(O378)&amp;" "&amp;INDEX(nLIST_Months,MONTH(O378))&amp;" "&amp;YEAR(O378)&amp;" to "&amp;DAY(P378)&amp;" "&amp;INDEX(nLIST_Months,MONTH(P378))&amp;" "&amp;YEAR(P378)&amp;")",IF(H378="YEAR",YEAR(O378)&amp;" (1 January to 31 December)",DAY(O378)&amp;" "&amp;INDEX(nLIST_Months,MONTH(O378))&amp;" "&amp;YEAR(O378)&amp;" to "&amp;DAY(P378)&amp;" "&amp;INDEX(nLIST_Months,MONTH(P378))&amp;" "&amp;YEAR(P378)&amp;IF(H378="LAB"," (laboratory-defined)","")))))))</f>
        <v/>
      </c>
      <c r="S378" s="20" t="str">
        <f>IF(B378="","",Events!$AG39&amp;"")</f>
        <v/>
      </c>
      <c r="T378" s="20" t="str">
        <f>IF(B378="","",Events!$AP39&amp;"")</f>
        <v/>
      </c>
      <c r="U378" s="20" t="str">
        <f>IF(B378="","","Events row "&amp;ROW(Events!$A39)&amp;", First detection")</f>
        <v/>
      </c>
      <c r="V378" s="20">
        <f>IF(A378="",0,COUNTIF(nTP_Key,A378))</f>
        <v>0</v>
      </c>
      <c r="W378" s="20">
        <f t="shared" si="71"/>
        <v>0</v>
      </c>
      <c r="X378" s="20">
        <f t="shared" si="72"/>
        <v>0</v>
      </c>
      <c r="Y378" s="20">
        <f t="shared" si="73"/>
        <v>0</v>
      </c>
      <c r="Z378" s="20">
        <f t="shared" si="74"/>
        <v>0</v>
      </c>
      <c r="AA378" s="20">
        <f t="shared" si="75"/>
        <v>374</v>
      </c>
      <c r="AB378" s="20" t="str">
        <f>""</f>
        <v/>
      </c>
      <c r="AC378" s="20" t="str">
        <f>""</f>
        <v/>
      </c>
      <c r="AD378" s="20" t="str">
        <f>IF(B378="","",Events!$E39&amp;" (first detection)")</f>
        <v/>
      </c>
      <c r="AE378" s="20">
        <f t="shared" si="76"/>
        <v>0</v>
      </c>
      <c r="AF378" s="20" t="str">
        <f t="shared" si="77"/>
        <v/>
      </c>
      <c r="AG378" s="20">
        <f t="shared" si="78"/>
        <v>0</v>
      </c>
      <c r="AH378" s="20" t="str">
        <f>""</f>
        <v/>
      </c>
    </row>
    <row r="379" spans="1:34" x14ac:dyDescent="0.2">
      <c r="A379" s="20" t="str">
        <f t="shared" si="68"/>
        <v/>
      </c>
      <c r="B379" s="20" t="str">
        <f>IF(AND(Events!$D40&lt;&gt;"",COUNTA(Events!$AH40:$AO40)&gt;0),Events!$D40&amp;"/DETECTION","")</f>
        <v/>
      </c>
      <c r="C379" s="20" t="str">
        <f t="shared" si="79"/>
        <v/>
      </c>
      <c r="D379" s="20" t="str">
        <f>IF(B379="","",Events!$A40&amp;"")</f>
        <v/>
      </c>
      <c r="E379" s="20" t="str">
        <f>IF(B379="","",Events!$B40&amp;"")</f>
        <v/>
      </c>
      <c r="F379" s="20" t="str">
        <f t="shared" si="69"/>
        <v/>
      </c>
      <c r="G379" s="20" t="str">
        <f>IF(B379="","",Events!$D40&amp;"")</f>
        <v/>
      </c>
      <c r="H379" s="20" t="str">
        <f>IF(B379="","",Events!$AH40&amp;"")</f>
        <v/>
      </c>
      <c r="I379" s="20" t="str">
        <f>IF(B379="","",Events!$AK40&amp;"")</f>
        <v/>
      </c>
      <c r="J379" s="20" t="str">
        <f>IF(B379="","",Events!$AQ40&amp;"")</f>
        <v/>
      </c>
      <c r="K379" s="20">
        <f>IF(B379="",0,Events!$AR40)</f>
        <v>0</v>
      </c>
      <c r="L379" s="20">
        <f>IF(B379="",0,Events!$AS40)</f>
        <v>0</v>
      </c>
      <c r="M379" s="20" t="str">
        <f>IF(B379="","",Events!$AV40)</f>
        <v/>
      </c>
      <c r="N379" s="20" t="str">
        <f>IF(B379="","",Events!$AW40)</f>
        <v/>
      </c>
      <c r="O379" s="27" t="str">
        <f>IF(B379="","",Events!$AT40)</f>
        <v/>
      </c>
      <c r="P379" s="27" t="str">
        <f>IF(B379="","",Events!$AU40)</f>
        <v/>
      </c>
      <c r="Q379" s="20" t="str">
        <f t="shared" si="70"/>
        <v/>
      </c>
      <c r="R379" s="20" t="str">
        <f>IF(A379="","",IF(J379&lt;&gt;"",J379,IF(H379="TIMESTAMP",DAY(INT(M379/1440))&amp;" "&amp;INDEX(nLIST_Months,MONTH(INT(M379/1440)))&amp;" "&amp;YEAR(INT(M379/1440))&amp;" "&amp;RIGHT("0"&amp;INT(MOD(M379,1440)/60),2)&amp;":"&amp;RIGHT("0"&amp;MOD(M379,60),2)&amp;IF(L379=1," (UTC"&amp;I379&amp;")"," (offset unknown)"),IF(H379="DATE",DAY(O379)&amp;" "&amp;INDEX(nLIST_Months,MONTH(O379))&amp;" "&amp;YEAR(O379),IF(H379="MONTH",INDEX(nLIST_Months,MONTH(O379))&amp;" "&amp;YEAR(O379)&amp;" ("&amp;DAY(O379)&amp;" "&amp;INDEX(nLIST_Months,MONTH(O379))&amp;" "&amp;YEAR(O379)&amp;" to "&amp;DAY(P379)&amp;" "&amp;INDEX(nLIST_Months,MONTH(P379))&amp;" "&amp;YEAR(P379)&amp;")",IF(H379="YEAR",YEAR(O379)&amp;" (1 January to 31 December)",DAY(O379)&amp;" "&amp;INDEX(nLIST_Months,MONTH(O379))&amp;" "&amp;YEAR(O379)&amp;" to "&amp;DAY(P379)&amp;" "&amp;INDEX(nLIST_Months,MONTH(P379))&amp;" "&amp;YEAR(P379)&amp;IF(H379="LAB"," (laboratory-defined)","")))))))</f>
        <v/>
      </c>
      <c r="S379" s="20" t="str">
        <f>IF(B379="","",Events!$AG40&amp;"")</f>
        <v/>
      </c>
      <c r="T379" s="20" t="str">
        <f>IF(B379="","",Events!$AP40&amp;"")</f>
        <v/>
      </c>
      <c r="U379" s="20" t="str">
        <f>IF(B379="","","Events row "&amp;ROW(Events!$A40)&amp;", First detection")</f>
        <v/>
      </c>
      <c r="V379" s="20">
        <f>IF(A379="",0,COUNTIF(nTP_Key,A379))</f>
        <v>0</v>
      </c>
      <c r="W379" s="20">
        <f t="shared" si="71"/>
        <v>0</v>
      </c>
      <c r="X379" s="20">
        <f t="shared" si="72"/>
        <v>0</v>
      </c>
      <c r="Y379" s="20">
        <f t="shared" si="73"/>
        <v>0</v>
      </c>
      <c r="Z379" s="20">
        <f t="shared" si="74"/>
        <v>0</v>
      </c>
      <c r="AA379" s="20">
        <f t="shared" si="75"/>
        <v>375</v>
      </c>
      <c r="AB379" s="20" t="str">
        <f>""</f>
        <v/>
      </c>
      <c r="AC379" s="20" t="str">
        <f>""</f>
        <v/>
      </c>
      <c r="AD379" s="20" t="str">
        <f>IF(B379="","",Events!$E40&amp;" (first detection)")</f>
        <v/>
      </c>
      <c r="AE379" s="20">
        <f t="shared" si="76"/>
        <v>0</v>
      </c>
      <c r="AF379" s="20" t="str">
        <f t="shared" si="77"/>
        <v/>
      </c>
      <c r="AG379" s="20">
        <f t="shared" si="78"/>
        <v>0</v>
      </c>
      <c r="AH379" s="20" t="str">
        <f>""</f>
        <v/>
      </c>
    </row>
    <row r="380" spans="1:34" x14ac:dyDescent="0.2">
      <c r="A380" s="20" t="str">
        <f t="shared" si="68"/>
        <v/>
      </c>
      <c r="B380" s="20" t="str">
        <f>IF(AND(Events!$D41&lt;&gt;"",COUNTA(Events!$AH41:$AO41)&gt;0),Events!$D41&amp;"/DETECTION","")</f>
        <v/>
      </c>
      <c r="C380" s="20" t="str">
        <f t="shared" si="79"/>
        <v/>
      </c>
      <c r="D380" s="20" t="str">
        <f>IF(B380="","",Events!$A41&amp;"")</f>
        <v/>
      </c>
      <c r="E380" s="20" t="str">
        <f>IF(B380="","",Events!$B41&amp;"")</f>
        <v/>
      </c>
      <c r="F380" s="20" t="str">
        <f t="shared" si="69"/>
        <v/>
      </c>
      <c r="G380" s="20" t="str">
        <f>IF(B380="","",Events!$D41&amp;"")</f>
        <v/>
      </c>
      <c r="H380" s="20" t="str">
        <f>IF(B380="","",Events!$AH41&amp;"")</f>
        <v/>
      </c>
      <c r="I380" s="20" t="str">
        <f>IF(B380="","",Events!$AK41&amp;"")</f>
        <v/>
      </c>
      <c r="J380" s="20" t="str">
        <f>IF(B380="","",Events!$AQ41&amp;"")</f>
        <v/>
      </c>
      <c r="K380" s="20">
        <f>IF(B380="",0,Events!$AR41)</f>
        <v>0</v>
      </c>
      <c r="L380" s="20">
        <f>IF(B380="",0,Events!$AS41)</f>
        <v>0</v>
      </c>
      <c r="M380" s="20" t="str">
        <f>IF(B380="","",Events!$AV41)</f>
        <v/>
      </c>
      <c r="N380" s="20" t="str">
        <f>IF(B380="","",Events!$AW41)</f>
        <v/>
      </c>
      <c r="O380" s="27" t="str">
        <f>IF(B380="","",Events!$AT41)</f>
        <v/>
      </c>
      <c r="P380" s="27" t="str">
        <f>IF(B380="","",Events!$AU41)</f>
        <v/>
      </c>
      <c r="Q380" s="20" t="str">
        <f t="shared" si="70"/>
        <v/>
      </c>
      <c r="R380" s="20" t="str">
        <f>IF(A380="","",IF(J380&lt;&gt;"",J380,IF(H380="TIMESTAMP",DAY(INT(M380/1440))&amp;" "&amp;INDEX(nLIST_Months,MONTH(INT(M380/1440)))&amp;" "&amp;YEAR(INT(M380/1440))&amp;" "&amp;RIGHT("0"&amp;INT(MOD(M380,1440)/60),2)&amp;":"&amp;RIGHT("0"&amp;MOD(M380,60),2)&amp;IF(L380=1," (UTC"&amp;I380&amp;")"," (offset unknown)"),IF(H380="DATE",DAY(O380)&amp;" "&amp;INDEX(nLIST_Months,MONTH(O380))&amp;" "&amp;YEAR(O380),IF(H380="MONTH",INDEX(nLIST_Months,MONTH(O380))&amp;" "&amp;YEAR(O380)&amp;" ("&amp;DAY(O380)&amp;" "&amp;INDEX(nLIST_Months,MONTH(O380))&amp;" "&amp;YEAR(O380)&amp;" to "&amp;DAY(P380)&amp;" "&amp;INDEX(nLIST_Months,MONTH(P380))&amp;" "&amp;YEAR(P380)&amp;")",IF(H380="YEAR",YEAR(O380)&amp;" (1 January to 31 December)",DAY(O380)&amp;" "&amp;INDEX(nLIST_Months,MONTH(O380))&amp;" "&amp;YEAR(O380)&amp;" to "&amp;DAY(P380)&amp;" "&amp;INDEX(nLIST_Months,MONTH(P380))&amp;" "&amp;YEAR(P380)&amp;IF(H380="LAB"," (laboratory-defined)","")))))))</f>
        <v/>
      </c>
      <c r="S380" s="20" t="str">
        <f>IF(B380="","",Events!$AG41&amp;"")</f>
        <v/>
      </c>
      <c r="T380" s="20" t="str">
        <f>IF(B380="","",Events!$AP41&amp;"")</f>
        <v/>
      </c>
      <c r="U380" s="20" t="str">
        <f>IF(B380="","","Events row "&amp;ROW(Events!$A41)&amp;", First detection")</f>
        <v/>
      </c>
      <c r="V380" s="20">
        <f>IF(A380="",0,COUNTIF(nTP_Key,A380))</f>
        <v>0</v>
      </c>
      <c r="W380" s="20">
        <f t="shared" si="71"/>
        <v>0</v>
      </c>
      <c r="X380" s="20">
        <f t="shared" si="72"/>
        <v>0</v>
      </c>
      <c r="Y380" s="20">
        <f t="shared" si="73"/>
        <v>0</v>
      </c>
      <c r="Z380" s="20">
        <f t="shared" si="74"/>
        <v>0</v>
      </c>
      <c r="AA380" s="20">
        <f t="shared" si="75"/>
        <v>376</v>
      </c>
      <c r="AB380" s="20" t="str">
        <f>""</f>
        <v/>
      </c>
      <c r="AC380" s="20" t="str">
        <f>""</f>
        <v/>
      </c>
      <c r="AD380" s="20" t="str">
        <f>IF(B380="","",Events!$E41&amp;" (first detection)")</f>
        <v/>
      </c>
      <c r="AE380" s="20">
        <f t="shared" si="76"/>
        <v>0</v>
      </c>
      <c r="AF380" s="20" t="str">
        <f t="shared" si="77"/>
        <v/>
      </c>
      <c r="AG380" s="20">
        <f t="shared" si="78"/>
        <v>0</v>
      </c>
      <c r="AH380" s="20" t="str">
        <f>""</f>
        <v/>
      </c>
    </row>
    <row r="381" spans="1:34" x14ac:dyDescent="0.2">
      <c r="A381" s="20" t="str">
        <f t="shared" si="68"/>
        <v/>
      </c>
      <c r="B381" s="20" t="str">
        <f>IF(AND(Events!$D42&lt;&gt;"",COUNTA(Events!$AH42:$AO42)&gt;0),Events!$D42&amp;"/DETECTION","")</f>
        <v/>
      </c>
      <c r="C381" s="20" t="str">
        <f t="shared" si="79"/>
        <v/>
      </c>
      <c r="D381" s="20" t="str">
        <f>IF(B381="","",Events!$A42&amp;"")</f>
        <v/>
      </c>
      <c r="E381" s="20" t="str">
        <f>IF(B381="","",Events!$B42&amp;"")</f>
        <v/>
      </c>
      <c r="F381" s="20" t="str">
        <f t="shared" si="69"/>
        <v/>
      </c>
      <c r="G381" s="20" t="str">
        <f>IF(B381="","",Events!$D42&amp;"")</f>
        <v/>
      </c>
      <c r="H381" s="20" t="str">
        <f>IF(B381="","",Events!$AH42&amp;"")</f>
        <v/>
      </c>
      <c r="I381" s="20" t="str">
        <f>IF(B381="","",Events!$AK42&amp;"")</f>
        <v/>
      </c>
      <c r="J381" s="20" t="str">
        <f>IF(B381="","",Events!$AQ42&amp;"")</f>
        <v/>
      </c>
      <c r="K381" s="20">
        <f>IF(B381="",0,Events!$AR42)</f>
        <v>0</v>
      </c>
      <c r="L381" s="20">
        <f>IF(B381="",0,Events!$AS42)</f>
        <v>0</v>
      </c>
      <c r="M381" s="20" t="str">
        <f>IF(B381="","",Events!$AV42)</f>
        <v/>
      </c>
      <c r="N381" s="20" t="str">
        <f>IF(B381="","",Events!$AW42)</f>
        <v/>
      </c>
      <c r="O381" s="27" t="str">
        <f>IF(B381="","",Events!$AT42)</f>
        <v/>
      </c>
      <c r="P381" s="27" t="str">
        <f>IF(B381="","",Events!$AU42)</f>
        <v/>
      </c>
      <c r="Q381" s="20" t="str">
        <f t="shared" si="70"/>
        <v/>
      </c>
      <c r="R381" s="20" t="str">
        <f>IF(A381="","",IF(J381&lt;&gt;"",J381,IF(H381="TIMESTAMP",DAY(INT(M381/1440))&amp;" "&amp;INDEX(nLIST_Months,MONTH(INT(M381/1440)))&amp;" "&amp;YEAR(INT(M381/1440))&amp;" "&amp;RIGHT("0"&amp;INT(MOD(M381,1440)/60),2)&amp;":"&amp;RIGHT("0"&amp;MOD(M381,60),2)&amp;IF(L381=1," (UTC"&amp;I381&amp;")"," (offset unknown)"),IF(H381="DATE",DAY(O381)&amp;" "&amp;INDEX(nLIST_Months,MONTH(O381))&amp;" "&amp;YEAR(O381),IF(H381="MONTH",INDEX(nLIST_Months,MONTH(O381))&amp;" "&amp;YEAR(O381)&amp;" ("&amp;DAY(O381)&amp;" "&amp;INDEX(nLIST_Months,MONTH(O381))&amp;" "&amp;YEAR(O381)&amp;" to "&amp;DAY(P381)&amp;" "&amp;INDEX(nLIST_Months,MONTH(P381))&amp;" "&amp;YEAR(P381)&amp;")",IF(H381="YEAR",YEAR(O381)&amp;" (1 January to 31 December)",DAY(O381)&amp;" "&amp;INDEX(nLIST_Months,MONTH(O381))&amp;" "&amp;YEAR(O381)&amp;" to "&amp;DAY(P381)&amp;" "&amp;INDEX(nLIST_Months,MONTH(P381))&amp;" "&amp;YEAR(P381)&amp;IF(H381="LAB"," (laboratory-defined)","")))))))</f>
        <v/>
      </c>
      <c r="S381" s="20" t="str">
        <f>IF(B381="","",Events!$AG42&amp;"")</f>
        <v/>
      </c>
      <c r="T381" s="20" t="str">
        <f>IF(B381="","",Events!$AP42&amp;"")</f>
        <v/>
      </c>
      <c r="U381" s="20" t="str">
        <f>IF(B381="","","Events row "&amp;ROW(Events!$A42)&amp;", First detection")</f>
        <v/>
      </c>
      <c r="V381" s="20">
        <f>IF(A381="",0,COUNTIF(nTP_Key,A381))</f>
        <v>0</v>
      </c>
      <c r="W381" s="20">
        <f t="shared" si="71"/>
        <v>0</v>
      </c>
      <c r="X381" s="20">
        <f t="shared" si="72"/>
        <v>0</v>
      </c>
      <c r="Y381" s="20">
        <f t="shared" si="73"/>
        <v>0</v>
      </c>
      <c r="Z381" s="20">
        <f t="shared" si="74"/>
        <v>0</v>
      </c>
      <c r="AA381" s="20">
        <f t="shared" si="75"/>
        <v>377</v>
      </c>
      <c r="AB381" s="20" t="str">
        <f>""</f>
        <v/>
      </c>
      <c r="AC381" s="20" t="str">
        <f>""</f>
        <v/>
      </c>
      <c r="AD381" s="20" t="str">
        <f>IF(B381="","",Events!$E42&amp;" (first detection)")</f>
        <v/>
      </c>
      <c r="AE381" s="20">
        <f t="shared" si="76"/>
        <v>0</v>
      </c>
      <c r="AF381" s="20" t="str">
        <f t="shared" si="77"/>
        <v/>
      </c>
      <c r="AG381" s="20">
        <f t="shared" si="78"/>
        <v>0</v>
      </c>
      <c r="AH381" s="20" t="str">
        <f>""</f>
        <v/>
      </c>
    </row>
    <row r="382" spans="1:34" x14ac:dyDescent="0.2">
      <c r="A382" s="20" t="str">
        <f t="shared" si="68"/>
        <v/>
      </c>
      <c r="B382" s="20" t="str">
        <f>IF(AND(Events!$D43&lt;&gt;"",COUNTA(Events!$AH43:$AO43)&gt;0),Events!$D43&amp;"/DETECTION","")</f>
        <v/>
      </c>
      <c r="C382" s="20" t="str">
        <f t="shared" si="79"/>
        <v/>
      </c>
      <c r="D382" s="20" t="str">
        <f>IF(B382="","",Events!$A43&amp;"")</f>
        <v/>
      </c>
      <c r="E382" s="20" t="str">
        <f>IF(B382="","",Events!$B43&amp;"")</f>
        <v/>
      </c>
      <c r="F382" s="20" t="str">
        <f t="shared" si="69"/>
        <v/>
      </c>
      <c r="G382" s="20" t="str">
        <f>IF(B382="","",Events!$D43&amp;"")</f>
        <v/>
      </c>
      <c r="H382" s="20" t="str">
        <f>IF(B382="","",Events!$AH43&amp;"")</f>
        <v/>
      </c>
      <c r="I382" s="20" t="str">
        <f>IF(B382="","",Events!$AK43&amp;"")</f>
        <v/>
      </c>
      <c r="J382" s="20" t="str">
        <f>IF(B382="","",Events!$AQ43&amp;"")</f>
        <v/>
      </c>
      <c r="K382" s="20">
        <f>IF(B382="",0,Events!$AR43)</f>
        <v>0</v>
      </c>
      <c r="L382" s="20">
        <f>IF(B382="",0,Events!$AS43)</f>
        <v>0</v>
      </c>
      <c r="M382" s="20" t="str">
        <f>IF(B382="","",Events!$AV43)</f>
        <v/>
      </c>
      <c r="N382" s="20" t="str">
        <f>IF(B382="","",Events!$AW43)</f>
        <v/>
      </c>
      <c r="O382" s="27" t="str">
        <f>IF(B382="","",Events!$AT43)</f>
        <v/>
      </c>
      <c r="P382" s="27" t="str">
        <f>IF(B382="","",Events!$AU43)</f>
        <v/>
      </c>
      <c r="Q382" s="20" t="str">
        <f t="shared" si="70"/>
        <v/>
      </c>
      <c r="R382" s="20" t="str">
        <f>IF(A382="","",IF(J382&lt;&gt;"",J382,IF(H382="TIMESTAMP",DAY(INT(M382/1440))&amp;" "&amp;INDEX(nLIST_Months,MONTH(INT(M382/1440)))&amp;" "&amp;YEAR(INT(M382/1440))&amp;" "&amp;RIGHT("0"&amp;INT(MOD(M382,1440)/60),2)&amp;":"&amp;RIGHT("0"&amp;MOD(M382,60),2)&amp;IF(L382=1," (UTC"&amp;I382&amp;")"," (offset unknown)"),IF(H382="DATE",DAY(O382)&amp;" "&amp;INDEX(nLIST_Months,MONTH(O382))&amp;" "&amp;YEAR(O382),IF(H382="MONTH",INDEX(nLIST_Months,MONTH(O382))&amp;" "&amp;YEAR(O382)&amp;" ("&amp;DAY(O382)&amp;" "&amp;INDEX(nLIST_Months,MONTH(O382))&amp;" "&amp;YEAR(O382)&amp;" to "&amp;DAY(P382)&amp;" "&amp;INDEX(nLIST_Months,MONTH(P382))&amp;" "&amp;YEAR(P382)&amp;")",IF(H382="YEAR",YEAR(O382)&amp;" (1 January to 31 December)",DAY(O382)&amp;" "&amp;INDEX(nLIST_Months,MONTH(O382))&amp;" "&amp;YEAR(O382)&amp;" to "&amp;DAY(P382)&amp;" "&amp;INDEX(nLIST_Months,MONTH(P382))&amp;" "&amp;YEAR(P382)&amp;IF(H382="LAB"," (laboratory-defined)","")))))))</f>
        <v/>
      </c>
      <c r="S382" s="20" t="str">
        <f>IF(B382="","",Events!$AG43&amp;"")</f>
        <v/>
      </c>
      <c r="T382" s="20" t="str">
        <f>IF(B382="","",Events!$AP43&amp;"")</f>
        <v/>
      </c>
      <c r="U382" s="20" t="str">
        <f>IF(B382="","","Events row "&amp;ROW(Events!$A43)&amp;", First detection")</f>
        <v/>
      </c>
      <c r="V382" s="20">
        <f>IF(A382="",0,COUNTIF(nTP_Key,A382))</f>
        <v>0</v>
      </c>
      <c r="W382" s="20">
        <f t="shared" si="71"/>
        <v>0</v>
      </c>
      <c r="X382" s="20">
        <f t="shared" si="72"/>
        <v>0</v>
      </c>
      <c r="Y382" s="20">
        <f t="shared" si="73"/>
        <v>0</v>
      </c>
      <c r="Z382" s="20">
        <f t="shared" si="74"/>
        <v>0</v>
      </c>
      <c r="AA382" s="20">
        <f t="shared" si="75"/>
        <v>378</v>
      </c>
      <c r="AB382" s="20" t="str">
        <f>""</f>
        <v/>
      </c>
      <c r="AC382" s="20" t="str">
        <f>""</f>
        <v/>
      </c>
      <c r="AD382" s="20" t="str">
        <f>IF(B382="","",Events!$E43&amp;" (first detection)")</f>
        <v/>
      </c>
      <c r="AE382" s="20">
        <f t="shared" si="76"/>
        <v>0</v>
      </c>
      <c r="AF382" s="20" t="str">
        <f t="shared" si="77"/>
        <v/>
      </c>
      <c r="AG382" s="20">
        <f t="shared" si="78"/>
        <v>0</v>
      </c>
      <c r="AH382" s="20" t="str">
        <f>""</f>
        <v/>
      </c>
    </row>
    <row r="383" spans="1:34" x14ac:dyDescent="0.2">
      <c r="A383" s="20" t="str">
        <f t="shared" si="68"/>
        <v/>
      </c>
      <c r="B383" s="20" t="str">
        <f>IF(AND(Events!$D44&lt;&gt;"",COUNTA(Events!$AH44:$AO44)&gt;0),Events!$D44&amp;"/DETECTION","")</f>
        <v/>
      </c>
      <c r="C383" s="20" t="str">
        <f t="shared" si="79"/>
        <v/>
      </c>
      <c r="D383" s="20" t="str">
        <f>IF(B383="","",Events!$A44&amp;"")</f>
        <v/>
      </c>
      <c r="E383" s="20" t="str">
        <f>IF(B383="","",Events!$B44&amp;"")</f>
        <v/>
      </c>
      <c r="F383" s="20" t="str">
        <f t="shared" si="69"/>
        <v/>
      </c>
      <c r="G383" s="20" t="str">
        <f>IF(B383="","",Events!$D44&amp;"")</f>
        <v/>
      </c>
      <c r="H383" s="20" t="str">
        <f>IF(B383="","",Events!$AH44&amp;"")</f>
        <v/>
      </c>
      <c r="I383" s="20" t="str">
        <f>IF(B383="","",Events!$AK44&amp;"")</f>
        <v/>
      </c>
      <c r="J383" s="20" t="str">
        <f>IF(B383="","",Events!$AQ44&amp;"")</f>
        <v/>
      </c>
      <c r="K383" s="20">
        <f>IF(B383="",0,Events!$AR44)</f>
        <v>0</v>
      </c>
      <c r="L383" s="20">
        <f>IF(B383="",0,Events!$AS44)</f>
        <v>0</v>
      </c>
      <c r="M383" s="20" t="str">
        <f>IF(B383="","",Events!$AV44)</f>
        <v/>
      </c>
      <c r="N383" s="20" t="str">
        <f>IF(B383="","",Events!$AW44)</f>
        <v/>
      </c>
      <c r="O383" s="27" t="str">
        <f>IF(B383="","",Events!$AT44)</f>
        <v/>
      </c>
      <c r="P383" s="27" t="str">
        <f>IF(B383="","",Events!$AU44)</f>
        <v/>
      </c>
      <c r="Q383" s="20" t="str">
        <f t="shared" si="70"/>
        <v/>
      </c>
      <c r="R383" s="20" t="str">
        <f>IF(A383="","",IF(J383&lt;&gt;"",J383,IF(H383="TIMESTAMP",DAY(INT(M383/1440))&amp;" "&amp;INDEX(nLIST_Months,MONTH(INT(M383/1440)))&amp;" "&amp;YEAR(INT(M383/1440))&amp;" "&amp;RIGHT("0"&amp;INT(MOD(M383,1440)/60),2)&amp;":"&amp;RIGHT("0"&amp;MOD(M383,60),2)&amp;IF(L383=1," (UTC"&amp;I383&amp;")"," (offset unknown)"),IF(H383="DATE",DAY(O383)&amp;" "&amp;INDEX(nLIST_Months,MONTH(O383))&amp;" "&amp;YEAR(O383),IF(H383="MONTH",INDEX(nLIST_Months,MONTH(O383))&amp;" "&amp;YEAR(O383)&amp;" ("&amp;DAY(O383)&amp;" "&amp;INDEX(nLIST_Months,MONTH(O383))&amp;" "&amp;YEAR(O383)&amp;" to "&amp;DAY(P383)&amp;" "&amp;INDEX(nLIST_Months,MONTH(P383))&amp;" "&amp;YEAR(P383)&amp;")",IF(H383="YEAR",YEAR(O383)&amp;" (1 January to 31 December)",DAY(O383)&amp;" "&amp;INDEX(nLIST_Months,MONTH(O383))&amp;" "&amp;YEAR(O383)&amp;" to "&amp;DAY(P383)&amp;" "&amp;INDEX(nLIST_Months,MONTH(P383))&amp;" "&amp;YEAR(P383)&amp;IF(H383="LAB"," (laboratory-defined)","")))))))</f>
        <v/>
      </c>
      <c r="S383" s="20" t="str">
        <f>IF(B383="","",Events!$AG44&amp;"")</f>
        <v/>
      </c>
      <c r="T383" s="20" t="str">
        <f>IF(B383="","",Events!$AP44&amp;"")</f>
        <v/>
      </c>
      <c r="U383" s="20" t="str">
        <f>IF(B383="","","Events row "&amp;ROW(Events!$A44)&amp;", First detection")</f>
        <v/>
      </c>
      <c r="V383" s="20">
        <f>IF(A383="",0,COUNTIF(nTP_Key,A383))</f>
        <v>0</v>
      </c>
      <c r="W383" s="20">
        <f t="shared" si="71"/>
        <v>0</v>
      </c>
      <c r="X383" s="20">
        <f t="shared" si="72"/>
        <v>0</v>
      </c>
      <c r="Y383" s="20">
        <f t="shared" si="73"/>
        <v>0</v>
      </c>
      <c r="Z383" s="20">
        <f t="shared" si="74"/>
        <v>0</v>
      </c>
      <c r="AA383" s="20">
        <f t="shared" si="75"/>
        <v>379</v>
      </c>
      <c r="AB383" s="20" t="str">
        <f>""</f>
        <v/>
      </c>
      <c r="AC383" s="20" t="str">
        <f>""</f>
        <v/>
      </c>
      <c r="AD383" s="20" t="str">
        <f>IF(B383="","",Events!$E44&amp;" (first detection)")</f>
        <v/>
      </c>
      <c r="AE383" s="20">
        <f t="shared" si="76"/>
        <v>0</v>
      </c>
      <c r="AF383" s="20" t="str">
        <f t="shared" si="77"/>
        <v/>
      </c>
      <c r="AG383" s="20">
        <f t="shared" si="78"/>
        <v>0</v>
      </c>
      <c r="AH383" s="20" t="str">
        <f>""</f>
        <v/>
      </c>
    </row>
    <row r="384" spans="1:34" x14ac:dyDescent="0.2">
      <c r="A384" s="20" t="str">
        <f t="shared" si="68"/>
        <v/>
      </c>
      <c r="B384" s="20" t="str">
        <f>IF(AND(Events!$D45&lt;&gt;"",COUNTA(Events!$AH45:$AO45)&gt;0),Events!$D45&amp;"/DETECTION","")</f>
        <v/>
      </c>
      <c r="C384" s="20" t="str">
        <f t="shared" si="79"/>
        <v/>
      </c>
      <c r="D384" s="20" t="str">
        <f>IF(B384="","",Events!$A45&amp;"")</f>
        <v/>
      </c>
      <c r="E384" s="20" t="str">
        <f>IF(B384="","",Events!$B45&amp;"")</f>
        <v/>
      </c>
      <c r="F384" s="20" t="str">
        <f t="shared" si="69"/>
        <v/>
      </c>
      <c r="G384" s="20" t="str">
        <f>IF(B384="","",Events!$D45&amp;"")</f>
        <v/>
      </c>
      <c r="H384" s="20" t="str">
        <f>IF(B384="","",Events!$AH45&amp;"")</f>
        <v/>
      </c>
      <c r="I384" s="20" t="str">
        <f>IF(B384="","",Events!$AK45&amp;"")</f>
        <v/>
      </c>
      <c r="J384" s="20" t="str">
        <f>IF(B384="","",Events!$AQ45&amp;"")</f>
        <v/>
      </c>
      <c r="K384" s="20">
        <f>IF(B384="",0,Events!$AR45)</f>
        <v>0</v>
      </c>
      <c r="L384" s="20">
        <f>IF(B384="",0,Events!$AS45)</f>
        <v>0</v>
      </c>
      <c r="M384" s="20" t="str">
        <f>IF(B384="","",Events!$AV45)</f>
        <v/>
      </c>
      <c r="N384" s="20" t="str">
        <f>IF(B384="","",Events!$AW45)</f>
        <v/>
      </c>
      <c r="O384" s="27" t="str">
        <f>IF(B384="","",Events!$AT45)</f>
        <v/>
      </c>
      <c r="P384" s="27" t="str">
        <f>IF(B384="","",Events!$AU45)</f>
        <v/>
      </c>
      <c r="Q384" s="20" t="str">
        <f t="shared" si="70"/>
        <v/>
      </c>
      <c r="R384" s="20" t="str">
        <f>IF(A384="","",IF(J384&lt;&gt;"",J384,IF(H384="TIMESTAMP",DAY(INT(M384/1440))&amp;" "&amp;INDEX(nLIST_Months,MONTH(INT(M384/1440)))&amp;" "&amp;YEAR(INT(M384/1440))&amp;" "&amp;RIGHT("0"&amp;INT(MOD(M384,1440)/60),2)&amp;":"&amp;RIGHT("0"&amp;MOD(M384,60),2)&amp;IF(L384=1," (UTC"&amp;I384&amp;")"," (offset unknown)"),IF(H384="DATE",DAY(O384)&amp;" "&amp;INDEX(nLIST_Months,MONTH(O384))&amp;" "&amp;YEAR(O384),IF(H384="MONTH",INDEX(nLIST_Months,MONTH(O384))&amp;" "&amp;YEAR(O384)&amp;" ("&amp;DAY(O384)&amp;" "&amp;INDEX(nLIST_Months,MONTH(O384))&amp;" "&amp;YEAR(O384)&amp;" to "&amp;DAY(P384)&amp;" "&amp;INDEX(nLIST_Months,MONTH(P384))&amp;" "&amp;YEAR(P384)&amp;")",IF(H384="YEAR",YEAR(O384)&amp;" (1 January to 31 December)",DAY(O384)&amp;" "&amp;INDEX(nLIST_Months,MONTH(O384))&amp;" "&amp;YEAR(O384)&amp;" to "&amp;DAY(P384)&amp;" "&amp;INDEX(nLIST_Months,MONTH(P384))&amp;" "&amp;YEAR(P384)&amp;IF(H384="LAB"," (laboratory-defined)","")))))))</f>
        <v/>
      </c>
      <c r="S384" s="20" t="str">
        <f>IF(B384="","",Events!$AG45&amp;"")</f>
        <v/>
      </c>
      <c r="T384" s="20" t="str">
        <f>IF(B384="","",Events!$AP45&amp;"")</f>
        <v/>
      </c>
      <c r="U384" s="20" t="str">
        <f>IF(B384="","","Events row "&amp;ROW(Events!$A45)&amp;", First detection")</f>
        <v/>
      </c>
      <c r="V384" s="20">
        <f>IF(A384="",0,COUNTIF(nTP_Key,A384))</f>
        <v>0</v>
      </c>
      <c r="W384" s="20">
        <f t="shared" si="71"/>
        <v>0</v>
      </c>
      <c r="X384" s="20">
        <f t="shared" si="72"/>
        <v>0</v>
      </c>
      <c r="Y384" s="20">
        <f t="shared" si="73"/>
        <v>0</v>
      </c>
      <c r="Z384" s="20">
        <f t="shared" si="74"/>
        <v>0</v>
      </c>
      <c r="AA384" s="20">
        <f t="shared" si="75"/>
        <v>380</v>
      </c>
      <c r="AB384" s="20" t="str">
        <f>""</f>
        <v/>
      </c>
      <c r="AC384" s="20" t="str">
        <f>""</f>
        <v/>
      </c>
      <c r="AD384" s="20" t="str">
        <f>IF(B384="","",Events!$E45&amp;" (first detection)")</f>
        <v/>
      </c>
      <c r="AE384" s="20">
        <f t="shared" si="76"/>
        <v>0</v>
      </c>
      <c r="AF384" s="20" t="str">
        <f t="shared" si="77"/>
        <v/>
      </c>
      <c r="AG384" s="20">
        <f t="shared" si="78"/>
        <v>0</v>
      </c>
      <c r="AH384" s="20" t="str">
        <f>""</f>
        <v/>
      </c>
    </row>
    <row r="385" spans="1:34" x14ac:dyDescent="0.2">
      <c r="A385" s="20" t="str">
        <f t="shared" si="68"/>
        <v/>
      </c>
      <c r="B385" s="20" t="str">
        <f>IF(AND(Events!$D46&lt;&gt;"",COUNTA(Events!$AH46:$AO46)&gt;0),Events!$D46&amp;"/DETECTION","")</f>
        <v/>
      </c>
      <c r="C385" s="20" t="str">
        <f t="shared" si="79"/>
        <v/>
      </c>
      <c r="D385" s="20" t="str">
        <f>IF(B385="","",Events!$A46&amp;"")</f>
        <v/>
      </c>
      <c r="E385" s="20" t="str">
        <f>IF(B385="","",Events!$B46&amp;"")</f>
        <v/>
      </c>
      <c r="F385" s="20" t="str">
        <f t="shared" si="69"/>
        <v/>
      </c>
      <c r="G385" s="20" t="str">
        <f>IF(B385="","",Events!$D46&amp;"")</f>
        <v/>
      </c>
      <c r="H385" s="20" t="str">
        <f>IF(B385="","",Events!$AH46&amp;"")</f>
        <v/>
      </c>
      <c r="I385" s="20" t="str">
        <f>IF(B385="","",Events!$AK46&amp;"")</f>
        <v/>
      </c>
      <c r="J385" s="20" t="str">
        <f>IF(B385="","",Events!$AQ46&amp;"")</f>
        <v/>
      </c>
      <c r="K385" s="20">
        <f>IF(B385="",0,Events!$AR46)</f>
        <v>0</v>
      </c>
      <c r="L385" s="20">
        <f>IF(B385="",0,Events!$AS46)</f>
        <v>0</v>
      </c>
      <c r="M385" s="20" t="str">
        <f>IF(B385="","",Events!$AV46)</f>
        <v/>
      </c>
      <c r="N385" s="20" t="str">
        <f>IF(B385="","",Events!$AW46)</f>
        <v/>
      </c>
      <c r="O385" s="27" t="str">
        <f>IF(B385="","",Events!$AT46)</f>
        <v/>
      </c>
      <c r="P385" s="27" t="str">
        <f>IF(B385="","",Events!$AU46)</f>
        <v/>
      </c>
      <c r="Q385" s="20" t="str">
        <f t="shared" si="70"/>
        <v/>
      </c>
      <c r="R385" s="20" t="str">
        <f>IF(A385="","",IF(J385&lt;&gt;"",J385,IF(H385="TIMESTAMP",DAY(INT(M385/1440))&amp;" "&amp;INDEX(nLIST_Months,MONTH(INT(M385/1440)))&amp;" "&amp;YEAR(INT(M385/1440))&amp;" "&amp;RIGHT("0"&amp;INT(MOD(M385,1440)/60),2)&amp;":"&amp;RIGHT("0"&amp;MOD(M385,60),2)&amp;IF(L385=1," (UTC"&amp;I385&amp;")"," (offset unknown)"),IF(H385="DATE",DAY(O385)&amp;" "&amp;INDEX(nLIST_Months,MONTH(O385))&amp;" "&amp;YEAR(O385),IF(H385="MONTH",INDEX(nLIST_Months,MONTH(O385))&amp;" "&amp;YEAR(O385)&amp;" ("&amp;DAY(O385)&amp;" "&amp;INDEX(nLIST_Months,MONTH(O385))&amp;" "&amp;YEAR(O385)&amp;" to "&amp;DAY(P385)&amp;" "&amp;INDEX(nLIST_Months,MONTH(P385))&amp;" "&amp;YEAR(P385)&amp;")",IF(H385="YEAR",YEAR(O385)&amp;" (1 January to 31 December)",DAY(O385)&amp;" "&amp;INDEX(nLIST_Months,MONTH(O385))&amp;" "&amp;YEAR(O385)&amp;" to "&amp;DAY(P385)&amp;" "&amp;INDEX(nLIST_Months,MONTH(P385))&amp;" "&amp;YEAR(P385)&amp;IF(H385="LAB"," (laboratory-defined)","")))))))</f>
        <v/>
      </c>
      <c r="S385" s="20" t="str">
        <f>IF(B385="","",Events!$AG46&amp;"")</f>
        <v/>
      </c>
      <c r="T385" s="20" t="str">
        <f>IF(B385="","",Events!$AP46&amp;"")</f>
        <v/>
      </c>
      <c r="U385" s="20" t="str">
        <f>IF(B385="","","Events row "&amp;ROW(Events!$A46)&amp;", First detection")</f>
        <v/>
      </c>
      <c r="V385" s="20">
        <f>IF(A385="",0,COUNTIF(nTP_Key,A385))</f>
        <v>0</v>
      </c>
      <c r="W385" s="20">
        <f t="shared" si="71"/>
        <v>0</v>
      </c>
      <c r="X385" s="20">
        <f t="shared" si="72"/>
        <v>0</v>
      </c>
      <c r="Y385" s="20">
        <f t="shared" si="73"/>
        <v>0</v>
      </c>
      <c r="Z385" s="20">
        <f t="shared" si="74"/>
        <v>0</v>
      </c>
      <c r="AA385" s="20">
        <f t="shared" si="75"/>
        <v>381</v>
      </c>
      <c r="AB385" s="20" t="str">
        <f>""</f>
        <v/>
      </c>
      <c r="AC385" s="20" t="str">
        <f>""</f>
        <v/>
      </c>
      <c r="AD385" s="20" t="str">
        <f>IF(B385="","",Events!$E46&amp;" (first detection)")</f>
        <v/>
      </c>
      <c r="AE385" s="20">
        <f t="shared" si="76"/>
        <v>0</v>
      </c>
      <c r="AF385" s="20" t="str">
        <f t="shared" si="77"/>
        <v/>
      </c>
      <c r="AG385" s="20">
        <f t="shared" si="78"/>
        <v>0</v>
      </c>
      <c r="AH385" s="20" t="str">
        <f>""</f>
        <v/>
      </c>
    </row>
    <row r="386" spans="1:34" x14ac:dyDescent="0.2">
      <c r="A386" s="20" t="str">
        <f t="shared" si="68"/>
        <v/>
      </c>
      <c r="B386" s="20" t="str">
        <f>IF(AND(Events!$D47&lt;&gt;"",COUNTA(Events!$AH47:$AO47)&gt;0),Events!$D47&amp;"/DETECTION","")</f>
        <v/>
      </c>
      <c r="C386" s="20" t="str">
        <f t="shared" si="79"/>
        <v/>
      </c>
      <c r="D386" s="20" t="str">
        <f>IF(B386="","",Events!$A47&amp;"")</f>
        <v/>
      </c>
      <c r="E386" s="20" t="str">
        <f>IF(B386="","",Events!$B47&amp;"")</f>
        <v/>
      </c>
      <c r="F386" s="20" t="str">
        <f t="shared" si="69"/>
        <v/>
      </c>
      <c r="G386" s="20" t="str">
        <f>IF(B386="","",Events!$D47&amp;"")</f>
        <v/>
      </c>
      <c r="H386" s="20" t="str">
        <f>IF(B386="","",Events!$AH47&amp;"")</f>
        <v/>
      </c>
      <c r="I386" s="20" t="str">
        <f>IF(B386="","",Events!$AK47&amp;"")</f>
        <v/>
      </c>
      <c r="J386" s="20" t="str">
        <f>IF(B386="","",Events!$AQ47&amp;"")</f>
        <v/>
      </c>
      <c r="K386" s="20">
        <f>IF(B386="",0,Events!$AR47)</f>
        <v>0</v>
      </c>
      <c r="L386" s="20">
        <f>IF(B386="",0,Events!$AS47)</f>
        <v>0</v>
      </c>
      <c r="M386" s="20" t="str">
        <f>IF(B386="","",Events!$AV47)</f>
        <v/>
      </c>
      <c r="N386" s="20" t="str">
        <f>IF(B386="","",Events!$AW47)</f>
        <v/>
      </c>
      <c r="O386" s="27" t="str">
        <f>IF(B386="","",Events!$AT47)</f>
        <v/>
      </c>
      <c r="P386" s="27" t="str">
        <f>IF(B386="","",Events!$AU47)</f>
        <v/>
      </c>
      <c r="Q386" s="20" t="str">
        <f t="shared" si="70"/>
        <v/>
      </c>
      <c r="R386" s="20" t="str">
        <f>IF(A386="","",IF(J386&lt;&gt;"",J386,IF(H386="TIMESTAMP",DAY(INT(M386/1440))&amp;" "&amp;INDEX(nLIST_Months,MONTH(INT(M386/1440)))&amp;" "&amp;YEAR(INT(M386/1440))&amp;" "&amp;RIGHT("0"&amp;INT(MOD(M386,1440)/60),2)&amp;":"&amp;RIGHT("0"&amp;MOD(M386,60),2)&amp;IF(L386=1," (UTC"&amp;I386&amp;")"," (offset unknown)"),IF(H386="DATE",DAY(O386)&amp;" "&amp;INDEX(nLIST_Months,MONTH(O386))&amp;" "&amp;YEAR(O386),IF(H386="MONTH",INDEX(nLIST_Months,MONTH(O386))&amp;" "&amp;YEAR(O386)&amp;" ("&amp;DAY(O386)&amp;" "&amp;INDEX(nLIST_Months,MONTH(O386))&amp;" "&amp;YEAR(O386)&amp;" to "&amp;DAY(P386)&amp;" "&amp;INDEX(nLIST_Months,MONTH(P386))&amp;" "&amp;YEAR(P386)&amp;")",IF(H386="YEAR",YEAR(O386)&amp;" (1 January to 31 December)",DAY(O386)&amp;" "&amp;INDEX(nLIST_Months,MONTH(O386))&amp;" "&amp;YEAR(O386)&amp;" to "&amp;DAY(P386)&amp;" "&amp;INDEX(nLIST_Months,MONTH(P386))&amp;" "&amp;YEAR(P386)&amp;IF(H386="LAB"," (laboratory-defined)","")))))))</f>
        <v/>
      </c>
      <c r="S386" s="20" t="str">
        <f>IF(B386="","",Events!$AG47&amp;"")</f>
        <v/>
      </c>
      <c r="T386" s="20" t="str">
        <f>IF(B386="","",Events!$AP47&amp;"")</f>
        <v/>
      </c>
      <c r="U386" s="20" t="str">
        <f>IF(B386="","","Events row "&amp;ROW(Events!$A47)&amp;", First detection")</f>
        <v/>
      </c>
      <c r="V386" s="20">
        <f>IF(A386="",0,COUNTIF(nTP_Key,A386))</f>
        <v>0</v>
      </c>
      <c r="W386" s="20">
        <f t="shared" si="71"/>
        <v>0</v>
      </c>
      <c r="X386" s="20">
        <f t="shared" si="72"/>
        <v>0</v>
      </c>
      <c r="Y386" s="20">
        <f t="shared" si="73"/>
        <v>0</v>
      </c>
      <c r="Z386" s="20">
        <f t="shared" si="74"/>
        <v>0</v>
      </c>
      <c r="AA386" s="20">
        <f t="shared" si="75"/>
        <v>382</v>
      </c>
      <c r="AB386" s="20" t="str">
        <f>""</f>
        <v/>
      </c>
      <c r="AC386" s="20" t="str">
        <f>""</f>
        <v/>
      </c>
      <c r="AD386" s="20" t="str">
        <f>IF(B386="","",Events!$E47&amp;" (first detection)")</f>
        <v/>
      </c>
      <c r="AE386" s="20">
        <f t="shared" si="76"/>
        <v>0</v>
      </c>
      <c r="AF386" s="20" t="str">
        <f t="shared" si="77"/>
        <v/>
      </c>
      <c r="AG386" s="20">
        <f t="shared" si="78"/>
        <v>0</v>
      </c>
      <c r="AH386" s="20" t="str">
        <f>""</f>
        <v/>
      </c>
    </row>
    <row r="387" spans="1:34" x14ac:dyDescent="0.2">
      <c r="A387" s="20" t="str">
        <f t="shared" si="68"/>
        <v/>
      </c>
      <c r="B387" s="20" t="str">
        <f>IF(AND(Events!$D48&lt;&gt;"",COUNTA(Events!$AH48:$AO48)&gt;0),Events!$D48&amp;"/DETECTION","")</f>
        <v/>
      </c>
      <c r="C387" s="20" t="str">
        <f t="shared" si="79"/>
        <v/>
      </c>
      <c r="D387" s="20" t="str">
        <f>IF(B387="","",Events!$A48&amp;"")</f>
        <v/>
      </c>
      <c r="E387" s="20" t="str">
        <f>IF(B387="","",Events!$B48&amp;"")</f>
        <v/>
      </c>
      <c r="F387" s="20" t="str">
        <f t="shared" si="69"/>
        <v/>
      </c>
      <c r="G387" s="20" t="str">
        <f>IF(B387="","",Events!$D48&amp;"")</f>
        <v/>
      </c>
      <c r="H387" s="20" t="str">
        <f>IF(B387="","",Events!$AH48&amp;"")</f>
        <v/>
      </c>
      <c r="I387" s="20" t="str">
        <f>IF(B387="","",Events!$AK48&amp;"")</f>
        <v/>
      </c>
      <c r="J387" s="20" t="str">
        <f>IF(B387="","",Events!$AQ48&amp;"")</f>
        <v/>
      </c>
      <c r="K387" s="20">
        <f>IF(B387="",0,Events!$AR48)</f>
        <v>0</v>
      </c>
      <c r="L387" s="20">
        <f>IF(B387="",0,Events!$AS48)</f>
        <v>0</v>
      </c>
      <c r="M387" s="20" t="str">
        <f>IF(B387="","",Events!$AV48)</f>
        <v/>
      </c>
      <c r="N387" s="20" t="str">
        <f>IF(B387="","",Events!$AW48)</f>
        <v/>
      </c>
      <c r="O387" s="27" t="str">
        <f>IF(B387="","",Events!$AT48)</f>
        <v/>
      </c>
      <c r="P387" s="27" t="str">
        <f>IF(B387="","",Events!$AU48)</f>
        <v/>
      </c>
      <c r="Q387" s="20" t="str">
        <f t="shared" si="70"/>
        <v/>
      </c>
      <c r="R387" s="20" t="str">
        <f>IF(A387="","",IF(J387&lt;&gt;"",J387,IF(H387="TIMESTAMP",DAY(INT(M387/1440))&amp;" "&amp;INDEX(nLIST_Months,MONTH(INT(M387/1440)))&amp;" "&amp;YEAR(INT(M387/1440))&amp;" "&amp;RIGHT("0"&amp;INT(MOD(M387,1440)/60),2)&amp;":"&amp;RIGHT("0"&amp;MOD(M387,60),2)&amp;IF(L387=1," (UTC"&amp;I387&amp;")"," (offset unknown)"),IF(H387="DATE",DAY(O387)&amp;" "&amp;INDEX(nLIST_Months,MONTH(O387))&amp;" "&amp;YEAR(O387),IF(H387="MONTH",INDEX(nLIST_Months,MONTH(O387))&amp;" "&amp;YEAR(O387)&amp;" ("&amp;DAY(O387)&amp;" "&amp;INDEX(nLIST_Months,MONTH(O387))&amp;" "&amp;YEAR(O387)&amp;" to "&amp;DAY(P387)&amp;" "&amp;INDEX(nLIST_Months,MONTH(P387))&amp;" "&amp;YEAR(P387)&amp;")",IF(H387="YEAR",YEAR(O387)&amp;" (1 January to 31 December)",DAY(O387)&amp;" "&amp;INDEX(nLIST_Months,MONTH(O387))&amp;" "&amp;YEAR(O387)&amp;" to "&amp;DAY(P387)&amp;" "&amp;INDEX(nLIST_Months,MONTH(P387))&amp;" "&amp;YEAR(P387)&amp;IF(H387="LAB"," (laboratory-defined)","")))))))</f>
        <v/>
      </c>
      <c r="S387" s="20" t="str">
        <f>IF(B387="","",Events!$AG48&amp;"")</f>
        <v/>
      </c>
      <c r="T387" s="20" t="str">
        <f>IF(B387="","",Events!$AP48&amp;"")</f>
        <v/>
      </c>
      <c r="U387" s="20" t="str">
        <f>IF(B387="","","Events row "&amp;ROW(Events!$A48)&amp;", First detection")</f>
        <v/>
      </c>
      <c r="V387" s="20">
        <f>IF(A387="",0,COUNTIF(nTP_Key,A387))</f>
        <v>0</v>
      </c>
      <c r="W387" s="20">
        <f t="shared" si="71"/>
        <v>0</v>
      </c>
      <c r="X387" s="20">
        <f t="shared" si="72"/>
        <v>0</v>
      </c>
      <c r="Y387" s="20">
        <f t="shared" si="73"/>
        <v>0</v>
      </c>
      <c r="Z387" s="20">
        <f t="shared" si="74"/>
        <v>0</v>
      </c>
      <c r="AA387" s="20">
        <f t="shared" si="75"/>
        <v>383</v>
      </c>
      <c r="AB387" s="20" t="str">
        <f>""</f>
        <v/>
      </c>
      <c r="AC387" s="20" t="str">
        <f>""</f>
        <v/>
      </c>
      <c r="AD387" s="20" t="str">
        <f>IF(B387="","",Events!$E48&amp;" (first detection)")</f>
        <v/>
      </c>
      <c r="AE387" s="20">
        <f t="shared" si="76"/>
        <v>0</v>
      </c>
      <c r="AF387" s="20" t="str">
        <f t="shared" si="77"/>
        <v/>
      </c>
      <c r="AG387" s="20">
        <f t="shared" si="78"/>
        <v>0</v>
      </c>
      <c r="AH387" s="20" t="str">
        <f>""</f>
        <v/>
      </c>
    </row>
    <row r="388" spans="1:34" x14ac:dyDescent="0.2">
      <c r="A388" s="20" t="str">
        <f t="shared" si="68"/>
        <v/>
      </c>
      <c r="B388" s="20" t="str">
        <f>IF(AND(Milestones!$C5&lt;&gt;"",COUNTA(Milestones!$M5:$T5)&gt;0),Milestones!$C5&amp;"","")</f>
        <v/>
      </c>
      <c r="C388" s="20" t="str">
        <f>IF(B388="","","MILESTONE:"&amp;Milestones!$D5)</f>
        <v/>
      </c>
      <c r="D388" s="20" t="str">
        <f>IF(B388="","",Milestones!$A5&amp;"")</f>
        <v/>
      </c>
      <c r="E388" s="20" t="str">
        <f>IF(B388="","",Milestones!$B5&amp;"")</f>
        <v/>
      </c>
      <c r="F388" s="20" t="str">
        <f t="shared" si="69"/>
        <v/>
      </c>
      <c r="G388" s="20" t="str">
        <f>IF(B388="","",Milestones!$E5&amp;"")</f>
        <v/>
      </c>
      <c r="H388" s="20" t="str">
        <f>IF(B388="","",Milestones!$M5&amp;"")</f>
        <v/>
      </c>
      <c r="I388" s="20" t="str">
        <f>IF(B388="","",Milestones!$P5&amp;"")</f>
        <v/>
      </c>
      <c r="J388" s="20" t="str">
        <f>IF(B388="","",Milestones!$V5&amp;"")</f>
        <v/>
      </c>
      <c r="K388" s="20">
        <f>IF(B388="",0,Milestones!$W5)</f>
        <v>0</v>
      </c>
      <c r="L388" s="20">
        <f>IF(B388="",0,Milestones!$X5)</f>
        <v>0</v>
      </c>
      <c r="M388" s="20" t="str">
        <f>IF(B388="","",Milestones!$AA5)</f>
        <v/>
      </c>
      <c r="N388" s="20" t="str">
        <f>IF(B388="","",Milestones!$AB5)</f>
        <v/>
      </c>
      <c r="O388" s="27" t="str">
        <f>IF(B388="","",Milestones!$Y5)</f>
        <v/>
      </c>
      <c r="P388" s="27" t="str">
        <f>IF(B388="","",Milestones!$Z5)</f>
        <v/>
      </c>
      <c r="Q388" s="20" t="str">
        <f t="shared" si="70"/>
        <v/>
      </c>
      <c r="R388" s="20" t="str">
        <f>IF(A388="","",IF(J388&lt;&gt;"",J388,IF(H388="TIMESTAMP",DAY(INT(M388/1440))&amp;" "&amp;INDEX(nLIST_Months,MONTH(INT(M388/1440)))&amp;" "&amp;YEAR(INT(M388/1440))&amp;" "&amp;RIGHT("0"&amp;INT(MOD(M388,1440)/60),2)&amp;":"&amp;RIGHT("0"&amp;MOD(M388,60),2)&amp;IF(L388=1," (UTC"&amp;I388&amp;")"," (offset unknown)"),IF(H388="DATE",DAY(O388)&amp;" "&amp;INDEX(nLIST_Months,MONTH(O388))&amp;" "&amp;YEAR(O388),IF(H388="MONTH",INDEX(nLIST_Months,MONTH(O388))&amp;" "&amp;YEAR(O388)&amp;" ("&amp;DAY(O388)&amp;" "&amp;INDEX(nLIST_Months,MONTH(O388))&amp;" "&amp;YEAR(O388)&amp;" to "&amp;DAY(P388)&amp;" "&amp;INDEX(nLIST_Months,MONTH(P388))&amp;" "&amp;YEAR(P388)&amp;")",IF(H388="YEAR",YEAR(O388)&amp;" (1 January to 31 December)",DAY(O388)&amp;" "&amp;INDEX(nLIST_Months,MONTH(O388))&amp;" "&amp;YEAR(O388)&amp;" to "&amp;DAY(P388)&amp;" "&amp;INDEX(nLIST_Months,MONTH(P388))&amp;" "&amp;YEAR(P388)&amp;IF(H388="LAB"," (laboratory-defined)","")))))))</f>
        <v/>
      </c>
      <c r="S388" s="20" t="str">
        <f>IF(B388="","",Milestones!$L5&amp;"")</f>
        <v/>
      </c>
      <c r="T388" s="20" t="str">
        <f>IF(B388="","",Milestones!$U5&amp;"")</f>
        <v/>
      </c>
      <c r="U388" s="20" t="str">
        <f>IF(B388="","","Milestones row "&amp;ROW(Milestones!$A5)&amp;", Milestone")</f>
        <v/>
      </c>
      <c r="V388" s="20">
        <f>IF(A388="",0,COUNTIF(nTP_Key,A388))</f>
        <v>0</v>
      </c>
      <c r="W388" s="20">
        <f t="shared" si="71"/>
        <v>0</v>
      </c>
      <c r="X388" s="20">
        <f t="shared" si="72"/>
        <v>0</v>
      </c>
      <c r="Y388" s="20">
        <f t="shared" si="73"/>
        <v>0</v>
      </c>
      <c r="Z388" s="20">
        <f t="shared" si="74"/>
        <v>0</v>
      </c>
      <c r="AA388" s="20">
        <f t="shared" si="75"/>
        <v>384</v>
      </c>
      <c r="AB388" s="20" t="str">
        <f>""</f>
        <v/>
      </c>
      <c r="AC388" s="20" t="str">
        <f>""</f>
        <v/>
      </c>
      <c r="AD388" s="20" t="str">
        <f>IF(B388="","",Milestones!$F5&amp;"")</f>
        <v/>
      </c>
      <c r="AE388" s="20">
        <f t="shared" si="76"/>
        <v>0</v>
      </c>
      <c r="AF388" s="20" t="str">
        <f t="shared" si="77"/>
        <v/>
      </c>
      <c r="AG388" s="20">
        <f t="shared" si="78"/>
        <v>0</v>
      </c>
      <c r="AH388" s="20" t="str">
        <f>""</f>
        <v/>
      </c>
    </row>
    <row r="389" spans="1:34" x14ac:dyDescent="0.2">
      <c r="A389" s="20" t="str">
        <f t="shared" ref="A389:A452" si="80">IF(B389="","",F389&amp;"|"&amp;B389)</f>
        <v/>
      </c>
      <c r="B389" s="20" t="str">
        <f>IF(AND(Milestones!$C6&lt;&gt;"",COUNTA(Milestones!$M6:$T6)&gt;0),Milestones!$C6&amp;"","")</f>
        <v/>
      </c>
      <c r="C389" s="20" t="str">
        <f>IF(B389="","","MILESTONE:"&amp;Milestones!$D6)</f>
        <v/>
      </c>
      <c r="D389" s="20" t="str">
        <f>IF(B389="","",Milestones!$A6&amp;"")</f>
        <v/>
      </c>
      <c r="E389" s="20" t="str">
        <f>IF(B389="","",Milestones!$B6&amp;"")</f>
        <v/>
      </c>
      <c r="F389" s="20" t="str">
        <f t="shared" ref="F389:F452" si="81">IF(B389="","",D389&amp;"|"&amp;E389)</f>
        <v/>
      </c>
      <c r="G389" s="20" t="str">
        <f>IF(B389="","",Milestones!$E6&amp;"")</f>
        <v/>
      </c>
      <c r="H389" s="20" t="str">
        <f>IF(B389="","",Milestones!$M6&amp;"")</f>
        <v/>
      </c>
      <c r="I389" s="20" t="str">
        <f>IF(B389="","",Milestones!$P6&amp;"")</f>
        <v/>
      </c>
      <c r="J389" s="20" t="str">
        <f>IF(B389="","",Milestones!$V6&amp;"")</f>
        <v/>
      </c>
      <c r="K389" s="20">
        <f>IF(B389="",0,Milestones!$W6)</f>
        <v>0</v>
      </c>
      <c r="L389" s="20">
        <f>IF(B389="",0,Milestones!$X6)</f>
        <v>0</v>
      </c>
      <c r="M389" s="20" t="str">
        <f>IF(B389="","",Milestones!$AA6)</f>
        <v/>
      </c>
      <c r="N389" s="20" t="str">
        <f>IF(B389="","",Milestones!$AB6)</f>
        <v/>
      </c>
      <c r="O389" s="27" t="str">
        <f>IF(B389="","",Milestones!$Y6)</f>
        <v/>
      </c>
      <c r="P389" s="27" t="str">
        <f>IF(B389="","",Milestones!$Z6)</f>
        <v/>
      </c>
      <c r="Q389" s="20" t="str">
        <f t="shared" ref="Q389:Q452" si="82">IF(OR(A389="",J389&lt;&gt;""),"",IF(H389="TIMESTAMP",YEAR(INT(M389/1440))&amp;"-"&amp;RIGHT("0"&amp;MONTH(INT(M389/1440)),2)&amp;"-"&amp;RIGHT("0"&amp;DAY(INT(M389/1440)),2)&amp;"T"&amp;RIGHT("0"&amp;INT(MOD(M389,1440)/60),2)&amp;":"&amp;RIGHT("0"&amp;MOD(M389,60),2)&amp;IF(L389=1,I389,""),IF(H389="DATE",YEAR(O389)&amp;"-"&amp;RIGHT("0"&amp;MONTH(O389),2)&amp;"-"&amp;RIGHT("0"&amp;DAY(O389),2),IF(H389="MONTH",YEAR(O389)&amp;"-"&amp;RIGHT("0"&amp;MONTH(O389),2),IF(H389="YEAR",YEAR(O389)&amp;"",YEAR(O389)&amp;"-"&amp;RIGHT("0"&amp;MONTH(O389),2)&amp;"-"&amp;RIGHT("0"&amp;DAY(O389),2)&amp;"/"&amp;YEAR(P389)&amp;"-"&amp;RIGHT("0"&amp;MONTH(P389),2)&amp;"-"&amp;RIGHT("0"&amp;DAY(P389),2))))))</f>
        <v/>
      </c>
      <c r="R389" s="20" t="str">
        <f>IF(A389="","",IF(J389&lt;&gt;"",J389,IF(H389="TIMESTAMP",DAY(INT(M389/1440))&amp;" "&amp;INDEX(nLIST_Months,MONTH(INT(M389/1440)))&amp;" "&amp;YEAR(INT(M389/1440))&amp;" "&amp;RIGHT("0"&amp;INT(MOD(M389,1440)/60),2)&amp;":"&amp;RIGHT("0"&amp;MOD(M389,60),2)&amp;IF(L389=1," (UTC"&amp;I389&amp;")"," (offset unknown)"),IF(H389="DATE",DAY(O389)&amp;" "&amp;INDEX(nLIST_Months,MONTH(O389))&amp;" "&amp;YEAR(O389),IF(H389="MONTH",INDEX(nLIST_Months,MONTH(O389))&amp;" "&amp;YEAR(O389)&amp;" ("&amp;DAY(O389)&amp;" "&amp;INDEX(nLIST_Months,MONTH(O389))&amp;" "&amp;YEAR(O389)&amp;" to "&amp;DAY(P389)&amp;" "&amp;INDEX(nLIST_Months,MONTH(P389))&amp;" "&amp;YEAR(P389)&amp;")",IF(H389="YEAR",YEAR(O389)&amp;" (1 January to 31 December)",DAY(O389)&amp;" "&amp;INDEX(nLIST_Months,MONTH(O389))&amp;" "&amp;YEAR(O389)&amp;" to "&amp;DAY(P389)&amp;" "&amp;INDEX(nLIST_Months,MONTH(P389))&amp;" "&amp;YEAR(P389)&amp;IF(H389="LAB"," (laboratory-defined)","")))))))</f>
        <v/>
      </c>
      <c r="S389" s="20" t="str">
        <f>IF(B389="","",Milestones!$L6&amp;"")</f>
        <v/>
      </c>
      <c r="T389" s="20" t="str">
        <f>IF(B389="","",Milestones!$U6&amp;"")</f>
        <v/>
      </c>
      <c r="U389" s="20" t="str">
        <f>IF(B389="","","Milestones row "&amp;ROW(Milestones!$A6)&amp;", Milestone")</f>
        <v/>
      </c>
      <c r="V389" s="20">
        <f>IF(A389="",0,COUNTIF(nTP_Key,A389))</f>
        <v>0</v>
      </c>
      <c r="W389" s="20">
        <f t="shared" ref="W389:W452" si="83">IF(M389="",0,M389)</f>
        <v>0</v>
      </c>
      <c r="X389" s="20">
        <f t="shared" ref="X389:X452" si="84">IF(N389="",0,N389)</f>
        <v>0</v>
      </c>
      <c r="Y389" s="20">
        <f t="shared" ref="Y389:Y452" si="85">IF(O389="",0,O389)</f>
        <v>0</v>
      </c>
      <c r="Z389" s="20">
        <f t="shared" ref="Z389:Z452" si="86">IF(P389="",0,P389)</f>
        <v>0</v>
      </c>
      <c r="AA389" s="20">
        <f t="shared" ref="AA389:AA452" si="87">ROW()-4</f>
        <v>385</v>
      </c>
      <c r="AB389" s="20" t="str">
        <f>""</f>
        <v/>
      </c>
      <c r="AC389" s="20" t="str">
        <f>""</f>
        <v/>
      </c>
      <c r="AD389" s="20" t="str">
        <f>IF(B389="","",Milestones!$F6&amp;"")</f>
        <v/>
      </c>
      <c r="AE389" s="20">
        <f t="shared" ref="AE389:AE452" si="88">IF(AND(A389&lt;&gt;"",OR(C389="EXPOSURE_START",C389="EXPOSURE_RESTART",AND(C389="ADMINISTRATION",AB389&lt;&gt;"INFUSION_SEGMENT"))),1,0)</f>
        <v>0</v>
      </c>
      <c r="AF389" s="20" t="str">
        <f t="shared" ref="AF389:AF452" si="89">IF(AE389=1,F389&amp;"|"&amp;G389,"")</f>
        <v/>
      </c>
      <c r="AG389" s="20">
        <f t="shared" ref="AG389:AG452" si="90">IF(AND(A389&lt;&gt;"",J389="",OR(H389="TIMESTAMP",H389="DATE")),1,0)</f>
        <v>0</v>
      </c>
      <c r="AH389" s="20" t="str">
        <f>""</f>
        <v/>
      </c>
    </row>
    <row r="390" spans="1:34" x14ac:dyDescent="0.2">
      <c r="A390" s="20" t="str">
        <f t="shared" si="80"/>
        <v/>
      </c>
      <c r="B390" s="20" t="str">
        <f>IF(AND(Milestones!$C7&lt;&gt;"",COUNTA(Milestones!$M7:$T7)&gt;0),Milestones!$C7&amp;"","")</f>
        <v/>
      </c>
      <c r="C390" s="20" t="str">
        <f>IF(B390="","","MILESTONE:"&amp;Milestones!$D7)</f>
        <v/>
      </c>
      <c r="D390" s="20" t="str">
        <f>IF(B390="","",Milestones!$A7&amp;"")</f>
        <v/>
      </c>
      <c r="E390" s="20" t="str">
        <f>IF(B390="","",Milestones!$B7&amp;"")</f>
        <v/>
      </c>
      <c r="F390" s="20" t="str">
        <f t="shared" si="81"/>
        <v/>
      </c>
      <c r="G390" s="20" t="str">
        <f>IF(B390="","",Milestones!$E7&amp;"")</f>
        <v/>
      </c>
      <c r="H390" s="20" t="str">
        <f>IF(B390="","",Milestones!$M7&amp;"")</f>
        <v/>
      </c>
      <c r="I390" s="20" t="str">
        <f>IF(B390="","",Milestones!$P7&amp;"")</f>
        <v/>
      </c>
      <c r="J390" s="20" t="str">
        <f>IF(B390="","",Milestones!$V7&amp;"")</f>
        <v/>
      </c>
      <c r="K390" s="20">
        <f>IF(B390="",0,Milestones!$W7)</f>
        <v>0</v>
      </c>
      <c r="L390" s="20">
        <f>IF(B390="",0,Milestones!$X7)</f>
        <v>0</v>
      </c>
      <c r="M390" s="20" t="str">
        <f>IF(B390="","",Milestones!$AA7)</f>
        <v/>
      </c>
      <c r="N390" s="20" t="str">
        <f>IF(B390="","",Milestones!$AB7)</f>
        <v/>
      </c>
      <c r="O390" s="27" t="str">
        <f>IF(B390="","",Milestones!$Y7)</f>
        <v/>
      </c>
      <c r="P390" s="27" t="str">
        <f>IF(B390="","",Milestones!$Z7)</f>
        <v/>
      </c>
      <c r="Q390" s="20" t="str">
        <f t="shared" si="82"/>
        <v/>
      </c>
      <c r="R390" s="20" t="str">
        <f>IF(A390="","",IF(J390&lt;&gt;"",J390,IF(H390="TIMESTAMP",DAY(INT(M390/1440))&amp;" "&amp;INDEX(nLIST_Months,MONTH(INT(M390/1440)))&amp;" "&amp;YEAR(INT(M390/1440))&amp;" "&amp;RIGHT("0"&amp;INT(MOD(M390,1440)/60),2)&amp;":"&amp;RIGHT("0"&amp;MOD(M390,60),2)&amp;IF(L390=1," (UTC"&amp;I390&amp;")"," (offset unknown)"),IF(H390="DATE",DAY(O390)&amp;" "&amp;INDEX(nLIST_Months,MONTH(O390))&amp;" "&amp;YEAR(O390),IF(H390="MONTH",INDEX(nLIST_Months,MONTH(O390))&amp;" "&amp;YEAR(O390)&amp;" ("&amp;DAY(O390)&amp;" "&amp;INDEX(nLIST_Months,MONTH(O390))&amp;" "&amp;YEAR(O390)&amp;" to "&amp;DAY(P390)&amp;" "&amp;INDEX(nLIST_Months,MONTH(P390))&amp;" "&amp;YEAR(P390)&amp;")",IF(H390="YEAR",YEAR(O390)&amp;" (1 January to 31 December)",DAY(O390)&amp;" "&amp;INDEX(nLIST_Months,MONTH(O390))&amp;" "&amp;YEAR(O390)&amp;" to "&amp;DAY(P390)&amp;" "&amp;INDEX(nLIST_Months,MONTH(P390))&amp;" "&amp;YEAR(P390)&amp;IF(H390="LAB"," (laboratory-defined)","")))))))</f>
        <v/>
      </c>
      <c r="S390" s="20" t="str">
        <f>IF(B390="","",Milestones!$L7&amp;"")</f>
        <v/>
      </c>
      <c r="T390" s="20" t="str">
        <f>IF(B390="","",Milestones!$U7&amp;"")</f>
        <v/>
      </c>
      <c r="U390" s="20" t="str">
        <f>IF(B390="","","Milestones row "&amp;ROW(Milestones!$A7)&amp;", Milestone")</f>
        <v/>
      </c>
      <c r="V390" s="20">
        <f>IF(A390="",0,COUNTIF(nTP_Key,A390))</f>
        <v>0</v>
      </c>
      <c r="W390" s="20">
        <f t="shared" si="83"/>
        <v>0</v>
      </c>
      <c r="X390" s="20">
        <f t="shared" si="84"/>
        <v>0</v>
      </c>
      <c r="Y390" s="20">
        <f t="shared" si="85"/>
        <v>0</v>
      </c>
      <c r="Z390" s="20">
        <f t="shared" si="86"/>
        <v>0</v>
      </c>
      <c r="AA390" s="20">
        <f t="shared" si="87"/>
        <v>386</v>
      </c>
      <c r="AB390" s="20" t="str">
        <f>""</f>
        <v/>
      </c>
      <c r="AC390" s="20" t="str">
        <f>""</f>
        <v/>
      </c>
      <c r="AD390" s="20" t="str">
        <f>IF(B390="","",Milestones!$F7&amp;"")</f>
        <v/>
      </c>
      <c r="AE390" s="20">
        <f t="shared" si="88"/>
        <v>0</v>
      </c>
      <c r="AF390" s="20" t="str">
        <f t="shared" si="89"/>
        <v/>
      </c>
      <c r="AG390" s="20">
        <f t="shared" si="90"/>
        <v>0</v>
      </c>
      <c r="AH390" s="20" t="str">
        <f>""</f>
        <v/>
      </c>
    </row>
    <row r="391" spans="1:34" x14ac:dyDescent="0.2">
      <c r="A391" s="20" t="str">
        <f t="shared" si="80"/>
        <v/>
      </c>
      <c r="B391" s="20" t="str">
        <f>IF(AND(Milestones!$C8&lt;&gt;"",COUNTA(Milestones!$M8:$T8)&gt;0),Milestones!$C8&amp;"","")</f>
        <v/>
      </c>
      <c r="C391" s="20" t="str">
        <f>IF(B391="","","MILESTONE:"&amp;Milestones!$D8)</f>
        <v/>
      </c>
      <c r="D391" s="20" t="str">
        <f>IF(B391="","",Milestones!$A8&amp;"")</f>
        <v/>
      </c>
      <c r="E391" s="20" t="str">
        <f>IF(B391="","",Milestones!$B8&amp;"")</f>
        <v/>
      </c>
      <c r="F391" s="20" t="str">
        <f t="shared" si="81"/>
        <v/>
      </c>
      <c r="G391" s="20" t="str">
        <f>IF(B391="","",Milestones!$E8&amp;"")</f>
        <v/>
      </c>
      <c r="H391" s="20" t="str">
        <f>IF(B391="","",Milestones!$M8&amp;"")</f>
        <v/>
      </c>
      <c r="I391" s="20" t="str">
        <f>IF(B391="","",Milestones!$P8&amp;"")</f>
        <v/>
      </c>
      <c r="J391" s="20" t="str">
        <f>IF(B391="","",Milestones!$V8&amp;"")</f>
        <v/>
      </c>
      <c r="K391" s="20">
        <f>IF(B391="",0,Milestones!$W8)</f>
        <v>0</v>
      </c>
      <c r="L391" s="20">
        <f>IF(B391="",0,Milestones!$X8)</f>
        <v>0</v>
      </c>
      <c r="M391" s="20" t="str">
        <f>IF(B391="","",Milestones!$AA8)</f>
        <v/>
      </c>
      <c r="N391" s="20" t="str">
        <f>IF(B391="","",Milestones!$AB8)</f>
        <v/>
      </c>
      <c r="O391" s="27" t="str">
        <f>IF(B391="","",Milestones!$Y8)</f>
        <v/>
      </c>
      <c r="P391" s="27" t="str">
        <f>IF(B391="","",Milestones!$Z8)</f>
        <v/>
      </c>
      <c r="Q391" s="20" t="str">
        <f t="shared" si="82"/>
        <v/>
      </c>
      <c r="R391" s="20" t="str">
        <f>IF(A391="","",IF(J391&lt;&gt;"",J391,IF(H391="TIMESTAMP",DAY(INT(M391/1440))&amp;" "&amp;INDEX(nLIST_Months,MONTH(INT(M391/1440)))&amp;" "&amp;YEAR(INT(M391/1440))&amp;" "&amp;RIGHT("0"&amp;INT(MOD(M391,1440)/60),2)&amp;":"&amp;RIGHT("0"&amp;MOD(M391,60),2)&amp;IF(L391=1," (UTC"&amp;I391&amp;")"," (offset unknown)"),IF(H391="DATE",DAY(O391)&amp;" "&amp;INDEX(nLIST_Months,MONTH(O391))&amp;" "&amp;YEAR(O391),IF(H391="MONTH",INDEX(nLIST_Months,MONTH(O391))&amp;" "&amp;YEAR(O391)&amp;" ("&amp;DAY(O391)&amp;" "&amp;INDEX(nLIST_Months,MONTH(O391))&amp;" "&amp;YEAR(O391)&amp;" to "&amp;DAY(P391)&amp;" "&amp;INDEX(nLIST_Months,MONTH(P391))&amp;" "&amp;YEAR(P391)&amp;")",IF(H391="YEAR",YEAR(O391)&amp;" (1 January to 31 December)",DAY(O391)&amp;" "&amp;INDEX(nLIST_Months,MONTH(O391))&amp;" "&amp;YEAR(O391)&amp;" to "&amp;DAY(P391)&amp;" "&amp;INDEX(nLIST_Months,MONTH(P391))&amp;" "&amp;YEAR(P391)&amp;IF(H391="LAB"," (laboratory-defined)","")))))))</f>
        <v/>
      </c>
      <c r="S391" s="20" t="str">
        <f>IF(B391="","",Milestones!$L8&amp;"")</f>
        <v/>
      </c>
      <c r="T391" s="20" t="str">
        <f>IF(B391="","",Milestones!$U8&amp;"")</f>
        <v/>
      </c>
      <c r="U391" s="20" t="str">
        <f>IF(B391="","","Milestones row "&amp;ROW(Milestones!$A8)&amp;", Milestone")</f>
        <v/>
      </c>
      <c r="V391" s="20">
        <f>IF(A391="",0,COUNTIF(nTP_Key,A391))</f>
        <v>0</v>
      </c>
      <c r="W391" s="20">
        <f t="shared" si="83"/>
        <v>0</v>
      </c>
      <c r="X391" s="20">
        <f t="shared" si="84"/>
        <v>0</v>
      </c>
      <c r="Y391" s="20">
        <f t="shared" si="85"/>
        <v>0</v>
      </c>
      <c r="Z391" s="20">
        <f t="shared" si="86"/>
        <v>0</v>
      </c>
      <c r="AA391" s="20">
        <f t="shared" si="87"/>
        <v>387</v>
      </c>
      <c r="AB391" s="20" t="str">
        <f>""</f>
        <v/>
      </c>
      <c r="AC391" s="20" t="str">
        <f>""</f>
        <v/>
      </c>
      <c r="AD391" s="20" t="str">
        <f>IF(B391="","",Milestones!$F8&amp;"")</f>
        <v/>
      </c>
      <c r="AE391" s="20">
        <f t="shared" si="88"/>
        <v>0</v>
      </c>
      <c r="AF391" s="20" t="str">
        <f t="shared" si="89"/>
        <v/>
      </c>
      <c r="AG391" s="20">
        <f t="shared" si="90"/>
        <v>0</v>
      </c>
      <c r="AH391" s="20" t="str">
        <f>""</f>
        <v/>
      </c>
    </row>
    <row r="392" spans="1:34" x14ac:dyDescent="0.2">
      <c r="A392" s="20" t="str">
        <f t="shared" si="80"/>
        <v/>
      </c>
      <c r="B392" s="20" t="str">
        <f>IF(AND(Milestones!$C9&lt;&gt;"",COUNTA(Milestones!$M9:$T9)&gt;0),Milestones!$C9&amp;"","")</f>
        <v/>
      </c>
      <c r="C392" s="20" t="str">
        <f>IF(B392="","","MILESTONE:"&amp;Milestones!$D9)</f>
        <v/>
      </c>
      <c r="D392" s="20" t="str">
        <f>IF(B392="","",Milestones!$A9&amp;"")</f>
        <v/>
      </c>
      <c r="E392" s="20" t="str">
        <f>IF(B392="","",Milestones!$B9&amp;"")</f>
        <v/>
      </c>
      <c r="F392" s="20" t="str">
        <f t="shared" si="81"/>
        <v/>
      </c>
      <c r="G392" s="20" t="str">
        <f>IF(B392="","",Milestones!$E9&amp;"")</f>
        <v/>
      </c>
      <c r="H392" s="20" t="str">
        <f>IF(B392="","",Milestones!$M9&amp;"")</f>
        <v/>
      </c>
      <c r="I392" s="20" t="str">
        <f>IF(B392="","",Milestones!$P9&amp;"")</f>
        <v/>
      </c>
      <c r="J392" s="20" t="str">
        <f>IF(B392="","",Milestones!$V9&amp;"")</f>
        <v/>
      </c>
      <c r="K392" s="20">
        <f>IF(B392="",0,Milestones!$W9)</f>
        <v>0</v>
      </c>
      <c r="L392" s="20">
        <f>IF(B392="",0,Milestones!$X9)</f>
        <v>0</v>
      </c>
      <c r="M392" s="20" t="str">
        <f>IF(B392="","",Milestones!$AA9)</f>
        <v/>
      </c>
      <c r="N392" s="20" t="str">
        <f>IF(B392="","",Milestones!$AB9)</f>
        <v/>
      </c>
      <c r="O392" s="27" t="str">
        <f>IF(B392="","",Milestones!$Y9)</f>
        <v/>
      </c>
      <c r="P392" s="27" t="str">
        <f>IF(B392="","",Milestones!$Z9)</f>
        <v/>
      </c>
      <c r="Q392" s="20" t="str">
        <f t="shared" si="82"/>
        <v/>
      </c>
      <c r="R392" s="20" t="str">
        <f>IF(A392="","",IF(J392&lt;&gt;"",J392,IF(H392="TIMESTAMP",DAY(INT(M392/1440))&amp;" "&amp;INDEX(nLIST_Months,MONTH(INT(M392/1440)))&amp;" "&amp;YEAR(INT(M392/1440))&amp;" "&amp;RIGHT("0"&amp;INT(MOD(M392,1440)/60),2)&amp;":"&amp;RIGHT("0"&amp;MOD(M392,60),2)&amp;IF(L392=1," (UTC"&amp;I392&amp;")"," (offset unknown)"),IF(H392="DATE",DAY(O392)&amp;" "&amp;INDEX(nLIST_Months,MONTH(O392))&amp;" "&amp;YEAR(O392),IF(H392="MONTH",INDEX(nLIST_Months,MONTH(O392))&amp;" "&amp;YEAR(O392)&amp;" ("&amp;DAY(O392)&amp;" "&amp;INDEX(nLIST_Months,MONTH(O392))&amp;" "&amp;YEAR(O392)&amp;" to "&amp;DAY(P392)&amp;" "&amp;INDEX(nLIST_Months,MONTH(P392))&amp;" "&amp;YEAR(P392)&amp;")",IF(H392="YEAR",YEAR(O392)&amp;" (1 January to 31 December)",DAY(O392)&amp;" "&amp;INDEX(nLIST_Months,MONTH(O392))&amp;" "&amp;YEAR(O392)&amp;" to "&amp;DAY(P392)&amp;" "&amp;INDEX(nLIST_Months,MONTH(P392))&amp;" "&amp;YEAR(P392)&amp;IF(H392="LAB"," (laboratory-defined)","")))))))</f>
        <v/>
      </c>
      <c r="S392" s="20" t="str">
        <f>IF(B392="","",Milestones!$L9&amp;"")</f>
        <v/>
      </c>
      <c r="T392" s="20" t="str">
        <f>IF(B392="","",Milestones!$U9&amp;"")</f>
        <v/>
      </c>
      <c r="U392" s="20" t="str">
        <f>IF(B392="","","Milestones row "&amp;ROW(Milestones!$A9)&amp;", Milestone")</f>
        <v/>
      </c>
      <c r="V392" s="20">
        <f>IF(A392="",0,COUNTIF(nTP_Key,A392))</f>
        <v>0</v>
      </c>
      <c r="W392" s="20">
        <f t="shared" si="83"/>
        <v>0</v>
      </c>
      <c r="X392" s="20">
        <f t="shared" si="84"/>
        <v>0</v>
      </c>
      <c r="Y392" s="20">
        <f t="shared" si="85"/>
        <v>0</v>
      </c>
      <c r="Z392" s="20">
        <f t="shared" si="86"/>
        <v>0</v>
      </c>
      <c r="AA392" s="20">
        <f t="shared" si="87"/>
        <v>388</v>
      </c>
      <c r="AB392" s="20" t="str">
        <f>""</f>
        <v/>
      </c>
      <c r="AC392" s="20" t="str">
        <f>""</f>
        <v/>
      </c>
      <c r="AD392" s="20" t="str">
        <f>IF(B392="","",Milestones!$F9&amp;"")</f>
        <v/>
      </c>
      <c r="AE392" s="20">
        <f t="shared" si="88"/>
        <v>0</v>
      </c>
      <c r="AF392" s="20" t="str">
        <f t="shared" si="89"/>
        <v/>
      </c>
      <c r="AG392" s="20">
        <f t="shared" si="90"/>
        <v>0</v>
      </c>
      <c r="AH392" s="20" t="str">
        <f>""</f>
        <v/>
      </c>
    </row>
    <row r="393" spans="1:34" x14ac:dyDescent="0.2">
      <c r="A393" s="20" t="str">
        <f t="shared" si="80"/>
        <v/>
      </c>
      <c r="B393" s="20" t="str">
        <f>IF(AND(Milestones!$C10&lt;&gt;"",COUNTA(Milestones!$M10:$T10)&gt;0),Milestones!$C10&amp;"","")</f>
        <v/>
      </c>
      <c r="C393" s="20" t="str">
        <f>IF(B393="","","MILESTONE:"&amp;Milestones!$D10)</f>
        <v/>
      </c>
      <c r="D393" s="20" t="str">
        <f>IF(B393="","",Milestones!$A10&amp;"")</f>
        <v/>
      </c>
      <c r="E393" s="20" t="str">
        <f>IF(B393="","",Milestones!$B10&amp;"")</f>
        <v/>
      </c>
      <c r="F393" s="20" t="str">
        <f t="shared" si="81"/>
        <v/>
      </c>
      <c r="G393" s="20" t="str">
        <f>IF(B393="","",Milestones!$E10&amp;"")</f>
        <v/>
      </c>
      <c r="H393" s="20" t="str">
        <f>IF(B393="","",Milestones!$M10&amp;"")</f>
        <v/>
      </c>
      <c r="I393" s="20" t="str">
        <f>IF(B393="","",Milestones!$P10&amp;"")</f>
        <v/>
      </c>
      <c r="J393" s="20" t="str">
        <f>IF(B393="","",Milestones!$V10&amp;"")</f>
        <v/>
      </c>
      <c r="K393" s="20">
        <f>IF(B393="",0,Milestones!$W10)</f>
        <v>0</v>
      </c>
      <c r="L393" s="20">
        <f>IF(B393="",0,Milestones!$X10)</f>
        <v>0</v>
      </c>
      <c r="M393" s="20" t="str">
        <f>IF(B393="","",Milestones!$AA10)</f>
        <v/>
      </c>
      <c r="N393" s="20" t="str">
        <f>IF(B393="","",Milestones!$AB10)</f>
        <v/>
      </c>
      <c r="O393" s="27" t="str">
        <f>IF(B393="","",Milestones!$Y10)</f>
        <v/>
      </c>
      <c r="P393" s="27" t="str">
        <f>IF(B393="","",Milestones!$Z10)</f>
        <v/>
      </c>
      <c r="Q393" s="20" t="str">
        <f t="shared" si="82"/>
        <v/>
      </c>
      <c r="R393" s="20" t="str">
        <f>IF(A393="","",IF(J393&lt;&gt;"",J393,IF(H393="TIMESTAMP",DAY(INT(M393/1440))&amp;" "&amp;INDEX(nLIST_Months,MONTH(INT(M393/1440)))&amp;" "&amp;YEAR(INT(M393/1440))&amp;" "&amp;RIGHT("0"&amp;INT(MOD(M393,1440)/60),2)&amp;":"&amp;RIGHT("0"&amp;MOD(M393,60),2)&amp;IF(L393=1," (UTC"&amp;I393&amp;")"," (offset unknown)"),IF(H393="DATE",DAY(O393)&amp;" "&amp;INDEX(nLIST_Months,MONTH(O393))&amp;" "&amp;YEAR(O393),IF(H393="MONTH",INDEX(nLIST_Months,MONTH(O393))&amp;" "&amp;YEAR(O393)&amp;" ("&amp;DAY(O393)&amp;" "&amp;INDEX(nLIST_Months,MONTH(O393))&amp;" "&amp;YEAR(O393)&amp;" to "&amp;DAY(P393)&amp;" "&amp;INDEX(nLIST_Months,MONTH(P393))&amp;" "&amp;YEAR(P393)&amp;")",IF(H393="YEAR",YEAR(O393)&amp;" (1 January to 31 December)",DAY(O393)&amp;" "&amp;INDEX(nLIST_Months,MONTH(O393))&amp;" "&amp;YEAR(O393)&amp;" to "&amp;DAY(P393)&amp;" "&amp;INDEX(nLIST_Months,MONTH(P393))&amp;" "&amp;YEAR(P393)&amp;IF(H393="LAB"," (laboratory-defined)","")))))))</f>
        <v/>
      </c>
      <c r="S393" s="20" t="str">
        <f>IF(B393="","",Milestones!$L10&amp;"")</f>
        <v/>
      </c>
      <c r="T393" s="20" t="str">
        <f>IF(B393="","",Milestones!$U10&amp;"")</f>
        <v/>
      </c>
      <c r="U393" s="20" t="str">
        <f>IF(B393="","","Milestones row "&amp;ROW(Milestones!$A10)&amp;", Milestone")</f>
        <v/>
      </c>
      <c r="V393" s="20">
        <f>IF(A393="",0,COUNTIF(nTP_Key,A393))</f>
        <v>0</v>
      </c>
      <c r="W393" s="20">
        <f t="shared" si="83"/>
        <v>0</v>
      </c>
      <c r="X393" s="20">
        <f t="shared" si="84"/>
        <v>0</v>
      </c>
      <c r="Y393" s="20">
        <f t="shared" si="85"/>
        <v>0</v>
      </c>
      <c r="Z393" s="20">
        <f t="shared" si="86"/>
        <v>0</v>
      </c>
      <c r="AA393" s="20">
        <f t="shared" si="87"/>
        <v>389</v>
      </c>
      <c r="AB393" s="20" t="str">
        <f>""</f>
        <v/>
      </c>
      <c r="AC393" s="20" t="str">
        <f>""</f>
        <v/>
      </c>
      <c r="AD393" s="20" t="str">
        <f>IF(B393="","",Milestones!$F10&amp;"")</f>
        <v/>
      </c>
      <c r="AE393" s="20">
        <f t="shared" si="88"/>
        <v>0</v>
      </c>
      <c r="AF393" s="20" t="str">
        <f t="shared" si="89"/>
        <v/>
      </c>
      <c r="AG393" s="20">
        <f t="shared" si="90"/>
        <v>0</v>
      </c>
      <c r="AH393" s="20" t="str">
        <f>""</f>
        <v/>
      </c>
    </row>
    <row r="394" spans="1:34" x14ac:dyDescent="0.2">
      <c r="A394" s="20" t="str">
        <f t="shared" si="80"/>
        <v/>
      </c>
      <c r="B394" s="20" t="str">
        <f>IF(AND(Milestones!$C11&lt;&gt;"",COUNTA(Milestones!$M11:$T11)&gt;0),Milestones!$C11&amp;"","")</f>
        <v/>
      </c>
      <c r="C394" s="20" t="str">
        <f>IF(B394="","","MILESTONE:"&amp;Milestones!$D11)</f>
        <v/>
      </c>
      <c r="D394" s="20" t="str">
        <f>IF(B394="","",Milestones!$A11&amp;"")</f>
        <v/>
      </c>
      <c r="E394" s="20" t="str">
        <f>IF(B394="","",Milestones!$B11&amp;"")</f>
        <v/>
      </c>
      <c r="F394" s="20" t="str">
        <f t="shared" si="81"/>
        <v/>
      </c>
      <c r="G394" s="20" t="str">
        <f>IF(B394="","",Milestones!$E11&amp;"")</f>
        <v/>
      </c>
      <c r="H394" s="20" t="str">
        <f>IF(B394="","",Milestones!$M11&amp;"")</f>
        <v/>
      </c>
      <c r="I394" s="20" t="str">
        <f>IF(B394="","",Milestones!$P11&amp;"")</f>
        <v/>
      </c>
      <c r="J394" s="20" t="str">
        <f>IF(B394="","",Milestones!$V11&amp;"")</f>
        <v/>
      </c>
      <c r="K394" s="20">
        <f>IF(B394="",0,Milestones!$W11)</f>
        <v>0</v>
      </c>
      <c r="L394" s="20">
        <f>IF(B394="",0,Milestones!$X11)</f>
        <v>0</v>
      </c>
      <c r="M394" s="20" t="str">
        <f>IF(B394="","",Milestones!$AA11)</f>
        <v/>
      </c>
      <c r="N394" s="20" t="str">
        <f>IF(B394="","",Milestones!$AB11)</f>
        <v/>
      </c>
      <c r="O394" s="27" t="str">
        <f>IF(B394="","",Milestones!$Y11)</f>
        <v/>
      </c>
      <c r="P394" s="27" t="str">
        <f>IF(B394="","",Milestones!$Z11)</f>
        <v/>
      </c>
      <c r="Q394" s="20" t="str">
        <f t="shared" si="82"/>
        <v/>
      </c>
      <c r="R394" s="20" t="str">
        <f>IF(A394="","",IF(J394&lt;&gt;"",J394,IF(H394="TIMESTAMP",DAY(INT(M394/1440))&amp;" "&amp;INDEX(nLIST_Months,MONTH(INT(M394/1440)))&amp;" "&amp;YEAR(INT(M394/1440))&amp;" "&amp;RIGHT("0"&amp;INT(MOD(M394,1440)/60),2)&amp;":"&amp;RIGHT("0"&amp;MOD(M394,60),2)&amp;IF(L394=1," (UTC"&amp;I394&amp;")"," (offset unknown)"),IF(H394="DATE",DAY(O394)&amp;" "&amp;INDEX(nLIST_Months,MONTH(O394))&amp;" "&amp;YEAR(O394),IF(H394="MONTH",INDEX(nLIST_Months,MONTH(O394))&amp;" "&amp;YEAR(O394)&amp;" ("&amp;DAY(O394)&amp;" "&amp;INDEX(nLIST_Months,MONTH(O394))&amp;" "&amp;YEAR(O394)&amp;" to "&amp;DAY(P394)&amp;" "&amp;INDEX(nLIST_Months,MONTH(P394))&amp;" "&amp;YEAR(P394)&amp;")",IF(H394="YEAR",YEAR(O394)&amp;" (1 January to 31 December)",DAY(O394)&amp;" "&amp;INDEX(nLIST_Months,MONTH(O394))&amp;" "&amp;YEAR(O394)&amp;" to "&amp;DAY(P394)&amp;" "&amp;INDEX(nLIST_Months,MONTH(P394))&amp;" "&amp;YEAR(P394)&amp;IF(H394="LAB"," (laboratory-defined)","")))))))</f>
        <v/>
      </c>
      <c r="S394" s="20" t="str">
        <f>IF(B394="","",Milestones!$L11&amp;"")</f>
        <v/>
      </c>
      <c r="T394" s="20" t="str">
        <f>IF(B394="","",Milestones!$U11&amp;"")</f>
        <v/>
      </c>
      <c r="U394" s="20" t="str">
        <f>IF(B394="","","Milestones row "&amp;ROW(Milestones!$A11)&amp;", Milestone")</f>
        <v/>
      </c>
      <c r="V394" s="20">
        <f>IF(A394="",0,COUNTIF(nTP_Key,A394))</f>
        <v>0</v>
      </c>
      <c r="W394" s="20">
        <f t="shared" si="83"/>
        <v>0</v>
      </c>
      <c r="X394" s="20">
        <f t="shared" si="84"/>
        <v>0</v>
      </c>
      <c r="Y394" s="20">
        <f t="shared" si="85"/>
        <v>0</v>
      </c>
      <c r="Z394" s="20">
        <f t="shared" si="86"/>
        <v>0</v>
      </c>
      <c r="AA394" s="20">
        <f t="shared" si="87"/>
        <v>390</v>
      </c>
      <c r="AB394" s="20" t="str">
        <f>""</f>
        <v/>
      </c>
      <c r="AC394" s="20" t="str">
        <f>""</f>
        <v/>
      </c>
      <c r="AD394" s="20" t="str">
        <f>IF(B394="","",Milestones!$F11&amp;"")</f>
        <v/>
      </c>
      <c r="AE394" s="20">
        <f t="shared" si="88"/>
        <v>0</v>
      </c>
      <c r="AF394" s="20" t="str">
        <f t="shared" si="89"/>
        <v/>
      </c>
      <c r="AG394" s="20">
        <f t="shared" si="90"/>
        <v>0</v>
      </c>
      <c r="AH394" s="20" t="str">
        <f>""</f>
        <v/>
      </c>
    </row>
    <row r="395" spans="1:34" x14ac:dyDescent="0.2">
      <c r="A395" s="20" t="str">
        <f t="shared" si="80"/>
        <v/>
      </c>
      <c r="B395" s="20" t="str">
        <f>IF(AND(Milestones!$C12&lt;&gt;"",COUNTA(Milestones!$M12:$T12)&gt;0),Milestones!$C12&amp;"","")</f>
        <v/>
      </c>
      <c r="C395" s="20" t="str">
        <f>IF(B395="","","MILESTONE:"&amp;Milestones!$D12)</f>
        <v/>
      </c>
      <c r="D395" s="20" t="str">
        <f>IF(B395="","",Milestones!$A12&amp;"")</f>
        <v/>
      </c>
      <c r="E395" s="20" t="str">
        <f>IF(B395="","",Milestones!$B12&amp;"")</f>
        <v/>
      </c>
      <c r="F395" s="20" t="str">
        <f t="shared" si="81"/>
        <v/>
      </c>
      <c r="G395" s="20" t="str">
        <f>IF(B395="","",Milestones!$E12&amp;"")</f>
        <v/>
      </c>
      <c r="H395" s="20" t="str">
        <f>IF(B395="","",Milestones!$M12&amp;"")</f>
        <v/>
      </c>
      <c r="I395" s="20" t="str">
        <f>IF(B395="","",Milestones!$P12&amp;"")</f>
        <v/>
      </c>
      <c r="J395" s="20" t="str">
        <f>IF(B395="","",Milestones!$V12&amp;"")</f>
        <v/>
      </c>
      <c r="K395" s="20">
        <f>IF(B395="",0,Milestones!$W12)</f>
        <v>0</v>
      </c>
      <c r="L395" s="20">
        <f>IF(B395="",0,Milestones!$X12)</f>
        <v>0</v>
      </c>
      <c r="M395" s="20" t="str">
        <f>IF(B395="","",Milestones!$AA12)</f>
        <v/>
      </c>
      <c r="N395" s="20" t="str">
        <f>IF(B395="","",Milestones!$AB12)</f>
        <v/>
      </c>
      <c r="O395" s="27" t="str">
        <f>IF(B395="","",Milestones!$Y12)</f>
        <v/>
      </c>
      <c r="P395" s="27" t="str">
        <f>IF(B395="","",Milestones!$Z12)</f>
        <v/>
      </c>
      <c r="Q395" s="20" t="str">
        <f t="shared" si="82"/>
        <v/>
      </c>
      <c r="R395" s="20" t="str">
        <f>IF(A395="","",IF(J395&lt;&gt;"",J395,IF(H395="TIMESTAMP",DAY(INT(M395/1440))&amp;" "&amp;INDEX(nLIST_Months,MONTH(INT(M395/1440)))&amp;" "&amp;YEAR(INT(M395/1440))&amp;" "&amp;RIGHT("0"&amp;INT(MOD(M395,1440)/60),2)&amp;":"&amp;RIGHT("0"&amp;MOD(M395,60),2)&amp;IF(L395=1," (UTC"&amp;I395&amp;")"," (offset unknown)"),IF(H395="DATE",DAY(O395)&amp;" "&amp;INDEX(nLIST_Months,MONTH(O395))&amp;" "&amp;YEAR(O395),IF(H395="MONTH",INDEX(nLIST_Months,MONTH(O395))&amp;" "&amp;YEAR(O395)&amp;" ("&amp;DAY(O395)&amp;" "&amp;INDEX(nLIST_Months,MONTH(O395))&amp;" "&amp;YEAR(O395)&amp;" to "&amp;DAY(P395)&amp;" "&amp;INDEX(nLIST_Months,MONTH(P395))&amp;" "&amp;YEAR(P395)&amp;")",IF(H395="YEAR",YEAR(O395)&amp;" (1 January to 31 December)",DAY(O395)&amp;" "&amp;INDEX(nLIST_Months,MONTH(O395))&amp;" "&amp;YEAR(O395)&amp;" to "&amp;DAY(P395)&amp;" "&amp;INDEX(nLIST_Months,MONTH(P395))&amp;" "&amp;YEAR(P395)&amp;IF(H395="LAB"," (laboratory-defined)","")))))))</f>
        <v/>
      </c>
      <c r="S395" s="20" t="str">
        <f>IF(B395="","",Milestones!$L12&amp;"")</f>
        <v/>
      </c>
      <c r="T395" s="20" t="str">
        <f>IF(B395="","",Milestones!$U12&amp;"")</f>
        <v/>
      </c>
      <c r="U395" s="20" t="str">
        <f>IF(B395="","","Milestones row "&amp;ROW(Milestones!$A12)&amp;", Milestone")</f>
        <v/>
      </c>
      <c r="V395" s="20">
        <f>IF(A395="",0,COUNTIF(nTP_Key,A395))</f>
        <v>0</v>
      </c>
      <c r="W395" s="20">
        <f t="shared" si="83"/>
        <v>0</v>
      </c>
      <c r="X395" s="20">
        <f t="shared" si="84"/>
        <v>0</v>
      </c>
      <c r="Y395" s="20">
        <f t="shared" si="85"/>
        <v>0</v>
      </c>
      <c r="Z395" s="20">
        <f t="shared" si="86"/>
        <v>0</v>
      </c>
      <c r="AA395" s="20">
        <f t="shared" si="87"/>
        <v>391</v>
      </c>
      <c r="AB395" s="20" t="str">
        <f>""</f>
        <v/>
      </c>
      <c r="AC395" s="20" t="str">
        <f>""</f>
        <v/>
      </c>
      <c r="AD395" s="20" t="str">
        <f>IF(B395="","",Milestones!$F12&amp;"")</f>
        <v/>
      </c>
      <c r="AE395" s="20">
        <f t="shared" si="88"/>
        <v>0</v>
      </c>
      <c r="AF395" s="20" t="str">
        <f t="shared" si="89"/>
        <v/>
      </c>
      <c r="AG395" s="20">
        <f t="shared" si="90"/>
        <v>0</v>
      </c>
      <c r="AH395" s="20" t="str">
        <f>""</f>
        <v/>
      </c>
    </row>
    <row r="396" spans="1:34" x14ac:dyDescent="0.2">
      <c r="A396" s="20" t="str">
        <f t="shared" si="80"/>
        <v/>
      </c>
      <c r="B396" s="20" t="str">
        <f>IF(AND(Milestones!$C13&lt;&gt;"",COUNTA(Milestones!$M13:$T13)&gt;0),Milestones!$C13&amp;"","")</f>
        <v/>
      </c>
      <c r="C396" s="20" t="str">
        <f>IF(B396="","","MILESTONE:"&amp;Milestones!$D13)</f>
        <v/>
      </c>
      <c r="D396" s="20" t="str">
        <f>IF(B396="","",Milestones!$A13&amp;"")</f>
        <v/>
      </c>
      <c r="E396" s="20" t="str">
        <f>IF(B396="","",Milestones!$B13&amp;"")</f>
        <v/>
      </c>
      <c r="F396" s="20" t="str">
        <f t="shared" si="81"/>
        <v/>
      </c>
      <c r="G396" s="20" t="str">
        <f>IF(B396="","",Milestones!$E13&amp;"")</f>
        <v/>
      </c>
      <c r="H396" s="20" t="str">
        <f>IF(B396="","",Milestones!$M13&amp;"")</f>
        <v/>
      </c>
      <c r="I396" s="20" t="str">
        <f>IF(B396="","",Milestones!$P13&amp;"")</f>
        <v/>
      </c>
      <c r="J396" s="20" t="str">
        <f>IF(B396="","",Milestones!$V13&amp;"")</f>
        <v/>
      </c>
      <c r="K396" s="20">
        <f>IF(B396="",0,Milestones!$W13)</f>
        <v>0</v>
      </c>
      <c r="L396" s="20">
        <f>IF(B396="",0,Milestones!$X13)</f>
        <v>0</v>
      </c>
      <c r="M396" s="20" t="str">
        <f>IF(B396="","",Milestones!$AA13)</f>
        <v/>
      </c>
      <c r="N396" s="20" t="str">
        <f>IF(B396="","",Milestones!$AB13)</f>
        <v/>
      </c>
      <c r="O396" s="27" t="str">
        <f>IF(B396="","",Milestones!$Y13)</f>
        <v/>
      </c>
      <c r="P396" s="27" t="str">
        <f>IF(B396="","",Milestones!$Z13)</f>
        <v/>
      </c>
      <c r="Q396" s="20" t="str">
        <f t="shared" si="82"/>
        <v/>
      </c>
      <c r="R396" s="20" t="str">
        <f>IF(A396="","",IF(J396&lt;&gt;"",J396,IF(H396="TIMESTAMP",DAY(INT(M396/1440))&amp;" "&amp;INDEX(nLIST_Months,MONTH(INT(M396/1440)))&amp;" "&amp;YEAR(INT(M396/1440))&amp;" "&amp;RIGHT("0"&amp;INT(MOD(M396,1440)/60),2)&amp;":"&amp;RIGHT("0"&amp;MOD(M396,60),2)&amp;IF(L396=1," (UTC"&amp;I396&amp;")"," (offset unknown)"),IF(H396="DATE",DAY(O396)&amp;" "&amp;INDEX(nLIST_Months,MONTH(O396))&amp;" "&amp;YEAR(O396),IF(H396="MONTH",INDEX(nLIST_Months,MONTH(O396))&amp;" "&amp;YEAR(O396)&amp;" ("&amp;DAY(O396)&amp;" "&amp;INDEX(nLIST_Months,MONTH(O396))&amp;" "&amp;YEAR(O396)&amp;" to "&amp;DAY(P396)&amp;" "&amp;INDEX(nLIST_Months,MONTH(P396))&amp;" "&amp;YEAR(P396)&amp;")",IF(H396="YEAR",YEAR(O396)&amp;" (1 January to 31 December)",DAY(O396)&amp;" "&amp;INDEX(nLIST_Months,MONTH(O396))&amp;" "&amp;YEAR(O396)&amp;" to "&amp;DAY(P396)&amp;" "&amp;INDEX(nLIST_Months,MONTH(P396))&amp;" "&amp;YEAR(P396)&amp;IF(H396="LAB"," (laboratory-defined)","")))))))</f>
        <v/>
      </c>
      <c r="S396" s="20" t="str">
        <f>IF(B396="","",Milestones!$L13&amp;"")</f>
        <v/>
      </c>
      <c r="T396" s="20" t="str">
        <f>IF(B396="","",Milestones!$U13&amp;"")</f>
        <v/>
      </c>
      <c r="U396" s="20" t="str">
        <f>IF(B396="","","Milestones row "&amp;ROW(Milestones!$A13)&amp;", Milestone")</f>
        <v/>
      </c>
      <c r="V396" s="20">
        <f>IF(A396="",0,COUNTIF(nTP_Key,A396))</f>
        <v>0</v>
      </c>
      <c r="W396" s="20">
        <f t="shared" si="83"/>
        <v>0</v>
      </c>
      <c r="X396" s="20">
        <f t="shared" si="84"/>
        <v>0</v>
      </c>
      <c r="Y396" s="20">
        <f t="shared" si="85"/>
        <v>0</v>
      </c>
      <c r="Z396" s="20">
        <f t="shared" si="86"/>
        <v>0</v>
      </c>
      <c r="AA396" s="20">
        <f t="shared" si="87"/>
        <v>392</v>
      </c>
      <c r="AB396" s="20" t="str">
        <f>""</f>
        <v/>
      </c>
      <c r="AC396" s="20" t="str">
        <f>""</f>
        <v/>
      </c>
      <c r="AD396" s="20" t="str">
        <f>IF(B396="","",Milestones!$F13&amp;"")</f>
        <v/>
      </c>
      <c r="AE396" s="20">
        <f t="shared" si="88"/>
        <v>0</v>
      </c>
      <c r="AF396" s="20" t="str">
        <f t="shared" si="89"/>
        <v/>
      </c>
      <c r="AG396" s="20">
        <f t="shared" si="90"/>
        <v>0</v>
      </c>
      <c r="AH396" s="20" t="str">
        <f>""</f>
        <v/>
      </c>
    </row>
    <row r="397" spans="1:34" x14ac:dyDescent="0.2">
      <c r="A397" s="20" t="str">
        <f t="shared" si="80"/>
        <v/>
      </c>
      <c r="B397" s="20" t="str">
        <f>IF(AND(Milestones!$C14&lt;&gt;"",COUNTA(Milestones!$M14:$T14)&gt;0),Milestones!$C14&amp;"","")</f>
        <v/>
      </c>
      <c r="C397" s="20" t="str">
        <f>IF(B397="","","MILESTONE:"&amp;Milestones!$D14)</f>
        <v/>
      </c>
      <c r="D397" s="20" t="str">
        <f>IF(B397="","",Milestones!$A14&amp;"")</f>
        <v/>
      </c>
      <c r="E397" s="20" t="str">
        <f>IF(B397="","",Milestones!$B14&amp;"")</f>
        <v/>
      </c>
      <c r="F397" s="20" t="str">
        <f t="shared" si="81"/>
        <v/>
      </c>
      <c r="G397" s="20" t="str">
        <f>IF(B397="","",Milestones!$E14&amp;"")</f>
        <v/>
      </c>
      <c r="H397" s="20" t="str">
        <f>IF(B397="","",Milestones!$M14&amp;"")</f>
        <v/>
      </c>
      <c r="I397" s="20" t="str">
        <f>IF(B397="","",Milestones!$P14&amp;"")</f>
        <v/>
      </c>
      <c r="J397" s="20" t="str">
        <f>IF(B397="","",Milestones!$V14&amp;"")</f>
        <v/>
      </c>
      <c r="K397" s="20">
        <f>IF(B397="",0,Milestones!$W14)</f>
        <v>0</v>
      </c>
      <c r="L397" s="20">
        <f>IF(B397="",0,Milestones!$X14)</f>
        <v>0</v>
      </c>
      <c r="M397" s="20" t="str">
        <f>IF(B397="","",Milestones!$AA14)</f>
        <v/>
      </c>
      <c r="N397" s="20" t="str">
        <f>IF(B397="","",Milestones!$AB14)</f>
        <v/>
      </c>
      <c r="O397" s="27" t="str">
        <f>IF(B397="","",Milestones!$Y14)</f>
        <v/>
      </c>
      <c r="P397" s="27" t="str">
        <f>IF(B397="","",Milestones!$Z14)</f>
        <v/>
      </c>
      <c r="Q397" s="20" t="str">
        <f t="shared" si="82"/>
        <v/>
      </c>
      <c r="R397" s="20" t="str">
        <f>IF(A397="","",IF(J397&lt;&gt;"",J397,IF(H397="TIMESTAMP",DAY(INT(M397/1440))&amp;" "&amp;INDEX(nLIST_Months,MONTH(INT(M397/1440)))&amp;" "&amp;YEAR(INT(M397/1440))&amp;" "&amp;RIGHT("0"&amp;INT(MOD(M397,1440)/60),2)&amp;":"&amp;RIGHT("0"&amp;MOD(M397,60),2)&amp;IF(L397=1," (UTC"&amp;I397&amp;")"," (offset unknown)"),IF(H397="DATE",DAY(O397)&amp;" "&amp;INDEX(nLIST_Months,MONTH(O397))&amp;" "&amp;YEAR(O397),IF(H397="MONTH",INDEX(nLIST_Months,MONTH(O397))&amp;" "&amp;YEAR(O397)&amp;" ("&amp;DAY(O397)&amp;" "&amp;INDEX(nLIST_Months,MONTH(O397))&amp;" "&amp;YEAR(O397)&amp;" to "&amp;DAY(P397)&amp;" "&amp;INDEX(nLIST_Months,MONTH(P397))&amp;" "&amp;YEAR(P397)&amp;")",IF(H397="YEAR",YEAR(O397)&amp;" (1 January to 31 December)",DAY(O397)&amp;" "&amp;INDEX(nLIST_Months,MONTH(O397))&amp;" "&amp;YEAR(O397)&amp;" to "&amp;DAY(P397)&amp;" "&amp;INDEX(nLIST_Months,MONTH(P397))&amp;" "&amp;YEAR(P397)&amp;IF(H397="LAB"," (laboratory-defined)","")))))))</f>
        <v/>
      </c>
      <c r="S397" s="20" t="str">
        <f>IF(B397="","",Milestones!$L14&amp;"")</f>
        <v/>
      </c>
      <c r="T397" s="20" t="str">
        <f>IF(B397="","",Milestones!$U14&amp;"")</f>
        <v/>
      </c>
      <c r="U397" s="20" t="str">
        <f>IF(B397="","","Milestones row "&amp;ROW(Milestones!$A14)&amp;", Milestone")</f>
        <v/>
      </c>
      <c r="V397" s="20">
        <f>IF(A397="",0,COUNTIF(nTP_Key,A397))</f>
        <v>0</v>
      </c>
      <c r="W397" s="20">
        <f t="shared" si="83"/>
        <v>0</v>
      </c>
      <c r="X397" s="20">
        <f t="shared" si="84"/>
        <v>0</v>
      </c>
      <c r="Y397" s="20">
        <f t="shared" si="85"/>
        <v>0</v>
      </c>
      <c r="Z397" s="20">
        <f t="shared" si="86"/>
        <v>0</v>
      </c>
      <c r="AA397" s="20">
        <f t="shared" si="87"/>
        <v>393</v>
      </c>
      <c r="AB397" s="20" t="str">
        <f>""</f>
        <v/>
      </c>
      <c r="AC397" s="20" t="str">
        <f>""</f>
        <v/>
      </c>
      <c r="AD397" s="20" t="str">
        <f>IF(B397="","",Milestones!$F14&amp;"")</f>
        <v/>
      </c>
      <c r="AE397" s="20">
        <f t="shared" si="88"/>
        <v>0</v>
      </c>
      <c r="AF397" s="20" t="str">
        <f t="shared" si="89"/>
        <v/>
      </c>
      <c r="AG397" s="20">
        <f t="shared" si="90"/>
        <v>0</v>
      </c>
      <c r="AH397" s="20" t="str">
        <f>""</f>
        <v/>
      </c>
    </row>
    <row r="398" spans="1:34" x14ac:dyDescent="0.2">
      <c r="A398" s="20" t="str">
        <f t="shared" si="80"/>
        <v/>
      </c>
      <c r="B398" s="20" t="str">
        <f>IF(AND(Milestones!$C15&lt;&gt;"",COUNTA(Milestones!$M15:$T15)&gt;0),Milestones!$C15&amp;"","")</f>
        <v/>
      </c>
      <c r="C398" s="20" t="str">
        <f>IF(B398="","","MILESTONE:"&amp;Milestones!$D15)</f>
        <v/>
      </c>
      <c r="D398" s="20" t="str">
        <f>IF(B398="","",Milestones!$A15&amp;"")</f>
        <v/>
      </c>
      <c r="E398" s="20" t="str">
        <f>IF(B398="","",Milestones!$B15&amp;"")</f>
        <v/>
      </c>
      <c r="F398" s="20" t="str">
        <f t="shared" si="81"/>
        <v/>
      </c>
      <c r="G398" s="20" t="str">
        <f>IF(B398="","",Milestones!$E15&amp;"")</f>
        <v/>
      </c>
      <c r="H398" s="20" t="str">
        <f>IF(B398="","",Milestones!$M15&amp;"")</f>
        <v/>
      </c>
      <c r="I398" s="20" t="str">
        <f>IF(B398="","",Milestones!$P15&amp;"")</f>
        <v/>
      </c>
      <c r="J398" s="20" t="str">
        <f>IF(B398="","",Milestones!$V15&amp;"")</f>
        <v/>
      </c>
      <c r="K398" s="20">
        <f>IF(B398="",0,Milestones!$W15)</f>
        <v>0</v>
      </c>
      <c r="L398" s="20">
        <f>IF(B398="",0,Milestones!$X15)</f>
        <v>0</v>
      </c>
      <c r="M398" s="20" t="str">
        <f>IF(B398="","",Milestones!$AA15)</f>
        <v/>
      </c>
      <c r="N398" s="20" t="str">
        <f>IF(B398="","",Milestones!$AB15)</f>
        <v/>
      </c>
      <c r="O398" s="27" t="str">
        <f>IF(B398="","",Milestones!$Y15)</f>
        <v/>
      </c>
      <c r="P398" s="27" t="str">
        <f>IF(B398="","",Milestones!$Z15)</f>
        <v/>
      </c>
      <c r="Q398" s="20" t="str">
        <f t="shared" si="82"/>
        <v/>
      </c>
      <c r="R398" s="20" t="str">
        <f>IF(A398="","",IF(J398&lt;&gt;"",J398,IF(H398="TIMESTAMP",DAY(INT(M398/1440))&amp;" "&amp;INDEX(nLIST_Months,MONTH(INT(M398/1440)))&amp;" "&amp;YEAR(INT(M398/1440))&amp;" "&amp;RIGHT("0"&amp;INT(MOD(M398,1440)/60),2)&amp;":"&amp;RIGHT("0"&amp;MOD(M398,60),2)&amp;IF(L398=1," (UTC"&amp;I398&amp;")"," (offset unknown)"),IF(H398="DATE",DAY(O398)&amp;" "&amp;INDEX(nLIST_Months,MONTH(O398))&amp;" "&amp;YEAR(O398),IF(H398="MONTH",INDEX(nLIST_Months,MONTH(O398))&amp;" "&amp;YEAR(O398)&amp;" ("&amp;DAY(O398)&amp;" "&amp;INDEX(nLIST_Months,MONTH(O398))&amp;" "&amp;YEAR(O398)&amp;" to "&amp;DAY(P398)&amp;" "&amp;INDEX(nLIST_Months,MONTH(P398))&amp;" "&amp;YEAR(P398)&amp;")",IF(H398="YEAR",YEAR(O398)&amp;" (1 January to 31 December)",DAY(O398)&amp;" "&amp;INDEX(nLIST_Months,MONTH(O398))&amp;" "&amp;YEAR(O398)&amp;" to "&amp;DAY(P398)&amp;" "&amp;INDEX(nLIST_Months,MONTH(P398))&amp;" "&amp;YEAR(P398)&amp;IF(H398="LAB"," (laboratory-defined)","")))))))</f>
        <v/>
      </c>
      <c r="S398" s="20" t="str">
        <f>IF(B398="","",Milestones!$L15&amp;"")</f>
        <v/>
      </c>
      <c r="T398" s="20" t="str">
        <f>IF(B398="","",Milestones!$U15&amp;"")</f>
        <v/>
      </c>
      <c r="U398" s="20" t="str">
        <f>IF(B398="","","Milestones row "&amp;ROW(Milestones!$A15)&amp;", Milestone")</f>
        <v/>
      </c>
      <c r="V398" s="20">
        <f>IF(A398="",0,COUNTIF(nTP_Key,A398))</f>
        <v>0</v>
      </c>
      <c r="W398" s="20">
        <f t="shared" si="83"/>
        <v>0</v>
      </c>
      <c r="X398" s="20">
        <f t="shared" si="84"/>
        <v>0</v>
      </c>
      <c r="Y398" s="20">
        <f t="shared" si="85"/>
        <v>0</v>
      </c>
      <c r="Z398" s="20">
        <f t="shared" si="86"/>
        <v>0</v>
      </c>
      <c r="AA398" s="20">
        <f t="shared" si="87"/>
        <v>394</v>
      </c>
      <c r="AB398" s="20" t="str">
        <f>""</f>
        <v/>
      </c>
      <c r="AC398" s="20" t="str">
        <f>""</f>
        <v/>
      </c>
      <c r="AD398" s="20" t="str">
        <f>IF(B398="","",Milestones!$F15&amp;"")</f>
        <v/>
      </c>
      <c r="AE398" s="20">
        <f t="shared" si="88"/>
        <v>0</v>
      </c>
      <c r="AF398" s="20" t="str">
        <f t="shared" si="89"/>
        <v/>
      </c>
      <c r="AG398" s="20">
        <f t="shared" si="90"/>
        <v>0</v>
      </c>
      <c r="AH398" s="20" t="str">
        <f>""</f>
        <v/>
      </c>
    </row>
    <row r="399" spans="1:34" x14ac:dyDescent="0.2">
      <c r="A399" s="20" t="str">
        <f t="shared" si="80"/>
        <v/>
      </c>
      <c r="B399" s="20" t="str">
        <f>IF(AND(Milestones!$C16&lt;&gt;"",COUNTA(Milestones!$M16:$T16)&gt;0),Milestones!$C16&amp;"","")</f>
        <v/>
      </c>
      <c r="C399" s="20" t="str">
        <f>IF(B399="","","MILESTONE:"&amp;Milestones!$D16)</f>
        <v/>
      </c>
      <c r="D399" s="20" t="str">
        <f>IF(B399="","",Milestones!$A16&amp;"")</f>
        <v/>
      </c>
      <c r="E399" s="20" t="str">
        <f>IF(B399="","",Milestones!$B16&amp;"")</f>
        <v/>
      </c>
      <c r="F399" s="20" t="str">
        <f t="shared" si="81"/>
        <v/>
      </c>
      <c r="G399" s="20" t="str">
        <f>IF(B399="","",Milestones!$E16&amp;"")</f>
        <v/>
      </c>
      <c r="H399" s="20" t="str">
        <f>IF(B399="","",Milestones!$M16&amp;"")</f>
        <v/>
      </c>
      <c r="I399" s="20" t="str">
        <f>IF(B399="","",Milestones!$P16&amp;"")</f>
        <v/>
      </c>
      <c r="J399" s="20" t="str">
        <f>IF(B399="","",Milestones!$V16&amp;"")</f>
        <v/>
      </c>
      <c r="K399" s="20">
        <f>IF(B399="",0,Milestones!$W16)</f>
        <v>0</v>
      </c>
      <c r="L399" s="20">
        <f>IF(B399="",0,Milestones!$X16)</f>
        <v>0</v>
      </c>
      <c r="M399" s="20" t="str">
        <f>IF(B399="","",Milestones!$AA16)</f>
        <v/>
      </c>
      <c r="N399" s="20" t="str">
        <f>IF(B399="","",Milestones!$AB16)</f>
        <v/>
      </c>
      <c r="O399" s="27" t="str">
        <f>IF(B399="","",Milestones!$Y16)</f>
        <v/>
      </c>
      <c r="P399" s="27" t="str">
        <f>IF(B399="","",Milestones!$Z16)</f>
        <v/>
      </c>
      <c r="Q399" s="20" t="str">
        <f t="shared" si="82"/>
        <v/>
      </c>
      <c r="R399" s="20" t="str">
        <f>IF(A399="","",IF(J399&lt;&gt;"",J399,IF(H399="TIMESTAMP",DAY(INT(M399/1440))&amp;" "&amp;INDEX(nLIST_Months,MONTH(INT(M399/1440)))&amp;" "&amp;YEAR(INT(M399/1440))&amp;" "&amp;RIGHT("0"&amp;INT(MOD(M399,1440)/60),2)&amp;":"&amp;RIGHT("0"&amp;MOD(M399,60),2)&amp;IF(L399=1," (UTC"&amp;I399&amp;")"," (offset unknown)"),IF(H399="DATE",DAY(O399)&amp;" "&amp;INDEX(nLIST_Months,MONTH(O399))&amp;" "&amp;YEAR(O399),IF(H399="MONTH",INDEX(nLIST_Months,MONTH(O399))&amp;" "&amp;YEAR(O399)&amp;" ("&amp;DAY(O399)&amp;" "&amp;INDEX(nLIST_Months,MONTH(O399))&amp;" "&amp;YEAR(O399)&amp;" to "&amp;DAY(P399)&amp;" "&amp;INDEX(nLIST_Months,MONTH(P399))&amp;" "&amp;YEAR(P399)&amp;")",IF(H399="YEAR",YEAR(O399)&amp;" (1 January to 31 December)",DAY(O399)&amp;" "&amp;INDEX(nLIST_Months,MONTH(O399))&amp;" "&amp;YEAR(O399)&amp;" to "&amp;DAY(P399)&amp;" "&amp;INDEX(nLIST_Months,MONTH(P399))&amp;" "&amp;YEAR(P399)&amp;IF(H399="LAB"," (laboratory-defined)","")))))))</f>
        <v/>
      </c>
      <c r="S399" s="20" t="str">
        <f>IF(B399="","",Milestones!$L16&amp;"")</f>
        <v/>
      </c>
      <c r="T399" s="20" t="str">
        <f>IF(B399="","",Milestones!$U16&amp;"")</f>
        <v/>
      </c>
      <c r="U399" s="20" t="str">
        <f>IF(B399="","","Milestones row "&amp;ROW(Milestones!$A16)&amp;", Milestone")</f>
        <v/>
      </c>
      <c r="V399" s="20">
        <f>IF(A399="",0,COUNTIF(nTP_Key,A399))</f>
        <v>0</v>
      </c>
      <c r="W399" s="20">
        <f t="shared" si="83"/>
        <v>0</v>
      </c>
      <c r="X399" s="20">
        <f t="shared" si="84"/>
        <v>0</v>
      </c>
      <c r="Y399" s="20">
        <f t="shared" si="85"/>
        <v>0</v>
      </c>
      <c r="Z399" s="20">
        <f t="shared" si="86"/>
        <v>0</v>
      </c>
      <c r="AA399" s="20">
        <f t="shared" si="87"/>
        <v>395</v>
      </c>
      <c r="AB399" s="20" t="str">
        <f>""</f>
        <v/>
      </c>
      <c r="AC399" s="20" t="str">
        <f>""</f>
        <v/>
      </c>
      <c r="AD399" s="20" t="str">
        <f>IF(B399="","",Milestones!$F16&amp;"")</f>
        <v/>
      </c>
      <c r="AE399" s="20">
        <f t="shared" si="88"/>
        <v>0</v>
      </c>
      <c r="AF399" s="20" t="str">
        <f t="shared" si="89"/>
        <v/>
      </c>
      <c r="AG399" s="20">
        <f t="shared" si="90"/>
        <v>0</v>
      </c>
      <c r="AH399" s="20" t="str">
        <f>""</f>
        <v/>
      </c>
    </row>
    <row r="400" spans="1:34" x14ac:dyDescent="0.2">
      <c r="A400" s="20" t="str">
        <f t="shared" si="80"/>
        <v/>
      </c>
      <c r="B400" s="20" t="str">
        <f>IF(AND(Milestones!$C17&lt;&gt;"",COUNTA(Milestones!$M17:$T17)&gt;0),Milestones!$C17&amp;"","")</f>
        <v/>
      </c>
      <c r="C400" s="20" t="str">
        <f>IF(B400="","","MILESTONE:"&amp;Milestones!$D17)</f>
        <v/>
      </c>
      <c r="D400" s="20" t="str">
        <f>IF(B400="","",Milestones!$A17&amp;"")</f>
        <v/>
      </c>
      <c r="E400" s="20" t="str">
        <f>IF(B400="","",Milestones!$B17&amp;"")</f>
        <v/>
      </c>
      <c r="F400" s="20" t="str">
        <f t="shared" si="81"/>
        <v/>
      </c>
      <c r="G400" s="20" t="str">
        <f>IF(B400="","",Milestones!$E17&amp;"")</f>
        <v/>
      </c>
      <c r="H400" s="20" t="str">
        <f>IF(B400="","",Milestones!$M17&amp;"")</f>
        <v/>
      </c>
      <c r="I400" s="20" t="str">
        <f>IF(B400="","",Milestones!$P17&amp;"")</f>
        <v/>
      </c>
      <c r="J400" s="20" t="str">
        <f>IF(B400="","",Milestones!$V17&amp;"")</f>
        <v/>
      </c>
      <c r="K400" s="20">
        <f>IF(B400="",0,Milestones!$W17)</f>
        <v>0</v>
      </c>
      <c r="L400" s="20">
        <f>IF(B400="",0,Milestones!$X17)</f>
        <v>0</v>
      </c>
      <c r="M400" s="20" t="str">
        <f>IF(B400="","",Milestones!$AA17)</f>
        <v/>
      </c>
      <c r="N400" s="20" t="str">
        <f>IF(B400="","",Milestones!$AB17)</f>
        <v/>
      </c>
      <c r="O400" s="27" t="str">
        <f>IF(B400="","",Milestones!$Y17)</f>
        <v/>
      </c>
      <c r="P400" s="27" t="str">
        <f>IF(B400="","",Milestones!$Z17)</f>
        <v/>
      </c>
      <c r="Q400" s="20" t="str">
        <f t="shared" si="82"/>
        <v/>
      </c>
      <c r="R400" s="20" t="str">
        <f>IF(A400="","",IF(J400&lt;&gt;"",J400,IF(H400="TIMESTAMP",DAY(INT(M400/1440))&amp;" "&amp;INDEX(nLIST_Months,MONTH(INT(M400/1440)))&amp;" "&amp;YEAR(INT(M400/1440))&amp;" "&amp;RIGHT("0"&amp;INT(MOD(M400,1440)/60),2)&amp;":"&amp;RIGHT("0"&amp;MOD(M400,60),2)&amp;IF(L400=1," (UTC"&amp;I400&amp;")"," (offset unknown)"),IF(H400="DATE",DAY(O400)&amp;" "&amp;INDEX(nLIST_Months,MONTH(O400))&amp;" "&amp;YEAR(O400),IF(H400="MONTH",INDEX(nLIST_Months,MONTH(O400))&amp;" "&amp;YEAR(O400)&amp;" ("&amp;DAY(O400)&amp;" "&amp;INDEX(nLIST_Months,MONTH(O400))&amp;" "&amp;YEAR(O400)&amp;" to "&amp;DAY(P400)&amp;" "&amp;INDEX(nLIST_Months,MONTH(P400))&amp;" "&amp;YEAR(P400)&amp;")",IF(H400="YEAR",YEAR(O400)&amp;" (1 January to 31 December)",DAY(O400)&amp;" "&amp;INDEX(nLIST_Months,MONTH(O400))&amp;" "&amp;YEAR(O400)&amp;" to "&amp;DAY(P400)&amp;" "&amp;INDEX(nLIST_Months,MONTH(P400))&amp;" "&amp;YEAR(P400)&amp;IF(H400="LAB"," (laboratory-defined)","")))))))</f>
        <v/>
      </c>
      <c r="S400" s="20" t="str">
        <f>IF(B400="","",Milestones!$L17&amp;"")</f>
        <v/>
      </c>
      <c r="T400" s="20" t="str">
        <f>IF(B400="","",Milestones!$U17&amp;"")</f>
        <v/>
      </c>
      <c r="U400" s="20" t="str">
        <f>IF(B400="","","Milestones row "&amp;ROW(Milestones!$A17)&amp;", Milestone")</f>
        <v/>
      </c>
      <c r="V400" s="20">
        <f>IF(A400="",0,COUNTIF(nTP_Key,A400))</f>
        <v>0</v>
      </c>
      <c r="W400" s="20">
        <f t="shared" si="83"/>
        <v>0</v>
      </c>
      <c r="X400" s="20">
        <f t="shared" si="84"/>
        <v>0</v>
      </c>
      <c r="Y400" s="20">
        <f t="shared" si="85"/>
        <v>0</v>
      </c>
      <c r="Z400" s="20">
        <f t="shared" si="86"/>
        <v>0</v>
      </c>
      <c r="AA400" s="20">
        <f t="shared" si="87"/>
        <v>396</v>
      </c>
      <c r="AB400" s="20" t="str">
        <f>""</f>
        <v/>
      </c>
      <c r="AC400" s="20" t="str">
        <f>""</f>
        <v/>
      </c>
      <c r="AD400" s="20" t="str">
        <f>IF(B400="","",Milestones!$F17&amp;"")</f>
        <v/>
      </c>
      <c r="AE400" s="20">
        <f t="shared" si="88"/>
        <v>0</v>
      </c>
      <c r="AF400" s="20" t="str">
        <f t="shared" si="89"/>
        <v/>
      </c>
      <c r="AG400" s="20">
        <f t="shared" si="90"/>
        <v>0</v>
      </c>
      <c r="AH400" s="20" t="str">
        <f>""</f>
        <v/>
      </c>
    </row>
    <row r="401" spans="1:34" x14ac:dyDescent="0.2">
      <c r="A401" s="20" t="str">
        <f t="shared" si="80"/>
        <v/>
      </c>
      <c r="B401" s="20" t="str">
        <f>IF(AND(Milestones!$C18&lt;&gt;"",COUNTA(Milestones!$M18:$T18)&gt;0),Milestones!$C18&amp;"","")</f>
        <v/>
      </c>
      <c r="C401" s="20" t="str">
        <f>IF(B401="","","MILESTONE:"&amp;Milestones!$D18)</f>
        <v/>
      </c>
      <c r="D401" s="20" t="str">
        <f>IF(B401="","",Milestones!$A18&amp;"")</f>
        <v/>
      </c>
      <c r="E401" s="20" t="str">
        <f>IF(B401="","",Milestones!$B18&amp;"")</f>
        <v/>
      </c>
      <c r="F401" s="20" t="str">
        <f t="shared" si="81"/>
        <v/>
      </c>
      <c r="G401" s="20" t="str">
        <f>IF(B401="","",Milestones!$E18&amp;"")</f>
        <v/>
      </c>
      <c r="H401" s="20" t="str">
        <f>IF(B401="","",Milestones!$M18&amp;"")</f>
        <v/>
      </c>
      <c r="I401" s="20" t="str">
        <f>IF(B401="","",Milestones!$P18&amp;"")</f>
        <v/>
      </c>
      <c r="J401" s="20" t="str">
        <f>IF(B401="","",Milestones!$V18&amp;"")</f>
        <v/>
      </c>
      <c r="K401" s="20">
        <f>IF(B401="",0,Milestones!$W18)</f>
        <v>0</v>
      </c>
      <c r="L401" s="20">
        <f>IF(B401="",0,Milestones!$X18)</f>
        <v>0</v>
      </c>
      <c r="M401" s="20" t="str">
        <f>IF(B401="","",Milestones!$AA18)</f>
        <v/>
      </c>
      <c r="N401" s="20" t="str">
        <f>IF(B401="","",Milestones!$AB18)</f>
        <v/>
      </c>
      <c r="O401" s="27" t="str">
        <f>IF(B401="","",Milestones!$Y18)</f>
        <v/>
      </c>
      <c r="P401" s="27" t="str">
        <f>IF(B401="","",Milestones!$Z18)</f>
        <v/>
      </c>
      <c r="Q401" s="20" t="str">
        <f t="shared" si="82"/>
        <v/>
      </c>
      <c r="R401" s="20" t="str">
        <f>IF(A401="","",IF(J401&lt;&gt;"",J401,IF(H401="TIMESTAMP",DAY(INT(M401/1440))&amp;" "&amp;INDEX(nLIST_Months,MONTH(INT(M401/1440)))&amp;" "&amp;YEAR(INT(M401/1440))&amp;" "&amp;RIGHT("0"&amp;INT(MOD(M401,1440)/60),2)&amp;":"&amp;RIGHT("0"&amp;MOD(M401,60),2)&amp;IF(L401=1," (UTC"&amp;I401&amp;")"," (offset unknown)"),IF(H401="DATE",DAY(O401)&amp;" "&amp;INDEX(nLIST_Months,MONTH(O401))&amp;" "&amp;YEAR(O401),IF(H401="MONTH",INDEX(nLIST_Months,MONTH(O401))&amp;" "&amp;YEAR(O401)&amp;" ("&amp;DAY(O401)&amp;" "&amp;INDEX(nLIST_Months,MONTH(O401))&amp;" "&amp;YEAR(O401)&amp;" to "&amp;DAY(P401)&amp;" "&amp;INDEX(nLIST_Months,MONTH(P401))&amp;" "&amp;YEAR(P401)&amp;")",IF(H401="YEAR",YEAR(O401)&amp;" (1 January to 31 December)",DAY(O401)&amp;" "&amp;INDEX(nLIST_Months,MONTH(O401))&amp;" "&amp;YEAR(O401)&amp;" to "&amp;DAY(P401)&amp;" "&amp;INDEX(nLIST_Months,MONTH(P401))&amp;" "&amp;YEAR(P401)&amp;IF(H401="LAB"," (laboratory-defined)","")))))))</f>
        <v/>
      </c>
      <c r="S401" s="20" t="str">
        <f>IF(B401="","",Milestones!$L18&amp;"")</f>
        <v/>
      </c>
      <c r="T401" s="20" t="str">
        <f>IF(B401="","",Milestones!$U18&amp;"")</f>
        <v/>
      </c>
      <c r="U401" s="20" t="str">
        <f>IF(B401="","","Milestones row "&amp;ROW(Milestones!$A18)&amp;", Milestone")</f>
        <v/>
      </c>
      <c r="V401" s="20">
        <f>IF(A401="",0,COUNTIF(nTP_Key,A401))</f>
        <v>0</v>
      </c>
      <c r="W401" s="20">
        <f t="shared" si="83"/>
        <v>0</v>
      </c>
      <c r="X401" s="20">
        <f t="shared" si="84"/>
        <v>0</v>
      </c>
      <c r="Y401" s="20">
        <f t="shared" si="85"/>
        <v>0</v>
      </c>
      <c r="Z401" s="20">
        <f t="shared" si="86"/>
        <v>0</v>
      </c>
      <c r="AA401" s="20">
        <f t="shared" si="87"/>
        <v>397</v>
      </c>
      <c r="AB401" s="20" t="str">
        <f>""</f>
        <v/>
      </c>
      <c r="AC401" s="20" t="str">
        <f>""</f>
        <v/>
      </c>
      <c r="AD401" s="20" t="str">
        <f>IF(B401="","",Milestones!$F18&amp;"")</f>
        <v/>
      </c>
      <c r="AE401" s="20">
        <f t="shared" si="88"/>
        <v>0</v>
      </c>
      <c r="AF401" s="20" t="str">
        <f t="shared" si="89"/>
        <v/>
      </c>
      <c r="AG401" s="20">
        <f t="shared" si="90"/>
        <v>0</v>
      </c>
      <c r="AH401" s="20" t="str">
        <f>""</f>
        <v/>
      </c>
    </row>
    <row r="402" spans="1:34" x14ac:dyDescent="0.2">
      <c r="A402" s="20" t="str">
        <f t="shared" si="80"/>
        <v/>
      </c>
      <c r="B402" s="20" t="str">
        <f>IF(AND(Milestones!$C19&lt;&gt;"",COUNTA(Milestones!$M19:$T19)&gt;0),Milestones!$C19&amp;"","")</f>
        <v/>
      </c>
      <c r="C402" s="20" t="str">
        <f>IF(B402="","","MILESTONE:"&amp;Milestones!$D19)</f>
        <v/>
      </c>
      <c r="D402" s="20" t="str">
        <f>IF(B402="","",Milestones!$A19&amp;"")</f>
        <v/>
      </c>
      <c r="E402" s="20" t="str">
        <f>IF(B402="","",Milestones!$B19&amp;"")</f>
        <v/>
      </c>
      <c r="F402" s="20" t="str">
        <f t="shared" si="81"/>
        <v/>
      </c>
      <c r="G402" s="20" t="str">
        <f>IF(B402="","",Milestones!$E19&amp;"")</f>
        <v/>
      </c>
      <c r="H402" s="20" t="str">
        <f>IF(B402="","",Milestones!$M19&amp;"")</f>
        <v/>
      </c>
      <c r="I402" s="20" t="str">
        <f>IF(B402="","",Milestones!$P19&amp;"")</f>
        <v/>
      </c>
      <c r="J402" s="20" t="str">
        <f>IF(B402="","",Milestones!$V19&amp;"")</f>
        <v/>
      </c>
      <c r="K402" s="20">
        <f>IF(B402="",0,Milestones!$W19)</f>
        <v>0</v>
      </c>
      <c r="L402" s="20">
        <f>IF(B402="",0,Milestones!$X19)</f>
        <v>0</v>
      </c>
      <c r="M402" s="20" t="str">
        <f>IF(B402="","",Milestones!$AA19)</f>
        <v/>
      </c>
      <c r="N402" s="20" t="str">
        <f>IF(B402="","",Milestones!$AB19)</f>
        <v/>
      </c>
      <c r="O402" s="27" t="str">
        <f>IF(B402="","",Milestones!$Y19)</f>
        <v/>
      </c>
      <c r="P402" s="27" t="str">
        <f>IF(B402="","",Milestones!$Z19)</f>
        <v/>
      </c>
      <c r="Q402" s="20" t="str">
        <f t="shared" si="82"/>
        <v/>
      </c>
      <c r="R402" s="20" t="str">
        <f>IF(A402="","",IF(J402&lt;&gt;"",J402,IF(H402="TIMESTAMP",DAY(INT(M402/1440))&amp;" "&amp;INDEX(nLIST_Months,MONTH(INT(M402/1440)))&amp;" "&amp;YEAR(INT(M402/1440))&amp;" "&amp;RIGHT("0"&amp;INT(MOD(M402,1440)/60),2)&amp;":"&amp;RIGHT("0"&amp;MOD(M402,60),2)&amp;IF(L402=1," (UTC"&amp;I402&amp;")"," (offset unknown)"),IF(H402="DATE",DAY(O402)&amp;" "&amp;INDEX(nLIST_Months,MONTH(O402))&amp;" "&amp;YEAR(O402),IF(H402="MONTH",INDEX(nLIST_Months,MONTH(O402))&amp;" "&amp;YEAR(O402)&amp;" ("&amp;DAY(O402)&amp;" "&amp;INDEX(nLIST_Months,MONTH(O402))&amp;" "&amp;YEAR(O402)&amp;" to "&amp;DAY(P402)&amp;" "&amp;INDEX(nLIST_Months,MONTH(P402))&amp;" "&amp;YEAR(P402)&amp;")",IF(H402="YEAR",YEAR(O402)&amp;" (1 January to 31 December)",DAY(O402)&amp;" "&amp;INDEX(nLIST_Months,MONTH(O402))&amp;" "&amp;YEAR(O402)&amp;" to "&amp;DAY(P402)&amp;" "&amp;INDEX(nLIST_Months,MONTH(P402))&amp;" "&amp;YEAR(P402)&amp;IF(H402="LAB"," (laboratory-defined)","")))))))</f>
        <v/>
      </c>
      <c r="S402" s="20" t="str">
        <f>IF(B402="","",Milestones!$L19&amp;"")</f>
        <v/>
      </c>
      <c r="T402" s="20" t="str">
        <f>IF(B402="","",Milestones!$U19&amp;"")</f>
        <v/>
      </c>
      <c r="U402" s="20" t="str">
        <f>IF(B402="","","Milestones row "&amp;ROW(Milestones!$A19)&amp;", Milestone")</f>
        <v/>
      </c>
      <c r="V402" s="20">
        <f>IF(A402="",0,COUNTIF(nTP_Key,A402))</f>
        <v>0</v>
      </c>
      <c r="W402" s="20">
        <f t="shared" si="83"/>
        <v>0</v>
      </c>
      <c r="X402" s="20">
        <f t="shared" si="84"/>
        <v>0</v>
      </c>
      <c r="Y402" s="20">
        <f t="shared" si="85"/>
        <v>0</v>
      </c>
      <c r="Z402" s="20">
        <f t="shared" si="86"/>
        <v>0</v>
      </c>
      <c r="AA402" s="20">
        <f t="shared" si="87"/>
        <v>398</v>
      </c>
      <c r="AB402" s="20" t="str">
        <f>""</f>
        <v/>
      </c>
      <c r="AC402" s="20" t="str">
        <f>""</f>
        <v/>
      </c>
      <c r="AD402" s="20" t="str">
        <f>IF(B402="","",Milestones!$F19&amp;"")</f>
        <v/>
      </c>
      <c r="AE402" s="20">
        <f t="shared" si="88"/>
        <v>0</v>
      </c>
      <c r="AF402" s="20" t="str">
        <f t="shared" si="89"/>
        <v/>
      </c>
      <c r="AG402" s="20">
        <f t="shared" si="90"/>
        <v>0</v>
      </c>
      <c r="AH402" s="20" t="str">
        <f>""</f>
        <v/>
      </c>
    </row>
    <row r="403" spans="1:34" x14ac:dyDescent="0.2">
      <c r="A403" s="20" t="str">
        <f t="shared" si="80"/>
        <v/>
      </c>
      <c r="B403" s="20" t="str">
        <f>IF(AND(Milestones!$C20&lt;&gt;"",COUNTA(Milestones!$M20:$T20)&gt;0),Milestones!$C20&amp;"","")</f>
        <v/>
      </c>
      <c r="C403" s="20" t="str">
        <f>IF(B403="","","MILESTONE:"&amp;Milestones!$D20)</f>
        <v/>
      </c>
      <c r="D403" s="20" t="str">
        <f>IF(B403="","",Milestones!$A20&amp;"")</f>
        <v/>
      </c>
      <c r="E403" s="20" t="str">
        <f>IF(B403="","",Milestones!$B20&amp;"")</f>
        <v/>
      </c>
      <c r="F403" s="20" t="str">
        <f t="shared" si="81"/>
        <v/>
      </c>
      <c r="G403" s="20" t="str">
        <f>IF(B403="","",Milestones!$E20&amp;"")</f>
        <v/>
      </c>
      <c r="H403" s="20" t="str">
        <f>IF(B403="","",Milestones!$M20&amp;"")</f>
        <v/>
      </c>
      <c r="I403" s="20" t="str">
        <f>IF(B403="","",Milestones!$P20&amp;"")</f>
        <v/>
      </c>
      <c r="J403" s="20" t="str">
        <f>IF(B403="","",Milestones!$V20&amp;"")</f>
        <v/>
      </c>
      <c r="K403" s="20">
        <f>IF(B403="",0,Milestones!$W20)</f>
        <v>0</v>
      </c>
      <c r="L403" s="20">
        <f>IF(B403="",0,Milestones!$X20)</f>
        <v>0</v>
      </c>
      <c r="M403" s="20" t="str">
        <f>IF(B403="","",Milestones!$AA20)</f>
        <v/>
      </c>
      <c r="N403" s="20" t="str">
        <f>IF(B403="","",Milestones!$AB20)</f>
        <v/>
      </c>
      <c r="O403" s="27" t="str">
        <f>IF(B403="","",Milestones!$Y20)</f>
        <v/>
      </c>
      <c r="P403" s="27" t="str">
        <f>IF(B403="","",Milestones!$Z20)</f>
        <v/>
      </c>
      <c r="Q403" s="20" t="str">
        <f t="shared" si="82"/>
        <v/>
      </c>
      <c r="R403" s="20" t="str">
        <f>IF(A403="","",IF(J403&lt;&gt;"",J403,IF(H403="TIMESTAMP",DAY(INT(M403/1440))&amp;" "&amp;INDEX(nLIST_Months,MONTH(INT(M403/1440)))&amp;" "&amp;YEAR(INT(M403/1440))&amp;" "&amp;RIGHT("0"&amp;INT(MOD(M403,1440)/60),2)&amp;":"&amp;RIGHT("0"&amp;MOD(M403,60),2)&amp;IF(L403=1," (UTC"&amp;I403&amp;")"," (offset unknown)"),IF(H403="DATE",DAY(O403)&amp;" "&amp;INDEX(nLIST_Months,MONTH(O403))&amp;" "&amp;YEAR(O403),IF(H403="MONTH",INDEX(nLIST_Months,MONTH(O403))&amp;" "&amp;YEAR(O403)&amp;" ("&amp;DAY(O403)&amp;" "&amp;INDEX(nLIST_Months,MONTH(O403))&amp;" "&amp;YEAR(O403)&amp;" to "&amp;DAY(P403)&amp;" "&amp;INDEX(nLIST_Months,MONTH(P403))&amp;" "&amp;YEAR(P403)&amp;")",IF(H403="YEAR",YEAR(O403)&amp;" (1 January to 31 December)",DAY(O403)&amp;" "&amp;INDEX(nLIST_Months,MONTH(O403))&amp;" "&amp;YEAR(O403)&amp;" to "&amp;DAY(P403)&amp;" "&amp;INDEX(nLIST_Months,MONTH(P403))&amp;" "&amp;YEAR(P403)&amp;IF(H403="LAB"," (laboratory-defined)","")))))))</f>
        <v/>
      </c>
      <c r="S403" s="20" t="str">
        <f>IF(B403="","",Milestones!$L20&amp;"")</f>
        <v/>
      </c>
      <c r="T403" s="20" t="str">
        <f>IF(B403="","",Milestones!$U20&amp;"")</f>
        <v/>
      </c>
      <c r="U403" s="20" t="str">
        <f>IF(B403="","","Milestones row "&amp;ROW(Milestones!$A20)&amp;", Milestone")</f>
        <v/>
      </c>
      <c r="V403" s="20">
        <f>IF(A403="",0,COUNTIF(nTP_Key,A403))</f>
        <v>0</v>
      </c>
      <c r="W403" s="20">
        <f t="shared" si="83"/>
        <v>0</v>
      </c>
      <c r="X403" s="20">
        <f t="shared" si="84"/>
        <v>0</v>
      </c>
      <c r="Y403" s="20">
        <f t="shared" si="85"/>
        <v>0</v>
      </c>
      <c r="Z403" s="20">
        <f t="shared" si="86"/>
        <v>0</v>
      </c>
      <c r="AA403" s="20">
        <f t="shared" si="87"/>
        <v>399</v>
      </c>
      <c r="AB403" s="20" t="str">
        <f>""</f>
        <v/>
      </c>
      <c r="AC403" s="20" t="str">
        <f>""</f>
        <v/>
      </c>
      <c r="AD403" s="20" t="str">
        <f>IF(B403="","",Milestones!$F20&amp;"")</f>
        <v/>
      </c>
      <c r="AE403" s="20">
        <f t="shared" si="88"/>
        <v>0</v>
      </c>
      <c r="AF403" s="20" t="str">
        <f t="shared" si="89"/>
        <v/>
      </c>
      <c r="AG403" s="20">
        <f t="shared" si="90"/>
        <v>0</v>
      </c>
      <c r="AH403" s="20" t="str">
        <f>""</f>
        <v/>
      </c>
    </row>
    <row r="404" spans="1:34" x14ac:dyDescent="0.2">
      <c r="A404" s="20" t="str">
        <f t="shared" si="80"/>
        <v/>
      </c>
      <c r="B404" s="20" t="str">
        <f>IF(AND(Milestones!$C21&lt;&gt;"",COUNTA(Milestones!$M21:$T21)&gt;0),Milestones!$C21&amp;"","")</f>
        <v/>
      </c>
      <c r="C404" s="20" t="str">
        <f>IF(B404="","","MILESTONE:"&amp;Milestones!$D21)</f>
        <v/>
      </c>
      <c r="D404" s="20" t="str">
        <f>IF(B404="","",Milestones!$A21&amp;"")</f>
        <v/>
      </c>
      <c r="E404" s="20" t="str">
        <f>IF(B404="","",Milestones!$B21&amp;"")</f>
        <v/>
      </c>
      <c r="F404" s="20" t="str">
        <f t="shared" si="81"/>
        <v/>
      </c>
      <c r="G404" s="20" t="str">
        <f>IF(B404="","",Milestones!$E21&amp;"")</f>
        <v/>
      </c>
      <c r="H404" s="20" t="str">
        <f>IF(B404="","",Milestones!$M21&amp;"")</f>
        <v/>
      </c>
      <c r="I404" s="20" t="str">
        <f>IF(B404="","",Milestones!$P21&amp;"")</f>
        <v/>
      </c>
      <c r="J404" s="20" t="str">
        <f>IF(B404="","",Milestones!$V21&amp;"")</f>
        <v/>
      </c>
      <c r="K404" s="20">
        <f>IF(B404="",0,Milestones!$W21)</f>
        <v>0</v>
      </c>
      <c r="L404" s="20">
        <f>IF(B404="",0,Milestones!$X21)</f>
        <v>0</v>
      </c>
      <c r="M404" s="20" t="str">
        <f>IF(B404="","",Milestones!$AA21)</f>
        <v/>
      </c>
      <c r="N404" s="20" t="str">
        <f>IF(B404="","",Milestones!$AB21)</f>
        <v/>
      </c>
      <c r="O404" s="27" t="str">
        <f>IF(B404="","",Milestones!$Y21)</f>
        <v/>
      </c>
      <c r="P404" s="27" t="str">
        <f>IF(B404="","",Milestones!$Z21)</f>
        <v/>
      </c>
      <c r="Q404" s="20" t="str">
        <f t="shared" si="82"/>
        <v/>
      </c>
      <c r="R404" s="20" t="str">
        <f>IF(A404="","",IF(J404&lt;&gt;"",J404,IF(H404="TIMESTAMP",DAY(INT(M404/1440))&amp;" "&amp;INDEX(nLIST_Months,MONTH(INT(M404/1440)))&amp;" "&amp;YEAR(INT(M404/1440))&amp;" "&amp;RIGHT("0"&amp;INT(MOD(M404,1440)/60),2)&amp;":"&amp;RIGHT("0"&amp;MOD(M404,60),2)&amp;IF(L404=1," (UTC"&amp;I404&amp;")"," (offset unknown)"),IF(H404="DATE",DAY(O404)&amp;" "&amp;INDEX(nLIST_Months,MONTH(O404))&amp;" "&amp;YEAR(O404),IF(H404="MONTH",INDEX(nLIST_Months,MONTH(O404))&amp;" "&amp;YEAR(O404)&amp;" ("&amp;DAY(O404)&amp;" "&amp;INDEX(nLIST_Months,MONTH(O404))&amp;" "&amp;YEAR(O404)&amp;" to "&amp;DAY(P404)&amp;" "&amp;INDEX(nLIST_Months,MONTH(P404))&amp;" "&amp;YEAR(P404)&amp;")",IF(H404="YEAR",YEAR(O404)&amp;" (1 January to 31 December)",DAY(O404)&amp;" "&amp;INDEX(nLIST_Months,MONTH(O404))&amp;" "&amp;YEAR(O404)&amp;" to "&amp;DAY(P404)&amp;" "&amp;INDEX(nLIST_Months,MONTH(P404))&amp;" "&amp;YEAR(P404)&amp;IF(H404="LAB"," (laboratory-defined)","")))))))</f>
        <v/>
      </c>
      <c r="S404" s="20" t="str">
        <f>IF(B404="","",Milestones!$L21&amp;"")</f>
        <v/>
      </c>
      <c r="T404" s="20" t="str">
        <f>IF(B404="","",Milestones!$U21&amp;"")</f>
        <v/>
      </c>
      <c r="U404" s="20" t="str">
        <f>IF(B404="","","Milestones row "&amp;ROW(Milestones!$A21)&amp;", Milestone")</f>
        <v/>
      </c>
      <c r="V404" s="20">
        <f>IF(A404="",0,COUNTIF(nTP_Key,A404))</f>
        <v>0</v>
      </c>
      <c r="W404" s="20">
        <f t="shared" si="83"/>
        <v>0</v>
      </c>
      <c r="X404" s="20">
        <f t="shared" si="84"/>
        <v>0</v>
      </c>
      <c r="Y404" s="20">
        <f t="shared" si="85"/>
        <v>0</v>
      </c>
      <c r="Z404" s="20">
        <f t="shared" si="86"/>
        <v>0</v>
      </c>
      <c r="AA404" s="20">
        <f t="shared" si="87"/>
        <v>400</v>
      </c>
      <c r="AB404" s="20" t="str">
        <f>""</f>
        <v/>
      </c>
      <c r="AC404" s="20" t="str">
        <f>""</f>
        <v/>
      </c>
      <c r="AD404" s="20" t="str">
        <f>IF(B404="","",Milestones!$F21&amp;"")</f>
        <v/>
      </c>
      <c r="AE404" s="20">
        <f t="shared" si="88"/>
        <v>0</v>
      </c>
      <c r="AF404" s="20" t="str">
        <f t="shared" si="89"/>
        <v/>
      </c>
      <c r="AG404" s="20">
        <f t="shared" si="90"/>
        <v>0</v>
      </c>
      <c r="AH404" s="20" t="str">
        <f>""</f>
        <v/>
      </c>
    </row>
    <row r="405" spans="1:34" x14ac:dyDescent="0.2">
      <c r="A405" s="20" t="str">
        <f t="shared" si="80"/>
        <v/>
      </c>
      <c r="B405" s="20" t="str">
        <f>IF(AND(Milestones!$C22&lt;&gt;"",COUNTA(Milestones!$M22:$T22)&gt;0),Milestones!$C22&amp;"","")</f>
        <v/>
      </c>
      <c r="C405" s="20" t="str">
        <f>IF(B405="","","MILESTONE:"&amp;Milestones!$D22)</f>
        <v/>
      </c>
      <c r="D405" s="20" t="str">
        <f>IF(B405="","",Milestones!$A22&amp;"")</f>
        <v/>
      </c>
      <c r="E405" s="20" t="str">
        <f>IF(B405="","",Milestones!$B22&amp;"")</f>
        <v/>
      </c>
      <c r="F405" s="20" t="str">
        <f t="shared" si="81"/>
        <v/>
      </c>
      <c r="G405" s="20" t="str">
        <f>IF(B405="","",Milestones!$E22&amp;"")</f>
        <v/>
      </c>
      <c r="H405" s="20" t="str">
        <f>IF(B405="","",Milestones!$M22&amp;"")</f>
        <v/>
      </c>
      <c r="I405" s="20" t="str">
        <f>IF(B405="","",Milestones!$P22&amp;"")</f>
        <v/>
      </c>
      <c r="J405" s="20" t="str">
        <f>IF(B405="","",Milestones!$V22&amp;"")</f>
        <v/>
      </c>
      <c r="K405" s="20">
        <f>IF(B405="",0,Milestones!$W22)</f>
        <v>0</v>
      </c>
      <c r="L405" s="20">
        <f>IF(B405="",0,Milestones!$X22)</f>
        <v>0</v>
      </c>
      <c r="M405" s="20" t="str">
        <f>IF(B405="","",Milestones!$AA22)</f>
        <v/>
      </c>
      <c r="N405" s="20" t="str">
        <f>IF(B405="","",Milestones!$AB22)</f>
        <v/>
      </c>
      <c r="O405" s="27" t="str">
        <f>IF(B405="","",Milestones!$Y22)</f>
        <v/>
      </c>
      <c r="P405" s="27" t="str">
        <f>IF(B405="","",Milestones!$Z22)</f>
        <v/>
      </c>
      <c r="Q405" s="20" t="str">
        <f t="shared" si="82"/>
        <v/>
      </c>
      <c r="R405" s="20" t="str">
        <f>IF(A405="","",IF(J405&lt;&gt;"",J405,IF(H405="TIMESTAMP",DAY(INT(M405/1440))&amp;" "&amp;INDEX(nLIST_Months,MONTH(INT(M405/1440)))&amp;" "&amp;YEAR(INT(M405/1440))&amp;" "&amp;RIGHT("0"&amp;INT(MOD(M405,1440)/60),2)&amp;":"&amp;RIGHT("0"&amp;MOD(M405,60),2)&amp;IF(L405=1," (UTC"&amp;I405&amp;")"," (offset unknown)"),IF(H405="DATE",DAY(O405)&amp;" "&amp;INDEX(nLIST_Months,MONTH(O405))&amp;" "&amp;YEAR(O405),IF(H405="MONTH",INDEX(nLIST_Months,MONTH(O405))&amp;" "&amp;YEAR(O405)&amp;" ("&amp;DAY(O405)&amp;" "&amp;INDEX(nLIST_Months,MONTH(O405))&amp;" "&amp;YEAR(O405)&amp;" to "&amp;DAY(P405)&amp;" "&amp;INDEX(nLIST_Months,MONTH(P405))&amp;" "&amp;YEAR(P405)&amp;")",IF(H405="YEAR",YEAR(O405)&amp;" (1 January to 31 December)",DAY(O405)&amp;" "&amp;INDEX(nLIST_Months,MONTH(O405))&amp;" "&amp;YEAR(O405)&amp;" to "&amp;DAY(P405)&amp;" "&amp;INDEX(nLIST_Months,MONTH(P405))&amp;" "&amp;YEAR(P405)&amp;IF(H405="LAB"," (laboratory-defined)","")))))))</f>
        <v/>
      </c>
      <c r="S405" s="20" t="str">
        <f>IF(B405="","",Milestones!$L22&amp;"")</f>
        <v/>
      </c>
      <c r="T405" s="20" t="str">
        <f>IF(B405="","",Milestones!$U22&amp;"")</f>
        <v/>
      </c>
      <c r="U405" s="20" t="str">
        <f>IF(B405="","","Milestones row "&amp;ROW(Milestones!$A22)&amp;", Milestone")</f>
        <v/>
      </c>
      <c r="V405" s="20">
        <f>IF(A405="",0,COUNTIF(nTP_Key,A405))</f>
        <v>0</v>
      </c>
      <c r="W405" s="20">
        <f t="shared" si="83"/>
        <v>0</v>
      </c>
      <c r="X405" s="20">
        <f t="shared" si="84"/>
        <v>0</v>
      </c>
      <c r="Y405" s="20">
        <f t="shared" si="85"/>
        <v>0</v>
      </c>
      <c r="Z405" s="20">
        <f t="shared" si="86"/>
        <v>0</v>
      </c>
      <c r="AA405" s="20">
        <f t="shared" si="87"/>
        <v>401</v>
      </c>
      <c r="AB405" s="20" t="str">
        <f>""</f>
        <v/>
      </c>
      <c r="AC405" s="20" t="str">
        <f>""</f>
        <v/>
      </c>
      <c r="AD405" s="20" t="str">
        <f>IF(B405="","",Milestones!$F22&amp;"")</f>
        <v/>
      </c>
      <c r="AE405" s="20">
        <f t="shared" si="88"/>
        <v>0</v>
      </c>
      <c r="AF405" s="20" t="str">
        <f t="shared" si="89"/>
        <v/>
      </c>
      <c r="AG405" s="20">
        <f t="shared" si="90"/>
        <v>0</v>
      </c>
      <c r="AH405" s="20" t="str">
        <f>""</f>
        <v/>
      </c>
    </row>
    <row r="406" spans="1:34" x14ac:dyDescent="0.2">
      <c r="A406" s="20" t="str">
        <f t="shared" si="80"/>
        <v/>
      </c>
      <c r="B406" s="20" t="str">
        <f>IF(AND(Milestones!$C23&lt;&gt;"",COUNTA(Milestones!$M23:$T23)&gt;0),Milestones!$C23&amp;"","")</f>
        <v/>
      </c>
      <c r="C406" s="20" t="str">
        <f>IF(B406="","","MILESTONE:"&amp;Milestones!$D23)</f>
        <v/>
      </c>
      <c r="D406" s="20" t="str">
        <f>IF(B406="","",Milestones!$A23&amp;"")</f>
        <v/>
      </c>
      <c r="E406" s="20" t="str">
        <f>IF(B406="","",Milestones!$B23&amp;"")</f>
        <v/>
      </c>
      <c r="F406" s="20" t="str">
        <f t="shared" si="81"/>
        <v/>
      </c>
      <c r="G406" s="20" t="str">
        <f>IF(B406="","",Milestones!$E23&amp;"")</f>
        <v/>
      </c>
      <c r="H406" s="20" t="str">
        <f>IF(B406="","",Milestones!$M23&amp;"")</f>
        <v/>
      </c>
      <c r="I406" s="20" t="str">
        <f>IF(B406="","",Milestones!$P23&amp;"")</f>
        <v/>
      </c>
      <c r="J406" s="20" t="str">
        <f>IF(B406="","",Milestones!$V23&amp;"")</f>
        <v/>
      </c>
      <c r="K406" s="20">
        <f>IF(B406="",0,Milestones!$W23)</f>
        <v>0</v>
      </c>
      <c r="L406" s="20">
        <f>IF(B406="",0,Milestones!$X23)</f>
        <v>0</v>
      </c>
      <c r="M406" s="20" t="str">
        <f>IF(B406="","",Milestones!$AA23)</f>
        <v/>
      </c>
      <c r="N406" s="20" t="str">
        <f>IF(B406="","",Milestones!$AB23)</f>
        <v/>
      </c>
      <c r="O406" s="27" t="str">
        <f>IF(B406="","",Milestones!$Y23)</f>
        <v/>
      </c>
      <c r="P406" s="27" t="str">
        <f>IF(B406="","",Milestones!$Z23)</f>
        <v/>
      </c>
      <c r="Q406" s="20" t="str">
        <f t="shared" si="82"/>
        <v/>
      </c>
      <c r="R406" s="20" t="str">
        <f>IF(A406="","",IF(J406&lt;&gt;"",J406,IF(H406="TIMESTAMP",DAY(INT(M406/1440))&amp;" "&amp;INDEX(nLIST_Months,MONTH(INT(M406/1440)))&amp;" "&amp;YEAR(INT(M406/1440))&amp;" "&amp;RIGHT("0"&amp;INT(MOD(M406,1440)/60),2)&amp;":"&amp;RIGHT("0"&amp;MOD(M406,60),2)&amp;IF(L406=1," (UTC"&amp;I406&amp;")"," (offset unknown)"),IF(H406="DATE",DAY(O406)&amp;" "&amp;INDEX(nLIST_Months,MONTH(O406))&amp;" "&amp;YEAR(O406),IF(H406="MONTH",INDEX(nLIST_Months,MONTH(O406))&amp;" "&amp;YEAR(O406)&amp;" ("&amp;DAY(O406)&amp;" "&amp;INDEX(nLIST_Months,MONTH(O406))&amp;" "&amp;YEAR(O406)&amp;" to "&amp;DAY(P406)&amp;" "&amp;INDEX(nLIST_Months,MONTH(P406))&amp;" "&amp;YEAR(P406)&amp;")",IF(H406="YEAR",YEAR(O406)&amp;" (1 January to 31 December)",DAY(O406)&amp;" "&amp;INDEX(nLIST_Months,MONTH(O406))&amp;" "&amp;YEAR(O406)&amp;" to "&amp;DAY(P406)&amp;" "&amp;INDEX(nLIST_Months,MONTH(P406))&amp;" "&amp;YEAR(P406)&amp;IF(H406="LAB"," (laboratory-defined)","")))))))</f>
        <v/>
      </c>
      <c r="S406" s="20" t="str">
        <f>IF(B406="","",Milestones!$L23&amp;"")</f>
        <v/>
      </c>
      <c r="T406" s="20" t="str">
        <f>IF(B406="","",Milestones!$U23&amp;"")</f>
        <v/>
      </c>
      <c r="U406" s="20" t="str">
        <f>IF(B406="","","Milestones row "&amp;ROW(Milestones!$A23)&amp;", Milestone")</f>
        <v/>
      </c>
      <c r="V406" s="20">
        <f>IF(A406="",0,COUNTIF(nTP_Key,A406))</f>
        <v>0</v>
      </c>
      <c r="W406" s="20">
        <f t="shared" si="83"/>
        <v>0</v>
      </c>
      <c r="X406" s="20">
        <f t="shared" si="84"/>
        <v>0</v>
      </c>
      <c r="Y406" s="20">
        <f t="shared" si="85"/>
        <v>0</v>
      </c>
      <c r="Z406" s="20">
        <f t="shared" si="86"/>
        <v>0</v>
      </c>
      <c r="AA406" s="20">
        <f t="shared" si="87"/>
        <v>402</v>
      </c>
      <c r="AB406" s="20" t="str">
        <f>""</f>
        <v/>
      </c>
      <c r="AC406" s="20" t="str">
        <f>""</f>
        <v/>
      </c>
      <c r="AD406" s="20" t="str">
        <f>IF(B406="","",Milestones!$F23&amp;"")</f>
        <v/>
      </c>
      <c r="AE406" s="20">
        <f t="shared" si="88"/>
        <v>0</v>
      </c>
      <c r="AF406" s="20" t="str">
        <f t="shared" si="89"/>
        <v/>
      </c>
      <c r="AG406" s="20">
        <f t="shared" si="90"/>
        <v>0</v>
      </c>
      <c r="AH406" s="20" t="str">
        <f>""</f>
        <v/>
      </c>
    </row>
    <row r="407" spans="1:34" x14ac:dyDescent="0.2">
      <c r="A407" s="20" t="str">
        <f t="shared" si="80"/>
        <v/>
      </c>
      <c r="B407" s="20" t="str">
        <f>IF(AND(Milestones!$C24&lt;&gt;"",COUNTA(Milestones!$M24:$T24)&gt;0),Milestones!$C24&amp;"","")</f>
        <v/>
      </c>
      <c r="C407" s="20" t="str">
        <f>IF(B407="","","MILESTONE:"&amp;Milestones!$D24)</f>
        <v/>
      </c>
      <c r="D407" s="20" t="str">
        <f>IF(B407="","",Milestones!$A24&amp;"")</f>
        <v/>
      </c>
      <c r="E407" s="20" t="str">
        <f>IF(B407="","",Milestones!$B24&amp;"")</f>
        <v/>
      </c>
      <c r="F407" s="20" t="str">
        <f t="shared" si="81"/>
        <v/>
      </c>
      <c r="G407" s="20" t="str">
        <f>IF(B407="","",Milestones!$E24&amp;"")</f>
        <v/>
      </c>
      <c r="H407" s="20" t="str">
        <f>IF(B407="","",Milestones!$M24&amp;"")</f>
        <v/>
      </c>
      <c r="I407" s="20" t="str">
        <f>IF(B407="","",Milestones!$P24&amp;"")</f>
        <v/>
      </c>
      <c r="J407" s="20" t="str">
        <f>IF(B407="","",Milestones!$V24&amp;"")</f>
        <v/>
      </c>
      <c r="K407" s="20">
        <f>IF(B407="",0,Milestones!$W24)</f>
        <v>0</v>
      </c>
      <c r="L407" s="20">
        <f>IF(B407="",0,Milestones!$X24)</f>
        <v>0</v>
      </c>
      <c r="M407" s="20" t="str">
        <f>IF(B407="","",Milestones!$AA24)</f>
        <v/>
      </c>
      <c r="N407" s="20" t="str">
        <f>IF(B407="","",Milestones!$AB24)</f>
        <v/>
      </c>
      <c r="O407" s="27" t="str">
        <f>IF(B407="","",Milestones!$Y24)</f>
        <v/>
      </c>
      <c r="P407" s="27" t="str">
        <f>IF(B407="","",Milestones!$Z24)</f>
        <v/>
      </c>
      <c r="Q407" s="20" t="str">
        <f t="shared" si="82"/>
        <v/>
      </c>
      <c r="R407" s="20" t="str">
        <f>IF(A407="","",IF(J407&lt;&gt;"",J407,IF(H407="TIMESTAMP",DAY(INT(M407/1440))&amp;" "&amp;INDEX(nLIST_Months,MONTH(INT(M407/1440)))&amp;" "&amp;YEAR(INT(M407/1440))&amp;" "&amp;RIGHT("0"&amp;INT(MOD(M407,1440)/60),2)&amp;":"&amp;RIGHT("0"&amp;MOD(M407,60),2)&amp;IF(L407=1," (UTC"&amp;I407&amp;")"," (offset unknown)"),IF(H407="DATE",DAY(O407)&amp;" "&amp;INDEX(nLIST_Months,MONTH(O407))&amp;" "&amp;YEAR(O407),IF(H407="MONTH",INDEX(nLIST_Months,MONTH(O407))&amp;" "&amp;YEAR(O407)&amp;" ("&amp;DAY(O407)&amp;" "&amp;INDEX(nLIST_Months,MONTH(O407))&amp;" "&amp;YEAR(O407)&amp;" to "&amp;DAY(P407)&amp;" "&amp;INDEX(nLIST_Months,MONTH(P407))&amp;" "&amp;YEAR(P407)&amp;")",IF(H407="YEAR",YEAR(O407)&amp;" (1 January to 31 December)",DAY(O407)&amp;" "&amp;INDEX(nLIST_Months,MONTH(O407))&amp;" "&amp;YEAR(O407)&amp;" to "&amp;DAY(P407)&amp;" "&amp;INDEX(nLIST_Months,MONTH(P407))&amp;" "&amp;YEAR(P407)&amp;IF(H407="LAB"," (laboratory-defined)","")))))))</f>
        <v/>
      </c>
      <c r="S407" s="20" t="str">
        <f>IF(B407="","",Milestones!$L24&amp;"")</f>
        <v/>
      </c>
      <c r="T407" s="20" t="str">
        <f>IF(B407="","",Milestones!$U24&amp;"")</f>
        <v/>
      </c>
      <c r="U407" s="20" t="str">
        <f>IF(B407="","","Milestones row "&amp;ROW(Milestones!$A24)&amp;", Milestone")</f>
        <v/>
      </c>
      <c r="V407" s="20">
        <f>IF(A407="",0,COUNTIF(nTP_Key,A407))</f>
        <v>0</v>
      </c>
      <c r="W407" s="20">
        <f t="shared" si="83"/>
        <v>0</v>
      </c>
      <c r="X407" s="20">
        <f t="shared" si="84"/>
        <v>0</v>
      </c>
      <c r="Y407" s="20">
        <f t="shared" si="85"/>
        <v>0</v>
      </c>
      <c r="Z407" s="20">
        <f t="shared" si="86"/>
        <v>0</v>
      </c>
      <c r="AA407" s="20">
        <f t="shared" si="87"/>
        <v>403</v>
      </c>
      <c r="AB407" s="20" t="str">
        <f>""</f>
        <v/>
      </c>
      <c r="AC407" s="20" t="str">
        <f>""</f>
        <v/>
      </c>
      <c r="AD407" s="20" t="str">
        <f>IF(B407="","",Milestones!$F24&amp;"")</f>
        <v/>
      </c>
      <c r="AE407" s="20">
        <f t="shared" si="88"/>
        <v>0</v>
      </c>
      <c r="AF407" s="20" t="str">
        <f t="shared" si="89"/>
        <v/>
      </c>
      <c r="AG407" s="20">
        <f t="shared" si="90"/>
        <v>0</v>
      </c>
      <c r="AH407" s="20" t="str">
        <f>""</f>
        <v/>
      </c>
    </row>
    <row r="408" spans="1:34" x14ac:dyDescent="0.2">
      <c r="A408" s="20" t="str">
        <f t="shared" si="80"/>
        <v/>
      </c>
      <c r="B408" s="20" t="str">
        <f>IF(AND(Milestones!$C25&lt;&gt;"",COUNTA(Milestones!$M25:$T25)&gt;0),Milestones!$C25&amp;"","")</f>
        <v/>
      </c>
      <c r="C408" s="20" t="str">
        <f>IF(B408="","","MILESTONE:"&amp;Milestones!$D25)</f>
        <v/>
      </c>
      <c r="D408" s="20" t="str">
        <f>IF(B408="","",Milestones!$A25&amp;"")</f>
        <v/>
      </c>
      <c r="E408" s="20" t="str">
        <f>IF(B408="","",Milestones!$B25&amp;"")</f>
        <v/>
      </c>
      <c r="F408" s="20" t="str">
        <f t="shared" si="81"/>
        <v/>
      </c>
      <c r="G408" s="20" t="str">
        <f>IF(B408="","",Milestones!$E25&amp;"")</f>
        <v/>
      </c>
      <c r="H408" s="20" t="str">
        <f>IF(B408="","",Milestones!$M25&amp;"")</f>
        <v/>
      </c>
      <c r="I408" s="20" t="str">
        <f>IF(B408="","",Milestones!$P25&amp;"")</f>
        <v/>
      </c>
      <c r="J408" s="20" t="str">
        <f>IF(B408="","",Milestones!$V25&amp;"")</f>
        <v/>
      </c>
      <c r="K408" s="20">
        <f>IF(B408="",0,Milestones!$W25)</f>
        <v>0</v>
      </c>
      <c r="L408" s="20">
        <f>IF(B408="",0,Milestones!$X25)</f>
        <v>0</v>
      </c>
      <c r="M408" s="20" t="str">
        <f>IF(B408="","",Milestones!$AA25)</f>
        <v/>
      </c>
      <c r="N408" s="20" t="str">
        <f>IF(B408="","",Milestones!$AB25)</f>
        <v/>
      </c>
      <c r="O408" s="27" t="str">
        <f>IF(B408="","",Milestones!$Y25)</f>
        <v/>
      </c>
      <c r="P408" s="27" t="str">
        <f>IF(B408="","",Milestones!$Z25)</f>
        <v/>
      </c>
      <c r="Q408" s="20" t="str">
        <f t="shared" si="82"/>
        <v/>
      </c>
      <c r="R408" s="20" t="str">
        <f>IF(A408="","",IF(J408&lt;&gt;"",J408,IF(H408="TIMESTAMP",DAY(INT(M408/1440))&amp;" "&amp;INDEX(nLIST_Months,MONTH(INT(M408/1440)))&amp;" "&amp;YEAR(INT(M408/1440))&amp;" "&amp;RIGHT("0"&amp;INT(MOD(M408,1440)/60),2)&amp;":"&amp;RIGHT("0"&amp;MOD(M408,60),2)&amp;IF(L408=1," (UTC"&amp;I408&amp;")"," (offset unknown)"),IF(H408="DATE",DAY(O408)&amp;" "&amp;INDEX(nLIST_Months,MONTH(O408))&amp;" "&amp;YEAR(O408),IF(H408="MONTH",INDEX(nLIST_Months,MONTH(O408))&amp;" "&amp;YEAR(O408)&amp;" ("&amp;DAY(O408)&amp;" "&amp;INDEX(nLIST_Months,MONTH(O408))&amp;" "&amp;YEAR(O408)&amp;" to "&amp;DAY(P408)&amp;" "&amp;INDEX(nLIST_Months,MONTH(P408))&amp;" "&amp;YEAR(P408)&amp;")",IF(H408="YEAR",YEAR(O408)&amp;" (1 January to 31 December)",DAY(O408)&amp;" "&amp;INDEX(nLIST_Months,MONTH(O408))&amp;" "&amp;YEAR(O408)&amp;" to "&amp;DAY(P408)&amp;" "&amp;INDEX(nLIST_Months,MONTH(P408))&amp;" "&amp;YEAR(P408)&amp;IF(H408="LAB"," (laboratory-defined)","")))))))</f>
        <v/>
      </c>
      <c r="S408" s="20" t="str">
        <f>IF(B408="","",Milestones!$L25&amp;"")</f>
        <v/>
      </c>
      <c r="T408" s="20" t="str">
        <f>IF(B408="","",Milestones!$U25&amp;"")</f>
        <v/>
      </c>
      <c r="U408" s="20" t="str">
        <f>IF(B408="","","Milestones row "&amp;ROW(Milestones!$A25)&amp;", Milestone")</f>
        <v/>
      </c>
      <c r="V408" s="20">
        <f>IF(A408="",0,COUNTIF(nTP_Key,A408))</f>
        <v>0</v>
      </c>
      <c r="W408" s="20">
        <f t="shared" si="83"/>
        <v>0</v>
      </c>
      <c r="X408" s="20">
        <f t="shared" si="84"/>
        <v>0</v>
      </c>
      <c r="Y408" s="20">
        <f t="shared" si="85"/>
        <v>0</v>
      </c>
      <c r="Z408" s="20">
        <f t="shared" si="86"/>
        <v>0</v>
      </c>
      <c r="AA408" s="20">
        <f t="shared" si="87"/>
        <v>404</v>
      </c>
      <c r="AB408" s="20" t="str">
        <f>""</f>
        <v/>
      </c>
      <c r="AC408" s="20" t="str">
        <f>""</f>
        <v/>
      </c>
      <c r="AD408" s="20" t="str">
        <f>IF(B408="","",Milestones!$F25&amp;"")</f>
        <v/>
      </c>
      <c r="AE408" s="20">
        <f t="shared" si="88"/>
        <v>0</v>
      </c>
      <c r="AF408" s="20" t="str">
        <f t="shared" si="89"/>
        <v/>
      </c>
      <c r="AG408" s="20">
        <f t="shared" si="90"/>
        <v>0</v>
      </c>
      <c r="AH408" s="20" t="str">
        <f>""</f>
        <v/>
      </c>
    </row>
    <row r="409" spans="1:34" x14ac:dyDescent="0.2">
      <c r="A409" s="20" t="str">
        <f t="shared" si="80"/>
        <v/>
      </c>
      <c r="B409" s="20" t="str">
        <f>IF(AND(Milestones!$C26&lt;&gt;"",COUNTA(Milestones!$M26:$T26)&gt;0),Milestones!$C26&amp;"","")</f>
        <v/>
      </c>
      <c r="C409" s="20" t="str">
        <f>IF(B409="","","MILESTONE:"&amp;Milestones!$D26)</f>
        <v/>
      </c>
      <c r="D409" s="20" t="str">
        <f>IF(B409="","",Milestones!$A26&amp;"")</f>
        <v/>
      </c>
      <c r="E409" s="20" t="str">
        <f>IF(B409="","",Milestones!$B26&amp;"")</f>
        <v/>
      </c>
      <c r="F409" s="20" t="str">
        <f t="shared" si="81"/>
        <v/>
      </c>
      <c r="G409" s="20" t="str">
        <f>IF(B409="","",Milestones!$E26&amp;"")</f>
        <v/>
      </c>
      <c r="H409" s="20" t="str">
        <f>IF(B409="","",Milestones!$M26&amp;"")</f>
        <v/>
      </c>
      <c r="I409" s="20" t="str">
        <f>IF(B409="","",Milestones!$P26&amp;"")</f>
        <v/>
      </c>
      <c r="J409" s="20" t="str">
        <f>IF(B409="","",Milestones!$V26&amp;"")</f>
        <v/>
      </c>
      <c r="K409" s="20">
        <f>IF(B409="",0,Milestones!$W26)</f>
        <v>0</v>
      </c>
      <c r="L409" s="20">
        <f>IF(B409="",0,Milestones!$X26)</f>
        <v>0</v>
      </c>
      <c r="M409" s="20" t="str">
        <f>IF(B409="","",Milestones!$AA26)</f>
        <v/>
      </c>
      <c r="N409" s="20" t="str">
        <f>IF(B409="","",Milestones!$AB26)</f>
        <v/>
      </c>
      <c r="O409" s="27" t="str">
        <f>IF(B409="","",Milestones!$Y26)</f>
        <v/>
      </c>
      <c r="P409" s="27" t="str">
        <f>IF(B409="","",Milestones!$Z26)</f>
        <v/>
      </c>
      <c r="Q409" s="20" t="str">
        <f t="shared" si="82"/>
        <v/>
      </c>
      <c r="R409" s="20" t="str">
        <f>IF(A409="","",IF(J409&lt;&gt;"",J409,IF(H409="TIMESTAMP",DAY(INT(M409/1440))&amp;" "&amp;INDEX(nLIST_Months,MONTH(INT(M409/1440)))&amp;" "&amp;YEAR(INT(M409/1440))&amp;" "&amp;RIGHT("0"&amp;INT(MOD(M409,1440)/60),2)&amp;":"&amp;RIGHT("0"&amp;MOD(M409,60),2)&amp;IF(L409=1," (UTC"&amp;I409&amp;")"," (offset unknown)"),IF(H409="DATE",DAY(O409)&amp;" "&amp;INDEX(nLIST_Months,MONTH(O409))&amp;" "&amp;YEAR(O409),IF(H409="MONTH",INDEX(nLIST_Months,MONTH(O409))&amp;" "&amp;YEAR(O409)&amp;" ("&amp;DAY(O409)&amp;" "&amp;INDEX(nLIST_Months,MONTH(O409))&amp;" "&amp;YEAR(O409)&amp;" to "&amp;DAY(P409)&amp;" "&amp;INDEX(nLIST_Months,MONTH(P409))&amp;" "&amp;YEAR(P409)&amp;")",IF(H409="YEAR",YEAR(O409)&amp;" (1 January to 31 December)",DAY(O409)&amp;" "&amp;INDEX(nLIST_Months,MONTH(O409))&amp;" "&amp;YEAR(O409)&amp;" to "&amp;DAY(P409)&amp;" "&amp;INDEX(nLIST_Months,MONTH(P409))&amp;" "&amp;YEAR(P409)&amp;IF(H409="LAB"," (laboratory-defined)","")))))))</f>
        <v/>
      </c>
      <c r="S409" s="20" t="str">
        <f>IF(B409="","",Milestones!$L26&amp;"")</f>
        <v/>
      </c>
      <c r="T409" s="20" t="str">
        <f>IF(B409="","",Milestones!$U26&amp;"")</f>
        <v/>
      </c>
      <c r="U409" s="20" t="str">
        <f>IF(B409="","","Milestones row "&amp;ROW(Milestones!$A26)&amp;", Milestone")</f>
        <v/>
      </c>
      <c r="V409" s="20">
        <f>IF(A409="",0,COUNTIF(nTP_Key,A409))</f>
        <v>0</v>
      </c>
      <c r="W409" s="20">
        <f t="shared" si="83"/>
        <v>0</v>
      </c>
      <c r="X409" s="20">
        <f t="shared" si="84"/>
        <v>0</v>
      </c>
      <c r="Y409" s="20">
        <f t="shared" si="85"/>
        <v>0</v>
      </c>
      <c r="Z409" s="20">
        <f t="shared" si="86"/>
        <v>0</v>
      </c>
      <c r="AA409" s="20">
        <f t="shared" si="87"/>
        <v>405</v>
      </c>
      <c r="AB409" s="20" t="str">
        <f>""</f>
        <v/>
      </c>
      <c r="AC409" s="20" t="str">
        <f>""</f>
        <v/>
      </c>
      <c r="AD409" s="20" t="str">
        <f>IF(B409="","",Milestones!$F26&amp;"")</f>
        <v/>
      </c>
      <c r="AE409" s="20">
        <f t="shared" si="88"/>
        <v>0</v>
      </c>
      <c r="AF409" s="20" t="str">
        <f t="shared" si="89"/>
        <v/>
      </c>
      <c r="AG409" s="20">
        <f t="shared" si="90"/>
        <v>0</v>
      </c>
      <c r="AH409" s="20" t="str">
        <f>""</f>
        <v/>
      </c>
    </row>
    <row r="410" spans="1:34" x14ac:dyDescent="0.2">
      <c r="A410" s="20" t="str">
        <f t="shared" si="80"/>
        <v/>
      </c>
      <c r="B410" s="20" t="str">
        <f>IF(AND(Milestones!$C27&lt;&gt;"",COUNTA(Milestones!$M27:$T27)&gt;0),Milestones!$C27&amp;"","")</f>
        <v/>
      </c>
      <c r="C410" s="20" t="str">
        <f>IF(B410="","","MILESTONE:"&amp;Milestones!$D27)</f>
        <v/>
      </c>
      <c r="D410" s="20" t="str">
        <f>IF(B410="","",Milestones!$A27&amp;"")</f>
        <v/>
      </c>
      <c r="E410" s="20" t="str">
        <f>IF(B410="","",Milestones!$B27&amp;"")</f>
        <v/>
      </c>
      <c r="F410" s="20" t="str">
        <f t="shared" si="81"/>
        <v/>
      </c>
      <c r="G410" s="20" t="str">
        <f>IF(B410="","",Milestones!$E27&amp;"")</f>
        <v/>
      </c>
      <c r="H410" s="20" t="str">
        <f>IF(B410="","",Milestones!$M27&amp;"")</f>
        <v/>
      </c>
      <c r="I410" s="20" t="str">
        <f>IF(B410="","",Milestones!$P27&amp;"")</f>
        <v/>
      </c>
      <c r="J410" s="20" t="str">
        <f>IF(B410="","",Milestones!$V27&amp;"")</f>
        <v/>
      </c>
      <c r="K410" s="20">
        <f>IF(B410="",0,Milestones!$W27)</f>
        <v>0</v>
      </c>
      <c r="L410" s="20">
        <f>IF(B410="",0,Milestones!$X27)</f>
        <v>0</v>
      </c>
      <c r="M410" s="20" t="str">
        <f>IF(B410="","",Milestones!$AA27)</f>
        <v/>
      </c>
      <c r="N410" s="20" t="str">
        <f>IF(B410="","",Milestones!$AB27)</f>
        <v/>
      </c>
      <c r="O410" s="27" t="str">
        <f>IF(B410="","",Milestones!$Y27)</f>
        <v/>
      </c>
      <c r="P410" s="27" t="str">
        <f>IF(B410="","",Milestones!$Z27)</f>
        <v/>
      </c>
      <c r="Q410" s="20" t="str">
        <f t="shared" si="82"/>
        <v/>
      </c>
      <c r="R410" s="20" t="str">
        <f>IF(A410="","",IF(J410&lt;&gt;"",J410,IF(H410="TIMESTAMP",DAY(INT(M410/1440))&amp;" "&amp;INDEX(nLIST_Months,MONTH(INT(M410/1440)))&amp;" "&amp;YEAR(INT(M410/1440))&amp;" "&amp;RIGHT("0"&amp;INT(MOD(M410,1440)/60),2)&amp;":"&amp;RIGHT("0"&amp;MOD(M410,60),2)&amp;IF(L410=1," (UTC"&amp;I410&amp;")"," (offset unknown)"),IF(H410="DATE",DAY(O410)&amp;" "&amp;INDEX(nLIST_Months,MONTH(O410))&amp;" "&amp;YEAR(O410),IF(H410="MONTH",INDEX(nLIST_Months,MONTH(O410))&amp;" "&amp;YEAR(O410)&amp;" ("&amp;DAY(O410)&amp;" "&amp;INDEX(nLIST_Months,MONTH(O410))&amp;" "&amp;YEAR(O410)&amp;" to "&amp;DAY(P410)&amp;" "&amp;INDEX(nLIST_Months,MONTH(P410))&amp;" "&amp;YEAR(P410)&amp;")",IF(H410="YEAR",YEAR(O410)&amp;" (1 January to 31 December)",DAY(O410)&amp;" "&amp;INDEX(nLIST_Months,MONTH(O410))&amp;" "&amp;YEAR(O410)&amp;" to "&amp;DAY(P410)&amp;" "&amp;INDEX(nLIST_Months,MONTH(P410))&amp;" "&amp;YEAR(P410)&amp;IF(H410="LAB"," (laboratory-defined)","")))))))</f>
        <v/>
      </c>
      <c r="S410" s="20" t="str">
        <f>IF(B410="","",Milestones!$L27&amp;"")</f>
        <v/>
      </c>
      <c r="T410" s="20" t="str">
        <f>IF(B410="","",Milestones!$U27&amp;"")</f>
        <v/>
      </c>
      <c r="U410" s="20" t="str">
        <f>IF(B410="","","Milestones row "&amp;ROW(Milestones!$A27)&amp;", Milestone")</f>
        <v/>
      </c>
      <c r="V410" s="20">
        <f>IF(A410="",0,COUNTIF(nTP_Key,A410))</f>
        <v>0</v>
      </c>
      <c r="W410" s="20">
        <f t="shared" si="83"/>
        <v>0</v>
      </c>
      <c r="X410" s="20">
        <f t="shared" si="84"/>
        <v>0</v>
      </c>
      <c r="Y410" s="20">
        <f t="shared" si="85"/>
        <v>0</v>
      </c>
      <c r="Z410" s="20">
        <f t="shared" si="86"/>
        <v>0</v>
      </c>
      <c r="AA410" s="20">
        <f t="shared" si="87"/>
        <v>406</v>
      </c>
      <c r="AB410" s="20" t="str">
        <f>""</f>
        <v/>
      </c>
      <c r="AC410" s="20" t="str">
        <f>""</f>
        <v/>
      </c>
      <c r="AD410" s="20" t="str">
        <f>IF(B410="","",Milestones!$F27&amp;"")</f>
        <v/>
      </c>
      <c r="AE410" s="20">
        <f t="shared" si="88"/>
        <v>0</v>
      </c>
      <c r="AF410" s="20" t="str">
        <f t="shared" si="89"/>
        <v/>
      </c>
      <c r="AG410" s="20">
        <f t="shared" si="90"/>
        <v>0</v>
      </c>
      <c r="AH410" s="20" t="str">
        <f>""</f>
        <v/>
      </c>
    </row>
    <row r="411" spans="1:34" x14ac:dyDescent="0.2">
      <c r="A411" s="20" t="str">
        <f t="shared" si="80"/>
        <v/>
      </c>
      <c r="B411" s="20" t="str">
        <f>IF(AND(Milestones!$C28&lt;&gt;"",COUNTA(Milestones!$M28:$T28)&gt;0),Milestones!$C28&amp;"","")</f>
        <v/>
      </c>
      <c r="C411" s="20" t="str">
        <f>IF(B411="","","MILESTONE:"&amp;Milestones!$D28)</f>
        <v/>
      </c>
      <c r="D411" s="20" t="str">
        <f>IF(B411="","",Milestones!$A28&amp;"")</f>
        <v/>
      </c>
      <c r="E411" s="20" t="str">
        <f>IF(B411="","",Milestones!$B28&amp;"")</f>
        <v/>
      </c>
      <c r="F411" s="20" t="str">
        <f t="shared" si="81"/>
        <v/>
      </c>
      <c r="G411" s="20" t="str">
        <f>IF(B411="","",Milestones!$E28&amp;"")</f>
        <v/>
      </c>
      <c r="H411" s="20" t="str">
        <f>IF(B411="","",Milestones!$M28&amp;"")</f>
        <v/>
      </c>
      <c r="I411" s="20" t="str">
        <f>IF(B411="","",Milestones!$P28&amp;"")</f>
        <v/>
      </c>
      <c r="J411" s="20" t="str">
        <f>IF(B411="","",Milestones!$V28&amp;"")</f>
        <v/>
      </c>
      <c r="K411" s="20">
        <f>IF(B411="",0,Milestones!$W28)</f>
        <v>0</v>
      </c>
      <c r="L411" s="20">
        <f>IF(B411="",0,Milestones!$X28)</f>
        <v>0</v>
      </c>
      <c r="M411" s="20" t="str">
        <f>IF(B411="","",Milestones!$AA28)</f>
        <v/>
      </c>
      <c r="N411" s="20" t="str">
        <f>IF(B411="","",Milestones!$AB28)</f>
        <v/>
      </c>
      <c r="O411" s="27" t="str">
        <f>IF(B411="","",Milestones!$Y28)</f>
        <v/>
      </c>
      <c r="P411" s="27" t="str">
        <f>IF(B411="","",Milestones!$Z28)</f>
        <v/>
      </c>
      <c r="Q411" s="20" t="str">
        <f t="shared" si="82"/>
        <v/>
      </c>
      <c r="R411" s="20" t="str">
        <f>IF(A411="","",IF(J411&lt;&gt;"",J411,IF(H411="TIMESTAMP",DAY(INT(M411/1440))&amp;" "&amp;INDEX(nLIST_Months,MONTH(INT(M411/1440)))&amp;" "&amp;YEAR(INT(M411/1440))&amp;" "&amp;RIGHT("0"&amp;INT(MOD(M411,1440)/60),2)&amp;":"&amp;RIGHT("0"&amp;MOD(M411,60),2)&amp;IF(L411=1," (UTC"&amp;I411&amp;")"," (offset unknown)"),IF(H411="DATE",DAY(O411)&amp;" "&amp;INDEX(nLIST_Months,MONTH(O411))&amp;" "&amp;YEAR(O411),IF(H411="MONTH",INDEX(nLIST_Months,MONTH(O411))&amp;" "&amp;YEAR(O411)&amp;" ("&amp;DAY(O411)&amp;" "&amp;INDEX(nLIST_Months,MONTH(O411))&amp;" "&amp;YEAR(O411)&amp;" to "&amp;DAY(P411)&amp;" "&amp;INDEX(nLIST_Months,MONTH(P411))&amp;" "&amp;YEAR(P411)&amp;")",IF(H411="YEAR",YEAR(O411)&amp;" (1 January to 31 December)",DAY(O411)&amp;" "&amp;INDEX(nLIST_Months,MONTH(O411))&amp;" "&amp;YEAR(O411)&amp;" to "&amp;DAY(P411)&amp;" "&amp;INDEX(nLIST_Months,MONTH(P411))&amp;" "&amp;YEAR(P411)&amp;IF(H411="LAB"," (laboratory-defined)","")))))))</f>
        <v/>
      </c>
      <c r="S411" s="20" t="str">
        <f>IF(B411="","",Milestones!$L28&amp;"")</f>
        <v/>
      </c>
      <c r="T411" s="20" t="str">
        <f>IF(B411="","",Milestones!$U28&amp;"")</f>
        <v/>
      </c>
      <c r="U411" s="20" t="str">
        <f>IF(B411="","","Milestones row "&amp;ROW(Milestones!$A28)&amp;", Milestone")</f>
        <v/>
      </c>
      <c r="V411" s="20">
        <f>IF(A411="",0,COUNTIF(nTP_Key,A411))</f>
        <v>0</v>
      </c>
      <c r="W411" s="20">
        <f t="shared" si="83"/>
        <v>0</v>
      </c>
      <c r="X411" s="20">
        <f t="shared" si="84"/>
        <v>0</v>
      </c>
      <c r="Y411" s="20">
        <f t="shared" si="85"/>
        <v>0</v>
      </c>
      <c r="Z411" s="20">
        <f t="shared" si="86"/>
        <v>0</v>
      </c>
      <c r="AA411" s="20">
        <f t="shared" si="87"/>
        <v>407</v>
      </c>
      <c r="AB411" s="20" t="str">
        <f>""</f>
        <v/>
      </c>
      <c r="AC411" s="20" t="str">
        <f>""</f>
        <v/>
      </c>
      <c r="AD411" s="20" t="str">
        <f>IF(B411="","",Milestones!$F28&amp;"")</f>
        <v/>
      </c>
      <c r="AE411" s="20">
        <f t="shared" si="88"/>
        <v>0</v>
      </c>
      <c r="AF411" s="20" t="str">
        <f t="shared" si="89"/>
        <v/>
      </c>
      <c r="AG411" s="20">
        <f t="shared" si="90"/>
        <v>0</v>
      </c>
      <c r="AH411" s="20" t="str">
        <f>""</f>
        <v/>
      </c>
    </row>
    <row r="412" spans="1:34" x14ac:dyDescent="0.2">
      <c r="A412" s="20" t="str">
        <f t="shared" si="80"/>
        <v/>
      </c>
      <c r="B412" s="20" t="str">
        <f>IF(AND(Milestones!$C29&lt;&gt;"",COUNTA(Milestones!$M29:$T29)&gt;0),Milestones!$C29&amp;"","")</f>
        <v/>
      </c>
      <c r="C412" s="20" t="str">
        <f>IF(B412="","","MILESTONE:"&amp;Milestones!$D29)</f>
        <v/>
      </c>
      <c r="D412" s="20" t="str">
        <f>IF(B412="","",Milestones!$A29&amp;"")</f>
        <v/>
      </c>
      <c r="E412" s="20" t="str">
        <f>IF(B412="","",Milestones!$B29&amp;"")</f>
        <v/>
      </c>
      <c r="F412" s="20" t="str">
        <f t="shared" si="81"/>
        <v/>
      </c>
      <c r="G412" s="20" t="str">
        <f>IF(B412="","",Milestones!$E29&amp;"")</f>
        <v/>
      </c>
      <c r="H412" s="20" t="str">
        <f>IF(B412="","",Milestones!$M29&amp;"")</f>
        <v/>
      </c>
      <c r="I412" s="20" t="str">
        <f>IF(B412="","",Milestones!$P29&amp;"")</f>
        <v/>
      </c>
      <c r="J412" s="20" t="str">
        <f>IF(B412="","",Milestones!$V29&amp;"")</f>
        <v/>
      </c>
      <c r="K412" s="20">
        <f>IF(B412="",0,Milestones!$W29)</f>
        <v>0</v>
      </c>
      <c r="L412" s="20">
        <f>IF(B412="",0,Milestones!$X29)</f>
        <v>0</v>
      </c>
      <c r="M412" s="20" t="str">
        <f>IF(B412="","",Milestones!$AA29)</f>
        <v/>
      </c>
      <c r="N412" s="20" t="str">
        <f>IF(B412="","",Milestones!$AB29)</f>
        <v/>
      </c>
      <c r="O412" s="27" t="str">
        <f>IF(B412="","",Milestones!$Y29)</f>
        <v/>
      </c>
      <c r="P412" s="27" t="str">
        <f>IF(B412="","",Milestones!$Z29)</f>
        <v/>
      </c>
      <c r="Q412" s="20" t="str">
        <f t="shared" si="82"/>
        <v/>
      </c>
      <c r="R412" s="20" t="str">
        <f>IF(A412="","",IF(J412&lt;&gt;"",J412,IF(H412="TIMESTAMP",DAY(INT(M412/1440))&amp;" "&amp;INDEX(nLIST_Months,MONTH(INT(M412/1440)))&amp;" "&amp;YEAR(INT(M412/1440))&amp;" "&amp;RIGHT("0"&amp;INT(MOD(M412,1440)/60),2)&amp;":"&amp;RIGHT("0"&amp;MOD(M412,60),2)&amp;IF(L412=1," (UTC"&amp;I412&amp;")"," (offset unknown)"),IF(H412="DATE",DAY(O412)&amp;" "&amp;INDEX(nLIST_Months,MONTH(O412))&amp;" "&amp;YEAR(O412),IF(H412="MONTH",INDEX(nLIST_Months,MONTH(O412))&amp;" "&amp;YEAR(O412)&amp;" ("&amp;DAY(O412)&amp;" "&amp;INDEX(nLIST_Months,MONTH(O412))&amp;" "&amp;YEAR(O412)&amp;" to "&amp;DAY(P412)&amp;" "&amp;INDEX(nLIST_Months,MONTH(P412))&amp;" "&amp;YEAR(P412)&amp;")",IF(H412="YEAR",YEAR(O412)&amp;" (1 January to 31 December)",DAY(O412)&amp;" "&amp;INDEX(nLIST_Months,MONTH(O412))&amp;" "&amp;YEAR(O412)&amp;" to "&amp;DAY(P412)&amp;" "&amp;INDEX(nLIST_Months,MONTH(P412))&amp;" "&amp;YEAR(P412)&amp;IF(H412="LAB"," (laboratory-defined)","")))))))</f>
        <v/>
      </c>
      <c r="S412" s="20" t="str">
        <f>IF(B412="","",Milestones!$L29&amp;"")</f>
        <v/>
      </c>
      <c r="T412" s="20" t="str">
        <f>IF(B412="","",Milestones!$U29&amp;"")</f>
        <v/>
      </c>
      <c r="U412" s="20" t="str">
        <f>IF(B412="","","Milestones row "&amp;ROW(Milestones!$A29)&amp;", Milestone")</f>
        <v/>
      </c>
      <c r="V412" s="20">
        <f>IF(A412="",0,COUNTIF(nTP_Key,A412))</f>
        <v>0</v>
      </c>
      <c r="W412" s="20">
        <f t="shared" si="83"/>
        <v>0</v>
      </c>
      <c r="X412" s="20">
        <f t="shared" si="84"/>
        <v>0</v>
      </c>
      <c r="Y412" s="20">
        <f t="shared" si="85"/>
        <v>0</v>
      </c>
      <c r="Z412" s="20">
        <f t="shared" si="86"/>
        <v>0</v>
      </c>
      <c r="AA412" s="20">
        <f t="shared" si="87"/>
        <v>408</v>
      </c>
      <c r="AB412" s="20" t="str">
        <f>""</f>
        <v/>
      </c>
      <c r="AC412" s="20" t="str">
        <f>""</f>
        <v/>
      </c>
      <c r="AD412" s="20" t="str">
        <f>IF(B412="","",Milestones!$F29&amp;"")</f>
        <v/>
      </c>
      <c r="AE412" s="20">
        <f t="shared" si="88"/>
        <v>0</v>
      </c>
      <c r="AF412" s="20" t="str">
        <f t="shared" si="89"/>
        <v/>
      </c>
      <c r="AG412" s="20">
        <f t="shared" si="90"/>
        <v>0</v>
      </c>
      <c r="AH412" s="20" t="str">
        <f>""</f>
        <v/>
      </c>
    </row>
    <row r="413" spans="1:34" x14ac:dyDescent="0.2">
      <c r="A413" s="20" t="str">
        <f t="shared" si="80"/>
        <v/>
      </c>
      <c r="B413" s="20" t="str">
        <f>IF(AND(Milestones!$C30&lt;&gt;"",COUNTA(Milestones!$M30:$T30)&gt;0),Milestones!$C30&amp;"","")</f>
        <v/>
      </c>
      <c r="C413" s="20" t="str">
        <f>IF(B413="","","MILESTONE:"&amp;Milestones!$D30)</f>
        <v/>
      </c>
      <c r="D413" s="20" t="str">
        <f>IF(B413="","",Milestones!$A30&amp;"")</f>
        <v/>
      </c>
      <c r="E413" s="20" t="str">
        <f>IF(B413="","",Milestones!$B30&amp;"")</f>
        <v/>
      </c>
      <c r="F413" s="20" t="str">
        <f t="shared" si="81"/>
        <v/>
      </c>
      <c r="G413" s="20" t="str">
        <f>IF(B413="","",Milestones!$E30&amp;"")</f>
        <v/>
      </c>
      <c r="H413" s="20" t="str">
        <f>IF(B413="","",Milestones!$M30&amp;"")</f>
        <v/>
      </c>
      <c r="I413" s="20" t="str">
        <f>IF(B413="","",Milestones!$P30&amp;"")</f>
        <v/>
      </c>
      <c r="J413" s="20" t="str">
        <f>IF(B413="","",Milestones!$V30&amp;"")</f>
        <v/>
      </c>
      <c r="K413" s="20">
        <f>IF(B413="",0,Milestones!$W30)</f>
        <v>0</v>
      </c>
      <c r="L413" s="20">
        <f>IF(B413="",0,Milestones!$X30)</f>
        <v>0</v>
      </c>
      <c r="M413" s="20" t="str">
        <f>IF(B413="","",Milestones!$AA30)</f>
        <v/>
      </c>
      <c r="N413" s="20" t="str">
        <f>IF(B413="","",Milestones!$AB30)</f>
        <v/>
      </c>
      <c r="O413" s="27" t="str">
        <f>IF(B413="","",Milestones!$Y30)</f>
        <v/>
      </c>
      <c r="P413" s="27" t="str">
        <f>IF(B413="","",Milestones!$Z30)</f>
        <v/>
      </c>
      <c r="Q413" s="20" t="str">
        <f t="shared" si="82"/>
        <v/>
      </c>
      <c r="R413" s="20" t="str">
        <f>IF(A413="","",IF(J413&lt;&gt;"",J413,IF(H413="TIMESTAMP",DAY(INT(M413/1440))&amp;" "&amp;INDEX(nLIST_Months,MONTH(INT(M413/1440)))&amp;" "&amp;YEAR(INT(M413/1440))&amp;" "&amp;RIGHT("0"&amp;INT(MOD(M413,1440)/60),2)&amp;":"&amp;RIGHT("0"&amp;MOD(M413,60),2)&amp;IF(L413=1," (UTC"&amp;I413&amp;")"," (offset unknown)"),IF(H413="DATE",DAY(O413)&amp;" "&amp;INDEX(nLIST_Months,MONTH(O413))&amp;" "&amp;YEAR(O413),IF(H413="MONTH",INDEX(nLIST_Months,MONTH(O413))&amp;" "&amp;YEAR(O413)&amp;" ("&amp;DAY(O413)&amp;" "&amp;INDEX(nLIST_Months,MONTH(O413))&amp;" "&amp;YEAR(O413)&amp;" to "&amp;DAY(P413)&amp;" "&amp;INDEX(nLIST_Months,MONTH(P413))&amp;" "&amp;YEAR(P413)&amp;")",IF(H413="YEAR",YEAR(O413)&amp;" (1 January to 31 December)",DAY(O413)&amp;" "&amp;INDEX(nLIST_Months,MONTH(O413))&amp;" "&amp;YEAR(O413)&amp;" to "&amp;DAY(P413)&amp;" "&amp;INDEX(nLIST_Months,MONTH(P413))&amp;" "&amp;YEAR(P413)&amp;IF(H413="LAB"," (laboratory-defined)","")))))))</f>
        <v/>
      </c>
      <c r="S413" s="20" t="str">
        <f>IF(B413="","",Milestones!$L30&amp;"")</f>
        <v/>
      </c>
      <c r="T413" s="20" t="str">
        <f>IF(B413="","",Milestones!$U30&amp;"")</f>
        <v/>
      </c>
      <c r="U413" s="20" t="str">
        <f>IF(B413="","","Milestones row "&amp;ROW(Milestones!$A30)&amp;", Milestone")</f>
        <v/>
      </c>
      <c r="V413" s="20">
        <f>IF(A413="",0,COUNTIF(nTP_Key,A413))</f>
        <v>0</v>
      </c>
      <c r="W413" s="20">
        <f t="shared" si="83"/>
        <v>0</v>
      </c>
      <c r="X413" s="20">
        <f t="shared" si="84"/>
        <v>0</v>
      </c>
      <c r="Y413" s="20">
        <f t="shared" si="85"/>
        <v>0</v>
      </c>
      <c r="Z413" s="20">
        <f t="shared" si="86"/>
        <v>0</v>
      </c>
      <c r="AA413" s="20">
        <f t="shared" si="87"/>
        <v>409</v>
      </c>
      <c r="AB413" s="20" t="str">
        <f>""</f>
        <v/>
      </c>
      <c r="AC413" s="20" t="str">
        <f>""</f>
        <v/>
      </c>
      <c r="AD413" s="20" t="str">
        <f>IF(B413="","",Milestones!$F30&amp;"")</f>
        <v/>
      </c>
      <c r="AE413" s="20">
        <f t="shared" si="88"/>
        <v>0</v>
      </c>
      <c r="AF413" s="20" t="str">
        <f t="shared" si="89"/>
        <v/>
      </c>
      <c r="AG413" s="20">
        <f t="shared" si="90"/>
        <v>0</v>
      </c>
      <c r="AH413" s="20" t="str">
        <f>""</f>
        <v/>
      </c>
    </row>
    <row r="414" spans="1:34" x14ac:dyDescent="0.2">
      <c r="A414" s="20" t="str">
        <f t="shared" si="80"/>
        <v/>
      </c>
      <c r="B414" s="20" t="str">
        <f>IF(AND(Milestones!$C31&lt;&gt;"",COUNTA(Milestones!$M31:$T31)&gt;0),Milestones!$C31&amp;"","")</f>
        <v/>
      </c>
      <c r="C414" s="20" t="str">
        <f>IF(B414="","","MILESTONE:"&amp;Milestones!$D31)</f>
        <v/>
      </c>
      <c r="D414" s="20" t="str">
        <f>IF(B414="","",Milestones!$A31&amp;"")</f>
        <v/>
      </c>
      <c r="E414" s="20" t="str">
        <f>IF(B414="","",Milestones!$B31&amp;"")</f>
        <v/>
      </c>
      <c r="F414" s="20" t="str">
        <f t="shared" si="81"/>
        <v/>
      </c>
      <c r="G414" s="20" t="str">
        <f>IF(B414="","",Milestones!$E31&amp;"")</f>
        <v/>
      </c>
      <c r="H414" s="20" t="str">
        <f>IF(B414="","",Milestones!$M31&amp;"")</f>
        <v/>
      </c>
      <c r="I414" s="20" t="str">
        <f>IF(B414="","",Milestones!$P31&amp;"")</f>
        <v/>
      </c>
      <c r="J414" s="20" t="str">
        <f>IF(B414="","",Milestones!$V31&amp;"")</f>
        <v/>
      </c>
      <c r="K414" s="20">
        <f>IF(B414="",0,Milestones!$W31)</f>
        <v>0</v>
      </c>
      <c r="L414" s="20">
        <f>IF(B414="",0,Milestones!$X31)</f>
        <v>0</v>
      </c>
      <c r="M414" s="20" t="str">
        <f>IF(B414="","",Milestones!$AA31)</f>
        <v/>
      </c>
      <c r="N414" s="20" t="str">
        <f>IF(B414="","",Milestones!$AB31)</f>
        <v/>
      </c>
      <c r="O414" s="27" t="str">
        <f>IF(B414="","",Milestones!$Y31)</f>
        <v/>
      </c>
      <c r="P414" s="27" t="str">
        <f>IF(B414="","",Milestones!$Z31)</f>
        <v/>
      </c>
      <c r="Q414" s="20" t="str">
        <f t="shared" si="82"/>
        <v/>
      </c>
      <c r="R414" s="20" t="str">
        <f>IF(A414="","",IF(J414&lt;&gt;"",J414,IF(H414="TIMESTAMP",DAY(INT(M414/1440))&amp;" "&amp;INDEX(nLIST_Months,MONTH(INT(M414/1440)))&amp;" "&amp;YEAR(INT(M414/1440))&amp;" "&amp;RIGHT("0"&amp;INT(MOD(M414,1440)/60),2)&amp;":"&amp;RIGHT("0"&amp;MOD(M414,60),2)&amp;IF(L414=1," (UTC"&amp;I414&amp;")"," (offset unknown)"),IF(H414="DATE",DAY(O414)&amp;" "&amp;INDEX(nLIST_Months,MONTH(O414))&amp;" "&amp;YEAR(O414),IF(H414="MONTH",INDEX(nLIST_Months,MONTH(O414))&amp;" "&amp;YEAR(O414)&amp;" ("&amp;DAY(O414)&amp;" "&amp;INDEX(nLIST_Months,MONTH(O414))&amp;" "&amp;YEAR(O414)&amp;" to "&amp;DAY(P414)&amp;" "&amp;INDEX(nLIST_Months,MONTH(P414))&amp;" "&amp;YEAR(P414)&amp;")",IF(H414="YEAR",YEAR(O414)&amp;" (1 January to 31 December)",DAY(O414)&amp;" "&amp;INDEX(nLIST_Months,MONTH(O414))&amp;" "&amp;YEAR(O414)&amp;" to "&amp;DAY(P414)&amp;" "&amp;INDEX(nLIST_Months,MONTH(P414))&amp;" "&amp;YEAR(P414)&amp;IF(H414="LAB"," (laboratory-defined)","")))))))</f>
        <v/>
      </c>
      <c r="S414" s="20" t="str">
        <f>IF(B414="","",Milestones!$L31&amp;"")</f>
        <v/>
      </c>
      <c r="T414" s="20" t="str">
        <f>IF(B414="","",Milestones!$U31&amp;"")</f>
        <v/>
      </c>
      <c r="U414" s="20" t="str">
        <f>IF(B414="","","Milestones row "&amp;ROW(Milestones!$A31)&amp;", Milestone")</f>
        <v/>
      </c>
      <c r="V414" s="20">
        <f>IF(A414="",0,COUNTIF(nTP_Key,A414))</f>
        <v>0</v>
      </c>
      <c r="W414" s="20">
        <f t="shared" si="83"/>
        <v>0</v>
      </c>
      <c r="X414" s="20">
        <f t="shared" si="84"/>
        <v>0</v>
      </c>
      <c r="Y414" s="20">
        <f t="shared" si="85"/>
        <v>0</v>
      </c>
      <c r="Z414" s="20">
        <f t="shared" si="86"/>
        <v>0</v>
      </c>
      <c r="AA414" s="20">
        <f t="shared" si="87"/>
        <v>410</v>
      </c>
      <c r="AB414" s="20" t="str">
        <f>""</f>
        <v/>
      </c>
      <c r="AC414" s="20" t="str">
        <f>""</f>
        <v/>
      </c>
      <c r="AD414" s="20" t="str">
        <f>IF(B414="","",Milestones!$F31&amp;"")</f>
        <v/>
      </c>
      <c r="AE414" s="20">
        <f t="shared" si="88"/>
        <v>0</v>
      </c>
      <c r="AF414" s="20" t="str">
        <f t="shared" si="89"/>
        <v/>
      </c>
      <c r="AG414" s="20">
        <f t="shared" si="90"/>
        <v>0</v>
      </c>
      <c r="AH414" s="20" t="str">
        <f>""</f>
        <v/>
      </c>
    </row>
    <row r="415" spans="1:34" x14ac:dyDescent="0.2">
      <c r="A415" s="20" t="str">
        <f t="shared" si="80"/>
        <v/>
      </c>
      <c r="B415" s="20" t="str">
        <f>IF(AND(Milestones!$C32&lt;&gt;"",COUNTA(Milestones!$M32:$T32)&gt;0),Milestones!$C32&amp;"","")</f>
        <v/>
      </c>
      <c r="C415" s="20" t="str">
        <f>IF(B415="","","MILESTONE:"&amp;Milestones!$D32)</f>
        <v/>
      </c>
      <c r="D415" s="20" t="str">
        <f>IF(B415="","",Milestones!$A32&amp;"")</f>
        <v/>
      </c>
      <c r="E415" s="20" t="str">
        <f>IF(B415="","",Milestones!$B32&amp;"")</f>
        <v/>
      </c>
      <c r="F415" s="20" t="str">
        <f t="shared" si="81"/>
        <v/>
      </c>
      <c r="G415" s="20" t="str">
        <f>IF(B415="","",Milestones!$E32&amp;"")</f>
        <v/>
      </c>
      <c r="H415" s="20" t="str">
        <f>IF(B415="","",Milestones!$M32&amp;"")</f>
        <v/>
      </c>
      <c r="I415" s="20" t="str">
        <f>IF(B415="","",Milestones!$P32&amp;"")</f>
        <v/>
      </c>
      <c r="J415" s="20" t="str">
        <f>IF(B415="","",Milestones!$V32&amp;"")</f>
        <v/>
      </c>
      <c r="K415" s="20">
        <f>IF(B415="",0,Milestones!$W32)</f>
        <v>0</v>
      </c>
      <c r="L415" s="20">
        <f>IF(B415="",0,Milestones!$X32)</f>
        <v>0</v>
      </c>
      <c r="M415" s="20" t="str">
        <f>IF(B415="","",Milestones!$AA32)</f>
        <v/>
      </c>
      <c r="N415" s="20" t="str">
        <f>IF(B415="","",Milestones!$AB32)</f>
        <v/>
      </c>
      <c r="O415" s="27" t="str">
        <f>IF(B415="","",Milestones!$Y32)</f>
        <v/>
      </c>
      <c r="P415" s="27" t="str">
        <f>IF(B415="","",Milestones!$Z32)</f>
        <v/>
      </c>
      <c r="Q415" s="20" t="str">
        <f t="shared" si="82"/>
        <v/>
      </c>
      <c r="R415" s="20" t="str">
        <f>IF(A415="","",IF(J415&lt;&gt;"",J415,IF(H415="TIMESTAMP",DAY(INT(M415/1440))&amp;" "&amp;INDEX(nLIST_Months,MONTH(INT(M415/1440)))&amp;" "&amp;YEAR(INT(M415/1440))&amp;" "&amp;RIGHT("0"&amp;INT(MOD(M415,1440)/60),2)&amp;":"&amp;RIGHT("0"&amp;MOD(M415,60),2)&amp;IF(L415=1," (UTC"&amp;I415&amp;")"," (offset unknown)"),IF(H415="DATE",DAY(O415)&amp;" "&amp;INDEX(nLIST_Months,MONTH(O415))&amp;" "&amp;YEAR(O415),IF(H415="MONTH",INDEX(nLIST_Months,MONTH(O415))&amp;" "&amp;YEAR(O415)&amp;" ("&amp;DAY(O415)&amp;" "&amp;INDEX(nLIST_Months,MONTH(O415))&amp;" "&amp;YEAR(O415)&amp;" to "&amp;DAY(P415)&amp;" "&amp;INDEX(nLIST_Months,MONTH(P415))&amp;" "&amp;YEAR(P415)&amp;")",IF(H415="YEAR",YEAR(O415)&amp;" (1 January to 31 December)",DAY(O415)&amp;" "&amp;INDEX(nLIST_Months,MONTH(O415))&amp;" "&amp;YEAR(O415)&amp;" to "&amp;DAY(P415)&amp;" "&amp;INDEX(nLIST_Months,MONTH(P415))&amp;" "&amp;YEAR(P415)&amp;IF(H415="LAB"," (laboratory-defined)","")))))))</f>
        <v/>
      </c>
      <c r="S415" s="20" t="str">
        <f>IF(B415="","",Milestones!$L32&amp;"")</f>
        <v/>
      </c>
      <c r="T415" s="20" t="str">
        <f>IF(B415="","",Milestones!$U32&amp;"")</f>
        <v/>
      </c>
      <c r="U415" s="20" t="str">
        <f>IF(B415="","","Milestones row "&amp;ROW(Milestones!$A32)&amp;", Milestone")</f>
        <v/>
      </c>
      <c r="V415" s="20">
        <f>IF(A415="",0,COUNTIF(nTP_Key,A415))</f>
        <v>0</v>
      </c>
      <c r="W415" s="20">
        <f t="shared" si="83"/>
        <v>0</v>
      </c>
      <c r="X415" s="20">
        <f t="shared" si="84"/>
        <v>0</v>
      </c>
      <c r="Y415" s="20">
        <f t="shared" si="85"/>
        <v>0</v>
      </c>
      <c r="Z415" s="20">
        <f t="shared" si="86"/>
        <v>0</v>
      </c>
      <c r="AA415" s="20">
        <f t="shared" si="87"/>
        <v>411</v>
      </c>
      <c r="AB415" s="20" t="str">
        <f>""</f>
        <v/>
      </c>
      <c r="AC415" s="20" t="str">
        <f>""</f>
        <v/>
      </c>
      <c r="AD415" s="20" t="str">
        <f>IF(B415="","",Milestones!$F32&amp;"")</f>
        <v/>
      </c>
      <c r="AE415" s="20">
        <f t="shared" si="88"/>
        <v>0</v>
      </c>
      <c r="AF415" s="20" t="str">
        <f t="shared" si="89"/>
        <v/>
      </c>
      <c r="AG415" s="20">
        <f t="shared" si="90"/>
        <v>0</v>
      </c>
      <c r="AH415" s="20" t="str">
        <f>""</f>
        <v/>
      </c>
    </row>
    <row r="416" spans="1:34" x14ac:dyDescent="0.2">
      <c r="A416" s="20" t="str">
        <f t="shared" si="80"/>
        <v/>
      </c>
      <c r="B416" s="20" t="str">
        <f>IF(AND(Milestones!$C33&lt;&gt;"",COUNTA(Milestones!$M33:$T33)&gt;0),Milestones!$C33&amp;"","")</f>
        <v/>
      </c>
      <c r="C416" s="20" t="str">
        <f>IF(B416="","","MILESTONE:"&amp;Milestones!$D33)</f>
        <v/>
      </c>
      <c r="D416" s="20" t="str">
        <f>IF(B416="","",Milestones!$A33&amp;"")</f>
        <v/>
      </c>
      <c r="E416" s="20" t="str">
        <f>IF(B416="","",Milestones!$B33&amp;"")</f>
        <v/>
      </c>
      <c r="F416" s="20" t="str">
        <f t="shared" si="81"/>
        <v/>
      </c>
      <c r="G416" s="20" t="str">
        <f>IF(B416="","",Milestones!$E33&amp;"")</f>
        <v/>
      </c>
      <c r="H416" s="20" t="str">
        <f>IF(B416="","",Milestones!$M33&amp;"")</f>
        <v/>
      </c>
      <c r="I416" s="20" t="str">
        <f>IF(B416="","",Milestones!$P33&amp;"")</f>
        <v/>
      </c>
      <c r="J416" s="20" t="str">
        <f>IF(B416="","",Milestones!$V33&amp;"")</f>
        <v/>
      </c>
      <c r="K416" s="20">
        <f>IF(B416="",0,Milestones!$W33)</f>
        <v>0</v>
      </c>
      <c r="L416" s="20">
        <f>IF(B416="",0,Milestones!$X33)</f>
        <v>0</v>
      </c>
      <c r="M416" s="20" t="str">
        <f>IF(B416="","",Milestones!$AA33)</f>
        <v/>
      </c>
      <c r="N416" s="20" t="str">
        <f>IF(B416="","",Milestones!$AB33)</f>
        <v/>
      </c>
      <c r="O416" s="27" t="str">
        <f>IF(B416="","",Milestones!$Y33)</f>
        <v/>
      </c>
      <c r="P416" s="27" t="str">
        <f>IF(B416="","",Milestones!$Z33)</f>
        <v/>
      </c>
      <c r="Q416" s="20" t="str">
        <f t="shared" si="82"/>
        <v/>
      </c>
      <c r="R416" s="20" t="str">
        <f>IF(A416="","",IF(J416&lt;&gt;"",J416,IF(H416="TIMESTAMP",DAY(INT(M416/1440))&amp;" "&amp;INDEX(nLIST_Months,MONTH(INT(M416/1440)))&amp;" "&amp;YEAR(INT(M416/1440))&amp;" "&amp;RIGHT("0"&amp;INT(MOD(M416,1440)/60),2)&amp;":"&amp;RIGHT("0"&amp;MOD(M416,60),2)&amp;IF(L416=1," (UTC"&amp;I416&amp;")"," (offset unknown)"),IF(H416="DATE",DAY(O416)&amp;" "&amp;INDEX(nLIST_Months,MONTH(O416))&amp;" "&amp;YEAR(O416),IF(H416="MONTH",INDEX(nLIST_Months,MONTH(O416))&amp;" "&amp;YEAR(O416)&amp;" ("&amp;DAY(O416)&amp;" "&amp;INDEX(nLIST_Months,MONTH(O416))&amp;" "&amp;YEAR(O416)&amp;" to "&amp;DAY(P416)&amp;" "&amp;INDEX(nLIST_Months,MONTH(P416))&amp;" "&amp;YEAR(P416)&amp;")",IF(H416="YEAR",YEAR(O416)&amp;" (1 January to 31 December)",DAY(O416)&amp;" "&amp;INDEX(nLIST_Months,MONTH(O416))&amp;" "&amp;YEAR(O416)&amp;" to "&amp;DAY(P416)&amp;" "&amp;INDEX(nLIST_Months,MONTH(P416))&amp;" "&amp;YEAR(P416)&amp;IF(H416="LAB"," (laboratory-defined)","")))))))</f>
        <v/>
      </c>
      <c r="S416" s="20" t="str">
        <f>IF(B416="","",Milestones!$L33&amp;"")</f>
        <v/>
      </c>
      <c r="T416" s="20" t="str">
        <f>IF(B416="","",Milestones!$U33&amp;"")</f>
        <v/>
      </c>
      <c r="U416" s="20" t="str">
        <f>IF(B416="","","Milestones row "&amp;ROW(Milestones!$A33)&amp;", Milestone")</f>
        <v/>
      </c>
      <c r="V416" s="20">
        <f>IF(A416="",0,COUNTIF(nTP_Key,A416))</f>
        <v>0</v>
      </c>
      <c r="W416" s="20">
        <f t="shared" si="83"/>
        <v>0</v>
      </c>
      <c r="X416" s="20">
        <f t="shared" si="84"/>
        <v>0</v>
      </c>
      <c r="Y416" s="20">
        <f t="shared" si="85"/>
        <v>0</v>
      </c>
      <c r="Z416" s="20">
        <f t="shared" si="86"/>
        <v>0</v>
      </c>
      <c r="AA416" s="20">
        <f t="shared" si="87"/>
        <v>412</v>
      </c>
      <c r="AB416" s="20" t="str">
        <f>""</f>
        <v/>
      </c>
      <c r="AC416" s="20" t="str">
        <f>""</f>
        <v/>
      </c>
      <c r="AD416" s="20" t="str">
        <f>IF(B416="","",Milestones!$F33&amp;"")</f>
        <v/>
      </c>
      <c r="AE416" s="20">
        <f t="shared" si="88"/>
        <v>0</v>
      </c>
      <c r="AF416" s="20" t="str">
        <f t="shared" si="89"/>
        <v/>
      </c>
      <c r="AG416" s="20">
        <f t="shared" si="90"/>
        <v>0</v>
      </c>
      <c r="AH416" s="20" t="str">
        <f>""</f>
        <v/>
      </c>
    </row>
    <row r="417" spans="1:34" x14ac:dyDescent="0.2">
      <c r="A417" s="20" t="str">
        <f t="shared" si="80"/>
        <v/>
      </c>
      <c r="B417" s="20" t="str">
        <f>IF(AND(Milestones!$C34&lt;&gt;"",COUNTA(Milestones!$M34:$T34)&gt;0),Milestones!$C34&amp;"","")</f>
        <v/>
      </c>
      <c r="C417" s="20" t="str">
        <f>IF(B417="","","MILESTONE:"&amp;Milestones!$D34)</f>
        <v/>
      </c>
      <c r="D417" s="20" t="str">
        <f>IF(B417="","",Milestones!$A34&amp;"")</f>
        <v/>
      </c>
      <c r="E417" s="20" t="str">
        <f>IF(B417="","",Milestones!$B34&amp;"")</f>
        <v/>
      </c>
      <c r="F417" s="20" t="str">
        <f t="shared" si="81"/>
        <v/>
      </c>
      <c r="G417" s="20" t="str">
        <f>IF(B417="","",Milestones!$E34&amp;"")</f>
        <v/>
      </c>
      <c r="H417" s="20" t="str">
        <f>IF(B417="","",Milestones!$M34&amp;"")</f>
        <v/>
      </c>
      <c r="I417" s="20" t="str">
        <f>IF(B417="","",Milestones!$P34&amp;"")</f>
        <v/>
      </c>
      <c r="J417" s="20" t="str">
        <f>IF(B417="","",Milestones!$V34&amp;"")</f>
        <v/>
      </c>
      <c r="K417" s="20">
        <f>IF(B417="",0,Milestones!$W34)</f>
        <v>0</v>
      </c>
      <c r="L417" s="20">
        <f>IF(B417="",0,Milestones!$X34)</f>
        <v>0</v>
      </c>
      <c r="M417" s="20" t="str">
        <f>IF(B417="","",Milestones!$AA34)</f>
        <v/>
      </c>
      <c r="N417" s="20" t="str">
        <f>IF(B417="","",Milestones!$AB34)</f>
        <v/>
      </c>
      <c r="O417" s="27" t="str">
        <f>IF(B417="","",Milestones!$Y34)</f>
        <v/>
      </c>
      <c r="P417" s="27" t="str">
        <f>IF(B417="","",Milestones!$Z34)</f>
        <v/>
      </c>
      <c r="Q417" s="20" t="str">
        <f t="shared" si="82"/>
        <v/>
      </c>
      <c r="R417" s="20" t="str">
        <f>IF(A417="","",IF(J417&lt;&gt;"",J417,IF(H417="TIMESTAMP",DAY(INT(M417/1440))&amp;" "&amp;INDEX(nLIST_Months,MONTH(INT(M417/1440)))&amp;" "&amp;YEAR(INT(M417/1440))&amp;" "&amp;RIGHT("0"&amp;INT(MOD(M417,1440)/60),2)&amp;":"&amp;RIGHT("0"&amp;MOD(M417,60),2)&amp;IF(L417=1," (UTC"&amp;I417&amp;")"," (offset unknown)"),IF(H417="DATE",DAY(O417)&amp;" "&amp;INDEX(nLIST_Months,MONTH(O417))&amp;" "&amp;YEAR(O417),IF(H417="MONTH",INDEX(nLIST_Months,MONTH(O417))&amp;" "&amp;YEAR(O417)&amp;" ("&amp;DAY(O417)&amp;" "&amp;INDEX(nLIST_Months,MONTH(O417))&amp;" "&amp;YEAR(O417)&amp;" to "&amp;DAY(P417)&amp;" "&amp;INDEX(nLIST_Months,MONTH(P417))&amp;" "&amp;YEAR(P417)&amp;")",IF(H417="YEAR",YEAR(O417)&amp;" (1 January to 31 December)",DAY(O417)&amp;" "&amp;INDEX(nLIST_Months,MONTH(O417))&amp;" "&amp;YEAR(O417)&amp;" to "&amp;DAY(P417)&amp;" "&amp;INDEX(nLIST_Months,MONTH(P417))&amp;" "&amp;YEAR(P417)&amp;IF(H417="LAB"," (laboratory-defined)","")))))))</f>
        <v/>
      </c>
      <c r="S417" s="20" t="str">
        <f>IF(B417="","",Milestones!$L34&amp;"")</f>
        <v/>
      </c>
      <c r="T417" s="20" t="str">
        <f>IF(B417="","",Milestones!$U34&amp;"")</f>
        <v/>
      </c>
      <c r="U417" s="20" t="str">
        <f>IF(B417="","","Milestones row "&amp;ROW(Milestones!$A34)&amp;", Milestone")</f>
        <v/>
      </c>
      <c r="V417" s="20">
        <f>IF(A417="",0,COUNTIF(nTP_Key,A417))</f>
        <v>0</v>
      </c>
      <c r="W417" s="20">
        <f t="shared" si="83"/>
        <v>0</v>
      </c>
      <c r="X417" s="20">
        <f t="shared" si="84"/>
        <v>0</v>
      </c>
      <c r="Y417" s="20">
        <f t="shared" si="85"/>
        <v>0</v>
      </c>
      <c r="Z417" s="20">
        <f t="shared" si="86"/>
        <v>0</v>
      </c>
      <c r="AA417" s="20">
        <f t="shared" si="87"/>
        <v>413</v>
      </c>
      <c r="AB417" s="20" t="str">
        <f>""</f>
        <v/>
      </c>
      <c r="AC417" s="20" t="str">
        <f>""</f>
        <v/>
      </c>
      <c r="AD417" s="20" t="str">
        <f>IF(B417="","",Milestones!$F34&amp;"")</f>
        <v/>
      </c>
      <c r="AE417" s="20">
        <f t="shared" si="88"/>
        <v>0</v>
      </c>
      <c r="AF417" s="20" t="str">
        <f t="shared" si="89"/>
        <v/>
      </c>
      <c r="AG417" s="20">
        <f t="shared" si="90"/>
        <v>0</v>
      </c>
      <c r="AH417" s="20" t="str">
        <f>""</f>
        <v/>
      </c>
    </row>
    <row r="418" spans="1:34" x14ac:dyDescent="0.2">
      <c r="A418" s="20" t="str">
        <f t="shared" si="80"/>
        <v/>
      </c>
      <c r="B418" s="20" t="str">
        <f>IF(AND(Milestones!$C35&lt;&gt;"",COUNTA(Milestones!$M35:$T35)&gt;0),Milestones!$C35&amp;"","")</f>
        <v/>
      </c>
      <c r="C418" s="20" t="str">
        <f>IF(B418="","","MILESTONE:"&amp;Milestones!$D35)</f>
        <v/>
      </c>
      <c r="D418" s="20" t="str">
        <f>IF(B418="","",Milestones!$A35&amp;"")</f>
        <v/>
      </c>
      <c r="E418" s="20" t="str">
        <f>IF(B418="","",Milestones!$B35&amp;"")</f>
        <v/>
      </c>
      <c r="F418" s="20" t="str">
        <f t="shared" si="81"/>
        <v/>
      </c>
      <c r="G418" s="20" t="str">
        <f>IF(B418="","",Milestones!$E35&amp;"")</f>
        <v/>
      </c>
      <c r="H418" s="20" t="str">
        <f>IF(B418="","",Milestones!$M35&amp;"")</f>
        <v/>
      </c>
      <c r="I418" s="20" t="str">
        <f>IF(B418="","",Milestones!$P35&amp;"")</f>
        <v/>
      </c>
      <c r="J418" s="20" t="str">
        <f>IF(B418="","",Milestones!$V35&amp;"")</f>
        <v/>
      </c>
      <c r="K418" s="20">
        <f>IF(B418="",0,Milestones!$W35)</f>
        <v>0</v>
      </c>
      <c r="L418" s="20">
        <f>IF(B418="",0,Milestones!$X35)</f>
        <v>0</v>
      </c>
      <c r="M418" s="20" t="str">
        <f>IF(B418="","",Milestones!$AA35)</f>
        <v/>
      </c>
      <c r="N418" s="20" t="str">
        <f>IF(B418="","",Milestones!$AB35)</f>
        <v/>
      </c>
      <c r="O418" s="27" t="str">
        <f>IF(B418="","",Milestones!$Y35)</f>
        <v/>
      </c>
      <c r="P418" s="27" t="str">
        <f>IF(B418="","",Milestones!$Z35)</f>
        <v/>
      </c>
      <c r="Q418" s="20" t="str">
        <f t="shared" si="82"/>
        <v/>
      </c>
      <c r="R418" s="20" t="str">
        <f>IF(A418="","",IF(J418&lt;&gt;"",J418,IF(H418="TIMESTAMP",DAY(INT(M418/1440))&amp;" "&amp;INDEX(nLIST_Months,MONTH(INT(M418/1440)))&amp;" "&amp;YEAR(INT(M418/1440))&amp;" "&amp;RIGHT("0"&amp;INT(MOD(M418,1440)/60),2)&amp;":"&amp;RIGHT("0"&amp;MOD(M418,60),2)&amp;IF(L418=1," (UTC"&amp;I418&amp;")"," (offset unknown)"),IF(H418="DATE",DAY(O418)&amp;" "&amp;INDEX(nLIST_Months,MONTH(O418))&amp;" "&amp;YEAR(O418),IF(H418="MONTH",INDEX(nLIST_Months,MONTH(O418))&amp;" "&amp;YEAR(O418)&amp;" ("&amp;DAY(O418)&amp;" "&amp;INDEX(nLIST_Months,MONTH(O418))&amp;" "&amp;YEAR(O418)&amp;" to "&amp;DAY(P418)&amp;" "&amp;INDEX(nLIST_Months,MONTH(P418))&amp;" "&amp;YEAR(P418)&amp;")",IF(H418="YEAR",YEAR(O418)&amp;" (1 January to 31 December)",DAY(O418)&amp;" "&amp;INDEX(nLIST_Months,MONTH(O418))&amp;" "&amp;YEAR(O418)&amp;" to "&amp;DAY(P418)&amp;" "&amp;INDEX(nLIST_Months,MONTH(P418))&amp;" "&amp;YEAR(P418)&amp;IF(H418="LAB"," (laboratory-defined)","")))))))</f>
        <v/>
      </c>
      <c r="S418" s="20" t="str">
        <f>IF(B418="","",Milestones!$L35&amp;"")</f>
        <v/>
      </c>
      <c r="T418" s="20" t="str">
        <f>IF(B418="","",Milestones!$U35&amp;"")</f>
        <v/>
      </c>
      <c r="U418" s="20" t="str">
        <f>IF(B418="","","Milestones row "&amp;ROW(Milestones!$A35)&amp;", Milestone")</f>
        <v/>
      </c>
      <c r="V418" s="20">
        <f>IF(A418="",0,COUNTIF(nTP_Key,A418))</f>
        <v>0</v>
      </c>
      <c r="W418" s="20">
        <f t="shared" si="83"/>
        <v>0</v>
      </c>
      <c r="X418" s="20">
        <f t="shared" si="84"/>
        <v>0</v>
      </c>
      <c r="Y418" s="20">
        <f t="shared" si="85"/>
        <v>0</v>
      </c>
      <c r="Z418" s="20">
        <f t="shared" si="86"/>
        <v>0</v>
      </c>
      <c r="AA418" s="20">
        <f t="shared" si="87"/>
        <v>414</v>
      </c>
      <c r="AB418" s="20" t="str">
        <f>""</f>
        <v/>
      </c>
      <c r="AC418" s="20" t="str">
        <f>""</f>
        <v/>
      </c>
      <c r="AD418" s="20" t="str">
        <f>IF(B418="","",Milestones!$F35&amp;"")</f>
        <v/>
      </c>
      <c r="AE418" s="20">
        <f t="shared" si="88"/>
        <v>0</v>
      </c>
      <c r="AF418" s="20" t="str">
        <f t="shared" si="89"/>
        <v/>
      </c>
      <c r="AG418" s="20">
        <f t="shared" si="90"/>
        <v>0</v>
      </c>
      <c r="AH418" s="20" t="str">
        <f>""</f>
        <v/>
      </c>
    </row>
    <row r="419" spans="1:34" x14ac:dyDescent="0.2">
      <c r="A419" s="20" t="str">
        <f t="shared" si="80"/>
        <v/>
      </c>
      <c r="B419" s="20" t="str">
        <f>IF(AND(Milestones!$C36&lt;&gt;"",COUNTA(Milestones!$M36:$T36)&gt;0),Milestones!$C36&amp;"","")</f>
        <v/>
      </c>
      <c r="C419" s="20" t="str">
        <f>IF(B419="","","MILESTONE:"&amp;Milestones!$D36)</f>
        <v/>
      </c>
      <c r="D419" s="20" t="str">
        <f>IF(B419="","",Milestones!$A36&amp;"")</f>
        <v/>
      </c>
      <c r="E419" s="20" t="str">
        <f>IF(B419="","",Milestones!$B36&amp;"")</f>
        <v/>
      </c>
      <c r="F419" s="20" t="str">
        <f t="shared" si="81"/>
        <v/>
      </c>
      <c r="G419" s="20" t="str">
        <f>IF(B419="","",Milestones!$E36&amp;"")</f>
        <v/>
      </c>
      <c r="H419" s="20" t="str">
        <f>IF(B419="","",Milestones!$M36&amp;"")</f>
        <v/>
      </c>
      <c r="I419" s="20" t="str">
        <f>IF(B419="","",Milestones!$P36&amp;"")</f>
        <v/>
      </c>
      <c r="J419" s="20" t="str">
        <f>IF(B419="","",Milestones!$V36&amp;"")</f>
        <v/>
      </c>
      <c r="K419" s="20">
        <f>IF(B419="",0,Milestones!$W36)</f>
        <v>0</v>
      </c>
      <c r="L419" s="20">
        <f>IF(B419="",0,Milestones!$X36)</f>
        <v>0</v>
      </c>
      <c r="M419" s="20" t="str">
        <f>IF(B419="","",Milestones!$AA36)</f>
        <v/>
      </c>
      <c r="N419" s="20" t="str">
        <f>IF(B419="","",Milestones!$AB36)</f>
        <v/>
      </c>
      <c r="O419" s="27" t="str">
        <f>IF(B419="","",Milestones!$Y36)</f>
        <v/>
      </c>
      <c r="P419" s="27" t="str">
        <f>IF(B419="","",Milestones!$Z36)</f>
        <v/>
      </c>
      <c r="Q419" s="20" t="str">
        <f t="shared" si="82"/>
        <v/>
      </c>
      <c r="R419" s="20" t="str">
        <f>IF(A419="","",IF(J419&lt;&gt;"",J419,IF(H419="TIMESTAMP",DAY(INT(M419/1440))&amp;" "&amp;INDEX(nLIST_Months,MONTH(INT(M419/1440)))&amp;" "&amp;YEAR(INT(M419/1440))&amp;" "&amp;RIGHT("0"&amp;INT(MOD(M419,1440)/60),2)&amp;":"&amp;RIGHT("0"&amp;MOD(M419,60),2)&amp;IF(L419=1," (UTC"&amp;I419&amp;")"," (offset unknown)"),IF(H419="DATE",DAY(O419)&amp;" "&amp;INDEX(nLIST_Months,MONTH(O419))&amp;" "&amp;YEAR(O419),IF(H419="MONTH",INDEX(nLIST_Months,MONTH(O419))&amp;" "&amp;YEAR(O419)&amp;" ("&amp;DAY(O419)&amp;" "&amp;INDEX(nLIST_Months,MONTH(O419))&amp;" "&amp;YEAR(O419)&amp;" to "&amp;DAY(P419)&amp;" "&amp;INDEX(nLIST_Months,MONTH(P419))&amp;" "&amp;YEAR(P419)&amp;")",IF(H419="YEAR",YEAR(O419)&amp;" (1 January to 31 December)",DAY(O419)&amp;" "&amp;INDEX(nLIST_Months,MONTH(O419))&amp;" "&amp;YEAR(O419)&amp;" to "&amp;DAY(P419)&amp;" "&amp;INDEX(nLIST_Months,MONTH(P419))&amp;" "&amp;YEAR(P419)&amp;IF(H419="LAB"," (laboratory-defined)","")))))))</f>
        <v/>
      </c>
      <c r="S419" s="20" t="str">
        <f>IF(B419="","",Milestones!$L36&amp;"")</f>
        <v/>
      </c>
      <c r="T419" s="20" t="str">
        <f>IF(B419="","",Milestones!$U36&amp;"")</f>
        <v/>
      </c>
      <c r="U419" s="20" t="str">
        <f>IF(B419="","","Milestones row "&amp;ROW(Milestones!$A36)&amp;", Milestone")</f>
        <v/>
      </c>
      <c r="V419" s="20">
        <f>IF(A419="",0,COUNTIF(nTP_Key,A419))</f>
        <v>0</v>
      </c>
      <c r="W419" s="20">
        <f t="shared" si="83"/>
        <v>0</v>
      </c>
      <c r="X419" s="20">
        <f t="shared" si="84"/>
        <v>0</v>
      </c>
      <c r="Y419" s="20">
        <f t="shared" si="85"/>
        <v>0</v>
      </c>
      <c r="Z419" s="20">
        <f t="shared" si="86"/>
        <v>0</v>
      </c>
      <c r="AA419" s="20">
        <f t="shared" si="87"/>
        <v>415</v>
      </c>
      <c r="AB419" s="20" t="str">
        <f>""</f>
        <v/>
      </c>
      <c r="AC419" s="20" t="str">
        <f>""</f>
        <v/>
      </c>
      <c r="AD419" s="20" t="str">
        <f>IF(B419="","",Milestones!$F36&amp;"")</f>
        <v/>
      </c>
      <c r="AE419" s="20">
        <f t="shared" si="88"/>
        <v>0</v>
      </c>
      <c r="AF419" s="20" t="str">
        <f t="shared" si="89"/>
        <v/>
      </c>
      <c r="AG419" s="20">
        <f t="shared" si="90"/>
        <v>0</v>
      </c>
      <c r="AH419" s="20" t="str">
        <f>""</f>
        <v/>
      </c>
    </row>
    <row r="420" spans="1:34" x14ac:dyDescent="0.2">
      <c r="A420" s="20" t="str">
        <f t="shared" si="80"/>
        <v/>
      </c>
      <c r="B420" s="20" t="str">
        <f>IF(AND(Milestones!$C37&lt;&gt;"",COUNTA(Milestones!$M37:$T37)&gt;0),Milestones!$C37&amp;"","")</f>
        <v/>
      </c>
      <c r="C420" s="20" t="str">
        <f>IF(B420="","","MILESTONE:"&amp;Milestones!$D37)</f>
        <v/>
      </c>
      <c r="D420" s="20" t="str">
        <f>IF(B420="","",Milestones!$A37&amp;"")</f>
        <v/>
      </c>
      <c r="E420" s="20" t="str">
        <f>IF(B420="","",Milestones!$B37&amp;"")</f>
        <v/>
      </c>
      <c r="F420" s="20" t="str">
        <f t="shared" si="81"/>
        <v/>
      </c>
      <c r="G420" s="20" t="str">
        <f>IF(B420="","",Milestones!$E37&amp;"")</f>
        <v/>
      </c>
      <c r="H420" s="20" t="str">
        <f>IF(B420="","",Milestones!$M37&amp;"")</f>
        <v/>
      </c>
      <c r="I420" s="20" t="str">
        <f>IF(B420="","",Milestones!$P37&amp;"")</f>
        <v/>
      </c>
      <c r="J420" s="20" t="str">
        <f>IF(B420="","",Milestones!$V37&amp;"")</f>
        <v/>
      </c>
      <c r="K420" s="20">
        <f>IF(B420="",0,Milestones!$W37)</f>
        <v>0</v>
      </c>
      <c r="L420" s="20">
        <f>IF(B420="",0,Milestones!$X37)</f>
        <v>0</v>
      </c>
      <c r="M420" s="20" t="str">
        <f>IF(B420="","",Milestones!$AA37)</f>
        <v/>
      </c>
      <c r="N420" s="20" t="str">
        <f>IF(B420="","",Milestones!$AB37)</f>
        <v/>
      </c>
      <c r="O420" s="27" t="str">
        <f>IF(B420="","",Milestones!$Y37)</f>
        <v/>
      </c>
      <c r="P420" s="27" t="str">
        <f>IF(B420="","",Milestones!$Z37)</f>
        <v/>
      </c>
      <c r="Q420" s="20" t="str">
        <f t="shared" si="82"/>
        <v/>
      </c>
      <c r="R420" s="20" t="str">
        <f>IF(A420="","",IF(J420&lt;&gt;"",J420,IF(H420="TIMESTAMP",DAY(INT(M420/1440))&amp;" "&amp;INDEX(nLIST_Months,MONTH(INT(M420/1440)))&amp;" "&amp;YEAR(INT(M420/1440))&amp;" "&amp;RIGHT("0"&amp;INT(MOD(M420,1440)/60),2)&amp;":"&amp;RIGHT("0"&amp;MOD(M420,60),2)&amp;IF(L420=1," (UTC"&amp;I420&amp;")"," (offset unknown)"),IF(H420="DATE",DAY(O420)&amp;" "&amp;INDEX(nLIST_Months,MONTH(O420))&amp;" "&amp;YEAR(O420),IF(H420="MONTH",INDEX(nLIST_Months,MONTH(O420))&amp;" "&amp;YEAR(O420)&amp;" ("&amp;DAY(O420)&amp;" "&amp;INDEX(nLIST_Months,MONTH(O420))&amp;" "&amp;YEAR(O420)&amp;" to "&amp;DAY(P420)&amp;" "&amp;INDEX(nLIST_Months,MONTH(P420))&amp;" "&amp;YEAR(P420)&amp;")",IF(H420="YEAR",YEAR(O420)&amp;" (1 January to 31 December)",DAY(O420)&amp;" "&amp;INDEX(nLIST_Months,MONTH(O420))&amp;" "&amp;YEAR(O420)&amp;" to "&amp;DAY(P420)&amp;" "&amp;INDEX(nLIST_Months,MONTH(P420))&amp;" "&amp;YEAR(P420)&amp;IF(H420="LAB"," (laboratory-defined)","")))))))</f>
        <v/>
      </c>
      <c r="S420" s="20" t="str">
        <f>IF(B420="","",Milestones!$L37&amp;"")</f>
        <v/>
      </c>
      <c r="T420" s="20" t="str">
        <f>IF(B420="","",Milestones!$U37&amp;"")</f>
        <v/>
      </c>
      <c r="U420" s="20" t="str">
        <f>IF(B420="","","Milestones row "&amp;ROW(Milestones!$A37)&amp;", Milestone")</f>
        <v/>
      </c>
      <c r="V420" s="20">
        <f>IF(A420="",0,COUNTIF(nTP_Key,A420))</f>
        <v>0</v>
      </c>
      <c r="W420" s="20">
        <f t="shared" si="83"/>
        <v>0</v>
      </c>
      <c r="X420" s="20">
        <f t="shared" si="84"/>
        <v>0</v>
      </c>
      <c r="Y420" s="20">
        <f t="shared" si="85"/>
        <v>0</v>
      </c>
      <c r="Z420" s="20">
        <f t="shared" si="86"/>
        <v>0</v>
      </c>
      <c r="AA420" s="20">
        <f t="shared" si="87"/>
        <v>416</v>
      </c>
      <c r="AB420" s="20" t="str">
        <f>""</f>
        <v/>
      </c>
      <c r="AC420" s="20" t="str">
        <f>""</f>
        <v/>
      </c>
      <c r="AD420" s="20" t="str">
        <f>IF(B420="","",Milestones!$F37&amp;"")</f>
        <v/>
      </c>
      <c r="AE420" s="20">
        <f t="shared" si="88"/>
        <v>0</v>
      </c>
      <c r="AF420" s="20" t="str">
        <f t="shared" si="89"/>
        <v/>
      </c>
      <c r="AG420" s="20">
        <f t="shared" si="90"/>
        <v>0</v>
      </c>
      <c r="AH420" s="20" t="str">
        <f>""</f>
        <v/>
      </c>
    </row>
    <row r="421" spans="1:34" x14ac:dyDescent="0.2">
      <c r="A421" s="20" t="str">
        <f t="shared" si="80"/>
        <v/>
      </c>
      <c r="B421" s="20" t="str">
        <f>IF(AND(Milestones!$C38&lt;&gt;"",COUNTA(Milestones!$M38:$T38)&gt;0),Milestones!$C38&amp;"","")</f>
        <v/>
      </c>
      <c r="C421" s="20" t="str">
        <f>IF(B421="","","MILESTONE:"&amp;Milestones!$D38)</f>
        <v/>
      </c>
      <c r="D421" s="20" t="str">
        <f>IF(B421="","",Milestones!$A38&amp;"")</f>
        <v/>
      </c>
      <c r="E421" s="20" t="str">
        <f>IF(B421="","",Milestones!$B38&amp;"")</f>
        <v/>
      </c>
      <c r="F421" s="20" t="str">
        <f t="shared" si="81"/>
        <v/>
      </c>
      <c r="G421" s="20" t="str">
        <f>IF(B421="","",Milestones!$E38&amp;"")</f>
        <v/>
      </c>
      <c r="H421" s="20" t="str">
        <f>IF(B421="","",Milestones!$M38&amp;"")</f>
        <v/>
      </c>
      <c r="I421" s="20" t="str">
        <f>IF(B421="","",Milestones!$P38&amp;"")</f>
        <v/>
      </c>
      <c r="J421" s="20" t="str">
        <f>IF(B421="","",Milestones!$V38&amp;"")</f>
        <v/>
      </c>
      <c r="K421" s="20">
        <f>IF(B421="",0,Milestones!$W38)</f>
        <v>0</v>
      </c>
      <c r="L421" s="20">
        <f>IF(B421="",0,Milestones!$X38)</f>
        <v>0</v>
      </c>
      <c r="M421" s="20" t="str">
        <f>IF(B421="","",Milestones!$AA38)</f>
        <v/>
      </c>
      <c r="N421" s="20" t="str">
        <f>IF(B421="","",Milestones!$AB38)</f>
        <v/>
      </c>
      <c r="O421" s="27" t="str">
        <f>IF(B421="","",Milestones!$Y38)</f>
        <v/>
      </c>
      <c r="P421" s="27" t="str">
        <f>IF(B421="","",Milestones!$Z38)</f>
        <v/>
      </c>
      <c r="Q421" s="20" t="str">
        <f t="shared" si="82"/>
        <v/>
      </c>
      <c r="R421" s="20" t="str">
        <f>IF(A421="","",IF(J421&lt;&gt;"",J421,IF(H421="TIMESTAMP",DAY(INT(M421/1440))&amp;" "&amp;INDEX(nLIST_Months,MONTH(INT(M421/1440)))&amp;" "&amp;YEAR(INT(M421/1440))&amp;" "&amp;RIGHT("0"&amp;INT(MOD(M421,1440)/60),2)&amp;":"&amp;RIGHT("0"&amp;MOD(M421,60),2)&amp;IF(L421=1," (UTC"&amp;I421&amp;")"," (offset unknown)"),IF(H421="DATE",DAY(O421)&amp;" "&amp;INDEX(nLIST_Months,MONTH(O421))&amp;" "&amp;YEAR(O421),IF(H421="MONTH",INDEX(nLIST_Months,MONTH(O421))&amp;" "&amp;YEAR(O421)&amp;" ("&amp;DAY(O421)&amp;" "&amp;INDEX(nLIST_Months,MONTH(O421))&amp;" "&amp;YEAR(O421)&amp;" to "&amp;DAY(P421)&amp;" "&amp;INDEX(nLIST_Months,MONTH(P421))&amp;" "&amp;YEAR(P421)&amp;")",IF(H421="YEAR",YEAR(O421)&amp;" (1 January to 31 December)",DAY(O421)&amp;" "&amp;INDEX(nLIST_Months,MONTH(O421))&amp;" "&amp;YEAR(O421)&amp;" to "&amp;DAY(P421)&amp;" "&amp;INDEX(nLIST_Months,MONTH(P421))&amp;" "&amp;YEAR(P421)&amp;IF(H421="LAB"," (laboratory-defined)","")))))))</f>
        <v/>
      </c>
      <c r="S421" s="20" t="str">
        <f>IF(B421="","",Milestones!$L38&amp;"")</f>
        <v/>
      </c>
      <c r="T421" s="20" t="str">
        <f>IF(B421="","",Milestones!$U38&amp;"")</f>
        <v/>
      </c>
      <c r="U421" s="20" t="str">
        <f>IF(B421="","","Milestones row "&amp;ROW(Milestones!$A38)&amp;", Milestone")</f>
        <v/>
      </c>
      <c r="V421" s="20">
        <f>IF(A421="",0,COUNTIF(nTP_Key,A421))</f>
        <v>0</v>
      </c>
      <c r="W421" s="20">
        <f t="shared" si="83"/>
        <v>0</v>
      </c>
      <c r="X421" s="20">
        <f t="shared" si="84"/>
        <v>0</v>
      </c>
      <c r="Y421" s="20">
        <f t="shared" si="85"/>
        <v>0</v>
      </c>
      <c r="Z421" s="20">
        <f t="shared" si="86"/>
        <v>0</v>
      </c>
      <c r="AA421" s="20">
        <f t="shared" si="87"/>
        <v>417</v>
      </c>
      <c r="AB421" s="20" t="str">
        <f>""</f>
        <v/>
      </c>
      <c r="AC421" s="20" t="str">
        <f>""</f>
        <v/>
      </c>
      <c r="AD421" s="20" t="str">
        <f>IF(B421="","",Milestones!$F38&amp;"")</f>
        <v/>
      </c>
      <c r="AE421" s="20">
        <f t="shared" si="88"/>
        <v>0</v>
      </c>
      <c r="AF421" s="20" t="str">
        <f t="shared" si="89"/>
        <v/>
      </c>
      <c r="AG421" s="20">
        <f t="shared" si="90"/>
        <v>0</v>
      </c>
      <c r="AH421" s="20" t="str">
        <f>""</f>
        <v/>
      </c>
    </row>
    <row r="422" spans="1:34" x14ac:dyDescent="0.2">
      <c r="A422" s="20" t="str">
        <f t="shared" si="80"/>
        <v/>
      </c>
      <c r="B422" s="20" t="str">
        <f>IF(AND(Milestones!$C39&lt;&gt;"",COUNTA(Milestones!$M39:$T39)&gt;0),Milestones!$C39&amp;"","")</f>
        <v/>
      </c>
      <c r="C422" s="20" t="str">
        <f>IF(B422="","","MILESTONE:"&amp;Milestones!$D39)</f>
        <v/>
      </c>
      <c r="D422" s="20" t="str">
        <f>IF(B422="","",Milestones!$A39&amp;"")</f>
        <v/>
      </c>
      <c r="E422" s="20" t="str">
        <f>IF(B422="","",Milestones!$B39&amp;"")</f>
        <v/>
      </c>
      <c r="F422" s="20" t="str">
        <f t="shared" si="81"/>
        <v/>
      </c>
      <c r="G422" s="20" t="str">
        <f>IF(B422="","",Milestones!$E39&amp;"")</f>
        <v/>
      </c>
      <c r="H422" s="20" t="str">
        <f>IF(B422="","",Milestones!$M39&amp;"")</f>
        <v/>
      </c>
      <c r="I422" s="20" t="str">
        <f>IF(B422="","",Milestones!$P39&amp;"")</f>
        <v/>
      </c>
      <c r="J422" s="20" t="str">
        <f>IF(B422="","",Milestones!$V39&amp;"")</f>
        <v/>
      </c>
      <c r="K422" s="20">
        <f>IF(B422="",0,Milestones!$W39)</f>
        <v>0</v>
      </c>
      <c r="L422" s="20">
        <f>IF(B422="",0,Milestones!$X39)</f>
        <v>0</v>
      </c>
      <c r="M422" s="20" t="str">
        <f>IF(B422="","",Milestones!$AA39)</f>
        <v/>
      </c>
      <c r="N422" s="20" t="str">
        <f>IF(B422="","",Milestones!$AB39)</f>
        <v/>
      </c>
      <c r="O422" s="27" t="str">
        <f>IF(B422="","",Milestones!$Y39)</f>
        <v/>
      </c>
      <c r="P422" s="27" t="str">
        <f>IF(B422="","",Milestones!$Z39)</f>
        <v/>
      </c>
      <c r="Q422" s="20" t="str">
        <f t="shared" si="82"/>
        <v/>
      </c>
      <c r="R422" s="20" t="str">
        <f>IF(A422="","",IF(J422&lt;&gt;"",J422,IF(H422="TIMESTAMP",DAY(INT(M422/1440))&amp;" "&amp;INDEX(nLIST_Months,MONTH(INT(M422/1440)))&amp;" "&amp;YEAR(INT(M422/1440))&amp;" "&amp;RIGHT("0"&amp;INT(MOD(M422,1440)/60),2)&amp;":"&amp;RIGHT("0"&amp;MOD(M422,60),2)&amp;IF(L422=1," (UTC"&amp;I422&amp;")"," (offset unknown)"),IF(H422="DATE",DAY(O422)&amp;" "&amp;INDEX(nLIST_Months,MONTH(O422))&amp;" "&amp;YEAR(O422),IF(H422="MONTH",INDEX(nLIST_Months,MONTH(O422))&amp;" "&amp;YEAR(O422)&amp;" ("&amp;DAY(O422)&amp;" "&amp;INDEX(nLIST_Months,MONTH(O422))&amp;" "&amp;YEAR(O422)&amp;" to "&amp;DAY(P422)&amp;" "&amp;INDEX(nLIST_Months,MONTH(P422))&amp;" "&amp;YEAR(P422)&amp;")",IF(H422="YEAR",YEAR(O422)&amp;" (1 January to 31 December)",DAY(O422)&amp;" "&amp;INDEX(nLIST_Months,MONTH(O422))&amp;" "&amp;YEAR(O422)&amp;" to "&amp;DAY(P422)&amp;" "&amp;INDEX(nLIST_Months,MONTH(P422))&amp;" "&amp;YEAR(P422)&amp;IF(H422="LAB"," (laboratory-defined)","")))))))</f>
        <v/>
      </c>
      <c r="S422" s="20" t="str">
        <f>IF(B422="","",Milestones!$L39&amp;"")</f>
        <v/>
      </c>
      <c r="T422" s="20" t="str">
        <f>IF(B422="","",Milestones!$U39&amp;"")</f>
        <v/>
      </c>
      <c r="U422" s="20" t="str">
        <f>IF(B422="","","Milestones row "&amp;ROW(Milestones!$A39)&amp;", Milestone")</f>
        <v/>
      </c>
      <c r="V422" s="20">
        <f>IF(A422="",0,COUNTIF(nTP_Key,A422))</f>
        <v>0</v>
      </c>
      <c r="W422" s="20">
        <f t="shared" si="83"/>
        <v>0</v>
      </c>
      <c r="X422" s="20">
        <f t="shared" si="84"/>
        <v>0</v>
      </c>
      <c r="Y422" s="20">
        <f t="shared" si="85"/>
        <v>0</v>
      </c>
      <c r="Z422" s="20">
        <f t="shared" si="86"/>
        <v>0</v>
      </c>
      <c r="AA422" s="20">
        <f t="shared" si="87"/>
        <v>418</v>
      </c>
      <c r="AB422" s="20" t="str">
        <f>""</f>
        <v/>
      </c>
      <c r="AC422" s="20" t="str">
        <f>""</f>
        <v/>
      </c>
      <c r="AD422" s="20" t="str">
        <f>IF(B422="","",Milestones!$F39&amp;"")</f>
        <v/>
      </c>
      <c r="AE422" s="20">
        <f t="shared" si="88"/>
        <v>0</v>
      </c>
      <c r="AF422" s="20" t="str">
        <f t="shared" si="89"/>
        <v/>
      </c>
      <c r="AG422" s="20">
        <f t="shared" si="90"/>
        <v>0</v>
      </c>
      <c r="AH422" s="20" t="str">
        <f>""</f>
        <v/>
      </c>
    </row>
    <row r="423" spans="1:34" x14ac:dyDescent="0.2">
      <c r="A423" s="20" t="str">
        <f t="shared" si="80"/>
        <v/>
      </c>
      <c r="B423" s="20" t="str">
        <f>IF(AND(Milestones!$C40&lt;&gt;"",COUNTA(Milestones!$M40:$T40)&gt;0),Milestones!$C40&amp;"","")</f>
        <v/>
      </c>
      <c r="C423" s="20" t="str">
        <f>IF(B423="","","MILESTONE:"&amp;Milestones!$D40)</f>
        <v/>
      </c>
      <c r="D423" s="20" t="str">
        <f>IF(B423="","",Milestones!$A40&amp;"")</f>
        <v/>
      </c>
      <c r="E423" s="20" t="str">
        <f>IF(B423="","",Milestones!$B40&amp;"")</f>
        <v/>
      </c>
      <c r="F423" s="20" t="str">
        <f t="shared" si="81"/>
        <v/>
      </c>
      <c r="G423" s="20" t="str">
        <f>IF(B423="","",Milestones!$E40&amp;"")</f>
        <v/>
      </c>
      <c r="H423" s="20" t="str">
        <f>IF(B423="","",Milestones!$M40&amp;"")</f>
        <v/>
      </c>
      <c r="I423" s="20" t="str">
        <f>IF(B423="","",Milestones!$P40&amp;"")</f>
        <v/>
      </c>
      <c r="J423" s="20" t="str">
        <f>IF(B423="","",Milestones!$V40&amp;"")</f>
        <v/>
      </c>
      <c r="K423" s="20">
        <f>IF(B423="",0,Milestones!$W40)</f>
        <v>0</v>
      </c>
      <c r="L423" s="20">
        <f>IF(B423="",0,Milestones!$X40)</f>
        <v>0</v>
      </c>
      <c r="M423" s="20" t="str">
        <f>IF(B423="","",Milestones!$AA40)</f>
        <v/>
      </c>
      <c r="N423" s="20" t="str">
        <f>IF(B423="","",Milestones!$AB40)</f>
        <v/>
      </c>
      <c r="O423" s="27" t="str">
        <f>IF(B423="","",Milestones!$Y40)</f>
        <v/>
      </c>
      <c r="P423" s="27" t="str">
        <f>IF(B423="","",Milestones!$Z40)</f>
        <v/>
      </c>
      <c r="Q423" s="20" t="str">
        <f t="shared" si="82"/>
        <v/>
      </c>
      <c r="R423" s="20" t="str">
        <f>IF(A423="","",IF(J423&lt;&gt;"",J423,IF(H423="TIMESTAMP",DAY(INT(M423/1440))&amp;" "&amp;INDEX(nLIST_Months,MONTH(INT(M423/1440)))&amp;" "&amp;YEAR(INT(M423/1440))&amp;" "&amp;RIGHT("0"&amp;INT(MOD(M423,1440)/60),2)&amp;":"&amp;RIGHT("0"&amp;MOD(M423,60),2)&amp;IF(L423=1," (UTC"&amp;I423&amp;")"," (offset unknown)"),IF(H423="DATE",DAY(O423)&amp;" "&amp;INDEX(nLIST_Months,MONTH(O423))&amp;" "&amp;YEAR(O423),IF(H423="MONTH",INDEX(nLIST_Months,MONTH(O423))&amp;" "&amp;YEAR(O423)&amp;" ("&amp;DAY(O423)&amp;" "&amp;INDEX(nLIST_Months,MONTH(O423))&amp;" "&amp;YEAR(O423)&amp;" to "&amp;DAY(P423)&amp;" "&amp;INDEX(nLIST_Months,MONTH(P423))&amp;" "&amp;YEAR(P423)&amp;")",IF(H423="YEAR",YEAR(O423)&amp;" (1 January to 31 December)",DAY(O423)&amp;" "&amp;INDEX(nLIST_Months,MONTH(O423))&amp;" "&amp;YEAR(O423)&amp;" to "&amp;DAY(P423)&amp;" "&amp;INDEX(nLIST_Months,MONTH(P423))&amp;" "&amp;YEAR(P423)&amp;IF(H423="LAB"," (laboratory-defined)","")))))))</f>
        <v/>
      </c>
      <c r="S423" s="20" t="str">
        <f>IF(B423="","",Milestones!$L40&amp;"")</f>
        <v/>
      </c>
      <c r="T423" s="20" t="str">
        <f>IF(B423="","",Milestones!$U40&amp;"")</f>
        <v/>
      </c>
      <c r="U423" s="20" t="str">
        <f>IF(B423="","","Milestones row "&amp;ROW(Milestones!$A40)&amp;", Milestone")</f>
        <v/>
      </c>
      <c r="V423" s="20">
        <f>IF(A423="",0,COUNTIF(nTP_Key,A423))</f>
        <v>0</v>
      </c>
      <c r="W423" s="20">
        <f t="shared" si="83"/>
        <v>0</v>
      </c>
      <c r="X423" s="20">
        <f t="shared" si="84"/>
        <v>0</v>
      </c>
      <c r="Y423" s="20">
        <f t="shared" si="85"/>
        <v>0</v>
      </c>
      <c r="Z423" s="20">
        <f t="shared" si="86"/>
        <v>0</v>
      </c>
      <c r="AA423" s="20">
        <f t="shared" si="87"/>
        <v>419</v>
      </c>
      <c r="AB423" s="20" t="str">
        <f>""</f>
        <v/>
      </c>
      <c r="AC423" s="20" t="str">
        <f>""</f>
        <v/>
      </c>
      <c r="AD423" s="20" t="str">
        <f>IF(B423="","",Milestones!$F40&amp;"")</f>
        <v/>
      </c>
      <c r="AE423" s="20">
        <f t="shared" si="88"/>
        <v>0</v>
      </c>
      <c r="AF423" s="20" t="str">
        <f t="shared" si="89"/>
        <v/>
      </c>
      <c r="AG423" s="20">
        <f t="shared" si="90"/>
        <v>0</v>
      </c>
      <c r="AH423" s="20" t="str">
        <f>""</f>
        <v/>
      </c>
    </row>
    <row r="424" spans="1:34" x14ac:dyDescent="0.2">
      <c r="A424" s="20" t="str">
        <f t="shared" si="80"/>
        <v/>
      </c>
      <c r="B424" s="20" t="str">
        <f>IF(AND(Milestones!$C41&lt;&gt;"",COUNTA(Milestones!$M41:$T41)&gt;0),Milestones!$C41&amp;"","")</f>
        <v/>
      </c>
      <c r="C424" s="20" t="str">
        <f>IF(B424="","","MILESTONE:"&amp;Milestones!$D41)</f>
        <v/>
      </c>
      <c r="D424" s="20" t="str">
        <f>IF(B424="","",Milestones!$A41&amp;"")</f>
        <v/>
      </c>
      <c r="E424" s="20" t="str">
        <f>IF(B424="","",Milestones!$B41&amp;"")</f>
        <v/>
      </c>
      <c r="F424" s="20" t="str">
        <f t="shared" si="81"/>
        <v/>
      </c>
      <c r="G424" s="20" t="str">
        <f>IF(B424="","",Milestones!$E41&amp;"")</f>
        <v/>
      </c>
      <c r="H424" s="20" t="str">
        <f>IF(B424="","",Milestones!$M41&amp;"")</f>
        <v/>
      </c>
      <c r="I424" s="20" t="str">
        <f>IF(B424="","",Milestones!$P41&amp;"")</f>
        <v/>
      </c>
      <c r="J424" s="20" t="str">
        <f>IF(B424="","",Milestones!$V41&amp;"")</f>
        <v/>
      </c>
      <c r="K424" s="20">
        <f>IF(B424="",0,Milestones!$W41)</f>
        <v>0</v>
      </c>
      <c r="L424" s="20">
        <f>IF(B424="",0,Milestones!$X41)</f>
        <v>0</v>
      </c>
      <c r="M424" s="20" t="str">
        <f>IF(B424="","",Milestones!$AA41)</f>
        <v/>
      </c>
      <c r="N424" s="20" t="str">
        <f>IF(B424="","",Milestones!$AB41)</f>
        <v/>
      </c>
      <c r="O424" s="27" t="str">
        <f>IF(B424="","",Milestones!$Y41)</f>
        <v/>
      </c>
      <c r="P424" s="27" t="str">
        <f>IF(B424="","",Milestones!$Z41)</f>
        <v/>
      </c>
      <c r="Q424" s="20" t="str">
        <f t="shared" si="82"/>
        <v/>
      </c>
      <c r="R424" s="20" t="str">
        <f>IF(A424="","",IF(J424&lt;&gt;"",J424,IF(H424="TIMESTAMP",DAY(INT(M424/1440))&amp;" "&amp;INDEX(nLIST_Months,MONTH(INT(M424/1440)))&amp;" "&amp;YEAR(INT(M424/1440))&amp;" "&amp;RIGHT("0"&amp;INT(MOD(M424,1440)/60),2)&amp;":"&amp;RIGHT("0"&amp;MOD(M424,60),2)&amp;IF(L424=1," (UTC"&amp;I424&amp;")"," (offset unknown)"),IF(H424="DATE",DAY(O424)&amp;" "&amp;INDEX(nLIST_Months,MONTH(O424))&amp;" "&amp;YEAR(O424),IF(H424="MONTH",INDEX(nLIST_Months,MONTH(O424))&amp;" "&amp;YEAR(O424)&amp;" ("&amp;DAY(O424)&amp;" "&amp;INDEX(nLIST_Months,MONTH(O424))&amp;" "&amp;YEAR(O424)&amp;" to "&amp;DAY(P424)&amp;" "&amp;INDEX(nLIST_Months,MONTH(P424))&amp;" "&amp;YEAR(P424)&amp;")",IF(H424="YEAR",YEAR(O424)&amp;" (1 January to 31 December)",DAY(O424)&amp;" "&amp;INDEX(nLIST_Months,MONTH(O424))&amp;" "&amp;YEAR(O424)&amp;" to "&amp;DAY(P424)&amp;" "&amp;INDEX(nLIST_Months,MONTH(P424))&amp;" "&amp;YEAR(P424)&amp;IF(H424="LAB"," (laboratory-defined)","")))))))</f>
        <v/>
      </c>
      <c r="S424" s="20" t="str">
        <f>IF(B424="","",Milestones!$L41&amp;"")</f>
        <v/>
      </c>
      <c r="T424" s="20" t="str">
        <f>IF(B424="","",Milestones!$U41&amp;"")</f>
        <v/>
      </c>
      <c r="U424" s="20" t="str">
        <f>IF(B424="","","Milestones row "&amp;ROW(Milestones!$A41)&amp;", Milestone")</f>
        <v/>
      </c>
      <c r="V424" s="20">
        <f>IF(A424="",0,COUNTIF(nTP_Key,A424))</f>
        <v>0</v>
      </c>
      <c r="W424" s="20">
        <f t="shared" si="83"/>
        <v>0</v>
      </c>
      <c r="X424" s="20">
        <f t="shared" si="84"/>
        <v>0</v>
      </c>
      <c r="Y424" s="20">
        <f t="shared" si="85"/>
        <v>0</v>
      </c>
      <c r="Z424" s="20">
        <f t="shared" si="86"/>
        <v>0</v>
      </c>
      <c r="AA424" s="20">
        <f t="shared" si="87"/>
        <v>420</v>
      </c>
      <c r="AB424" s="20" t="str">
        <f>""</f>
        <v/>
      </c>
      <c r="AC424" s="20" t="str">
        <f>""</f>
        <v/>
      </c>
      <c r="AD424" s="20" t="str">
        <f>IF(B424="","",Milestones!$F41&amp;"")</f>
        <v/>
      </c>
      <c r="AE424" s="20">
        <f t="shared" si="88"/>
        <v>0</v>
      </c>
      <c r="AF424" s="20" t="str">
        <f t="shared" si="89"/>
        <v/>
      </c>
      <c r="AG424" s="20">
        <f t="shared" si="90"/>
        <v>0</v>
      </c>
      <c r="AH424" s="20" t="str">
        <f>""</f>
        <v/>
      </c>
    </row>
    <row r="425" spans="1:34" x14ac:dyDescent="0.2">
      <c r="A425" s="20" t="str">
        <f t="shared" si="80"/>
        <v/>
      </c>
      <c r="B425" s="20" t="str">
        <f>IF(AND(Milestones!$C42&lt;&gt;"",COUNTA(Milestones!$M42:$T42)&gt;0),Milestones!$C42&amp;"","")</f>
        <v/>
      </c>
      <c r="C425" s="20" t="str">
        <f>IF(B425="","","MILESTONE:"&amp;Milestones!$D42)</f>
        <v/>
      </c>
      <c r="D425" s="20" t="str">
        <f>IF(B425="","",Milestones!$A42&amp;"")</f>
        <v/>
      </c>
      <c r="E425" s="20" t="str">
        <f>IF(B425="","",Milestones!$B42&amp;"")</f>
        <v/>
      </c>
      <c r="F425" s="20" t="str">
        <f t="shared" si="81"/>
        <v/>
      </c>
      <c r="G425" s="20" t="str">
        <f>IF(B425="","",Milestones!$E42&amp;"")</f>
        <v/>
      </c>
      <c r="H425" s="20" t="str">
        <f>IF(B425="","",Milestones!$M42&amp;"")</f>
        <v/>
      </c>
      <c r="I425" s="20" t="str">
        <f>IF(B425="","",Milestones!$P42&amp;"")</f>
        <v/>
      </c>
      <c r="J425" s="20" t="str">
        <f>IF(B425="","",Milestones!$V42&amp;"")</f>
        <v/>
      </c>
      <c r="K425" s="20">
        <f>IF(B425="",0,Milestones!$W42)</f>
        <v>0</v>
      </c>
      <c r="L425" s="20">
        <f>IF(B425="",0,Milestones!$X42)</f>
        <v>0</v>
      </c>
      <c r="M425" s="20" t="str">
        <f>IF(B425="","",Milestones!$AA42)</f>
        <v/>
      </c>
      <c r="N425" s="20" t="str">
        <f>IF(B425="","",Milestones!$AB42)</f>
        <v/>
      </c>
      <c r="O425" s="27" t="str">
        <f>IF(B425="","",Milestones!$Y42)</f>
        <v/>
      </c>
      <c r="P425" s="27" t="str">
        <f>IF(B425="","",Milestones!$Z42)</f>
        <v/>
      </c>
      <c r="Q425" s="20" t="str">
        <f t="shared" si="82"/>
        <v/>
      </c>
      <c r="R425" s="20" t="str">
        <f>IF(A425="","",IF(J425&lt;&gt;"",J425,IF(H425="TIMESTAMP",DAY(INT(M425/1440))&amp;" "&amp;INDEX(nLIST_Months,MONTH(INT(M425/1440)))&amp;" "&amp;YEAR(INT(M425/1440))&amp;" "&amp;RIGHT("0"&amp;INT(MOD(M425,1440)/60),2)&amp;":"&amp;RIGHT("0"&amp;MOD(M425,60),2)&amp;IF(L425=1," (UTC"&amp;I425&amp;")"," (offset unknown)"),IF(H425="DATE",DAY(O425)&amp;" "&amp;INDEX(nLIST_Months,MONTH(O425))&amp;" "&amp;YEAR(O425),IF(H425="MONTH",INDEX(nLIST_Months,MONTH(O425))&amp;" "&amp;YEAR(O425)&amp;" ("&amp;DAY(O425)&amp;" "&amp;INDEX(nLIST_Months,MONTH(O425))&amp;" "&amp;YEAR(O425)&amp;" to "&amp;DAY(P425)&amp;" "&amp;INDEX(nLIST_Months,MONTH(P425))&amp;" "&amp;YEAR(P425)&amp;")",IF(H425="YEAR",YEAR(O425)&amp;" (1 January to 31 December)",DAY(O425)&amp;" "&amp;INDEX(nLIST_Months,MONTH(O425))&amp;" "&amp;YEAR(O425)&amp;" to "&amp;DAY(P425)&amp;" "&amp;INDEX(nLIST_Months,MONTH(P425))&amp;" "&amp;YEAR(P425)&amp;IF(H425="LAB"," (laboratory-defined)","")))))))</f>
        <v/>
      </c>
      <c r="S425" s="20" t="str">
        <f>IF(B425="","",Milestones!$L42&amp;"")</f>
        <v/>
      </c>
      <c r="T425" s="20" t="str">
        <f>IF(B425="","",Milestones!$U42&amp;"")</f>
        <v/>
      </c>
      <c r="U425" s="20" t="str">
        <f>IF(B425="","","Milestones row "&amp;ROW(Milestones!$A42)&amp;", Milestone")</f>
        <v/>
      </c>
      <c r="V425" s="20">
        <f>IF(A425="",0,COUNTIF(nTP_Key,A425))</f>
        <v>0</v>
      </c>
      <c r="W425" s="20">
        <f t="shared" si="83"/>
        <v>0</v>
      </c>
      <c r="X425" s="20">
        <f t="shared" si="84"/>
        <v>0</v>
      </c>
      <c r="Y425" s="20">
        <f t="shared" si="85"/>
        <v>0</v>
      </c>
      <c r="Z425" s="20">
        <f t="shared" si="86"/>
        <v>0</v>
      </c>
      <c r="AA425" s="20">
        <f t="shared" si="87"/>
        <v>421</v>
      </c>
      <c r="AB425" s="20" t="str">
        <f>""</f>
        <v/>
      </c>
      <c r="AC425" s="20" t="str">
        <f>""</f>
        <v/>
      </c>
      <c r="AD425" s="20" t="str">
        <f>IF(B425="","",Milestones!$F42&amp;"")</f>
        <v/>
      </c>
      <c r="AE425" s="20">
        <f t="shared" si="88"/>
        <v>0</v>
      </c>
      <c r="AF425" s="20" t="str">
        <f t="shared" si="89"/>
        <v/>
      </c>
      <c r="AG425" s="20">
        <f t="shared" si="90"/>
        <v>0</v>
      </c>
      <c r="AH425" s="20" t="str">
        <f>""</f>
        <v/>
      </c>
    </row>
    <row r="426" spans="1:34" x14ac:dyDescent="0.2">
      <c r="A426" s="20" t="str">
        <f t="shared" si="80"/>
        <v/>
      </c>
      <c r="B426" s="20" t="str">
        <f>IF(AND(Milestones!$C43&lt;&gt;"",COUNTA(Milestones!$M43:$T43)&gt;0),Milestones!$C43&amp;"","")</f>
        <v/>
      </c>
      <c r="C426" s="20" t="str">
        <f>IF(B426="","","MILESTONE:"&amp;Milestones!$D43)</f>
        <v/>
      </c>
      <c r="D426" s="20" t="str">
        <f>IF(B426="","",Milestones!$A43&amp;"")</f>
        <v/>
      </c>
      <c r="E426" s="20" t="str">
        <f>IF(B426="","",Milestones!$B43&amp;"")</f>
        <v/>
      </c>
      <c r="F426" s="20" t="str">
        <f t="shared" si="81"/>
        <v/>
      </c>
      <c r="G426" s="20" t="str">
        <f>IF(B426="","",Milestones!$E43&amp;"")</f>
        <v/>
      </c>
      <c r="H426" s="20" t="str">
        <f>IF(B426="","",Milestones!$M43&amp;"")</f>
        <v/>
      </c>
      <c r="I426" s="20" t="str">
        <f>IF(B426="","",Milestones!$P43&amp;"")</f>
        <v/>
      </c>
      <c r="J426" s="20" t="str">
        <f>IF(B426="","",Milestones!$V43&amp;"")</f>
        <v/>
      </c>
      <c r="K426" s="20">
        <f>IF(B426="",0,Milestones!$W43)</f>
        <v>0</v>
      </c>
      <c r="L426" s="20">
        <f>IF(B426="",0,Milestones!$X43)</f>
        <v>0</v>
      </c>
      <c r="M426" s="20" t="str">
        <f>IF(B426="","",Milestones!$AA43)</f>
        <v/>
      </c>
      <c r="N426" s="20" t="str">
        <f>IF(B426="","",Milestones!$AB43)</f>
        <v/>
      </c>
      <c r="O426" s="27" t="str">
        <f>IF(B426="","",Milestones!$Y43)</f>
        <v/>
      </c>
      <c r="P426" s="27" t="str">
        <f>IF(B426="","",Milestones!$Z43)</f>
        <v/>
      </c>
      <c r="Q426" s="20" t="str">
        <f t="shared" si="82"/>
        <v/>
      </c>
      <c r="R426" s="20" t="str">
        <f>IF(A426="","",IF(J426&lt;&gt;"",J426,IF(H426="TIMESTAMP",DAY(INT(M426/1440))&amp;" "&amp;INDEX(nLIST_Months,MONTH(INT(M426/1440)))&amp;" "&amp;YEAR(INT(M426/1440))&amp;" "&amp;RIGHT("0"&amp;INT(MOD(M426,1440)/60),2)&amp;":"&amp;RIGHT("0"&amp;MOD(M426,60),2)&amp;IF(L426=1," (UTC"&amp;I426&amp;")"," (offset unknown)"),IF(H426="DATE",DAY(O426)&amp;" "&amp;INDEX(nLIST_Months,MONTH(O426))&amp;" "&amp;YEAR(O426),IF(H426="MONTH",INDEX(nLIST_Months,MONTH(O426))&amp;" "&amp;YEAR(O426)&amp;" ("&amp;DAY(O426)&amp;" "&amp;INDEX(nLIST_Months,MONTH(O426))&amp;" "&amp;YEAR(O426)&amp;" to "&amp;DAY(P426)&amp;" "&amp;INDEX(nLIST_Months,MONTH(P426))&amp;" "&amp;YEAR(P426)&amp;")",IF(H426="YEAR",YEAR(O426)&amp;" (1 January to 31 December)",DAY(O426)&amp;" "&amp;INDEX(nLIST_Months,MONTH(O426))&amp;" "&amp;YEAR(O426)&amp;" to "&amp;DAY(P426)&amp;" "&amp;INDEX(nLIST_Months,MONTH(P426))&amp;" "&amp;YEAR(P426)&amp;IF(H426="LAB"," (laboratory-defined)","")))))))</f>
        <v/>
      </c>
      <c r="S426" s="20" t="str">
        <f>IF(B426="","",Milestones!$L43&amp;"")</f>
        <v/>
      </c>
      <c r="T426" s="20" t="str">
        <f>IF(B426="","",Milestones!$U43&amp;"")</f>
        <v/>
      </c>
      <c r="U426" s="20" t="str">
        <f>IF(B426="","","Milestones row "&amp;ROW(Milestones!$A43)&amp;", Milestone")</f>
        <v/>
      </c>
      <c r="V426" s="20">
        <f>IF(A426="",0,COUNTIF(nTP_Key,A426))</f>
        <v>0</v>
      </c>
      <c r="W426" s="20">
        <f t="shared" si="83"/>
        <v>0</v>
      </c>
      <c r="X426" s="20">
        <f t="shared" si="84"/>
        <v>0</v>
      </c>
      <c r="Y426" s="20">
        <f t="shared" si="85"/>
        <v>0</v>
      </c>
      <c r="Z426" s="20">
        <f t="shared" si="86"/>
        <v>0</v>
      </c>
      <c r="AA426" s="20">
        <f t="shared" si="87"/>
        <v>422</v>
      </c>
      <c r="AB426" s="20" t="str">
        <f>""</f>
        <v/>
      </c>
      <c r="AC426" s="20" t="str">
        <f>""</f>
        <v/>
      </c>
      <c r="AD426" s="20" t="str">
        <f>IF(B426="","",Milestones!$F43&amp;"")</f>
        <v/>
      </c>
      <c r="AE426" s="20">
        <f t="shared" si="88"/>
        <v>0</v>
      </c>
      <c r="AF426" s="20" t="str">
        <f t="shared" si="89"/>
        <v/>
      </c>
      <c r="AG426" s="20">
        <f t="shared" si="90"/>
        <v>0</v>
      </c>
      <c r="AH426" s="20" t="str">
        <f>""</f>
        <v/>
      </c>
    </row>
    <row r="427" spans="1:34" x14ac:dyDescent="0.2">
      <c r="A427" s="20" t="str">
        <f t="shared" si="80"/>
        <v/>
      </c>
      <c r="B427" s="20" t="str">
        <f>IF(AND(Milestones!$C44&lt;&gt;"",COUNTA(Milestones!$M44:$T44)&gt;0),Milestones!$C44&amp;"","")</f>
        <v/>
      </c>
      <c r="C427" s="20" t="str">
        <f>IF(B427="","","MILESTONE:"&amp;Milestones!$D44)</f>
        <v/>
      </c>
      <c r="D427" s="20" t="str">
        <f>IF(B427="","",Milestones!$A44&amp;"")</f>
        <v/>
      </c>
      <c r="E427" s="20" t="str">
        <f>IF(B427="","",Milestones!$B44&amp;"")</f>
        <v/>
      </c>
      <c r="F427" s="20" t="str">
        <f t="shared" si="81"/>
        <v/>
      </c>
      <c r="G427" s="20" t="str">
        <f>IF(B427="","",Milestones!$E44&amp;"")</f>
        <v/>
      </c>
      <c r="H427" s="20" t="str">
        <f>IF(B427="","",Milestones!$M44&amp;"")</f>
        <v/>
      </c>
      <c r="I427" s="20" t="str">
        <f>IF(B427="","",Milestones!$P44&amp;"")</f>
        <v/>
      </c>
      <c r="J427" s="20" t="str">
        <f>IF(B427="","",Milestones!$V44&amp;"")</f>
        <v/>
      </c>
      <c r="K427" s="20">
        <f>IF(B427="",0,Milestones!$W44)</f>
        <v>0</v>
      </c>
      <c r="L427" s="20">
        <f>IF(B427="",0,Milestones!$X44)</f>
        <v>0</v>
      </c>
      <c r="M427" s="20" t="str">
        <f>IF(B427="","",Milestones!$AA44)</f>
        <v/>
      </c>
      <c r="N427" s="20" t="str">
        <f>IF(B427="","",Milestones!$AB44)</f>
        <v/>
      </c>
      <c r="O427" s="27" t="str">
        <f>IF(B427="","",Milestones!$Y44)</f>
        <v/>
      </c>
      <c r="P427" s="27" t="str">
        <f>IF(B427="","",Milestones!$Z44)</f>
        <v/>
      </c>
      <c r="Q427" s="20" t="str">
        <f t="shared" si="82"/>
        <v/>
      </c>
      <c r="R427" s="20" t="str">
        <f>IF(A427="","",IF(J427&lt;&gt;"",J427,IF(H427="TIMESTAMP",DAY(INT(M427/1440))&amp;" "&amp;INDEX(nLIST_Months,MONTH(INT(M427/1440)))&amp;" "&amp;YEAR(INT(M427/1440))&amp;" "&amp;RIGHT("0"&amp;INT(MOD(M427,1440)/60),2)&amp;":"&amp;RIGHT("0"&amp;MOD(M427,60),2)&amp;IF(L427=1," (UTC"&amp;I427&amp;")"," (offset unknown)"),IF(H427="DATE",DAY(O427)&amp;" "&amp;INDEX(nLIST_Months,MONTH(O427))&amp;" "&amp;YEAR(O427),IF(H427="MONTH",INDEX(nLIST_Months,MONTH(O427))&amp;" "&amp;YEAR(O427)&amp;" ("&amp;DAY(O427)&amp;" "&amp;INDEX(nLIST_Months,MONTH(O427))&amp;" "&amp;YEAR(O427)&amp;" to "&amp;DAY(P427)&amp;" "&amp;INDEX(nLIST_Months,MONTH(P427))&amp;" "&amp;YEAR(P427)&amp;")",IF(H427="YEAR",YEAR(O427)&amp;" (1 January to 31 December)",DAY(O427)&amp;" "&amp;INDEX(nLIST_Months,MONTH(O427))&amp;" "&amp;YEAR(O427)&amp;" to "&amp;DAY(P427)&amp;" "&amp;INDEX(nLIST_Months,MONTH(P427))&amp;" "&amp;YEAR(P427)&amp;IF(H427="LAB"," (laboratory-defined)","")))))))</f>
        <v/>
      </c>
      <c r="S427" s="20" t="str">
        <f>IF(B427="","",Milestones!$L44&amp;"")</f>
        <v/>
      </c>
      <c r="T427" s="20" t="str">
        <f>IF(B427="","",Milestones!$U44&amp;"")</f>
        <v/>
      </c>
      <c r="U427" s="20" t="str">
        <f>IF(B427="","","Milestones row "&amp;ROW(Milestones!$A44)&amp;", Milestone")</f>
        <v/>
      </c>
      <c r="V427" s="20">
        <f>IF(A427="",0,COUNTIF(nTP_Key,A427))</f>
        <v>0</v>
      </c>
      <c r="W427" s="20">
        <f t="shared" si="83"/>
        <v>0</v>
      </c>
      <c r="X427" s="20">
        <f t="shared" si="84"/>
        <v>0</v>
      </c>
      <c r="Y427" s="20">
        <f t="shared" si="85"/>
        <v>0</v>
      </c>
      <c r="Z427" s="20">
        <f t="shared" si="86"/>
        <v>0</v>
      </c>
      <c r="AA427" s="20">
        <f t="shared" si="87"/>
        <v>423</v>
      </c>
      <c r="AB427" s="20" t="str">
        <f>""</f>
        <v/>
      </c>
      <c r="AC427" s="20" t="str">
        <f>""</f>
        <v/>
      </c>
      <c r="AD427" s="20" t="str">
        <f>IF(B427="","",Milestones!$F44&amp;"")</f>
        <v/>
      </c>
      <c r="AE427" s="20">
        <f t="shared" si="88"/>
        <v>0</v>
      </c>
      <c r="AF427" s="20" t="str">
        <f t="shared" si="89"/>
        <v/>
      </c>
      <c r="AG427" s="20">
        <f t="shared" si="90"/>
        <v>0</v>
      </c>
      <c r="AH427" s="20" t="str">
        <f>""</f>
        <v/>
      </c>
    </row>
    <row r="428" spans="1:34" x14ac:dyDescent="0.2">
      <c r="A428" s="20" t="str">
        <f t="shared" si="80"/>
        <v/>
      </c>
      <c r="B428" s="20" t="str">
        <f>IF(AND(Milestones!$C45&lt;&gt;"",COUNTA(Milestones!$M45:$T45)&gt;0),Milestones!$C45&amp;"","")</f>
        <v/>
      </c>
      <c r="C428" s="20" t="str">
        <f>IF(B428="","","MILESTONE:"&amp;Milestones!$D45)</f>
        <v/>
      </c>
      <c r="D428" s="20" t="str">
        <f>IF(B428="","",Milestones!$A45&amp;"")</f>
        <v/>
      </c>
      <c r="E428" s="20" t="str">
        <f>IF(B428="","",Milestones!$B45&amp;"")</f>
        <v/>
      </c>
      <c r="F428" s="20" t="str">
        <f t="shared" si="81"/>
        <v/>
      </c>
      <c r="G428" s="20" t="str">
        <f>IF(B428="","",Milestones!$E45&amp;"")</f>
        <v/>
      </c>
      <c r="H428" s="20" t="str">
        <f>IF(B428="","",Milestones!$M45&amp;"")</f>
        <v/>
      </c>
      <c r="I428" s="20" t="str">
        <f>IF(B428="","",Milestones!$P45&amp;"")</f>
        <v/>
      </c>
      <c r="J428" s="20" t="str">
        <f>IF(B428="","",Milestones!$V45&amp;"")</f>
        <v/>
      </c>
      <c r="K428" s="20">
        <f>IF(B428="",0,Milestones!$W45)</f>
        <v>0</v>
      </c>
      <c r="L428" s="20">
        <f>IF(B428="",0,Milestones!$X45)</f>
        <v>0</v>
      </c>
      <c r="M428" s="20" t="str">
        <f>IF(B428="","",Milestones!$AA45)</f>
        <v/>
      </c>
      <c r="N428" s="20" t="str">
        <f>IF(B428="","",Milestones!$AB45)</f>
        <v/>
      </c>
      <c r="O428" s="27" t="str">
        <f>IF(B428="","",Milestones!$Y45)</f>
        <v/>
      </c>
      <c r="P428" s="27" t="str">
        <f>IF(B428="","",Milestones!$Z45)</f>
        <v/>
      </c>
      <c r="Q428" s="20" t="str">
        <f t="shared" si="82"/>
        <v/>
      </c>
      <c r="R428" s="20" t="str">
        <f>IF(A428="","",IF(J428&lt;&gt;"",J428,IF(H428="TIMESTAMP",DAY(INT(M428/1440))&amp;" "&amp;INDEX(nLIST_Months,MONTH(INT(M428/1440)))&amp;" "&amp;YEAR(INT(M428/1440))&amp;" "&amp;RIGHT("0"&amp;INT(MOD(M428,1440)/60),2)&amp;":"&amp;RIGHT("0"&amp;MOD(M428,60),2)&amp;IF(L428=1," (UTC"&amp;I428&amp;")"," (offset unknown)"),IF(H428="DATE",DAY(O428)&amp;" "&amp;INDEX(nLIST_Months,MONTH(O428))&amp;" "&amp;YEAR(O428),IF(H428="MONTH",INDEX(nLIST_Months,MONTH(O428))&amp;" "&amp;YEAR(O428)&amp;" ("&amp;DAY(O428)&amp;" "&amp;INDEX(nLIST_Months,MONTH(O428))&amp;" "&amp;YEAR(O428)&amp;" to "&amp;DAY(P428)&amp;" "&amp;INDEX(nLIST_Months,MONTH(P428))&amp;" "&amp;YEAR(P428)&amp;")",IF(H428="YEAR",YEAR(O428)&amp;" (1 January to 31 December)",DAY(O428)&amp;" "&amp;INDEX(nLIST_Months,MONTH(O428))&amp;" "&amp;YEAR(O428)&amp;" to "&amp;DAY(P428)&amp;" "&amp;INDEX(nLIST_Months,MONTH(P428))&amp;" "&amp;YEAR(P428)&amp;IF(H428="LAB"," (laboratory-defined)","")))))))</f>
        <v/>
      </c>
      <c r="S428" s="20" t="str">
        <f>IF(B428="","",Milestones!$L45&amp;"")</f>
        <v/>
      </c>
      <c r="T428" s="20" t="str">
        <f>IF(B428="","",Milestones!$U45&amp;"")</f>
        <v/>
      </c>
      <c r="U428" s="20" t="str">
        <f>IF(B428="","","Milestones row "&amp;ROW(Milestones!$A45)&amp;", Milestone")</f>
        <v/>
      </c>
      <c r="V428" s="20">
        <f>IF(A428="",0,COUNTIF(nTP_Key,A428))</f>
        <v>0</v>
      </c>
      <c r="W428" s="20">
        <f t="shared" si="83"/>
        <v>0</v>
      </c>
      <c r="X428" s="20">
        <f t="shared" si="84"/>
        <v>0</v>
      </c>
      <c r="Y428" s="20">
        <f t="shared" si="85"/>
        <v>0</v>
      </c>
      <c r="Z428" s="20">
        <f t="shared" si="86"/>
        <v>0</v>
      </c>
      <c r="AA428" s="20">
        <f t="shared" si="87"/>
        <v>424</v>
      </c>
      <c r="AB428" s="20" t="str">
        <f>""</f>
        <v/>
      </c>
      <c r="AC428" s="20" t="str">
        <f>""</f>
        <v/>
      </c>
      <c r="AD428" s="20" t="str">
        <f>IF(B428="","",Milestones!$F45&amp;"")</f>
        <v/>
      </c>
      <c r="AE428" s="20">
        <f t="shared" si="88"/>
        <v>0</v>
      </c>
      <c r="AF428" s="20" t="str">
        <f t="shared" si="89"/>
        <v/>
      </c>
      <c r="AG428" s="20">
        <f t="shared" si="90"/>
        <v>0</v>
      </c>
      <c r="AH428" s="20" t="str">
        <f>""</f>
        <v/>
      </c>
    </row>
    <row r="429" spans="1:34" x14ac:dyDescent="0.2">
      <c r="A429" s="20" t="str">
        <f t="shared" si="80"/>
        <v>EX-C01|2|M-BASE</v>
      </c>
      <c r="B429" s="20" t="str">
        <f>IF(AND(Milestones!$C46&lt;&gt;"",COUNTA(Milestones!$M46:$T46)&gt;0),Milestones!$C46&amp;"","")</f>
        <v>M-BASE</v>
      </c>
      <c r="C429" s="20" t="str">
        <f>IF(B429="","","MILESTONE:"&amp;Milestones!$D46)</f>
        <v>MILESTONE:BASELINE</v>
      </c>
      <c r="D429" s="20" t="str">
        <f>IF(B429="","",Milestones!$A46&amp;"")</f>
        <v>EX-C01</v>
      </c>
      <c r="E429" s="20" t="str">
        <f>IF(B429="","",Milestones!$B46&amp;"")</f>
        <v>2</v>
      </c>
      <c r="F429" s="20" t="str">
        <f t="shared" si="81"/>
        <v>EX-C01|2</v>
      </c>
      <c r="G429" s="20" t="str">
        <f>IF(B429="","",Milestones!$E46&amp;"")</f>
        <v/>
      </c>
      <c r="H429" s="20" t="str">
        <f>IF(B429="","",Milestones!$M46&amp;"")</f>
        <v>TIMESTAMP</v>
      </c>
      <c r="I429" s="20" t="str">
        <f>IF(B429="","",Milestones!$P46&amp;"")</f>
        <v>-05:00</v>
      </c>
      <c r="J429" s="20" t="str">
        <f>IF(B429="","",Milestones!$V46&amp;"")</f>
        <v/>
      </c>
      <c r="K429" s="20">
        <f>IF(B429="",0,Milestones!$W46)</f>
        <v>1</v>
      </c>
      <c r="L429" s="20">
        <f>IF(B429="",0,Milestones!$X46)</f>
        <v>1</v>
      </c>
      <c r="M429" s="20">
        <f>IF(B429="","",Milestones!$AA46)</f>
        <v>66286610</v>
      </c>
      <c r="N429" s="20">
        <f>IF(B429="","",Milestones!$AB46)</f>
        <v>66286910</v>
      </c>
      <c r="O429" s="27">
        <f>IF(B429="","",Milestones!$Y46)</f>
        <v>46032</v>
      </c>
      <c r="P429" s="27">
        <f>IF(B429="","",Milestones!$Z46)</f>
        <v>46032</v>
      </c>
      <c r="Q429" s="20" t="str">
        <f t="shared" si="82"/>
        <v>2026-01-10T08:50-05:00</v>
      </c>
      <c r="R429" s="20" t="str">
        <f>IF(A429="","",IF(J429&lt;&gt;"",J429,IF(H429="TIMESTAMP",DAY(INT(M429/1440))&amp;" "&amp;INDEX(nLIST_Months,MONTH(INT(M429/1440)))&amp;" "&amp;YEAR(INT(M429/1440))&amp;" "&amp;RIGHT("0"&amp;INT(MOD(M429,1440)/60),2)&amp;":"&amp;RIGHT("0"&amp;MOD(M429,60),2)&amp;IF(L429=1," (UTC"&amp;I429&amp;")"," (offset unknown)"),IF(H429="DATE",DAY(O429)&amp;" "&amp;INDEX(nLIST_Months,MONTH(O429))&amp;" "&amp;YEAR(O429),IF(H429="MONTH",INDEX(nLIST_Months,MONTH(O429))&amp;" "&amp;YEAR(O429)&amp;" ("&amp;DAY(O429)&amp;" "&amp;INDEX(nLIST_Months,MONTH(O429))&amp;" "&amp;YEAR(O429)&amp;" to "&amp;DAY(P429)&amp;" "&amp;INDEX(nLIST_Months,MONTH(P429))&amp;" "&amp;YEAR(P429)&amp;")",IF(H429="YEAR",YEAR(O429)&amp;" (1 January to 31 December)",DAY(O429)&amp;" "&amp;INDEX(nLIST_Months,MONTH(O429))&amp;" "&amp;YEAR(O429)&amp;" to "&amp;DAY(P429)&amp;" "&amp;INDEX(nLIST_Months,MONTH(P429))&amp;" "&amp;YEAR(P429)&amp;IF(H429="LAB"," (laboratory-defined)","")))))))</f>
        <v>10 January 2026 08:50 (UTC-05:00)</v>
      </c>
      <c r="S429" s="20" t="str">
        <f>IF(B429="","",Milestones!$L46&amp;"")</f>
        <v>08:50 pre-infusion obs</v>
      </c>
      <c r="T429" s="20" t="str">
        <f>IF(B429="","",Milestones!$U46&amp;"")</f>
        <v>Nursing chart</v>
      </c>
      <c r="U429" s="20" t="str">
        <f>IF(B429="","","Milestones row "&amp;ROW(Milestones!$A46)&amp;", Milestone")</f>
        <v>Milestones row 46, Milestone</v>
      </c>
      <c r="V429" s="20">
        <f>IF(A429="",0,COUNTIF(nTP_Key,A429))</f>
        <v>1</v>
      </c>
      <c r="W429" s="20">
        <f t="shared" si="83"/>
        <v>66286610</v>
      </c>
      <c r="X429" s="20">
        <f t="shared" si="84"/>
        <v>66286910</v>
      </c>
      <c r="Y429" s="20">
        <f t="shared" si="85"/>
        <v>46032</v>
      </c>
      <c r="Z429" s="20">
        <f t="shared" si="86"/>
        <v>46032</v>
      </c>
      <c r="AA429" s="20">
        <f t="shared" si="87"/>
        <v>425</v>
      </c>
      <c r="AB429" s="20" t="str">
        <f>""</f>
        <v/>
      </c>
      <c r="AC429" s="20" t="str">
        <f>""</f>
        <v/>
      </c>
      <c r="AD429" s="20" t="str">
        <f>IF(B429="","",Milestones!$F46&amp;"")</f>
        <v>Pre-infusion observations: BP 124/78, HR 76, SpO2 98%, skin clear</v>
      </c>
      <c r="AE429" s="20">
        <f t="shared" si="88"/>
        <v>0</v>
      </c>
      <c r="AF429" s="20" t="str">
        <f t="shared" si="89"/>
        <v/>
      </c>
      <c r="AG429" s="20">
        <f t="shared" si="90"/>
        <v>1</v>
      </c>
      <c r="AH429" s="20" t="str">
        <f>""</f>
        <v/>
      </c>
    </row>
    <row r="430" spans="1:34" x14ac:dyDescent="0.2">
      <c r="A430" s="20" t="str">
        <f t="shared" si="80"/>
        <v>EX-C01|2|M-EMERG</v>
      </c>
      <c r="B430" s="20" t="str">
        <f>IF(AND(Milestones!$C47&lt;&gt;"",COUNTA(Milestones!$M47:$T47)&gt;0),Milestones!$C47&amp;"","")</f>
        <v>M-EMERG</v>
      </c>
      <c r="C430" s="20" t="str">
        <f>IF(B430="","","MILESTONE:"&amp;Milestones!$D47)</f>
        <v>MILESTONE:INTERVENTION</v>
      </c>
      <c r="D430" s="20" t="str">
        <f>IF(B430="","",Milestones!$A47&amp;"")</f>
        <v>EX-C01</v>
      </c>
      <c r="E430" s="20" t="str">
        <f>IF(B430="","",Milestones!$B47&amp;"")</f>
        <v>2</v>
      </c>
      <c r="F430" s="20" t="str">
        <f t="shared" si="81"/>
        <v>EX-C01|2</v>
      </c>
      <c r="G430" s="20" t="str">
        <f>IF(B430="","",Milestones!$E47&amp;"")</f>
        <v/>
      </c>
      <c r="H430" s="20" t="str">
        <f>IF(B430="","",Milestones!$M47&amp;"")</f>
        <v>TIMESTAMP</v>
      </c>
      <c r="I430" s="20" t="str">
        <f>IF(B430="","",Milestones!$P47&amp;"")</f>
        <v>-05:00</v>
      </c>
      <c r="J430" s="20" t="str">
        <f>IF(B430="","",Milestones!$V47&amp;"")</f>
        <v/>
      </c>
      <c r="K430" s="20">
        <f>IF(B430="",0,Milestones!$W47)</f>
        <v>1</v>
      </c>
      <c r="L430" s="20">
        <f>IF(B430="",0,Milestones!$X47)</f>
        <v>1</v>
      </c>
      <c r="M430" s="20">
        <f>IF(B430="","",Milestones!$AA47)</f>
        <v>66286638</v>
      </c>
      <c r="N430" s="20">
        <f>IF(B430="","",Milestones!$AB47)</f>
        <v>66286938</v>
      </c>
      <c r="O430" s="27">
        <f>IF(B430="","",Milestones!$Y47)</f>
        <v>46032</v>
      </c>
      <c r="P430" s="27">
        <f>IF(B430="","",Milestones!$Z47)</f>
        <v>46032</v>
      </c>
      <c r="Q430" s="20" t="str">
        <f t="shared" si="82"/>
        <v>2026-01-10T09:18-05:00</v>
      </c>
      <c r="R430" s="20" t="str">
        <f>IF(A430="","",IF(J430&lt;&gt;"",J430,IF(H430="TIMESTAMP",DAY(INT(M430/1440))&amp;" "&amp;INDEX(nLIST_Months,MONTH(INT(M430/1440)))&amp;" "&amp;YEAR(INT(M430/1440))&amp;" "&amp;RIGHT("0"&amp;INT(MOD(M430,1440)/60),2)&amp;":"&amp;RIGHT("0"&amp;MOD(M430,60),2)&amp;IF(L430=1," (UTC"&amp;I430&amp;")"," (offset unknown)"),IF(H430="DATE",DAY(O430)&amp;" "&amp;INDEX(nLIST_Months,MONTH(O430))&amp;" "&amp;YEAR(O430),IF(H430="MONTH",INDEX(nLIST_Months,MONTH(O430))&amp;" "&amp;YEAR(O430)&amp;" ("&amp;DAY(O430)&amp;" "&amp;INDEX(nLIST_Months,MONTH(O430))&amp;" "&amp;YEAR(O430)&amp;" to "&amp;DAY(P430)&amp;" "&amp;INDEX(nLIST_Months,MONTH(P430))&amp;" "&amp;YEAR(P430)&amp;")",IF(H430="YEAR",YEAR(O430)&amp;" (1 January to 31 December)",DAY(O430)&amp;" "&amp;INDEX(nLIST_Months,MONTH(O430))&amp;" "&amp;YEAR(O430)&amp;" to "&amp;DAY(P430)&amp;" "&amp;INDEX(nLIST_Months,MONTH(P430))&amp;" "&amp;YEAR(P430)&amp;IF(H430="LAB"," (laboratory-defined)","")))))))</f>
        <v>10 January 2026 09:18 (UTC-05:00)</v>
      </c>
      <c r="S430" s="20" t="str">
        <f>IF(B430="","",Milestones!$L47&amp;"")</f>
        <v>Emergency medicines administered from 09:18</v>
      </c>
      <c r="T430" s="20" t="str">
        <f>IF(B430="","",Milestones!$U47&amp;"")</f>
        <v>Medication administration record</v>
      </c>
      <c r="U430" s="20" t="str">
        <f>IF(B430="","","Milestones row "&amp;ROW(Milestones!$A47)&amp;", Milestone")</f>
        <v>Milestones row 47, Milestone</v>
      </c>
      <c r="V430" s="20">
        <f>IF(A430="",0,COUNTIF(nTP_Key,A430))</f>
        <v>1</v>
      </c>
      <c r="W430" s="20">
        <f t="shared" si="83"/>
        <v>66286638</v>
      </c>
      <c r="X430" s="20">
        <f t="shared" si="84"/>
        <v>66286938</v>
      </c>
      <c r="Y430" s="20">
        <f t="shared" si="85"/>
        <v>46032</v>
      </c>
      <c r="Z430" s="20">
        <f t="shared" si="86"/>
        <v>46032</v>
      </c>
      <c r="AA430" s="20">
        <f t="shared" si="87"/>
        <v>426</v>
      </c>
      <c r="AB430" s="20" t="str">
        <f>""</f>
        <v/>
      </c>
      <c r="AC430" s="20" t="str">
        <f>""</f>
        <v/>
      </c>
      <c r="AD430" s="20" t="str">
        <f>IF(B430="","",Milestones!$F47&amp;"")</f>
        <v>Emergency medicines administered (agents not given here)</v>
      </c>
      <c r="AE430" s="20">
        <f t="shared" si="88"/>
        <v>0</v>
      </c>
      <c r="AF430" s="20" t="str">
        <f t="shared" si="89"/>
        <v/>
      </c>
      <c r="AG430" s="20">
        <f t="shared" si="90"/>
        <v>1</v>
      </c>
      <c r="AH430" s="20" t="str">
        <f>""</f>
        <v/>
      </c>
    </row>
    <row r="431" spans="1:34" x14ac:dyDescent="0.2">
      <c r="A431" s="20" t="str">
        <f t="shared" si="80"/>
        <v>EX-C01|2|M-IMPROVE</v>
      </c>
      <c r="B431" s="20" t="str">
        <f>IF(AND(Milestones!$C48&lt;&gt;"",COUNTA(Milestones!$M48:$T48)&gt;0),Milestones!$C48&amp;"","")</f>
        <v>M-IMPROVE</v>
      </c>
      <c r="C431" s="20" t="str">
        <f>IF(B431="","","MILESTONE:"&amp;Milestones!$D48)</f>
        <v>MILESTONE:RECOVERY</v>
      </c>
      <c r="D431" s="20" t="str">
        <f>IF(B431="","",Milestones!$A48&amp;"")</f>
        <v>EX-C01</v>
      </c>
      <c r="E431" s="20" t="str">
        <f>IF(B431="","",Milestones!$B48&amp;"")</f>
        <v>2</v>
      </c>
      <c r="F431" s="20" t="str">
        <f t="shared" si="81"/>
        <v>EX-C01|2</v>
      </c>
      <c r="G431" s="20" t="str">
        <f>IF(B431="","",Milestones!$E48&amp;"")</f>
        <v/>
      </c>
      <c r="H431" s="20" t="str">
        <f>IF(B431="","",Milestones!$M48&amp;"")</f>
        <v>TIMESTAMP</v>
      </c>
      <c r="I431" s="20" t="str">
        <f>IF(B431="","",Milestones!$P48&amp;"")</f>
        <v>-05:00</v>
      </c>
      <c r="J431" s="20" t="str">
        <f>IF(B431="","",Milestones!$V48&amp;"")</f>
        <v/>
      </c>
      <c r="K431" s="20">
        <f>IF(B431="",0,Milestones!$W48)</f>
        <v>1</v>
      </c>
      <c r="L431" s="20">
        <f>IF(B431="",0,Milestones!$X48)</f>
        <v>1</v>
      </c>
      <c r="M431" s="20">
        <f>IF(B431="","",Milestones!$AA48)</f>
        <v>66286655</v>
      </c>
      <c r="N431" s="20">
        <f>IF(B431="","",Milestones!$AB48)</f>
        <v>66286955</v>
      </c>
      <c r="O431" s="27">
        <f>IF(B431="","",Milestones!$Y48)</f>
        <v>46032</v>
      </c>
      <c r="P431" s="27">
        <f>IF(B431="","",Milestones!$Z48)</f>
        <v>46032</v>
      </c>
      <c r="Q431" s="20" t="str">
        <f t="shared" si="82"/>
        <v>2026-01-10T09:35-05:00</v>
      </c>
      <c r="R431" s="20" t="str">
        <f>IF(A431="","",IF(J431&lt;&gt;"",J431,IF(H431="TIMESTAMP",DAY(INT(M431/1440))&amp;" "&amp;INDEX(nLIST_Months,MONTH(INT(M431/1440)))&amp;" "&amp;YEAR(INT(M431/1440))&amp;" "&amp;RIGHT("0"&amp;INT(MOD(M431,1440)/60),2)&amp;":"&amp;RIGHT("0"&amp;MOD(M431,60),2)&amp;IF(L431=1," (UTC"&amp;I431&amp;")"," (offset unknown)"),IF(H431="DATE",DAY(O431)&amp;" "&amp;INDEX(nLIST_Months,MONTH(O431))&amp;" "&amp;YEAR(O431),IF(H431="MONTH",INDEX(nLIST_Months,MONTH(O431))&amp;" "&amp;YEAR(O431)&amp;" ("&amp;DAY(O431)&amp;" "&amp;INDEX(nLIST_Months,MONTH(O431))&amp;" "&amp;YEAR(O431)&amp;" to "&amp;DAY(P431)&amp;" "&amp;INDEX(nLIST_Months,MONTH(P431))&amp;" "&amp;YEAR(P431)&amp;")",IF(H431="YEAR",YEAR(O431)&amp;" (1 January to 31 December)",DAY(O431)&amp;" "&amp;INDEX(nLIST_Months,MONTH(O431))&amp;" "&amp;YEAR(O431)&amp;" to "&amp;DAY(P431)&amp;" "&amp;INDEX(nLIST_Months,MONTH(P431))&amp;" "&amp;YEAR(P431)&amp;IF(H431="LAB"," (laboratory-defined)","")))))))</f>
        <v>10 January 2026 09:35 (UTC-05:00)</v>
      </c>
      <c r="S431" s="20" t="str">
        <f>IF(B431="","",Milestones!$L48&amp;"")</f>
        <v>09:35 wheeze settling, BP 108/70</v>
      </c>
      <c r="T431" s="20" t="str">
        <f>IF(B431="","",Milestones!$U48&amp;"")</f>
        <v>Nursing chart</v>
      </c>
      <c r="U431" s="20" t="str">
        <f>IF(B431="","","Milestones row "&amp;ROW(Milestones!$A48)&amp;", Milestone")</f>
        <v>Milestones row 48, Milestone</v>
      </c>
      <c r="V431" s="20">
        <f>IF(A431="",0,COUNTIF(nTP_Key,A431))</f>
        <v>1</v>
      </c>
      <c r="W431" s="20">
        <f t="shared" si="83"/>
        <v>66286655</v>
      </c>
      <c r="X431" s="20">
        <f t="shared" si="84"/>
        <v>66286955</v>
      </c>
      <c r="Y431" s="20">
        <f t="shared" si="85"/>
        <v>46032</v>
      </c>
      <c r="Z431" s="20">
        <f t="shared" si="86"/>
        <v>46032</v>
      </c>
      <c r="AA431" s="20">
        <f t="shared" si="87"/>
        <v>427</v>
      </c>
      <c r="AB431" s="20" t="str">
        <f>""</f>
        <v/>
      </c>
      <c r="AC431" s="20" t="str">
        <f>""</f>
        <v/>
      </c>
      <c r="AD431" s="20" t="str">
        <f>IF(B431="","",Milestones!$F48&amp;"")</f>
        <v>Wheeze settling, BP 108/70</v>
      </c>
      <c r="AE431" s="20">
        <f t="shared" si="88"/>
        <v>0</v>
      </c>
      <c r="AF431" s="20" t="str">
        <f t="shared" si="89"/>
        <v/>
      </c>
      <c r="AG431" s="20">
        <f t="shared" si="90"/>
        <v>1</v>
      </c>
      <c r="AH431" s="20" t="str">
        <f>""</f>
        <v/>
      </c>
    </row>
    <row r="432" spans="1:34" x14ac:dyDescent="0.2">
      <c r="A432" s="20" t="str">
        <f t="shared" si="80"/>
        <v>EX-C01|2|M-DIAG</v>
      </c>
      <c r="B432" s="20" t="str">
        <f>IF(AND(Milestones!$C49&lt;&gt;"",COUNTA(Milestones!$M49:$T49)&gt;0),Milestones!$C49&amp;"","")</f>
        <v>M-DIAG</v>
      </c>
      <c r="C432" s="20" t="str">
        <f>IF(B432="","","MILESTONE:"&amp;Milestones!$D49)</f>
        <v>MILESTONE:DIAGNOSIS</v>
      </c>
      <c r="D432" s="20" t="str">
        <f>IF(B432="","",Milestones!$A49&amp;"")</f>
        <v>EX-C01</v>
      </c>
      <c r="E432" s="20" t="str">
        <f>IF(B432="","",Milestones!$B49&amp;"")</f>
        <v>2</v>
      </c>
      <c r="F432" s="20" t="str">
        <f t="shared" si="81"/>
        <v>EX-C01|2</v>
      </c>
      <c r="G432" s="20" t="str">
        <f>IF(B432="","",Milestones!$E49&amp;"")</f>
        <v/>
      </c>
      <c r="H432" s="20" t="str">
        <f>IF(B432="","",Milestones!$M49&amp;"")</f>
        <v>TIMESTAMP</v>
      </c>
      <c r="I432" s="20" t="str">
        <f>IF(B432="","",Milestones!$P49&amp;"")</f>
        <v>-05:00</v>
      </c>
      <c r="J432" s="20" t="str">
        <f>IF(B432="","",Milestones!$V49&amp;"")</f>
        <v/>
      </c>
      <c r="K432" s="20">
        <f>IF(B432="",0,Milestones!$W49)</f>
        <v>1</v>
      </c>
      <c r="L432" s="20">
        <f>IF(B432="",0,Milestones!$X49)</f>
        <v>1</v>
      </c>
      <c r="M432" s="20">
        <f>IF(B432="","",Milestones!$AA49)</f>
        <v>66286670</v>
      </c>
      <c r="N432" s="20">
        <f>IF(B432="","",Milestones!$AB49)</f>
        <v>66286970</v>
      </c>
      <c r="O432" s="27">
        <f>IF(B432="","",Milestones!$Y49)</f>
        <v>46032</v>
      </c>
      <c r="P432" s="27">
        <f>IF(B432="","",Milestones!$Z49)</f>
        <v>46032</v>
      </c>
      <c r="Q432" s="20" t="str">
        <f t="shared" si="82"/>
        <v>2026-01-10T09:50-05:00</v>
      </c>
      <c r="R432" s="20" t="str">
        <f>IF(A432="","",IF(J432&lt;&gt;"",J432,IF(H432="TIMESTAMP",DAY(INT(M432/1440))&amp;" "&amp;INDEX(nLIST_Months,MONTH(INT(M432/1440)))&amp;" "&amp;YEAR(INT(M432/1440))&amp;" "&amp;RIGHT("0"&amp;INT(MOD(M432,1440)/60),2)&amp;":"&amp;RIGHT("0"&amp;MOD(M432,60),2)&amp;IF(L432=1," (UTC"&amp;I432&amp;")"," (offset unknown)"),IF(H432="DATE",DAY(O432)&amp;" "&amp;INDEX(nLIST_Months,MONTH(O432))&amp;" "&amp;YEAR(O432),IF(H432="MONTH",INDEX(nLIST_Months,MONTH(O432))&amp;" "&amp;YEAR(O432)&amp;" ("&amp;DAY(O432)&amp;" "&amp;INDEX(nLIST_Months,MONTH(O432))&amp;" "&amp;YEAR(O432)&amp;" to "&amp;DAY(P432)&amp;" "&amp;INDEX(nLIST_Months,MONTH(P432))&amp;" "&amp;YEAR(P432)&amp;")",IF(H432="YEAR",YEAR(O432)&amp;" (1 January to 31 December)",DAY(O432)&amp;" "&amp;INDEX(nLIST_Months,MONTH(O432))&amp;" "&amp;YEAR(O432)&amp;" to "&amp;DAY(P432)&amp;" "&amp;INDEX(nLIST_Months,MONTH(P432))&amp;" "&amp;YEAR(P432)&amp;IF(H432="LAB"," (laboratory-defined)","")))))))</f>
        <v>10 January 2026 09:50 (UTC-05:00)</v>
      </c>
      <c r="S432" s="20" t="str">
        <f>IF(B432="","",Milestones!$L49&amp;"")</f>
        <v>Physician note written at 09:50</v>
      </c>
      <c r="T432" s="20" t="str">
        <f>IF(B432="","",Milestones!$U49&amp;"")</f>
        <v>Physician note (version 2)</v>
      </c>
      <c r="U432" s="20" t="str">
        <f>IF(B432="","","Milestones row "&amp;ROW(Milestones!$A49)&amp;", Milestone")</f>
        <v>Milestones row 49, Milestone</v>
      </c>
      <c r="V432" s="20">
        <f>IF(A432="",0,COUNTIF(nTP_Key,A432))</f>
        <v>1</v>
      </c>
      <c r="W432" s="20">
        <f t="shared" si="83"/>
        <v>66286670</v>
      </c>
      <c r="X432" s="20">
        <f t="shared" si="84"/>
        <v>66286970</v>
      </c>
      <c r="Y432" s="20">
        <f t="shared" si="85"/>
        <v>46032</v>
      </c>
      <c r="Z432" s="20">
        <f t="shared" si="86"/>
        <v>46032</v>
      </c>
      <c r="AA432" s="20">
        <f t="shared" si="87"/>
        <v>428</v>
      </c>
      <c r="AB432" s="20" t="str">
        <f>""</f>
        <v/>
      </c>
      <c r="AC432" s="20" t="str">
        <f>""</f>
        <v/>
      </c>
      <c r="AD432" s="20" t="str">
        <f>IF(B432="","",Milestones!$F49&amp;"")</f>
        <v>Physician note: acute reaction during first Drug A infusion</v>
      </c>
      <c r="AE432" s="20">
        <f t="shared" si="88"/>
        <v>0</v>
      </c>
      <c r="AF432" s="20" t="str">
        <f t="shared" si="89"/>
        <v/>
      </c>
      <c r="AG432" s="20">
        <f t="shared" si="90"/>
        <v>1</v>
      </c>
      <c r="AH432" s="20" t="str">
        <f>""</f>
        <v/>
      </c>
    </row>
    <row r="433" spans="1:34" x14ac:dyDescent="0.2">
      <c r="A433" s="20" t="str">
        <f t="shared" si="80"/>
        <v>EX-C01|2|M-TRYP</v>
      </c>
      <c r="B433" s="20" t="str">
        <f>IF(AND(Milestones!$C50&lt;&gt;"",COUNTA(Milestones!$M50:$T50)&gt;0),Milestones!$C50&amp;"","")</f>
        <v>M-TRYP</v>
      </c>
      <c r="C433" s="20" t="str">
        <f>IF(B433="","","MILESTONE:"&amp;Milestones!$D50)</f>
        <v>MILESTONE:TEST</v>
      </c>
      <c r="D433" s="20" t="str">
        <f>IF(B433="","",Milestones!$A50&amp;"")</f>
        <v>EX-C01</v>
      </c>
      <c r="E433" s="20" t="str">
        <f>IF(B433="","",Milestones!$B50&amp;"")</f>
        <v>2</v>
      </c>
      <c r="F433" s="20" t="str">
        <f t="shared" si="81"/>
        <v>EX-C01|2</v>
      </c>
      <c r="G433" s="20" t="str">
        <f>IF(B433="","",Milestones!$E50&amp;"")</f>
        <v/>
      </c>
      <c r="H433" s="20" t="str">
        <f>IF(B433="","",Milestones!$M50&amp;"")</f>
        <v>TIMESTAMP</v>
      </c>
      <c r="I433" s="20" t="str">
        <f>IF(B433="","",Milestones!$P50&amp;"")</f>
        <v>-05:00</v>
      </c>
      <c r="J433" s="20" t="str">
        <f>IF(B433="","",Milestones!$V50&amp;"")</f>
        <v/>
      </c>
      <c r="K433" s="20">
        <f>IF(B433="",0,Milestones!$W50)</f>
        <v>1</v>
      </c>
      <c r="L433" s="20">
        <f>IF(B433="",0,Milestones!$X50)</f>
        <v>1</v>
      </c>
      <c r="M433" s="20">
        <f>IF(B433="","",Milestones!$AA50)</f>
        <v>66286685</v>
      </c>
      <c r="N433" s="20">
        <f>IF(B433="","",Milestones!$AB50)</f>
        <v>66286985</v>
      </c>
      <c r="O433" s="27">
        <f>IF(B433="","",Milestones!$Y50)</f>
        <v>46032</v>
      </c>
      <c r="P433" s="27">
        <f>IF(B433="","",Milestones!$Z50)</f>
        <v>46032</v>
      </c>
      <c r="Q433" s="20" t="str">
        <f t="shared" si="82"/>
        <v>2026-01-10T10:05-05:00</v>
      </c>
      <c r="R433" s="20" t="str">
        <f>IF(A433="","",IF(J433&lt;&gt;"",J433,IF(H433="TIMESTAMP",DAY(INT(M433/1440))&amp;" "&amp;INDEX(nLIST_Months,MONTH(INT(M433/1440)))&amp;" "&amp;YEAR(INT(M433/1440))&amp;" "&amp;RIGHT("0"&amp;INT(MOD(M433,1440)/60),2)&amp;":"&amp;RIGHT("0"&amp;MOD(M433,60),2)&amp;IF(L433=1," (UTC"&amp;I433&amp;")"," (offset unknown)"),IF(H433="DATE",DAY(O433)&amp;" "&amp;INDEX(nLIST_Months,MONTH(O433))&amp;" "&amp;YEAR(O433),IF(H433="MONTH",INDEX(nLIST_Months,MONTH(O433))&amp;" "&amp;YEAR(O433)&amp;" ("&amp;DAY(O433)&amp;" "&amp;INDEX(nLIST_Months,MONTH(O433))&amp;" "&amp;YEAR(O433)&amp;" to "&amp;DAY(P433)&amp;" "&amp;INDEX(nLIST_Months,MONTH(P433))&amp;" "&amp;YEAR(P433)&amp;")",IF(H433="YEAR",YEAR(O433)&amp;" (1 January to 31 December)",DAY(O433)&amp;" "&amp;INDEX(nLIST_Months,MONTH(O433))&amp;" "&amp;YEAR(O433)&amp;" to "&amp;DAY(P433)&amp;" "&amp;INDEX(nLIST_Months,MONTH(P433))&amp;" "&amp;YEAR(P433)&amp;IF(H433="LAB"," (laboratory-defined)","")))))))</f>
        <v>10 January 2026 10:05 (UTC-05:00)</v>
      </c>
      <c r="S433" s="20" t="str">
        <f>IF(B433="","",Milestones!$L50&amp;"")</f>
        <v>tryptase sample 10:05</v>
      </c>
      <c r="T433" s="20" t="str">
        <f>IF(B433="","",Milestones!$U50&amp;"")</f>
        <v>Follow-up, version 2</v>
      </c>
      <c r="U433" s="20" t="str">
        <f>IF(B433="","","Milestones row "&amp;ROW(Milestones!$A50)&amp;", Milestone")</f>
        <v>Milestones row 50, Milestone</v>
      </c>
      <c r="V433" s="20">
        <f>IF(A433="",0,COUNTIF(nTP_Key,A433))</f>
        <v>1</v>
      </c>
      <c r="W433" s="20">
        <f t="shared" si="83"/>
        <v>66286685</v>
      </c>
      <c r="X433" s="20">
        <f t="shared" si="84"/>
        <v>66286985</v>
      </c>
      <c r="Y433" s="20">
        <f t="shared" si="85"/>
        <v>46032</v>
      </c>
      <c r="Z433" s="20">
        <f t="shared" si="86"/>
        <v>46032</v>
      </c>
      <c r="AA433" s="20">
        <f t="shared" si="87"/>
        <v>429</v>
      </c>
      <c r="AB433" s="20" t="str">
        <f>""</f>
        <v/>
      </c>
      <c r="AC433" s="20" t="str">
        <f>""</f>
        <v/>
      </c>
      <c r="AD433" s="20" t="str">
        <f>IF(B433="","",Milestones!$F50&amp;"")</f>
        <v>Tryptase sample taken; result pending</v>
      </c>
      <c r="AE433" s="20">
        <f t="shared" si="88"/>
        <v>0</v>
      </c>
      <c r="AF433" s="20" t="str">
        <f t="shared" si="89"/>
        <v/>
      </c>
      <c r="AG433" s="20">
        <f t="shared" si="90"/>
        <v>1</v>
      </c>
      <c r="AH433" s="20" t="str">
        <f>""</f>
        <v/>
      </c>
    </row>
    <row r="434" spans="1:34" x14ac:dyDescent="0.2">
      <c r="A434" s="20" t="str">
        <f t="shared" si="80"/>
        <v>EX-C04|2|M-CR1</v>
      </c>
      <c r="B434" s="20" t="str">
        <f>IF(AND(Milestones!$C51&lt;&gt;"",COUNTA(Milestones!$M51:$T51)&gt;0),Milestones!$C51&amp;"","")</f>
        <v>M-CR1</v>
      </c>
      <c r="C434" s="20" t="str">
        <f>IF(B434="","","MILESTONE:"&amp;Milestones!$D51)</f>
        <v>MILESTONE:ORGAN_FUNCTION</v>
      </c>
      <c r="D434" s="20" t="str">
        <f>IF(B434="","",Milestones!$A51&amp;"")</f>
        <v>EX-C04</v>
      </c>
      <c r="E434" s="20" t="str">
        <f>IF(B434="","",Milestones!$B51&amp;"")</f>
        <v>2</v>
      </c>
      <c r="F434" s="20" t="str">
        <f t="shared" si="81"/>
        <v>EX-C04|2</v>
      </c>
      <c r="G434" s="20" t="str">
        <f>IF(B434="","",Milestones!$E51&amp;"")</f>
        <v/>
      </c>
      <c r="H434" s="20" t="str">
        <f>IF(B434="","",Milestones!$M51&amp;"")</f>
        <v>DATE</v>
      </c>
      <c r="I434" s="20" t="str">
        <f>IF(B434="","",Milestones!$P51&amp;"")</f>
        <v/>
      </c>
      <c r="J434" s="20" t="str">
        <f>IF(B434="","",Milestones!$V51&amp;"")</f>
        <v/>
      </c>
      <c r="K434" s="20">
        <f>IF(B434="",0,Milestones!$W51)</f>
        <v>0</v>
      </c>
      <c r="L434" s="20">
        <f>IF(B434="",0,Milestones!$X51)</f>
        <v>0</v>
      </c>
      <c r="M434" s="20" t="str">
        <f>IF(B434="","",Milestones!$AA51)</f>
        <v/>
      </c>
      <c r="N434" s="20" t="str">
        <f>IF(B434="","",Milestones!$AB51)</f>
        <v/>
      </c>
      <c r="O434" s="27">
        <f>IF(B434="","",Milestones!$Y51)</f>
        <v>45975</v>
      </c>
      <c r="P434" s="27">
        <f>IF(B434="","",Milestones!$Z51)</f>
        <v>45975</v>
      </c>
      <c r="Q434" s="20" t="str">
        <f t="shared" si="82"/>
        <v>2025-11-14</v>
      </c>
      <c r="R434" s="20" t="str">
        <f>IF(A434="","",IF(J434&lt;&gt;"",J434,IF(H434="TIMESTAMP",DAY(INT(M434/1440))&amp;" "&amp;INDEX(nLIST_Months,MONTH(INT(M434/1440)))&amp;" "&amp;YEAR(INT(M434/1440))&amp;" "&amp;RIGHT("0"&amp;INT(MOD(M434,1440)/60),2)&amp;":"&amp;RIGHT("0"&amp;MOD(M434,60),2)&amp;IF(L434=1," (UTC"&amp;I434&amp;")"," (offset unknown)"),IF(H434="DATE",DAY(O434)&amp;" "&amp;INDEX(nLIST_Months,MONTH(O434))&amp;" "&amp;YEAR(O434),IF(H434="MONTH",INDEX(nLIST_Months,MONTH(O434))&amp;" "&amp;YEAR(O434)&amp;" ("&amp;DAY(O434)&amp;" "&amp;INDEX(nLIST_Months,MONTH(O434))&amp;" "&amp;YEAR(O434)&amp;" to "&amp;DAY(P434)&amp;" "&amp;INDEX(nLIST_Months,MONTH(P434))&amp;" "&amp;YEAR(P434)&amp;")",IF(H434="YEAR",YEAR(O434)&amp;" (1 January to 31 December)",DAY(O434)&amp;" "&amp;INDEX(nLIST_Months,MONTH(O434))&amp;" "&amp;YEAR(O434)&amp;" to "&amp;DAY(P434)&amp;" "&amp;INDEX(nLIST_Months,MONTH(P434))&amp;" "&amp;YEAR(P434)&amp;IF(H434="LAB"," (laboratory-defined)","")))))))</f>
        <v>14 November 2025</v>
      </c>
      <c r="S434" s="20" t="str">
        <f>IF(B434="","",Milestones!$L51&amp;"")</f>
        <v>Creatinine 1.0 mg/dL on 14 November 2025</v>
      </c>
      <c r="T434" s="20" t="str">
        <f>IF(B434="","",Milestones!$U51&amp;"")</f>
        <v>GP letter</v>
      </c>
      <c r="U434" s="20" t="str">
        <f>IF(B434="","","Milestones row "&amp;ROW(Milestones!$A51)&amp;", Milestone")</f>
        <v>Milestones row 51, Milestone</v>
      </c>
      <c r="V434" s="20">
        <f>IF(A434="",0,COUNTIF(nTP_Key,A434))</f>
        <v>1</v>
      </c>
      <c r="W434" s="20">
        <f t="shared" si="83"/>
        <v>0</v>
      </c>
      <c r="X434" s="20">
        <f t="shared" si="84"/>
        <v>0</v>
      </c>
      <c r="Y434" s="20">
        <f t="shared" si="85"/>
        <v>45975</v>
      </c>
      <c r="Z434" s="20">
        <f t="shared" si="86"/>
        <v>45975</v>
      </c>
      <c r="AA434" s="20">
        <f t="shared" si="87"/>
        <v>430</v>
      </c>
      <c r="AB434" s="20" t="str">
        <f>""</f>
        <v/>
      </c>
      <c r="AC434" s="20" t="str">
        <f>""</f>
        <v/>
      </c>
      <c r="AD434" s="20" t="str">
        <f>IF(B434="","",Milestones!$F51&amp;"")</f>
        <v>Serum creatinine (baseline)</v>
      </c>
      <c r="AE434" s="20">
        <f t="shared" si="88"/>
        <v>0</v>
      </c>
      <c r="AF434" s="20" t="str">
        <f t="shared" si="89"/>
        <v/>
      </c>
      <c r="AG434" s="20">
        <f t="shared" si="90"/>
        <v>1</v>
      </c>
      <c r="AH434" s="20" t="str">
        <f>""</f>
        <v/>
      </c>
    </row>
    <row r="435" spans="1:34" x14ac:dyDescent="0.2">
      <c r="A435" s="20" t="str">
        <f t="shared" si="80"/>
        <v>EX-C04|2|M-CR2</v>
      </c>
      <c r="B435" s="20" t="str">
        <f>IF(AND(Milestones!$C52&lt;&gt;"",COUNTA(Milestones!$M52:$T52)&gt;0),Milestones!$C52&amp;"","")</f>
        <v>M-CR2</v>
      </c>
      <c r="C435" s="20" t="str">
        <f>IF(B435="","","MILESTONE:"&amp;Milestones!$D52)</f>
        <v>MILESTONE:ORGAN_FUNCTION</v>
      </c>
      <c r="D435" s="20" t="str">
        <f>IF(B435="","",Milestones!$A52&amp;"")</f>
        <v>EX-C04</v>
      </c>
      <c r="E435" s="20" t="str">
        <f>IF(B435="","",Milestones!$B52&amp;"")</f>
        <v>2</v>
      </c>
      <c r="F435" s="20" t="str">
        <f t="shared" si="81"/>
        <v>EX-C04|2</v>
      </c>
      <c r="G435" s="20" t="str">
        <f>IF(B435="","",Milestones!$E52&amp;"")</f>
        <v/>
      </c>
      <c r="H435" s="20" t="str">
        <f>IF(B435="","",Milestones!$M52&amp;"")</f>
        <v>DATE</v>
      </c>
      <c r="I435" s="20" t="str">
        <f>IF(B435="","",Milestones!$P52&amp;"")</f>
        <v/>
      </c>
      <c r="J435" s="20" t="str">
        <f>IF(B435="","",Milestones!$V52&amp;"")</f>
        <v/>
      </c>
      <c r="K435" s="20">
        <f>IF(B435="",0,Milestones!$W52)</f>
        <v>0</v>
      </c>
      <c r="L435" s="20">
        <f>IF(B435="",0,Milestones!$X52)</f>
        <v>0</v>
      </c>
      <c r="M435" s="20" t="str">
        <f>IF(B435="","",Milestones!$AA52)</f>
        <v/>
      </c>
      <c r="N435" s="20" t="str">
        <f>IF(B435="","",Milestones!$AB52)</f>
        <v/>
      </c>
      <c r="O435" s="27">
        <f>IF(B435="","",Milestones!$Y52)</f>
        <v>46093</v>
      </c>
      <c r="P435" s="27">
        <f>IF(B435="","",Milestones!$Z52)</f>
        <v>46093</v>
      </c>
      <c r="Q435" s="20" t="str">
        <f t="shared" si="82"/>
        <v>2026-03-12</v>
      </c>
      <c r="R435" s="20" t="str">
        <f>IF(A435="","",IF(J435&lt;&gt;"",J435,IF(H435="TIMESTAMP",DAY(INT(M435/1440))&amp;" "&amp;INDEX(nLIST_Months,MONTH(INT(M435/1440)))&amp;" "&amp;YEAR(INT(M435/1440))&amp;" "&amp;RIGHT("0"&amp;INT(MOD(M435,1440)/60),2)&amp;":"&amp;RIGHT("0"&amp;MOD(M435,60),2)&amp;IF(L435=1," (UTC"&amp;I435&amp;")"," (offset unknown)"),IF(H435="DATE",DAY(O435)&amp;" "&amp;INDEX(nLIST_Months,MONTH(O435))&amp;" "&amp;YEAR(O435),IF(H435="MONTH",INDEX(nLIST_Months,MONTH(O435))&amp;" "&amp;YEAR(O435)&amp;" ("&amp;DAY(O435)&amp;" "&amp;INDEX(nLIST_Months,MONTH(O435))&amp;" "&amp;YEAR(O435)&amp;" to "&amp;DAY(P435)&amp;" "&amp;INDEX(nLIST_Months,MONTH(P435))&amp;" "&amp;YEAR(P435)&amp;")",IF(H435="YEAR",YEAR(O435)&amp;" (1 January to 31 December)",DAY(O435)&amp;" "&amp;INDEX(nLIST_Months,MONTH(O435))&amp;" "&amp;YEAR(O435)&amp;" to "&amp;DAY(P435)&amp;" "&amp;INDEX(nLIST_Months,MONTH(P435))&amp;" "&amp;YEAR(P435)&amp;IF(H435="LAB"," (laboratory-defined)","")))))))</f>
        <v>12 March 2026</v>
      </c>
      <c r="S435" s="20" t="str">
        <f>IF(B435="","",Milestones!$L52&amp;"")</f>
        <v>Creatinine 1.0 mg/dL on 12 March 2026</v>
      </c>
      <c r="T435" s="20" t="str">
        <f>IF(B435="","",Milestones!$U52&amp;"")</f>
        <v>GP letter</v>
      </c>
      <c r="U435" s="20" t="str">
        <f>IF(B435="","","Milestones row "&amp;ROW(Milestones!$A52)&amp;", Milestone")</f>
        <v>Milestones row 52, Milestone</v>
      </c>
      <c r="V435" s="20">
        <f>IF(A435="",0,COUNTIF(nTP_Key,A435))</f>
        <v>1</v>
      </c>
      <c r="W435" s="20">
        <f t="shared" si="83"/>
        <v>0</v>
      </c>
      <c r="X435" s="20">
        <f t="shared" si="84"/>
        <v>0</v>
      </c>
      <c r="Y435" s="20">
        <f t="shared" si="85"/>
        <v>46093</v>
      </c>
      <c r="Z435" s="20">
        <f t="shared" si="86"/>
        <v>46093</v>
      </c>
      <c r="AA435" s="20">
        <f t="shared" si="87"/>
        <v>431</v>
      </c>
      <c r="AB435" s="20" t="str">
        <f>""</f>
        <v/>
      </c>
      <c r="AC435" s="20" t="str">
        <f>""</f>
        <v/>
      </c>
      <c r="AD435" s="20" t="str">
        <f>IF(B435="","",Milestones!$F52&amp;"")</f>
        <v>Serum creatinine (baseline)</v>
      </c>
      <c r="AE435" s="20">
        <f t="shared" si="88"/>
        <v>0</v>
      </c>
      <c r="AF435" s="20" t="str">
        <f t="shared" si="89"/>
        <v/>
      </c>
      <c r="AG435" s="20">
        <f t="shared" si="90"/>
        <v>1</v>
      </c>
      <c r="AH435" s="20" t="str">
        <f>""</f>
        <v/>
      </c>
    </row>
    <row r="436" spans="1:34" x14ac:dyDescent="0.2">
      <c r="A436" s="20" t="str">
        <f t="shared" si="80"/>
        <v>EX-C04|2|M-CR3</v>
      </c>
      <c r="B436" s="20" t="str">
        <f>IF(AND(Milestones!$C53&lt;&gt;"",COUNTA(Milestones!$M53:$T53)&gt;0),Milestones!$C53&amp;"","")</f>
        <v>M-CR3</v>
      </c>
      <c r="C436" s="20" t="str">
        <f>IF(B436="","","MILESTONE:"&amp;Milestones!$D53)</f>
        <v>MILESTONE:ORGAN_FUNCTION</v>
      </c>
      <c r="D436" s="20" t="str">
        <f>IF(B436="","",Milestones!$A53&amp;"")</f>
        <v>EX-C04</v>
      </c>
      <c r="E436" s="20" t="str">
        <f>IF(B436="","",Milestones!$B53&amp;"")</f>
        <v>2</v>
      </c>
      <c r="F436" s="20" t="str">
        <f t="shared" si="81"/>
        <v>EX-C04|2</v>
      </c>
      <c r="G436" s="20" t="str">
        <f>IF(B436="","",Milestones!$E53&amp;"")</f>
        <v/>
      </c>
      <c r="H436" s="20" t="str">
        <f>IF(B436="","",Milestones!$M53&amp;"")</f>
        <v>DATE</v>
      </c>
      <c r="I436" s="20" t="str">
        <f>IF(B436="","",Milestones!$P53&amp;"")</f>
        <v/>
      </c>
      <c r="J436" s="20" t="str">
        <f>IF(B436="","",Milestones!$V53&amp;"")</f>
        <v/>
      </c>
      <c r="K436" s="20">
        <f>IF(B436="",0,Milestones!$W53)</f>
        <v>0</v>
      </c>
      <c r="L436" s="20">
        <f>IF(B436="",0,Milestones!$X53)</f>
        <v>0</v>
      </c>
      <c r="M436" s="20" t="str">
        <f>IF(B436="","",Milestones!$AA53)</f>
        <v/>
      </c>
      <c r="N436" s="20" t="str">
        <f>IF(B436="","",Milestones!$AB53)</f>
        <v/>
      </c>
      <c r="O436" s="27">
        <f>IF(B436="","",Milestones!$Y53)</f>
        <v>46204</v>
      </c>
      <c r="P436" s="27">
        <f>IF(B436="","",Milestones!$Z53)</f>
        <v>46204</v>
      </c>
      <c r="Q436" s="20" t="str">
        <f t="shared" si="82"/>
        <v>2026-07-01</v>
      </c>
      <c r="R436" s="20" t="str">
        <f>IF(A436="","",IF(J436&lt;&gt;"",J436,IF(H436="TIMESTAMP",DAY(INT(M436/1440))&amp;" "&amp;INDEX(nLIST_Months,MONTH(INT(M436/1440)))&amp;" "&amp;YEAR(INT(M436/1440))&amp;" "&amp;RIGHT("0"&amp;INT(MOD(M436,1440)/60),2)&amp;":"&amp;RIGHT("0"&amp;MOD(M436,60),2)&amp;IF(L436=1," (UTC"&amp;I436&amp;")"," (offset unknown)"),IF(H436="DATE",DAY(O436)&amp;" "&amp;INDEX(nLIST_Months,MONTH(O436))&amp;" "&amp;YEAR(O436),IF(H436="MONTH",INDEX(nLIST_Months,MONTH(O436))&amp;" "&amp;YEAR(O436)&amp;" ("&amp;DAY(O436)&amp;" "&amp;INDEX(nLIST_Months,MONTH(O436))&amp;" "&amp;YEAR(O436)&amp;" to "&amp;DAY(P436)&amp;" "&amp;INDEX(nLIST_Months,MONTH(P436))&amp;" "&amp;YEAR(P436)&amp;")",IF(H436="YEAR",YEAR(O436)&amp;" (1 January to 31 December)",DAY(O436)&amp;" "&amp;INDEX(nLIST_Months,MONTH(O436))&amp;" "&amp;YEAR(O436)&amp;" to "&amp;DAY(P436)&amp;" "&amp;INDEX(nLIST_Months,MONTH(P436))&amp;" "&amp;YEAR(P436)&amp;IF(H436="LAB"," (laboratory-defined)","")))))))</f>
        <v>1 July 2026</v>
      </c>
      <c r="S436" s="20" t="str">
        <f>IF(B436="","",Milestones!$L53&amp;"")</f>
        <v>Seen 1 July ... creatinine 1.7</v>
      </c>
      <c r="T436" s="20" t="str">
        <f>IF(B436="","",Milestones!$U53&amp;"")</f>
        <v>GP letter</v>
      </c>
      <c r="U436" s="20" t="str">
        <f>IF(B436="","","Milestones row "&amp;ROW(Milestones!$A53)&amp;", Milestone")</f>
        <v>Milestones row 53, Milestone</v>
      </c>
      <c r="V436" s="20">
        <f>IF(A436="",0,COUNTIF(nTP_Key,A436))</f>
        <v>1</v>
      </c>
      <c r="W436" s="20">
        <f t="shared" si="83"/>
        <v>0</v>
      </c>
      <c r="X436" s="20">
        <f t="shared" si="84"/>
        <v>0</v>
      </c>
      <c r="Y436" s="20">
        <f t="shared" si="85"/>
        <v>46204</v>
      </c>
      <c r="Z436" s="20">
        <f t="shared" si="86"/>
        <v>46204</v>
      </c>
      <c r="AA436" s="20">
        <f t="shared" si="87"/>
        <v>432</v>
      </c>
      <c r="AB436" s="20" t="str">
        <f>""</f>
        <v/>
      </c>
      <c r="AC436" s="20" t="str">
        <f>""</f>
        <v/>
      </c>
      <c r="AD436" s="20" t="str">
        <f>IF(B436="","",Milestones!$F53&amp;"")</f>
        <v>First documented renal deterioration (detection, not the start of the decline)</v>
      </c>
      <c r="AE436" s="20">
        <f t="shared" si="88"/>
        <v>0</v>
      </c>
      <c r="AF436" s="20" t="str">
        <f t="shared" si="89"/>
        <v/>
      </c>
      <c r="AG436" s="20">
        <f t="shared" si="90"/>
        <v>1</v>
      </c>
      <c r="AH436" s="20" t="str">
        <f>""</f>
        <v/>
      </c>
    </row>
    <row r="437" spans="1:34" x14ac:dyDescent="0.2">
      <c r="A437" s="20" t="str">
        <f t="shared" si="80"/>
        <v>EX-C04|2|M-CR4</v>
      </c>
      <c r="B437" s="20" t="str">
        <f>IF(AND(Milestones!$C54&lt;&gt;"",COUNTA(Milestones!$M54:$T54)&gt;0),Milestones!$C54&amp;"","")</f>
        <v>M-CR4</v>
      </c>
      <c r="C437" s="20" t="str">
        <f>IF(B437="","","MILESTONE:"&amp;Milestones!$D54)</f>
        <v>MILESTONE:ORGAN_FUNCTION</v>
      </c>
      <c r="D437" s="20" t="str">
        <f>IF(B437="","",Milestones!$A54&amp;"")</f>
        <v>EX-C04</v>
      </c>
      <c r="E437" s="20" t="str">
        <f>IF(B437="","",Milestones!$B54&amp;"")</f>
        <v>2</v>
      </c>
      <c r="F437" s="20" t="str">
        <f t="shared" si="81"/>
        <v>EX-C04|2</v>
      </c>
      <c r="G437" s="20" t="str">
        <f>IF(B437="","",Milestones!$E54&amp;"")</f>
        <v/>
      </c>
      <c r="H437" s="20" t="str">
        <f>IF(B437="","",Milestones!$M54&amp;"")</f>
        <v>DATE</v>
      </c>
      <c r="I437" s="20" t="str">
        <f>IF(B437="","",Milestones!$P54&amp;"")</f>
        <v/>
      </c>
      <c r="J437" s="20" t="str">
        <f>IF(B437="","",Milestones!$V54&amp;"")</f>
        <v/>
      </c>
      <c r="K437" s="20">
        <f>IF(B437="",0,Milestones!$W54)</f>
        <v>0</v>
      </c>
      <c r="L437" s="20">
        <f>IF(B437="",0,Milestones!$X54)</f>
        <v>0</v>
      </c>
      <c r="M437" s="20" t="str">
        <f>IF(B437="","",Milestones!$AA54)</f>
        <v/>
      </c>
      <c r="N437" s="20" t="str">
        <f>IF(B437="","",Milestones!$AB54)</f>
        <v/>
      </c>
      <c r="O437" s="27">
        <f>IF(B437="","",Milestones!$Y54)</f>
        <v>46208</v>
      </c>
      <c r="P437" s="27">
        <f>IF(B437="","",Milestones!$Z54)</f>
        <v>46208</v>
      </c>
      <c r="Q437" s="20" t="str">
        <f t="shared" si="82"/>
        <v>2026-07-05</v>
      </c>
      <c r="R437" s="20" t="str">
        <f>IF(A437="","",IF(J437&lt;&gt;"",J437,IF(H437="TIMESTAMP",DAY(INT(M437/1440))&amp;" "&amp;INDEX(nLIST_Months,MONTH(INT(M437/1440)))&amp;" "&amp;YEAR(INT(M437/1440))&amp;" "&amp;RIGHT("0"&amp;INT(MOD(M437,1440)/60),2)&amp;":"&amp;RIGHT("0"&amp;MOD(M437,60),2)&amp;IF(L437=1," (UTC"&amp;I437&amp;")"," (offset unknown)"),IF(H437="DATE",DAY(O437)&amp;" "&amp;INDEX(nLIST_Months,MONTH(O437))&amp;" "&amp;YEAR(O437),IF(H437="MONTH",INDEX(nLIST_Months,MONTH(O437))&amp;" "&amp;YEAR(O437)&amp;" ("&amp;DAY(O437)&amp;" "&amp;INDEX(nLIST_Months,MONTH(O437))&amp;" "&amp;YEAR(O437)&amp;" to "&amp;DAY(P437)&amp;" "&amp;INDEX(nLIST_Months,MONTH(P437))&amp;" "&amp;YEAR(P437)&amp;")",IF(H437="YEAR",YEAR(O437)&amp;" (1 January to 31 December)",DAY(O437)&amp;" "&amp;INDEX(nLIST_Months,MONTH(O437))&amp;" "&amp;YEAR(O437)&amp;" to "&amp;DAY(P437)&amp;" "&amp;INDEX(nLIST_Months,MONTH(P437))&amp;" "&amp;YEAR(P437)&amp;IF(H437="LAB"," (laboratory-defined)","")))))))</f>
        <v>5 July 2026</v>
      </c>
      <c r="S437" s="20" t="str">
        <f>IF(B437="","",Milestones!$L54&amp;"")</f>
        <v>Creatinine 2.4 mg/dL</v>
      </c>
      <c r="T437" s="20" t="str">
        <f>IF(B437="","",Milestones!$U54&amp;"")</f>
        <v>Emergency department note</v>
      </c>
      <c r="U437" s="20" t="str">
        <f>IF(B437="","","Milestones row "&amp;ROW(Milestones!$A54)&amp;", Milestone")</f>
        <v>Milestones row 54, Milestone</v>
      </c>
      <c r="V437" s="20">
        <f>IF(A437="",0,COUNTIF(nTP_Key,A437))</f>
        <v>1</v>
      </c>
      <c r="W437" s="20">
        <f t="shared" si="83"/>
        <v>0</v>
      </c>
      <c r="X437" s="20">
        <f t="shared" si="84"/>
        <v>0</v>
      </c>
      <c r="Y437" s="20">
        <f t="shared" si="85"/>
        <v>46208</v>
      </c>
      <c r="Z437" s="20">
        <f t="shared" si="86"/>
        <v>46208</v>
      </c>
      <c r="AA437" s="20">
        <f t="shared" si="87"/>
        <v>433</v>
      </c>
      <c r="AB437" s="20" t="str">
        <f>""</f>
        <v/>
      </c>
      <c r="AC437" s="20" t="str">
        <f>""</f>
        <v/>
      </c>
      <c r="AD437" s="20" t="str">
        <f>IF(B437="","",Milestones!$F54&amp;"")</f>
        <v>Serum creatinine at onset (still rising)</v>
      </c>
      <c r="AE437" s="20">
        <f t="shared" si="88"/>
        <v>0</v>
      </c>
      <c r="AF437" s="20" t="str">
        <f t="shared" si="89"/>
        <v/>
      </c>
      <c r="AG437" s="20">
        <f t="shared" si="90"/>
        <v>1</v>
      </c>
      <c r="AH437" s="20" t="str">
        <f>""</f>
        <v/>
      </c>
    </row>
    <row r="438" spans="1:34" x14ac:dyDescent="0.2">
      <c r="A438" s="20" t="str">
        <f t="shared" si="80"/>
        <v>EX-C04|2|M-DIGC</v>
      </c>
      <c r="B438" s="20" t="str">
        <f>IF(AND(Milestones!$C55&lt;&gt;"",COUNTA(Milestones!$M55:$T55)&gt;0),Milestones!$C55&amp;"","")</f>
        <v>M-DIGC</v>
      </c>
      <c r="C438" s="20" t="str">
        <f>IF(B438="","","MILESTONE:"&amp;Milestones!$D55)</f>
        <v>MILESTONE:CONCENTRATION</v>
      </c>
      <c r="D438" s="20" t="str">
        <f>IF(B438="","",Milestones!$A55&amp;"")</f>
        <v>EX-C04</v>
      </c>
      <c r="E438" s="20" t="str">
        <f>IF(B438="","",Milestones!$B55&amp;"")</f>
        <v>2</v>
      </c>
      <c r="F438" s="20" t="str">
        <f t="shared" si="81"/>
        <v>EX-C04|2</v>
      </c>
      <c r="G438" s="20" t="str">
        <f>IF(B438="","",Milestones!$E55&amp;"")</f>
        <v/>
      </c>
      <c r="H438" s="20" t="str">
        <f>IF(B438="","",Milestones!$M55&amp;"")</f>
        <v>TIMESTAMP</v>
      </c>
      <c r="I438" s="20" t="str">
        <f>IF(B438="","",Milestones!$P55&amp;"")</f>
        <v>unknown</v>
      </c>
      <c r="J438" s="20" t="str">
        <f>IF(B438="","",Milestones!$V55&amp;"")</f>
        <v/>
      </c>
      <c r="K438" s="20">
        <f>IF(B438="",0,Milestones!$W55)</f>
        <v>1</v>
      </c>
      <c r="L438" s="20">
        <f>IF(B438="",0,Milestones!$X55)</f>
        <v>0</v>
      </c>
      <c r="M438" s="20">
        <f>IF(B438="","",Milestones!$AA55)</f>
        <v>66540220</v>
      </c>
      <c r="N438" s="20" t="str">
        <f>IF(B438="","",Milestones!$AB55)</f>
        <v/>
      </c>
      <c r="O438" s="27">
        <f>IF(B438="","",Milestones!$Y55)</f>
        <v>46208</v>
      </c>
      <c r="P438" s="27">
        <f>IF(B438="","",Milestones!$Z55)</f>
        <v>46208</v>
      </c>
      <c r="Q438" s="20" t="str">
        <f t="shared" si="82"/>
        <v>2026-07-05T11:40</v>
      </c>
      <c r="R438" s="20" t="str">
        <f>IF(A438="","",IF(J438&lt;&gt;"",J438,IF(H438="TIMESTAMP",DAY(INT(M438/1440))&amp;" "&amp;INDEX(nLIST_Months,MONTH(INT(M438/1440)))&amp;" "&amp;YEAR(INT(M438/1440))&amp;" "&amp;RIGHT("0"&amp;INT(MOD(M438,1440)/60),2)&amp;":"&amp;RIGHT("0"&amp;MOD(M438,60),2)&amp;IF(L438=1," (UTC"&amp;I438&amp;")"," (offset unknown)"),IF(H438="DATE",DAY(O438)&amp;" "&amp;INDEX(nLIST_Months,MONTH(O438))&amp;" "&amp;YEAR(O438),IF(H438="MONTH",INDEX(nLIST_Months,MONTH(O438))&amp;" "&amp;YEAR(O438)&amp;" ("&amp;DAY(O438)&amp;" "&amp;INDEX(nLIST_Months,MONTH(O438))&amp;" "&amp;YEAR(O438)&amp;" to "&amp;DAY(P438)&amp;" "&amp;INDEX(nLIST_Months,MONTH(P438))&amp;" "&amp;YEAR(P438)&amp;")",IF(H438="YEAR",YEAR(O438)&amp;" (1 January to 31 December)",DAY(O438)&amp;" "&amp;INDEX(nLIST_Months,MONTH(O438))&amp;" "&amp;YEAR(O438)&amp;" to "&amp;DAY(P438)&amp;" "&amp;INDEX(nLIST_Months,MONTH(P438))&amp;" "&amp;YEAR(P438)&amp;IF(H438="LAB"," (laboratory-defined)","")))))))</f>
        <v>5 July 2026 11:40 (offset unknown)</v>
      </c>
      <c r="S438" s="20" t="str">
        <f>IF(B438="","",Milestones!$L55&amp;"")</f>
        <v>Serum digoxin 2.9 ng/mL (sample 11:40; laboratory reference 0.5-2.0)</v>
      </c>
      <c r="T438" s="20" t="str">
        <f>IF(B438="","",Milestones!$U55&amp;"")</f>
        <v>Emergency department note</v>
      </c>
      <c r="U438" s="20" t="str">
        <f>IF(B438="","","Milestones row "&amp;ROW(Milestones!$A55)&amp;", Milestone")</f>
        <v>Milestones row 55, Milestone</v>
      </c>
      <c r="V438" s="20">
        <f>IF(A438="",0,COUNTIF(nTP_Key,A438))</f>
        <v>1</v>
      </c>
      <c r="W438" s="20">
        <f t="shared" si="83"/>
        <v>66540220</v>
      </c>
      <c r="X438" s="20">
        <f t="shared" si="84"/>
        <v>0</v>
      </c>
      <c r="Y438" s="20">
        <f t="shared" si="85"/>
        <v>46208</v>
      </c>
      <c r="Z438" s="20">
        <f t="shared" si="86"/>
        <v>46208</v>
      </c>
      <c r="AA438" s="20">
        <f t="shared" si="87"/>
        <v>434</v>
      </c>
      <c r="AB438" s="20" t="str">
        <f>""</f>
        <v/>
      </c>
      <c r="AC438" s="20" t="str">
        <f>""</f>
        <v/>
      </c>
      <c r="AD438" s="20" t="str">
        <f>IF(B438="","",Milestones!$F55&amp;"")</f>
        <v>Serum digoxin</v>
      </c>
      <c r="AE438" s="20">
        <f t="shared" si="88"/>
        <v>0</v>
      </c>
      <c r="AF438" s="20" t="str">
        <f t="shared" si="89"/>
        <v/>
      </c>
      <c r="AG438" s="20">
        <f t="shared" si="90"/>
        <v>1</v>
      </c>
      <c r="AH438" s="20" t="str">
        <f>""</f>
        <v/>
      </c>
    </row>
    <row r="439" spans="1:34" x14ac:dyDescent="0.2">
      <c r="A439" s="20" t="str">
        <f t="shared" si="80"/>
        <v>EX-C04|2|M-K</v>
      </c>
      <c r="B439" s="20" t="str">
        <f>IF(AND(Milestones!$C56&lt;&gt;"",COUNTA(Milestones!$M56:$T56)&gt;0),Milestones!$C56&amp;"","")</f>
        <v>M-K</v>
      </c>
      <c r="C439" s="20" t="str">
        <f>IF(B439="","","MILESTONE:"&amp;Milestones!$D56)</f>
        <v>MILESTONE:TEST</v>
      </c>
      <c r="D439" s="20" t="str">
        <f>IF(B439="","",Milestones!$A56&amp;"")</f>
        <v>EX-C04</v>
      </c>
      <c r="E439" s="20" t="str">
        <f>IF(B439="","",Milestones!$B56&amp;"")</f>
        <v>2</v>
      </c>
      <c r="F439" s="20" t="str">
        <f t="shared" si="81"/>
        <v>EX-C04|2</v>
      </c>
      <c r="G439" s="20" t="str">
        <f>IF(B439="","",Milestones!$E56&amp;"")</f>
        <v/>
      </c>
      <c r="H439" s="20" t="str">
        <f>IF(B439="","",Milestones!$M56&amp;"")</f>
        <v>DATE</v>
      </c>
      <c r="I439" s="20" t="str">
        <f>IF(B439="","",Milestones!$P56&amp;"")</f>
        <v/>
      </c>
      <c r="J439" s="20" t="str">
        <f>IF(B439="","",Milestones!$V56&amp;"")</f>
        <v/>
      </c>
      <c r="K439" s="20">
        <f>IF(B439="",0,Milestones!$W56)</f>
        <v>0</v>
      </c>
      <c r="L439" s="20">
        <f>IF(B439="",0,Milestones!$X56)</f>
        <v>0</v>
      </c>
      <c r="M439" s="20" t="str">
        <f>IF(B439="","",Milestones!$AA56)</f>
        <v/>
      </c>
      <c r="N439" s="20" t="str">
        <f>IF(B439="","",Milestones!$AB56)</f>
        <v/>
      </c>
      <c r="O439" s="27">
        <f>IF(B439="","",Milestones!$Y56)</f>
        <v>46208</v>
      </c>
      <c r="P439" s="27">
        <f>IF(B439="","",Milestones!$Z56)</f>
        <v>46208</v>
      </c>
      <c r="Q439" s="20" t="str">
        <f t="shared" si="82"/>
        <v>2026-07-05</v>
      </c>
      <c r="R439" s="20" t="str">
        <f>IF(A439="","",IF(J439&lt;&gt;"",J439,IF(H439="TIMESTAMP",DAY(INT(M439/1440))&amp;" "&amp;INDEX(nLIST_Months,MONTH(INT(M439/1440)))&amp;" "&amp;YEAR(INT(M439/1440))&amp;" "&amp;RIGHT("0"&amp;INT(MOD(M439,1440)/60),2)&amp;":"&amp;RIGHT("0"&amp;MOD(M439,60),2)&amp;IF(L439=1," (UTC"&amp;I439&amp;")"," (offset unknown)"),IF(H439="DATE",DAY(O439)&amp;" "&amp;INDEX(nLIST_Months,MONTH(O439))&amp;" "&amp;YEAR(O439),IF(H439="MONTH",INDEX(nLIST_Months,MONTH(O439))&amp;" "&amp;YEAR(O439)&amp;" ("&amp;DAY(O439)&amp;" "&amp;INDEX(nLIST_Months,MONTH(O439))&amp;" "&amp;YEAR(O439)&amp;" to "&amp;DAY(P439)&amp;" "&amp;INDEX(nLIST_Months,MONTH(P439))&amp;" "&amp;YEAR(P439)&amp;")",IF(H439="YEAR",YEAR(O439)&amp;" (1 January to 31 December)",DAY(O439)&amp;" "&amp;INDEX(nLIST_Months,MONTH(O439))&amp;" "&amp;YEAR(O439)&amp;" to "&amp;DAY(P439)&amp;" "&amp;INDEX(nLIST_Months,MONTH(P439))&amp;" "&amp;YEAR(P439)&amp;IF(H439="LAB"," (laboratory-defined)","")))))))</f>
        <v>5 July 2026</v>
      </c>
      <c r="S439" s="20" t="str">
        <f>IF(B439="","",Milestones!$L56&amp;"")</f>
        <v>potassium 4.8 mmol/L</v>
      </c>
      <c r="T439" s="20" t="str">
        <f>IF(B439="","",Milestones!$U56&amp;"")</f>
        <v>Emergency department note</v>
      </c>
      <c r="U439" s="20" t="str">
        <f>IF(B439="","","Milestones row "&amp;ROW(Milestones!$A56)&amp;", Milestone")</f>
        <v>Milestones row 56, Milestone</v>
      </c>
      <c r="V439" s="20">
        <f>IF(A439="",0,COUNTIF(nTP_Key,A439))</f>
        <v>1</v>
      </c>
      <c r="W439" s="20">
        <f t="shared" si="83"/>
        <v>0</v>
      </c>
      <c r="X439" s="20">
        <f t="shared" si="84"/>
        <v>0</v>
      </c>
      <c r="Y439" s="20">
        <f t="shared" si="85"/>
        <v>46208</v>
      </c>
      <c r="Z439" s="20">
        <f t="shared" si="86"/>
        <v>46208</v>
      </c>
      <c r="AA439" s="20">
        <f t="shared" si="87"/>
        <v>435</v>
      </c>
      <c r="AB439" s="20" t="str">
        <f>""</f>
        <v/>
      </c>
      <c r="AC439" s="20" t="str">
        <f>""</f>
        <v/>
      </c>
      <c r="AD439" s="20" t="str">
        <f>IF(B439="","",Milestones!$F56&amp;"")</f>
        <v>Potassium</v>
      </c>
      <c r="AE439" s="20">
        <f t="shared" si="88"/>
        <v>0</v>
      </c>
      <c r="AF439" s="20" t="str">
        <f t="shared" si="89"/>
        <v/>
      </c>
      <c r="AG439" s="20">
        <f t="shared" si="90"/>
        <v>1</v>
      </c>
      <c r="AH439" s="20" t="str">
        <f>""</f>
        <v/>
      </c>
    </row>
    <row r="440" spans="1:34" x14ac:dyDescent="0.2">
      <c r="A440" s="20" t="str">
        <f t="shared" si="80"/>
        <v>EX-C04|2|M-FLUIDS</v>
      </c>
      <c r="B440" s="20" t="str">
        <f>IF(AND(Milestones!$C57&lt;&gt;"",COUNTA(Milestones!$M57:$T57)&gt;0),Milestones!$C57&amp;"","")</f>
        <v>M-FLUIDS</v>
      </c>
      <c r="C440" s="20" t="str">
        <f>IF(B440="","","MILESTONE:"&amp;Milestones!$D57)</f>
        <v>MILESTONE:INTERVENTION</v>
      </c>
      <c r="D440" s="20" t="str">
        <f>IF(B440="","",Milestones!$A57&amp;"")</f>
        <v>EX-C04</v>
      </c>
      <c r="E440" s="20" t="str">
        <f>IF(B440="","",Milestones!$B57&amp;"")</f>
        <v>2</v>
      </c>
      <c r="F440" s="20" t="str">
        <f t="shared" si="81"/>
        <v>EX-C04|2</v>
      </c>
      <c r="G440" s="20" t="str">
        <f>IF(B440="","",Milestones!$E57&amp;"")</f>
        <v/>
      </c>
      <c r="H440" s="20" t="str">
        <f>IF(B440="","",Milestones!$M57&amp;"")</f>
        <v>DATE</v>
      </c>
      <c r="I440" s="20" t="str">
        <f>IF(B440="","",Milestones!$P57&amp;"")</f>
        <v/>
      </c>
      <c r="J440" s="20" t="str">
        <f>IF(B440="","",Milestones!$V57&amp;"")</f>
        <v/>
      </c>
      <c r="K440" s="20">
        <f>IF(B440="",0,Milestones!$W57)</f>
        <v>0</v>
      </c>
      <c r="L440" s="20">
        <f>IF(B440="",0,Milestones!$X57)</f>
        <v>0</v>
      </c>
      <c r="M440" s="20" t="str">
        <f>IF(B440="","",Milestones!$AA57)</f>
        <v/>
      </c>
      <c r="N440" s="20" t="str">
        <f>IF(B440="","",Milestones!$AB57)</f>
        <v/>
      </c>
      <c r="O440" s="27">
        <f>IF(B440="","",Milestones!$Y57)</f>
        <v>46208</v>
      </c>
      <c r="P440" s="27">
        <f>IF(B440="","",Milestones!$Z57)</f>
        <v>46208</v>
      </c>
      <c r="Q440" s="20" t="str">
        <f t="shared" si="82"/>
        <v>2026-07-05</v>
      </c>
      <c r="R440" s="20" t="str">
        <f>IF(A440="","",IF(J440&lt;&gt;"",J440,IF(H440="TIMESTAMP",DAY(INT(M440/1440))&amp;" "&amp;INDEX(nLIST_Months,MONTH(INT(M440/1440)))&amp;" "&amp;YEAR(INT(M440/1440))&amp;" "&amp;RIGHT("0"&amp;INT(MOD(M440,1440)/60),2)&amp;":"&amp;RIGHT("0"&amp;MOD(M440,60),2)&amp;IF(L440=1," (UTC"&amp;I440&amp;")"," (offset unknown)"),IF(H440="DATE",DAY(O440)&amp;" "&amp;INDEX(nLIST_Months,MONTH(O440))&amp;" "&amp;YEAR(O440),IF(H440="MONTH",INDEX(nLIST_Months,MONTH(O440))&amp;" "&amp;YEAR(O440)&amp;" ("&amp;DAY(O440)&amp;" "&amp;INDEX(nLIST_Months,MONTH(O440))&amp;" "&amp;YEAR(O440)&amp;" to "&amp;DAY(P440)&amp;" "&amp;INDEX(nLIST_Months,MONTH(P440))&amp;" "&amp;YEAR(P440)&amp;")",IF(H440="YEAR",YEAR(O440)&amp;" (1 January to 31 December)",DAY(O440)&amp;" "&amp;INDEX(nLIST_Months,MONTH(O440))&amp;" "&amp;YEAR(O440)&amp;" to "&amp;DAY(P440)&amp;" "&amp;INDEX(nLIST_Months,MONTH(P440))&amp;" "&amp;YEAR(P440)&amp;IF(H440="LAB"," (laboratory-defined)","")))))))</f>
        <v>5 July 2026</v>
      </c>
      <c r="S440" s="20" t="str">
        <f>IF(B440="","",Milestones!$L57&amp;"")</f>
        <v>IV fluids, cardiac monitoring</v>
      </c>
      <c r="T440" s="20" t="str">
        <f>IF(B440="","",Milestones!$U57&amp;"")</f>
        <v>Emergency department note</v>
      </c>
      <c r="U440" s="20" t="str">
        <f>IF(B440="","","Milestones row "&amp;ROW(Milestones!$A57)&amp;", Milestone")</f>
        <v>Milestones row 57, Milestone</v>
      </c>
      <c r="V440" s="20">
        <f>IF(A440="",0,COUNTIF(nTP_Key,A440))</f>
        <v>1</v>
      </c>
      <c r="W440" s="20">
        <f t="shared" si="83"/>
        <v>0</v>
      </c>
      <c r="X440" s="20">
        <f t="shared" si="84"/>
        <v>0</v>
      </c>
      <c r="Y440" s="20">
        <f t="shared" si="85"/>
        <v>46208</v>
      </c>
      <c r="Z440" s="20">
        <f t="shared" si="86"/>
        <v>46208</v>
      </c>
      <c r="AA440" s="20">
        <f t="shared" si="87"/>
        <v>436</v>
      </c>
      <c r="AB440" s="20" t="str">
        <f>""</f>
        <v/>
      </c>
      <c r="AC440" s="20" t="str">
        <f>""</f>
        <v/>
      </c>
      <c r="AD440" s="20" t="str">
        <f>IF(B440="","",Milestones!$F57&amp;"")</f>
        <v>IV fluids, cardiac monitoring (treatments 5-8 July beyond fluids not reported)</v>
      </c>
      <c r="AE440" s="20">
        <f t="shared" si="88"/>
        <v>0</v>
      </c>
      <c r="AF440" s="20" t="str">
        <f t="shared" si="89"/>
        <v/>
      </c>
      <c r="AG440" s="20">
        <f t="shared" si="90"/>
        <v>1</v>
      </c>
      <c r="AH440" s="20" t="str">
        <f>""</f>
        <v/>
      </c>
    </row>
    <row r="441" spans="1:34" x14ac:dyDescent="0.2">
      <c r="A441" s="20" t="str">
        <f t="shared" si="80"/>
        <v>EX-C04|2|M-IMPROVE</v>
      </c>
      <c r="B441" s="20" t="str">
        <f>IF(AND(Milestones!$C58&lt;&gt;"",COUNTA(Milestones!$M58:$T58)&gt;0),Milestones!$C58&amp;"","")</f>
        <v>M-IMPROVE</v>
      </c>
      <c r="C441" s="20" t="str">
        <f>IF(B441="","","MILESTONE:"&amp;Milestones!$D58)</f>
        <v>MILESTONE:RECOVERY</v>
      </c>
      <c r="D441" s="20" t="str">
        <f>IF(B441="","",Milestones!$A58&amp;"")</f>
        <v>EX-C04</v>
      </c>
      <c r="E441" s="20" t="str">
        <f>IF(B441="","",Milestones!$B58&amp;"")</f>
        <v>2</v>
      </c>
      <c r="F441" s="20" t="str">
        <f t="shared" si="81"/>
        <v>EX-C04|2</v>
      </c>
      <c r="G441" s="20" t="str">
        <f>IF(B441="","",Milestones!$E58&amp;"")</f>
        <v/>
      </c>
      <c r="H441" s="20" t="str">
        <f>IF(B441="","",Milestones!$M58&amp;"")</f>
        <v>DATE</v>
      </c>
      <c r="I441" s="20" t="str">
        <f>IF(B441="","",Milestones!$P58&amp;"")</f>
        <v/>
      </c>
      <c r="J441" s="20" t="str">
        <f>IF(B441="","",Milestones!$V58&amp;"")</f>
        <v/>
      </c>
      <c r="K441" s="20">
        <f>IF(B441="",0,Milestones!$W58)</f>
        <v>0</v>
      </c>
      <c r="L441" s="20">
        <f>IF(B441="",0,Milestones!$X58)</f>
        <v>0</v>
      </c>
      <c r="M441" s="20" t="str">
        <f>IF(B441="","",Milestones!$AA58)</f>
        <v/>
      </c>
      <c r="N441" s="20" t="str">
        <f>IF(B441="","",Milestones!$AB58)</f>
        <v/>
      </c>
      <c r="O441" s="27">
        <f>IF(B441="","",Milestones!$Y58)</f>
        <v>46211</v>
      </c>
      <c r="P441" s="27">
        <f>IF(B441="","",Milestones!$Z58)</f>
        <v>46211</v>
      </c>
      <c r="Q441" s="20" t="str">
        <f t="shared" si="82"/>
        <v>2026-07-08</v>
      </c>
      <c r="R441" s="20" t="str">
        <f>IF(A441="","",IF(J441&lt;&gt;"",J441,IF(H441="TIMESTAMP",DAY(INT(M441/1440))&amp;" "&amp;INDEX(nLIST_Months,MONTH(INT(M441/1440)))&amp;" "&amp;YEAR(INT(M441/1440))&amp;" "&amp;RIGHT("0"&amp;INT(MOD(M441,1440)/60),2)&amp;":"&amp;RIGHT("0"&amp;MOD(M441,60),2)&amp;IF(L441=1," (UTC"&amp;I441&amp;")"," (offset unknown)"),IF(H441="DATE",DAY(O441)&amp;" "&amp;INDEX(nLIST_Months,MONTH(O441))&amp;" "&amp;YEAR(O441),IF(H441="MONTH",INDEX(nLIST_Months,MONTH(O441))&amp;" "&amp;YEAR(O441)&amp;" ("&amp;DAY(O441)&amp;" "&amp;INDEX(nLIST_Months,MONTH(O441))&amp;" "&amp;YEAR(O441)&amp;" to "&amp;DAY(P441)&amp;" "&amp;INDEX(nLIST_Months,MONTH(P441))&amp;" "&amp;YEAR(P441)&amp;")",IF(H441="YEAR",YEAR(O441)&amp;" (1 January to 31 December)",DAY(O441)&amp;" "&amp;INDEX(nLIST_Months,MONTH(O441))&amp;" "&amp;YEAR(O441)&amp;" to "&amp;DAY(P441)&amp;" "&amp;INDEX(nLIST_Months,MONTH(P441))&amp;" "&amp;YEAR(P441)&amp;IF(H441="LAB"," (laboratory-defined)","")))))))</f>
        <v>8 July 2026</v>
      </c>
      <c r="S441" s="20" t="str">
        <f>IF(B441="","",Milestones!$L58&amp;"")</f>
        <v>Nausea resolved, ventricular rate 64</v>
      </c>
      <c r="T441" s="20" t="str">
        <f>IF(B441="","",Milestones!$U58&amp;"")</f>
        <v>Ward note, 8 July 2026</v>
      </c>
      <c r="U441" s="20" t="str">
        <f>IF(B441="","","Milestones row "&amp;ROW(Milestones!$A58)&amp;", Milestone")</f>
        <v>Milestones row 58, Milestone</v>
      </c>
      <c r="V441" s="20">
        <f>IF(A441="",0,COUNTIF(nTP_Key,A441))</f>
        <v>1</v>
      </c>
      <c r="W441" s="20">
        <f t="shared" si="83"/>
        <v>0</v>
      </c>
      <c r="X441" s="20">
        <f t="shared" si="84"/>
        <v>0</v>
      </c>
      <c r="Y441" s="20">
        <f t="shared" si="85"/>
        <v>46211</v>
      </c>
      <c r="Z441" s="20">
        <f t="shared" si="86"/>
        <v>46211</v>
      </c>
      <c r="AA441" s="20">
        <f t="shared" si="87"/>
        <v>437</v>
      </c>
      <c r="AB441" s="20" t="str">
        <f>""</f>
        <v/>
      </c>
      <c r="AC441" s="20" t="str">
        <f>""</f>
        <v/>
      </c>
      <c r="AD441" s="20" t="str">
        <f>IF(B441="","",Milestones!$F58&amp;"")</f>
        <v>Nausea resolved, ventricular rate 64; creatinine 1.9</v>
      </c>
      <c r="AE441" s="20">
        <f t="shared" si="88"/>
        <v>0</v>
      </c>
      <c r="AF441" s="20" t="str">
        <f t="shared" si="89"/>
        <v/>
      </c>
      <c r="AG441" s="20">
        <f t="shared" si="90"/>
        <v>1</v>
      </c>
      <c r="AH441" s="20" t="str">
        <f>""</f>
        <v/>
      </c>
    </row>
    <row r="442" spans="1:34" x14ac:dyDescent="0.2">
      <c r="A442" s="20" t="str">
        <f t="shared" si="80"/>
        <v>EX-C28|2|M-HBV0</v>
      </c>
      <c r="B442" s="20" t="str">
        <f>IF(AND(Milestones!$C59&lt;&gt;"",COUNTA(Milestones!$M59:$T59)&gt;0),Milestones!$C59&amp;"","")</f>
        <v>M-HBV0</v>
      </c>
      <c r="C442" s="20" t="str">
        <f>IF(B442="","","MILESTONE:"&amp;Milestones!$D59)</f>
        <v>MILESTONE:BASELINE</v>
      </c>
      <c r="D442" s="20" t="str">
        <f>IF(B442="","",Milestones!$A59&amp;"")</f>
        <v>EX-C28</v>
      </c>
      <c r="E442" s="20" t="str">
        <f>IF(B442="","",Milestones!$B59&amp;"")</f>
        <v>2</v>
      </c>
      <c r="F442" s="20" t="str">
        <f t="shared" si="81"/>
        <v>EX-C28|2</v>
      </c>
      <c r="G442" s="20" t="str">
        <f>IF(B442="","",Milestones!$E59&amp;"")</f>
        <v/>
      </c>
      <c r="H442" s="20" t="str">
        <f>IF(B442="","",Milestones!$M59&amp;"")</f>
        <v>DATE</v>
      </c>
      <c r="I442" s="20" t="str">
        <f>IF(B442="","",Milestones!$P59&amp;"")</f>
        <v/>
      </c>
      <c r="J442" s="20" t="str">
        <f>IF(B442="","",Milestones!$V59&amp;"")</f>
        <v/>
      </c>
      <c r="K442" s="20">
        <f>IF(B442="",0,Milestones!$W59)</f>
        <v>0</v>
      </c>
      <c r="L442" s="20">
        <f>IF(B442="",0,Milestones!$X59)</f>
        <v>0</v>
      </c>
      <c r="M442" s="20" t="str">
        <f>IF(B442="","",Milestones!$AA59)</f>
        <v/>
      </c>
      <c r="N442" s="20" t="str">
        <f>IF(B442="","",Milestones!$AB59)</f>
        <v/>
      </c>
      <c r="O442" s="27">
        <f>IF(B442="","",Milestones!$Y59)</f>
        <v>45607</v>
      </c>
      <c r="P442" s="27">
        <f>IF(B442="","",Milestones!$Z59)</f>
        <v>45607</v>
      </c>
      <c r="Q442" s="20" t="str">
        <f t="shared" si="82"/>
        <v>2024-11-11</v>
      </c>
      <c r="R442" s="20" t="str">
        <f>IF(A442="","",IF(J442&lt;&gt;"",J442,IF(H442="TIMESTAMP",DAY(INT(M442/1440))&amp;" "&amp;INDEX(nLIST_Months,MONTH(INT(M442/1440)))&amp;" "&amp;YEAR(INT(M442/1440))&amp;" "&amp;RIGHT("0"&amp;INT(MOD(M442,1440)/60),2)&amp;":"&amp;RIGHT("0"&amp;MOD(M442,60),2)&amp;IF(L442=1," (UTC"&amp;I442&amp;")"," (offset unknown)"),IF(H442="DATE",DAY(O442)&amp;" "&amp;INDEX(nLIST_Months,MONTH(O442))&amp;" "&amp;YEAR(O442),IF(H442="MONTH",INDEX(nLIST_Months,MONTH(O442))&amp;" "&amp;YEAR(O442)&amp;" ("&amp;DAY(O442)&amp;" "&amp;INDEX(nLIST_Months,MONTH(O442))&amp;" "&amp;YEAR(O442)&amp;" to "&amp;DAY(P442)&amp;" "&amp;INDEX(nLIST_Months,MONTH(P442))&amp;" "&amp;YEAR(P442)&amp;")",IF(H442="YEAR",YEAR(O442)&amp;" (1 January to 31 December)",DAY(O442)&amp;" "&amp;INDEX(nLIST_Months,MONTH(O442))&amp;" "&amp;YEAR(O442)&amp;" to "&amp;DAY(P442)&amp;" "&amp;INDEX(nLIST_Months,MONTH(P442))&amp;" "&amp;YEAR(P442)&amp;IF(H442="LAB"," (laboratory-defined)","")))))))</f>
        <v>11 November 2024</v>
      </c>
      <c r="S442" s="20" t="str">
        <f>IF(B442="","",Milestones!$L59&amp;"")</f>
        <v>Baseline 11/11/2024</v>
      </c>
      <c r="T442" s="20" t="str">
        <f>IF(B442="","",Milestones!$U59&amp;"")</f>
        <v>Hematology summary</v>
      </c>
      <c r="U442" s="20" t="str">
        <f>IF(B442="","","Milestones row "&amp;ROW(Milestones!$A59)&amp;", Milestone")</f>
        <v>Milestones row 59, Milestone</v>
      </c>
      <c r="V442" s="20">
        <f>IF(A442="",0,COUNTIF(nTP_Key,A442))</f>
        <v>1</v>
      </c>
      <c r="W442" s="20">
        <f t="shared" si="83"/>
        <v>0</v>
      </c>
      <c r="X442" s="20">
        <f t="shared" si="84"/>
        <v>0</v>
      </c>
      <c r="Y442" s="20">
        <f t="shared" si="85"/>
        <v>45607</v>
      </c>
      <c r="Z442" s="20">
        <f t="shared" si="86"/>
        <v>45607</v>
      </c>
      <c r="AA442" s="20">
        <f t="shared" si="87"/>
        <v>438</v>
      </c>
      <c r="AB442" s="20" t="str">
        <f>""</f>
        <v/>
      </c>
      <c r="AC442" s="20" t="str">
        <f>""</f>
        <v/>
      </c>
      <c r="AD442" s="20" t="str">
        <f>IF(B442="","",Milestones!$F59&amp;"")</f>
        <v>HBsAg negative, anti-HBc positive, HBV DNA not detected</v>
      </c>
      <c r="AE442" s="20">
        <f t="shared" si="88"/>
        <v>0</v>
      </c>
      <c r="AF442" s="20" t="str">
        <f t="shared" si="89"/>
        <v/>
      </c>
      <c r="AG442" s="20">
        <f t="shared" si="90"/>
        <v>1</v>
      </c>
      <c r="AH442" s="20" t="str">
        <f>""</f>
        <v/>
      </c>
    </row>
    <row r="443" spans="1:34" x14ac:dyDescent="0.2">
      <c r="A443" s="20" t="str">
        <f t="shared" si="80"/>
        <v>EX-C28|2|M-HBV1</v>
      </c>
      <c r="B443" s="20" t="str">
        <f>IF(AND(Milestones!$C60&lt;&gt;"",COUNTA(Milestones!$M60:$T60)&gt;0),Milestones!$C60&amp;"","")</f>
        <v>M-HBV1</v>
      </c>
      <c r="C443" s="20" t="str">
        <f>IF(B443="","","MILESTONE:"&amp;Milestones!$D60)</f>
        <v>MILESTONE:TEST</v>
      </c>
      <c r="D443" s="20" t="str">
        <f>IF(B443="","",Milestones!$A60&amp;"")</f>
        <v>EX-C28</v>
      </c>
      <c r="E443" s="20" t="str">
        <f>IF(B443="","",Milestones!$B60&amp;"")</f>
        <v>2</v>
      </c>
      <c r="F443" s="20" t="str">
        <f t="shared" si="81"/>
        <v>EX-C28|2</v>
      </c>
      <c r="G443" s="20" t="str">
        <f>IF(B443="","",Milestones!$E60&amp;"")</f>
        <v/>
      </c>
      <c r="H443" s="20" t="str">
        <f>IF(B443="","",Milestones!$M60&amp;"")</f>
        <v>DATE</v>
      </c>
      <c r="I443" s="20" t="str">
        <f>IF(B443="","",Milestones!$P60&amp;"")</f>
        <v/>
      </c>
      <c r="J443" s="20" t="str">
        <f>IF(B443="","",Milestones!$V60&amp;"")</f>
        <v/>
      </c>
      <c r="K443" s="20">
        <f>IF(B443="",0,Milestones!$W60)</f>
        <v>0</v>
      </c>
      <c r="L443" s="20">
        <f>IF(B443="",0,Milestones!$X60)</f>
        <v>0</v>
      </c>
      <c r="M443" s="20" t="str">
        <f>IF(B443="","",Milestones!$AA60)</f>
        <v/>
      </c>
      <c r="N443" s="20" t="str">
        <f>IF(B443="","",Milestones!$AB60)</f>
        <v/>
      </c>
      <c r="O443" s="27">
        <f>IF(B443="","",Milestones!$Y60)</f>
        <v>45901</v>
      </c>
      <c r="P443" s="27">
        <f>IF(B443="","",Milestones!$Z60)</f>
        <v>45901</v>
      </c>
      <c r="Q443" s="20" t="str">
        <f t="shared" si="82"/>
        <v>2025-09-01</v>
      </c>
      <c r="R443" s="20" t="str">
        <f>IF(A443="","",IF(J443&lt;&gt;"",J443,IF(H443="TIMESTAMP",DAY(INT(M443/1440))&amp;" "&amp;INDEX(nLIST_Months,MONTH(INT(M443/1440)))&amp;" "&amp;YEAR(INT(M443/1440))&amp;" "&amp;RIGHT("0"&amp;INT(MOD(M443,1440)/60),2)&amp;":"&amp;RIGHT("0"&amp;MOD(M443,60),2)&amp;IF(L443=1," (UTC"&amp;I443&amp;")"," (offset unknown)"),IF(H443="DATE",DAY(O443)&amp;" "&amp;INDEX(nLIST_Months,MONTH(O443))&amp;" "&amp;YEAR(O443),IF(H443="MONTH",INDEX(nLIST_Months,MONTH(O443))&amp;" "&amp;YEAR(O443)&amp;" ("&amp;DAY(O443)&amp;" "&amp;INDEX(nLIST_Months,MONTH(O443))&amp;" "&amp;YEAR(O443)&amp;" to "&amp;DAY(P443)&amp;" "&amp;INDEX(nLIST_Months,MONTH(P443))&amp;" "&amp;YEAR(P443)&amp;")",IF(H443="YEAR",YEAR(O443)&amp;" (1 January to 31 December)",DAY(O443)&amp;" "&amp;INDEX(nLIST_Months,MONTH(O443))&amp;" "&amp;YEAR(O443)&amp;" to "&amp;DAY(P443)&amp;" "&amp;INDEX(nLIST_Months,MONTH(P443))&amp;" "&amp;YEAR(P443)&amp;IF(H443="LAB"," (laboratory-defined)","")))))))</f>
        <v>1 September 2025</v>
      </c>
      <c r="S443" s="20" t="str">
        <f>IF(B443="","",Milestones!$L60&amp;"")</f>
        <v>not detected 01/09/2025</v>
      </c>
      <c r="T443" s="20" t="str">
        <f>IF(B443="","",Milestones!$U60&amp;"")</f>
        <v>Hematology summary</v>
      </c>
      <c r="U443" s="20" t="str">
        <f>IF(B443="","","Milestones row "&amp;ROW(Milestones!$A60)&amp;", Milestone")</f>
        <v>Milestones row 60, Milestone</v>
      </c>
      <c r="V443" s="20">
        <f>IF(A443="",0,COUNTIF(nTP_Key,A443))</f>
        <v>1</v>
      </c>
      <c r="W443" s="20">
        <f t="shared" si="83"/>
        <v>0</v>
      </c>
      <c r="X443" s="20">
        <f t="shared" si="84"/>
        <v>0</v>
      </c>
      <c r="Y443" s="20">
        <f t="shared" si="85"/>
        <v>45901</v>
      </c>
      <c r="Z443" s="20">
        <f t="shared" si="86"/>
        <v>45901</v>
      </c>
      <c r="AA443" s="20">
        <f t="shared" si="87"/>
        <v>439</v>
      </c>
      <c r="AB443" s="20" t="str">
        <f>""</f>
        <v/>
      </c>
      <c r="AC443" s="20" t="str">
        <f>""</f>
        <v/>
      </c>
      <c r="AD443" s="20" t="str">
        <f>IF(B443="","",Milestones!$F60&amp;"")</f>
        <v>HBV DNA not detected</v>
      </c>
      <c r="AE443" s="20">
        <f t="shared" si="88"/>
        <v>0</v>
      </c>
      <c r="AF443" s="20" t="str">
        <f t="shared" si="89"/>
        <v/>
      </c>
      <c r="AG443" s="20">
        <f t="shared" si="90"/>
        <v>1</v>
      </c>
      <c r="AH443" s="20" t="str">
        <f>""</f>
        <v/>
      </c>
    </row>
    <row r="444" spans="1:34" x14ac:dyDescent="0.2">
      <c r="A444" s="20" t="str">
        <f t="shared" si="80"/>
        <v>EX-C28|2|M-HBV2</v>
      </c>
      <c r="B444" s="20" t="str">
        <f>IF(AND(Milestones!$C61&lt;&gt;"",COUNTA(Milestones!$M61:$T61)&gt;0),Milestones!$C61&amp;"","")</f>
        <v>M-HBV2</v>
      </c>
      <c r="C444" s="20" t="str">
        <f>IF(B444="","","MILESTONE:"&amp;Milestones!$D61)</f>
        <v>MILESTONE:TEST</v>
      </c>
      <c r="D444" s="20" t="str">
        <f>IF(B444="","",Milestones!$A61&amp;"")</f>
        <v>EX-C28</v>
      </c>
      <c r="E444" s="20" t="str">
        <f>IF(B444="","",Milestones!$B61&amp;"")</f>
        <v>2</v>
      </c>
      <c r="F444" s="20" t="str">
        <f t="shared" si="81"/>
        <v>EX-C28|2</v>
      </c>
      <c r="G444" s="20" t="str">
        <f>IF(B444="","",Milestones!$E61&amp;"")</f>
        <v/>
      </c>
      <c r="H444" s="20" t="str">
        <f>IF(B444="","",Milestones!$M61&amp;"")</f>
        <v>DATE</v>
      </c>
      <c r="I444" s="20" t="str">
        <f>IF(B444="","",Milestones!$P61&amp;"")</f>
        <v/>
      </c>
      <c r="J444" s="20" t="str">
        <f>IF(B444="","",Milestones!$V61&amp;"")</f>
        <v/>
      </c>
      <c r="K444" s="20">
        <f>IF(B444="",0,Milestones!$W61)</f>
        <v>0</v>
      </c>
      <c r="L444" s="20">
        <f>IF(B444="",0,Milestones!$X61)</f>
        <v>0</v>
      </c>
      <c r="M444" s="20" t="str">
        <f>IF(B444="","",Milestones!$AA61)</f>
        <v/>
      </c>
      <c r="N444" s="20" t="str">
        <f>IF(B444="","",Milestones!$AB61)</f>
        <v/>
      </c>
      <c r="O444" s="27">
        <f>IF(B444="","",Milestones!$Y61)</f>
        <v>45992</v>
      </c>
      <c r="P444" s="27">
        <f>IF(B444="","",Milestones!$Z61)</f>
        <v>45992</v>
      </c>
      <c r="Q444" s="20" t="str">
        <f t="shared" si="82"/>
        <v>2025-12-01</v>
      </c>
      <c r="R444" s="20" t="str">
        <f>IF(A444="","",IF(J444&lt;&gt;"",J444,IF(H444="TIMESTAMP",DAY(INT(M444/1440))&amp;" "&amp;INDEX(nLIST_Months,MONTH(INT(M444/1440)))&amp;" "&amp;YEAR(INT(M444/1440))&amp;" "&amp;RIGHT("0"&amp;INT(MOD(M444,1440)/60),2)&amp;":"&amp;RIGHT("0"&amp;MOD(M444,60),2)&amp;IF(L444=1," (UTC"&amp;I444&amp;")"," (offset unknown)"),IF(H444="DATE",DAY(O444)&amp;" "&amp;INDEX(nLIST_Months,MONTH(O444))&amp;" "&amp;YEAR(O444),IF(H444="MONTH",INDEX(nLIST_Months,MONTH(O444))&amp;" "&amp;YEAR(O444)&amp;" ("&amp;DAY(O444)&amp;" "&amp;INDEX(nLIST_Months,MONTH(O444))&amp;" "&amp;YEAR(O444)&amp;" to "&amp;DAY(P444)&amp;" "&amp;INDEX(nLIST_Months,MONTH(P444))&amp;" "&amp;YEAR(P444)&amp;")",IF(H444="YEAR",YEAR(O444)&amp;" (1 January to 31 December)",DAY(O444)&amp;" "&amp;INDEX(nLIST_Months,MONTH(O444))&amp;" "&amp;YEAR(O444)&amp;" to "&amp;DAY(P444)&amp;" "&amp;INDEX(nLIST_Months,MONTH(P444))&amp;" "&amp;YEAR(P444)&amp;IF(H444="LAB"," (laboratory-defined)","")))))))</f>
        <v>1 December 2025</v>
      </c>
      <c r="S444" s="20" t="str">
        <f>IF(B444="","",Milestones!$L61&amp;"")</f>
        <v>not detected 01/12/2025</v>
      </c>
      <c r="T444" s="20" t="str">
        <f>IF(B444="","",Milestones!$U61&amp;"")</f>
        <v>Hematology summary</v>
      </c>
      <c r="U444" s="20" t="str">
        <f>IF(B444="","","Milestones row "&amp;ROW(Milestones!$A61)&amp;", Milestone")</f>
        <v>Milestones row 61, Milestone</v>
      </c>
      <c r="V444" s="20">
        <f>IF(A444="",0,COUNTIF(nTP_Key,A444))</f>
        <v>1</v>
      </c>
      <c r="W444" s="20">
        <f t="shared" si="83"/>
        <v>0</v>
      </c>
      <c r="X444" s="20">
        <f t="shared" si="84"/>
        <v>0</v>
      </c>
      <c r="Y444" s="20">
        <f t="shared" si="85"/>
        <v>45992</v>
      </c>
      <c r="Z444" s="20">
        <f t="shared" si="86"/>
        <v>45992</v>
      </c>
      <c r="AA444" s="20">
        <f t="shared" si="87"/>
        <v>440</v>
      </c>
      <c r="AB444" s="20" t="str">
        <f>""</f>
        <v/>
      </c>
      <c r="AC444" s="20" t="str">
        <f>""</f>
        <v/>
      </c>
      <c r="AD444" s="20" t="str">
        <f>IF(B444="","",Milestones!$F61&amp;"")</f>
        <v>HBV DNA not detected</v>
      </c>
      <c r="AE444" s="20">
        <f t="shared" si="88"/>
        <v>0</v>
      </c>
      <c r="AF444" s="20" t="str">
        <f t="shared" si="89"/>
        <v/>
      </c>
      <c r="AG444" s="20">
        <f t="shared" si="90"/>
        <v>1</v>
      </c>
      <c r="AH444" s="20" t="str">
        <f>""</f>
        <v/>
      </c>
    </row>
    <row r="445" spans="1:34" x14ac:dyDescent="0.2">
      <c r="A445" s="20" t="str">
        <f t="shared" si="80"/>
        <v>EX-C28|2|M-HBV3</v>
      </c>
      <c r="B445" s="20" t="str">
        <f>IF(AND(Milestones!$C62&lt;&gt;"",COUNTA(Milestones!$M62:$T62)&gt;0),Milestones!$C62&amp;"","")</f>
        <v>M-HBV3</v>
      </c>
      <c r="C445" s="20" t="str">
        <f>IF(B445="","","MILESTONE:"&amp;Milestones!$D62)</f>
        <v>MILESTONE:TEST</v>
      </c>
      <c r="D445" s="20" t="str">
        <f>IF(B445="","",Milestones!$A62&amp;"")</f>
        <v>EX-C28</v>
      </c>
      <c r="E445" s="20" t="str">
        <f>IF(B445="","",Milestones!$B62&amp;"")</f>
        <v>2</v>
      </c>
      <c r="F445" s="20" t="str">
        <f t="shared" si="81"/>
        <v>EX-C28|2</v>
      </c>
      <c r="G445" s="20" t="str">
        <f>IF(B445="","",Milestones!$E62&amp;"")</f>
        <v/>
      </c>
      <c r="H445" s="20" t="str">
        <f>IF(B445="","",Milestones!$M62&amp;"")</f>
        <v>DATE</v>
      </c>
      <c r="I445" s="20" t="str">
        <f>IF(B445="","",Milestones!$P62&amp;"")</f>
        <v/>
      </c>
      <c r="J445" s="20" t="str">
        <f>IF(B445="","",Milestones!$V62&amp;"")</f>
        <v/>
      </c>
      <c r="K445" s="20">
        <f>IF(B445="",0,Milestones!$W62)</f>
        <v>0</v>
      </c>
      <c r="L445" s="20">
        <f>IF(B445="",0,Milestones!$X62)</f>
        <v>0</v>
      </c>
      <c r="M445" s="20" t="str">
        <f>IF(B445="","",Milestones!$AA62)</f>
        <v/>
      </c>
      <c r="N445" s="20" t="str">
        <f>IF(B445="","",Milestones!$AB62)</f>
        <v/>
      </c>
      <c r="O445" s="27">
        <f>IF(B445="","",Milestones!$Y62)</f>
        <v>46062</v>
      </c>
      <c r="P445" s="27">
        <f>IF(B445="","",Milestones!$Z62)</f>
        <v>46062</v>
      </c>
      <c r="Q445" s="20" t="str">
        <f t="shared" si="82"/>
        <v>2026-02-09</v>
      </c>
      <c r="R445" s="20" t="str">
        <f>IF(A445="","",IF(J445&lt;&gt;"",J445,IF(H445="TIMESTAMP",DAY(INT(M445/1440))&amp;" "&amp;INDEX(nLIST_Months,MONTH(INT(M445/1440)))&amp;" "&amp;YEAR(INT(M445/1440))&amp;" "&amp;RIGHT("0"&amp;INT(MOD(M445,1440)/60),2)&amp;":"&amp;RIGHT("0"&amp;MOD(M445,60),2)&amp;IF(L445=1," (UTC"&amp;I445&amp;")"," (offset unknown)"),IF(H445="DATE",DAY(O445)&amp;" "&amp;INDEX(nLIST_Months,MONTH(O445))&amp;" "&amp;YEAR(O445),IF(H445="MONTH",INDEX(nLIST_Months,MONTH(O445))&amp;" "&amp;YEAR(O445)&amp;" ("&amp;DAY(O445)&amp;" "&amp;INDEX(nLIST_Months,MONTH(O445))&amp;" "&amp;YEAR(O445)&amp;" to "&amp;DAY(P445)&amp;" "&amp;INDEX(nLIST_Months,MONTH(P445))&amp;" "&amp;YEAR(P445)&amp;")",IF(H445="YEAR",YEAR(O445)&amp;" (1 January to 31 December)",DAY(O445)&amp;" "&amp;INDEX(nLIST_Months,MONTH(O445))&amp;" "&amp;YEAR(O445)&amp;" to "&amp;DAY(P445)&amp;" "&amp;INDEX(nLIST_Months,MONTH(P445))&amp;" "&amp;YEAR(P445)&amp;IF(H445="LAB"," (laboratory-defined)","")))))))</f>
        <v>9 February 2026</v>
      </c>
      <c r="S445" s="20" t="str">
        <f>IF(B445="","",Milestones!$L62&amp;"")</f>
        <v>not detected 09/02/2026</v>
      </c>
      <c r="T445" s="20" t="str">
        <f>IF(B445="","",Milestones!$U62&amp;"")</f>
        <v>Hematology summary</v>
      </c>
      <c r="U445" s="20" t="str">
        <f>IF(B445="","","Milestones row "&amp;ROW(Milestones!$A62)&amp;", Milestone")</f>
        <v>Milestones row 62, Milestone</v>
      </c>
      <c r="V445" s="20">
        <f>IF(A445="",0,COUNTIF(nTP_Key,A445))</f>
        <v>1</v>
      </c>
      <c r="W445" s="20">
        <f t="shared" si="83"/>
        <v>0</v>
      </c>
      <c r="X445" s="20">
        <f t="shared" si="84"/>
        <v>0</v>
      </c>
      <c r="Y445" s="20">
        <f t="shared" si="85"/>
        <v>46062</v>
      </c>
      <c r="Z445" s="20">
        <f t="shared" si="86"/>
        <v>46062</v>
      </c>
      <c r="AA445" s="20">
        <f t="shared" si="87"/>
        <v>441</v>
      </c>
      <c r="AB445" s="20" t="str">
        <f>""</f>
        <v/>
      </c>
      <c r="AC445" s="20" t="str">
        <f>""</f>
        <v/>
      </c>
      <c r="AD445" s="20" t="str">
        <f>IF(B445="","",Milestones!$F62&amp;"")</f>
        <v>HBV DNA not detected (last undetectable)</v>
      </c>
      <c r="AE445" s="20">
        <f t="shared" si="88"/>
        <v>0</v>
      </c>
      <c r="AF445" s="20" t="str">
        <f t="shared" si="89"/>
        <v/>
      </c>
      <c r="AG445" s="20">
        <f t="shared" si="90"/>
        <v>1</v>
      </c>
      <c r="AH445" s="20" t="str">
        <f>""</f>
        <v/>
      </c>
    </row>
    <row r="446" spans="1:34" x14ac:dyDescent="0.2">
      <c r="A446" s="20" t="str">
        <f t="shared" si="80"/>
        <v>EX-C28|2|M-HBV4</v>
      </c>
      <c r="B446" s="20" t="str">
        <f>IF(AND(Milestones!$C63&lt;&gt;"",COUNTA(Milestones!$M63:$T63)&gt;0),Milestones!$C63&amp;"","")</f>
        <v>M-HBV4</v>
      </c>
      <c r="C446" s="20" t="str">
        <f>IF(B446="","","MILESTONE:"&amp;Milestones!$D63)</f>
        <v>MILESTONE:TEST</v>
      </c>
      <c r="D446" s="20" t="str">
        <f>IF(B446="","",Milestones!$A63&amp;"")</f>
        <v>EX-C28</v>
      </c>
      <c r="E446" s="20" t="str">
        <f>IF(B446="","",Milestones!$B63&amp;"")</f>
        <v>2</v>
      </c>
      <c r="F446" s="20" t="str">
        <f t="shared" si="81"/>
        <v>EX-C28|2</v>
      </c>
      <c r="G446" s="20" t="str">
        <f>IF(B446="","",Milestones!$E63&amp;"")</f>
        <v/>
      </c>
      <c r="H446" s="20" t="str">
        <f>IF(B446="","",Milestones!$M63&amp;"")</f>
        <v>DATE</v>
      </c>
      <c r="I446" s="20" t="str">
        <f>IF(B446="","",Milestones!$P63&amp;"")</f>
        <v/>
      </c>
      <c r="J446" s="20" t="str">
        <f>IF(B446="","",Milestones!$V63&amp;"")</f>
        <v/>
      </c>
      <c r="K446" s="20">
        <f>IF(B446="",0,Milestones!$W63)</f>
        <v>0</v>
      </c>
      <c r="L446" s="20">
        <f>IF(B446="",0,Milestones!$X63)</f>
        <v>0</v>
      </c>
      <c r="M446" s="20" t="str">
        <f>IF(B446="","",Milestones!$AA63)</f>
        <v/>
      </c>
      <c r="N446" s="20" t="str">
        <f>IF(B446="","",Milestones!$AB63)</f>
        <v/>
      </c>
      <c r="O446" s="27">
        <f>IF(B446="","",Milestones!$Y63)</f>
        <v>46154</v>
      </c>
      <c r="P446" s="27">
        <f>IF(B446="","",Milestones!$Z63)</f>
        <v>46154</v>
      </c>
      <c r="Q446" s="20" t="str">
        <f t="shared" si="82"/>
        <v>2026-05-12</v>
      </c>
      <c r="R446" s="20" t="str">
        <f>IF(A446="","",IF(J446&lt;&gt;"",J446,IF(H446="TIMESTAMP",DAY(INT(M446/1440))&amp;" "&amp;INDEX(nLIST_Months,MONTH(INT(M446/1440)))&amp;" "&amp;YEAR(INT(M446/1440))&amp;" "&amp;RIGHT("0"&amp;INT(MOD(M446,1440)/60),2)&amp;":"&amp;RIGHT("0"&amp;MOD(M446,60),2)&amp;IF(L446=1," (UTC"&amp;I446&amp;")"," (offset unknown)"),IF(H446="DATE",DAY(O446)&amp;" "&amp;INDEX(nLIST_Months,MONTH(O446))&amp;" "&amp;YEAR(O446),IF(H446="MONTH",INDEX(nLIST_Months,MONTH(O446))&amp;" "&amp;YEAR(O446)&amp;" ("&amp;DAY(O446)&amp;" "&amp;INDEX(nLIST_Months,MONTH(O446))&amp;" "&amp;YEAR(O446)&amp;" to "&amp;DAY(P446)&amp;" "&amp;INDEX(nLIST_Months,MONTH(P446))&amp;" "&amp;YEAR(P446)&amp;")",IF(H446="YEAR",YEAR(O446)&amp;" (1 January to 31 December)",DAY(O446)&amp;" "&amp;INDEX(nLIST_Months,MONTH(O446))&amp;" "&amp;YEAR(O446)&amp;" to "&amp;DAY(P446)&amp;" "&amp;INDEX(nLIST_Months,MONTH(P446))&amp;" "&amp;YEAR(P446)&amp;IF(H446="LAB"," (laboratory-defined)","")))))))</f>
        <v>12 May 2026</v>
      </c>
      <c r="S446" s="20" t="str">
        <f>IF(B446="","",Milestones!$L63&amp;"")</f>
        <v>12/05/2026 HBV DNA 1,850 IU/mL</v>
      </c>
      <c r="T446" s="20" t="str">
        <f>IF(B446="","",Milestones!$U63&amp;"")</f>
        <v>Hepatology letter</v>
      </c>
      <c r="U446" s="20" t="str">
        <f>IF(B446="","","Milestones row "&amp;ROW(Milestones!$A63)&amp;", Milestone")</f>
        <v>Milestones row 63, Milestone</v>
      </c>
      <c r="V446" s="20">
        <f>IF(A446="",0,COUNTIF(nTP_Key,A446))</f>
        <v>1</v>
      </c>
      <c r="W446" s="20">
        <f t="shared" si="83"/>
        <v>0</v>
      </c>
      <c r="X446" s="20">
        <f t="shared" si="84"/>
        <v>0</v>
      </c>
      <c r="Y446" s="20">
        <f t="shared" si="85"/>
        <v>46154</v>
      </c>
      <c r="Z446" s="20">
        <f t="shared" si="86"/>
        <v>46154</v>
      </c>
      <c r="AA446" s="20">
        <f t="shared" si="87"/>
        <v>442</v>
      </c>
      <c r="AB446" s="20" t="str">
        <f>""</f>
        <v/>
      </c>
      <c r="AC446" s="20" t="str">
        <f>""</f>
        <v/>
      </c>
      <c r="AD446" s="20" t="str">
        <f>IF(B446="","",Milestones!$F63&amp;"")</f>
        <v>HBV DNA 1,850 IU/mL (first positive), ALT 28 U/L</v>
      </c>
      <c r="AE446" s="20">
        <f t="shared" si="88"/>
        <v>0</v>
      </c>
      <c r="AF446" s="20" t="str">
        <f t="shared" si="89"/>
        <v/>
      </c>
      <c r="AG446" s="20">
        <f t="shared" si="90"/>
        <v>1</v>
      </c>
      <c r="AH446" s="20" t="str">
        <f>""</f>
        <v/>
      </c>
    </row>
    <row r="447" spans="1:34" x14ac:dyDescent="0.2">
      <c r="A447" s="20" t="str">
        <f t="shared" si="80"/>
        <v>EX-C28|2|M-BCELL</v>
      </c>
      <c r="B447" s="20" t="str">
        <f>IF(AND(Milestones!$C64&lt;&gt;"",COUNTA(Milestones!$M64:$T64)&gt;0),Milestones!$C64&amp;"","")</f>
        <v>M-BCELL</v>
      </c>
      <c r="C447" s="20" t="str">
        <f>IF(B447="","","MILESTONE:"&amp;Milestones!$D64)</f>
        <v>MILESTONE:TEST</v>
      </c>
      <c r="D447" s="20" t="str">
        <f>IF(B447="","",Milestones!$A64&amp;"")</f>
        <v>EX-C28</v>
      </c>
      <c r="E447" s="20" t="str">
        <f>IF(B447="","",Milestones!$B64&amp;"")</f>
        <v>2</v>
      </c>
      <c r="F447" s="20" t="str">
        <f t="shared" si="81"/>
        <v>EX-C28|2</v>
      </c>
      <c r="G447" s="20" t="str">
        <f>IF(B447="","",Milestones!$E64&amp;"")</f>
        <v/>
      </c>
      <c r="H447" s="20" t="str">
        <f>IF(B447="","",Milestones!$M64&amp;"")</f>
        <v>DATE</v>
      </c>
      <c r="I447" s="20" t="str">
        <f>IF(B447="","",Milestones!$P64&amp;"")</f>
        <v/>
      </c>
      <c r="J447" s="20" t="str">
        <f>IF(B447="","",Milestones!$V64&amp;"")</f>
        <v/>
      </c>
      <c r="K447" s="20">
        <f>IF(B447="",0,Milestones!$W64)</f>
        <v>0</v>
      </c>
      <c r="L447" s="20">
        <f>IF(B447="",0,Milestones!$X64)</f>
        <v>0</v>
      </c>
      <c r="M447" s="20" t="str">
        <f>IF(B447="","",Milestones!$AA64)</f>
        <v/>
      </c>
      <c r="N447" s="20" t="str">
        <f>IF(B447="","",Milestones!$AB64)</f>
        <v/>
      </c>
      <c r="O447" s="27">
        <f>IF(B447="","",Milestones!$Y64)</f>
        <v>46154</v>
      </c>
      <c r="P447" s="27">
        <f>IF(B447="","",Milestones!$Z64)</f>
        <v>46154</v>
      </c>
      <c r="Q447" s="20" t="str">
        <f t="shared" si="82"/>
        <v>2026-05-12</v>
      </c>
      <c r="R447" s="20" t="str">
        <f>IF(A447="","",IF(J447&lt;&gt;"",J447,IF(H447="TIMESTAMP",DAY(INT(M447/1440))&amp;" "&amp;INDEX(nLIST_Months,MONTH(INT(M447/1440)))&amp;" "&amp;YEAR(INT(M447/1440))&amp;" "&amp;RIGHT("0"&amp;INT(MOD(M447,1440)/60),2)&amp;":"&amp;RIGHT("0"&amp;MOD(M447,60),2)&amp;IF(L447=1," (UTC"&amp;I447&amp;")"," (offset unknown)"),IF(H447="DATE",DAY(O447)&amp;" "&amp;INDEX(nLIST_Months,MONTH(O447))&amp;" "&amp;YEAR(O447),IF(H447="MONTH",INDEX(nLIST_Months,MONTH(O447))&amp;" "&amp;YEAR(O447)&amp;" ("&amp;DAY(O447)&amp;" "&amp;INDEX(nLIST_Months,MONTH(O447))&amp;" "&amp;YEAR(O447)&amp;" to "&amp;DAY(P447)&amp;" "&amp;INDEX(nLIST_Months,MONTH(P447))&amp;" "&amp;YEAR(P447)&amp;")",IF(H447="YEAR",YEAR(O447)&amp;" (1 January to 31 December)",DAY(O447)&amp;" "&amp;INDEX(nLIST_Months,MONTH(O447))&amp;" "&amp;YEAR(O447)&amp;" to "&amp;DAY(P447)&amp;" "&amp;INDEX(nLIST_Months,MONTH(P447))&amp;" "&amp;YEAR(P447)&amp;IF(H447="LAB"," (laboratory-defined)","")))))))</f>
        <v>12 May 2026</v>
      </c>
      <c r="S447" s="20" t="str">
        <f>IF(B447="","",Milestones!$L64&amp;"")</f>
        <v>CD19 B cells and IgG below reference range on 12/05/2026</v>
      </c>
      <c r="T447" s="20" t="str">
        <f>IF(B447="","",Milestones!$U64&amp;"")</f>
        <v>Hepatology letter</v>
      </c>
      <c r="U447" s="20" t="str">
        <f>IF(B447="","","Milestones row "&amp;ROW(Milestones!$A64)&amp;", Milestone")</f>
        <v>Milestones row 64, Milestone</v>
      </c>
      <c r="V447" s="20">
        <f>IF(A447="",0,COUNTIF(nTP_Key,A447))</f>
        <v>1</v>
      </c>
      <c r="W447" s="20">
        <f t="shared" si="83"/>
        <v>0</v>
      </c>
      <c r="X447" s="20">
        <f t="shared" si="84"/>
        <v>0</v>
      </c>
      <c r="Y447" s="20">
        <f t="shared" si="85"/>
        <v>46154</v>
      </c>
      <c r="Z447" s="20">
        <f t="shared" si="86"/>
        <v>46154</v>
      </c>
      <c r="AA447" s="20">
        <f t="shared" si="87"/>
        <v>443</v>
      </c>
      <c r="AB447" s="20" t="str">
        <f>""</f>
        <v/>
      </c>
      <c r="AC447" s="20" t="str">
        <f>""</f>
        <v/>
      </c>
      <c r="AD447" s="20" t="str">
        <f>IF(B447="","",Milestones!$F64&amp;"")</f>
        <v>CD19 B cells and IgG below reference range</v>
      </c>
      <c r="AE447" s="20">
        <f t="shared" si="88"/>
        <v>0</v>
      </c>
      <c r="AF447" s="20" t="str">
        <f t="shared" si="89"/>
        <v/>
      </c>
      <c r="AG447" s="20">
        <f t="shared" si="90"/>
        <v>1</v>
      </c>
      <c r="AH447" s="20" t="str">
        <f>""</f>
        <v/>
      </c>
    </row>
    <row r="448" spans="1:34" x14ac:dyDescent="0.2">
      <c r="A448" s="20" t="str">
        <f t="shared" si="80"/>
        <v>EX-C28|2|M-HEP</v>
      </c>
      <c r="B448" s="20" t="str">
        <f>IF(AND(Milestones!$C65&lt;&gt;"",COUNTA(Milestones!$M65:$T65)&gt;0),Milestones!$C65&amp;"","")</f>
        <v>M-HEP</v>
      </c>
      <c r="C448" s="20" t="str">
        <f>IF(B448="","","MILESTONE:"&amp;Milestones!$D65)</f>
        <v>MILESTONE:TEST</v>
      </c>
      <c r="D448" s="20" t="str">
        <f>IF(B448="","",Milestones!$A65&amp;"")</f>
        <v>EX-C28</v>
      </c>
      <c r="E448" s="20" t="str">
        <f>IF(B448="","",Milestones!$B65&amp;"")</f>
        <v>2</v>
      </c>
      <c r="F448" s="20" t="str">
        <f t="shared" si="81"/>
        <v>EX-C28|2</v>
      </c>
      <c r="G448" s="20" t="str">
        <f>IF(B448="","",Milestones!$E65&amp;"")</f>
        <v/>
      </c>
      <c r="H448" s="20" t="str">
        <f>IF(B448="","",Milestones!$M65&amp;"")</f>
        <v>DATE</v>
      </c>
      <c r="I448" s="20" t="str">
        <f>IF(B448="","",Milestones!$P65&amp;"")</f>
        <v/>
      </c>
      <c r="J448" s="20" t="str">
        <f>IF(B448="","",Milestones!$V65&amp;"")</f>
        <v/>
      </c>
      <c r="K448" s="20">
        <f>IF(B448="",0,Milestones!$W65)</f>
        <v>0</v>
      </c>
      <c r="L448" s="20">
        <f>IF(B448="",0,Milestones!$X65)</f>
        <v>0</v>
      </c>
      <c r="M448" s="20" t="str">
        <f>IF(B448="","",Milestones!$AA65)</f>
        <v/>
      </c>
      <c r="N448" s="20" t="str">
        <f>IF(B448="","",Milestones!$AB65)</f>
        <v/>
      </c>
      <c r="O448" s="27">
        <f>IF(B448="","",Milestones!$Y65)</f>
        <v>46168</v>
      </c>
      <c r="P448" s="27">
        <f>IF(B448="","",Milestones!$Z65)</f>
        <v>46168</v>
      </c>
      <c r="Q448" s="20" t="str">
        <f t="shared" si="82"/>
        <v>2026-05-26</v>
      </c>
      <c r="R448" s="20" t="str">
        <f>IF(A448="","",IF(J448&lt;&gt;"",J448,IF(H448="TIMESTAMP",DAY(INT(M448/1440))&amp;" "&amp;INDEX(nLIST_Months,MONTH(INT(M448/1440)))&amp;" "&amp;YEAR(INT(M448/1440))&amp;" "&amp;RIGHT("0"&amp;INT(MOD(M448,1440)/60),2)&amp;":"&amp;RIGHT("0"&amp;MOD(M448,60),2)&amp;IF(L448=1," (UTC"&amp;I448&amp;")"," (offset unknown)"),IF(H448="DATE",DAY(O448)&amp;" "&amp;INDEX(nLIST_Months,MONTH(O448))&amp;" "&amp;YEAR(O448),IF(H448="MONTH",INDEX(nLIST_Months,MONTH(O448))&amp;" "&amp;YEAR(O448)&amp;" ("&amp;DAY(O448)&amp;" "&amp;INDEX(nLIST_Months,MONTH(O448))&amp;" "&amp;YEAR(O448)&amp;" to "&amp;DAY(P448)&amp;" "&amp;INDEX(nLIST_Months,MONTH(P448))&amp;" "&amp;YEAR(P448)&amp;")",IF(H448="YEAR",YEAR(O448)&amp;" (1 January to 31 December)",DAY(O448)&amp;" "&amp;INDEX(nLIST_Months,MONTH(O448))&amp;" "&amp;YEAR(O448)&amp;" to "&amp;DAY(P448)&amp;" "&amp;INDEX(nLIST_Months,MONTH(P448))&amp;" "&amp;YEAR(P448)&amp;IF(H448="LAB"," (laboratory-defined)","")))))))</f>
        <v>26 May 2026</v>
      </c>
      <c r="S448" s="20" t="str">
        <f>IF(B448="","",Milestones!$L65&amp;"")</f>
        <v>26/05/2026 HBV DNA 64,000 IU/mL, HBsAg positive, ALT 142 U/L</v>
      </c>
      <c r="T448" s="20" t="str">
        <f>IF(B448="","",Milestones!$U65&amp;"")</f>
        <v>Hepatology letter</v>
      </c>
      <c r="U448" s="20" t="str">
        <f>IF(B448="","","Milestones row "&amp;ROW(Milestones!$A65)&amp;", Milestone")</f>
        <v>Milestones row 65, Milestone</v>
      </c>
      <c r="V448" s="20">
        <f>IF(A448="",0,COUNTIF(nTP_Key,A448))</f>
        <v>1</v>
      </c>
      <c r="W448" s="20">
        <f t="shared" si="83"/>
        <v>0</v>
      </c>
      <c r="X448" s="20">
        <f t="shared" si="84"/>
        <v>0</v>
      </c>
      <c r="Y448" s="20">
        <f t="shared" si="85"/>
        <v>46168</v>
      </c>
      <c r="Z448" s="20">
        <f t="shared" si="86"/>
        <v>46168</v>
      </c>
      <c r="AA448" s="20">
        <f t="shared" si="87"/>
        <v>444</v>
      </c>
      <c r="AB448" s="20" t="str">
        <f>""</f>
        <v/>
      </c>
      <c r="AC448" s="20" t="str">
        <f>""</f>
        <v/>
      </c>
      <c r="AD448" s="20" t="str">
        <f>IF(B448="","",Milestones!$F65&amp;"")</f>
        <v>Biochemical hepatitis: HBV DNA 64,000 IU/mL, HBsAg positive, ALT 142 U/L (ULN 40)</v>
      </c>
      <c r="AE448" s="20">
        <f t="shared" si="88"/>
        <v>0</v>
      </c>
      <c r="AF448" s="20" t="str">
        <f t="shared" si="89"/>
        <v/>
      </c>
      <c r="AG448" s="20">
        <f t="shared" si="90"/>
        <v>1</v>
      </c>
      <c r="AH448" s="20" t="str">
        <f>""</f>
        <v/>
      </c>
    </row>
    <row r="449" spans="1:34" x14ac:dyDescent="0.2">
      <c r="A449" s="20" t="str">
        <f t="shared" si="80"/>
        <v>EX-C28|2|M-AV</v>
      </c>
      <c r="B449" s="20" t="str">
        <f>IF(AND(Milestones!$C66&lt;&gt;"",COUNTA(Milestones!$M66:$T66)&gt;0),Milestones!$C66&amp;"","")</f>
        <v>M-AV</v>
      </c>
      <c r="C449" s="20" t="str">
        <f>IF(B449="","","MILESTONE:"&amp;Milestones!$D66)</f>
        <v>MILESTONE:INTERVENTION</v>
      </c>
      <c r="D449" s="20" t="str">
        <f>IF(B449="","",Milestones!$A66&amp;"")</f>
        <v>EX-C28</v>
      </c>
      <c r="E449" s="20" t="str">
        <f>IF(B449="","",Milestones!$B66&amp;"")</f>
        <v>2</v>
      </c>
      <c r="F449" s="20" t="str">
        <f t="shared" si="81"/>
        <v>EX-C28|2</v>
      </c>
      <c r="G449" s="20" t="str">
        <f>IF(B449="","",Milestones!$E66&amp;"")</f>
        <v/>
      </c>
      <c r="H449" s="20" t="str">
        <f>IF(B449="","",Milestones!$M66&amp;"")</f>
        <v>DATE</v>
      </c>
      <c r="I449" s="20" t="str">
        <f>IF(B449="","",Milestones!$P66&amp;"")</f>
        <v/>
      </c>
      <c r="J449" s="20" t="str">
        <f>IF(B449="","",Milestones!$V66&amp;"")</f>
        <v/>
      </c>
      <c r="K449" s="20">
        <f>IF(B449="",0,Milestones!$W66)</f>
        <v>0</v>
      </c>
      <c r="L449" s="20">
        <f>IF(B449="",0,Milestones!$X66)</f>
        <v>0</v>
      </c>
      <c r="M449" s="20" t="str">
        <f>IF(B449="","",Milestones!$AA66)</f>
        <v/>
      </c>
      <c r="N449" s="20" t="str">
        <f>IF(B449="","",Milestones!$AB66)</f>
        <v/>
      </c>
      <c r="O449" s="27">
        <f>IF(B449="","",Milestones!$Y66)</f>
        <v>46169</v>
      </c>
      <c r="P449" s="27">
        <f>IF(B449="","",Milestones!$Z66)</f>
        <v>46169</v>
      </c>
      <c r="Q449" s="20" t="str">
        <f t="shared" si="82"/>
        <v>2026-05-27</v>
      </c>
      <c r="R449" s="20" t="str">
        <f>IF(A449="","",IF(J449&lt;&gt;"",J449,IF(H449="TIMESTAMP",DAY(INT(M449/1440))&amp;" "&amp;INDEX(nLIST_Months,MONTH(INT(M449/1440)))&amp;" "&amp;YEAR(INT(M449/1440))&amp;" "&amp;RIGHT("0"&amp;INT(MOD(M449,1440)/60),2)&amp;":"&amp;RIGHT("0"&amp;MOD(M449,60),2)&amp;IF(L449=1," (UTC"&amp;I449&amp;")"," (offset unknown)"),IF(H449="DATE",DAY(O449)&amp;" "&amp;INDEX(nLIST_Months,MONTH(O449))&amp;" "&amp;YEAR(O449),IF(H449="MONTH",INDEX(nLIST_Months,MONTH(O449))&amp;" "&amp;YEAR(O449)&amp;" ("&amp;DAY(O449)&amp;" "&amp;INDEX(nLIST_Months,MONTH(O449))&amp;" "&amp;YEAR(O449)&amp;" to "&amp;DAY(P449)&amp;" "&amp;INDEX(nLIST_Months,MONTH(P449))&amp;" "&amp;YEAR(P449)&amp;")",IF(H449="YEAR",YEAR(O449)&amp;" (1 January to 31 December)",DAY(O449)&amp;" "&amp;INDEX(nLIST_Months,MONTH(O449))&amp;" "&amp;YEAR(O449)&amp;" to "&amp;DAY(P449)&amp;" "&amp;INDEX(nLIST_Months,MONTH(P449))&amp;" "&amp;YEAR(P449)&amp;IF(H449="LAB"," (laboratory-defined)","")))))))</f>
        <v>27 May 2026</v>
      </c>
      <c r="S449" s="20" t="str">
        <f>IF(B449="","",Milestones!$L66&amp;"")</f>
        <v>Antiviral A restarted 27/05/2026</v>
      </c>
      <c r="T449" s="20" t="str">
        <f>IF(B449="","",Milestones!$U66&amp;"")</f>
        <v>Hepatology letter</v>
      </c>
      <c r="U449" s="20" t="str">
        <f>IF(B449="","","Milestones row "&amp;ROW(Milestones!$A66)&amp;", Milestone")</f>
        <v>Milestones row 66, Milestone</v>
      </c>
      <c r="V449" s="20">
        <f>IF(A449="",0,COUNTIF(nTP_Key,A449))</f>
        <v>1</v>
      </c>
      <c r="W449" s="20">
        <f t="shared" si="83"/>
        <v>0</v>
      </c>
      <c r="X449" s="20">
        <f t="shared" si="84"/>
        <v>0</v>
      </c>
      <c r="Y449" s="20">
        <f t="shared" si="85"/>
        <v>46169</v>
      </c>
      <c r="Z449" s="20">
        <f t="shared" si="86"/>
        <v>46169</v>
      </c>
      <c r="AA449" s="20">
        <f t="shared" si="87"/>
        <v>445</v>
      </c>
      <c r="AB449" s="20" t="str">
        <f>""</f>
        <v/>
      </c>
      <c r="AC449" s="20" t="str">
        <f>""</f>
        <v/>
      </c>
      <c r="AD449" s="20" t="str">
        <f>IF(B449="","",Milestones!$F66&amp;"")</f>
        <v>Antiviral A restarted</v>
      </c>
      <c r="AE449" s="20">
        <f t="shared" si="88"/>
        <v>0</v>
      </c>
      <c r="AF449" s="20" t="str">
        <f t="shared" si="89"/>
        <v/>
      </c>
      <c r="AG449" s="20">
        <f t="shared" si="90"/>
        <v>1</v>
      </c>
      <c r="AH449" s="20" t="str">
        <f>""</f>
        <v/>
      </c>
    </row>
    <row r="450" spans="1:34" x14ac:dyDescent="0.2">
      <c r="A450" s="20" t="str">
        <f t="shared" si="80"/>
        <v/>
      </c>
      <c r="B450" s="20" t="str">
        <f>IF(AND(Milestones!$C67&lt;&gt;"",COUNTA(Milestones!$M67:$T67)&gt;0),Milestones!$C67&amp;"","")</f>
        <v/>
      </c>
      <c r="C450" s="20" t="str">
        <f>IF(B450="","","MILESTONE:"&amp;Milestones!$D67)</f>
        <v/>
      </c>
      <c r="D450" s="20" t="str">
        <f>IF(B450="","",Milestones!$A67&amp;"")</f>
        <v/>
      </c>
      <c r="E450" s="20" t="str">
        <f>IF(B450="","",Milestones!$B67&amp;"")</f>
        <v/>
      </c>
      <c r="F450" s="20" t="str">
        <f t="shared" si="81"/>
        <v/>
      </c>
      <c r="G450" s="20" t="str">
        <f>IF(B450="","",Milestones!$E67&amp;"")</f>
        <v/>
      </c>
      <c r="H450" s="20" t="str">
        <f>IF(B450="","",Milestones!$M67&amp;"")</f>
        <v/>
      </c>
      <c r="I450" s="20" t="str">
        <f>IF(B450="","",Milestones!$P67&amp;"")</f>
        <v/>
      </c>
      <c r="J450" s="20" t="str">
        <f>IF(B450="","",Milestones!$V67&amp;"")</f>
        <v/>
      </c>
      <c r="K450" s="20">
        <f>IF(B450="",0,Milestones!$W67)</f>
        <v>0</v>
      </c>
      <c r="L450" s="20">
        <f>IF(B450="",0,Milestones!$X67)</f>
        <v>0</v>
      </c>
      <c r="M450" s="20" t="str">
        <f>IF(B450="","",Milestones!$AA67)</f>
        <v/>
      </c>
      <c r="N450" s="20" t="str">
        <f>IF(B450="","",Milestones!$AB67)</f>
        <v/>
      </c>
      <c r="O450" s="27" t="str">
        <f>IF(B450="","",Milestones!$Y67)</f>
        <v/>
      </c>
      <c r="P450" s="27" t="str">
        <f>IF(B450="","",Milestones!$Z67)</f>
        <v/>
      </c>
      <c r="Q450" s="20" t="str">
        <f t="shared" si="82"/>
        <v/>
      </c>
      <c r="R450" s="20" t="str">
        <f>IF(A450="","",IF(J450&lt;&gt;"",J450,IF(H450="TIMESTAMP",DAY(INT(M450/1440))&amp;" "&amp;INDEX(nLIST_Months,MONTH(INT(M450/1440)))&amp;" "&amp;YEAR(INT(M450/1440))&amp;" "&amp;RIGHT("0"&amp;INT(MOD(M450,1440)/60),2)&amp;":"&amp;RIGHT("0"&amp;MOD(M450,60),2)&amp;IF(L450=1," (UTC"&amp;I450&amp;")"," (offset unknown)"),IF(H450="DATE",DAY(O450)&amp;" "&amp;INDEX(nLIST_Months,MONTH(O450))&amp;" "&amp;YEAR(O450),IF(H450="MONTH",INDEX(nLIST_Months,MONTH(O450))&amp;" "&amp;YEAR(O450)&amp;" ("&amp;DAY(O450)&amp;" "&amp;INDEX(nLIST_Months,MONTH(O450))&amp;" "&amp;YEAR(O450)&amp;" to "&amp;DAY(P450)&amp;" "&amp;INDEX(nLIST_Months,MONTH(P450))&amp;" "&amp;YEAR(P450)&amp;")",IF(H450="YEAR",YEAR(O450)&amp;" (1 January to 31 December)",DAY(O450)&amp;" "&amp;INDEX(nLIST_Months,MONTH(O450))&amp;" "&amp;YEAR(O450)&amp;" to "&amp;DAY(P450)&amp;" "&amp;INDEX(nLIST_Months,MONTH(P450))&amp;" "&amp;YEAR(P450)&amp;IF(H450="LAB"," (laboratory-defined)","")))))))</f>
        <v/>
      </c>
      <c r="S450" s="20" t="str">
        <f>IF(B450="","",Milestones!$L67&amp;"")</f>
        <v/>
      </c>
      <c r="T450" s="20" t="str">
        <f>IF(B450="","",Milestones!$U67&amp;"")</f>
        <v/>
      </c>
      <c r="U450" s="20" t="str">
        <f>IF(B450="","","Milestones row "&amp;ROW(Milestones!$A67)&amp;", Milestone")</f>
        <v/>
      </c>
      <c r="V450" s="20">
        <f>IF(A450="",0,COUNTIF(nTP_Key,A450))</f>
        <v>0</v>
      </c>
      <c r="W450" s="20">
        <f t="shared" si="83"/>
        <v>0</v>
      </c>
      <c r="X450" s="20">
        <f t="shared" si="84"/>
        <v>0</v>
      </c>
      <c r="Y450" s="20">
        <f t="shared" si="85"/>
        <v>0</v>
      </c>
      <c r="Z450" s="20">
        <f t="shared" si="86"/>
        <v>0</v>
      </c>
      <c r="AA450" s="20">
        <f t="shared" si="87"/>
        <v>446</v>
      </c>
      <c r="AB450" s="20" t="str">
        <f>""</f>
        <v/>
      </c>
      <c r="AC450" s="20" t="str">
        <f>""</f>
        <v/>
      </c>
      <c r="AD450" s="20" t="str">
        <f>IF(B450="","",Milestones!$F67&amp;"")</f>
        <v/>
      </c>
      <c r="AE450" s="20">
        <f t="shared" si="88"/>
        <v>0</v>
      </c>
      <c r="AF450" s="20" t="str">
        <f t="shared" si="89"/>
        <v/>
      </c>
      <c r="AG450" s="20">
        <f t="shared" si="90"/>
        <v>0</v>
      </c>
      <c r="AH450" s="20" t="str">
        <f>""</f>
        <v/>
      </c>
    </row>
    <row r="451" spans="1:34" x14ac:dyDescent="0.2">
      <c r="A451" s="20" t="str">
        <f t="shared" si="80"/>
        <v>VEC-V28|1|MS-REC</v>
      </c>
      <c r="B451" s="20" t="str">
        <f>IF(AND(Milestones!$C68&lt;&gt;"",COUNTA(Milestones!$M68:$T68)&gt;0),Milestones!$C68&amp;"","")</f>
        <v>MS-REC</v>
      </c>
      <c r="C451" s="20" t="str">
        <f>IF(B451="","","MILESTONE:"&amp;Milestones!$D68)</f>
        <v>MILESTONE:RECOVERY</v>
      </c>
      <c r="D451" s="20" t="str">
        <f>IF(B451="","",Milestones!$A68&amp;"")</f>
        <v>VEC-V28</v>
      </c>
      <c r="E451" s="20" t="str">
        <f>IF(B451="","",Milestones!$B68&amp;"")</f>
        <v>1</v>
      </c>
      <c r="F451" s="20" t="str">
        <f t="shared" si="81"/>
        <v>VEC-V28|1</v>
      </c>
      <c r="G451" s="20" t="str">
        <f>IF(B451="","",Milestones!$E68&amp;"")</f>
        <v/>
      </c>
      <c r="H451" s="20" t="str">
        <f>IF(B451="","",Milestones!$M68&amp;"")</f>
        <v>TIMESTAMP</v>
      </c>
      <c r="I451" s="20" t="str">
        <f>IF(B451="","",Milestones!$P68&amp;"")</f>
        <v>-05:00</v>
      </c>
      <c r="J451" s="20" t="str">
        <f>IF(B451="","",Milestones!$V68&amp;"")</f>
        <v/>
      </c>
      <c r="K451" s="20">
        <f>IF(B451="",0,Milestones!$W68)</f>
        <v>1</v>
      </c>
      <c r="L451" s="20">
        <f>IF(B451="",0,Milestones!$X68)</f>
        <v>1</v>
      </c>
      <c r="M451" s="20">
        <f>IF(B451="","",Milestones!$AA68)</f>
        <v>66286655</v>
      </c>
      <c r="N451" s="20">
        <f>IF(B451="","",Milestones!$AB68)</f>
        <v>66286955</v>
      </c>
      <c r="O451" s="27">
        <f>IF(B451="","",Milestones!$Y68)</f>
        <v>46032</v>
      </c>
      <c r="P451" s="27">
        <f>IF(B451="","",Milestones!$Z68)</f>
        <v>46032</v>
      </c>
      <c r="Q451" s="20" t="str">
        <f t="shared" si="82"/>
        <v>2026-01-10T09:35-05:00</v>
      </c>
      <c r="R451" s="20" t="str">
        <f>IF(A451="","",IF(J451&lt;&gt;"",J451,IF(H451="TIMESTAMP",DAY(INT(M451/1440))&amp;" "&amp;INDEX(nLIST_Months,MONTH(INT(M451/1440)))&amp;" "&amp;YEAR(INT(M451/1440))&amp;" "&amp;RIGHT("0"&amp;INT(MOD(M451,1440)/60),2)&amp;":"&amp;RIGHT("0"&amp;MOD(M451,60),2)&amp;IF(L451=1," (UTC"&amp;I451&amp;")"," (offset unknown)"),IF(H451="DATE",DAY(O451)&amp;" "&amp;INDEX(nLIST_Months,MONTH(O451))&amp;" "&amp;YEAR(O451),IF(H451="MONTH",INDEX(nLIST_Months,MONTH(O451))&amp;" "&amp;YEAR(O451)&amp;" ("&amp;DAY(O451)&amp;" "&amp;INDEX(nLIST_Months,MONTH(O451))&amp;" "&amp;YEAR(O451)&amp;" to "&amp;DAY(P451)&amp;" "&amp;INDEX(nLIST_Months,MONTH(P451))&amp;" "&amp;YEAR(P451)&amp;")",IF(H451="YEAR",YEAR(O451)&amp;" (1 January to 31 December)",DAY(O451)&amp;" "&amp;INDEX(nLIST_Months,MONTH(O451))&amp;" "&amp;YEAR(O451)&amp;" to "&amp;DAY(P451)&amp;" "&amp;INDEX(nLIST_Months,MONTH(P451))&amp;" "&amp;YEAR(P451)&amp;IF(H451="LAB"," (laboratory-defined)","")))))))</f>
        <v>10 January 2026 09:35 (UTC-05:00)</v>
      </c>
      <c r="S451" s="20" t="str">
        <f>IF(B451="","",Milestones!$L68&amp;"")</f>
        <v>2026-01-10T09:35-05:00</v>
      </c>
      <c r="T451" s="20" t="str">
        <f>IF(B451="","",Milestones!$U68&amp;"")</f>
        <v>tto_calc_test_vectors_v1.1.json V28</v>
      </c>
      <c r="U451" s="20" t="str">
        <f>IF(B451="","","Milestones row "&amp;ROW(Milestones!$A68)&amp;", Milestone")</f>
        <v>Milestones row 68, Milestone</v>
      </c>
      <c r="V451" s="20">
        <f>IF(A451="",0,COUNTIF(nTP_Key,A451))</f>
        <v>1</v>
      </c>
      <c r="W451" s="20">
        <f t="shared" si="83"/>
        <v>66286655</v>
      </c>
      <c r="X451" s="20">
        <f t="shared" si="84"/>
        <v>66286955</v>
      </c>
      <c r="Y451" s="20">
        <f t="shared" si="85"/>
        <v>46032</v>
      </c>
      <c r="Z451" s="20">
        <f t="shared" si="86"/>
        <v>46032</v>
      </c>
      <c r="AA451" s="20">
        <f t="shared" si="87"/>
        <v>447</v>
      </c>
      <c r="AB451" s="20" t="str">
        <f>""</f>
        <v/>
      </c>
      <c r="AC451" s="20" t="str">
        <f>""</f>
        <v/>
      </c>
      <c r="AD451" s="20" t="str">
        <f>IF(B451="","",Milestones!$F68&amp;"")</f>
        <v>Recovery</v>
      </c>
      <c r="AE451" s="20">
        <f t="shared" si="88"/>
        <v>0</v>
      </c>
      <c r="AF451" s="20" t="str">
        <f t="shared" si="89"/>
        <v/>
      </c>
      <c r="AG451" s="20">
        <f t="shared" si="90"/>
        <v>1</v>
      </c>
      <c r="AH451" s="20" t="str">
        <f>""</f>
        <v/>
      </c>
    </row>
    <row r="452" spans="1:34" x14ac:dyDescent="0.2">
      <c r="A452" s="20" t="str">
        <f t="shared" si="80"/>
        <v>VEC-V28|1|MS-RX</v>
      </c>
      <c r="B452" s="20" t="str">
        <f>IF(AND(Milestones!$C69&lt;&gt;"",COUNTA(Milestones!$M69:$T69)&gt;0),Milestones!$C69&amp;"","")</f>
        <v>MS-RX</v>
      </c>
      <c r="C452" s="20" t="str">
        <f>IF(B452="","","MILESTONE:"&amp;Milestones!$D69)</f>
        <v>MILESTONE:INTERVENTION</v>
      </c>
      <c r="D452" s="20" t="str">
        <f>IF(B452="","",Milestones!$A69&amp;"")</f>
        <v>VEC-V28</v>
      </c>
      <c r="E452" s="20" t="str">
        <f>IF(B452="","",Milestones!$B69&amp;"")</f>
        <v>1</v>
      </c>
      <c r="F452" s="20" t="str">
        <f t="shared" si="81"/>
        <v>VEC-V28|1</v>
      </c>
      <c r="G452" s="20" t="str">
        <f>IF(B452="","",Milestones!$E69&amp;"")</f>
        <v/>
      </c>
      <c r="H452" s="20" t="str">
        <f>IF(B452="","",Milestones!$M69&amp;"")</f>
        <v>TIMESTAMP</v>
      </c>
      <c r="I452" s="20" t="str">
        <f>IF(B452="","",Milestones!$P69&amp;"")</f>
        <v>-05:00</v>
      </c>
      <c r="J452" s="20" t="str">
        <f>IF(B452="","",Milestones!$V69&amp;"")</f>
        <v/>
      </c>
      <c r="K452" s="20">
        <f>IF(B452="",0,Milestones!$W69)</f>
        <v>1</v>
      </c>
      <c r="L452" s="20">
        <f>IF(B452="",0,Milestones!$X69)</f>
        <v>1</v>
      </c>
      <c r="M452" s="20">
        <f>IF(B452="","",Milestones!$AA69)</f>
        <v>66286638</v>
      </c>
      <c r="N452" s="20">
        <f>IF(B452="","",Milestones!$AB69)</f>
        <v>66286938</v>
      </c>
      <c r="O452" s="27">
        <f>IF(B452="","",Milestones!$Y69)</f>
        <v>46032</v>
      </c>
      <c r="P452" s="27">
        <f>IF(B452="","",Milestones!$Z69)</f>
        <v>46032</v>
      </c>
      <c r="Q452" s="20" t="str">
        <f t="shared" si="82"/>
        <v>2026-01-10T09:18-05:00</v>
      </c>
      <c r="R452" s="20" t="str">
        <f>IF(A452="","",IF(J452&lt;&gt;"",J452,IF(H452="TIMESTAMP",DAY(INT(M452/1440))&amp;" "&amp;INDEX(nLIST_Months,MONTH(INT(M452/1440)))&amp;" "&amp;YEAR(INT(M452/1440))&amp;" "&amp;RIGHT("0"&amp;INT(MOD(M452,1440)/60),2)&amp;":"&amp;RIGHT("0"&amp;MOD(M452,60),2)&amp;IF(L452=1," (UTC"&amp;I452&amp;")"," (offset unknown)"),IF(H452="DATE",DAY(O452)&amp;" "&amp;INDEX(nLIST_Months,MONTH(O452))&amp;" "&amp;YEAR(O452),IF(H452="MONTH",INDEX(nLIST_Months,MONTH(O452))&amp;" "&amp;YEAR(O452)&amp;" ("&amp;DAY(O452)&amp;" "&amp;INDEX(nLIST_Months,MONTH(O452))&amp;" "&amp;YEAR(O452)&amp;" to "&amp;DAY(P452)&amp;" "&amp;INDEX(nLIST_Months,MONTH(P452))&amp;" "&amp;YEAR(P452)&amp;")",IF(H452="YEAR",YEAR(O452)&amp;" (1 January to 31 December)",DAY(O452)&amp;" "&amp;INDEX(nLIST_Months,MONTH(O452))&amp;" "&amp;YEAR(O452)&amp;" to "&amp;DAY(P452)&amp;" "&amp;INDEX(nLIST_Months,MONTH(P452))&amp;" "&amp;YEAR(P452)&amp;IF(H452="LAB"," (laboratory-defined)","")))))))</f>
        <v>10 January 2026 09:18 (UTC-05:00)</v>
      </c>
      <c r="S452" s="20" t="str">
        <f>IF(B452="","",Milestones!$L69&amp;"")</f>
        <v>2026-01-10T09:18-05:00</v>
      </c>
      <c r="T452" s="20" t="str">
        <f>IF(B452="","",Milestones!$U69&amp;"")</f>
        <v>tto_calc_test_vectors_v1.1.json V28</v>
      </c>
      <c r="U452" s="20" t="str">
        <f>IF(B452="","","Milestones row "&amp;ROW(Milestones!$A69)&amp;", Milestone")</f>
        <v>Milestones row 69, Milestone</v>
      </c>
      <c r="V452" s="20">
        <f>IF(A452="",0,COUNTIF(nTP_Key,A452))</f>
        <v>1</v>
      </c>
      <c r="W452" s="20">
        <f t="shared" si="83"/>
        <v>66286638</v>
      </c>
      <c r="X452" s="20">
        <f t="shared" si="84"/>
        <v>66286938</v>
      </c>
      <c r="Y452" s="20">
        <f t="shared" si="85"/>
        <v>46032</v>
      </c>
      <c r="Z452" s="20">
        <f t="shared" si="86"/>
        <v>46032</v>
      </c>
      <c r="AA452" s="20">
        <f t="shared" si="87"/>
        <v>448</v>
      </c>
      <c r="AB452" s="20" t="str">
        <f>""</f>
        <v/>
      </c>
      <c r="AC452" s="20" t="str">
        <f>""</f>
        <v/>
      </c>
      <c r="AD452" s="20" t="str">
        <f>IF(B452="","",Milestones!$F69&amp;"")</f>
        <v>emergency medicines from 09:18</v>
      </c>
      <c r="AE452" s="20">
        <f t="shared" si="88"/>
        <v>0</v>
      </c>
      <c r="AF452" s="20" t="str">
        <f t="shared" si="89"/>
        <v/>
      </c>
      <c r="AG452" s="20">
        <f t="shared" si="90"/>
        <v>1</v>
      </c>
      <c r="AH452" s="20" t="str">
        <f>""</f>
        <v/>
      </c>
    </row>
    <row r="453" spans="1:34" x14ac:dyDescent="0.2">
      <c r="A453" s="20" t="str">
        <f t="shared" ref="A453:A516" si="91">IF(B453="","",F453&amp;"|"&amp;B453)</f>
        <v>VEC-V29|1|MS-REC</v>
      </c>
      <c r="B453" s="20" t="str">
        <f>IF(AND(Milestones!$C70&lt;&gt;"",COUNTA(Milestones!$M70:$T70)&gt;0),Milestones!$C70&amp;"","")</f>
        <v>MS-REC</v>
      </c>
      <c r="C453" s="20" t="str">
        <f>IF(B453="","","MILESTONE:"&amp;Milestones!$D70)</f>
        <v>MILESTONE:RECOVERY</v>
      </c>
      <c r="D453" s="20" t="str">
        <f>IF(B453="","",Milestones!$A70&amp;"")</f>
        <v>VEC-V29</v>
      </c>
      <c r="E453" s="20" t="str">
        <f>IF(B453="","",Milestones!$B70&amp;"")</f>
        <v>1</v>
      </c>
      <c r="F453" s="20" t="str">
        <f t="shared" ref="F453:F516" si="92">IF(B453="","",D453&amp;"|"&amp;E453)</f>
        <v>VEC-V29|1</v>
      </c>
      <c r="G453" s="20" t="str">
        <f>IF(B453="","",Milestones!$E70&amp;"")</f>
        <v/>
      </c>
      <c r="H453" s="20" t="str">
        <f>IF(B453="","",Milestones!$M70&amp;"")</f>
        <v>DATE</v>
      </c>
      <c r="I453" s="20" t="str">
        <f>IF(B453="","",Milestones!$P70&amp;"")</f>
        <v/>
      </c>
      <c r="J453" s="20" t="str">
        <f>IF(B453="","",Milestones!$V70&amp;"")</f>
        <v/>
      </c>
      <c r="K453" s="20">
        <f>IF(B453="",0,Milestones!$W70)</f>
        <v>0</v>
      </c>
      <c r="L453" s="20">
        <f>IF(B453="",0,Milestones!$X70)</f>
        <v>0</v>
      </c>
      <c r="M453" s="20" t="str">
        <f>IF(B453="","",Milestones!$AA70)</f>
        <v/>
      </c>
      <c r="N453" s="20" t="str">
        <f>IF(B453="","",Milestones!$AB70)</f>
        <v/>
      </c>
      <c r="O453" s="27">
        <f>IF(B453="","",Milestones!$Y70)</f>
        <v>46211</v>
      </c>
      <c r="P453" s="27">
        <f>IF(B453="","",Milestones!$Z70)</f>
        <v>46211</v>
      </c>
      <c r="Q453" s="20" t="str">
        <f t="shared" ref="Q453:Q516" si="93">IF(OR(A453="",J453&lt;&gt;""),"",IF(H453="TIMESTAMP",YEAR(INT(M453/1440))&amp;"-"&amp;RIGHT("0"&amp;MONTH(INT(M453/1440)),2)&amp;"-"&amp;RIGHT("0"&amp;DAY(INT(M453/1440)),2)&amp;"T"&amp;RIGHT("0"&amp;INT(MOD(M453,1440)/60),2)&amp;":"&amp;RIGHT("0"&amp;MOD(M453,60),2)&amp;IF(L453=1,I453,""),IF(H453="DATE",YEAR(O453)&amp;"-"&amp;RIGHT("0"&amp;MONTH(O453),2)&amp;"-"&amp;RIGHT("0"&amp;DAY(O453),2),IF(H453="MONTH",YEAR(O453)&amp;"-"&amp;RIGHT("0"&amp;MONTH(O453),2),IF(H453="YEAR",YEAR(O453)&amp;"",YEAR(O453)&amp;"-"&amp;RIGHT("0"&amp;MONTH(O453),2)&amp;"-"&amp;RIGHT("0"&amp;DAY(O453),2)&amp;"/"&amp;YEAR(P453)&amp;"-"&amp;RIGHT("0"&amp;MONTH(P453),2)&amp;"-"&amp;RIGHT("0"&amp;DAY(P453),2))))))</f>
        <v>2026-07-08</v>
      </c>
      <c r="R453" s="20" t="str">
        <f>IF(A453="","",IF(J453&lt;&gt;"",J453,IF(H453="TIMESTAMP",DAY(INT(M453/1440))&amp;" "&amp;INDEX(nLIST_Months,MONTH(INT(M453/1440)))&amp;" "&amp;YEAR(INT(M453/1440))&amp;" "&amp;RIGHT("0"&amp;INT(MOD(M453,1440)/60),2)&amp;":"&amp;RIGHT("0"&amp;MOD(M453,60),2)&amp;IF(L453=1," (UTC"&amp;I453&amp;")"," (offset unknown)"),IF(H453="DATE",DAY(O453)&amp;" "&amp;INDEX(nLIST_Months,MONTH(O453))&amp;" "&amp;YEAR(O453),IF(H453="MONTH",INDEX(nLIST_Months,MONTH(O453))&amp;" "&amp;YEAR(O453)&amp;" ("&amp;DAY(O453)&amp;" "&amp;INDEX(nLIST_Months,MONTH(O453))&amp;" "&amp;YEAR(O453)&amp;" to "&amp;DAY(P453)&amp;" "&amp;INDEX(nLIST_Months,MONTH(P453))&amp;" "&amp;YEAR(P453)&amp;")",IF(H453="YEAR",YEAR(O453)&amp;" (1 January to 31 December)",DAY(O453)&amp;" "&amp;INDEX(nLIST_Months,MONTH(O453))&amp;" "&amp;YEAR(O453)&amp;" to "&amp;DAY(P453)&amp;" "&amp;INDEX(nLIST_Months,MONTH(P453))&amp;" "&amp;YEAR(P453)&amp;IF(H453="LAB"," (laboratory-defined)","")))))))</f>
        <v>8 July 2026</v>
      </c>
      <c r="S453" s="20" t="str">
        <f>IF(B453="","",Milestones!$L70&amp;"")</f>
        <v>2026-07-08</v>
      </c>
      <c r="T453" s="20" t="str">
        <f>IF(B453="","",Milestones!$U70&amp;"")</f>
        <v>tto_calc_test_vectors_v1.1.json V29</v>
      </c>
      <c r="U453" s="20" t="str">
        <f>IF(B453="","","Milestones row "&amp;ROW(Milestones!$A70)&amp;", Milestone")</f>
        <v>Milestones row 70, Milestone</v>
      </c>
      <c r="V453" s="20">
        <f>IF(A453="",0,COUNTIF(nTP_Key,A453))</f>
        <v>1</v>
      </c>
      <c r="W453" s="20">
        <f t="shared" ref="W453:W459" si="94">IF(M453="",0,M453)</f>
        <v>0</v>
      </c>
      <c r="X453" s="20">
        <f t="shared" ref="X453:X459" si="95">IF(N453="",0,N453)</f>
        <v>0</v>
      </c>
      <c r="Y453" s="20">
        <f t="shared" ref="Y453:Y459" si="96">IF(O453="",0,O453)</f>
        <v>46211</v>
      </c>
      <c r="Z453" s="20">
        <f t="shared" ref="Z453:Z459" si="97">IF(P453="",0,P453)</f>
        <v>46211</v>
      </c>
      <c r="AA453" s="20">
        <f t="shared" ref="AA453:AA459" si="98">ROW()-4</f>
        <v>449</v>
      </c>
      <c r="AB453" s="20" t="str">
        <f>""</f>
        <v/>
      </c>
      <c r="AC453" s="20" t="str">
        <f>""</f>
        <v/>
      </c>
      <c r="AD453" s="20" t="str">
        <f>IF(B453="","",Milestones!$F70&amp;"")</f>
        <v>Recovery</v>
      </c>
      <c r="AE453" s="20">
        <f t="shared" ref="AE453:AE459" si="99">IF(AND(A453&lt;&gt;"",OR(C453="EXPOSURE_START",C453="EXPOSURE_RESTART",AND(C453="ADMINISTRATION",AB453&lt;&gt;"INFUSION_SEGMENT"))),1,0)</f>
        <v>0</v>
      </c>
      <c r="AF453" s="20" t="str">
        <f t="shared" ref="AF453:AF516" si="100">IF(AE453=1,F453&amp;"|"&amp;G453,"")</f>
        <v/>
      </c>
      <c r="AG453" s="20">
        <f t="shared" ref="AG453:AG459" si="101">IF(AND(A453&lt;&gt;"",J453="",OR(H453="TIMESTAMP",H453="DATE")),1,0)</f>
        <v>1</v>
      </c>
      <c r="AH453" s="20" t="str">
        <f>""</f>
        <v/>
      </c>
    </row>
    <row r="454" spans="1:34" x14ac:dyDescent="0.2">
      <c r="A454" s="20" t="str">
        <f t="shared" si="91"/>
        <v>VEC-V29|1|MS-FLU</v>
      </c>
      <c r="B454" s="20" t="str">
        <f>IF(AND(Milestones!$C71&lt;&gt;"",COUNTA(Milestones!$M71:$T71)&gt;0),Milestones!$C71&amp;"","")</f>
        <v>MS-FLU</v>
      </c>
      <c r="C454" s="20" t="str">
        <f>IF(B454="","","MILESTONE:"&amp;Milestones!$D71)</f>
        <v>MILESTONE:INTERVENTION</v>
      </c>
      <c r="D454" s="20" t="str">
        <f>IF(B454="","",Milestones!$A71&amp;"")</f>
        <v>VEC-V29</v>
      </c>
      <c r="E454" s="20" t="str">
        <f>IF(B454="","",Milestones!$B71&amp;"")</f>
        <v>1</v>
      </c>
      <c r="F454" s="20" t="str">
        <f t="shared" si="92"/>
        <v>VEC-V29|1</v>
      </c>
      <c r="G454" s="20" t="str">
        <f>IF(B454="","",Milestones!$E71&amp;"")</f>
        <v/>
      </c>
      <c r="H454" s="20" t="str">
        <f>IF(B454="","",Milestones!$M71&amp;"")</f>
        <v>DATE</v>
      </c>
      <c r="I454" s="20" t="str">
        <f>IF(B454="","",Milestones!$P71&amp;"")</f>
        <v/>
      </c>
      <c r="J454" s="20" t="str">
        <f>IF(B454="","",Milestones!$V71&amp;"")</f>
        <v/>
      </c>
      <c r="K454" s="20">
        <f>IF(B454="",0,Milestones!$W71)</f>
        <v>0</v>
      </c>
      <c r="L454" s="20">
        <f>IF(B454="",0,Milestones!$X71)</f>
        <v>0</v>
      </c>
      <c r="M454" s="20" t="str">
        <f>IF(B454="","",Milestones!$AA71)</f>
        <v/>
      </c>
      <c r="N454" s="20" t="str">
        <f>IF(B454="","",Milestones!$AB71)</f>
        <v/>
      </c>
      <c r="O454" s="27">
        <f>IF(B454="","",Milestones!$Y71)</f>
        <v>46208</v>
      </c>
      <c r="P454" s="27">
        <f>IF(B454="","",Milestones!$Z71)</f>
        <v>46208</v>
      </c>
      <c r="Q454" s="20" t="str">
        <f t="shared" si="93"/>
        <v>2026-07-05</v>
      </c>
      <c r="R454" s="20" t="str">
        <f>IF(A454="","",IF(J454&lt;&gt;"",J454,IF(H454="TIMESTAMP",DAY(INT(M454/1440))&amp;" "&amp;INDEX(nLIST_Months,MONTH(INT(M454/1440)))&amp;" "&amp;YEAR(INT(M454/1440))&amp;" "&amp;RIGHT("0"&amp;INT(MOD(M454,1440)/60),2)&amp;":"&amp;RIGHT("0"&amp;MOD(M454,60),2)&amp;IF(L454=1," (UTC"&amp;I454&amp;")"," (offset unknown)"),IF(H454="DATE",DAY(O454)&amp;" "&amp;INDEX(nLIST_Months,MONTH(O454))&amp;" "&amp;YEAR(O454),IF(H454="MONTH",INDEX(nLIST_Months,MONTH(O454))&amp;" "&amp;YEAR(O454)&amp;" ("&amp;DAY(O454)&amp;" "&amp;INDEX(nLIST_Months,MONTH(O454))&amp;" "&amp;YEAR(O454)&amp;" to "&amp;DAY(P454)&amp;" "&amp;INDEX(nLIST_Months,MONTH(P454))&amp;" "&amp;YEAR(P454)&amp;")",IF(H454="YEAR",YEAR(O454)&amp;" (1 January to 31 December)",DAY(O454)&amp;" "&amp;INDEX(nLIST_Months,MONTH(O454))&amp;" "&amp;YEAR(O454)&amp;" to "&amp;DAY(P454)&amp;" "&amp;INDEX(nLIST_Months,MONTH(P454))&amp;" "&amp;YEAR(P454)&amp;IF(H454="LAB"," (laboratory-defined)","")))))))</f>
        <v>5 July 2026</v>
      </c>
      <c r="S454" s="20" t="str">
        <f>IF(B454="","",Milestones!$L71&amp;"")</f>
        <v>2026-07-05</v>
      </c>
      <c r="T454" s="20" t="str">
        <f>IF(B454="","",Milestones!$U71&amp;"")</f>
        <v>tto_calc_test_vectors_v1.1.json V29</v>
      </c>
      <c r="U454" s="20" t="str">
        <f>IF(B454="","","Milestones row "&amp;ROW(Milestones!$A71)&amp;", Milestone")</f>
        <v>Milestones row 71, Milestone</v>
      </c>
      <c r="V454" s="20">
        <f>IF(A454="",0,COUNTIF(nTP_Key,A454))</f>
        <v>1</v>
      </c>
      <c r="W454" s="20">
        <f t="shared" si="94"/>
        <v>0</v>
      </c>
      <c r="X454" s="20">
        <f t="shared" si="95"/>
        <v>0</v>
      </c>
      <c r="Y454" s="20">
        <f t="shared" si="96"/>
        <v>46208</v>
      </c>
      <c r="Z454" s="20">
        <f t="shared" si="97"/>
        <v>46208</v>
      </c>
      <c r="AA454" s="20">
        <f t="shared" si="98"/>
        <v>450</v>
      </c>
      <c r="AB454" s="20" t="str">
        <f>""</f>
        <v/>
      </c>
      <c r="AC454" s="20" t="str">
        <f>""</f>
        <v/>
      </c>
      <c r="AD454" s="20" t="str">
        <f>IF(B454="","",Milestones!$F71&amp;"")</f>
        <v>IV fluids and cardiac monitoring</v>
      </c>
      <c r="AE454" s="20">
        <f t="shared" si="99"/>
        <v>0</v>
      </c>
      <c r="AF454" s="20" t="str">
        <f t="shared" si="100"/>
        <v/>
      </c>
      <c r="AG454" s="20">
        <f t="shared" si="101"/>
        <v>1</v>
      </c>
      <c r="AH454" s="20" t="str">
        <f>""</f>
        <v/>
      </c>
    </row>
    <row r="455" spans="1:34" x14ac:dyDescent="0.2">
      <c r="A455" s="20" t="str">
        <f t="shared" si="91"/>
        <v>VEC-V30|1|MS-REC</v>
      </c>
      <c r="B455" s="20" t="str">
        <f>IF(AND(Milestones!$C72&lt;&gt;"",COUNTA(Milestones!$M72:$T72)&gt;0),Milestones!$C72&amp;"","")</f>
        <v>MS-REC</v>
      </c>
      <c r="C455" s="20" t="str">
        <f>IF(B455="","","MILESTONE:"&amp;Milestones!$D72)</f>
        <v>MILESTONE:RECOVERY</v>
      </c>
      <c r="D455" s="20" t="str">
        <f>IF(B455="","",Milestones!$A72&amp;"")</f>
        <v>VEC-V30</v>
      </c>
      <c r="E455" s="20" t="str">
        <f>IF(B455="","",Milestones!$B72&amp;"")</f>
        <v>1</v>
      </c>
      <c r="F455" s="20" t="str">
        <f t="shared" si="92"/>
        <v>VEC-V30|1</v>
      </c>
      <c r="G455" s="20" t="str">
        <f>IF(B455="","",Milestones!$E72&amp;"")</f>
        <v/>
      </c>
      <c r="H455" s="20" t="str">
        <f>IF(B455="","",Milestones!$M72&amp;"")</f>
        <v>DATE</v>
      </c>
      <c r="I455" s="20" t="str">
        <f>IF(B455="","",Milestones!$P72&amp;"")</f>
        <v/>
      </c>
      <c r="J455" s="20" t="str">
        <f>IF(B455="","",Milestones!$V72&amp;"")</f>
        <v/>
      </c>
      <c r="K455" s="20">
        <f>IF(B455="",0,Milestones!$W72)</f>
        <v>0</v>
      </c>
      <c r="L455" s="20">
        <f>IF(B455="",0,Milestones!$X72)</f>
        <v>0</v>
      </c>
      <c r="M455" s="20" t="str">
        <f>IF(B455="","",Milestones!$AA72)</f>
        <v/>
      </c>
      <c r="N455" s="20" t="str">
        <f>IF(B455="","",Milestones!$AB72)</f>
        <v/>
      </c>
      <c r="O455" s="27">
        <f>IF(B455="","",Milestones!$Y72)</f>
        <v>46211</v>
      </c>
      <c r="P455" s="27">
        <f>IF(B455="","",Milestones!$Z72)</f>
        <v>46211</v>
      </c>
      <c r="Q455" s="20" t="str">
        <f t="shared" si="93"/>
        <v>2026-07-08</v>
      </c>
      <c r="R455" s="20" t="str">
        <f>IF(A455="","",IF(J455&lt;&gt;"",J455,IF(H455="TIMESTAMP",DAY(INT(M455/1440))&amp;" "&amp;INDEX(nLIST_Months,MONTH(INT(M455/1440)))&amp;" "&amp;YEAR(INT(M455/1440))&amp;" "&amp;RIGHT("0"&amp;INT(MOD(M455,1440)/60),2)&amp;":"&amp;RIGHT("0"&amp;MOD(M455,60),2)&amp;IF(L455=1," (UTC"&amp;I455&amp;")"," (offset unknown)"),IF(H455="DATE",DAY(O455)&amp;" "&amp;INDEX(nLIST_Months,MONTH(O455))&amp;" "&amp;YEAR(O455),IF(H455="MONTH",INDEX(nLIST_Months,MONTH(O455))&amp;" "&amp;YEAR(O455)&amp;" ("&amp;DAY(O455)&amp;" "&amp;INDEX(nLIST_Months,MONTH(O455))&amp;" "&amp;YEAR(O455)&amp;" to "&amp;DAY(P455)&amp;" "&amp;INDEX(nLIST_Months,MONTH(P455))&amp;" "&amp;YEAR(P455)&amp;")",IF(H455="YEAR",YEAR(O455)&amp;" (1 January to 31 December)",DAY(O455)&amp;" "&amp;INDEX(nLIST_Months,MONTH(O455))&amp;" "&amp;YEAR(O455)&amp;" to "&amp;DAY(P455)&amp;" "&amp;INDEX(nLIST_Months,MONTH(P455))&amp;" "&amp;YEAR(P455)&amp;IF(H455="LAB"," (laboratory-defined)","")))))))</f>
        <v>8 July 2026</v>
      </c>
      <c r="S455" s="20" t="str">
        <f>IF(B455="","",Milestones!$L72&amp;"")</f>
        <v>2026-07-08</v>
      </c>
      <c r="T455" s="20" t="str">
        <f>IF(B455="","",Milestones!$U72&amp;"")</f>
        <v>tto_calc_test_vectors_v1.1.json V30</v>
      </c>
      <c r="U455" s="20" t="str">
        <f>IF(B455="","","Milestones row "&amp;ROW(Milestones!$A72)&amp;", Milestone")</f>
        <v>Milestones row 72, Milestone</v>
      </c>
      <c r="V455" s="20">
        <f>IF(A455="",0,COUNTIF(nTP_Key,A455))</f>
        <v>1</v>
      </c>
      <c r="W455" s="20">
        <f t="shared" si="94"/>
        <v>0</v>
      </c>
      <c r="X455" s="20">
        <f t="shared" si="95"/>
        <v>0</v>
      </c>
      <c r="Y455" s="20">
        <f t="shared" si="96"/>
        <v>46211</v>
      </c>
      <c r="Z455" s="20">
        <f t="shared" si="97"/>
        <v>46211</v>
      </c>
      <c r="AA455" s="20">
        <f t="shared" si="98"/>
        <v>451</v>
      </c>
      <c r="AB455" s="20" t="str">
        <f>""</f>
        <v/>
      </c>
      <c r="AC455" s="20" t="str">
        <f>""</f>
        <v/>
      </c>
      <c r="AD455" s="20" t="str">
        <f>IF(B455="","",Milestones!$F72&amp;"")</f>
        <v>Recovery</v>
      </c>
      <c r="AE455" s="20">
        <f t="shared" si="99"/>
        <v>0</v>
      </c>
      <c r="AF455" s="20" t="str">
        <f t="shared" si="100"/>
        <v/>
      </c>
      <c r="AG455" s="20">
        <f t="shared" si="101"/>
        <v>1</v>
      </c>
      <c r="AH455" s="20" t="str">
        <f>""</f>
        <v/>
      </c>
    </row>
    <row r="456" spans="1:34" x14ac:dyDescent="0.2">
      <c r="A456" s="20" t="str">
        <f t="shared" si="91"/>
        <v>VEC-V30|1|MS-PRE</v>
      </c>
      <c r="B456" s="20" t="str">
        <f>IF(AND(Milestones!$C73&lt;&gt;"",COUNTA(Milestones!$M73:$T73)&gt;0),Milestones!$C73&amp;"","")</f>
        <v>MS-PRE</v>
      </c>
      <c r="C456" s="20" t="str">
        <f>IF(B456="","","MILESTONE:"&amp;Milestones!$D73)</f>
        <v>MILESTONE:INTERVENTION</v>
      </c>
      <c r="D456" s="20" t="str">
        <f>IF(B456="","",Milestones!$A73&amp;"")</f>
        <v>VEC-V30</v>
      </c>
      <c r="E456" s="20" t="str">
        <f>IF(B456="","",Milestones!$B73&amp;"")</f>
        <v>1</v>
      </c>
      <c r="F456" s="20" t="str">
        <f t="shared" si="92"/>
        <v>VEC-V30|1</v>
      </c>
      <c r="G456" s="20" t="str">
        <f>IF(B456="","",Milestones!$E73&amp;"")</f>
        <v/>
      </c>
      <c r="H456" s="20" t="str">
        <f>IF(B456="","",Milestones!$M73&amp;"")</f>
        <v>DATE</v>
      </c>
      <c r="I456" s="20" t="str">
        <f>IF(B456="","",Milestones!$P73&amp;"")</f>
        <v/>
      </c>
      <c r="J456" s="20" t="str">
        <f>IF(B456="","",Milestones!$V73&amp;"")</f>
        <v/>
      </c>
      <c r="K456" s="20">
        <f>IF(B456="",0,Milestones!$W73)</f>
        <v>0</v>
      </c>
      <c r="L456" s="20">
        <f>IF(B456="",0,Milestones!$X73)</f>
        <v>0</v>
      </c>
      <c r="M456" s="20" t="str">
        <f>IF(B456="","",Milestones!$AA73)</f>
        <v/>
      </c>
      <c r="N456" s="20" t="str">
        <f>IF(B456="","",Milestones!$AB73)</f>
        <v/>
      </c>
      <c r="O456" s="27">
        <f>IF(B456="","",Milestones!$Y73)</f>
        <v>46206</v>
      </c>
      <c r="P456" s="27">
        <f>IF(B456="","",Milestones!$Z73)</f>
        <v>46206</v>
      </c>
      <c r="Q456" s="20" t="str">
        <f t="shared" si="93"/>
        <v>2026-07-03</v>
      </c>
      <c r="R456" s="20" t="str">
        <f>IF(A456="","",IF(J456&lt;&gt;"",J456,IF(H456="TIMESTAMP",DAY(INT(M456/1440))&amp;" "&amp;INDEX(nLIST_Months,MONTH(INT(M456/1440)))&amp;" "&amp;YEAR(INT(M456/1440))&amp;" "&amp;RIGHT("0"&amp;INT(MOD(M456,1440)/60),2)&amp;":"&amp;RIGHT("0"&amp;MOD(M456,60),2)&amp;IF(L456=1," (UTC"&amp;I456&amp;")"," (offset unknown)"),IF(H456="DATE",DAY(O456)&amp;" "&amp;INDEX(nLIST_Months,MONTH(O456))&amp;" "&amp;YEAR(O456),IF(H456="MONTH",INDEX(nLIST_Months,MONTH(O456))&amp;" "&amp;YEAR(O456)&amp;" ("&amp;DAY(O456)&amp;" "&amp;INDEX(nLIST_Months,MONTH(O456))&amp;" "&amp;YEAR(O456)&amp;" to "&amp;DAY(P456)&amp;" "&amp;INDEX(nLIST_Months,MONTH(P456))&amp;" "&amp;YEAR(P456)&amp;")",IF(H456="YEAR",YEAR(O456)&amp;" (1 January to 31 December)",DAY(O456)&amp;" "&amp;INDEX(nLIST_Months,MONTH(O456))&amp;" "&amp;YEAR(O456)&amp;" to "&amp;DAY(P456)&amp;" "&amp;INDEX(nLIST_Months,MONTH(P456))&amp;" "&amp;YEAR(P456)&amp;IF(H456="LAB"," (laboratory-defined)","")))))))</f>
        <v>3 July 2026</v>
      </c>
      <c r="S456" s="20" t="str">
        <f>IF(B456="","",Milestones!$L73&amp;"")</f>
        <v>2026-07-03</v>
      </c>
      <c r="T456" s="20" t="str">
        <f>IF(B456="","",Milestones!$U73&amp;"")</f>
        <v>tto_calc_test_vectors_v1.1.json V30</v>
      </c>
      <c r="U456" s="20" t="str">
        <f>IF(B456="","","Milestones row "&amp;ROW(Milestones!$A73)&amp;", Milestone")</f>
        <v>Milestones row 73, Milestone</v>
      </c>
      <c r="V456" s="20">
        <f>IF(A456="",0,COUNTIF(nTP_Key,A456))</f>
        <v>1</v>
      </c>
      <c r="W456" s="20">
        <f t="shared" si="94"/>
        <v>0</v>
      </c>
      <c r="X456" s="20">
        <f t="shared" si="95"/>
        <v>0</v>
      </c>
      <c r="Y456" s="20">
        <f t="shared" si="96"/>
        <v>46206</v>
      </c>
      <c r="Z456" s="20">
        <f t="shared" si="97"/>
        <v>46206</v>
      </c>
      <c r="AA456" s="20">
        <f t="shared" si="98"/>
        <v>452</v>
      </c>
      <c r="AB456" s="20" t="str">
        <f>""</f>
        <v/>
      </c>
      <c r="AC456" s="20" t="str">
        <f>""</f>
        <v/>
      </c>
      <c r="AD456" s="20" t="str">
        <f>IF(B456="","",Milestones!$F73&amp;"")</f>
        <v>intervention before cessation</v>
      </c>
      <c r="AE456" s="20">
        <f t="shared" si="99"/>
        <v>0</v>
      </c>
      <c r="AF456" s="20" t="str">
        <f t="shared" si="100"/>
        <v/>
      </c>
      <c r="AG456" s="20">
        <f t="shared" si="101"/>
        <v>1</v>
      </c>
      <c r="AH456" s="20" t="str">
        <f>""</f>
        <v/>
      </c>
    </row>
    <row r="457" spans="1:34" x14ac:dyDescent="0.2">
      <c r="A457" s="20" t="str">
        <f t="shared" si="91"/>
        <v>VEC-V30|1|MS-POST</v>
      </c>
      <c r="B457" s="20" t="str">
        <f>IF(AND(Milestones!$C74&lt;&gt;"",COUNTA(Milestones!$M74:$T74)&gt;0),Milestones!$C74&amp;"","")</f>
        <v>MS-POST</v>
      </c>
      <c r="C457" s="20" t="str">
        <f>IF(B457="","","MILESTONE:"&amp;Milestones!$D74)</f>
        <v>MILESTONE:INTERVENTION</v>
      </c>
      <c r="D457" s="20" t="str">
        <f>IF(B457="","",Milestones!$A74&amp;"")</f>
        <v>VEC-V30</v>
      </c>
      <c r="E457" s="20" t="str">
        <f>IF(B457="","",Milestones!$B74&amp;"")</f>
        <v>1</v>
      </c>
      <c r="F457" s="20" t="str">
        <f t="shared" si="92"/>
        <v>VEC-V30|1</v>
      </c>
      <c r="G457" s="20" t="str">
        <f>IF(B457="","",Milestones!$E74&amp;"")</f>
        <v/>
      </c>
      <c r="H457" s="20" t="str">
        <f>IF(B457="","",Milestones!$M74&amp;"")</f>
        <v>DATE</v>
      </c>
      <c r="I457" s="20" t="str">
        <f>IF(B457="","",Milestones!$P74&amp;"")</f>
        <v/>
      </c>
      <c r="J457" s="20" t="str">
        <f>IF(B457="","",Milestones!$V74&amp;"")</f>
        <v/>
      </c>
      <c r="K457" s="20">
        <f>IF(B457="",0,Milestones!$W74)</f>
        <v>0</v>
      </c>
      <c r="L457" s="20">
        <f>IF(B457="",0,Milestones!$X74)</f>
        <v>0</v>
      </c>
      <c r="M457" s="20" t="str">
        <f>IF(B457="","",Milestones!$AA74)</f>
        <v/>
      </c>
      <c r="N457" s="20" t="str">
        <f>IF(B457="","",Milestones!$AB74)</f>
        <v/>
      </c>
      <c r="O457" s="27">
        <f>IF(B457="","",Milestones!$Y74)</f>
        <v>46212</v>
      </c>
      <c r="P457" s="27">
        <f>IF(B457="","",Milestones!$Z74)</f>
        <v>46212</v>
      </c>
      <c r="Q457" s="20" t="str">
        <f t="shared" si="93"/>
        <v>2026-07-09</v>
      </c>
      <c r="R457" s="20" t="str">
        <f>IF(A457="","",IF(J457&lt;&gt;"",J457,IF(H457="TIMESTAMP",DAY(INT(M457/1440))&amp;" "&amp;INDEX(nLIST_Months,MONTH(INT(M457/1440)))&amp;" "&amp;YEAR(INT(M457/1440))&amp;" "&amp;RIGHT("0"&amp;INT(MOD(M457,1440)/60),2)&amp;":"&amp;RIGHT("0"&amp;MOD(M457,60),2)&amp;IF(L457=1," (UTC"&amp;I457&amp;")"," (offset unknown)"),IF(H457="DATE",DAY(O457)&amp;" "&amp;INDEX(nLIST_Months,MONTH(O457))&amp;" "&amp;YEAR(O457),IF(H457="MONTH",INDEX(nLIST_Months,MONTH(O457))&amp;" "&amp;YEAR(O457)&amp;" ("&amp;DAY(O457)&amp;" "&amp;INDEX(nLIST_Months,MONTH(O457))&amp;" "&amp;YEAR(O457)&amp;" to "&amp;DAY(P457)&amp;" "&amp;INDEX(nLIST_Months,MONTH(P457))&amp;" "&amp;YEAR(P457)&amp;")",IF(H457="YEAR",YEAR(O457)&amp;" (1 January to 31 December)",DAY(O457)&amp;" "&amp;INDEX(nLIST_Months,MONTH(O457))&amp;" "&amp;YEAR(O457)&amp;" to "&amp;DAY(P457)&amp;" "&amp;INDEX(nLIST_Months,MONTH(P457))&amp;" "&amp;YEAR(P457)&amp;IF(H457="LAB"," (laboratory-defined)","")))))))</f>
        <v>9 July 2026</v>
      </c>
      <c r="S457" s="20" t="str">
        <f>IF(B457="","",Milestones!$L74&amp;"")</f>
        <v>2026-07-09</v>
      </c>
      <c r="T457" s="20" t="str">
        <f>IF(B457="","",Milestones!$U74&amp;"")</f>
        <v>tto_calc_test_vectors_v1.1.json V30</v>
      </c>
      <c r="U457" s="20" t="str">
        <f>IF(B457="","","Milestones row "&amp;ROW(Milestones!$A74)&amp;", Milestone")</f>
        <v>Milestones row 74, Milestone</v>
      </c>
      <c r="V457" s="20">
        <f>IF(A457="",0,COUNTIF(nTP_Key,A457))</f>
        <v>1</v>
      </c>
      <c r="W457" s="20">
        <f t="shared" si="94"/>
        <v>0</v>
      </c>
      <c r="X457" s="20">
        <f t="shared" si="95"/>
        <v>0</v>
      </c>
      <c r="Y457" s="20">
        <f t="shared" si="96"/>
        <v>46212</v>
      </c>
      <c r="Z457" s="20">
        <f t="shared" si="97"/>
        <v>46212</v>
      </c>
      <c r="AA457" s="20">
        <f t="shared" si="98"/>
        <v>453</v>
      </c>
      <c r="AB457" s="20" t="str">
        <f>""</f>
        <v/>
      </c>
      <c r="AC457" s="20" t="str">
        <f>""</f>
        <v/>
      </c>
      <c r="AD457" s="20" t="str">
        <f>IF(B457="","",Milestones!$F74&amp;"")</f>
        <v>intervention after recovery</v>
      </c>
      <c r="AE457" s="20">
        <f t="shared" si="99"/>
        <v>0</v>
      </c>
      <c r="AF457" s="20" t="str">
        <f t="shared" si="100"/>
        <v/>
      </c>
      <c r="AG457" s="20">
        <f t="shared" si="101"/>
        <v>1</v>
      </c>
      <c r="AH457" s="20" t="str">
        <f>""</f>
        <v/>
      </c>
    </row>
    <row r="458" spans="1:34" x14ac:dyDescent="0.2">
      <c r="A458" s="20" t="str">
        <f t="shared" si="91"/>
        <v>VEC-V31|1|MS-NORMAL</v>
      </c>
      <c r="B458" s="20" t="str">
        <f>IF(AND(Milestones!$C75&lt;&gt;"",COUNTA(Milestones!$M75:$T75)&gt;0),Milestones!$C75&amp;"","")</f>
        <v>MS-NORMAL</v>
      </c>
      <c r="C458" s="20" t="str">
        <f>IF(B458="","","MILESTONE:"&amp;Milestones!$D75)</f>
        <v>MILESTONE:TEST</v>
      </c>
      <c r="D458" s="20" t="str">
        <f>IF(B458="","",Milestones!$A75&amp;"")</f>
        <v>VEC-V31</v>
      </c>
      <c r="E458" s="20" t="str">
        <f>IF(B458="","",Milestones!$B75&amp;"")</f>
        <v>1</v>
      </c>
      <c r="F458" s="20" t="str">
        <f t="shared" si="92"/>
        <v>VEC-V31|1</v>
      </c>
      <c r="G458" s="20" t="str">
        <f>IF(B458="","",Milestones!$E75&amp;"")</f>
        <v/>
      </c>
      <c r="H458" s="20" t="str">
        <f>IF(B458="","",Milestones!$M75&amp;"")</f>
        <v>DATE</v>
      </c>
      <c r="I458" s="20" t="str">
        <f>IF(B458="","",Milestones!$P75&amp;"")</f>
        <v/>
      </c>
      <c r="J458" s="20" t="str">
        <f>IF(B458="","",Milestones!$V75&amp;"")</f>
        <v/>
      </c>
      <c r="K458" s="20">
        <f>IF(B458="",0,Milestones!$W75)</f>
        <v>0</v>
      </c>
      <c r="L458" s="20">
        <f>IF(B458="",0,Milestones!$X75)</f>
        <v>0</v>
      </c>
      <c r="M458" s="20" t="str">
        <f>IF(B458="","",Milestones!$AA75)</f>
        <v/>
      </c>
      <c r="N458" s="20" t="str">
        <f>IF(B458="","",Milestones!$AB75)</f>
        <v/>
      </c>
      <c r="O458" s="27">
        <f>IF(B458="","",Milestones!$Y75)</f>
        <v>46096</v>
      </c>
      <c r="P458" s="27">
        <f>IF(B458="","",Milestones!$Z75)</f>
        <v>46096</v>
      </c>
      <c r="Q458" s="20" t="str">
        <f t="shared" si="93"/>
        <v>2026-03-15</v>
      </c>
      <c r="R458" s="20" t="str">
        <f>IF(A458="","",IF(J458&lt;&gt;"",J458,IF(H458="TIMESTAMP",DAY(INT(M458/1440))&amp;" "&amp;INDEX(nLIST_Months,MONTH(INT(M458/1440)))&amp;" "&amp;YEAR(INT(M458/1440))&amp;" "&amp;RIGHT("0"&amp;INT(MOD(M458,1440)/60),2)&amp;":"&amp;RIGHT("0"&amp;MOD(M458,60),2)&amp;IF(L458=1," (UTC"&amp;I458&amp;")"," (offset unknown)"),IF(H458="DATE",DAY(O458)&amp;" "&amp;INDEX(nLIST_Months,MONTH(O458))&amp;" "&amp;YEAR(O458),IF(H458="MONTH",INDEX(nLIST_Months,MONTH(O458))&amp;" "&amp;YEAR(O458)&amp;" ("&amp;DAY(O458)&amp;" "&amp;INDEX(nLIST_Months,MONTH(O458))&amp;" "&amp;YEAR(O458)&amp;" to "&amp;DAY(P458)&amp;" "&amp;INDEX(nLIST_Months,MONTH(P458))&amp;" "&amp;YEAR(P458)&amp;")",IF(H458="YEAR",YEAR(O458)&amp;" (1 January to 31 December)",DAY(O458)&amp;" "&amp;INDEX(nLIST_Months,MONTH(O458))&amp;" "&amp;YEAR(O458)&amp;" to "&amp;DAY(P458)&amp;" "&amp;INDEX(nLIST_Months,MONTH(P458))&amp;" "&amp;YEAR(P458)&amp;IF(H458="LAB"," (laboratory-defined)","")))))))</f>
        <v>15 March 2026</v>
      </c>
      <c r="S458" s="20" t="str">
        <f>IF(B458="","",Milestones!$L75&amp;"")</f>
        <v>2026-03-15</v>
      </c>
      <c r="T458" s="20" t="str">
        <f>IF(B458="","",Milestones!$U75&amp;"")</f>
        <v>tto_calc_test_vectors_v1.1.json V31</v>
      </c>
      <c r="U458" s="20" t="str">
        <f>IF(B458="","","Milestones row "&amp;ROW(Milestones!$A75)&amp;", Milestone")</f>
        <v>Milestones row 75, Milestone</v>
      </c>
      <c r="V458" s="20">
        <f>IF(A458="",0,COUNTIF(nTP_Key,A458))</f>
        <v>1</v>
      </c>
      <c r="W458" s="20">
        <f t="shared" si="94"/>
        <v>0</v>
      </c>
      <c r="X458" s="20">
        <f t="shared" si="95"/>
        <v>0</v>
      </c>
      <c r="Y458" s="20">
        <f t="shared" si="96"/>
        <v>46096</v>
      </c>
      <c r="Z458" s="20">
        <f t="shared" si="97"/>
        <v>46096</v>
      </c>
      <c r="AA458" s="20">
        <f t="shared" si="98"/>
        <v>454</v>
      </c>
      <c r="AB458" s="20" t="str">
        <f>""</f>
        <v/>
      </c>
      <c r="AC458" s="20" t="str">
        <f>""</f>
        <v/>
      </c>
      <c r="AD458" s="20" t="str">
        <f>IF(B458="","",Milestones!$F75&amp;"")</f>
        <v>Last normal test</v>
      </c>
      <c r="AE458" s="20">
        <f t="shared" si="99"/>
        <v>0</v>
      </c>
      <c r="AF458" s="20" t="str">
        <f t="shared" si="100"/>
        <v/>
      </c>
      <c r="AG458" s="20">
        <f t="shared" si="101"/>
        <v>1</v>
      </c>
      <c r="AH458" s="20" t="str">
        <f>""</f>
        <v/>
      </c>
    </row>
    <row r="459" spans="1:34" x14ac:dyDescent="0.2">
      <c r="A459" s="20" t="str">
        <f t="shared" si="91"/>
        <v>VEC-V31|1|MS-ABNORMAL</v>
      </c>
      <c r="B459" s="20" t="str">
        <f>IF(AND(Milestones!$C76&lt;&gt;"",COUNTA(Milestones!$M76:$T76)&gt;0),Milestones!$C76&amp;"","")</f>
        <v>MS-ABNORMAL</v>
      </c>
      <c r="C459" s="20" t="str">
        <f>IF(B459="","","MILESTONE:"&amp;Milestones!$D76)</f>
        <v>MILESTONE:TEST</v>
      </c>
      <c r="D459" s="20" t="str">
        <f>IF(B459="","",Milestones!$A76&amp;"")</f>
        <v>VEC-V31</v>
      </c>
      <c r="E459" s="20" t="str">
        <f>IF(B459="","",Milestones!$B76&amp;"")</f>
        <v>1</v>
      </c>
      <c r="F459" s="20" t="str">
        <f t="shared" si="92"/>
        <v>VEC-V31|1</v>
      </c>
      <c r="G459" s="20" t="str">
        <f>IF(B459="","",Milestones!$E76&amp;"")</f>
        <v/>
      </c>
      <c r="H459" s="20" t="str">
        <f>IF(B459="","",Milestones!$M76&amp;"")</f>
        <v>DATE</v>
      </c>
      <c r="I459" s="20" t="str">
        <f>IF(B459="","",Milestones!$P76&amp;"")</f>
        <v/>
      </c>
      <c r="J459" s="20" t="str">
        <f>IF(B459="","",Milestones!$V76&amp;"")</f>
        <v/>
      </c>
      <c r="K459" s="20">
        <f>IF(B459="",0,Milestones!$W76)</f>
        <v>0</v>
      </c>
      <c r="L459" s="20">
        <f>IF(B459="",0,Milestones!$X76)</f>
        <v>0</v>
      </c>
      <c r="M459" s="20" t="str">
        <f>IF(B459="","",Milestones!$AA76)</f>
        <v/>
      </c>
      <c r="N459" s="20" t="str">
        <f>IF(B459="","",Milestones!$AB76)</f>
        <v/>
      </c>
      <c r="O459" s="27">
        <f>IF(B459="","",Milestones!$Y76)</f>
        <v>46110</v>
      </c>
      <c r="P459" s="27">
        <f>IF(B459="","",Milestones!$Z76)</f>
        <v>46110</v>
      </c>
      <c r="Q459" s="20" t="str">
        <f t="shared" si="93"/>
        <v>2026-03-29</v>
      </c>
      <c r="R459" s="20" t="str">
        <f>IF(A459="","",IF(J459&lt;&gt;"",J459,IF(H459="TIMESTAMP",DAY(INT(M459/1440))&amp;" "&amp;INDEX(nLIST_Months,MONTH(INT(M459/1440)))&amp;" "&amp;YEAR(INT(M459/1440))&amp;" "&amp;RIGHT("0"&amp;INT(MOD(M459,1440)/60),2)&amp;":"&amp;RIGHT("0"&amp;MOD(M459,60),2)&amp;IF(L459=1," (UTC"&amp;I459&amp;")"," (offset unknown)"),IF(H459="DATE",DAY(O459)&amp;" "&amp;INDEX(nLIST_Months,MONTH(O459))&amp;" "&amp;YEAR(O459),IF(H459="MONTH",INDEX(nLIST_Months,MONTH(O459))&amp;" "&amp;YEAR(O459)&amp;" ("&amp;DAY(O459)&amp;" "&amp;INDEX(nLIST_Months,MONTH(O459))&amp;" "&amp;YEAR(O459)&amp;" to "&amp;DAY(P459)&amp;" "&amp;INDEX(nLIST_Months,MONTH(P459))&amp;" "&amp;YEAR(P459)&amp;")",IF(H459="YEAR",YEAR(O459)&amp;" (1 January to 31 December)",DAY(O459)&amp;" "&amp;INDEX(nLIST_Months,MONTH(O459))&amp;" "&amp;YEAR(O459)&amp;" to "&amp;DAY(P459)&amp;" "&amp;INDEX(nLIST_Months,MONTH(P459))&amp;" "&amp;YEAR(P459)&amp;IF(H459="LAB"," (laboratory-defined)","")))))))</f>
        <v>29 March 2026</v>
      </c>
      <c r="S459" s="20" t="str">
        <f>IF(B459="","",Milestones!$L76&amp;"")</f>
        <v>2026-03-29</v>
      </c>
      <c r="T459" s="20" t="str">
        <f>IF(B459="","",Milestones!$U76&amp;"")</f>
        <v>tto_calc_test_vectors_v1.1.json V31</v>
      </c>
      <c r="U459" s="20" t="str">
        <f>IF(B459="","","Milestones row "&amp;ROW(Milestones!$A76)&amp;", Milestone")</f>
        <v>Milestones row 76, Milestone</v>
      </c>
      <c r="V459" s="20">
        <f>IF(A459="",0,COUNTIF(nTP_Key,A459))</f>
        <v>1</v>
      </c>
      <c r="W459" s="20">
        <f t="shared" si="94"/>
        <v>0</v>
      </c>
      <c r="X459" s="20">
        <f t="shared" si="95"/>
        <v>0</v>
      </c>
      <c r="Y459" s="20">
        <f t="shared" si="96"/>
        <v>46110</v>
      </c>
      <c r="Z459" s="20">
        <f t="shared" si="97"/>
        <v>46110</v>
      </c>
      <c r="AA459" s="20">
        <f t="shared" si="98"/>
        <v>455</v>
      </c>
      <c r="AB459" s="20" t="str">
        <f>""</f>
        <v/>
      </c>
      <c r="AC459" s="20" t="str">
        <f>""</f>
        <v/>
      </c>
      <c r="AD459" s="20" t="str">
        <f>IF(B459="","",Milestones!$F76&amp;"")</f>
        <v>First abnormal test</v>
      </c>
      <c r="AE459" s="20">
        <f t="shared" si="99"/>
        <v>0</v>
      </c>
      <c r="AF459" s="20" t="str">
        <f t="shared" si="100"/>
        <v/>
      </c>
      <c r="AG459" s="20">
        <f t="shared" si="101"/>
        <v>1</v>
      </c>
      <c r="AH459" s="20" t="str">
        <f>""</f>
        <v/>
      </c>
    </row>
  </sheetData>
  <sheetProtection sheet="1" objects="1" scenarios="1" formatColumns="0" formatRows="0" autoFilter="0"/>
  <autoFilter ref="A4:AH459" xr:uid="{AFE31B41-A28C-42C1-BAFC-8D3BA34C84E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C5DA-CA85-4A66-A231-B696489B14DC}">
  <dimension ref="A1:D28"/>
  <sheetViews>
    <sheetView zoomScale="90" zoomScaleNormal="90" workbookViewId="0"/>
  </sheetViews>
  <sheetFormatPr defaultRowHeight="12.75" x14ac:dyDescent="0.2"/>
  <cols>
    <col min="1" max="1" width="36.7109375" style="1" customWidth="1"/>
    <col min="2" max="2" width="9.7109375" style="1" customWidth="1"/>
    <col min="3" max="3" width="48.7109375" style="1" customWidth="1"/>
    <col min="4" max="4" width="95.7109375" style="1" customWidth="1"/>
    <col min="5" max="16384" width="9.140625" style="1"/>
  </cols>
  <sheetData>
    <row r="1" spans="1:4" ht="17.25" x14ac:dyDescent="0.3">
      <c r="A1" s="3" t="s">
        <v>196</v>
      </c>
    </row>
    <row r="2" spans="1:4" x14ac:dyDescent="0.2">
      <c r="A2" s="1" t="s">
        <v>197</v>
      </c>
    </row>
    <row r="4" spans="1:4" x14ac:dyDescent="0.2">
      <c r="A4" s="5" t="s">
        <v>198</v>
      </c>
      <c r="B4" s="5" t="s">
        <v>199</v>
      </c>
      <c r="C4" s="5" t="s">
        <v>200</v>
      </c>
      <c r="D4" s="5" t="s">
        <v>201</v>
      </c>
    </row>
    <row r="5" spans="1:4" x14ac:dyDescent="0.2">
      <c r="A5" s="1" t="s">
        <v>202</v>
      </c>
      <c r="B5" s="1" t="s">
        <v>203</v>
      </c>
      <c r="C5" s="1" t="s">
        <v>204</v>
      </c>
      <c r="D5" s="1" t="s">
        <v>205</v>
      </c>
    </row>
    <row r="6" spans="1:4" x14ac:dyDescent="0.2">
      <c r="A6" s="1" t="s">
        <v>206</v>
      </c>
      <c r="B6" s="1" t="s">
        <v>203</v>
      </c>
      <c r="C6" s="1" t="s">
        <v>207</v>
      </c>
      <c r="D6" s="1" t="s">
        <v>208</v>
      </c>
    </row>
    <row r="7" spans="1:4" x14ac:dyDescent="0.2">
      <c r="A7" s="1" t="s">
        <v>209</v>
      </c>
      <c r="B7" s="1" t="s">
        <v>203</v>
      </c>
      <c r="C7" s="1" t="s">
        <v>210</v>
      </c>
      <c r="D7" s="1" t="s">
        <v>211</v>
      </c>
    </row>
    <row r="8" spans="1:4" x14ac:dyDescent="0.2">
      <c r="A8" s="1" t="s">
        <v>212</v>
      </c>
      <c r="B8" s="1" t="s">
        <v>203</v>
      </c>
      <c r="C8" s="1" t="s">
        <v>213</v>
      </c>
      <c r="D8" s="1" t="s">
        <v>214</v>
      </c>
    </row>
    <row r="9" spans="1:4" x14ac:dyDescent="0.2">
      <c r="A9" s="1" t="s">
        <v>215</v>
      </c>
      <c r="B9" s="1" t="s">
        <v>203</v>
      </c>
      <c r="C9" s="1" t="s">
        <v>216</v>
      </c>
      <c r="D9" s="1" t="s">
        <v>217</v>
      </c>
    </row>
    <row r="10" spans="1:4" x14ac:dyDescent="0.2">
      <c r="A10" s="1" t="s">
        <v>218</v>
      </c>
      <c r="B10" s="1" t="s">
        <v>203</v>
      </c>
      <c r="C10" s="1" t="s">
        <v>219</v>
      </c>
      <c r="D10" s="1" t="s">
        <v>220</v>
      </c>
    </row>
    <row r="11" spans="1:4" x14ac:dyDescent="0.2">
      <c r="A11" s="1" t="s">
        <v>221</v>
      </c>
      <c r="B11" s="1" t="s">
        <v>203</v>
      </c>
      <c r="C11" s="1" t="s">
        <v>222</v>
      </c>
      <c r="D11" s="1" t="s">
        <v>223</v>
      </c>
    </row>
    <row r="12" spans="1:4" x14ac:dyDescent="0.2">
      <c r="A12" s="1" t="s">
        <v>224</v>
      </c>
      <c r="B12" s="1" t="s">
        <v>203</v>
      </c>
      <c r="C12" s="1" t="s">
        <v>225</v>
      </c>
      <c r="D12" s="1" t="s">
        <v>226</v>
      </c>
    </row>
    <row r="13" spans="1:4" x14ac:dyDescent="0.2">
      <c r="A13" s="1" t="s">
        <v>227</v>
      </c>
      <c r="B13" s="1" t="s">
        <v>203</v>
      </c>
      <c r="C13" s="1" t="s">
        <v>228</v>
      </c>
      <c r="D13" s="1" t="s">
        <v>229</v>
      </c>
    </row>
    <row r="14" spans="1:4" x14ac:dyDescent="0.2">
      <c r="A14" s="1" t="s">
        <v>230</v>
      </c>
      <c r="B14" s="1" t="s">
        <v>203</v>
      </c>
      <c r="C14" s="1" t="s">
        <v>231</v>
      </c>
      <c r="D14" s="1" t="s">
        <v>232</v>
      </c>
    </row>
    <row r="15" spans="1:4" x14ac:dyDescent="0.2">
      <c r="A15" s="1" t="s">
        <v>233</v>
      </c>
      <c r="B15" s="1" t="s">
        <v>203</v>
      </c>
      <c r="C15" s="1" t="s">
        <v>234</v>
      </c>
      <c r="D15" s="1" t="s">
        <v>235</v>
      </c>
    </row>
    <row r="16" spans="1:4" x14ac:dyDescent="0.2">
      <c r="A16" s="1" t="s">
        <v>236</v>
      </c>
      <c r="B16" s="1" t="s">
        <v>237</v>
      </c>
      <c r="C16" s="1" t="s">
        <v>238</v>
      </c>
      <c r="D16" s="1" t="s">
        <v>239</v>
      </c>
    </row>
    <row r="17" spans="1:4" x14ac:dyDescent="0.2">
      <c r="A17" s="1" t="s">
        <v>240</v>
      </c>
      <c r="B17" s="1" t="s">
        <v>237</v>
      </c>
      <c r="C17" s="1" t="s">
        <v>241</v>
      </c>
      <c r="D17" s="1" t="s">
        <v>242</v>
      </c>
    </row>
    <row r="18" spans="1:4" x14ac:dyDescent="0.2">
      <c r="A18" s="1" t="s">
        <v>243</v>
      </c>
      <c r="B18" s="1" t="s">
        <v>237</v>
      </c>
      <c r="C18" s="1" t="s">
        <v>244</v>
      </c>
      <c r="D18" s="1" t="s">
        <v>245</v>
      </c>
    </row>
    <row r="19" spans="1:4" x14ac:dyDescent="0.2">
      <c r="A19" s="1" t="s">
        <v>246</v>
      </c>
      <c r="B19" s="1" t="s">
        <v>237</v>
      </c>
      <c r="C19" s="1" t="s">
        <v>247</v>
      </c>
      <c r="D19" s="1" t="s">
        <v>248</v>
      </c>
    </row>
    <row r="20" spans="1:4" x14ac:dyDescent="0.2">
      <c r="A20" s="1" t="s">
        <v>249</v>
      </c>
      <c r="B20" s="1" t="s">
        <v>237</v>
      </c>
      <c r="C20" s="1" t="s">
        <v>250</v>
      </c>
      <c r="D20" s="1" t="s">
        <v>251</v>
      </c>
    </row>
    <row r="21" spans="1:4" x14ac:dyDescent="0.2">
      <c r="A21" s="1" t="s">
        <v>252</v>
      </c>
      <c r="B21" s="1" t="s">
        <v>237</v>
      </c>
      <c r="C21" s="1" t="s">
        <v>253</v>
      </c>
      <c r="D21" s="1" t="s">
        <v>254</v>
      </c>
    </row>
    <row r="22" spans="1:4" x14ac:dyDescent="0.2">
      <c r="A22" s="1" t="s">
        <v>255</v>
      </c>
      <c r="B22" s="1" t="s">
        <v>237</v>
      </c>
      <c r="C22" s="1" t="s">
        <v>256</v>
      </c>
      <c r="D22" s="1" t="s">
        <v>257</v>
      </c>
    </row>
    <row r="23" spans="1:4" x14ac:dyDescent="0.2">
      <c r="A23" s="1" t="s">
        <v>258</v>
      </c>
      <c r="B23" s="1" t="s">
        <v>237</v>
      </c>
      <c r="C23" s="1" t="s">
        <v>259</v>
      </c>
      <c r="D23" s="1" t="s">
        <v>260</v>
      </c>
    </row>
    <row r="24" spans="1:4" x14ac:dyDescent="0.2">
      <c r="A24" s="1" t="s">
        <v>261</v>
      </c>
      <c r="B24" s="1" t="s">
        <v>237</v>
      </c>
      <c r="C24" s="1" t="s">
        <v>262</v>
      </c>
      <c r="D24" s="1" t="s">
        <v>263</v>
      </c>
    </row>
    <row r="25" spans="1:4" x14ac:dyDescent="0.2">
      <c r="A25" s="1" t="s">
        <v>264</v>
      </c>
      <c r="B25" s="1" t="s">
        <v>265</v>
      </c>
      <c r="C25" s="1" t="s">
        <v>266</v>
      </c>
      <c r="D25" s="1" t="s">
        <v>267</v>
      </c>
    </row>
    <row r="26" spans="1:4" x14ac:dyDescent="0.2">
      <c r="A26" s="1" t="s">
        <v>268</v>
      </c>
      <c r="B26" s="1" t="s">
        <v>265</v>
      </c>
      <c r="C26" s="1" t="s">
        <v>269</v>
      </c>
      <c r="D26" s="1" t="s">
        <v>270</v>
      </c>
    </row>
    <row r="27" spans="1:4" x14ac:dyDescent="0.2">
      <c r="A27" s="1" t="s">
        <v>271</v>
      </c>
      <c r="B27" s="1" t="s">
        <v>265</v>
      </c>
      <c r="C27" s="1" t="s">
        <v>272</v>
      </c>
      <c r="D27" s="1" t="s">
        <v>273</v>
      </c>
    </row>
    <row r="28" spans="1:4" x14ac:dyDescent="0.2">
      <c r="A28" s="1" t="s">
        <v>274</v>
      </c>
      <c r="B28" s="1" t="s">
        <v>265</v>
      </c>
      <c r="C28" s="1" t="s">
        <v>275</v>
      </c>
      <c r="D28" s="1" t="s">
        <v>276</v>
      </c>
    </row>
  </sheetData>
  <sheetProtection sheet="1" objects="1" scenarios="1" formatColumns="0" formatRows="0" autoFilter="0"/>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AE8A-E07A-419C-A3FD-A372E0AE330E}">
  <dimension ref="A1:AG43"/>
  <sheetViews>
    <sheetView zoomScale="90" zoomScaleNormal="90" workbookViewId="0"/>
  </sheetViews>
  <sheetFormatPr defaultRowHeight="12.75" x14ac:dyDescent="0.2"/>
  <cols>
    <col min="1" max="3" width="12.7109375" style="1" customWidth="1"/>
    <col min="4" max="4" width="24.7109375" style="1" customWidth="1"/>
    <col min="5" max="5" width="12.7109375" style="1" customWidth="1"/>
    <col min="6" max="7" width="15.7109375" style="1" customWidth="1"/>
    <col min="8" max="10" width="12.7109375" style="1" customWidth="1"/>
    <col min="11" max="11" width="22.7109375" style="1" customWidth="1"/>
    <col min="12" max="12" width="12.7109375" style="1" customWidth="1"/>
    <col min="13" max="14" width="14.7109375" style="1" customWidth="1"/>
    <col min="15" max="15" width="12.7109375" style="1" customWidth="1"/>
    <col min="16" max="16" width="18.7109375" style="1" customWidth="1"/>
    <col min="17" max="17" width="12.7109375" style="1" customWidth="1"/>
    <col min="18" max="18" width="26.7109375" style="1" customWidth="1"/>
    <col min="19" max="19" width="24.7109375" style="1" customWidth="1"/>
    <col min="20" max="20" width="17.7109375" style="1" customWidth="1"/>
    <col min="21" max="21" width="12.7109375" style="1" customWidth="1"/>
    <col min="22" max="22" width="25.7109375" style="1" customWidth="1"/>
    <col min="23" max="23" width="41.7109375" style="1" customWidth="1"/>
    <col min="24" max="24" width="34.7109375" style="1" customWidth="1"/>
    <col min="25" max="25" width="15.7109375" style="1" customWidth="1"/>
    <col min="26" max="26" width="16.7109375" style="1" customWidth="1"/>
    <col min="27" max="27" width="22.7109375" style="1" customWidth="1"/>
    <col min="28" max="28" width="14.7109375" style="1" customWidth="1"/>
    <col min="29" max="29" width="24.7109375" style="1" customWidth="1"/>
    <col min="30" max="31" width="12.7109375" style="1" customWidth="1"/>
    <col min="32" max="32" width="19.7109375" style="1" customWidth="1"/>
    <col min="33" max="33" width="12.7109375" style="1" customWidth="1"/>
    <col min="34" max="16384" width="9.140625" style="1"/>
  </cols>
  <sheetData>
    <row r="1" spans="1:33" ht="17.25" x14ac:dyDescent="0.3">
      <c r="A1" s="3" t="s">
        <v>0</v>
      </c>
    </row>
    <row r="2" spans="1:33" x14ac:dyDescent="0.2">
      <c r="A2" s="1" t="s">
        <v>1</v>
      </c>
    </row>
    <row r="4" spans="1:33" x14ac:dyDescent="0.2">
      <c r="A4" s="2" t="s">
        <v>2</v>
      </c>
      <c r="B4" s="2" t="s">
        <v>8</v>
      </c>
      <c r="C4" s="2" t="s">
        <v>10</v>
      </c>
      <c r="D4" s="2" t="s">
        <v>50</v>
      </c>
      <c r="E4" s="2" t="s">
        <v>58</v>
      </c>
      <c r="F4" s="2" t="s">
        <v>62</v>
      </c>
      <c r="G4" s="2" t="s">
        <v>65</v>
      </c>
      <c r="H4" s="2" t="s">
        <v>73</v>
      </c>
      <c r="I4" s="2" t="s">
        <v>74</v>
      </c>
      <c r="J4" s="2" t="s">
        <v>75</v>
      </c>
      <c r="K4" s="2" t="s">
        <v>78</v>
      </c>
      <c r="L4" s="2" t="s">
        <v>84</v>
      </c>
      <c r="M4" s="2" t="s">
        <v>87</v>
      </c>
      <c r="N4" s="2" t="s">
        <v>91</v>
      </c>
      <c r="O4" s="2" t="s">
        <v>95</v>
      </c>
      <c r="P4" s="2" t="s">
        <v>99</v>
      </c>
      <c r="Q4" s="2" t="s">
        <v>102</v>
      </c>
      <c r="R4" s="2" t="s">
        <v>105</v>
      </c>
      <c r="S4" s="2" t="s">
        <v>113</v>
      </c>
      <c r="T4" s="2" t="s">
        <v>120</v>
      </c>
      <c r="U4" s="2" t="s">
        <v>129</v>
      </c>
      <c r="V4" s="2" t="s">
        <v>133</v>
      </c>
      <c r="W4" s="2" t="s">
        <v>136</v>
      </c>
      <c r="X4" s="2" t="s">
        <v>141</v>
      </c>
      <c r="Y4" s="2" t="s">
        <v>148</v>
      </c>
      <c r="Z4" s="2" t="s">
        <v>152</v>
      </c>
      <c r="AA4" s="2" t="s">
        <v>157</v>
      </c>
      <c r="AB4" s="2" t="s">
        <v>162</v>
      </c>
      <c r="AC4" s="2" t="s">
        <v>165</v>
      </c>
      <c r="AD4" s="2" t="s">
        <v>171</v>
      </c>
      <c r="AE4" s="2" t="s">
        <v>175</v>
      </c>
      <c r="AF4" s="2" t="s">
        <v>180</v>
      </c>
      <c r="AG4" s="2" t="s">
        <v>183</v>
      </c>
    </row>
    <row r="5" spans="1:33" x14ac:dyDescent="0.2">
      <c r="A5" s="4" t="s">
        <v>3</v>
      </c>
      <c r="B5" s="4" t="s">
        <v>3</v>
      </c>
      <c r="C5" s="4" t="s">
        <v>11</v>
      </c>
      <c r="D5" s="4" t="s">
        <v>51</v>
      </c>
      <c r="E5" s="4" t="s">
        <v>59</v>
      </c>
      <c r="F5" s="4" t="s">
        <v>63</v>
      </c>
      <c r="G5" s="4" t="s">
        <v>66</v>
      </c>
      <c r="H5" s="4" t="s">
        <v>66</v>
      </c>
      <c r="I5" s="4" t="s">
        <v>68</v>
      </c>
      <c r="J5" s="4" t="s">
        <v>76</v>
      </c>
      <c r="K5" s="4" t="s">
        <v>79</v>
      </c>
      <c r="L5" s="4" t="s">
        <v>85</v>
      </c>
      <c r="M5" s="4" t="s">
        <v>88</v>
      </c>
      <c r="N5" s="4" t="s">
        <v>92</v>
      </c>
      <c r="O5" s="4" t="s">
        <v>96</v>
      </c>
      <c r="P5" s="4" t="s">
        <v>100</v>
      </c>
      <c r="Q5" s="4" t="s">
        <v>103</v>
      </c>
      <c r="R5" s="4" t="s">
        <v>106</v>
      </c>
      <c r="S5" s="4" t="s">
        <v>114</v>
      </c>
      <c r="T5" s="4" t="s">
        <v>121</v>
      </c>
      <c r="U5" s="4" t="s">
        <v>130</v>
      </c>
      <c r="V5" s="4" t="s">
        <v>134</v>
      </c>
      <c r="W5" s="4" t="s">
        <v>137</v>
      </c>
      <c r="X5" s="4" t="s">
        <v>142</v>
      </c>
      <c r="Y5" s="4" t="s">
        <v>149</v>
      </c>
      <c r="Z5" s="4" t="s">
        <v>153</v>
      </c>
      <c r="AA5" s="4" t="s">
        <v>158</v>
      </c>
      <c r="AB5" s="4" t="s">
        <v>163</v>
      </c>
      <c r="AC5" s="4" t="s">
        <v>166</v>
      </c>
      <c r="AD5" s="4" t="s">
        <v>172</v>
      </c>
      <c r="AE5" s="4" t="s">
        <v>176</v>
      </c>
      <c r="AF5" s="4" t="s">
        <v>181</v>
      </c>
      <c r="AG5" s="4" t="s">
        <v>184</v>
      </c>
    </row>
    <row r="6" spans="1:33" x14ac:dyDescent="0.2">
      <c r="A6" s="4" t="s">
        <v>4</v>
      </c>
      <c r="B6" s="4" t="s">
        <v>4</v>
      </c>
      <c r="C6" s="4" t="s">
        <v>12</v>
      </c>
      <c r="D6" s="4" t="s">
        <v>52</v>
      </c>
      <c r="E6" s="4" t="s">
        <v>60</v>
      </c>
      <c r="F6" s="4" t="s">
        <v>64</v>
      </c>
      <c r="G6" s="4" t="s">
        <v>67</v>
      </c>
      <c r="H6" s="4" t="s">
        <v>67</v>
      </c>
      <c r="J6" s="4" t="s">
        <v>77</v>
      </c>
      <c r="K6" s="4" t="s">
        <v>80</v>
      </c>
      <c r="L6" s="4" t="s">
        <v>86</v>
      </c>
      <c r="M6" s="4" t="s">
        <v>89</v>
      </c>
      <c r="N6" s="4" t="s">
        <v>93</v>
      </c>
      <c r="O6" s="4" t="s">
        <v>97</v>
      </c>
      <c r="P6" s="4" t="s">
        <v>53</v>
      </c>
      <c r="Q6" s="4" t="s">
        <v>104</v>
      </c>
      <c r="R6" s="4" t="s">
        <v>107</v>
      </c>
      <c r="S6" s="4" t="s">
        <v>115</v>
      </c>
      <c r="T6" s="4" t="s">
        <v>122</v>
      </c>
      <c r="U6" s="4" t="s">
        <v>131</v>
      </c>
      <c r="V6" s="4" t="s">
        <v>135</v>
      </c>
      <c r="W6" s="4" t="s">
        <v>138</v>
      </c>
      <c r="X6" s="4" t="s">
        <v>143</v>
      </c>
      <c r="Y6" s="4" t="s">
        <v>150</v>
      </c>
      <c r="Z6" s="4" t="s">
        <v>154</v>
      </c>
      <c r="AA6" s="4" t="s">
        <v>159</v>
      </c>
      <c r="AB6" s="4" t="s">
        <v>164</v>
      </c>
      <c r="AC6" s="4" t="s">
        <v>167</v>
      </c>
      <c r="AD6" s="4" t="s">
        <v>173</v>
      </c>
      <c r="AE6" s="4" t="s">
        <v>177</v>
      </c>
      <c r="AF6" s="4" t="s">
        <v>182</v>
      </c>
      <c r="AG6" s="4" t="s">
        <v>185</v>
      </c>
    </row>
    <row r="7" spans="1:33" x14ac:dyDescent="0.2">
      <c r="A7" s="4" t="s">
        <v>5</v>
      </c>
      <c r="B7" s="4" t="s">
        <v>5</v>
      </c>
      <c r="C7" s="4" t="s">
        <v>13</v>
      </c>
      <c r="D7" s="4" t="s">
        <v>53</v>
      </c>
      <c r="E7" s="4" t="s">
        <v>61</v>
      </c>
      <c r="G7" s="4" t="s">
        <v>68</v>
      </c>
      <c r="H7" s="4" t="s">
        <v>68</v>
      </c>
      <c r="K7" s="4" t="s">
        <v>81</v>
      </c>
      <c r="M7" s="4" t="s">
        <v>90</v>
      </c>
      <c r="N7" s="4" t="s">
        <v>94</v>
      </c>
      <c r="O7" s="4" t="s">
        <v>98</v>
      </c>
      <c r="P7" s="4" t="s">
        <v>101</v>
      </c>
      <c r="R7" s="4" t="s">
        <v>108</v>
      </c>
      <c r="S7" s="4" t="s">
        <v>116</v>
      </c>
      <c r="T7" s="4" t="s">
        <v>123</v>
      </c>
      <c r="U7" s="4" t="s">
        <v>132</v>
      </c>
      <c r="W7" s="4" t="s">
        <v>139</v>
      </c>
      <c r="X7" s="4" t="s">
        <v>144</v>
      </c>
      <c r="Y7" s="4" t="s">
        <v>151</v>
      </c>
      <c r="Z7" s="4" t="s">
        <v>155</v>
      </c>
      <c r="AA7" s="4" t="s">
        <v>160</v>
      </c>
      <c r="AC7" s="4" t="s">
        <v>168</v>
      </c>
      <c r="AD7" s="4" t="s">
        <v>174</v>
      </c>
      <c r="AE7" s="4" t="s">
        <v>178</v>
      </c>
      <c r="AG7" s="4" t="s">
        <v>186</v>
      </c>
    </row>
    <row r="8" spans="1:33" x14ac:dyDescent="0.2">
      <c r="A8" s="4" t="s">
        <v>6</v>
      </c>
      <c r="B8" s="4" t="s">
        <v>6</v>
      </c>
      <c r="C8" s="4" t="s">
        <v>14</v>
      </c>
      <c r="D8" s="4" t="s">
        <v>54</v>
      </c>
      <c r="G8" s="4" t="s">
        <v>69</v>
      </c>
      <c r="K8" s="4" t="s">
        <v>82</v>
      </c>
      <c r="N8" s="4" t="s">
        <v>90</v>
      </c>
      <c r="P8" s="4" t="s">
        <v>57</v>
      </c>
      <c r="R8" s="4" t="s">
        <v>109</v>
      </c>
      <c r="S8" s="4" t="s">
        <v>117</v>
      </c>
      <c r="T8" s="4" t="s">
        <v>124</v>
      </c>
      <c r="W8" s="4" t="s">
        <v>140</v>
      </c>
      <c r="X8" s="4" t="s">
        <v>145</v>
      </c>
      <c r="Y8" s="4" t="s">
        <v>119</v>
      </c>
      <c r="Z8" s="4" t="s">
        <v>156</v>
      </c>
      <c r="AA8" s="4" t="s">
        <v>161</v>
      </c>
      <c r="AC8" s="4" t="s">
        <v>169</v>
      </c>
      <c r="AE8" s="4" t="s">
        <v>179</v>
      </c>
      <c r="AG8" s="4" t="s">
        <v>187</v>
      </c>
    </row>
    <row r="9" spans="1:33" x14ac:dyDescent="0.2">
      <c r="A9" s="4" t="s">
        <v>7</v>
      </c>
      <c r="B9" s="4" t="s">
        <v>7</v>
      </c>
      <c r="C9" s="4" t="s">
        <v>15</v>
      </c>
      <c r="D9" s="4" t="s">
        <v>55</v>
      </c>
      <c r="G9" s="4" t="s">
        <v>70</v>
      </c>
      <c r="K9" s="4" t="s">
        <v>83</v>
      </c>
      <c r="R9" s="4" t="s">
        <v>110</v>
      </c>
      <c r="S9" s="4" t="s">
        <v>118</v>
      </c>
      <c r="T9" s="4" t="s">
        <v>125</v>
      </c>
      <c r="X9" s="4" t="s">
        <v>146</v>
      </c>
      <c r="AC9" s="4" t="s">
        <v>170</v>
      </c>
      <c r="AG9" s="4" t="s">
        <v>188</v>
      </c>
    </row>
    <row r="10" spans="1:33" x14ac:dyDescent="0.2">
      <c r="B10" s="4" t="s">
        <v>9</v>
      </c>
      <c r="C10" s="4" t="s">
        <v>16</v>
      </c>
      <c r="D10" s="4" t="s">
        <v>56</v>
      </c>
      <c r="G10" s="4" t="s">
        <v>71</v>
      </c>
      <c r="R10" s="4" t="s">
        <v>111</v>
      </c>
      <c r="S10" s="4" t="s">
        <v>119</v>
      </c>
      <c r="T10" s="4" t="s">
        <v>126</v>
      </c>
      <c r="X10" s="4" t="s">
        <v>147</v>
      </c>
      <c r="AG10" s="4" t="s">
        <v>189</v>
      </c>
    </row>
    <row r="11" spans="1:33" x14ac:dyDescent="0.2">
      <c r="C11" s="4" t="s">
        <v>17</v>
      </c>
      <c r="D11" s="4" t="s">
        <v>57</v>
      </c>
      <c r="G11" s="4" t="s">
        <v>72</v>
      </c>
      <c r="R11" s="4" t="s">
        <v>112</v>
      </c>
      <c r="T11" s="4" t="s">
        <v>127</v>
      </c>
      <c r="AG11" s="4" t="s">
        <v>190</v>
      </c>
    </row>
    <row r="12" spans="1:33" x14ac:dyDescent="0.2">
      <c r="C12" s="4" t="s">
        <v>18</v>
      </c>
      <c r="T12" s="4" t="s">
        <v>128</v>
      </c>
      <c r="AG12" s="4" t="s">
        <v>191</v>
      </c>
    </row>
    <row r="13" spans="1:33" x14ac:dyDescent="0.2">
      <c r="C13" s="4" t="s">
        <v>19</v>
      </c>
      <c r="T13" s="4" t="s">
        <v>57</v>
      </c>
      <c r="AG13" s="4" t="s">
        <v>192</v>
      </c>
    </row>
    <row r="14" spans="1:33" x14ac:dyDescent="0.2">
      <c r="C14" s="4" t="s">
        <v>20</v>
      </c>
      <c r="AG14" s="4" t="s">
        <v>193</v>
      </c>
    </row>
    <row r="15" spans="1:33" x14ac:dyDescent="0.2">
      <c r="C15" s="4" t="s">
        <v>21</v>
      </c>
      <c r="AG15" s="4" t="s">
        <v>194</v>
      </c>
    </row>
    <row r="16" spans="1:33" x14ac:dyDescent="0.2">
      <c r="C16" s="4" t="s">
        <v>22</v>
      </c>
      <c r="AG16" s="4" t="s">
        <v>195</v>
      </c>
    </row>
    <row r="17" spans="3:3" x14ac:dyDescent="0.2">
      <c r="C17" s="4" t="s">
        <v>23</v>
      </c>
    </row>
    <row r="18" spans="3:3" x14ac:dyDescent="0.2">
      <c r="C18" s="4" t="s">
        <v>24</v>
      </c>
    </row>
    <row r="19" spans="3:3" x14ac:dyDescent="0.2">
      <c r="C19" s="4" t="s">
        <v>25</v>
      </c>
    </row>
    <row r="20" spans="3:3" x14ac:dyDescent="0.2">
      <c r="C20" s="4" t="s">
        <v>26</v>
      </c>
    </row>
    <row r="21" spans="3:3" x14ac:dyDescent="0.2">
      <c r="C21" s="4" t="s">
        <v>27</v>
      </c>
    </row>
    <row r="22" spans="3:3" x14ac:dyDescent="0.2">
      <c r="C22" s="4" t="s">
        <v>28</v>
      </c>
    </row>
    <row r="23" spans="3:3" x14ac:dyDescent="0.2">
      <c r="C23" s="4" t="s">
        <v>29</v>
      </c>
    </row>
    <row r="24" spans="3:3" x14ac:dyDescent="0.2">
      <c r="C24" s="4" t="s">
        <v>30</v>
      </c>
    </row>
    <row r="25" spans="3:3" x14ac:dyDescent="0.2">
      <c r="C25" s="4" t="s">
        <v>31</v>
      </c>
    </row>
    <row r="26" spans="3:3" x14ac:dyDescent="0.2">
      <c r="C26" s="4" t="s">
        <v>32</v>
      </c>
    </row>
    <row r="27" spans="3:3" x14ac:dyDescent="0.2">
      <c r="C27" s="4" t="s">
        <v>33</v>
      </c>
    </row>
    <row r="28" spans="3:3" x14ac:dyDescent="0.2">
      <c r="C28" s="4" t="s">
        <v>34</v>
      </c>
    </row>
    <row r="29" spans="3:3" x14ac:dyDescent="0.2">
      <c r="C29" s="4" t="s">
        <v>35</v>
      </c>
    </row>
    <row r="30" spans="3:3" x14ac:dyDescent="0.2">
      <c r="C30" s="4" t="s">
        <v>36</v>
      </c>
    </row>
    <row r="31" spans="3:3" x14ac:dyDescent="0.2">
      <c r="C31" s="4" t="s">
        <v>37</v>
      </c>
    </row>
    <row r="32" spans="3:3" x14ac:dyDescent="0.2">
      <c r="C32" s="4" t="s">
        <v>38</v>
      </c>
    </row>
    <row r="33" spans="3:3" x14ac:dyDescent="0.2">
      <c r="C33" s="4" t="s">
        <v>39</v>
      </c>
    </row>
    <row r="34" spans="3:3" x14ac:dyDescent="0.2">
      <c r="C34" s="4" t="s">
        <v>40</v>
      </c>
    </row>
    <row r="35" spans="3:3" x14ac:dyDescent="0.2">
      <c r="C35" s="4" t="s">
        <v>41</v>
      </c>
    </row>
    <row r="36" spans="3:3" x14ac:dyDescent="0.2">
      <c r="C36" s="4" t="s">
        <v>42</v>
      </c>
    </row>
    <row r="37" spans="3:3" x14ac:dyDescent="0.2">
      <c r="C37" s="4" t="s">
        <v>43</v>
      </c>
    </row>
    <row r="38" spans="3:3" x14ac:dyDescent="0.2">
      <c r="C38" s="4" t="s">
        <v>44</v>
      </c>
    </row>
    <row r="39" spans="3:3" x14ac:dyDescent="0.2">
      <c r="C39" s="4" t="s">
        <v>45</v>
      </c>
    </row>
    <row r="40" spans="3:3" x14ac:dyDescent="0.2">
      <c r="C40" s="4" t="s">
        <v>46</v>
      </c>
    </row>
    <row r="41" spans="3:3" x14ac:dyDescent="0.2">
      <c r="C41" s="4" t="s">
        <v>47</v>
      </c>
    </row>
    <row r="42" spans="3:3" x14ac:dyDescent="0.2">
      <c r="C42" s="4" t="s">
        <v>48</v>
      </c>
    </row>
    <row r="43" spans="3:3" x14ac:dyDescent="0.2">
      <c r="C43" s="4" t="s">
        <v>49</v>
      </c>
    </row>
  </sheetData>
  <sheetProtection sheet="1" objects="1" scenarios="1" formatColumns="0" formatRows="0" autoFilter="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992</vt:i4>
      </vt:variant>
    </vt:vector>
  </HeadingPairs>
  <TitlesOfParts>
    <vt:vector size="1016" baseType="lpstr">
      <vt:lpstr>Read_Me</vt:lpstr>
      <vt:lpstr>Cases</vt:lpstr>
      <vt:lpstr>Exposures</vt:lpstr>
      <vt:lpstr>Administrations</vt:lpstr>
      <vt:lpstr>Events</vt:lpstr>
      <vt:lpstr>Milestones</vt:lpstr>
      <vt:lpstr>Drug_Event_Links</vt:lpstr>
      <vt:lpstr>Intervals</vt:lpstr>
      <vt:lpstr>Product_Dossier</vt:lpstr>
      <vt:lpstr>Parameter_Register</vt:lpstr>
      <vt:lpstr>PK_Exercises</vt:lpstr>
      <vt:lpstr>PD_Profile</vt:lpstr>
      <vt:lpstr>Temporal_Profile</vt:lpstr>
      <vt:lpstr>Biology_Review</vt:lpstr>
      <vt:lpstr>Dechallenge_Rechallenge</vt:lpstr>
      <vt:lpstr>Alternatives_Followup</vt:lpstr>
      <vt:lpstr>Assessment_QC</vt:lpstr>
      <vt:lpstr>Summary</vt:lpstr>
      <vt:lpstr>Export</vt:lpstr>
      <vt:lpstr>Examples</vt:lpstr>
      <vt:lpstr>Verification</vt:lpstr>
      <vt:lpstr>Timepoints</vt:lpstr>
      <vt:lpstr>Flags_Messages</vt:lpstr>
      <vt:lpstr>Lists</vt:lpstr>
      <vt:lpstr>nADM_A_Date</vt:lpstr>
      <vt:lpstr>nADM_A_Dated</vt:lpstr>
      <vt:lpstr>nADM_A_Err</vt:lpstr>
      <vt:lpstr>nADM_A_Hi</vt:lpstr>
      <vt:lpstr>nADM_A_HT</vt:lpstr>
      <vt:lpstr>nADM_A_Lo</vt:lpstr>
      <vt:lpstr>nADM_A_Loc</vt:lpstr>
      <vt:lpstr>nADM_A_Lower</vt:lpstr>
      <vt:lpstr>nADM_A_Month</vt:lpstr>
      <vt:lpstr>nADM_A_Off</vt:lpstr>
      <vt:lpstr>nADM_A_OK</vt:lpstr>
      <vt:lpstr>nADM_A_Prec</vt:lpstr>
      <vt:lpstr>nADM_A_Src</vt:lpstr>
      <vt:lpstr>nADM_A_Text</vt:lpstr>
      <vt:lpstr>nADM_A_Time</vt:lpstr>
      <vt:lpstr>nADM_A_Upper</vt:lpstr>
      <vt:lpstr>nADM_A_UTC</vt:lpstr>
      <vt:lpstr>nADM_A_Year</vt:lpstr>
      <vt:lpstr>nADM_Admin_ID</vt:lpstr>
      <vt:lpstr>nADM_BSA_key</vt:lpstr>
      <vt:lpstr>nADM_BSA_m2</vt:lpstr>
      <vt:lpstr>nADM_BSA_missing</vt:lpstr>
      <vt:lpstr>nADM_BSA_n</vt:lpstr>
      <vt:lpstr>nADM_Case_ID</vt:lpstr>
      <vt:lpstr>nADM_Case_Version</vt:lpstr>
      <vt:lpstr>nADM_Check_Message</vt:lpstr>
      <vt:lpstr>nADM_Dose</vt:lpstr>
      <vt:lpstr>nADM_Dose_n</vt:lpstr>
      <vt:lpstr>nADM_Dose_per_BSA</vt:lpstr>
      <vt:lpstr>nADM_Dose_pos_n</vt:lpstr>
      <vt:lpstr>nADM_Dose_Unit</vt:lpstr>
      <vt:lpstr>nADM_Dup</vt:lpstr>
      <vt:lpstr>nADM_End_Date</vt:lpstr>
      <vt:lpstr>nADM_End_Off</vt:lpstr>
      <vt:lpstr>nADM_End_Src</vt:lpstr>
      <vt:lpstr>nADM_End_Time</vt:lpstr>
      <vt:lpstr>nADM_Ep_Found</vt:lpstr>
      <vt:lpstr>nADM_Exposure_Episode_ID</vt:lpstr>
      <vt:lpstr>nADM_HasBSA</vt:lpstr>
      <vt:lpstr>nADM_HasDose</vt:lpstr>
      <vt:lpstr>nADM_Key</vt:lpstr>
      <vt:lpstr>nADM_Kind</vt:lpstr>
      <vt:lpstr>nADM_Known</vt:lpstr>
      <vt:lpstr>nADM_Lo_n</vt:lpstr>
      <vt:lpstr>nADM_Loc_n</vt:lpstr>
      <vt:lpstr>nADM_Missing_Reason</vt:lpstr>
      <vt:lpstr>nADM_Notes</vt:lpstr>
      <vt:lpstr>nADM_Ovl_Loc</vt:lpstr>
      <vt:lpstr>nADM_Ovl_UTC</vt:lpstr>
      <vt:lpstr>nADM_Q10_DateErr</vt:lpstr>
      <vt:lpstr>nADM_Q10_Raw</vt:lpstr>
      <vt:lpstr>nADM_Rate</vt:lpstr>
      <vt:lpstr>nADM_Rate_n</vt:lpstr>
      <vt:lpstr>nADM_Rate_Unit</vt:lpstr>
      <vt:lpstr>nADM_Record_Check</vt:lpstr>
      <vt:lpstr>nADM_Rev_Loc</vt:lpstr>
      <vt:lpstr>nADM_Rev_UTC</vt:lpstr>
      <vt:lpstr>nADM_RowN</vt:lpstr>
      <vt:lpstr>nADM_SE_Err</vt:lpstr>
      <vt:lpstr>nADM_SE_Loc</vt:lpstr>
      <vt:lpstr>nADM_SE_OK</vt:lpstr>
      <vt:lpstr>nADM_SE_UTC</vt:lpstr>
      <vt:lpstr>nADM_Seg_Raw</vt:lpstr>
      <vt:lpstr>nADM_SegE_Loc_n</vt:lpstr>
      <vt:lpstr>nADM_SegE_UTC_n</vt:lpstr>
      <vt:lpstr>nADM_SegOK</vt:lpstr>
      <vt:lpstr>nADM_SegS_Loc_n</vt:lpstr>
      <vt:lpstr>nADM_SegS_UTC_n</vt:lpstr>
      <vt:lpstr>nADM_SegValid</vt:lpstr>
      <vt:lpstr>nADM_SelKey</vt:lpstr>
      <vt:lpstr>nADM_UTC_n</vt:lpstr>
      <vt:lpstr>nADM_Valid</vt:lpstr>
      <vt:lpstr>nCASE_Case_ID</vt:lpstr>
      <vt:lpstr>nCASE_Case_Version</vt:lpstr>
      <vt:lpstr>nCASE_Check_Message</vt:lpstr>
      <vt:lpstr>nCASE_Dup</vt:lpstr>
      <vt:lpstr>nCASE_Fictional</vt:lpstr>
      <vt:lpstr>nCASE_Key</vt:lpstr>
      <vt:lpstr>nCASE_Received_Date</vt:lpstr>
      <vt:lpstr>nCASE_Record_Check</vt:lpstr>
      <vt:lpstr>nCASE_Review_Date</vt:lpstr>
      <vt:lpstr>nCASE_Reviewer</vt:lpstr>
      <vt:lpstr>nCASE_Setting</vt:lpstr>
      <vt:lpstr>nCASE_Summary</vt:lpstr>
      <vt:lpstr>nCASE_Version_Note</vt:lpstr>
      <vt:lpstr>nEVT_Baseline_Status</vt:lpstr>
      <vt:lpstr>nEVT_Case_ID</vt:lpstr>
      <vt:lpstr>nEVT_Case_Version</vt:lpstr>
      <vt:lpstr>nEVT_Check_Message</vt:lpstr>
      <vt:lpstr>nEVT_D_Date</vt:lpstr>
      <vt:lpstr>nEVT_D_Err</vt:lpstr>
      <vt:lpstr>nEVT_D_Hi</vt:lpstr>
      <vt:lpstr>nEVT_D_HT</vt:lpstr>
      <vt:lpstr>nEVT_D_Lo</vt:lpstr>
      <vt:lpstr>nEVT_D_Loc</vt:lpstr>
      <vt:lpstr>nEVT_D_Lower</vt:lpstr>
      <vt:lpstr>nEVT_D_Month</vt:lpstr>
      <vt:lpstr>nEVT_D_Off</vt:lpstr>
      <vt:lpstr>nEVT_D_OK</vt:lpstr>
      <vt:lpstr>nEVT_D_Prec</vt:lpstr>
      <vt:lpstr>nEVT_D_Src</vt:lpstr>
      <vt:lpstr>nEVT_D_Text</vt:lpstr>
      <vt:lpstr>nEVT_D_Time</vt:lpstr>
      <vt:lpstr>nEVT_D_Upper</vt:lpstr>
      <vt:lpstr>nEVT_D_UTC</vt:lpstr>
      <vt:lpstr>nEVT_D_Year</vt:lpstr>
      <vt:lpstr>nEVT_Dup</vt:lpstr>
      <vt:lpstr>nEVT_Episode_ID</vt:lpstr>
      <vt:lpstr>nEVT_Event_ID</vt:lpstr>
      <vt:lpstr>nEVT_Event_Term</vt:lpstr>
      <vt:lpstr>nEVT_Key</vt:lpstr>
      <vt:lpstr>nEVT_Missing_Reason</vt:lpstr>
      <vt:lpstr>nEVT_Notes</vt:lpstr>
      <vt:lpstr>nEVT_O_Date</vt:lpstr>
      <vt:lpstr>nEVT_O_Err</vt:lpstr>
      <vt:lpstr>nEVT_O_Hi</vt:lpstr>
      <vt:lpstr>nEVT_O_HT</vt:lpstr>
      <vt:lpstr>nEVT_O_LA_Code</vt:lpstr>
      <vt:lpstr>nEVT_O_LA_Row</vt:lpstr>
      <vt:lpstr>nEVT_O_LabAbnormal</vt:lpstr>
      <vt:lpstr>nEVT_O_LabErr</vt:lpstr>
      <vt:lpstr>nEVT_O_LabNormal</vt:lpstr>
      <vt:lpstr>nEVT_O_LN_Code</vt:lpstr>
      <vt:lpstr>nEVT_O_LN_Row</vt:lpstr>
      <vt:lpstr>nEVT_O_Lo</vt:lpstr>
      <vt:lpstr>nEVT_O_Loc</vt:lpstr>
      <vt:lpstr>nEVT_O_Lower</vt:lpstr>
      <vt:lpstr>nEVT_O_Month</vt:lpstr>
      <vt:lpstr>nEVT_O_Off</vt:lpstr>
      <vt:lpstr>nEVT_O_OK</vt:lpstr>
      <vt:lpstr>nEVT_O_Prec</vt:lpstr>
      <vt:lpstr>nEVT_O_Src</vt:lpstr>
      <vt:lpstr>nEVT_O_Text</vt:lpstr>
      <vt:lpstr>nEVT_O_Time</vt:lpstr>
      <vt:lpstr>nEVT_O_Upper</vt:lpstr>
      <vt:lpstr>nEVT_O_UTC</vt:lpstr>
      <vt:lpstr>nEVT_O_Year</vt:lpstr>
      <vt:lpstr>nEVT_Record_Check</vt:lpstr>
      <vt:lpstr>nEX_Match</vt:lpstr>
      <vt:lpstr>nEX_Status</vt:lpstr>
      <vt:lpstr>nEXP_Case_ID</vt:lpstr>
      <vt:lpstr>nEXP_Case_Version</vt:lpstr>
      <vt:lpstr>nEXP_Check_Message</vt:lpstr>
      <vt:lpstr>nEXP_Dose</vt:lpstr>
      <vt:lpstr>nEXP_Dose_Unit</vt:lpstr>
      <vt:lpstr>nEXP_Drug_ID</vt:lpstr>
      <vt:lpstr>nEXP_Dup</vt:lpstr>
      <vt:lpstr>nEXP_Exposure_Episode_ID</vt:lpstr>
      <vt:lpstr>nEXP_Key</vt:lpstr>
      <vt:lpstr>nEXP_Missing_Reason</vt:lpstr>
      <vt:lpstr>nEXP_Notes</vt:lpstr>
      <vt:lpstr>nEXP_Product</vt:lpstr>
      <vt:lpstr>nEXP_R_Date</vt:lpstr>
      <vt:lpstr>nEXP_R_Err</vt:lpstr>
      <vt:lpstr>nEXP_R_Hi</vt:lpstr>
      <vt:lpstr>nEXP_R_HT</vt:lpstr>
      <vt:lpstr>nEXP_R_Lo</vt:lpstr>
      <vt:lpstr>nEXP_R_Loc</vt:lpstr>
      <vt:lpstr>nEXP_R_Lower</vt:lpstr>
      <vt:lpstr>nEXP_R_Month</vt:lpstr>
      <vt:lpstr>nEXP_R_Off</vt:lpstr>
      <vt:lpstr>nEXP_R_OK</vt:lpstr>
      <vt:lpstr>nEXP_R_Prec</vt:lpstr>
      <vt:lpstr>nEXP_R_Src</vt:lpstr>
      <vt:lpstr>nEXP_R_Text</vt:lpstr>
      <vt:lpstr>nEXP_R_Time</vt:lpstr>
      <vt:lpstr>nEXP_R_Upper</vt:lpstr>
      <vt:lpstr>nEXP_R_UTC</vt:lpstr>
      <vt:lpstr>nEXP_R_Year</vt:lpstr>
      <vt:lpstr>nEXP_Record_Check</vt:lpstr>
      <vt:lpstr>nEXP_Regimen_Text</vt:lpstr>
      <vt:lpstr>nEXP_Role</vt:lpstr>
      <vt:lpstr>nEXP_Route</vt:lpstr>
      <vt:lpstr>nEXP_S_Date</vt:lpstr>
      <vt:lpstr>nEXP_S_Err</vt:lpstr>
      <vt:lpstr>nEXP_S_Hi</vt:lpstr>
      <vt:lpstr>nEXP_S_HT</vt:lpstr>
      <vt:lpstr>nEXP_S_Lo</vt:lpstr>
      <vt:lpstr>nEXP_S_Loc</vt:lpstr>
      <vt:lpstr>nEXP_S_Lower</vt:lpstr>
      <vt:lpstr>nEXP_S_Month</vt:lpstr>
      <vt:lpstr>nEXP_S_Off</vt:lpstr>
      <vt:lpstr>nEXP_S_OK</vt:lpstr>
      <vt:lpstr>nEXP_S_Prec</vt:lpstr>
      <vt:lpstr>nEXP_S_Src</vt:lpstr>
      <vt:lpstr>nEXP_S_Text</vt:lpstr>
      <vt:lpstr>nEXP_S_Time</vt:lpstr>
      <vt:lpstr>nEXP_S_Upper</vt:lpstr>
      <vt:lpstr>nEXP_S_UTC</vt:lpstr>
      <vt:lpstr>nEXP_S_Year</vt:lpstr>
      <vt:lpstr>nEXP_T_Date</vt:lpstr>
      <vt:lpstr>nEXP_T_Err</vt:lpstr>
      <vt:lpstr>nEXP_T_Hi</vt:lpstr>
      <vt:lpstr>nEXP_T_HT</vt:lpstr>
      <vt:lpstr>nEXP_T_Lo</vt:lpstr>
      <vt:lpstr>nEXP_T_Loc</vt:lpstr>
      <vt:lpstr>nEXP_T_Lower</vt:lpstr>
      <vt:lpstr>nEXP_T_Month</vt:lpstr>
      <vt:lpstr>nEXP_T_Off</vt:lpstr>
      <vt:lpstr>nEXP_T_OK</vt:lpstr>
      <vt:lpstr>nEXP_T_Prec</vt:lpstr>
      <vt:lpstr>nEXP_T_Src</vt:lpstr>
      <vt:lpstr>nEXP_T_Text</vt:lpstr>
      <vt:lpstr>nEXP_T_Time</vt:lpstr>
      <vt:lpstr>nEXP_T_Upper</vt:lpstr>
      <vt:lpstr>nEXP_T_UTC</vt:lpstr>
      <vt:lpstr>nEXP_T_Year</vt:lpstr>
      <vt:lpstr>nEXPORT_Data</vt:lpstr>
      <vt:lpstr>nINT_A_Dup</vt:lpstr>
      <vt:lpstr>nINT_A_Err</vt:lpstr>
      <vt:lpstr>nINT_A_Hi</vt:lpstr>
      <vt:lpstr>nINT_A_HT</vt:lpstr>
      <vt:lpstr>nINT_A_Lo</vt:lpstr>
      <vt:lpstr>nINT_A_Loc</vt:lpstr>
      <vt:lpstr>nINT_A_OK</vt:lpstr>
      <vt:lpstr>nINT_A_Prec</vt:lpstr>
      <vt:lpstr>nINT_A_Res</vt:lpstr>
      <vt:lpstr>nINT_A_Row</vt:lpstr>
      <vt:lpstr>nINT_A_Src</vt:lpstr>
      <vt:lpstr>nINT_A_Text</vt:lpstr>
      <vt:lpstr>nINT_A_Type</vt:lpstr>
      <vt:lpstr>nINT_A_UTC</vt:lpstr>
      <vt:lpstr>nINT_Anc_Err</vt:lpstr>
      <vt:lpstr>nINT_Anc_Needs</vt:lpstr>
      <vt:lpstr>nINT_Anchor_Description</vt:lpstr>
      <vt:lpstr>nINT_Anchor_Display</vt:lpstr>
      <vt:lpstr>nINT_Anchor_ISO</vt:lpstr>
      <vt:lpstr>nINT_Anchor_Record_ID</vt:lpstr>
      <vt:lpstr>nINT_Anchor_Record_ID_Used</vt:lpstr>
      <vt:lpstr>nINT_Anchor_Type</vt:lpstr>
      <vt:lpstr>nINT_Assumptions</vt:lpstr>
      <vt:lpstr>nINT_AutoC5</vt:lpstr>
      <vt:lpstr>nINT_C5_BestDay</vt:lpstr>
      <vt:lpstr>nINT_C5_Case</vt:lpstr>
      <vt:lpstr>nINT_C5_CK</vt:lpstr>
      <vt:lpstr>nINT_C5_CntLocN</vt:lpstr>
      <vt:lpstr>nINT_C5_CntMaxLo</vt:lpstr>
      <vt:lpstr>nINT_C5_CntUTC</vt:lpstr>
      <vt:lpstr>nINT_C5_DAtMax</vt:lpstr>
      <vt:lpstr>nINT_C5_ErrTxt</vt:lpstr>
      <vt:lpstr>nINT_C5_Fail</vt:lpstr>
      <vt:lpstr>nINT_C5_Go</vt:lpstr>
      <vt:lpstr>nINT_C5_LoAtLocN</vt:lpstr>
      <vt:lpstr>nINT_C5_LoAtUTC</vt:lpstr>
      <vt:lpstr>nINT_C5_LocAtUTC</vt:lpstr>
      <vt:lpstr>nINT_C5_MaxLo</vt:lpstr>
      <vt:lpstr>nINT_C5_MaxLocN</vt:lpstr>
      <vt:lpstr>nINT_C5_MaxLocOK</vt:lpstr>
      <vt:lpstr>nINT_C5_MaxLoD</vt:lpstr>
      <vt:lpstr>nINT_C5_MaxUTC</vt:lpstr>
      <vt:lpstr>nINT_C5_NAll</vt:lpstr>
      <vt:lpstr>nINT_C5_Needs</vt:lpstr>
      <vt:lpstr>nINT_C5_NEl</vt:lpstr>
      <vt:lpstr>nINT_C5_NPB</vt:lpstr>
      <vt:lpstr>nINT_C5_NUnc</vt:lpstr>
      <vt:lpstr>nINT_C5_NValid</vt:lpstr>
      <vt:lpstr>nINT_C5_PBlock</vt:lpstr>
      <vt:lpstr>nINT_C5_Row</vt:lpstr>
      <vt:lpstr>nINT_C5_Selected</vt:lpstr>
      <vt:lpstr>nINT_C6_Code</vt:lpstr>
      <vt:lpstr>nINT_C6_Factor</vt:lpstr>
      <vt:lpstr>nINT_C6_On</vt:lpstr>
      <vt:lpstr>nINT_Calculation_Mode</vt:lpstr>
      <vt:lpstr>nINT_Calculation_Mode_Used</vt:lpstr>
      <vt:lpstr>nINT_Calculation_Version</vt:lpstr>
      <vt:lpstr>nINT_Case_ID</vt:lpstr>
      <vt:lpstr>nINT_Case_Version</vt:lpstr>
      <vt:lpstr>nINT_CaseKey</vt:lpstr>
      <vt:lpstr>nINT_Constrained_Maximum</vt:lpstr>
      <vt:lpstr>nINT_Constrained_Minimum</vt:lpstr>
      <vt:lpstr>nINT_Constraint_Check</vt:lpstr>
      <vt:lpstr>nINT_Constraint_Not_After</vt:lpstr>
      <vt:lpstr>nINT_Constraint_Not_Before</vt:lpstr>
      <vt:lpstr>nINT_Constraint_Source</vt:lpstr>
      <vt:lpstr>nINT_Displayed_Value</vt:lpstr>
      <vt:lpstr>nINT_Dup</vt:lpstr>
      <vt:lpstr>nINT_End_Display</vt:lpstr>
      <vt:lpstr>nINT_End_Err</vt:lpstr>
      <vt:lpstr>nINT_End_Is_Onset</vt:lpstr>
      <vt:lpstr>nINT_End_ISO</vt:lpstr>
      <vt:lpstr>nINT_End_Needs</vt:lpstr>
      <vt:lpstr>nINT_End_Record_ID</vt:lpstr>
      <vt:lpstr>nINT_End_Record_ID_Used</vt:lpstr>
      <vt:lpstr>nINT_ErrPre</vt:lpstr>
      <vt:lpstr>nINT_Event_Episode_ID</vt:lpstr>
      <vt:lpstr>nINT_EvtDup</vt:lpstr>
      <vt:lpstr>nINT_ExpDup</vt:lpstr>
      <vt:lpstr>nINT_Exposure_Episode_ID</vt:lpstr>
      <vt:lpstr>nINT_f_AdminSame</vt:lpstr>
      <vt:lpstr>nINT_f_Approx</vt:lpstr>
      <vt:lpstr>nINT_f_C7</vt:lpstr>
      <vt:lpstr>nINT_f_Conflict</vt:lpstr>
      <vt:lpstr>nINT_f_Interv</vt:lpstr>
      <vt:lpstr>nINT_f_SameDate</vt:lpstr>
      <vt:lpstr>nINT_f_SeqUnc</vt:lpstr>
      <vt:lpstr>nINT_f_TDundef</vt:lpstr>
      <vt:lpstr>nINT_f_TZ</vt:lpstr>
      <vt:lpstr>nINT_Interval_ID</vt:lpstr>
      <vt:lpstr>nINT_Interval_Maximum</vt:lpstr>
      <vt:lpstr>nINT_Interval_Minimum</vt:lpstr>
      <vt:lpstr>nINT_Interval_Value</vt:lpstr>
      <vt:lpstr>nINT_IntervCount</vt:lpstr>
      <vt:lpstr>nINT_Interventions_Counted</vt:lpstr>
      <vt:lpstr>nINT_IntvErr</vt:lpstr>
      <vt:lpstr>nINT_IntvUndated</vt:lpstr>
      <vt:lpstr>nINT_IV_IDs</vt:lpstr>
      <vt:lpstr>nINT_IV_List</vt:lpstr>
      <vt:lpstr>nINT_IV_R1</vt:lpstr>
      <vt:lpstr>nINT_IV_R2</vt:lpstr>
      <vt:lpstr>nINT_IV_R3</vt:lpstr>
      <vt:lpstr>nINT_K_CErr</vt:lpstr>
      <vt:lpstr>nINT_K_CHi</vt:lpstr>
      <vt:lpstr>nINT_K_CLo</vt:lpstr>
      <vt:lpstr>nINT_K_Err</vt:lpstr>
      <vt:lpstr>nINT_K_HasC</vt:lpstr>
      <vt:lpstr>nINT_K_Needs</vt:lpstr>
      <vt:lpstr>nINT_K_Ok</vt:lpstr>
      <vt:lpstr>nINT_K_TZU</vt:lpstr>
      <vt:lpstr>nINT_Key</vt:lpstr>
      <vt:lpstr>nINT_Label</vt:lpstr>
      <vt:lpstr>nINT_Limitations</vt:lpstr>
      <vt:lpstr>nINT_Link_ID</vt:lpstr>
      <vt:lpstr>nINT_LinkRow</vt:lpstr>
      <vt:lpstr>nINT_Lnk_EvtOK</vt:lpstr>
      <vt:lpstr>nINT_Lnk_ExpOK</vt:lpstr>
      <vt:lpstr>nINT_Messages</vt:lpstr>
      <vt:lpstr>nINT_Mode</vt:lpstr>
      <vt:lpstr>nINT_Mode_Bad</vt:lpstr>
      <vt:lpstr>nINT_Mode_Finest</vt:lpstr>
      <vt:lpstr>nINT_O_Dup</vt:lpstr>
      <vt:lpstr>nINT_O_Err</vt:lpstr>
      <vt:lpstr>nINT_O_Hi</vt:lpstr>
      <vt:lpstr>nINT_O_HT</vt:lpstr>
      <vt:lpstr>nINT_O_Lab_Note</vt:lpstr>
      <vt:lpstr>nINT_O_Lo</vt:lpstr>
      <vt:lpstr>nINT_O_Loc</vt:lpstr>
      <vt:lpstr>nINT_O_OK</vt:lpstr>
      <vt:lpstr>nINT_O_Prec</vt:lpstr>
      <vt:lpstr>nINT_O_Res</vt:lpstr>
      <vt:lpstr>nINT_O_Row</vt:lpstr>
      <vt:lpstr>nINT_O_Src</vt:lpstr>
      <vt:lpstr>nINT_O_Text</vt:lpstr>
      <vt:lpstr>nINT_O_Type</vt:lpstr>
      <vt:lpstr>nINT_O_UTC</vt:lpstr>
      <vt:lpstr>nINT_Parameter_Set</vt:lpstr>
      <vt:lpstr>nINT_PB_List</vt:lpstr>
      <vt:lpstr>nINT_PB_R1</vt:lpstr>
      <vt:lpstr>nINT_PB_R2</vt:lpstr>
      <vt:lpstr>nINT_PB_R3</vt:lpstr>
      <vt:lpstr>nINT_PreErr</vt:lpstr>
      <vt:lpstr>nINT_QC_Flags</vt:lpstr>
      <vt:lpstr>nINT_Reported_Bounds_Justification</vt:lpstr>
      <vt:lpstr>nINT_Reported_Lower</vt:lpstr>
      <vt:lpstr>nINT_Reported_Text</vt:lpstr>
      <vt:lpstr>nINT_Reported_Timing_Result</vt:lpstr>
      <vt:lpstr>nINT_Reported_Unit</vt:lpstr>
      <vt:lpstr>nINT_Reported_Upper</vt:lpstr>
      <vt:lpstr>nINT_Result_Display</vt:lpstr>
      <vt:lpstr>nINT_Reviewer_Note</vt:lpstr>
      <vt:lpstr>nINT_RowEmpty</vt:lpstr>
      <vt:lpstr>nINT_Sequence_Status</vt:lpstr>
      <vt:lpstr>nINT_Treatment_Day</vt:lpstr>
      <vt:lpstr>nINT_Treatment_Day_Convention</vt:lpstr>
      <vt:lpstr>nINT_Treatment_Day_Used</vt:lpstr>
      <vt:lpstr>nINT_TX_List</vt:lpstr>
      <vt:lpstr>nINT_TX_R1</vt:lpstr>
      <vt:lpstr>nINT_TX_R2</vt:lpstr>
      <vt:lpstr>nINT_TX_R3</vt:lpstr>
      <vt:lpstr>nINT_TxNotCounted</vt:lpstr>
      <vt:lpstr>nINT_TypeOK</vt:lpstr>
      <vt:lpstr>nINT_Unit</vt:lpstr>
      <vt:lpstr>nINT_V_Days</vt:lpstr>
      <vt:lpstr>nINT_V_Max4</vt:lpstr>
      <vt:lpstr>nINT_V_Min</vt:lpstr>
      <vt:lpstr>nINT_V_Min4</vt:lpstr>
      <vt:lpstr>nLIST_Action</vt:lpstr>
      <vt:lpstr>nLIST_AdminKind</vt:lpstr>
      <vt:lpstr>nLIST_AnchorType</vt:lpstr>
      <vt:lpstr>nLIST_CLUnit</vt:lpstr>
      <vt:lpstr>nLIST_DaysOnly</vt:lpstr>
      <vt:lpstr>nLIST_DocType</vt:lpstr>
      <vt:lpstr>nLIST_DoseUnit</vt:lpstr>
      <vt:lpstr>nLIST_Fit</vt:lpstr>
      <vt:lpstr>nLIST_HalfLifeType</vt:lpstr>
      <vt:lpstr>nLIST_ItemType</vt:lpstr>
      <vt:lpstr>nLIST_MechStatus</vt:lpstr>
      <vt:lpstr>nLIST_MethodB</vt:lpstr>
      <vt:lpstr>nLIST_MilestoneType</vt:lpstr>
      <vt:lpstr>nLIST_MissingReason</vt:lpstr>
      <vt:lpstr>nLIST_Mode</vt:lpstr>
      <vt:lpstr>nLIST_Months</vt:lpstr>
      <vt:lpstr>nLIST_Offset</vt:lpstr>
      <vt:lpstr>nLIST_OnsetPrecision</vt:lpstr>
      <vt:lpstr>nLIST_Precision</vt:lpstr>
      <vt:lpstr>nLIST_Priority</vt:lpstr>
      <vt:lpstr>nLIST_Q6Use</vt:lpstr>
      <vt:lpstr>nLIST_QueryStatus</vt:lpstr>
      <vt:lpstr>nLIST_RateUnit</vt:lpstr>
      <vt:lpstr>nLIST_ReportedUnit</vt:lpstr>
      <vt:lpstr>nLIST_Role</vt:lpstr>
      <vt:lpstr>nLIST_SCrUnit</vt:lpstr>
      <vt:lpstr>nLIST_Sex</vt:lpstr>
      <vt:lpstr>nLIST_Status</vt:lpstr>
      <vt:lpstr>nLIST_TD</vt:lpstr>
      <vt:lpstr>nLIST_TimeUnit</vt:lpstr>
      <vt:lpstr>nLIST_TimingType</vt:lpstr>
      <vt:lpstr>nLIST_WeightType</vt:lpstr>
      <vt:lpstr>nLIST_YesNo</vt:lpstr>
      <vt:lpstr>nLNK_Case_ID</vt:lpstr>
      <vt:lpstr>nLNK_Case_Version</vt:lpstr>
      <vt:lpstr>nLNK_Check_Message</vt:lpstr>
      <vt:lpstr>nLNK_Dup</vt:lpstr>
      <vt:lpstr>nLNK_Event_Episode_ID</vt:lpstr>
      <vt:lpstr>nLNK_Evt_Found</vt:lpstr>
      <vt:lpstr>nLNK_Exp_Found</vt:lpstr>
      <vt:lpstr>nLNK_Exposure_Episode_ID</vt:lpstr>
      <vt:lpstr>nLNK_Key</vt:lpstr>
      <vt:lpstr>nLNK_Link_ID</vt:lpstr>
      <vt:lpstr>nLNK_Reason</vt:lpstr>
      <vt:lpstr>nLNK_Record_Check</vt:lpstr>
      <vt:lpstr>nLNK_Selected_By</vt:lpstr>
      <vt:lpstr>nMS_Case_ID</vt:lpstr>
      <vt:lpstr>nMS_Case_Version</vt:lpstr>
      <vt:lpstr>nMS_CaseKey</vt:lpstr>
      <vt:lpstr>nMS_Check_Message</vt:lpstr>
      <vt:lpstr>nMS_Description</vt:lpstr>
      <vt:lpstr>nMS_Dup</vt:lpstr>
      <vt:lpstr>nMS_Key</vt:lpstr>
      <vt:lpstr>nMS_M_Date</vt:lpstr>
      <vt:lpstr>nMS_M_Err</vt:lpstr>
      <vt:lpstr>nMS_M_Hi</vt:lpstr>
      <vt:lpstr>nMS_M_HT</vt:lpstr>
      <vt:lpstr>nMS_M_Lo</vt:lpstr>
      <vt:lpstr>nMS_M_Loc</vt:lpstr>
      <vt:lpstr>nMS_M_Lower</vt:lpstr>
      <vt:lpstr>nMS_M_Month</vt:lpstr>
      <vt:lpstr>nMS_M_Off</vt:lpstr>
      <vt:lpstr>nMS_M_OK</vt:lpstr>
      <vt:lpstr>nMS_M_Prec</vt:lpstr>
      <vt:lpstr>nMS_M_Src</vt:lpstr>
      <vt:lpstr>nMS_M_Text</vt:lpstr>
      <vt:lpstr>nMS_M_Time</vt:lpstr>
      <vt:lpstr>nMS_M_Upper</vt:lpstr>
      <vt:lpstr>nMS_M_UTC</vt:lpstr>
      <vt:lpstr>nMS_M_Year</vt:lpstr>
      <vt:lpstr>nMS_Milestone_ID</vt:lpstr>
      <vt:lpstr>nMS_Missing_Reason</vt:lpstr>
      <vt:lpstr>nMS_Notes</vt:lpstr>
      <vt:lpstr>nMS_Record_Check</vt:lpstr>
      <vt:lpstr>nMS_Reference_Range</vt:lpstr>
      <vt:lpstr>nMS_Related_Episode_ID</vt:lpstr>
      <vt:lpstr>nMS_Type</vt:lpstr>
      <vt:lpstr>nMS_Undated</vt:lpstr>
      <vt:lpstr>nMS_Unit</vt:lpstr>
      <vt:lpstr>nMS_Value</vt:lpstr>
      <vt:lpstr>nMSG_Code</vt:lpstr>
      <vt:lpstr>nMSG_Text</vt:lpstr>
      <vt:lpstr>nQ1_Assumptions</vt:lpstr>
      <vt:lpstr>nQ1_Calc_ID</vt:lpstr>
      <vt:lpstr>nQ1_Calculation_Version</vt:lpstr>
      <vt:lpstr>nQ1_Case_ID</vt:lpstr>
      <vt:lpstr>nQ1_Case_Version</vt:lpstr>
      <vt:lpstr>nQ1_CaseKey</vt:lpstr>
      <vt:lpstr>nQ1_Displayed_Value</vt:lpstr>
      <vt:lpstr>nQ1_Err</vt:lpstr>
      <vt:lpstr>nQ1_ErrRaw</vt:lpstr>
      <vt:lpstr>nQ1_Formula_in_words</vt:lpstr>
      <vt:lpstr>nQ1_Fraction_Remaining</vt:lpstr>
      <vt:lpstr>nQ1_G_HL</vt:lpstr>
      <vt:lpstr>nQ1_G_HL_Pop</vt:lpstr>
      <vt:lpstr>nQ1_G_HL_Src</vt:lpstr>
      <vt:lpstr>nQ1_G_HL_Type</vt:lpstr>
      <vt:lpstr>nQ1_G_Model</vt:lpstr>
      <vt:lpstr>nQ1_G_Ref</vt:lpstr>
      <vt:lpstr>nQ1_G_RefText</vt:lpstr>
      <vt:lpstr>nQ1_G_Status</vt:lpstr>
      <vt:lpstr>nQ1_GateOK</vt:lpstr>
      <vt:lpstr>nQ1_k_per_hour</vt:lpstr>
      <vt:lpstr>nQ1_k_per_unit</vt:lpstr>
      <vt:lpstr>nQ1_Key</vt:lpstr>
      <vt:lpstr>nQ1_Label_Out</vt:lpstr>
      <vt:lpstr>nQ1_Mandatory_Text</vt:lpstr>
      <vt:lpstr>nQ1_Messages</vt:lpstr>
      <vt:lpstr>nQ1_Needs</vt:lpstr>
      <vt:lpstr>nQ1_NeedsRaw</vt:lpstr>
      <vt:lpstr>nQ1_Ok</vt:lpstr>
      <vt:lpstr>nQ1_Parameter_Set</vt:lpstr>
      <vt:lpstr>nQ1_Percent_Remaining</vt:lpstr>
      <vt:lpstr>nQ1_QC_Flags</vt:lpstr>
      <vt:lpstr>nQ1_Question</vt:lpstr>
      <vt:lpstr>nQ1_Result_Display</vt:lpstr>
      <vt:lpstr>nQ1_Results_Text</vt:lpstr>
      <vt:lpstr>nQ1_RowEmpty</vt:lpstr>
      <vt:lpstr>nQ1_Stated_Assumptions</vt:lpstr>
      <vt:lpstr>nQ1_t</vt:lpstr>
      <vt:lpstr>nQ1_t_half</vt:lpstr>
      <vt:lpstr>nQ1_t_half_Source</vt:lpstr>
      <vt:lpstr>nQ1_t_half_Status</vt:lpstr>
      <vt:lpstr>nQ1_t_Source</vt:lpstr>
      <vt:lpstr>nQ1_t_Status</vt:lpstr>
      <vt:lpstr>nQ1_Time_Unit</vt:lpstr>
      <vt:lpstr>nQ1_Unit_Out</vt:lpstr>
      <vt:lpstr>nQ10_AdmCodes</vt:lpstr>
      <vt:lpstr>nQ10_Assumptions</vt:lpstr>
      <vt:lpstr>nQ10_B_BSA</vt:lpstr>
      <vt:lpstr>nQ10_ByDate</vt:lpstr>
      <vt:lpstr>nQ10_Calc_ID</vt:lpstr>
      <vt:lpstr>nQ10_Calculation_Version</vt:lpstr>
      <vt:lpstr>nQ10_Case_ID</vt:lpstr>
      <vt:lpstr>nQ10_Case_Version</vt:lpstr>
      <vt:lpstr>nQ10_CaseKey</vt:lpstr>
      <vt:lpstr>nQ10_DateCodes</vt:lpstr>
      <vt:lpstr>nQ10_Displayed_Value</vt:lpstr>
      <vt:lpstr>nQ10_DMax</vt:lpstr>
      <vt:lpstr>nQ10_DMin</vt:lpstr>
      <vt:lpstr>nQ10_Err</vt:lpstr>
      <vt:lpstr>nQ10_ErrRaw</vt:lpstr>
      <vt:lpstr>nQ10_Exposure_Episode_ID</vt:lpstr>
      <vt:lpstr>nQ10_FirstRow</vt:lpstr>
      <vt:lpstr>nQ10_FL</vt:lpstr>
      <vt:lpstr>nQ10_Formula_in_words</vt:lpstr>
      <vt:lpstr>nQ10_Key</vt:lpstr>
      <vt:lpstr>nQ10_Label_Out</vt:lpstr>
      <vt:lpstr>nQ10_LastRow</vt:lpstr>
      <vt:lpstr>nQ10_Mandatory_Text</vt:lpstr>
      <vt:lpstr>nQ10_Messages</vt:lpstr>
      <vt:lpstr>nQ10_Method_A_mg_m2</vt:lpstr>
      <vt:lpstr>nQ10_Method_B</vt:lpstr>
      <vt:lpstr>nQ10_Method_B_BSA_m2</vt:lpstr>
      <vt:lpstr>nQ10_Method_B_BSA_Source</vt:lpstr>
      <vt:lpstr>nQ10_Method_B_mg_m2</vt:lpstr>
      <vt:lpstr>nQ10_Method_B_Stated_BSA</vt:lpstr>
      <vt:lpstr>nQ10_N_Adm</vt:lpstr>
      <vt:lpstr>nQ10_N_Dated</vt:lpstr>
      <vt:lpstr>nQ10_N_Doses</vt:lpstr>
      <vt:lpstr>nQ10_N_Known</vt:lpstr>
      <vt:lpstr>nQ10_N_Missing</vt:lpstr>
      <vt:lpstr>nQ10_N_With_BSA</vt:lpstr>
      <vt:lpstr>nQ10_Needs</vt:lpstr>
      <vt:lpstr>nQ10_NeedsRaw</vt:lpstr>
      <vt:lpstr>nQ10_Ok</vt:lpstr>
      <vt:lpstr>nQ10_Parameter_Set</vt:lpstr>
      <vt:lpstr>nQ10_QC_Flags</vt:lpstr>
      <vt:lpstr>nQ10_Question</vt:lpstr>
      <vt:lpstr>nQ10_Result_Display</vt:lpstr>
      <vt:lpstr>nQ10_Results_Text</vt:lpstr>
      <vt:lpstr>nQ10_RowEmpty</vt:lpstr>
      <vt:lpstr>nQ10_SelKey</vt:lpstr>
      <vt:lpstr>nQ10_Stated_Assumptions</vt:lpstr>
      <vt:lpstr>nQ10_TieFirst</vt:lpstr>
      <vt:lpstr>nQ10_TieLast</vt:lpstr>
      <vt:lpstr>nQ10_Total_Dose_mg</vt:lpstr>
      <vt:lpstr>nQ10_Unit_Out</vt:lpstr>
      <vt:lpstr>nQ11_Age_Status</vt:lpstr>
      <vt:lpstr>nQ11_Age_years</vt:lpstr>
      <vt:lpstr>nQ11_Assumptions</vt:lpstr>
      <vt:lpstr>nQ11_Calc_ID</vt:lpstr>
      <vt:lpstr>nQ11_Calculation_Version</vt:lpstr>
      <vt:lpstr>nQ11_Case_ID</vt:lpstr>
      <vt:lpstr>nQ11_Case_Version</vt:lpstr>
      <vt:lpstr>nQ11_CaseKey</vt:lpstr>
      <vt:lpstr>nQ11_CrCl_Female_If_Sex_Not_Recorded</vt:lpstr>
      <vt:lpstr>nQ11_CrCl_Male_If_Sex_Not_Recorded</vt:lpstr>
      <vt:lpstr>nQ11_CrCl_mL_min</vt:lpstr>
      <vt:lpstr>nQ11_Displayed_Value</vt:lpstr>
      <vt:lpstr>nQ11_Err</vt:lpstr>
      <vt:lpstr>nQ11_ErrRaw</vt:lpstr>
      <vt:lpstr>nQ11_Formula_in_words</vt:lpstr>
      <vt:lpstr>nQ11_Key</vt:lpstr>
      <vt:lpstr>nQ11_Label_Out</vt:lpstr>
      <vt:lpstr>nQ11_Mandatory_Text</vt:lpstr>
      <vt:lpstr>nQ11_Messages</vt:lpstr>
      <vt:lpstr>nQ11_Needs</vt:lpstr>
      <vt:lpstr>nQ11_NeedsRaw</vt:lpstr>
      <vt:lpstr>nQ11_Ok</vt:lpstr>
      <vt:lpstr>nQ11_Parameter_Set</vt:lpstr>
      <vt:lpstr>nQ11_QC_Flags</vt:lpstr>
      <vt:lpstr>nQ11_Question</vt:lpstr>
      <vt:lpstr>nQ11_Result_Display</vt:lpstr>
      <vt:lpstr>nQ11_Results_Text</vt:lpstr>
      <vt:lpstr>nQ11_RowEmpty</vt:lpstr>
      <vt:lpstr>nQ11_SCr</vt:lpstr>
      <vt:lpstr>nQ11_SCr_mg_dL</vt:lpstr>
      <vt:lpstr>nQ11_SCr_Source</vt:lpstr>
      <vt:lpstr>nQ11_SCr_Status</vt:lpstr>
      <vt:lpstr>nQ11_SCr_Unit</vt:lpstr>
      <vt:lpstr>nQ11_Sex</vt:lpstr>
      <vt:lpstr>nQ11_Stability_Basis</vt:lpstr>
      <vt:lpstr>nQ11_Stability_Confirmed</vt:lpstr>
      <vt:lpstr>nQ11_Stated_Assumptions</vt:lpstr>
      <vt:lpstr>nQ11_Unit_Out</vt:lpstr>
      <vt:lpstr>nQ11_Weight_kg</vt:lpstr>
      <vt:lpstr>nQ11_Weight_Status</vt:lpstr>
      <vt:lpstr>nQ11_Weight_Type</vt:lpstr>
      <vt:lpstr>nQ2_Assumptions</vt:lpstr>
      <vt:lpstr>nQ2_Calc_ID</vt:lpstr>
      <vt:lpstr>nQ2_Calculation_Version</vt:lpstr>
      <vt:lpstr>nQ2_Case_ID</vt:lpstr>
      <vt:lpstr>nQ2_Case_Version</vt:lpstr>
      <vt:lpstr>nQ2_CaseKey</vt:lpstr>
      <vt:lpstr>nQ2_Displayed_Value</vt:lpstr>
      <vt:lpstr>nQ2_Err</vt:lpstr>
      <vt:lpstr>nQ2_ErrRaw</vt:lpstr>
      <vt:lpstr>nQ2_f_target</vt:lpstr>
      <vt:lpstr>nQ2_f_target_Source</vt:lpstr>
      <vt:lpstr>nQ2_f_target_Status</vt:lpstr>
      <vt:lpstr>nQ2_Formula_in_words</vt:lpstr>
      <vt:lpstr>nQ2_G_HL</vt:lpstr>
      <vt:lpstr>nQ2_G_HL_Pop</vt:lpstr>
      <vt:lpstr>nQ2_G_HL_Src</vt:lpstr>
      <vt:lpstr>nQ2_G_HL_Type</vt:lpstr>
      <vt:lpstr>nQ2_G_Model</vt:lpstr>
      <vt:lpstr>nQ2_G_Ref</vt:lpstr>
      <vt:lpstr>nQ2_G_RefText</vt:lpstr>
      <vt:lpstr>nQ2_G_Status</vt:lpstr>
      <vt:lpstr>nQ2_GateOK</vt:lpstr>
      <vt:lpstr>nQ2_Half_Lives</vt:lpstr>
      <vt:lpstr>nQ2_Key</vt:lpstr>
      <vt:lpstr>nQ2_Label_Out</vt:lpstr>
      <vt:lpstr>nQ2_Mandatory_Text</vt:lpstr>
      <vt:lpstr>nQ2_Messages</vt:lpstr>
      <vt:lpstr>nQ2_Needs</vt:lpstr>
      <vt:lpstr>nQ2_NeedsRaw</vt:lpstr>
      <vt:lpstr>nQ2_Ok</vt:lpstr>
      <vt:lpstr>nQ2_Parameter_Set</vt:lpstr>
      <vt:lpstr>nQ2_QC_Flags</vt:lpstr>
      <vt:lpstr>nQ2_Question</vt:lpstr>
      <vt:lpstr>nQ2_Result_Display</vt:lpstr>
      <vt:lpstr>nQ2_Results_Text</vt:lpstr>
      <vt:lpstr>nQ2_RowEmpty</vt:lpstr>
      <vt:lpstr>nQ2_Stated_Assumptions</vt:lpstr>
      <vt:lpstr>nQ2_t_half</vt:lpstr>
      <vt:lpstr>nQ2_t_half_Source</vt:lpstr>
      <vt:lpstr>nQ2_t_half_Status</vt:lpstr>
      <vt:lpstr>nQ2_Time_to_f</vt:lpstr>
      <vt:lpstr>nQ2_Time_Unit</vt:lpstr>
      <vt:lpstr>nQ2_Unit_Out</vt:lpstr>
      <vt:lpstr>nQ3_Accumulation_Factor</vt:lpstr>
      <vt:lpstr>nQ3_Assumptions</vt:lpstr>
      <vt:lpstr>nQ3_Calc_ID</vt:lpstr>
      <vt:lpstr>nQ3_Calculation_Version</vt:lpstr>
      <vt:lpstr>nQ3_Case_ID</vt:lpstr>
      <vt:lpstr>nQ3_Case_Version</vt:lpstr>
      <vt:lpstr>nQ3_CaseKey</vt:lpstr>
      <vt:lpstr>nQ3_Displayed_Value</vt:lpstr>
      <vt:lpstr>nQ3_Err</vt:lpstr>
      <vt:lpstr>nQ3_ErrRaw</vt:lpstr>
      <vt:lpstr>nQ3_Formula_in_words</vt:lpstr>
      <vt:lpstr>nQ3_G_HL</vt:lpstr>
      <vt:lpstr>nQ3_G_HL_Pop</vt:lpstr>
      <vt:lpstr>nQ3_G_HL_Src</vt:lpstr>
      <vt:lpstr>nQ3_G_HL_Type</vt:lpstr>
      <vt:lpstr>nQ3_G_Model</vt:lpstr>
      <vt:lpstr>nQ3_G_Ref</vt:lpstr>
      <vt:lpstr>nQ3_G_RefText</vt:lpstr>
      <vt:lpstr>nQ3_G_Status</vt:lpstr>
      <vt:lpstr>nQ3_GateOK</vt:lpstr>
      <vt:lpstr>nQ3_Key</vt:lpstr>
      <vt:lpstr>nQ3_Label_Out</vt:lpstr>
      <vt:lpstr>nQ3_Mandatory_Text</vt:lpstr>
      <vt:lpstr>nQ3_Messages</vt:lpstr>
      <vt:lpstr>nQ3_Needs</vt:lpstr>
      <vt:lpstr>nQ3_NeedsRaw</vt:lpstr>
      <vt:lpstr>nQ3_Ok</vt:lpstr>
      <vt:lpstr>nQ3_Parameter_Set</vt:lpstr>
      <vt:lpstr>nQ3_QC_Flags</vt:lpstr>
      <vt:lpstr>nQ3_Question</vt:lpstr>
      <vt:lpstr>nQ3_Result_Display</vt:lpstr>
      <vt:lpstr>nQ3_Results_Text</vt:lpstr>
      <vt:lpstr>nQ3_RowEmpty</vt:lpstr>
      <vt:lpstr>nQ3_Stated_Assumptions</vt:lpstr>
      <vt:lpstr>nQ3_t_half</vt:lpstr>
      <vt:lpstr>nQ3_t_half_Source</vt:lpstr>
      <vt:lpstr>nQ3_t_half_Status</vt:lpstr>
      <vt:lpstr>nQ3_tau</vt:lpstr>
      <vt:lpstr>nQ3_tau_Source</vt:lpstr>
      <vt:lpstr>nQ3_tau_Status</vt:lpstr>
      <vt:lpstr>nQ3_Time_Unit</vt:lpstr>
      <vt:lpstr>nQ3_Unit_Out</vt:lpstr>
      <vt:lpstr>nQ4_Assumptions</vt:lpstr>
      <vt:lpstr>nQ4_Calc_ID</vt:lpstr>
      <vt:lpstr>nQ4_Calculation_Version</vt:lpstr>
      <vt:lpstr>nQ4_Case_ID</vt:lpstr>
      <vt:lpstr>nQ4_Case_Version</vt:lpstr>
      <vt:lpstr>nQ4_CaseKey</vt:lpstr>
      <vt:lpstr>nQ4_CL_after</vt:lpstr>
      <vt:lpstr>nQ4_CL_after_Source</vt:lpstr>
      <vt:lpstr>nQ4_CL_after_Status</vt:lpstr>
      <vt:lpstr>nQ4_CL_before</vt:lpstr>
      <vt:lpstr>nQ4_CL_before_Source</vt:lpstr>
      <vt:lpstr>nQ4_CL_before_Status</vt:lpstr>
      <vt:lpstr>nQ4_CL_Unit</vt:lpstr>
      <vt:lpstr>nQ4_Css_Ratio</vt:lpstr>
      <vt:lpstr>nQ4_Displayed_Value</vt:lpstr>
      <vt:lpstr>nQ4_Err</vt:lpstr>
      <vt:lpstr>nQ4_ErrRaw</vt:lpstr>
      <vt:lpstr>nQ4_Formula_in_words</vt:lpstr>
      <vt:lpstr>nQ4_G_HL</vt:lpstr>
      <vt:lpstr>nQ4_G_HL_Pop</vt:lpstr>
      <vt:lpstr>nQ4_G_HL_Src</vt:lpstr>
      <vt:lpstr>nQ4_G_HL_Type</vt:lpstr>
      <vt:lpstr>nQ4_G_Model</vt:lpstr>
      <vt:lpstr>nQ4_G_Ref</vt:lpstr>
      <vt:lpstr>nQ4_G_RefText</vt:lpstr>
      <vt:lpstr>nQ4_G_Status</vt:lpstr>
      <vt:lpstr>nQ4_GateOK</vt:lpstr>
      <vt:lpstr>nQ4_HalfLife_Ratio</vt:lpstr>
      <vt:lpstr>nQ4_Key</vt:lpstr>
      <vt:lpstr>nQ4_Label_Out</vt:lpstr>
      <vt:lpstr>nQ4_Mandatory_Text</vt:lpstr>
      <vt:lpstr>nQ4_Messages</vt:lpstr>
      <vt:lpstr>nQ4_Needs</vt:lpstr>
      <vt:lpstr>nQ4_NeedsRaw</vt:lpstr>
      <vt:lpstr>nQ4_Ok</vt:lpstr>
      <vt:lpstr>nQ4_Parameter_Set</vt:lpstr>
      <vt:lpstr>nQ4_QC_Flags</vt:lpstr>
      <vt:lpstr>nQ4_Question</vt:lpstr>
      <vt:lpstr>nQ4_Result_Display</vt:lpstr>
      <vt:lpstr>nQ4_Results_Text</vt:lpstr>
      <vt:lpstr>nQ4_RowEmpty</vt:lpstr>
      <vt:lpstr>nQ4_Stated_Assumptions</vt:lpstr>
      <vt:lpstr>nQ4_t_half_after_h</vt:lpstr>
      <vt:lpstr>nQ4_t_half_before_h</vt:lpstr>
      <vt:lpstr>nQ4_Unit_Out</vt:lpstr>
      <vt:lpstr>nQ4_V_L</vt:lpstr>
      <vt:lpstr>nQ4_V_L_Source</vt:lpstr>
      <vt:lpstr>nQ4_V_L_Status</vt:lpstr>
      <vt:lpstr>nQ5_Assumptions</vt:lpstr>
      <vt:lpstr>nQ5_Calc_ID</vt:lpstr>
      <vt:lpstr>nQ5_Calculation_Version</vt:lpstr>
      <vt:lpstr>nQ5_Case_ID</vt:lpstr>
      <vt:lpstr>nQ5_Case_Version</vt:lpstr>
      <vt:lpstr>nQ5_CaseKey</vt:lpstr>
      <vt:lpstr>nQ5_Displayed_Value</vt:lpstr>
      <vt:lpstr>nQ5_Err</vt:lpstr>
      <vt:lpstr>nQ5_ErrRaw</vt:lpstr>
      <vt:lpstr>nQ5_Formula_in_words</vt:lpstr>
      <vt:lpstr>nQ5_G_HL</vt:lpstr>
      <vt:lpstr>nQ5_G_HL_Pop</vt:lpstr>
      <vt:lpstr>nQ5_G_HL_Src</vt:lpstr>
      <vt:lpstr>nQ5_G_HL_Type</vt:lpstr>
      <vt:lpstr>nQ5_G_Model</vt:lpstr>
      <vt:lpstr>nQ5_G_Ref</vt:lpstr>
      <vt:lpstr>nQ5_G_RefText</vt:lpstr>
      <vt:lpstr>nQ5_G_Status</vt:lpstr>
      <vt:lpstr>nQ5_GateOK</vt:lpstr>
      <vt:lpstr>nQ5_Key</vt:lpstr>
      <vt:lpstr>nQ5_Label_Out</vt:lpstr>
      <vt:lpstr>nQ5_Mandatory_Text</vt:lpstr>
      <vt:lpstr>nQ5_Messages</vt:lpstr>
      <vt:lpstr>nQ5_Metabolite_Percent</vt:lpstr>
      <vt:lpstr>nQ5_Metabolite_t_half</vt:lpstr>
      <vt:lpstr>nQ5_Metabolite_t_half_Source</vt:lpstr>
      <vt:lpstr>nQ5_Metabolite_t_half_Status</vt:lpstr>
      <vt:lpstr>nQ5_Needs</vt:lpstr>
      <vt:lpstr>nQ5_NeedsRaw</vt:lpstr>
      <vt:lpstr>nQ5_Ok</vt:lpstr>
      <vt:lpstr>nQ5_Parameter_Set</vt:lpstr>
      <vt:lpstr>nQ5_Parent_Percent</vt:lpstr>
      <vt:lpstr>nQ5_Parent_t_half</vt:lpstr>
      <vt:lpstr>nQ5_Parent_t_half_Source</vt:lpstr>
      <vt:lpstr>nQ5_Parent_t_half_Status</vt:lpstr>
      <vt:lpstr>nQ5_QC_Flags</vt:lpstr>
      <vt:lpstr>nQ5_Question</vt:lpstr>
      <vt:lpstr>nQ5_Result_Display</vt:lpstr>
      <vt:lpstr>nQ5_Results_Text</vt:lpstr>
      <vt:lpstr>nQ5_RowEmpty</vt:lpstr>
      <vt:lpstr>nQ5_Stated_Assumptions</vt:lpstr>
      <vt:lpstr>nQ5_t</vt:lpstr>
      <vt:lpstr>nQ5_t_Source</vt:lpstr>
      <vt:lpstr>nQ5_t_Status</vt:lpstr>
      <vt:lpstr>nQ5_Time_Unit</vt:lpstr>
      <vt:lpstr>nQ5_Unit_Out</vt:lpstr>
      <vt:lpstr>nQ6_Assumptions</vt:lpstr>
      <vt:lpstr>nQ6_Calc_ID</vt:lpstr>
      <vt:lpstr>nQ6_Calculation_Version</vt:lpstr>
      <vt:lpstr>nQ6_Case_ID</vt:lpstr>
      <vt:lpstr>nQ6_Case_Version</vt:lpstr>
      <vt:lpstr>nQ6_CaseKey</vt:lpstr>
      <vt:lpstr>nQ6_Displayed_Value</vt:lpstr>
      <vt:lpstr>nQ6_Err</vt:lpstr>
      <vt:lpstr>nQ6_ErrRaw</vt:lpstr>
      <vt:lpstr>nQ6_Formula_in_words</vt:lpstr>
      <vt:lpstr>nQ6_Fraction_Q6</vt:lpstr>
      <vt:lpstr>nQ6_Key</vt:lpstr>
      <vt:lpstr>nQ6_Label_Out</vt:lpstr>
      <vt:lpstr>nQ6_Mandatory_Text</vt:lpstr>
      <vt:lpstr>nQ6_Messages</vt:lpstr>
      <vt:lpstr>nQ6_Needs</vt:lpstr>
      <vt:lpstr>nQ6_NeedsRaw</vt:lpstr>
      <vt:lpstr>nQ6_Ok</vt:lpstr>
      <vt:lpstr>nQ6_Output_Label</vt:lpstr>
      <vt:lpstr>nQ6_Parameter_Set</vt:lpstr>
      <vt:lpstr>nQ6_Percent_Q6</vt:lpstr>
      <vt:lpstr>nQ6_QC_Flags</vt:lpstr>
      <vt:lpstr>nQ6_Question</vt:lpstr>
      <vt:lpstr>nQ6_Replacement_Half_Time</vt:lpstr>
      <vt:lpstr>nQ6_Replacement_Half_Time_Source</vt:lpstr>
      <vt:lpstr>nQ6_Replacement_Half_Time_Status</vt:lpstr>
      <vt:lpstr>nQ6_Result_Display</vt:lpstr>
      <vt:lpstr>nQ6_Results_Text</vt:lpstr>
      <vt:lpstr>nQ6_RowEmpty</vt:lpstr>
      <vt:lpstr>nQ6_Stated_Assumptions</vt:lpstr>
      <vt:lpstr>nQ6_t</vt:lpstr>
      <vt:lpstr>nQ6_t_Source</vt:lpstr>
      <vt:lpstr>nQ6_t_Status</vt:lpstr>
      <vt:lpstr>nQ6_Teaching_Switch</vt:lpstr>
      <vt:lpstr>nQ6_Time_Unit</vt:lpstr>
      <vt:lpstr>nQ6_Unit_Out</vt:lpstr>
      <vt:lpstr>nQ6_Use</vt:lpstr>
      <vt:lpstr>nQ7_Assumptions</vt:lpstr>
      <vt:lpstr>nQ7_Calc_ID</vt:lpstr>
      <vt:lpstr>nQ7_Calculation_Version</vt:lpstr>
      <vt:lpstr>nQ7_Case_ID</vt:lpstr>
      <vt:lpstr>nQ7_Case_Version</vt:lpstr>
      <vt:lpstr>nQ7_CaseKey</vt:lpstr>
      <vt:lpstr>nQ7_Displayed_Value</vt:lpstr>
      <vt:lpstr>nQ7_Err</vt:lpstr>
      <vt:lpstr>nQ7_ErrRaw</vt:lpstr>
      <vt:lpstr>nQ7_Formula_in_words</vt:lpstr>
      <vt:lpstr>nQ7_Fraction_Remaining</vt:lpstr>
      <vt:lpstr>nQ7_G_HL</vt:lpstr>
      <vt:lpstr>nQ7_G_HL_Pop</vt:lpstr>
      <vt:lpstr>nQ7_G_HL_Src</vt:lpstr>
      <vt:lpstr>nQ7_G_HL_Type</vt:lpstr>
      <vt:lpstr>nQ7_G_Model</vt:lpstr>
      <vt:lpstr>nQ7_G_Ref</vt:lpstr>
      <vt:lpstr>nQ7_G_RefText</vt:lpstr>
      <vt:lpstr>nQ7_G_Status</vt:lpstr>
      <vt:lpstr>nQ7_GateOK</vt:lpstr>
      <vt:lpstr>nQ7_k_per_day</vt:lpstr>
      <vt:lpstr>nQ7_Key</vt:lpstr>
      <vt:lpstr>nQ7_Label_Out</vt:lpstr>
      <vt:lpstr>nQ7_Mandatory_Text</vt:lpstr>
      <vt:lpstr>nQ7_Messages</vt:lpstr>
      <vt:lpstr>nQ7_Needs</vt:lpstr>
      <vt:lpstr>nQ7_NeedsRaw</vt:lpstr>
      <vt:lpstr>nQ7_Ok</vt:lpstr>
      <vt:lpstr>nQ7_Parameter_Set</vt:lpstr>
      <vt:lpstr>nQ7_Percent_Remaining</vt:lpstr>
      <vt:lpstr>nQ7_QC_Flags</vt:lpstr>
      <vt:lpstr>nQ7_Question</vt:lpstr>
      <vt:lpstr>nQ7_Result_Display</vt:lpstr>
      <vt:lpstr>nQ7_Results_Text</vt:lpstr>
      <vt:lpstr>nQ7_RowEmpty</vt:lpstr>
      <vt:lpstr>nQ7_Stated_Assumptions</vt:lpstr>
      <vt:lpstr>nQ7_t</vt:lpstr>
      <vt:lpstr>nQ7_t_half</vt:lpstr>
      <vt:lpstr>nQ7_t_half_Source</vt:lpstr>
      <vt:lpstr>nQ7_t_half_Status</vt:lpstr>
      <vt:lpstr>nQ7_t_Source</vt:lpstr>
      <vt:lpstr>nQ7_t_Status</vt:lpstr>
      <vt:lpstr>nQ7_Time_Unit</vt:lpstr>
      <vt:lpstr>nQ7_Unit_Out</vt:lpstr>
      <vt:lpstr>nQ8_Antibody</vt:lpstr>
      <vt:lpstr>nQ8_Assumptions</vt:lpstr>
      <vt:lpstr>nQ8_Calc_ID</vt:lpstr>
      <vt:lpstr>nQ8_Calculation_Version</vt:lpstr>
      <vt:lpstr>nQ8_Case_ID</vt:lpstr>
      <vt:lpstr>nQ8_Case_Version</vt:lpstr>
      <vt:lpstr>nQ8_CaseKey</vt:lpstr>
      <vt:lpstr>nQ8_Displayed_Value</vt:lpstr>
      <vt:lpstr>nQ8_Err</vt:lpstr>
      <vt:lpstr>nQ8_ErrRaw</vt:lpstr>
      <vt:lpstr>nQ8_Formula_in_words</vt:lpstr>
      <vt:lpstr>nQ8_Fraction_at_Lower</vt:lpstr>
      <vt:lpstr>nQ8_Fraction_at_Upper</vt:lpstr>
      <vt:lpstr>nQ8_G_HL</vt:lpstr>
      <vt:lpstr>nQ8_G_HL_Pop</vt:lpstr>
      <vt:lpstr>nQ8_G_HL_Src</vt:lpstr>
      <vt:lpstr>nQ8_G_HL_Type</vt:lpstr>
      <vt:lpstr>nQ8_G_Model</vt:lpstr>
      <vt:lpstr>nQ8_G_Ref</vt:lpstr>
      <vt:lpstr>nQ8_G_RefText</vt:lpstr>
      <vt:lpstr>nQ8_G_Status</vt:lpstr>
      <vt:lpstr>nQ8_GateOK</vt:lpstr>
      <vt:lpstr>nQ8_Key</vt:lpstr>
      <vt:lpstr>nQ8_Label_Out</vt:lpstr>
      <vt:lpstr>nQ8_Mandatory_Text</vt:lpstr>
      <vt:lpstr>nQ8_Messages</vt:lpstr>
      <vt:lpstr>nQ8_Needs</vt:lpstr>
      <vt:lpstr>nQ8_NeedsRaw</vt:lpstr>
      <vt:lpstr>nQ8_Ok</vt:lpstr>
      <vt:lpstr>nQ8_Parameter_Set</vt:lpstr>
      <vt:lpstr>nQ8_Percent_at_Lower</vt:lpstr>
      <vt:lpstr>nQ8_Percent_at_Upper</vt:lpstr>
      <vt:lpstr>nQ8_QC_Flags</vt:lpstr>
      <vt:lpstr>nQ8_Question</vt:lpstr>
      <vt:lpstr>nQ8_Result_Display</vt:lpstr>
      <vt:lpstr>nQ8_Results_Text</vt:lpstr>
      <vt:lpstr>nQ8_RowEmpty</vt:lpstr>
      <vt:lpstr>nQ8_Stated_Assumptions</vt:lpstr>
      <vt:lpstr>nQ8_t</vt:lpstr>
      <vt:lpstr>nQ8_t_half_lower</vt:lpstr>
      <vt:lpstr>nQ8_t_half_lower_Source</vt:lpstr>
      <vt:lpstr>nQ8_t_half_lower_Status</vt:lpstr>
      <vt:lpstr>nQ8_t_half_upper</vt:lpstr>
      <vt:lpstr>nQ8_t_half_upper_Source</vt:lpstr>
      <vt:lpstr>nQ8_t_half_upper_Status</vt:lpstr>
      <vt:lpstr>nQ8_t_Source</vt:lpstr>
      <vt:lpstr>nQ8_t_Status</vt:lpstr>
      <vt:lpstr>nQ8_Time_Unit</vt:lpstr>
      <vt:lpstr>nQ8_Unit_Out</vt:lpstr>
      <vt:lpstr>nQ9_AllKnown</vt:lpstr>
      <vt:lpstr>nQ9_Amount_mg</vt:lpstr>
      <vt:lpstr>nQ9_Assumptions</vt:lpstr>
      <vt:lpstr>nQ9_Calc_ID</vt:lpstr>
      <vt:lpstr>nQ9_Calculation_Version</vt:lpstr>
      <vt:lpstr>nQ9_Case_ID</vt:lpstr>
      <vt:lpstr>nQ9_Case_Version</vt:lpstr>
      <vt:lpstr>nQ9_CaseKey</vt:lpstr>
      <vt:lpstr>nQ9_Displayed_Value</vt:lpstr>
      <vt:lpstr>nQ9_Err</vt:lpstr>
      <vt:lpstr>nQ9_ErrRaw</vt:lpstr>
      <vt:lpstr>nQ9_Exposure_Episode_ID</vt:lpstr>
      <vt:lpstr>nQ9_Formula_in_words</vt:lpstr>
      <vt:lpstr>nQ9_Key</vt:lpstr>
      <vt:lpstr>nQ9_Label_Out</vt:lpstr>
      <vt:lpstr>nQ9_Mandatory_Text</vt:lpstr>
      <vt:lpstr>nQ9_Messages</vt:lpstr>
      <vt:lpstr>nQ9_N_Seg</vt:lpstr>
      <vt:lpstr>nQ9_Needs</vt:lpstr>
      <vt:lpstr>nQ9_NeedsRaw</vt:lpstr>
      <vt:lpstr>nQ9_O_Err</vt:lpstr>
      <vt:lpstr>nQ9_O_HT</vt:lpstr>
      <vt:lpstr>nQ9_O_Loc</vt:lpstr>
      <vt:lpstr>nQ9_O_OK</vt:lpstr>
      <vt:lpstr>nQ9_O_Row</vt:lpstr>
      <vt:lpstr>nQ9_O_UTC</vt:lpstr>
      <vt:lpstr>nQ9_Ok</vt:lpstr>
      <vt:lpstr>nQ9_Onset_Record_ID</vt:lpstr>
      <vt:lpstr>nQ9_OvlAny</vt:lpstr>
      <vt:lpstr>nQ9_Parameter_Set</vt:lpstr>
      <vt:lpstr>nQ9_Percent_of_Planned</vt:lpstr>
      <vt:lpstr>nQ9_Planned_Dose_mg</vt:lpstr>
      <vt:lpstr>nQ9_Planned_Dose_mg_Source</vt:lpstr>
      <vt:lpstr>nQ9_Planned_Dose_mg_Status</vt:lpstr>
      <vt:lpstr>nQ9_QC_Flags</vt:lpstr>
      <vt:lpstr>nQ9_Question</vt:lpstr>
      <vt:lpstr>nQ9_Result_Display</vt:lpstr>
      <vt:lpstr>nQ9_Results_Text</vt:lpstr>
      <vt:lpstr>nQ9_RevAny</vt:lpstr>
      <vt:lpstr>nQ9_RowEmpty</vt:lpstr>
      <vt:lpstr>nQ9_SegCodes</vt:lpstr>
      <vt:lpstr>nQ9_Segments_Used</vt:lpstr>
      <vt:lpstr>nQ9_SelKey</vt:lpstr>
      <vt:lpstr>nQ9_Stated_Assumptions</vt:lpstr>
      <vt:lpstr>nQ9_Sum_Loc</vt:lpstr>
      <vt:lpstr>nQ9_Sum_UTC</vt:lpstr>
      <vt:lpstr>nQ9_Time_Basis</vt:lpstr>
      <vt:lpstr>nQ9_Unit_Out</vt:lpstr>
      <vt:lpstr>nTOL_ABS</vt:lpstr>
      <vt:lpstr>nTOL_REL</vt:lpstr>
      <vt:lpstr>nTP_Cand</vt:lpstr>
      <vt:lpstr>nTP_CandKey</vt:lpstr>
      <vt:lpstr>nTP_Case_ID</vt:lpstr>
      <vt:lpstr>nTP_Case_Key</vt:lpstr>
      <vt:lpstr>nTP_Case_Version</vt:lpstr>
      <vt:lpstr>nTP_Display</vt:lpstr>
      <vt:lpstr>nTP_Dup</vt:lpstr>
      <vt:lpstr>nTP_Episode_ID</vt:lpstr>
      <vt:lpstr>nTP_Err</vt:lpstr>
      <vt:lpstr>nTP_Exact</vt:lpstr>
      <vt:lpstr>nTP_Hi</vt:lpstr>
      <vt:lpstr>nTP_Hi_n</vt:lpstr>
      <vt:lpstr>nTP_HT</vt:lpstr>
      <vt:lpstr>nTP_ISO</vt:lpstr>
      <vt:lpstr>nTP_Key</vt:lpstr>
      <vt:lpstr>nTP_Kind</vt:lpstr>
      <vt:lpstr>nTP_Lab_Note</vt:lpstr>
      <vt:lpstr>nTP_Label</vt:lpstr>
      <vt:lpstr>nTP_Lo</vt:lpstr>
      <vt:lpstr>nTP_Lo_n</vt:lpstr>
      <vt:lpstr>nTP_Loc</vt:lpstr>
      <vt:lpstr>nTP_Loc_n</vt:lpstr>
      <vt:lpstr>nTP_Offset</vt:lpstr>
      <vt:lpstr>nTP_OK</vt:lpstr>
      <vt:lpstr>nTP_Original_Text</vt:lpstr>
      <vt:lpstr>nTP_Precision</vt:lpstr>
      <vt:lpstr>nTP_Record_ID</vt:lpstr>
      <vt:lpstr>nTP_Record_Type</vt:lpstr>
      <vt:lpstr>nTP_Role</vt:lpstr>
      <vt:lpstr>nTP_RowN</vt:lpstr>
      <vt:lpstr>nTP_Source</vt:lpstr>
      <vt:lpstr>nTP_Source_Location</vt:lpstr>
      <vt:lpstr>nTP_UTC</vt:lpstr>
      <vt:lpstr>nTP_UTC_n</vt:lpstr>
      <vt:lpstr>nVER_Overall</vt:lpstr>
      <vt:lpstr>Examples!Print_Area</vt:lpstr>
      <vt:lpstr>Read_Me!Print_Area</vt:lpstr>
      <vt:lpstr>Summary!Print_Area</vt:lpstr>
      <vt:lpstr>Verification!Print_Area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TTO Companion Workbook v1.1</dc:title>
  <dc:creator>Dr. Hafez Selim</dc:creator>
  <dc:description>TTO Companion Tools v1.1 (CALC-SPEC 1.1). Educational tool; CC BY-NC 4.0; https://github.com/abdu94-hash/tto-companion-tools</dc:description>
  <cp:lastModifiedBy>ABDULHAFEZ SELEEM</cp:lastModifiedBy>
  <dcterms:created xsi:type="dcterms:W3CDTF">2026-10-25T17:25:19Z</dcterms:created>
  <dcterms:modified xsi:type="dcterms:W3CDTF">2026-10-25T17:26:56Z</dcterms:modified>
</cp:coreProperties>
</file>